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01"/>
  <workbookPr defaultThemeVersion="166925"/>
  <mc:AlternateContent xmlns:mc="http://schemas.openxmlformats.org/markup-compatibility/2006">
    <mc:Choice Requires="x15">
      <x15ac:absPath xmlns:x15ac="http://schemas.microsoft.com/office/spreadsheetml/2010/11/ac" url="D:\workroom\send_data\余生你好\"/>
    </mc:Choice>
  </mc:AlternateContent>
  <xr:revisionPtr revIDLastSave="0" documentId="13_ncr:1_{411D20A5-0FD6-4419-90F8-6DA2B7E79292}" xr6:coauthVersionLast="40" xr6:coauthVersionMax="40" xr10:uidLastSave="{00000000-0000-0000-0000-000000000000}"/>
  <bookViews>
    <workbookView xWindow="4500" yWindow="0" windowWidth="29850" windowHeight="15225" xr2:uid="{50EE2D5C-5514-46DA-B95A-D46FA291CCFB}"/>
  </bookViews>
  <sheets>
    <sheet name="Sheet1" sheetId="1" r:id="rId1"/>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7205" i="1" l="1"/>
  <c r="B27205" i="1"/>
  <c r="G27204" i="1"/>
  <c r="B27204" i="1"/>
  <c r="G27203" i="1"/>
  <c r="C27203" i="1"/>
  <c r="B27203" i="1"/>
  <c r="G27202" i="1"/>
  <c r="B27202" i="1"/>
  <c r="G27201" i="1"/>
  <c r="B27201" i="1"/>
  <c r="G27200" i="1"/>
  <c r="C27200" i="1"/>
  <c r="B27200" i="1"/>
  <c r="G27199" i="1"/>
  <c r="C27199" i="1"/>
  <c r="B27199" i="1"/>
  <c r="G27198" i="1"/>
  <c r="C27198" i="1"/>
  <c r="B27198" i="1"/>
  <c r="G27197" i="1"/>
  <c r="C27197" i="1"/>
  <c r="B27197" i="1"/>
  <c r="G27196" i="1"/>
  <c r="B27196" i="1"/>
  <c r="G27195" i="1"/>
  <c r="C27195" i="1"/>
  <c r="B27195" i="1"/>
  <c r="G27194" i="1"/>
  <c r="B27194" i="1"/>
  <c r="G27193" i="1"/>
  <c r="C27193" i="1"/>
  <c r="B27193" i="1"/>
  <c r="G27192" i="1"/>
  <c r="B27192" i="1"/>
  <c r="G27191" i="1"/>
  <c r="C27191" i="1"/>
  <c r="B27191" i="1"/>
  <c r="G27190" i="1"/>
  <c r="B27190" i="1"/>
  <c r="G27189" i="1"/>
  <c r="C27189" i="1"/>
  <c r="B27189" i="1"/>
  <c r="G27188" i="1"/>
  <c r="C27188" i="1"/>
  <c r="B27188" i="1"/>
  <c r="G27187" i="1"/>
  <c r="B27187" i="1"/>
  <c r="G27186" i="1"/>
  <c r="B27186" i="1"/>
  <c r="G27185" i="1"/>
  <c r="C27185" i="1"/>
  <c r="B27185" i="1"/>
  <c r="G27184" i="1"/>
  <c r="B27184" i="1"/>
  <c r="G27183" i="1"/>
  <c r="B27183" i="1"/>
  <c r="G27182" i="1"/>
  <c r="C27182" i="1"/>
  <c r="B27182" i="1"/>
  <c r="G27181" i="1"/>
  <c r="C27181" i="1"/>
  <c r="B27181" i="1"/>
  <c r="G27180" i="1"/>
  <c r="B27180" i="1"/>
  <c r="G27179" i="1"/>
  <c r="C27179" i="1"/>
  <c r="B27179" i="1"/>
  <c r="G27178" i="1"/>
  <c r="C27178" i="1"/>
  <c r="B27178" i="1"/>
  <c r="G27177" i="1"/>
  <c r="B27177" i="1"/>
  <c r="G27176" i="1"/>
  <c r="C27176" i="1"/>
  <c r="B27176" i="1"/>
  <c r="G27175" i="1"/>
  <c r="C27175" i="1"/>
  <c r="B27175" i="1"/>
  <c r="G27174" i="1"/>
  <c r="C27174" i="1"/>
  <c r="B27174" i="1"/>
  <c r="G27173" i="1"/>
  <c r="C27173" i="1"/>
  <c r="B27173" i="1"/>
  <c r="G27172" i="1"/>
  <c r="B27172" i="1"/>
  <c r="G27171" i="1"/>
  <c r="B27171" i="1"/>
  <c r="G27170" i="1"/>
  <c r="B27170" i="1"/>
  <c r="G27169" i="1"/>
  <c r="B27169" i="1"/>
  <c r="G27168" i="1"/>
  <c r="C27168" i="1"/>
  <c r="B27168" i="1"/>
  <c r="G27167" i="1"/>
  <c r="C27167" i="1"/>
  <c r="B27167" i="1"/>
  <c r="G27166" i="1"/>
  <c r="C27166" i="1"/>
  <c r="B27166" i="1"/>
  <c r="G27165" i="1"/>
  <c r="B27165" i="1"/>
  <c r="G27164" i="1"/>
  <c r="C27164" i="1"/>
  <c r="B27164" i="1"/>
  <c r="G27163" i="1"/>
  <c r="C27163" i="1"/>
  <c r="B27163" i="1"/>
  <c r="G27162" i="1"/>
  <c r="C27162" i="1"/>
  <c r="B27162" i="1"/>
  <c r="G27161" i="1"/>
  <c r="C27161" i="1"/>
  <c r="B27161" i="1"/>
  <c r="G27160" i="1"/>
  <c r="C27160" i="1"/>
  <c r="B27160" i="1"/>
  <c r="G27159" i="1"/>
  <c r="B27159" i="1"/>
  <c r="G27158" i="1"/>
  <c r="C27158" i="1"/>
  <c r="B27158" i="1"/>
  <c r="G27157" i="1"/>
  <c r="C27157" i="1"/>
  <c r="B27157" i="1"/>
  <c r="G27156" i="1"/>
  <c r="B27156" i="1"/>
  <c r="G27155" i="1"/>
  <c r="C27155" i="1"/>
  <c r="B27155" i="1"/>
  <c r="G27154" i="1"/>
  <c r="C27154" i="1"/>
  <c r="B27154" i="1"/>
  <c r="G27153" i="1"/>
  <c r="C27153" i="1"/>
  <c r="B27153" i="1"/>
  <c r="G27152" i="1"/>
  <c r="C27152" i="1"/>
  <c r="B27152" i="1"/>
  <c r="G27151" i="1"/>
  <c r="C27151" i="1"/>
  <c r="B27151" i="1"/>
  <c r="G27150" i="1"/>
  <c r="C27150" i="1"/>
  <c r="B27150" i="1"/>
  <c r="G27149" i="1"/>
  <c r="C27149" i="1"/>
  <c r="B27149" i="1"/>
  <c r="G27148" i="1"/>
  <c r="B27148" i="1"/>
  <c r="G27147" i="1"/>
  <c r="B27147" i="1"/>
  <c r="G27146" i="1"/>
  <c r="B27146" i="1"/>
  <c r="G27145" i="1"/>
  <c r="B27145" i="1"/>
  <c r="G27144" i="1"/>
  <c r="B27144" i="1"/>
  <c r="G27143" i="1"/>
  <c r="C27143" i="1"/>
  <c r="B27143" i="1"/>
  <c r="G27142" i="1"/>
  <c r="C27142" i="1"/>
  <c r="B27142" i="1"/>
  <c r="G27141" i="1"/>
  <c r="C27141" i="1"/>
  <c r="B27141" i="1"/>
  <c r="G27140" i="1"/>
  <c r="C27140" i="1"/>
  <c r="B27140" i="1"/>
  <c r="G27139" i="1"/>
  <c r="B27139" i="1"/>
  <c r="G27138" i="1"/>
  <c r="C27138" i="1"/>
  <c r="B27138" i="1"/>
  <c r="G27137" i="1"/>
  <c r="C27137" i="1"/>
  <c r="B27137" i="1"/>
  <c r="G27136" i="1"/>
  <c r="C27136" i="1"/>
  <c r="B27136" i="1"/>
  <c r="G27135" i="1"/>
  <c r="C27135" i="1"/>
  <c r="B27135" i="1"/>
  <c r="G27134" i="1"/>
  <c r="B27134" i="1"/>
  <c r="G27133" i="1"/>
  <c r="C27133" i="1"/>
  <c r="B27133" i="1"/>
  <c r="G27132" i="1"/>
  <c r="B27132" i="1"/>
  <c r="G27131" i="1"/>
  <c r="C27131" i="1"/>
  <c r="B27131" i="1"/>
  <c r="G27130" i="1"/>
  <c r="C27130" i="1"/>
  <c r="B27130" i="1"/>
  <c r="G27129" i="1"/>
  <c r="C27129" i="1"/>
  <c r="B27129" i="1"/>
  <c r="G27128" i="1"/>
  <c r="C27128" i="1"/>
  <c r="B27128" i="1"/>
  <c r="G27127" i="1"/>
  <c r="C27127" i="1"/>
  <c r="B27127" i="1"/>
  <c r="G27126" i="1"/>
  <c r="C27126" i="1"/>
  <c r="B27126" i="1"/>
  <c r="G27125" i="1"/>
  <c r="B27125" i="1"/>
  <c r="G27124" i="1"/>
  <c r="B27124" i="1"/>
  <c r="G27123" i="1"/>
  <c r="C27123" i="1"/>
  <c r="B27123" i="1"/>
  <c r="G27122" i="1"/>
  <c r="B27122" i="1"/>
  <c r="G27121" i="1"/>
  <c r="B27121" i="1"/>
  <c r="G27120" i="1"/>
  <c r="C27120" i="1"/>
  <c r="B27120" i="1"/>
  <c r="G27119" i="1"/>
  <c r="C27119" i="1"/>
  <c r="B27119" i="1"/>
  <c r="G27118" i="1"/>
  <c r="C27118" i="1"/>
  <c r="B27118" i="1"/>
  <c r="G27117" i="1"/>
  <c r="C27117" i="1"/>
  <c r="B27117" i="1"/>
  <c r="G27116" i="1"/>
  <c r="B27116" i="1"/>
  <c r="G27115" i="1"/>
  <c r="C27115" i="1"/>
  <c r="B27115" i="1"/>
  <c r="G27114" i="1"/>
  <c r="C27114" i="1"/>
  <c r="B27114" i="1"/>
  <c r="G27113" i="1"/>
  <c r="C27113" i="1"/>
  <c r="B27113" i="1"/>
  <c r="G27112" i="1"/>
  <c r="C27112" i="1"/>
  <c r="B27112" i="1"/>
  <c r="G27111" i="1"/>
  <c r="C27111" i="1"/>
  <c r="B27111" i="1"/>
  <c r="G27110" i="1"/>
  <c r="C27110" i="1"/>
  <c r="B27110" i="1"/>
  <c r="G27109" i="1"/>
  <c r="C27109" i="1"/>
  <c r="B27109" i="1"/>
  <c r="G27108" i="1"/>
  <c r="C27108" i="1"/>
  <c r="B27108" i="1"/>
  <c r="G27107" i="1"/>
  <c r="C27107" i="1"/>
  <c r="B27107" i="1"/>
  <c r="G27106" i="1"/>
  <c r="C27106" i="1"/>
  <c r="B27106" i="1"/>
  <c r="G27105" i="1"/>
  <c r="C27105" i="1"/>
  <c r="B27105" i="1"/>
  <c r="G27104" i="1"/>
  <c r="C27104" i="1"/>
  <c r="B27104" i="1"/>
  <c r="G27103" i="1"/>
  <c r="B27103" i="1"/>
  <c r="G27102" i="1"/>
  <c r="C27102" i="1"/>
  <c r="B27102" i="1"/>
  <c r="G27101" i="1"/>
  <c r="C27101" i="1"/>
  <c r="B27101" i="1"/>
  <c r="G27100" i="1"/>
  <c r="C27100" i="1"/>
  <c r="B27100" i="1"/>
  <c r="G27099" i="1"/>
  <c r="C27099" i="1"/>
  <c r="B27099" i="1"/>
  <c r="G27098" i="1"/>
  <c r="C27098" i="1"/>
  <c r="B27098" i="1"/>
  <c r="G27097" i="1"/>
  <c r="C27097" i="1"/>
  <c r="B27097" i="1"/>
  <c r="G27096" i="1"/>
  <c r="C27096" i="1"/>
  <c r="B27096" i="1"/>
  <c r="G27095" i="1"/>
  <c r="B27095" i="1"/>
  <c r="G27094" i="1"/>
  <c r="C27094" i="1"/>
  <c r="B27094" i="1"/>
  <c r="G27093" i="1"/>
  <c r="C27093" i="1"/>
  <c r="B27093" i="1"/>
  <c r="G27092" i="1"/>
  <c r="B27092" i="1"/>
  <c r="G27091" i="1"/>
  <c r="C27091" i="1"/>
  <c r="B27091" i="1"/>
  <c r="G27090" i="1"/>
  <c r="C27090" i="1"/>
  <c r="B27090" i="1"/>
  <c r="G27089" i="1"/>
  <c r="C27089" i="1"/>
  <c r="B27089" i="1"/>
  <c r="G27088" i="1"/>
  <c r="B27088" i="1"/>
  <c r="G27087" i="1"/>
  <c r="C27087" i="1"/>
  <c r="B27087" i="1"/>
  <c r="G27086" i="1"/>
  <c r="B27086" i="1"/>
  <c r="G27085" i="1"/>
  <c r="C27085" i="1"/>
  <c r="B27085" i="1"/>
  <c r="G27084" i="1"/>
  <c r="C27084" i="1"/>
  <c r="B27084" i="1"/>
  <c r="G27083" i="1"/>
  <c r="C27083" i="1"/>
  <c r="B27083" i="1"/>
  <c r="G27082" i="1"/>
  <c r="B27082" i="1"/>
  <c r="G27081" i="1"/>
  <c r="C27081" i="1"/>
  <c r="B27081" i="1"/>
  <c r="G27080" i="1"/>
  <c r="C27080" i="1"/>
  <c r="B27080" i="1"/>
  <c r="G27079" i="1"/>
  <c r="B27079" i="1"/>
  <c r="G27078" i="1"/>
  <c r="B27078" i="1"/>
  <c r="G27077" i="1"/>
  <c r="C27077" i="1"/>
  <c r="B27077" i="1"/>
  <c r="G27076" i="1"/>
  <c r="B27076" i="1"/>
  <c r="G27075" i="1"/>
  <c r="B27075" i="1"/>
  <c r="G27074" i="1"/>
  <c r="C27074" i="1"/>
  <c r="B27074" i="1"/>
  <c r="G27073" i="1"/>
  <c r="C27073" i="1"/>
  <c r="B27073" i="1"/>
  <c r="G27072" i="1"/>
  <c r="C27072" i="1"/>
  <c r="B27072" i="1"/>
  <c r="G27071" i="1"/>
  <c r="C27071" i="1"/>
  <c r="B27071" i="1"/>
  <c r="G27070" i="1"/>
  <c r="C27070" i="1"/>
  <c r="B27070" i="1"/>
  <c r="G27069" i="1"/>
  <c r="C27069" i="1"/>
  <c r="B27069" i="1"/>
  <c r="G27068" i="1"/>
  <c r="C27068" i="1"/>
  <c r="B27068" i="1"/>
  <c r="G27067" i="1"/>
  <c r="C27067" i="1"/>
  <c r="B27067" i="1"/>
  <c r="G27066" i="1"/>
  <c r="C27066" i="1"/>
  <c r="B27066" i="1"/>
  <c r="G27065" i="1"/>
  <c r="C27065" i="1"/>
  <c r="B27065" i="1"/>
  <c r="G27064" i="1"/>
  <c r="B27064" i="1"/>
  <c r="G27063" i="1"/>
  <c r="C27063" i="1"/>
  <c r="B27063" i="1"/>
  <c r="G27062" i="1"/>
  <c r="B27062" i="1"/>
  <c r="G27061" i="1"/>
  <c r="C27061" i="1"/>
  <c r="B27061" i="1"/>
  <c r="G27060" i="1"/>
  <c r="C27060" i="1"/>
  <c r="B27060" i="1"/>
  <c r="G27059" i="1"/>
  <c r="C27059" i="1"/>
  <c r="B27059" i="1"/>
  <c r="G27058" i="1"/>
  <c r="C27058" i="1"/>
  <c r="B27058" i="1"/>
  <c r="G27057" i="1"/>
  <c r="C27057" i="1"/>
  <c r="B27057" i="1"/>
  <c r="G27056" i="1"/>
  <c r="C27056" i="1"/>
  <c r="B27056" i="1"/>
  <c r="G27055" i="1"/>
  <c r="C27055" i="1"/>
  <c r="B27055" i="1"/>
  <c r="G27054" i="1"/>
  <c r="B27054" i="1"/>
  <c r="G27053" i="1"/>
  <c r="B27053" i="1"/>
  <c r="G27052" i="1"/>
  <c r="C27052" i="1"/>
  <c r="B27052" i="1"/>
  <c r="G27051" i="1"/>
  <c r="C27051" i="1"/>
  <c r="B27051" i="1"/>
  <c r="G27050" i="1"/>
  <c r="C27050" i="1"/>
  <c r="B27050" i="1"/>
  <c r="G27049" i="1"/>
  <c r="C27049" i="1"/>
  <c r="B27049" i="1"/>
  <c r="G27048" i="1"/>
  <c r="B27048" i="1"/>
  <c r="G27047" i="1"/>
  <c r="B27047" i="1"/>
  <c r="G27046" i="1"/>
  <c r="C27046" i="1"/>
  <c r="B27046" i="1"/>
  <c r="G27045" i="1"/>
  <c r="C27045" i="1"/>
  <c r="B27045" i="1"/>
  <c r="G27044" i="1"/>
  <c r="C27044" i="1"/>
  <c r="B27044" i="1"/>
  <c r="G27043" i="1"/>
  <c r="B27043" i="1"/>
  <c r="G27042" i="1"/>
  <c r="C27042" i="1"/>
  <c r="B27042" i="1"/>
  <c r="G27041" i="1"/>
  <c r="B27041" i="1"/>
  <c r="G27040" i="1"/>
  <c r="C27040" i="1"/>
  <c r="B27040" i="1"/>
  <c r="G27039" i="1"/>
  <c r="C27039" i="1"/>
  <c r="B27039" i="1"/>
  <c r="G27038" i="1"/>
  <c r="C27038" i="1"/>
  <c r="B27038" i="1"/>
  <c r="G27037" i="1"/>
  <c r="C27037" i="1"/>
  <c r="B27037" i="1"/>
  <c r="G27036" i="1"/>
  <c r="B27036" i="1"/>
  <c r="G27035" i="1"/>
  <c r="C27035" i="1"/>
  <c r="B27035" i="1"/>
  <c r="G27034" i="1"/>
  <c r="B27034" i="1"/>
  <c r="G27033" i="1"/>
  <c r="C27033" i="1"/>
  <c r="B27033" i="1"/>
  <c r="G27032" i="1"/>
  <c r="C27032" i="1"/>
  <c r="B27032" i="1"/>
  <c r="G27031" i="1"/>
  <c r="C27031" i="1"/>
  <c r="B27031" i="1"/>
  <c r="G27030" i="1"/>
  <c r="C27030" i="1"/>
  <c r="B27030" i="1"/>
  <c r="G27029" i="1"/>
  <c r="C27029" i="1"/>
  <c r="B27029" i="1"/>
  <c r="G27028" i="1"/>
  <c r="C27028" i="1"/>
  <c r="B27028" i="1"/>
  <c r="G27027" i="1"/>
  <c r="B27027" i="1"/>
  <c r="G27026" i="1"/>
  <c r="C27026" i="1"/>
  <c r="B27026" i="1"/>
  <c r="G27025" i="1"/>
  <c r="B27025" i="1"/>
  <c r="G27024" i="1"/>
  <c r="C27024" i="1"/>
  <c r="B27024" i="1"/>
  <c r="G27023" i="1"/>
  <c r="C27023" i="1"/>
  <c r="B27023" i="1"/>
  <c r="G27022" i="1"/>
  <c r="B27022" i="1"/>
  <c r="G27021" i="1"/>
  <c r="B27021" i="1"/>
  <c r="G27020" i="1"/>
  <c r="B27020" i="1"/>
  <c r="G27019" i="1"/>
  <c r="C27019" i="1"/>
  <c r="B27019" i="1"/>
  <c r="G27018" i="1"/>
  <c r="C27018" i="1"/>
  <c r="B27018" i="1"/>
  <c r="G27017" i="1"/>
  <c r="C27017" i="1"/>
  <c r="B27017" i="1"/>
  <c r="G27016" i="1"/>
  <c r="B27016" i="1"/>
  <c r="G27015" i="1"/>
  <c r="B27015" i="1"/>
  <c r="G27014" i="1"/>
  <c r="C27014" i="1"/>
  <c r="B27014" i="1"/>
  <c r="G27013" i="1"/>
  <c r="B27013" i="1"/>
  <c r="G27012" i="1"/>
  <c r="B27012" i="1"/>
  <c r="G27011" i="1"/>
  <c r="C27011" i="1"/>
  <c r="B27011" i="1"/>
  <c r="G27010" i="1"/>
  <c r="C27010" i="1"/>
  <c r="B27010" i="1"/>
  <c r="G27009" i="1"/>
  <c r="C27009" i="1"/>
  <c r="B27009" i="1"/>
  <c r="G27008" i="1"/>
  <c r="C27008" i="1"/>
  <c r="B27008" i="1"/>
  <c r="G27007" i="1"/>
  <c r="B27007" i="1"/>
  <c r="G27006" i="1"/>
  <c r="C27006" i="1"/>
  <c r="B27006" i="1"/>
  <c r="G27005" i="1"/>
  <c r="B27005" i="1"/>
  <c r="G27004" i="1"/>
  <c r="C27004" i="1"/>
  <c r="B27004" i="1"/>
  <c r="G27003" i="1"/>
  <c r="C27003" i="1"/>
  <c r="B27003" i="1"/>
  <c r="G27002" i="1"/>
  <c r="B27002" i="1"/>
  <c r="G27001" i="1"/>
  <c r="C27001" i="1"/>
  <c r="B27001" i="1"/>
  <c r="G27000" i="1"/>
  <c r="C27000" i="1"/>
  <c r="B27000" i="1"/>
  <c r="G26999" i="1"/>
  <c r="C26999" i="1"/>
  <c r="B26999" i="1"/>
  <c r="G26998" i="1"/>
  <c r="B26998" i="1"/>
  <c r="G26997" i="1"/>
  <c r="B26997" i="1"/>
  <c r="G26996" i="1"/>
  <c r="B26996" i="1"/>
  <c r="G26995" i="1"/>
  <c r="B26995" i="1"/>
  <c r="G26994" i="1"/>
  <c r="B26994" i="1"/>
  <c r="G26993" i="1"/>
  <c r="C26993" i="1"/>
  <c r="B26993" i="1"/>
  <c r="G26992" i="1"/>
  <c r="C26992" i="1"/>
  <c r="B26992" i="1"/>
  <c r="G26991" i="1"/>
  <c r="C26991" i="1"/>
  <c r="B26991" i="1"/>
  <c r="G26990" i="1"/>
  <c r="C26990" i="1"/>
  <c r="B26990" i="1"/>
  <c r="G26989" i="1"/>
  <c r="C26989" i="1"/>
  <c r="B26989" i="1"/>
  <c r="G26988" i="1"/>
  <c r="B26988" i="1"/>
  <c r="G26987" i="1"/>
  <c r="B26987" i="1"/>
  <c r="G26986" i="1"/>
  <c r="C26986" i="1"/>
  <c r="B26986" i="1"/>
  <c r="G26985" i="1"/>
  <c r="B26985" i="1"/>
  <c r="G26984" i="1"/>
  <c r="B26984" i="1"/>
  <c r="G26983" i="1"/>
  <c r="B26983" i="1"/>
  <c r="G26982" i="1"/>
  <c r="C26982" i="1"/>
  <c r="B26982" i="1"/>
  <c r="G26981" i="1"/>
  <c r="B26981" i="1"/>
  <c r="G26980" i="1"/>
  <c r="C26980" i="1"/>
  <c r="B26980" i="1"/>
  <c r="G26979" i="1"/>
  <c r="C26979" i="1"/>
  <c r="B26979" i="1"/>
  <c r="G26978" i="1"/>
  <c r="B26978" i="1"/>
  <c r="G26977" i="1"/>
  <c r="B26977" i="1"/>
  <c r="G26976" i="1"/>
  <c r="C26976" i="1"/>
  <c r="B26976" i="1"/>
  <c r="G26975" i="1"/>
  <c r="C26975" i="1"/>
  <c r="B26975" i="1"/>
  <c r="G26974" i="1"/>
  <c r="C26974" i="1"/>
  <c r="B26974" i="1"/>
  <c r="G26973" i="1"/>
  <c r="C26973" i="1"/>
  <c r="B26973" i="1"/>
  <c r="G26972" i="1"/>
  <c r="C26972" i="1"/>
  <c r="B26972" i="1"/>
  <c r="G26971" i="1"/>
  <c r="C26971" i="1"/>
  <c r="B26971" i="1"/>
  <c r="G26970" i="1"/>
  <c r="B26970" i="1"/>
  <c r="G26969" i="1"/>
  <c r="C26969" i="1"/>
  <c r="B26969" i="1"/>
  <c r="G26968" i="1"/>
  <c r="C26968" i="1"/>
  <c r="B26968" i="1"/>
  <c r="G26967" i="1"/>
  <c r="B26967" i="1"/>
  <c r="G26966" i="1"/>
  <c r="B26966" i="1"/>
  <c r="G26965" i="1"/>
  <c r="C26965" i="1"/>
  <c r="B26965" i="1"/>
  <c r="G26964" i="1"/>
  <c r="C26964" i="1"/>
  <c r="B26964" i="1"/>
  <c r="G26963" i="1"/>
  <c r="C26963" i="1"/>
  <c r="B26963" i="1"/>
  <c r="G26962" i="1"/>
  <c r="C26962" i="1"/>
  <c r="B26962" i="1"/>
  <c r="G26961" i="1"/>
  <c r="C26961" i="1"/>
  <c r="B26961" i="1"/>
  <c r="G26960" i="1"/>
  <c r="C26960" i="1"/>
  <c r="B26960" i="1"/>
  <c r="G26959" i="1"/>
  <c r="C26959" i="1"/>
  <c r="B26959" i="1"/>
  <c r="G26958" i="1"/>
  <c r="B26958" i="1"/>
  <c r="G26957" i="1"/>
  <c r="C26957" i="1"/>
  <c r="B26957" i="1"/>
  <c r="G26956" i="1"/>
  <c r="C26956" i="1"/>
  <c r="B26956" i="1"/>
  <c r="G26955" i="1"/>
  <c r="C26955" i="1"/>
  <c r="B26955" i="1"/>
  <c r="G26954" i="1"/>
  <c r="C26954" i="1"/>
  <c r="B26954" i="1"/>
  <c r="G26953" i="1"/>
  <c r="B26953" i="1"/>
  <c r="G26952" i="1"/>
  <c r="C26952" i="1"/>
  <c r="B26952" i="1"/>
  <c r="G26951" i="1"/>
  <c r="C26951" i="1"/>
  <c r="B26951" i="1"/>
  <c r="G26950" i="1"/>
  <c r="C26950" i="1"/>
  <c r="B26950" i="1"/>
  <c r="G26949" i="1"/>
  <c r="B26949" i="1"/>
  <c r="G26948" i="1"/>
  <c r="C26948" i="1"/>
  <c r="B26948" i="1"/>
  <c r="G26947" i="1"/>
  <c r="C26947" i="1"/>
  <c r="B26947" i="1"/>
  <c r="G26946" i="1"/>
  <c r="C26946" i="1"/>
  <c r="B26946" i="1"/>
  <c r="G26945" i="1"/>
  <c r="C26945" i="1"/>
  <c r="B26945" i="1"/>
  <c r="G26944" i="1"/>
  <c r="B26944" i="1"/>
  <c r="G26943" i="1"/>
  <c r="B26943" i="1"/>
  <c r="G26942" i="1"/>
  <c r="C26942" i="1"/>
  <c r="B26942" i="1"/>
  <c r="G26941" i="1"/>
  <c r="B26941" i="1"/>
  <c r="G26940" i="1"/>
  <c r="C26940" i="1"/>
  <c r="B26940" i="1"/>
  <c r="G26939" i="1"/>
  <c r="B26939" i="1"/>
  <c r="G26938" i="1"/>
  <c r="B26938" i="1"/>
  <c r="G26937" i="1"/>
  <c r="C26937" i="1"/>
  <c r="B26937" i="1"/>
  <c r="G26936" i="1"/>
  <c r="C26936" i="1"/>
  <c r="B26936" i="1"/>
  <c r="G26935" i="1"/>
  <c r="B26935" i="1"/>
  <c r="G26934" i="1"/>
  <c r="B26934" i="1"/>
  <c r="G26933" i="1"/>
  <c r="C26933" i="1"/>
  <c r="B26933" i="1"/>
  <c r="G26932" i="1"/>
  <c r="B26932" i="1"/>
  <c r="G26931" i="1"/>
  <c r="C26931" i="1"/>
  <c r="B26931" i="1"/>
  <c r="G26930" i="1"/>
  <c r="C26930" i="1"/>
  <c r="B26930" i="1"/>
  <c r="G26929" i="1"/>
  <c r="C26929" i="1"/>
  <c r="B26929" i="1"/>
  <c r="G26928" i="1"/>
  <c r="B26928" i="1"/>
  <c r="G26927" i="1"/>
  <c r="B26927" i="1"/>
  <c r="G26926" i="1"/>
  <c r="C26926" i="1"/>
  <c r="B26926" i="1"/>
  <c r="G26925" i="1"/>
  <c r="B26925" i="1"/>
  <c r="G26924" i="1"/>
  <c r="C26924" i="1"/>
  <c r="B26924" i="1"/>
  <c r="G26923" i="1"/>
  <c r="C26923" i="1"/>
  <c r="B26923" i="1"/>
  <c r="G26922" i="1"/>
  <c r="C26922" i="1"/>
  <c r="B26922" i="1"/>
  <c r="G26921" i="1"/>
  <c r="C26921" i="1"/>
  <c r="B26921" i="1"/>
  <c r="G26920" i="1"/>
  <c r="B26920" i="1"/>
  <c r="G26919" i="1"/>
  <c r="B26919" i="1"/>
  <c r="G26918" i="1"/>
  <c r="B26918" i="1"/>
  <c r="G26917" i="1"/>
  <c r="C26917" i="1"/>
  <c r="B26917" i="1"/>
  <c r="G26916" i="1"/>
  <c r="C26916" i="1"/>
  <c r="B26916" i="1"/>
  <c r="G26915" i="1"/>
  <c r="C26915" i="1"/>
  <c r="B26915" i="1"/>
  <c r="G26914" i="1"/>
  <c r="C26914" i="1"/>
  <c r="B26914" i="1"/>
  <c r="G26913" i="1"/>
  <c r="C26913" i="1"/>
  <c r="B26913" i="1"/>
  <c r="G26912" i="1"/>
  <c r="B26912" i="1"/>
  <c r="G26911" i="1"/>
  <c r="C26911" i="1"/>
  <c r="B26911" i="1"/>
  <c r="G26910" i="1"/>
  <c r="B26910" i="1"/>
  <c r="G26909" i="1"/>
  <c r="C26909" i="1"/>
  <c r="B26909" i="1"/>
  <c r="G26908" i="1"/>
  <c r="C26908" i="1"/>
  <c r="B26908" i="1"/>
  <c r="G26907" i="1"/>
  <c r="C26907" i="1"/>
  <c r="B26907" i="1"/>
  <c r="G26906" i="1"/>
  <c r="B26906" i="1"/>
  <c r="G26905" i="1"/>
  <c r="B26905" i="1"/>
  <c r="G26904" i="1"/>
  <c r="C26904" i="1"/>
  <c r="B26904" i="1"/>
  <c r="G26903" i="1"/>
  <c r="B26903" i="1"/>
  <c r="G26902" i="1"/>
  <c r="B26902" i="1"/>
  <c r="G26901" i="1"/>
  <c r="B26901" i="1"/>
  <c r="G26900" i="1"/>
  <c r="C26900" i="1"/>
  <c r="B26900" i="1"/>
  <c r="G26899" i="1"/>
  <c r="C26899" i="1"/>
  <c r="B26899" i="1"/>
  <c r="G26898" i="1"/>
  <c r="C26898" i="1"/>
  <c r="B26898" i="1"/>
  <c r="G26897" i="1"/>
  <c r="B26897" i="1"/>
  <c r="G26896" i="1"/>
  <c r="B26896" i="1"/>
  <c r="G26895" i="1"/>
  <c r="B26895" i="1"/>
  <c r="G26894" i="1"/>
  <c r="C26894" i="1"/>
  <c r="B26894" i="1"/>
  <c r="G26893" i="1"/>
  <c r="B26893" i="1"/>
  <c r="G26892" i="1"/>
  <c r="C26892" i="1"/>
  <c r="B26892" i="1"/>
  <c r="G26891" i="1"/>
  <c r="C26891" i="1"/>
  <c r="B26891" i="1"/>
  <c r="G26890" i="1"/>
  <c r="C26890" i="1"/>
  <c r="B26890" i="1"/>
  <c r="G26889" i="1"/>
  <c r="B26889" i="1"/>
  <c r="G26888" i="1"/>
  <c r="C26888" i="1"/>
  <c r="B26888" i="1"/>
  <c r="G26887" i="1"/>
  <c r="C26887" i="1"/>
  <c r="B26887" i="1"/>
  <c r="G26886" i="1"/>
  <c r="B26886" i="1"/>
  <c r="G26885" i="1"/>
  <c r="B26885" i="1"/>
  <c r="G26884" i="1"/>
  <c r="B26884" i="1"/>
  <c r="G26883" i="1"/>
  <c r="B26883" i="1"/>
  <c r="G26882" i="1"/>
  <c r="C26882" i="1"/>
  <c r="B26882" i="1"/>
  <c r="G26881" i="1"/>
  <c r="B26881" i="1"/>
  <c r="G26880" i="1"/>
  <c r="C26880" i="1"/>
  <c r="B26880" i="1"/>
  <c r="G26879" i="1"/>
  <c r="B26879" i="1"/>
  <c r="G26878" i="1"/>
  <c r="B26878" i="1"/>
  <c r="G26877" i="1"/>
  <c r="C26877" i="1"/>
  <c r="B26877" i="1"/>
  <c r="G26876" i="1"/>
  <c r="C26876" i="1"/>
  <c r="B26876" i="1"/>
  <c r="G26875" i="1"/>
  <c r="C26875" i="1"/>
  <c r="B26875" i="1"/>
  <c r="G26874" i="1"/>
  <c r="C26874" i="1"/>
  <c r="B26874" i="1"/>
  <c r="G26873" i="1"/>
  <c r="C26873" i="1"/>
  <c r="B26873" i="1"/>
  <c r="G26872" i="1"/>
  <c r="B26872" i="1"/>
  <c r="G26871" i="1"/>
  <c r="C26871" i="1"/>
  <c r="B26871" i="1"/>
  <c r="G26870" i="1"/>
  <c r="C26870" i="1"/>
  <c r="B26870" i="1"/>
  <c r="G26869" i="1"/>
  <c r="C26869" i="1"/>
  <c r="B26869" i="1"/>
  <c r="G26868" i="1"/>
  <c r="C26868" i="1"/>
  <c r="B26868" i="1"/>
  <c r="G26867" i="1"/>
  <c r="C26867" i="1"/>
  <c r="B26867" i="1"/>
  <c r="G26866" i="1"/>
  <c r="C26866" i="1"/>
  <c r="B26866" i="1"/>
  <c r="G26865" i="1"/>
  <c r="C26865" i="1"/>
  <c r="B26865" i="1"/>
  <c r="G26864" i="1"/>
  <c r="B26864" i="1"/>
  <c r="G26863" i="1"/>
  <c r="B26863" i="1"/>
  <c r="G26862" i="1"/>
  <c r="C26862" i="1"/>
  <c r="B26862" i="1"/>
  <c r="G26861" i="1"/>
  <c r="C26861" i="1"/>
  <c r="B26861" i="1"/>
  <c r="G26860" i="1"/>
  <c r="C26860" i="1"/>
  <c r="B26860" i="1"/>
  <c r="G26859" i="1"/>
  <c r="B26859" i="1"/>
  <c r="G26858" i="1"/>
  <c r="C26858" i="1"/>
  <c r="B26858" i="1"/>
  <c r="G26857" i="1"/>
  <c r="C26857" i="1"/>
  <c r="B26857" i="1"/>
  <c r="G26856" i="1"/>
  <c r="B26856" i="1"/>
  <c r="G26855" i="1"/>
  <c r="C26855" i="1"/>
  <c r="B26855" i="1"/>
  <c r="G26854" i="1"/>
  <c r="B26854" i="1"/>
  <c r="G26853" i="1"/>
  <c r="C26853" i="1"/>
  <c r="B26853" i="1"/>
  <c r="G26852" i="1"/>
  <c r="C26852" i="1"/>
  <c r="B26852" i="1"/>
  <c r="G26851" i="1"/>
  <c r="C26851" i="1"/>
  <c r="B26851" i="1"/>
  <c r="G26850" i="1"/>
  <c r="C26850" i="1"/>
  <c r="B26850" i="1"/>
  <c r="G26849" i="1"/>
  <c r="B26849" i="1"/>
  <c r="G26848" i="1"/>
  <c r="C26848" i="1"/>
  <c r="B26848" i="1"/>
  <c r="G26847" i="1"/>
  <c r="C26847" i="1"/>
  <c r="B26847" i="1"/>
  <c r="G26846" i="1"/>
  <c r="B26846" i="1"/>
  <c r="G26845" i="1"/>
  <c r="B26845" i="1"/>
  <c r="G26844" i="1"/>
  <c r="C26844" i="1"/>
  <c r="B26844" i="1"/>
  <c r="G26843" i="1"/>
  <c r="C26843" i="1"/>
  <c r="B26843" i="1"/>
  <c r="G26842" i="1"/>
  <c r="C26842" i="1"/>
  <c r="B26842" i="1"/>
  <c r="G26841" i="1"/>
  <c r="B26841" i="1"/>
  <c r="G26840" i="1"/>
  <c r="B26840" i="1"/>
  <c r="G26839" i="1"/>
  <c r="C26839" i="1"/>
  <c r="B26839" i="1"/>
  <c r="G26838" i="1"/>
  <c r="B26838" i="1"/>
  <c r="G26837" i="1"/>
  <c r="C26837" i="1"/>
  <c r="B26837" i="1"/>
  <c r="G26836" i="1"/>
  <c r="B26836" i="1"/>
  <c r="G26835" i="1"/>
  <c r="C26835" i="1"/>
  <c r="B26835" i="1"/>
  <c r="G26834" i="1"/>
  <c r="B26834" i="1"/>
  <c r="G26833" i="1"/>
  <c r="B26833" i="1"/>
  <c r="G26832" i="1"/>
  <c r="C26832" i="1"/>
  <c r="B26832" i="1"/>
  <c r="G26831" i="1"/>
  <c r="C26831" i="1"/>
  <c r="B26831" i="1"/>
  <c r="G26830" i="1"/>
  <c r="B26830" i="1"/>
  <c r="G26829" i="1"/>
  <c r="C26829" i="1"/>
  <c r="B26829" i="1"/>
  <c r="G26828" i="1"/>
  <c r="C26828" i="1"/>
  <c r="B26828" i="1"/>
  <c r="G26827" i="1"/>
  <c r="C26827" i="1"/>
  <c r="B26827" i="1"/>
  <c r="G26826" i="1"/>
  <c r="C26826" i="1"/>
  <c r="B26826" i="1"/>
  <c r="G26825" i="1"/>
  <c r="B26825" i="1"/>
  <c r="G26824" i="1"/>
  <c r="C26824" i="1"/>
  <c r="B26824" i="1"/>
  <c r="G26823" i="1"/>
  <c r="B26823" i="1"/>
  <c r="G26822" i="1"/>
  <c r="C26822" i="1"/>
  <c r="B26822" i="1"/>
  <c r="G26821" i="1"/>
  <c r="C26821" i="1"/>
  <c r="B26821" i="1"/>
  <c r="G26820" i="1"/>
  <c r="B26820" i="1"/>
  <c r="G26819" i="1"/>
  <c r="B26819" i="1"/>
  <c r="G26818" i="1"/>
  <c r="C26818" i="1"/>
  <c r="B26818" i="1"/>
  <c r="G26817" i="1"/>
  <c r="C26817" i="1"/>
  <c r="B26817" i="1"/>
  <c r="G26816" i="1"/>
  <c r="C26816" i="1"/>
  <c r="B26816" i="1"/>
  <c r="G26815" i="1"/>
  <c r="B26815" i="1"/>
  <c r="G26814" i="1"/>
  <c r="C26814" i="1"/>
  <c r="B26814" i="1"/>
  <c r="G26813" i="1"/>
  <c r="C26813" i="1"/>
  <c r="B26813" i="1"/>
  <c r="G26812" i="1"/>
  <c r="B26812" i="1"/>
  <c r="G26811" i="1"/>
  <c r="B26811" i="1"/>
  <c r="G26810" i="1"/>
  <c r="C26810" i="1"/>
  <c r="B26810" i="1"/>
  <c r="G26809" i="1"/>
  <c r="C26809" i="1"/>
  <c r="B26809" i="1"/>
  <c r="G26808" i="1"/>
  <c r="B26808" i="1"/>
  <c r="G26807" i="1"/>
  <c r="B26807" i="1"/>
  <c r="G26806" i="1"/>
  <c r="C26806" i="1"/>
  <c r="B26806" i="1"/>
  <c r="G26805" i="1"/>
  <c r="C26805" i="1"/>
  <c r="B26805" i="1"/>
  <c r="G26804" i="1"/>
  <c r="C26804" i="1"/>
  <c r="B26804" i="1"/>
  <c r="G26803" i="1"/>
  <c r="C26803" i="1"/>
  <c r="B26803" i="1"/>
  <c r="G26802" i="1"/>
  <c r="B26802" i="1"/>
  <c r="G26801" i="1"/>
  <c r="C26801" i="1"/>
  <c r="B26801" i="1"/>
  <c r="G26800" i="1"/>
  <c r="C26800" i="1"/>
  <c r="B26800" i="1"/>
  <c r="G26799" i="1"/>
  <c r="B26799" i="1"/>
  <c r="G26798" i="1"/>
  <c r="B26798" i="1"/>
  <c r="G26797" i="1"/>
  <c r="C26797" i="1"/>
  <c r="B26797" i="1"/>
  <c r="G26796" i="1"/>
  <c r="C26796" i="1"/>
  <c r="B26796" i="1"/>
  <c r="G26795" i="1"/>
  <c r="B26795" i="1"/>
  <c r="G26794" i="1"/>
  <c r="C26794" i="1"/>
  <c r="B26794" i="1"/>
  <c r="G26793" i="1"/>
  <c r="C26793" i="1"/>
  <c r="B26793" i="1"/>
  <c r="G26792" i="1"/>
  <c r="C26792" i="1"/>
  <c r="B26792" i="1"/>
  <c r="G26791" i="1"/>
  <c r="C26791" i="1"/>
  <c r="B26791" i="1"/>
  <c r="G26790" i="1"/>
  <c r="C26790" i="1"/>
  <c r="B26790" i="1"/>
  <c r="G26789" i="1"/>
  <c r="C26789" i="1"/>
  <c r="B26789" i="1"/>
  <c r="G26788" i="1"/>
  <c r="C26788" i="1"/>
  <c r="B26788" i="1"/>
  <c r="G26787" i="1"/>
  <c r="B26787" i="1"/>
  <c r="G26786" i="1"/>
  <c r="B26786" i="1"/>
  <c r="G26785" i="1"/>
  <c r="C26785" i="1"/>
  <c r="B26785" i="1"/>
  <c r="G26784" i="1"/>
  <c r="C26784" i="1"/>
  <c r="B26784" i="1"/>
  <c r="G26783" i="1"/>
  <c r="C26783" i="1"/>
  <c r="B26783" i="1"/>
  <c r="G26782" i="1"/>
  <c r="C26782" i="1"/>
  <c r="B26782" i="1"/>
  <c r="G26781" i="1"/>
  <c r="C26781" i="1"/>
  <c r="B26781" i="1"/>
  <c r="G26780" i="1"/>
  <c r="B26780" i="1"/>
  <c r="G26779" i="1"/>
  <c r="C26779" i="1"/>
  <c r="B26779" i="1"/>
  <c r="G26778" i="1"/>
  <c r="C26778" i="1"/>
  <c r="B26778" i="1"/>
  <c r="G26777" i="1"/>
  <c r="B26777" i="1"/>
  <c r="G26776" i="1"/>
  <c r="C26776" i="1"/>
  <c r="B26776" i="1"/>
  <c r="G26775" i="1"/>
  <c r="C26775" i="1"/>
  <c r="B26775" i="1"/>
  <c r="G26774" i="1"/>
  <c r="B26774" i="1"/>
  <c r="G26773" i="1"/>
  <c r="B26773" i="1"/>
  <c r="G26772" i="1"/>
  <c r="C26772" i="1"/>
  <c r="B26772" i="1"/>
  <c r="G26771" i="1"/>
  <c r="C26771" i="1"/>
  <c r="B26771" i="1"/>
  <c r="G26770" i="1"/>
  <c r="B26770" i="1"/>
  <c r="G26769" i="1"/>
  <c r="C26769" i="1"/>
  <c r="B26769" i="1"/>
  <c r="G26768" i="1"/>
  <c r="C26768" i="1"/>
  <c r="B26768" i="1"/>
  <c r="G26767" i="1"/>
  <c r="B26767" i="1"/>
  <c r="G26766" i="1"/>
  <c r="B26766" i="1"/>
  <c r="G26765" i="1"/>
  <c r="C26765" i="1"/>
  <c r="B26765" i="1"/>
  <c r="G26764" i="1"/>
  <c r="C26764" i="1"/>
  <c r="B26764" i="1"/>
  <c r="G26763" i="1"/>
  <c r="C26763" i="1"/>
  <c r="B26763" i="1"/>
  <c r="G26762" i="1"/>
  <c r="C26762" i="1"/>
  <c r="B26762" i="1"/>
  <c r="G26761" i="1"/>
  <c r="B26761" i="1"/>
  <c r="G26760" i="1"/>
  <c r="C26760" i="1"/>
  <c r="B26760" i="1"/>
  <c r="G26759" i="1"/>
  <c r="C26759" i="1"/>
  <c r="B26759" i="1"/>
  <c r="G26758" i="1"/>
  <c r="C26758" i="1"/>
  <c r="B26758" i="1"/>
  <c r="G26757" i="1"/>
  <c r="C26757" i="1"/>
  <c r="B26757" i="1"/>
  <c r="G26756" i="1"/>
  <c r="C26756" i="1"/>
  <c r="B26756" i="1"/>
  <c r="G26755" i="1"/>
  <c r="B26755" i="1"/>
  <c r="G26754" i="1"/>
  <c r="C26754" i="1"/>
  <c r="B26754" i="1"/>
  <c r="G26753" i="1"/>
  <c r="C26753" i="1"/>
  <c r="B26753" i="1"/>
  <c r="G26752" i="1"/>
  <c r="B26752" i="1"/>
  <c r="G26751" i="1"/>
  <c r="C26751" i="1"/>
  <c r="B26751" i="1"/>
  <c r="G26750" i="1"/>
  <c r="B26750" i="1"/>
  <c r="G26749" i="1"/>
  <c r="B26749" i="1"/>
  <c r="G26748" i="1"/>
  <c r="C26748" i="1"/>
  <c r="B26748" i="1"/>
  <c r="G26747" i="1"/>
  <c r="C26747" i="1"/>
  <c r="B26747" i="1"/>
  <c r="G26746" i="1"/>
  <c r="B26746" i="1"/>
  <c r="G26745" i="1"/>
  <c r="C26745" i="1"/>
  <c r="B26745" i="1"/>
  <c r="G26744" i="1"/>
  <c r="B26744" i="1"/>
  <c r="G26743" i="1"/>
  <c r="C26743" i="1"/>
  <c r="B26743" i="1"/>
  <c r="G26742" i="1"/>
  <c r="B26742" i="1"/>
  <c r="G26741" i="1"/>
  <c r="C26741" i="1"/>
  <c r="B26741" i="1"/>
  <c r="G26740" i="1"/>
  <c r="B26740" i="1"/>
  <c r="G26739" i="1"/>
  <c r="C26739" i="1"/>
  <c r="B26739" i="1"/>
  <c r="G26738" i="1"/>
  <c r="C26738" i="1"/>
  <c r="B26738" i="1"/>
  <c r="G26737" i="1"/>
  <c r="C26737" i="1"/>
  <c r="B26737" i="1"/>
  <c r="G26736" i="1"/>
  <c r="B26736" i="1"/>
  <c r="G26735" i="1"/>
  <c r="C26735" i="1"/>
  <c r="B26735" i="1"/>
  <c r="G26734" i="1"/>
  <c r="C26734" i="1"/>
  <c r="B26734" i="1"/>
  <c r="G26733" i="1"/>
  <c r="C26733" i="1"/>
  <c r="B26733" i="1"/>
  <c r="G26732" i="1"/>
  <c r="C26732" i="1"/>
  <c r="B26732" i="1"/>
  <c r="G26731" i="1"/>
  <c r="C26731" i="1"/>
  <c r="B26731" i="1"/>
  <c r="G26730" i="1"/>
  <c r="B26730" i="1"/>
  <c r="G26729" i="1"/>
  <c r="C26729" i="1"/>
  <c r="B26729" i="1"/>
  <c r="G26728" i="1"/>
  <c r="B26728" i="1"/>
  <c r="G26727" i="1"/>
  <c r="C26727" i="1"/>
  <c r="B26727" i="1"/>
  <c r="G26726" i="1"/>
  <c r="C26726" i="1"/>
  <c r="B26726" i="1"/>
  <c r="G26725" i="1"/>
  <c r="C26725" i="1"/>
  <c r="B26725" i="1"/>
  <c r="G26724" i="1"/>
  <c r="C26724" i="1"/>
  <c r="B26724" i="1"/>
  <c r="G26723" i="1"/>
  <c r="B26723" i="1"/>
  <c r="G26722" i="1"/>
  <c r="C26722" i="1"/>
  <c r="B26722" i="1"/>
  <c r="G26721" i="1"/>
  <c r="B26721" i="1"/>
  <c r="G26720" i="1"/>
  <c r="C26720" i="1"/>
  <c r="B26720" i="1"/>
  <c r="G26719" i="1"/>
  <c r="C26719" i="1"/>
  <c r="B26719" i="1"/>
  <c r="G26718" i="1"/>
  <c r="B26718" i="1"/>
  <c r="G26717" i="1"/>
  <c r="C26717" i="1"/>
  <c r="B26717" i="1"/>
  <c r="G26716" i="1"/>
  <c r="C26716" i="1"/>
  <c r="B26716" i="1"/>
  <c r="G26715" i="1"/>
  <c r="C26715" i="1"/>
  <c r="B26715" i="1"/>
  <c r="G26714" i="1"/>
  <c r="C26714" i="1"/>
  <c r="B26714" i="1"/>
  <c r="G26713" i="1"/>
  <c r="C26713" i="1"/>
  <c r="B26713" i="1"/>
  <c r="G26712" i="1"/>
  <c r="B26712" i="1"/>
  <c r="G26711" i="1"/>
  <c r="B26711" i="1"/>
  <c r="G26710" i="1"/>
  <c r="C26710" i="1"/>
  <c r="B26710" i="1"/>
  <c r="G26709" i="1"/>
  <c r="C26709" i="1"/>
  <c r="B26709" i="1"/>
  <c r="G26708" i="1"/>
  <c r="C26708" i="1"/>
  <c r="B26708" i="1"/>
  <c r="G26707" i="1"/>
  <c r="C26707" i="1"/>
  <c r="B26707" i="1"/>
  <c r="G26706" i="1"/>
  <c r="C26706" i="1"/>
  <c r="B26706" i="1"/>
  <c r="G26705" i="1"/>
  <c r="C26705" i="1"/>
  <c r="B26705" i="1"/>
  <c r="G26704" i="1"/>
  <c r="C26704" i="1"/>
  <c r="B26704" i="1"/>
  <c r="G26703" i="1"/>
  <c r="B26703" i="1"/>
  <c r="G26702" i="1"/>
  <c r="C26702" i="1"/>
  <c r="B26702" i="1"/>
  <c r="G26701" i="1"/>
  <c r="C26701" i="1"/>
  <c r="B26701" i="1"/>
  <c r="G26700" i="1"/>
  <c r="C26700" i="1"/>
  <c r="B26700" i="1"/>
  <c r="G26699" i="1"/>
  <c r="C26699" i="1"/>
  <c r="B26699" i="1"/>
  <c r="G26698" i="1"/>
  <c r="C26698" i="1"/>
  <c r="B26698" i="1"/>
  <c r="G26697" i="1"/>
  <c r="C26697" i="1"/>
  <c r="B26697" i="1"/>
  <c r="G26696" i="1"/>
  <c r="C26696" i="1"/>
  <c r="B26696" i="1"/>
  <c r="G26695" i="1"/>
  <c r="B26695" i="1"/>
  <c r="G26694" i="1"/>
  <c r="B26694" i="1"/>
  <c r="G26693" i="1"/>
  <c r="C26693" i="1"/>
  <c r="B26693" i="1"/>
  <c r="G26692" i="1"/>
  <c r="C26692" i="1"/>
  <c r="B26692" i="1"/>
  <c r="G26691" i="1"/>
  <c r="C26691" i="1"/>
  <c r="B26691" i="1"/>
  <c r="G26690" i="1"/>
  <c r="C26690" i="1"/>
  <c r="B26690" i="1"/>
  <c r="G26689" i="1"/>
  <c r="B26689" i="1"/>
  <c r="G26688" i="1"/>
  <c r="C26688" i="1"/>
  <c r="B26688" i="1"/>
  <c r="G26687" i="1"/>
  <c r="C26687" i="1"/>
  <c r="B26687" i="1"/>
  <c r="G26686" i="1"/>
  <c r="B26686" i="1"/>
  <c r="G26685" i="1"/>
  <c r="C26685" i="1"/>
  <c r="B26685" i="1"/>
  <c r="G26684" i="1"/>
  <c r="C26684" i="1"/>
  <c r="B26684" i="1"/>
  <c r="G26683" i="1"/>
  <c r="B26683" i="1"/>
  <c r="G26682" i="1"/>
  <c r="B26682" i="1"/>
  <c r="G26681" i="1"/>
  <c r="C26681" i="1"/>
  <c r="B26681" i="1"/>
  <c r="G26680" i="1"/>
  <c r="C26680" i="1"/>
  <c r="B26680" i="1"/>
  <c r="G26679" i="1"/>
  <c r="B26679" i="1"/>
  <c r="G26678" i="1"/>
  <c r="C26678" i="1"/>
  <c r="B26678" i="1"/>
  <c r="G26677" i="1"/>
  <c r="C26677" i="1"/>
  <c r="B26677" i="1"/>
  <c r="G26676" i="1"/>
  <c r="B26676" i="1"/>
  <c r="G26675" i="1"/>
  <c r="C26675" i="1"/>
  <c r="B26675" i="1"/>
  <c r="G26674" i="1"/>
  <c r="C26674" i="1"/>
  <c r="B26674" i="1"/>
  <c r="G26673" i="1"/>
  <c r="B26673" i="1"/>
  <c r="G26672" i="1"/>
  <c r="C26672" i="1"/>
  <c r="B26672" i="1"/>
  <c r="G26671" i="1"/>
  <c r="B26671" i="1"/>
  <c r="G26670" i="1"/>
  <c r="B26670" i="1"/>
  <c r="G26669" i="1"/>
  <c r="B26669" i="1"/>
  <c r="G26668" i="1"/>
  <c r="C26668" i="1"/>
  <c r="B26668" i="1"/>
  <c r="G26667" i="1"/>
  <c r="C26667" i="1"/>
  <c r="B26667" i="1"/>
  <c r="G26666" i="1"/>
  <c r="B26666" i="1"/>
  <c r="G26665" i="1"/>
  <c r="C26665" i="1"/>
  <c r="B26665" i="1"/>
  <c r="G26664" i="1"/>
  <c r="C26664" i="1"/>
  <c r="B26664" i="1"/>
  <c r="G26663" i="1"/>
  <c r="C26663" i="1"/>
  <c r="B26663" i="1"/>
  <c r="G26662" i="1"/>
  <c r="C26662" i="1"/>
  <c r="B26662" i="1"/>
  <c r="G26661" i="1"/>
  <c r="B26661" i="1"/>
  <c r="G26660" i="1"/>
  <c r="C26660" i="1"/>
  <c r="B26660" i="1"/>
  <c r="G26659" i="1"/>
  <c r="B26659" i="1"/>
  <c r="G26658" i="1"/>
  <c r="B26658" i="1"/>
  <c r="G26657" i="1"/>
  <c r="C26657" i="1"/>
  <c r="B26657" i="1"/>
  <c r="G26656" i="1"/>
  <c r="C26656" i="1"/>
  <c r="B26656" i="1"/>
  <c r="G26655" i="1"/>
  <c r="C26655" i="1"/>
  <c r="B26655" i="1"/>
  <c r="G26654" i="1"/>
  <c r="C26654" i="1"/>
  <c r="B26654" i="1"/>
  <c r="G26653" i="1"/>
  <c r="C26653" i="1"/>
  <c r="B26653" i="1"/>
  <c r="G26652" i="1"/>
  <c r="C26652" i="1"/>
  <c r="B26652" i="1"/>
  <c r="G26651" i="1"/>
  <c r="C26651" i="1"/>
  <c r="B26651" i="1"/>
  <c r="G26650" i="1"/>
  <c r="C26650" i="1"/>
  <c r="B26650" i="1"/>
  <c r="G26649" i="1"/>
  <c r="C26649" i="1"/>
  <c r="B26649" i="1"/>
  <c r="G26648" i="1"/>
  <c r="B26648" i="1"/>
  <c r="G26647" i="1"/>
  <c r="C26647" i="1"/>
  <c r="B26647" i="1"/>
  <c r="G26646" i="1"/>
  <c r="C26646" i="1"/>
  <c r="B26646" i="1"/>
  <c r="G26645" i="1"/>
  <c r="B26645" i="1"/>
  <c r="G26644" i="1"/>
  <c r="B26644" i="1"/>
  <c r="G26643" i="1"/>
  <c r="B26643" i="1"/>
  <c r="G26642" i="1"/>
  <c r="C26642" i="1"/>
  <c r="B26642" i="1"/>
  <c r="G26641" i="1"/>
  <c r="B26641" i="1"/>
  <c r="G26640" i="1"/>
  <c r="B26640" i="1"/>
  <c r="G26639" i="1"/>
  <c r="C26639" i="1"/>
  <c r="B26639" i="1"/>
  <c r="G26638" i="1"/>
  <c r="C26638" i="1"/>
  <c r="B26638" i="1"/>
  <c r="G26637" i="1"/>
  <c r="C26637" i="1"/>
  <c r="B26637" i="1"/>
  <c r="G26636" i="1"/>
  <c r="C26636" i="1"/>
  <c r="B26636" i="1"/>
  <c r="G26635" i="1"/>
  <c r="B26635" i="1"/>
  <c r="G26634" i="1"/>
  <c r="C26634" i="1"/>
  <c r="B26634" i="1"/>
  <c r="G26633" i="1"/>
  <c r="C26633" i="1"/>
  <c r="B26633" i="1"/>
  <c r="G26632" i="1"/>
  <c r="C26632" i="1"/>
  <c r="B26632" i="1"/>
  <c r="G26631" i="1"/>
  <c r="B26631" i="1"/>
  <c r="G26630" i="1"/>
  <c r="C26630" i="1"/>
  <c r="B26630" i="1"/>
  <c r="G26629" i="1"/>
  <c r="C26629" i="1"/>
  <c r="B26629" i="1"/>
  <c r="G26628" i="1"/>
  <c r="C26628" i="1"/>
  <c r="B26628" i="1"/>
  <c r="G26627" i="1"/>
  <c r="B26627" i="1"/>
  <c r="G26626" i="1"/>
  <c r="C26626" i="1"/>
  <c r="B26626" i="1"/>
  <c r="G26625" i="1"/>
  <c r="C26625" i="1"/>
  <c r="B26625" i="1"/>
  <c r="G26624" i="1"/>
  <c r="C26624" i="1"/>
  <c r="B26624" i="1"/>
  <c r="G26623" i="1"/>
  <c r="C26623" i="1"/>
  <c r="B26623" i="1"/>
  <c r="G26622" i="1"/>
  <c r="C26622" i="1"/>
  <c r="B26622" i="1"/>
  <c r="G26621" i="1"/>
  <c r="C26621" i="1"/>
  <c r="B26621" i="1"/>
  <c r="G26620" i="1"/>
  <c r="C26620" i="1"/>
  <c r="B26620" i="1"/>
  <c r="G26619" i="1"/>
  <c r="C26619" i="1"/>
  <c r="B26619" i="1"/>
  <c r="G26618" i="1"/>
  <c r="C26618" i="1"/>
  <c r="B26618" i="1"/>
  <c r="G26617" i="1"/>
  <c r="B26617" i="1"/>
  <c r="G26616" i="1"/>
  <c r="C26616" i="1"/>
  <c r="B26616" i="1"/>
  <c r="G26615" i="1"/>
  <c r="C26615" i="1"/>
  <c r="B26615" i="1"/>
  <c r="G26614" i="1"/>
  <c r="C26614" i="1"/>
  <c r="B26614" i="1"/>
  <c r="G26613" i="1"/>
  <c r="C26613" i="1"/>
  <c r="B26613" i="1"/>
  <c r="G26612" i="1"/>
  <c r="C26612" i="1"/>
  <c r="B26612" i="1"/>
  <c r="G26611" i="1"/>
  <c r="C26611" i="1"/>
  <c r="B26611" i="1"/>
  <c r="G26610" i="1"/>
  <c r="C26610" i="1"/>
  <c r="B26610" i="1"/>
  <c r="G26609" i="1"/>
  <c r="C26609" i="1"/>
  <c r="B26609" i="1"/>
  <c r="G26608" i="1"/>
  <c r="C26608" i="1"/>
  <c r="B26608" i="1"/>
  <c r="G26607" i="1"/>
  <c r="C26607" i="1"/>
  <c r="B26607" i="1"/>
  <c r="G26606" i="1"/>
  <c r="C26606" i="1"/>
  <c r="B26606" i="1"/>
  <c r="G26605" i="1"/>
  <c r="C26605" i="1"/>
  <c r="B26605" i="1"/>
  <c r="G26604" i="1"/>
  <c r="C26604" i="1"/>
  <c r="B26604" i="1"/>
  <c r="G26603" i="1"/>
  <c r="B26603" i="1"/>
  <c r="G26602" i="1"/>
  <c r="C26602" i="1"/>
  <c r="B26602" i="1"/>
  <c r="G26601" i="1"/>
  <c r="C26601" i="1"/>
  <c r="B26601" i="1"/>
  <c r="G26600" i="1"/>
  <c r="C26600" i="1"/>
  <c r="B26600" i="1"/>
  <c r="G26599" i="1"/>
  <c r="C26599" i="1"/>
  <c r="B26599" i="1"/>
  <c r="G26598" i="1"/>
  <c r="C26598" i="1"/>
  <c r="B26598" i="1"/>
  <c r="G26597" i="1"/>
  <c r="B26597" i="1"/>
  <c r="G26596" i="1"/>
  <c r="B26596" i="1"/>
  <c r="G26595" i="1"/>
  <c r="C26595" i="1"/>
  <c r="B26595" i="1"/>
  <c r="G26594" i="1"/>
  <c r="C26594" i="1"/>
  <c r="B26594" i="1"/>
  <c r="G26593" i="1"/>
  <c r="C26593" i="1"/>
  <c r="B26593" i="1"/>
  <c r="G26592" i="1"/>
  <c r="C26592" i="1"/>
  <c r="B26592" i="1"/>
  <c r="G26591" i="1"/>
  <c r="B26591" i="1"/>
  <c r="G26590" i="1"/>
  <c r="C26590" i="1"/>
  <c r="B26590" i="1"/>
  <c r="G26589" i="1"/>
  <c r="C26589" i="1"/>
  <c r="B26589" i="1"/>
  <c r="G26588" i="1"/>
  <c r="C26588" i="1"/>
  <c r="B26588" i="1"/>
  <c r="G26587" i="1"/>
  <c r="C26587" i="1"/>
  <c r="B26587" i="1"/>
  <c r="G26586" i="1"/>
  <c r="C26586" i="1"/>
  <c r="B26586" i="1"/>
  <c r="G26585" i="1"/>
  <c r="B26585" i="1"/>
  <c r="G26584" i="1"/>
  <c r="C26584" i="1"/>
  <c r="B26584" i="1"/>
  <c r="G26583" i="1"/>
  <c r="B26583" i="1"/>
  <c r="G26582" i="1"/>
  <c r="B26582" i="1"/>
  <c r="G26581" i="1"/>
  <c r="B26581" i="1"/>
  <c r="G26580" i="1"/>
  <c r="C26580" i="1"/>
  <c r="B26580" i="1"/>
  <c r="G26579" i="1"/>
  <c r="C26579" i="1"/>
  <c r="B26579" i="1"/>
  <c r="G26578" i="1"/>
  <c r="B26578" i="1"/>
  <c r="G26577" i="1"/>
  <c r="C26577" i="1"/>
  <c r="B26577" i="1"/>
  <c r="G26576" i="1"/>
  <c r="B26576" i="1"/>
  <c r="G26575" i="1"/>
  <c r="C26575" i="1"/>
  <c r="B26575" i="1"/>
  <c r="G26574" i="1"/>
  <c r="C26574" i="1"/>
  <c r="B26574" i="1"/>
  <c r="G26573" i="1"/>
  <c r="C26573" i="1"/>
  <c r="B26573" i="1"/>
  <c r="G26572" i="1"/>
  <c r="B26572" i="1"/>
  <c r="G26571" i="1"/>
  <c r="C26571" i="1"/>
  <c r="B26571" i="1"/>
  <c r="G26570" i="1"/>
  <c r="C26570" i="1"/>
  <c r="B26570" i="1"/>
  <c r="G26569" i="1"/>
  <c r="C26569" i="1"/>
  <c r="B26569" i="1"/>
  <c r="G26568" i="1"/>
  <c r="C26568" i="1"/>
  <c r="B26568" i="1"/>
  <c r="G26567" i="1"/>
  <c r="B26567" i="1"/>
  <c r="G26566" i="1"/>
  <c r="B26566" i="1"/>
  <c r="G26565" i="1"/>
  <c r="C26565" i="1"/>
  <c r="B26565" i="1"/>
  <c r="G26564" i="1"/>
  <c r="B26564" i="1"/>
  <c r="G26563" i="1"/>
  <c r="C26563" i="1"/>
  <c r="B26563" i="1"/>
  <c r="G26562" i="1"/>
  <c r="C26562" i="1"/>
  <c r="B26562" i="1"/>
  <c r="G26561" i="1"/>
  <c r="C26561" i="1"/>
  <c r="B26561" i="1"/>
  <c r="G26560" i="1"/>
  <c r="C26560" i="1"/>
  <c r="B26560" i="1"/>
  <c r="G26559" i="1"/>
  <c r="B26559" i="1"/>
  <c r="G26558" i="1"/>
  <c r="C26558" i="1"/>
  <c r="B26558" i="1"/>
  <c r="G26557" i="1"/>
  <c r="C26557" i="1"/>
  <c r="B26557" i="1"/>
  <c r="G26556" i="1"/>
  <c r="B26556" i="1"/>
  <c r="G26555" i="1"/>
  <c r="B26555" i="1"/>
  <c r="G26554" i="1"/>
  <c r="C26554" i="1"/>
  <c r="B26554" i="1"/>
  <c r="G26553" i="1"/>
  <c r="C26553" i="1"/>
  <c r="B26553" i="1"/>
  <c r="G26552" i="1"/>
  <c r="C26552" i="1"/>
  <c r="B26552" i="1"/>
  <c r="G26551" i="1"/>
  <c r="C26551" i="1"/>
  <c r="B26551" i="1"/>
  <c r="G26550" i="1"/>
  <c r="C26550" i="1"/>
  <c r="B26550" i="1"/>
  <c r="G26549" i="1"/>
  <c r="C26549" i="1"/>
  <c r="B26549" i="1"/>
  <c r="G26548" i="1"/>
  <c r="B26548" i="1"/>
  <c r="G26547" i="1"/>
  <c r="C26547" i="1"/>
  <c r="B26547" i="1"/>
  <c r="G26546" i="1"/>
  <c r="B26546" i="1"/>
  <c r="G26545" i="1"/>
  <c r="C26545" i="1"/>
  <c r="B26545" i="1"/>
  <c r="G26544" i="1"/>
  <c r="C26544" i="1"/>
  <c r="B26544" i="1"/>
  <c r="G26543" i="1"/>
  <c r="C26543" i="1"/>
  <c r="B26543" i="1"/>
  <c r="G26542" i="1"/>
  <c r="C26542" i="1"/>
  <c r="B26542" i="1"/>
  <c r="G26541" i="1"/>
  <c r="C26541" i="1"/>
  <c r="B26541" i="1"/>
  <c r="G26540" i="1"/>
  <c r="C26540" i="1"/>
  <c r="B26540" i="1"/>
  <c r="G26539" i="1"/>
  <c r="B26539" i="1"/>
  <c r="G26538" i="1"/>
  <c r="C26538" i="1"/>
  <c r="B26538" i="1"/>
  <c r="G26537" i="1"/>
  <c r="B26537" i="1"/>
  <c r="G26536" i="1"/>
  <c r="C26536" i="1"/>
  <c r="B26536" i="1"/>
  <c r="G26535" i="1"/>
  <c r="B26535" i="1"/>
  <c r="G26534" i="1"/>
  <c r="C26534" i="1"/>
  <c r="B26534" i="1"/>
  <c r="G26533" i="1"/>
  <c r="B26533" i="1"/>
  <c r="G26532" i="1"/>
  <c r="C26532" i="1"/>
  <c r="B26532" i="1"/>
  <c r="G26531" i="1"/>
  <c r="C26531" i="1"/>
  <c r="B26531" i="1"/>
  <c r="G26530" i="1"/>
  <c r="C26530" i="1"/>
  <c r="B26530" i="1"/>
  <c r="G26529" i="1"/>
  <c r="C26529" i="1"/>
  <c r="B26529" i="1"/>
  <c r="G26528" i="1"/>
  <c r="C26528" i="1"/>
  <c r="B26528" i="1"/>
  <c r="G26527" i="1"/>
  <c r="B26527" i="1"/>
  <c r="G26526" i="1"/>
  <c r="C26526" i="1"/>
  <c r="B26526" i="1"/>
  <c r="G26525" i="1"/>
  <c r="C26525" i="1"/>
  <c r="B26525" i="1"/>
  <c r="G26524" i="1"/>
  <c r="C26524" i="1"/>
  <c r="B26524" i="1"/>
  <c r="G26523" i="1"/>
  <c r="B26523" i="1"/>
  <c r="G26522" i="1"/>
  <c r="C26522" i="1"/>
  <c r="B26522" i="1"/>
  <c r="G26521" i="1"/>
  <c r="B26521" i="1"/>
  <c r="G26520" i="1"/>
  <c r="C26520" i="1"/>
  <c r="B26520" i="1"/>
  <c r="G26519" i="1"/>
  <c r="C26519" i="1"/>
  <c r="B26519" i="1"/>
  <c r="G26518" i="1"/>
  <c r="C26518" i="1"/>
  <c r="B26518" i="1"/>
  <c r="G26517" i="1"/>
  <c r="B26517" i="1"/>
  <c r="G26516" i="1"/>
  <c r="C26516" i="1"/>
  <c r="B26516" i="1"/>
  <c r="G26515" i="1"/>
  <c r="C26515" i="1"/>
  <c r="B26515" i="1"/>
  <c r="G26514" i="1"/>
  <c r="C26514" i="1"/>
  <c r="B26514" i="1"/>
  <c r="G26513" i="1"/>
  <c r="C26513" i="1"/>
  <c r="B26513" i="1"/>
  <c r="G26512" i="1"/>
  <c r="B26512" i="1"/>
  <c r="G26511" i="1"/>
  <c r="C26511" i="1"/>
  <c r="B26511" i="1"/>
  <c r="G26510" i="1"/>
  <c r="B26510" i="1"/>
  <c r="G26509" i="1"/>
  <c r="C26509" i="1"/>
  <c r="B26509" i="1"/>
  <c r="G26508" i="1"/>
  <c r="B26508" i="1"/>
  <c r="G26507" i="1"/>
  <c r="B26507" i="1"/>
  <c r="G26506" i="1"/>
  <c r="C26506" i="1"/>
  <c r="B26506" i="1"/>
  <c r="G26505" i="1"/>
  <c r="C26505" i="1"/>
  <c r="B26505" i="1"/>
  <c r="G26504" i="1"/>
  <c r="C26504" i="1"/>
  <c r="B26504" i="1"/>
  <c r="G26503" i="1"/>
  <c r="C26503" i="1"/>
  <c r="B26503" i="1"/>
  <c r="G26502" i="1"/>
  <c r="C26502" i="1"/>
  <c r="B26502" i="1"/>
  <c r="G26501" i="1"/>
  <c r="C26501" i="1"/>
  <c r="B26501" i="1"/>
  <c r="G26500" i="1"/>
  <c r="C26500" i="1"/>
  <c r="B26500" i="1"/>
  <c r="G26499" i="1"/>
  <c r="B26499" i="1"/>
  <c r="G26498" i="1"/>
  <c r="C26498" i="1"/>
  <c r="B26498" i="1"/>
  <c r="G26497" i="1"/>
  <c r="C26497" i="1"/>
  <c r="B26497" i="1"/>
  <c r="G26496" i="1"/>
  <c r="B26496" i="1"/>
  <c r="G26495" i="1"/>
  <c r="B26495" i="1"/>
  <c r="G26494" i="1"/>
  <c r="C26494" i="1"/>
  <c r="B26494" i="1"/>
  <c r="G26493" i="1"/>
  <c r="C26493" i="1"/>
  <c r="B26493" i="1"/>
  <c r="G26492" i="1"/>
  <c r="B26492" i="1"/>
  <c r="G26491" i="1"/>
  <c r="C26491" i="1"/>
  <c r="B26491" i="1"/>
  <c r="G26490" i="1"/>
  <c r="C26490" i="1"/>
  <c r="B26490" i="1"/>
  <c r="G26489" i="1"/>
  <c r="C26489" i="1"/>
  <c r="B26489" i="1"/>
  <c r="G26488" i="1"/>
  <c r="C26488" i="1"/>
  <c r="B26488" i="1"/>
  <c r="G26487" i="1"/>
  <c r="C26487" i="1"/>
  <c r="B26487" i="1"/>
  <c r="G26486" i="1"/>
  <c r="C26486" i="1"/>
  <c r="B26486" i="1"/>
  <c r="G26485" i="1"/>
  <c r="C26485" i="1"/>
  <c r="B26485" i="1"/>
  <c r="G26484" i="1"/>
  <c r="C26484" i="1"/>
  <c r="B26484" i="1"/>
  <c r="G26483" i="1"/>
  <c r="C26483" i="1"/>
  <c r="B26483" i="1"/>
  <c r="G26482" i="1"/>
  <c r="C26482" i="1"/>
  <c r="B26482" i="1"/>
  <c r="G26481" i="1"/>
  <c r="B26481" i="1"/>
  <c r="G26480" i="1"/>
  <c r="C26480" i="1"/>
  <c r="B26480" i="1"/>
  <c r="G26479" i="1"/>
  <c r="C26479" i="1"/>
  <c r="B26479" i="1"/>
  <c r="G26478" i="1"/>
  <c r="C26478" i="1"/>
  <c r="B26478" i="1"/>
  <c r="G26477" i="1"/>
  <c r="C26477" i="1"/>
  <c r="B26477" i="1"/>
  <c r="G26476" i="1"/>
  <c r="C26476" i="1"/>
  <c r="B26476" i="1"/>
  <c r="G26475" i="1"/>
  <c r="C26475" i="1"/>
  <c r="B26475" i="1"/>
  <c r="G26474" i="1"/>
  <c r="C26474" i="1"/>
  <c r="B26474" i="1"/>
  <c r="G26473" i="1"/>
  <c r="C26473" i="1"/>
  <c r="B26473" i="1"/>
  <c r="G26472" i="1"/>
  <c r="C26472" i="1"/>
  <c r="B26472" i="1"/>
  <c r="G26471" i="1"/>
  <c r="C26471" i="1"/>
  <c r="B26471" i="1"/>
  <c r="G26470" i="1"/>
  <c r="C26470" i="1"/>
  <c r="B26470" i="1"/>
  <c r="G26469" i="1"/>
  <c r="C26469" i="1"/>
  <c r="B26469" i="1"/>
  <c r="G26468" i="1"/>
  <c r="B26468" i="1"/>
  <c r="G26467" i="1"/>
  <c r="C26467" i="1"/>
  <c r="B26467" i="1"/>
  <c r="G26466" i="1"/>
  <c r="C26466" i="1"/>
  <c r="B26466" i="1"/>
  <c r="G26465" i="1"/>
  <c r="B26465" i="1"/>
  <c r="G26464" i="1"/>
  <c r="C26464" i="1"/>
  <c r="B26464" i="1"/>
  <c r="G26463" i="1"/>
  <c r="C26463" i="1"/>
  <c r="B26463" i="1"/>
  <c r="G26462" i="1"/>
  <c r="C26462" i="1"/>
  <c r="B26462" i="1"/>
  <c r="G26461" i="1"/>
  <c r="C26461" i="1"/>
  <c r="B26461" i="1"/>
  <c r="G26460" i="1"/>
  <c r="B26460" i="1"/>
  <c r="G26459" i="1"/>
  <c r="C26459" i="1"/>
  <c r="B26459" i="1"/>
  <c r="G26458" i="1"/>
  <c r="C26458" i="1"/>
  <c r="B26458" i="1"/>
  <c r="G26457" i="1"/>
  <c r="B26457" i="1"/>
  <c r="G26456" i="1"/>
  <c r="B26456" i="1"/>
  <c r="G26455" i="1"/>
  <c r="C26455" i="1"/>
  <c r="B26455" i="1"/>
  <c r="G26454" i="1"/>
  <c r="C26454" i="1"/>
  <c r="B26454" i="1"/>
  <c r="G26453" i="1"/>
  <c r="C26453" i="1"/>
  <c r="B26453" i="1"/>
  <c r="G26452" i="1"/>
  <c r="C26452" i="1"/>
  <c r="B26452" i="1"/>
  <c r="G26451" i="1"/>
  <c r="B26451" i="1"/>
  <c r="G26450" i="1"/>
  <c r="C26450" i="1"/>
  <c r="B26450" i="1"/>
  <c r="G26449" i="1"/>
  <c r="C26449" i="1"/>
  <c r="B26449" i="1"/>
  <c r="G26448" i="1"/>
  <c r="C26448" i="1"/>
  <c r="B26448" i="1"/>
  <c r="G26447" i="1"/>
  <c r="C26447" i="1"/>
  <c r="B26447" i="1"/>
  <c r="G26446" i="1"/>
  <c r="C26446" i="1"/>
  <c r="B26446" i="1"/>
  <c r="G26445" i="1"/>
  <c r="B26445" i="1"/>
  <c r="G26444" i="1"/>
  <c r="C26444" i="1"/>
  <c r="B26444" i="1"/>
  <c r="G26443" i="1"/>
  <c r="B26443" i="1"/>
  <c r="G26442" i="1"/>
  <c r="B26442" i="1"/>
  <c r="G26441" i="1"/>
  <c r="C26441" i="1"/>
  <c r="B26441" i="1"/>
  <c r="G26440" i="1"/>
  <c r="C26440" i="1"/>
  <c r="B26440" i="1"/>
  <c r="G26439" i="1"/>
  <c r="C26439" i="1"/>
  <c r="B26439" i="1"/>
  <c r="G26438" i="1"/>
  <c r="C26438" i="1"/>
  <c r="B26438" i="1"/>
  <c r="G26437" i="1"/>
  <c r="B26437" i="1"/>
  <c r="G26436" i="1"/>
  <c r="B26436" i="1"/>
  <c r="G26435" i="1"/>
  <c r="C26435" i="1"/>
  <c r="B26435" i="1"/>
  <c r="G26434" i="1"/>
  <c r="B26434" i="1"/>
  <c r="G26433" i="1"/>
  <c r="C26433" i="1"/>
  <c r="B26433" i="1"/>
  <c r="G26432" i="1"/>
  <c r="C26432" i="1"/>
  <c r="B26432" i="1"/>
  <c r="G26431" i="1"/>
  <c r="C26431" i="1"/>
  <c r="B26431" i="1"/>
  <c r="G26430" i="1"/>
  <c r="C26430" i="1"/>
  <c r="B26430" i="1"/>
  <c r="G26429" i="1"/>
  <c r="C26429" i="1"/>
  <c r="B26429" i="1"/>
  <c r="G26428" i="1"/>
  <c r="C26428" i="1"/>
  <c r="B26428" i="1"/>
  <c r="G26427" i="1"/>
  <c r="C26427" i="1"/>
  <c r="B26427" i="1"/>
  <c r="G26426" i="1"/>
  <c r="C26426" i="1"/>
  <c r="B26426" i="1"/>
  <c r="G26425" i="1"/>
  <c r="C26425" i="1"/>
  <c r="B26425" i="1"/>
  <c r="G26424" i="1"/>
  <c r="C26424" i="1"/>
  <c r="B26424" i="1"/>
  <c r="G26423" i="1"/>
  <c r="C26423" i="1"/>
  <c r="B26423" i="1"/>
  <c r="G26422" i="1"/>
  <c r="C26422" i="1"/>
  <c r="B26422" i="1"/>
  <c r="G26421" i="1"/>
  <c r="C26421" i="1"/>
  <c r="B26421" i="1"/>
  <c r="G26420" i="1"/>
  <c r="B26420" i="1"/>
  <c r="G26419" i="1"/>
  <c r="C26419" i="1"/>
  <c r="B26419" i="1"/>
  <c r="G26418" i="1"/>
  <c r="C26418" i="1"/>
  <c r="B26418" i="1"/>
  <c r="G26417" i="1"/>
  <c r="C26417" i="1"/>
  <c r="B26417" i="1"/>
  <c r="G26416" i="1"/>
  <c r="C26416" i="1"/>
  <c r="B26416" i="1"/>
  <c r="G26415" i="1"/>
  <c r="B26415" i="1"/>
  <c r="G26414" i="1"/>
  <c r="C26414" i="1"/>
  <c r="B26414" i="1"/>
  <c r="G26413" i="1"/>
  <c r="C26413" i="1"/>
  <c r="B26413" i="1"/>
  <c r="G26412" i="1"/>
  <c r="C26412" i="1"/>
  <c r="B26412" i="1"/>
  <c r="G26411" i="1"/>
  <c r="C26411" i="1"/>
  <c r="B26411" i="1"/>
  <c r="G26410" i="1"/>
  <c r="C26410" i="1"/>
  <c r="B26410" i="1"/>
  <c r="G26409" i="1"/>
  <c r="C26409" i="1"/>
  <c r="B26409" i="1"/>
  <c r="G26408" i="1"/>
  <c r="B26408" i="1"/>
  <c r="G26407" i="1"/>
  <c r="B26407" i="1"/>
  <c r="G26406" i="1"/>
  <c r="C26406" i="1"/>
  <c r="B26406" i="1"/>
  <c r="G26405" i="1"/>
  <c r="C26405" i="1"/>
  <c r="B26405" i="1"/>
  <c r="G26404" i="1"/>
  <c r="C26404" i="1"/>
  <c r="B26404" i="1"/>
  <c r="G26403" i="1"/>
  <c r="C26403" i="1"/>
  <c r="B26403" i="1"/>
  <c r="G26402" i="1"/>
  <c r="B26402" i="1"/>
  <c r="G26401" i="1"/>
  <c r="B26401" i="1"/>
  <c r="G26400" i="1"/>
  <c r="B26400" i="1"/>
  <c r="G26399" i="1"/>
  <c r="B26399" i="1"/>
  <c r="G26398" i="1"/>
  <c r="C26398" i="1"/>
  <c r="B26398" i="1"/>
  <c r="G26397" i="1"/>
  <c r="C26397" i="1"/>
  <c r="B26397" i="1"/>
  <c r="G26396" i="1"/>
  <c r="B26396" i="1"/>
  <c r="G26395" i="1"/>
  <c r="C26395" i="1"/>
  <c r="B26395" i="1"/>
  <c r="G26394" i="1"/>
  <c r="C26394" i="1"/>
  <c r="B26394" i="1"/>
  <c r="G26393" i="1"/>
  <c r="C26393" i="1"/>
  <c r="B26393" i="1"/>
  <c r="G26392" i="1"/>
  <c r="C26392" i="1"/>
  <c r="B26392" i="1"/>
  <c r="G26391" i="1"/>
  <c r="B26391" i="1"/>
  <c r="G26390" i="1"/>
  <c r="B26390" i="1"/>
  <c r="G26389" i="1"/>
  <c r="C26389" i="1"/>
  <c r="B26389" i="1"/>
  <c r="G26388" i="1"/>
  <c r="B26388" i="1"/>
  <c r="G26387" i="1"/>
  <c r="C26387" i="1"/>
  <c r="B26387" i="1"/>
  <c r="G26386" i="1"/>
  <c r="B26386" i="1"/>
  <c r="G26385" i="1"/>
  <c r="C26385" i="1"/>
  <c r="B26385" i="1"/>
  <c r="G26384" i="1"/>
  <c r="C26384" i="1"/>
  <c r="B26384" i="1"/>
  <c r="G26383" i="1"/>
  <c r="C26383" i="1"/>
  <c r="B26383" i="1"/>
  <c r="G26382" i="1"/>
  <c r="C26382" i="1"/>
  <c r="B26382" i="1"/>
  <c r="G26381" i="1"/>
  <c r="C26381" i="1"/>
  <c r="B26381" i="1"/>
  <c r="G26380" i="1"/>
  <c r="C26380" i="1"/>
  <c r="B26380" i="1"/>
  <c r="G26379" i="1"/>
  <c r="C26379" i="1"/>
  <c r="B26379" i="1"/>
  <c r="G26378" i="1"/>
  <c r="B26378" i="1"/>
  <c r="G26377" i="1"/>
  <c r="C26377" i="1"/>
  <c r="B26377" i="1"/>
  <c r="G26376" i="1"/>
  <c r="C26376" i="1"/>
  <c r="B26376" i="1"/>
  <c r="G26375" i="1"/>
  <c r="C26375" i="1"/>
  <c r="B26375" i="1"/>
  <c r="G26374" i="1"/>
  <c r="C26374" i="1"/>
  <c r="B26374" i="1"/>
  <c r="G26373" i="1"/>
  <c r="B26373" i="1"/>
  <c r="G26372" i="1"/>
  <c r="B26372" i="1"/>
  <c r="G26371" i="1"/>
  <c r="C26371" i="1"/>
  <c r="B26371" i="1"/>
  <c r="G26370" i="1"/>
  <c r="C26370" i="1"/>
  <c r="B26370" i="1"/>
  <c r="G26369" i="1"/>
  <c r="B26369" i="1"/>
  <c r="G26368" i="1"/>
  <c r="C26368" i="1"/>
  <c r="B26368" i="1"/>
  <c r="G26367" i="1"/>
  <c r="C26367" i="1"/>
  <c r="B26367" i="1"/>
  <c r="G26366" i="1"/>
  <c r="C26366" i="1"/>
  <c r="B26366" i="1"/>
  <c r="G26365" i="1"/>
  <c r="C26365" i="1"/>
  <c r="B26365" i="1"/>
  <c r="G26364" i="1"/>
  <c r="C26364" i="1"/>
  <c r="B26364" i="1"/>
  <c r="G26363" i="1"/>
  <c r="C26363" i="1"/>
  <c r="B26363" i="1"/>
  <c r="G26362" i="1"/>
  <c r="B26362" i="1"/>
  <c r="G26361" i="1"/>
  <c r="C26361" i="1"/>
  <c r="B26361" i="1"/>
  <c r="G26360" i="1"/>
  <c r="B26360" i="1"/>
  <c r="G26359" i="1"/>
  <c r="C26359" i="1"/>
  <c r="B26359" i="1"/>
  <c r="G26358" i="1"/>
  <c r="C26358" i="1"/>
  <c r="B26358" i="1"/>
  <c r="G26357" i="1"/>
  <c r="C26357" i="1"/>
  <c r="B26357" i="1"/>
  <c r="G26356" i="1"/>
  <c r="C26356" i="1"/>
  <c r="B26356" i="1"/>
  <c r="G26355" i="1"/>
  <c r="C26355" i="1"/>
  <c r="B26355" i="1"/>
  <c r="G26354" i="1"/>
  <c r="C26354" i="1"/>
  <c r="B26354" i="1"/>
  <c r="G26353" i="1"/>
  <c r="B26353" i="1"/>
  <c r="G26352" i="1"/>
  <c r="C26352" i="1"/>
  <c r="B26352" i="1"/>
  <c r="G26351" i="1"/>
  <c r="C26351" i="1"/>
  <c r="B26351" i="1"/>
  <c r="G26350" i="1"/>
  <c r="B26350" i="1"/>
  <c r="G26349" i="1"/>
  <c r="C26349" i="1"/>
  <c r="B26349" i="1"/>
  <c r="G26348" i="1"/>
  <c r="C26348" i="1"/>
  <c r="B26348" i="1"/>
  <c r="G26347" i="1"/>
  <c r="B26347" i="1"/>
  <c r="G26346" i="1"/>
  <c r="B26346" i="1"/>
  <c r="G26345" i="1"/>
  <c r="C26345" i="1"/>
  <c r="B26345" i="1"/>
  <c r="G26344" i="1"/>
  <c r="C26344" i="1"/>
  <c r="B26344" i="1"/>
  <c r="G26343" i="1"/>
  <c r="C26343" i="1"/>
  <c r="B26343" i="1"/>
  <c r="G26342" i="1"/>
  <c r="C26342" i="1"/>
  <c r="B26342" i="1"/>
  <c r="G26341" i="1"/>
  <c r="C26341" i="1"/>
  <c r="B26341" i="1"/>
  <c r="G26340" i="1"/>
  <c r="C26340" i="1"/>
  <c r="B26340" i="1"/>
  <c r="G26339" i="1"/>
  <c r="C26339" i="1"/>
  <c r="B26339" i="1"/>
  <c r="G26338" i="1"/>
  <c r="C26338" i="1"/>
  <c r="B26338" i="1"/>
  <c r="G26337" i="1"/>
  <c r="B26337" i="1"/>
  <c r="G26336" i="1"/>
  <c r="C26336" i="1"/>
  <c r="B26336" i="1"/>
  <c r="G26335" i="1"/>
  <c r="C26335" i="1"/>
  <c r="B26335" i="1"/>
  <c r="G26334" i="1"/>
  <c r="C26334" i="1"/>
  <c r="B26334" i="1"/>
  <c r="G26333" i="1"/>
  <c r="C26333" i="1"/>
  <c r="B26333" i="1"/>
  <c r="G26332" i="1"/>
  <c r="C26332" i="1"/>
  <c r="B26332" i="1"/>
  <c r="G26331" i="1"/>
  <c r="C26331" i="1"/>
  <c r="B26331" i="1"/>
  <c r="G26330" i="1"/>
  <c r="C26330" i="1"/>
  <c r="B26330" i="1"/>
  <c r="G26329" i="1"/>
  <c r="C26329" i="1"/>
  <c r="B26329" i="1"/>
  <c r="G26328" i="1"/>
  <c r="C26328" i="1"/>
  <c r="B26328" i="1"/>
  <c r="G26327" i="1"/>
  <c r="C26327" i="1"/>
  <c r="B26327" i="1"/>
  <c r="G26326" i="1"/>
  <c r="C26326" i="1"/>
  <c r="B26326" i="1"/>
  <c r="G26325" i="1"/>
  <c r="C26325" i="1"/>
  <c r="B26325" i="1"/>
  <c r="G26324" i="1"/>
  <c r="C26324" i="1"/>
  <c r="B26324" i="1"/>
  <c r="G26323" i="1"/>
  <c r="B26323" i="1"/>
  <c r="G26322" i="1"/>
  <c r="B26322" i="1"/>
  <c r="G26321" i="1"/>
  <c r="C26321" i="1"/>
  <c r="B26321" i="1"/>
  <c r="G26320" i="1"/>
  <c r="C26320" i="1"/>
  <c r="B26320" i="1"/>
  <c r="G26319" i="1"/>
  <c r="C26319" i="1"/>
  <c r="B26319" i="1"/>
  <c r="G26318" i="1"/>
  <c r="B26318" i="1"/>
  <c r="G26317" i="1"/>
  <c r="C26317" i="1"/>
  <c r="B26317" i="1"/>
  <c r="G26316" i="1"/>
  <c r="C26316" i="1"/>
  <c r="B26316" i="1"/>
  <c r="G26315" i="1"/>
  <c r="C26315" i="1"/>
  <c r="B26315" i="1"/>
  <c r="G26314" i="1"/>
  <c r="B26314" i="1"/>
  <c r="G26313" i="1"/>
  <c r="C26313" i="1"/>
  <c r="B26313" i="1"/>
  <c r="G26312" i="1"/>
  <c r="C26312" i="1"/>
  <c r="B26312" i="1"/>
  <c r="G26311" i="1"/>
  <c r="B26311" i="1"/>
  <c r="G26310" i="1"/>
  <c r="B26310" i="1"/>
  <c r="G26309" i="1"/>
  <c r="C26309" i="1"/>
  <c r="B26309" i="1"/>
  <c r="G26308" i="1"/>
  <c r="C26308" i="1"/>
  <c r="B26308" i="1"/>
  <c r="G26307" i="1"/>
  <c r="C26307" i="1"/>
  <c r="B26307" i="1"/>
  <c r="G26306" i="1"/>
  <c r="B26306" i="1"/>
  <c r="G26305" i="1"/>
  <c r="C26305" i="1"/>
  <c r="B26305" i="1"/>
  <c r="G26304" i="1"/>
  <c r="C26304" i="1"/>
  <c r="B26304" i="1"/>
  <c r="G26303" i="1"/>
  <c r="B26303" i="1"/>
  <c r="G26302" i="1"/>
  <c r="B26302" i="1"/>
  <c r="G26301" i="1"/>
  <c r="C26301" i="1"/>
  <c r="B26301" i="1"/>
  <c r="G26300" i="1"/>
  <c r="C26300" i="1"/>
  <c r="B26300" i="1"/>
  <c r="G26299" i="1"/>
  <c r="C26299" i="1"/>
  <c r="B26299" i="1"/>
  <c r="G26298" i="1"/>
  <c r="C26298" i="1"/>
  <c r="B26298" i="1"/>
  <c r="G26297" i="1"/>
  <c r="B26297" i="1"/>
  <c r="G26296" i="1"/>
  <c r="B26296" i="1"/>
  <c r="G26295" i="1"/>
  <c r="B26295" i="1"/>
  <c r="G26294" i="1"/>
  <c r="C26294" i="1"/>
  <c r="B26294" i="1"/>
  <c r="G26293" i="1"/>
  <c r="C26293" i="1"/>
  <c r="B26293" i="1"/>
  <c r="G26292" i="1"/>
  <c r="C26292" i="1"/>
  <c r="B26292" i="1"/>
  <c r="G26291" i="1"/>
  <c r="C26291" i="1"/>
  <c r="B26291" i="1"/>
  <c r="G26290" i="1"/>
  <c r="C26290" i="1"/>
  <c r="B26290" i="1"/>
  <c r="G26289" i="1"/>
  <c r="C26289" i="1"/>
  <c r="B26289" i="1"/>
  <c r="G26288" i="1"/>
  <c r="B26288" i="1"/>
  <c r="G26287" i="1"/>
  <c r="C26287" i="1"/>
  <c r="B26287" i="1"/>
  <c r="G26286" i="1"/>
  <c r="C26286" i="1"/>
  <c r="B26286" i="1"/>
  <c r="G26285" i="1"/>
  <c r="C26285" i="1"/>
  <c r="B26285" i="1"/>
  <c r="G26284" i="1"/>
  <c r="B26284" i="1"/>
  <c r="G26283" i="1"/>
  <c r="B26283" i="1"/>
  <c r="G26282" i="1"/>
  <c r="B26282" i="1"/>
  <c r="G26281" i="1"/>
  <c r="C26281" i="1"/>
  <c r="B26281" i="1"/>
  <c r="G26280" i="1"/>
  <c r="C26280" i="1"/>
  <c r="B26280" i="1"/>
  <c r="G26279" i="1"/>
  <c r="C26279" i="1"/>
  <c r="B26279" i="1"/>
  <c r="G26278" i="1"/>
  <c r="B26278" i="1"/>
  <c r="G26277" i="1"/>
  <c r="C26277" i="1"/>
  <c r="B26277" i="1"/>
  <c r="G26276" i="1"/>
  <c r="C26276" i="1"/>
  <c r="B26276" i="1"/>
  <c r="G26275" i="1"/>
  <c r="C26275" i="1"/>
  <c r="B26275" i="1"/>
  <c r="G26274" i="1"/>
  <c r="C26274" i="1"/>
  <c r="B26274" i="1"/>
  <c r="G26273" i="1"/>
  <c r="C26273" i="1"/>
  <c r="B26273" i="1"/>
  <c r="G26272" i="1"/>
  <c r="B26272" i="1"/>
  <c r="G26271" i="1"/>
  <c r="C26271" i="1"/>
  <c r="B26271" i="1"/>
  <c r="G26270" i="1"/>
  <c r="C26270" i="1"/>
  <c r="B26270" i="1"/>
  <c r="G26269" i="1"/>
  <c r="C26269" i="1"/>
  <c r="B26269" i="1"/>
  <c r="G26268" i="1"/>
  <c r="B26268" i="1"/>
  <c r="G26267" i="1"/>
  <c r="C26267" i="1"/>
  <c r="B26267" i="1"/>
  <c r="G26266" i="1"/>
  <c r="C26266" i="1"/>
  <c r="B26266" i="1"/>
  <c r="G26265" i="1"/>
  <c r="C26265" i="1"/>
  <c r="B26265" i="1"/>
  <c r="G26264" i="1"/>
  <c r="C26264" i="1"/>
  <c r="B26264" i="1"/>
  <c r="G26263" i="1"/>
  <c r="C26263" i="1"/>
  <c r="B26263" i="1"/>
  <c r="G26262" i="1"/>
  <c r="C26262" i="1"/>
  <c r="B26262" i="1"/>
  <c r="G26261" i="1"/>
  <c r="B26261" i="1"/>
  <c r="G26260" i="1"/>
  <c r="C26260" i="1"/>
  <c r="B26260" i="1"/>
  <c r="G26259" i="1"/>
  <c r="C26259" i="1"/>
  <c r="B26259" i="1"/>
  <c r="G26258" i="1"/>
  <c r="B26258" i="1"/>
  <c r="G26257" i="1"/>
  <c r="B26257" i="1"/>
  <c r="G26256" i="1"/>
  <c r="C26256" i="1"/>
  <c r="B26256" i="1"/>
  <c r="G26255" i="1"/>
  <c r="C26255" i="1"/>
  <c r="B26255" i="1"/>
  <c r="G26254" i="1"/>
  <c r="C26254" i="1"/>
  <c r="B26254" i="1"/>
  <c r="G26253" i="1"/>
  <c r="B26253" i="1"/>
  <c r="G26252" i="1"/>
  <c r="C26252" i="1"/>
  <c r="B26252" i="1"/>
  <c r="G26251" i="1"/>
  <c r="B26251" i="1"/>
  <c r="G26250" i="1"/>
  <c r="C26250" i="1"/>
  <c r="B26250" i="1"/>
  <c r="G26249" i="1"/>
  <c r="C26249" i="1"/>
  <c r="B26249" i="1"/>
  <c r="G26248" i="1"/>
  <c r="C26248" i="1"/>
  <c r="B26248" i="1"/>
  <c r="G26247" i="1"/>
  <c r="C26247" i="1"/>
  <c r="B26247" i="1"/>
  <c r="G26246" i="1"/>
  <c r="C26246" i="1"/>
  <c r="B26246" i="1"/>
  <c r="G26245" i="1"/>
  <c r="B26245" i="1"/>
  <c r="G26244" i="1"/>
  <c r="B26244" i="1"/>
  <c r="G26243" i="1"/>
  <c r="C26243" i="1"/>
  <c r="B26243" i="1"/>
  <c r="G26242" i="1"/>
  <c r="C26242" i="1"/>
  <c r="B26242" i="1"/>
  <c r="G26241" i="1"/>
  <c r="B26241" i="1"/>
  <c r="G26240" i="1"/>
  <c r="C26240" i="1"/>
  <c r="B26240" i="1"/>
  <c r="G26239" i="1"/>
  <c r="B26239" i="1"/>
  <c r="G26238" i="1"/>
  <c r="B26238" i="1"/>
  <c r="G26237" i="1"/>
  <c r="C26237" i="1"/>
  <c r="B26237" i="1"/>
  <c r="G26236" i="1"/>
  <c r="B26236" i="1"/>
  <c r="G26235" i="1"/>
  <c r="C26235" i="1"/>
  <c r="B26235" i="1"/>
  <c r="G26234" i="1"/>
  <c r="C26234" i="1"/>
  <c r="B26234" i="1"/>
  <c r="G26233" i="1"/>
  <c r="C26233" i="1"/>
  <c r="B26233" i="1"/>
  <c r="G26232" i="1"/>
  <c r="C26232" i="1"/>
  <c r="B26232" i="1"/>
  <c r="G26231" i="1"/>
  <c r="C26231" i="1"/>
  <c r="B26231" i="1"/>
  <c r="G26230" i="1"/>
  <c r="C26230" i="1"/>
  <c r="B26230" i="1"/>
  <c r="G26229" i="1"/>
  <c r="C26229" i="1"/>
  <c r="B26229" i="1"/>
  <c r="G26228" i="1"/>
  <c r="C26228" i="1"/>
  <c r="B26228" i="1"/>
  <c r="G26227" i="1"/>
  <c r="C26227" i="1"/>
  <c r="B26227" i="1"/>
  <c r="G26226" i="1"/>
  <c r="C26226" i="1"/>
  <c r="B26226" i="1"/>
  <c r="G26225" i="1"/>
  <c r="C26225" i="1"/>
  <c r="B26225" i="1"/>
  <c r="G26224" i="1"/>
  <c r="B26224" i="1"/>
  <c r="G26223" i="1"/>
  <c r="B26223" i="1"/>
  <c r="G26222" i="1"/>
  <c r="C26222" i="1"/>
  <c r="B26222" i="1"/>
  <c r="G26221" i="1"/>
  <c r="C26221" i="1"/>
  <c r="B26221" i="1"/>
  <c r="G26220" i="1"/>
  <c r="B26220" i="1"/>
  <c r="G26219" i="1"/>
  <c r="C26219" i="1"/>
  <c r="B26219" i="1"/>
  <c r="G26218" i="1"/>
  <c r="C26218" i="1"/>
  <c r="B26218" i="1"/>
  <c r="G26217" i="1"/>
  <c r="C26217" i="1"/>
  <c r="B26217" i="1"/>
  <c r="G26216" i="1"/>
  <c r="C26216" i="1"/>
  <c r="B26216" i="1"/>
  <c r="G26215" i="1"/>
  <c r="C26215" i="1"/>
  <c r="B26215" i="1"/>
  <c r="G26214" i="1"/>
  <c r="C26214" i="1"/>
  <c r="B26214" i="1"/>
  <c r="G26213" i="1"/>
  <c r="B26213" i="1"/>
  <c r="G26212" i="1"/>
  <c r="C26212" i="1"/>
  <c r="B26212" i="1"/>
  <c r="G26211" i="1"/>
  <c r="C26211" i="1"/>
  <c r="B26211" i="1"/>
  <c r="G26210" i="1"/>
  <c r="B26210" i="1"/>
  <c r="G26209" i="1"/>
  <c r="B26209" i="1"/>
  <c r="G26208" i="1"/>
  <c r="C26208" i="1"/>
  <c r="B26208" i="1"/>
  <c r="G26207" i="1"/>
  <c r="C26207" i="1"/>
  <c r="B26207" i="1"/>
  <c r="G26206" i="1"/>
  <c r="C26206" i="1"/>
  <c r="B26206" i="1"/>
  <c r="G26205" i="1"/>
  <c r="C26205" i="1"/>
  <c r="B26205" i="1"/>
  <c r="G26204" i="1"/>
  <c r="C26204" i="1"/>
  <c r="B26204" i="1"/>
  <c r="G26203" i="1"/>
  <c r="C26203" i="1"/>
  <c r="B26203" i="1"/>
  <c r="G26202" i="1"/>
  <c r="C26202" i="1"/>
  <c r="B26202" i="1"/>
  <c r="G26201" i="1"/>
  <c r="C26201" i="1"/>
  <c r="B26201" i="1"/>
  <c r="G26200" i="1"/>
  <c r="C26200" i="1"/>
  <c r="B26200" i="1"/>
  <c r="G26199" i="1"/>
  <c r="B26199" i="1"/>
  <c r="G26198" i="1"/>
  <c r="C26198" i="1"/>
  <c r="B26198" i="1"/>
  <c r="G26197" i="1"/>
  <c r="B26197" i="1"/>
  <c r="G26196" i="1"/>
  <c r="C26196" i="1"/>
  <c r="B26196" i="1"/>
  <c r="G26195" i="1"/>
  <c r="C26195" i="1"/>
  <c r="B26195" i="1"/>
  <c r="G26194" i="1"/>
  <c r="B26194" i="1"/>
  <c r="G26193" i="1"/>
  <c r="C26193" i="1"/>
  <c r="B26193" i="1"/>
  <c r="G26192" i="1"/>
  <c r="C26192" i="1"/>
  <c r="B26192" i="1"/>
  <c r="G26191" i="1"/>
  <c r="B26191" i="1"/>
  <c r="G26190" i="1"/>
  <c r="C26190" i="1"/>
  <c r="B26190" i="1"/>
  <c r="G26189" i="1"/>
  <c r="B26189" i="1"/>
  <c r="G26188" i="1"/>
  <c r="C26188" i="1"/>
  <c r="B26188" i="1"/>
  <c r="G26187" i="1"/>
  <c r="C26187" i="1"/>
  <c r="B26187" i="1"/>
  <c r="G26186" i="1"/>
  <c r="C26186" i="1"/>
  <c r="B26186" i="1"/>
  <c r="G26185" i="1"/>
  <c r="C26185" i="1"/>
  <c r="B26185" i="1"/>
  <c r="G26184" i="1"/>
  <c r="C26184" i="1"/>
  <c r="B26184" i="1"/>
  <c r="G26183" i="1"/>
  <c r="C26183" i="1"/>
  <c r="B26183" i="1"/>
  <c r="G26182" i="1"/>
  <c r="C26182" i="1"/>
  <c r="B26182" i="1"/>
  <c r="G26181" i="1"/>
  <c r="C26181" i="1"/>
  <c r="B26181" i="1"/>
  <c r="G26180" i="1"/>
  <c r="B26180" i="1"/>
  <c r="G26179" i="1"/>
  <c r="C26179" i="1"/>
  <c r="B26179" i="1"/>
  <c r="G26178" i="1"/>
  <c r="C26178" i="1"/>
  <c r="B26178" i="1"/>
  <c r="G26177" i="1"/>
  <c r="C26177" i="1"/>
  <c r="B26177" i="1"/>
  <c r="G26176" i="1"/>
  <c r="C26176" i="1"/>
  <c r="B26176" i="1"/>
  <c r="G26175" i="1"/>
  <c r="C26175" i="1"/>
  <c r="B26175" i="1"/>
  <c r="G26174" i="1"/>
  <c r="C26174" i="1"/>
  <c r="B26174" i="1"/>
  <c r="G26173" i="1"/>
  <c r="B26173" i="1"/>
  <c r="G26172" i="1"/>
  <c r="C26172" i="1"/>
  <c r="B26172" i="1"/>
  <c r="G26171" i="1"/>
  <c r="B26171" i="1"/>
  <c r="G26170" i="1"/>
  <c r="B26170" i="1"/>
  <c r="G26169" i="1"/>
  <c r="B26169" i="1"/>
  <c r="G26168" i="1"/>
  <c r="B26168" i="1"/>
  <c r="G26167" i="1"/>
  <c r="B26167" i="1"/>
  <c r="G26166" i="1"/>
  <c r="C26166" i="1"/>
  <c r="B26166" i="1"/>
  <c r="G26165" i="1"/>
  <c r="C26165" i="1"/>
  <c r="B26165" i="1"/>
  <c r="G26164" i="1"/>
  <c r="C26164" i="1"/>
  <c r="B26164" i="1"/>
  <c r="G26163" i="1"/>
  <c r="B26163" i="1"/>
  <c r="G26162" i="1"/>
  <c r="C26162" i="1"/>
  <c r="B26162" i="1"/>
  <c r="G26161" i="1"/>
  <c r="B26161" i="1"/>
  <c r="G26160" i="1"/>
  <c r="C26160" i="1"/>
  <c r="B26160" i="1"/>
  <c r="G26159" i="1"/>
  <c r="C26159" i="1"/>
  <c r="B26159" i="1"/>
  <c r="G26158" i="1"/>
  <c r="C26158" i="1"/>
  <c r="B26158" i="1"/>
  <c r="G26157" i="1"/>
  <c r="C26157" i="1"/>
  <c r="B26157" i="1"/>
  <c r="G26156" i="1"/>
  <c r="C26156" i="1"/>
  <c r="B26156" i="1"/>
  <c r="G26155" i="1"/>
  <c r="B26155" i="1"/>
  <c r="G26154" i="1"/>
  <c r="C26154" i="1"/>
  <c r="B26154" i="1"/>
  <c r="G26153" i="1"/>
  <c r="C26153" i="1"/>
  <c r="B26153" i="1"/>
  <c r="G26152" i="1"/>
  <c r="C26152" i="1"/>
  <c r="B26152" i="1"/>
  <c r="G26151" i="1"/>
  <c r="C26151" i="1"/>
  <c r="B26151" i="1"/>
  <c r="G26150" i="1"/>
  <c r="C26150" i="1"/>
  <c r="B26150" i="1"/>
  <c r="G26149" i="1"/>
  <c r="C26149" i="1"/>
  <c r="B26149" i="1"/>
  <c r="G26148" i="1"/>
  <c r="C26148" i="1"/>
  <c r="B26148" i="1"/>
  <c r="G26147" i="1"/>
  <c r="C26147" i="1"/>
  <c r="B26147" i="1"/>
  <c r="G26146" i="1"/>
  <c r="B26146" i="1"/>
  <c r="G26145" i="1"/>
  <c r="C26145" i="1"/>
  <c r="B26145" i="1"/>
  <c r="G26144" i="1"/>
  <c r="C26144" i="1"/>
  <c r="B26144" i="1"/>
  <c r="G26143" i="1"/>
  <c r="B26143" i="1"/>
  <c r="G26142" i="1"/>
  <c r="C26142" i="1"/>
  <c r="B26142" i="1"/>
  <c r="G26141" i="1"/>
  <c r="C26141" i="1"/>
  <c r="B26141" i="1"/>
  <c r="G26140" i="1"/>
  <c r="C26140" i="1"/>
  <c r="B26140" i="1"/>
  <c r="G26139" i="1"/>
  <c r="B26139" i="1"/>
  <c r="G26138" i="1"/>
  <c r="C26138" i="1"/>
  <c r="B26138" i="1"/>
  <c r="G26137" i="1"/>
  <c r="C26137" i="1"/>
  <c r="B26137" i="1"/>
  <c r="G26136" i="1"/>
  <c r="B26136" i="1"/>
  <c r="G26135" i="1"/>
  <c r="C26135" i="1"/>
  <c r="B26135" i="1"/>
  <c r="G26134" i="1"/>
  <c r="C26134" i="1"/>
  <c r="B26134" i="1"/>
  <c r="G26133" i="1"/>
  <c r="C26133" i="1"/>
  <c r="B26133" i="1"/>
  <c r="G26132" i="1"/>
  <c r="B26132" i="1"/>
  <c r="G26131" i="1"/>
  <c r="C26131" i="1"/>
  <c r="B26131" i="1"/>
  <c r="G26130" i="1"/>
  <c r="B26130" i="1"/>
  <c r="G26129" i="1"/>
  <c r="B26129" i="1"/>
  <c r="G26128" i="1"/>
  <c r="C26128" i="1"/>
  <c r="B26128" i="1"/>
  <c r="G26127" i="1"/>
  <c r="C26127" i="1"/>
  <c r="B26127" i="1"/>
  <c r="G26126" i="1"/>
  <c r="C26126" i="1"/>
  <c r="B26126" i="1"/>
  <c r="G26125" i="1"/>
  <c r="C26125" i="1"/>
  <c r="B26125" i="1"/>
  <c r="G26124" i="1"/>
  <c r="C26124" i="1"/>
  <c r="B26124" i="1"/>
  <c r="G26123" i="1"/>
  <c r="C26123" i="1"/>
  <c r="B26123" i="1"/>
  <c r="G26122" i="1"/>
  <c r="C26122" i="1"/>
  <c r="B26122" i="1"/>
  <c r="G26121" i="1"/>
  <c r="C26121" i="1"/>
  <c r="B26121" i="1"/>
  <c r="G26120" i="1"/>
  <c r="C26120" i="1"/>
  <c r="B26120" i="1"/>
  <c r="G26119" i="1"/>
  <c r="C26119" i="1"/>
  <c r="B26119" i="1"/>
  <c r="G26118" i="1"/>
  <c r="C26118" i="1"/>
  <c r="B26118" i="1"/>
  <c r="G26117" i="1"/>
  <c r="C26117" i="1"/>
  <c r="B26117" i="1"/>
  <c r="G26116" i="1"/>
  <c r="B26116" i="1"/>
  <c r="G26115" i="1"/>
  <c r="C26115" i="1"/>
  <c r="B26115" i="1"/>
  <c r="G26114" i="1"/>
  <c r="C26114" i="1"/>
  <c r="B26114" i="1"/>
  <c r="G26113" i="1"/>
  <c r="B26113" i="1"/>
  <c r="G26112" i="1"/>
  <c r="C26112" i="1"/>
  <c r="B26112" i="1"/>
  <c r="G26111" i="1"/>
  <c r="C26111" i="1"/>
  <c r="B26111" i="1"/>
  <c r="G26110" i="1"/>
  <c r="C26110" i="1"/>
  <c r="B26110" i="1"/>
  <c r="G26109" i="1"/>
  <c r="C26109" i="1"/>
  <c r="B26109" i="1"/>
  <c r="G26108" i="1"/>
  <c r="B26108" i="1"/>
  <c r="G26107" i="1"/>
  <c r="C26107" i="1"/>
  <c r="B26107" i="1"/>
  <c r="G26106" i="1"/>
  <c r="C26106" i="1"/>
  <c r="B26106" i="1"/>
  <c r="G26105" i="1"/>
  <c r="C26105" i="1"/>
  <c r="B26105" i="1"/>
  <c r="G26104" i="1"/>
  <c r="C26104" i="1"/>
  <c r="B26104" i="1"/>
  <c r="G26103" i="1"/>
  <c r="B26103" i="1"/>
  <c r="G26102" i="1"/>
  <c r="C26102" i="1"/>
  <c r="B26102" i="1"/>
  <c r="G26101" i="1"/>
  <c r="B26101" i="1"/>
  <c r="G26100" i="1"/>
  <c r="B26100" i="1"/>
  <c r="G26099" i="1"/>
  <c r="C26099" i="1"/>
  <c r="B26099" i="1"/>
  <c r="G26098" i="1"/>
  <c r="C26098" i="1"/>
  <c r="B26098" i="1"/>
  <c r="G26097" i="1"/>
  <c r="C26097" i="1"/>
  <c r="B26097" i="1"/>
  <c r="G26096" i="1"/>
  <c r="B26096" i="1"/>
  <c r="G26095" i="1"/>
  <c r="C26095" i="1"/>
  <c r="B26095" i="1"/>
  <c r="G26094" i="1"/>
  <c r="C26094" i="1"/>
  <c r="B26094" i="1"/>
  <c r="G26093" i="1"/>
  <c r="C26093" i="1"/>
  <c r="B26093" i="1"/>
  <c r="G26092" i="1"/>
  <c r="C26092" i="1"/>
  <c r="B26092" i="1"/>
  <c r="G26091" i="1"/>
  <c r="C26091" i="1"/>
  <c r="B26091" i="1"/>
  <c r="G26090" i="1"/>
  <c r="B26090" i="1"/>
  <c r="G26089" i="1"/>
  <c r="C26089" i="1"/>
  <c r="B26089" i="1"/>
  <c r="G26088" i="1"/>
  <c r="C26088" i="1"/>
  <c r="B26088" i="1"/>
  <c r="G26087" i="1"/>
  <c r="C26087" i="1"/>
  <c r="B26087" i="1"/>
  <c r="G26086" i="1"/>
  <c r="C26086" i="1"/>
  <c r="B26086" i="1"/>
  <c r="G26085" i="1"/>
  <c r="C26085" i="1"/>
  <c r="B26085" i="1"/>
  <c r="G26084" i="1"/>
  <c r="C26084" i="1"/>
  <c r="B26084" i="1"/>
  <c r="G26083" i="1"/>
  <c r="C26083" i="1"/>
  <c r="B26083" i="1"/>
  <c r="G26082" i="1"/>
  <c r="C26082" i="1"/>
  <c r="B26082" i="1"/>
  <c r="G26081" i="1"/>
  <c r="B26081" i="1"/>
  <c r="G26080" i="1"/>
  <c r="C26080" i="1"/>
  <c r="B26080" i="1"/>
  <c r="G26079" i="1"/>
  <c r="C26079" i="1"/>
  <c r="B26079" i="1"/>
  <c r="G26078" i="1"/>
  <c r="C26078" i="1"/>
  <c r="B26078" i="1"/>
  <c r="G26077" i="1"/>
  <c r="C26077" i="1"/>
  <c r="B26077" i="1"/>
  <c r="G26076" i="1"/>
  <c r="B26076" i="1"/>
  <c r="G26075" i="1"/>
  <c r="B26075" i="1"/>
  <c r="G26074" i="1"/>
  <c r="C26074" i="1"/>
  <c r="B26074" i="1"/>
  <c r="G26073" i="1"/>
  <c r="C26073" i="1"/>
  <c r="B26073" i="1"/>
  <c r="G26072" i="1"/>
  <c r="B26072" i="1"/>
  <c r="G26071" i="1"/>
  <c r="C26071" i="1"/>
  <c r="B26071" i="1"/>
  <c r="G26070" i="1"/>
  <c r="B26070" i="1"/>
  <c r="G26069" i="1"/>
  <c r="B26069" i="1"/>
  <c r="G26068" i="1"/>
  <c r="C26068" i="1"/>
  <c r="B26068" i="1"/>
  <c r="G26067" i="1"/>
  <c r="C26067" i="1"/>
  <c r="B26067" i="1"/>
  <c r="G26066" i="1"/>
  <c r="C26066" i="1"/>
  <c r="B26066" i="1"/>
  <c r="G26065" i="1"/>
  <c r="B26065" i="1"/>
  <c r="G26064" i="1"/>
  <c r="C26064" i="1"/>
  <c r="B26064" i="1"/>
  <c r="G26063" i="1"/>
  <c r="C26063" i="1"/>
  <c r="B26063" i="1"/>
  <c r="G26062" i="1"/>
  <c r="C26062" i="1"/>
  <c r="B26062" i="1"/>
  <c r="G26061" i="1"/>
  <c r="C26061" i="1"/>
  <c r="B26061" i="1"/>
  <c r="G26060" i="1"/>
  <c r="B26060" i="1"/>
  <c r="G26059" i="1"/>
  <c r="C26059" i="1"/>
  <c r="B26059" i="1"/>
  <c r="G26058" i="1"/>
  <c r="B26058" i="1"/>
  <c r="G26057" i="1"/>
  <c r="B26057" i="1"/>
  <c r="G26056" i="1"/>
  <c r="C26056" i="1"/>
  <c r="B26056" i="1"/>
  <c r="G26055" i="1"/>
  <c r="C26055" i="1"/>
  <c r="B26055" i="1"/>
  <c r="G26054" i="1"/>
  <c r="B26054" i="1"/>
  <c r="G26053" i="1"/>
  <c r="C26053" i="1"/>
  <c r="B26053" i="1"/>
  <c r="G26052" i="1"/>
  <c r="C26052" i="1"/>
  <c r="B26052" i="1"/>
  <c r="G26051" i="1"/>
  <c r="C26051" i="1"/>
  <c r="B26051" i="1"/>
  <c r="G26050" i="1"/>
  <c r="B26050" i="1"/>
  <c r="G26049" i="1"/>
  <c r="C26049" i="1"/>
  <c r="B26049" i="1"/>
  <c r="G26048" i="1"/>
  <c r="C26048" i="1"/>
  <c r="B26048" i="1"/>
  <c r="G26047" i="1"/>
  <c r="C26047" i="1"/>
  <c r="B26047" i="1"/>
  <c r="G26046" i="1"/>
  <c r="C26046" i="1"/>
  <c r="B26046" i="1"/>
  <c r="G26045" i="1"/>
  <c r="C26045" i="1"/>
  <c r="B26045" i="1"/>
  <c r="G26044" i="1"/>
  <c r="B26044" i="1"/>
  <c r="G26043" i="1"/>
  <c r="C26043" i="1"/>
  <c r="B26043" i="1"/>
  <c r="G26042" i="1"/>
  <c r="C26042" i="1"/>
  <c r="B26042" i="1"/>
  <c r="G26041" i="1"/>
  <c r="B26041" i="1"/>
  <c r="G26040" i="1"/>
  <c r="C26040" i="1"/>
  <c r="B26040" i="1"/>
  <c r="G26039" i="1"/>
  <c r="C26039" i="1"/>
  <c r="B26039" i="1"/>
  <c r="G26038" i="1"/>
  <c r="C26038" i="1"/>
  <c r="B26038" i="1"/>
  <c r="G26037" i="1"/>
  <c r="C26037" i="1"/>
  <c r="B26037" i="1"/>
  <c r="G26036" i="1"/>
  <c r="C26036" i="1"/>
  <c r="B26036" i="1"/>
  <c r="G26035" i="1"/>
  <c r="C26035" i="1"/>
  <c r="B26035" i="1"/>
  <c r="G26034" i="1"/>
  <c r="C26034" i="1"/>
  <c r="B26034" i="1"/>
  <c r="G26033" i="1"/>
  <c r="C26033" i="1"/>
  <c r="B26033" i="1"/>
  <c r="G26032" i="1"/>
  <c r="C26032" i="1"/>
  <c r="B26032" i="1"/>
  <c r="G26031" i="1"/>
  <c r="C26031" i="1"/>
  <c r="B26031" i="1"/>
  <c r="G26030" i="1"/>
  <c r="C26030" i="1"/>
  <c r="B26030" i="1"/>
  <c r="G26029" i="1"/>
  <c r="B26029" i="1"/>
  <c r="G26028" i="1"/>
  <c r="C26028" i="1"/>
  <c r="B26028" i="1"/>
  <c r="G26027" i="1"/>
  <c r="C26027" i="1"/>
  <c r="B26027" i="1"/>
  <c r="G26026" i="1"/>
  <c r="C26026" i="1"/>
  <c r="B26026" i="1"/>
  <c r="G26025" i="1"/>
  <c r="C26025" i="1"/>
  <c r="B26025" i="1"/>
  <c r="G26024" i="1"/>
  <c r="B26024" i="1"/>
  <c r="G26023" i="1"/>
  <c r="C26023" i="1"/>
  <c r="B26023" i="1"/>
  <c r="G26022" i="1"/>
  <c r="C26022" i="1"/>
  <c r="B26022" i="1"/>
  <c r="G26021" i="1"/>
  <c r="C26021" i="1"/>
  <c r="B26021" i="1"/>
  <c r="G26020" i="1"/>
  <c r="B26020" i="1"/>
  <c r="G26019" i="1"/>
  <c r="C26019" i="1"/>
  <c r="B26019" i="1"/>
  <c r="G26018" i="1"/>
  <c r="C26018" i="1"/>
  <c r="B26018" i="1"/>
  <c r="G26017" i="1"/>
  <c r="B26017" i="1"/>
  <c r="G26016" i="1"/>
  <c r="C26016" i="1"/>
  <c r="B26016" i="1"/>
  <c r="G26015" i="1"/>
  <c r="C26015" i="1"/>
  <c r="B26015" i="1"/>
  <c r="G26014" i="1"/>
  <c r="C26014" i="1"/>
  <c r="B26014" i="1"/>
  <c r="G26013" i="1"/>
  <c r="C26013" i="1"/>
  <c r="B26013" i="1"/>
  <c r="G26012" i="1"/>
  <c r="B26012" i="1"/>
  <c r="G26011" i="1"/>
  <c r="B26011" i="1"/>
  <c r="G26010" i="1"/>
  <c r="C26010" i="1"/>
  <c r="B26010" i="1"/>
  <c r="G26009" i="1"/>
  <c r="C26009" i="1"/>
  <c r="B26009" i="1"/>
  <c r="G26008" i="1"/>
  <c r="C26008" i="1"/>
  <c r="B26008" i="1"/>
  <c r="G26007" i="1"/>
  <c r="C26007" i="1"/>
  <c r="B26007" i="1"/>
  <c r="G26006" i="1"/>
  <c r="C26006" i="1"/>
  <c r="B26006" i="1"/>
  <c r="G26005" i="1"/>
  <c r="C26005" i="1"/>
  <c r="B26005" i="1"/>
  <c r="G26004" i="1"/>
  <c r="C26004" i="1"/>
  <c r="B26004" i="1"/>
  <c r="G26003" i="1"/>
  <c r="B26003" i="1"/>
  <c r="G26002" i="1"/>
  <c r="C26002" i="1"/>
  <c r="B26002" i="1"/>
  <c r="G26001" i="1"/>
  <c r="B26001" i="1"/>
  <c r="G26000" i="1"/>
  <c r="C26000" i="1"/>
  <c r="B26000" i="1"/>
  <c r="G25999" i="1"/>
  <c r="B25999" i="1"/>
  <c r="G25998" i="1"/>
  <c r="C25998" i="1"/>
  <c r="B25998" i="1"/>
  <c r="G25997" i="1"/>
  <c r="B25997" i="1"/>
  <c r="G25996" i="1"/>
  <c r="C25996" i="1"/>
  <c r="B25996" i="1"/>
  <c r="G25995" i="1"/>
  <c r="C25995" i="1"/>
  <c r="B25995" i="1"/>
  <c r="G25994" i="1"/>
  <c r="B25994" i="1"/>
  <c r="G25993" i="1"/>
  <c r="B25993" i="1"/>
  <c r="G25992" i="1"/>
  <c r="C25992" i="1"/>
  <c r="B25992" i="1"/>
  <c r="G25991" i="1"/>
  <c r="C25991" i="1"/>
  <c r="B25991" i="1"/>
  <c r="G25990" i="1"/>
  <c r="B25990" i="1"/>
  <c r="G25989" i="1"/>
  <c r="B25989" i="1"/>
  <c r="G25988" i="1"/>
  <c r="B25988" i="1"/>
  <c r="G25987" i="1"/>
  <c r="C25987" i="1"/>
  <c r="B25987" i="1"/>
  <c r="G25986" i="1"/>
  <c r="C25986" i="1"/>
  <c r="B25986" i="1"/>
  <c r="G25985" i="1"/>
  <c r="B25985" i="1"/>
  <c r="G25984" i="1"/>
  <c r="B25984" i="1"/>
  <c r="G25983" i="1"/>
  <c r="B25983" i="1"/>
  <c r="G25982" i="1"/>
  <c r="C25982" i="1"/>
  <c r="B25982" i="1"/>
  <c r="G25981" i="1"/>
  <c r="C25981" i="1"/>
  <c r="B25981" i="1"/>
  <c r="G25980" i="1"/>
  <c r="C25980" i="1"/>
  <c r="B25980" i="1"/>
  <c r="G25979" i="1"/>
  <c r="B25979" i="1"/>
  <c r="G25978" i="1"/>
  <c r="C25978" i="1"/>
  <c r="B25978" i="1"/>
  <c r="G25977" i="1"/>
  <c r="B25977" i="1"/>
  <c r="G25976" i="1"/>
  <c r="C25976" i="1"/>
  <c r="B25976" i="1"/>
  <c r="G25975" i="1"/>
  <c r="B25975" i="1"/>
  <c r="G25974" i="1"/>
  <c r="C25974" i="1"/>
  <c r="B25974" i="1"/>
  <c r="G25973" i="1"/>
  <c r="C25973" i="1"/>
  <c r="B25973" i="1"/>
  <c r="G25972" i="1"/>
  <c r="C25972" i="1"/>
  <c r="B25972" i="1"/>
  <c r="G25971" i="1"/>
  <c r="B25971" i="1"/>
  <c r="G25970" i="1"/>
  <c r="C25970" i="1"/>
  <c r="B25970" i="1"/>
  <c r="G25969" i="1"/>
  <c r="C25969" i="1"/>
  <c r="B25969" i="1"/>
  <c r="G25968" i="1"/>
  <c r="C25968" i="1"/>
  <c r="B25968" i="1"/>
  <c r="G25967" i="1"/>
  <c r="C25967" i="1"/>
  <c r="B25967" i="1"/>
  <c r="G25966" i="1"/>
  <c r="C25966" i="1"/>
  <c r="B25966" i="1"/>
  <c r="G25965" i="1"/>
  <c r="C25965" i="1"/>
  <c r="B25965" i="1"/>
  <c r="G25964" i="1"/>
  <c r="C25964" i="1"/>
  <c r="B25964" i="1"/>
  <c r="G25963" i="1"/>
  <c r="C25963" i="1"/>
  <c r="B25963" i="1"/>
  <c r="G25962" i="1"/>
  <c r="C25962" i="1"/>
  <c r="B25962" i="1"/>
  <c r="G25961" i="1"/>
  <c r="B25961" i="1"/>
  <c r="G25960" i="1"/>
  <c r="C25960" i="1"/>
  <c r="B25960" i="1"/>
  <c r="G25959" i="1"/>
  <c r="C25959" i="1"/>
  <c r="B25959" i="1"/>
  <c r="G25958" i="1"/>
  <c r="C25958" i="1"/>
  <c r="B25958" i="1"/>
  <c r="G25957" i="1"/>
  <c r="C25957" i="1"/>
  <c r="B25957" i="1"/>
  <c r="G25956" i="1"/>
  <c r="C25956" i="1"/>
  <c r="B25956" i="1"/>
  <c r="G25955" i="1"/>
  <c r="C25955" i="1"/>
  <c r="B25955" i="1"/>
  <c r="G25954" i="1"/>
  <c r="C25954" i="1"/>
  <c r="B25954" i="1"/>
  <c r="G25953" i="1"/>
  <c r="B25953" i="1"/>
  <c r="G25952" i="1"/>
  <c r="C25952" i="1"/>
  <c r="B25952" i="1"/>
  <c r="G25951" i="1"/>
  <c r="C25951" i="1"/>
  <c r="B25951" i="1"/>
  <c r="G25950" i="1"/>
  <c r="C25950" i="1"/>
  <c r="B25950" i="1"/>
  <c r="G25949" i="1"/>
  <c r="B25949" i="1"/>
  <c r="G25948" i="1"/>
  <c r="C25948" i="1"/>
  <c r="B25948" i="1"/>
  <c r="G25947" i="1"/>
  <c r="B25947" i="1"/>
  <c r="G25946" i="1"/>
  <c r="C25946" i="1"/>
  <c r="B25946" i="1"/>
  <c r="G25945" i="1"/>
  <c r="B25945" i="1"/>
  <c r="G25944" i="1"/>
  <c r="B25944" i="1"/>
  <c r="G25943" i="1"/>
  <c r="C25943" i="1"/>
  <c r="B25943" i="1"/>
  <c r="G25942" i="1"/>
  <c r="C25942" i="1"/>
  <c r="B25942" i="1"/>
  <c r="G25941" i="1"/>
  <c r="B25941" i="1"/>
  <c r="G25940" i="1"/>
  <c r="C25940" i="1"/>
  <c r="B25940" i="1"/>
  <c r="G25939" i="1"/>
  <c r="C25939" i="1"/>
  <c r="B25939" i="1"/>
  <c r="G25938" i="1"/>
  <c r="C25938" i="1"/>
  <c r="B25938" i="1"/>
  <c r="G25937" i="1"/>
  <c r="B25937" i="1"/>
  <c r="G25936" i="1"/>
  <c r="C25936" i="1"/>
  <c r="B25936" i="1"/>
  <c r="G25935" i="1"/>
  <c r="C25935" i="1"/>
  <c r="B25935" i="1"/>
  <c r="G25934" i="1"/>
  <c r="C25934" i="1"/>
  <c r="B25934" i="1"/>
  <c r="G25933" i="1"/>
  <c r="C25933" i="1"/>
  <c r="B25933" i="1"/>
  <c r="G25932" i="1"/>
  <c r="C25932" i="1"/>
  <c r="B25932" i="1"/>
  <c r="G25931" i="1"/>
  <c r="C25931" i="1"/>
  <c r="B25931" i="1"/>
  <c r="G25930" i="1"/>
  <c r="C25930" i="1"/>
  <c r="B25930" i="1"/>
  <c r="G25929" i="1"/>
  <c r="C25929" i="1"/>
  <c r="B25929" i="1"/>
  <c r="G25928" i="1"/>
  <c r="C25928" i="1"/>
  <c r="B25928" i="1"/>
  <c r="G25927" i="1"/>
  <c r="B25927" i="1"/>
  <c r="G25926" i="1"/>
  <c r="C25926" i="1"/>
  <c r="B25926" i="1"/>
  <c r="G25925" i="1"/>
  <c r="C25925" i="1"/>
  <c r="B25925" i="1"/>
  <c r="G25924" i="1"/>
  <c r="B25924" i="1"/>
  <c r="G25923" i="1"/>
  <c r="C25923" i="1"/>
  <c r="B25923" i="1"/>
  <c r="G25922" i="1"/>
  <c r="C25922" i="1"/>
  <c r="B25922" i="1"/>
  <c r="G25921" i="1"/>
  <c r="C25921" i="1"/>
  <c r="B25921" i="1"/>
  <c r="G25920" i="1"/>
  <c r="C25920" i="1"/>
  <c r="B25920" i="1"/>
  <c r="G25919" i="1"/>
  <c r="C25919" i="1"/>
  <c r="B25919" i="1"/>
  <c r="G25918" i="1"/>
  <c r="B25918" i="1"/>
  <c r="G25917" i="1"/>
  <c r="C25917" i="1"/>
  <c r="B25917" i="1"/>
  <c r="G25916" i="1"/>
  <c r="C25916" i="1"/>
  <c r="B25916" i="1"/>
  <c r="G25915" i="1"/>
  <c r="C25915" i="1"/>
  <c r="B25915" i="1"/>
  <c r="G25914" i="1"/>
  <c r="C25914" i="1"/>
  <c r="B25914" i="1"/>
  <c r="G25913" i="1"/>
  <c r="C25913" i="1"/>
  <c r="B25913" i="1"/>
  <c r="G25912" i="1"/>
  <c r="C25912" i="1"/>
  <c r="B25912" i="1"/>
  <c r="G25911" i="1"/>
  <c r="C25911" i="1"/>
  <c r="B25911" i="1"/>
  <c r="G25910" i="1"/>
  <c r="B25910" i="1"/>
  <c r="G25909" i="1"/>
  <c r="C25909" i="1"/>
  <c r="B25909" i="1"/>
  <c r="G25908" i="1"/>
  <c r="B25908" i="1"/>
  <c r="G25907" i="1"/>
  <c r="C25907" i="1"/>
  <c r="B25907" i="1"/>
  <c r="G25906" i="1"/>
  <c r="B25906" i="1"/>
  <c r="G25905" i="1"/>
  <c r="B25905" i="1"/>
  <c r="G25904" i="1"/>
  <c r="C25904" i="1"/>
  <c r="B25904" i="1"/>
  <c r="G25903" i="1"/>
  <c r="C25903" i="1"/>
  <c r="B25903" i="1"/>
  <c r="G25902" i="1"/>
  <c r="C25902" i="1"/>
  <c r="B25902" i="1"/>
  <c r="G25901" i="1"/>
  <c r="C25901" i="1"/>
  <c r="B25901" i="1"/>
  <c r="G25900" i="1"/>
  <c r="C25900" i="1"/>
  <c r="B25900" i="1"/>
  <c r="G25899" i="1"/>
  <c r="B25899" i="1"/>
  <c r="G25898" i="1"/>
  <c r="B25898" i="1"/>
  <c r="G25897" i="1"/>
  <c r="C25897" i="1"/>
  <c r="B25897" i="1"/>
  <c r="G25896" i="1"/>
  <c r="C25896" i="1"/>
  <c r="B25896" i="1"/>
  <c r="G25895" i="1"/>
  <c r="B25895" i="1"/>
  <c r="G25894" i="1"/>
  <c r="C25894" i="1"/>
  <c r="B25894" i="1"/>
  <c r="G25893" i="1"/>
  <c r="C25893" i="1"/>
  <c r="B25893" i="1"/>
  <c r="G25892" i="1"/>
  <c r="C25892" i="1"/>
  <c r="B25892" i="1"/>
  <c r="G25891" i="1"/>
  <c r="B25891" i="1"/>
  <c r="G25890" i="1"/>
  <c r="C25890" i="1"/>
  <c r="B25890" i="1"/>
  <c r="G25889" i="1"/>
  <c r="C25889" i="1"/>
  <c r="B25889" i="1"/>
  <c r="G25888" i="1"/>
  <c r="B25888" i="1"/>
  <c r="G25887" i="1"/>
  <c r="C25887" i="1"/>
  <c r="B25887" i="1"/>
  <c r="G25886" i="1"/>
  <c r="C25886" i="1"/>
  <c r="B25886" i="1"/>
  <c r="G25885" i="1"/>
  <c r="C25885" i="1"/>
  <c r="B25885" i="1"/>
  <c r="G25884" i="1"/>
  <c r="C25884" i="1"/>
  <c r="B25884" i="1"/>
  <c r="G25883" i="1"/>
  <c r="B25883" i="1"/>
  <c r="G25882" i="1"/>
  <c r="C25882" i="1"/>
  <c r="B25882" i="1"/>
  <c r="G25881" i="1"/>
  <c r="C25881" i="1"/>
  <c r="B25881" i="1"/>
  <c r="G25880" i="1"/>
  <c r="C25880" i="1"/>
  <c r="B25880" i="1"/>
  <c r="G25879" i="1"/>
  <c r="C25879" i="1"/>
  <c r="B25879" i="1"/>
  <c r="G25878" i="1"/>
  <c r="C25878" i="1"/>
  <c r="B25878" i="1"/>
  <c r="G25877" i="1"/>
  <c r="B25877" i="1"/>
  <c r="G25876" i="1"/>
  <c r="C25876" i="1"/>
  <c r="B25876" i="1"/>
  <c r="G25875" i="1"/>
  <c r="C25875" i="1"/>
  <c r="B25875" i="1"/>
  <c r="G25874" i="1"/>
  <c r="B25874" i="1"/>
  <c r="G25873" i="1"/>
  <c r="C25873" i="1"/>
  <c r="B25873" i="1"/>
  <c r="G25872" i="1"/>
  <c r="C25872" i="1"/>
  <c r="B25872" i="1"/>
  <c r="G25871" i="1"/>
  <c r="C25871" i="1"/>
  <c r="B25871" i="1"/>
  <c r="G25870" i="1"/>
  <c r="C25870" i="1"/>
  <c r="B25870" i="1"/>
  <c r="G25869" i="1"/>
  <c r="C25869" i="1"/>
  <c r="B25869" i="1"/>
  <c r="G25868" i="1"/>
  <c r="C25868" i="1"/>
  <c r="B25868" i="1"/>
  <c r="G25867" i="1"/>
  <c r="C25867" i="1"/>
  <c r="B25867" i="1"/>
  <c r="G25866" i="1"/>
  <c r="B25866" i="1"/>
  <c r="G25865" i="1"/>
  <c r="C25865" i="1"/>
  <c r="B25865" i="1"/>
  <c r="G25864" i="1"/>
  <c r="C25864" i="1"/>
  <c r="B25864" i="1"/>
  <c r="G25863" i="1"/>
  <c r="C25863" i="1"/>
  <c r="B25863" i="1"/>
  <c r="G25862" i="1"/>
  <c r="C25862" i="1"/>
  <c r="B25862" i="1"/>
  <c r="G25861" i="1"/>
  <c r="B25861" i="1"/>
  <c r="G25860" i="1"/>
  <c r="C25860" i="1"/>
  <c r="B25860" i="1"/>
  <c r="G25859" i="1"/>
  <c r="C25859" i="1"/>
  <c r="B25859" i="1"/>
  <c r="G25858" i="1"/>
  <c r="C25858" i="1"/>
  <c r="B25858" i="1"/>
  <c r="G25857" i="1"/>
  <c r="B25857" i="1"/>
  <c r="G25856" i="1"/>
  <c r="B25856" i="1"/>
  <c r="G25855" i="1"/>
  <c r="C25855" i="1"/>
  <c r="B25855" i="1"/>
  <c r="G25854" i="1"/>
  <c r="B25854" i="1"/>
  <c r="G25853" i="1"/>
  <c r="C25853" i="1"/>
  <c r="B25853" i="1"/>
  <c r="G25852" i="1"/>
  <c r="B25852" i="1"/>
  <c r="G25851" i="1"/>
  <c r="C25851" i="1"/>
  <c r="B25851" i="1"/>
  <c r="G25850" i="1"/>
  <c r="C25850" i="1"/>
  <c r="B25850" i="1"/>
  <c r="G25849" i="1"/>
  <c r="C25849" i="1"/>
  <c r="B25849" i="1"/>
  <c r="G25848" i="1"/>
  <c r="C25848" i="1"/>
  <c r="B25848" i="1"/>
  <c r="G25847" i="1"/>
  <c r="C25847" i="1"/>
  <c r="B25847" i="1"/>
  <c r="G25846" i="1"/>
  <c r="B25846" i="1"/>
  <c r="G25845" i="1"/>
  <c r="C25845" i="1"/>
  <c r="B25845" i="1"/>
  <c r="G25844" i="1"/>
  <c r="B25844" i="1"/>
  <c r="G25843" i="1"/>
  <c r="C25843" i="1"/>
  <c r="B25843" i="1"/>
  <c r="G25842" i="1"/>
  <c r="C25842" i="1"/>
  <c r="B25842" i="1"/>
  <c r="G25841" i="1"/>
  <c r="C25841" i="1"/>
  <c r="B25841" i="1"/>
  <c r="G25840" i="1"/>
  <c r="B25840" i="1"/>
  <c r="G25839" i="1"/>
  <c r="C25839" i="1"/>
  <c r="B25839" i="1"/>
  <c r="G25838" i="1"/>
  <c r="C25838" i="1"/>
  <c r="B25838" i="1"/>
  <c r="G25837" i="1"/>
  <c r="B25837" i="1"/>
  <c r="G25836" i="1"/>
  <c r="C25836" i="1"/>
  <c r="B25836" i="1"/>
  <c r="G25835" i="1"/>
  <c r="C25835" i="1"/>
  <c r="B25835" i="1"/>
  <c r="G25834" i="1"/>
  <c r="C25834" i="1"/>
  <c r="B25834" i="1"/>
  <c r="G25833" i="1"/>
  <c r="C25833" i="1"/>
  <c r="B25833" i="1"/>
  <c r="G25832" i="1"/>
  <c r="B25832" i="1"/>
  <c r="G25831" i="1"/>
  <c r="C25831" i="1"/>
  <c r="B25831" i="1"/>
  <c r="G25830" i="1"/>
  <c r="C25830" i="1"/>
  <c r="B25830" i="1"/>
  <c r="G25829" i="1"/>
  <c r="B25829" i="1"/>
  <c r="G25828" i="1"/>
  <c r="B25828" i="1"/>
  <c r="G25827" i="1"/>
  <c r="C25827" i="1"/>
  <c r="B25827" i="1"/>
  <c r="G25826" i="1"/>
  <c r="C25826" i="1"/>
  <c r="B25826" i="1"/>
  <c r="G25825" i="1"/>
  <c r="B25825" i="1"/>
  <c r="G25824" i="1"/>
  <c r="C25824" i="1"/>
  <c r="B25824" i="1"/>
  <c r="G25823" i="1"/>
  <c r="C25823" i="1"/>
  <c r="B25823" i="1"/>
  <c r="G25822" i="1"/>
  <c r="C25822" i="1"/>
  <c r="B25822" i="1"/>
  <c r="G25821" i="1"/>
  <c r="C25821" i="1"/>
  <c r="B25821" i="1"/>
  <c r="G25820" i="1"/>
  <c r="C25820" i="1"/>
  <c r="B25820" i="1"/>
  <c r="G25819" i="1"/>
  <c r="C25819" i="1"/>
  <c r="B25819" i="1"/>
  <c r="G25818" i="1"/>
  <c r="C25818" i="1"/>
  <c r="B25818" i="1"/>
  <c r="G25817" i="1"/>
  <c r="C25817" i="1"/>
  <c r="B25817" i="1"/>
  <c r="G25816" i="1"/>
  <c r="C25816" i="1"/>
  <c r="B25816" i="1"/>
  <c r="G25815" i="1"/>
  <c r="C25815" i="1"/>
  <c r="B25815" i="1"/>
  <c r="G25814" i="1"/>
  <c r="B25814" i="1"/>
  <c r="G25813" i="1"/>
  <c r="C25813" i="1"/>
  <c r="B25813" i="1"/>
  <c r="G25812" i="1"/>
  <c r="C25812" i="1"/>
  <c r="B25812" i="1"/>
  <c r="G25811" i="1"/>
  <c r="B25811" i="1"/>
  <c r="G25810" i="1"/>
  <c r="C25810" i="1"/>
  <c r="B25810" i="1"/>
  <c r="G25809" i="1"/>
  <c r="B25809" i="1"/>
  <c r="G25808" i="1"/>
  <c r="B25808" i="1"/>
  <c r="G25807" i="1"/>
  <c r="C25807" i="1"/>
  <c r="B25807" i="1"/>
  <c r="G25806" i="1"/>
  <c r="B25806" i="1"/>
  <c r="G25805" i="1"/>
  <c r="C25805" i="1"/>
  <c r="B25805" i="1"/>
  <c r="G25804" i="1"/>
  <c r="B25804" i="1"/>
  <c r="G25803" i="1"/>
  <c r="B25803" i="1"/>
  <c r="G25802" i="1"/>
  <c r="C25802" i="1"/>
  <c r="B25802" i="1"/>
  <c r="G25801" i="1"/>
  <c r="B25801" i="1"/>
  <c r="G25800" i="1"/>
  <c r="B25800" i="1"/>
  <c r="G25799" i="1"/>
  <c r="C25799" i="1"/>
  <c r="B25799" i="1"/>
  <c r="G25798" i="1"/>
  <c r="C25798" i="1"/>
  <c r="B25798" i="1"/>
  <c r="G25797" i="1"/>
  <c r="B25797" i="1"/>
  <c r="G25796" i="1"/>
  <c r="C25796" i="1"/>
  <c r="B25796" i="1"/>
  <c r="G25795" i="1"/>
  <c r="C25795" i="1"/>
  <c r="B25795" i="1"/>
  <c r="G25794" i="1"/>
  <c r="B25794" i="1"/>
  <c r="G25793" i="1"/>
  <c r="C25793" i="1"/>
  <c r="B25793" i="1"/>
  <c r="G25792" i="1"/>
  <c r="B25792" i="1"/>
  <c r="G25791" i="1"/>
  <c r="C25791" i="1"/>
  <c r="B25791" i="1"/>
  <c r="G25790" i="1"/>
  <c r="C25790" i="1"/>
  <c r="B25790" i="1"/>
  <c r="G25789" i="1"/>
  <c r="C25789" i="1"/>
  <c r="B25789" i="1"/>
  <c r="G25788" i="1"/>
  <c r="C25788" i="1"/>
  <c r="B25788" i="1"/>
  <c r="G25787" i="1"/>
  <c r="C25787" i="1"/>
  <c r="B25787" i="1"/>
  <c r="G25786" i="1"/>
  <c r="C25786" i="1"/>
  <c r="B25786" i="1"/>
  <c r="G25785" i="1"/>
  <c r="B25785" i="1"/>
  <c r="G25784" i="1"/>
  <c r="C25784" i="1"/>
  <c r="B25784" i="1"/>
  <c r="G25783" i="1"/>
  <c r="C25783" i="1"/>
  <c r="B25783" i="1"/>
  <c r="G25782" i="1"/>
  <c r="B25782" i="1"/>
  <c r="G25781" i="1"/>
  <c r="C25781" i="1"/>
  <c r="B25781" i="1"/>
  <c r="G25780" i="1"/>
  <c r="C25780" i="1"/>
  <c r="B25780" i="1"/>
  <c r="G25779" i="1"/>
  <c r="B25779" i="1"/>
  <c r="G25778" i="1"/>
  <c r="C25778" i="1"/>
  <c r="B25778" i="1"/>
  <c r="G25777" i="1"/>
  <c r="B25777" i="1"/>
  <c r="G25776" i="1"/>
  <c r="B25776" i="1"/>
  <c r="G25775" i="1"/>
  <c r="C25775" i="1"/>
  <c r="B25775" i="1"/>
  <c r="G25774" i="1"/>
  <c r="B25774" i="1"/>
  <c r="G25773" i="1"/>
  <c r="B25773" i="1"/>
  <c r="G25772" i="1"/>
  <c r="B25772" i="1"/>
  <c r="G25771" i="1"/>
  <c r="B25771" i="1"/>
  <c r="G25770" i="1"/>
  <c r="C25770" i="1"/>
  <c r="B25770" i="1"/>
  <c r="G25769" i="1"/>
  <c r="C25769" i="1"/>
  <c r="B25769" i="1"/>
  <c r="G25768" i="1"/>
  <c r="C25768" i="1"/>
  <c r="B25768" i="1"/>
  <c r="G25767" i="1"/>
  <c r="C25767" i="1"/>
  <c r="B25767" i="1"/>
  <c r="G25766" i="1"/>
  <c r="C25766" i="1"/>
  <c r="B25766" i="1"/>
  <c r="G25765" i="1"/>
  <c r="C25765" i="1"/>
  <c r="B25765" i="1"/>
  <c r="G25764" i="1"/>
  <c r="C25764" i="1"/>
  <c r="B25764" i="1"/>
  <c r="G25763" i="1"/>
  <c r="C25763" i="1"/>
  <c r="B25763" i="1"/>
  <c r="G25762" i="1"/>
  <c r="C25762" i="1"/>
  <c r="B25762" i="1"/>
  <c r="G25761" i="1"/>
  <c r="C25761" i="1"/>
  <c r="B25761" i="1"/>
  <c r="G25760" i="1"/>
  <c r="C25760" i="1"/>
  <c r="B25760" i="1"/>
  <c r="G25759" i="1"/>
  <c r="C25759" i="1"/>
  <c r="B25759" i="1"/>
  <c r="G25758" i="1"/>
  <c r="C25758" i="1"/>
  <c r="B25758" i="1"/>
  <c r="G25757" i="1"/>
  <c r="B25757" i="1"/>
  <c r="G25756" i="1"/>
  <c r="C25756" i="1"/>
  <c r="B25756" i="1"/>
  <c r="G25755" i="1"/>
  <c r="B25755" i="1"/>
  <c r="G25754" i="1"/>
  <c r="B25754" i="1"/>
  <c r="G25753" i="1"/>
  <c r="C25753" i="1"/>
  <c r="B25753" i="1"/>
  <c r="G25752" i="1"/>
  <c r="B25752" i="1"/>
  <c r="G25751" i="1"/>
  <c r="B25751" i="1"/>
  <c r="G25750" i="1"/>
  <c r="C25750" i="1"/>
  <c r="B25750" i="1"/>
  <c r="G25749" i="1"/>
  <c r="B25749" i="1"/>
  <c r="G25748" i="1"/>
  <c r="C25748" i="1"/>
  <c r="B25748" i="1"/>
  <c r="G25747" i="1"/>
  <c r="C25747" i="1"/>
  <c r="B25747" i="1"/>
  <c r="G25746" i="1"/>
  <c r="C25746" i="1"/>
  <c r="B25746" i="1"/>
  <c r="G25745" i="1"/>
  <c r="C25745" i="1"/>
  <c r="B25745" i="1"/>
  <c r="G25744" i="1"/>
  <c r="C25744" i="1"/>
  <c r="B25744" i="1"/>
  <c r="G25743" i="1"/>
  <c r="C25743" i="1"/>
  <c r="B25743" i="1"/>
  <c r="G25742" i="1"/>
  <c r="C25742" i="1"/>
  <c r="B25742" i="1"/>
  <c r="G25741" i="1"/>
  <c r="C25741" i="1"/>
  <c r="B25741" i="1"/>
  <c r="G25740" i="1"/>
  <c r="C25740" i="1"/>
  <c r="B25740" i="1"/>
  <c r="G25739" i="1"/>
  <c r="C25739" i="1"/>
  <c r="B25739" i="1"/>
  <c r="G25738" i="1"/>
  <c r="B25738" i="1"/>
  <c r="G25737" i="1"/>
  <c r="C25737" i="1"/>
  <c r="B25737" i="1"/>
  <c r="G25736" i="1"/>
  <c r="C25736" i="1"/>
  <c r="B25736" i="1"/>
  <c r="G25735" i="1"/>
  <c r="C25735" i="1"/>
  <c r="B25735" i="1"/>
  <c r="G25734" i="1"/>
  <c r="C25734" i="1"/>
  <c r="B25734" i="1"/>
  <c r="G25733" i="1"/>
  <c r="C25733" i="1"/>
  <c r="B25733" i="1"/>
  <c r="G25732" i="1"/>
  <c r="C25732" i="1"/>
  <c r="B25732" i="1"/>
  <c r="G25731" i="1"/>
  <c r="B25731" i="1"/>
  <c r="G25730" i="1"/>
  <c r="B25730" i="1"/>
  <c r="G25729" i="1"/>
  <c r="C25729" i="1"/>
  <c r="B25729" i="1"/>
  <c r="G25728" i="1"/>
  <c r="C25728" i="1"/>
  <c r="B25728" i="1"/>
  <c r="G25727" i="1"/>
  <c r="C25727" i="1"/>
  <c r="B25727" i="1"/>
  <c r="G25726" i="1"/>
  <c r="C25726" i="1"/>
  <c r="B25726" i="1"/>
  <c r="G25725" i="1"/>
  <c r="B25725" i="1"/>
  <c r="G25724" i="1"/>
  <c r="B25724" i="1"/>
  <c r="G25723" i="1"/>
  <c r="C25723" i="1"/>
  <c r="B25723" i="1"/>
  <c r="G25722" i="1"/>
  <c r="C25722" i="1"/>
  <c r="B25722" i="1"/>
  <c r="G25721" i="1"/>
  <c r="B25721" i="1"/>
  <c r="G25720" i="1"/>
  <c r="C25720" i="1"/>
  <c r="B25720" i="1"/>
  <c r="G25719" i="1"/>
  <c r="C25719" i="1"/>
  <c r="B25719" i="1"/>
  <c r="G25718" i="1"/>
  <c r="C25718" i="1"/>
  <c r="B25718" i="1"/>
  <c r="G25717" i="1"/>
  <c r="B25717" i="1"/>
  <c r="G25716" i="1"/>
  <c r="C25716" i="1"/>
  <c r="B25716" i="1"/>
  <c r="G25715" i="1"/>
  <c r="C25715" i="1"/>
  <c r="B25715" i="1"/>
  <c r="G25714" i="1"/>
  <c r="B25714" i="1"/>
  <c r="G25713" i="1"/>
  <c r="C25713" i="1"/>
  <c r="B25713" i="1"/>
  <c r="G25712" i="1"/>
  <c r="C25712" i="1"/>
  <c r="B25712" i="1"/>
  <c r="G25711" i="1"/>
  <c r="C25711" i="1"/>
  <c r="B25711" i="1"/>
  <c r="G25710" i="1"/>
  <c r="C25710" i="1"/>
  <c r="B25710" i="1"/>
  <c r="G25709" i="1"/>
  <c r="C25709" i="1"/>
  <c r="B25709" i="1"/>
  <c r="G25708" i="1"/>
  <c r="C25708" i="1"/>
  <c r="B25708" i="1"/>
  <c r="G25707" i="1"/>
  <c r="B25707" i="1"/>
  <c r="G25706" i="1"/>
  <c r="B25706" i="1"/>
  <c r="G25705" i="1"/>
  <c r="C25705" i="1"/>
  <c r="B25705" i="1"/>
  <c r="G25704" i="1"/>
  <c r="C25704" i="1"/>
  <c r="B25704" i="1"/>
  <c r="G25703" i="1"/>
  <c r="C25703" i="1"/>
  <c r="B25703" i="1"/>
  <c r="G25702" i="1"/>
  <c r="C25702" i="1"/>
  <c r="B25702" i="1"/>
  <c r="G25701" i="1"/>
  <c r="C25701" i="1"/>
  <c r="B25701" i="1"/>
  <c r="G25700" i="1"/>
  <c r="B25700" i="1"/>
  <c r="G25699" i="1"/>
  <c r="B25699" i="1"/>
  <c r="G25698" i="1"/>
  <c r="B25698" i="1"/>
  <c r="G25697" i="1"/>
  <c r="B25697" i="1"/>
  <c r="G25696" i="1"/>
  <c r="B25696" i="1"/>
  <c r="G25695" i="1"/>
  <c r="C25695" i="1"/>
  <c r="B25695" i="1"/>
  <c r="G25694" i="1"/>
  <c r="C25694" i="1"/>
  <c r="B25694" i="1"/>
  <c r="G25693" i="1"/>
  <c r="C25693" i="1"/>
  <c r="B25693" i="1"/>
  <c r="G25692" i="1"/>
  <c r="C25692" i="1"/>
  <c r="B25692" i="1"/>
  <c r="G25691" i="1"/>
  <c r="C25691" i="1"/>
  <c r="B25691" i="1"/>
  <c r="G25690" i="1"/>
  <c r="B25690" i="1"/>
  <c r="G25689" i="1"/>
  <c r="C25689" i="1"/>
  <c r="B25689" i="1"/>
  <c r="G25688" i="1"/>
  <c r="B25688" i="1"/>
  <c r="G25687" i="1"/>
  <c r="B25687" i="1"/>
  <c r="G25686" i="1"/>
  <c r="C25686" i="1"/>
  <c r="B25686" i="1"/>
  <c r="G25685" i="1"/>
  <c r="B25685" i="1"/>
  <c r="G25684" i="1"/>
  <c r="C25684" i="1"/>
  <c r="B25684" i="1"/>
  <c r="G25683" i="1"/>
  <c r="B25683" i="1"/>
  <c r="G25682" i="1"/>
  <c r="C25682" i="1"/>
  <c r="B25682" i="1"/>
  <c r="G25681" i="1"/>
  <c r="C25681" i="1"/>
  <c r="B25681" i="1"/>
  <c r="G25680" i="1"/>
  <c r="B25680" i="1"/>
  <c r="G25679" i="1"/>
  <c r="C25679" i="1"/>
  <c r="B25679" i="1"/>
  <c r="G25678" i="1"/>
  <c r="B25678" i="1"/>
  <c r="G25677" i="1"/>
  <c r="C25677" i="1"/>
  <c r="B25677" i="1"/>
  <c r="G25676" i="1"/>
  <c r="C25676" i="1"/>
  <c r="B25676" i="1"/>
  <c r="G25675" i="1"/>
  <c r="B25675" i="1"/>
  <c r="G25674" i="1"/>
  <c r="C25674" i="1"/>
  <c r="B25674" i="1"/>
  <c r="G25673" i="1"/>
  <c r="B25673" i="1"/>
  <c r="G25672" i="1"/>
  <c r="B25672" i="1"/>
  <c r="G25671" i="1"/>
  <c r="C25671" i="1"/>
  <c r="B25671" i="1"/>
  <c r="G25670" i="1"/>
  <c r="B25670" i="1"/>
  <c r="G25669" i="1"/>
  <c r="C25669" i="1"/>
  <c r="B25669" i="1"/>
  <c r="G25668" i="1"/>
  <c r="C25668" i="1"/>
  <c r="B25668" i="1"/>
  <c r="G25667" i="1"/>
  <c r="C25667" i="1"/>
  <c r="B25667" i="1"/>
  <c r="G25666" i="1"/>
  <c r="C25666" i="1"/>
  <c r="B25666" i="1"/>
  <c r="G25665" i="1"/>
  <c r="B25665" i="1"/>
  <c r="G25664" i="1"/>
  <c r="C25664" i="1"/>
  <c r="B25664" i="1"/>
  <c r="G25663" i="1"/>
  <c r="C25663" i="1"/>
  <c r="B25663" i="1"/>
  <c r="G25662" i="1"/>
  <c r="C25662" i="1"/>
  <c r="B25662" i="1"/>
  <c r="G25661" i="1"/>
  <c r="C25661" i="1"/>
  <c r="B25661" i="1"/>
  <c r="G25660" i="1"/>
  <c r="C25660" i="1"/>
  <c r="B25660" i="1"/>
  <c r="G25659" i="1"/>
  <c r="C25659" i="1"/>
  <c r="B25659" i="1"/>
  <c r="G25658" i="1"/>
  <c r="C25658" i="1"/>
  <c r="B25658" i="1"/>
  <c r="G25657" i="1"/>
  <c r="C25657" i="1"/>
  <c r="B25657" i="1"/>
  <c r="G25656" i="1"/>
  <c r="C25656" i="1"/>
  <c r="B25656" i="1"/>
  <c r="G25655" i="1"/>
  <c r="C25655" i="1"/>
  <c r="B25655" i="1"/>
  <c r="G25654" i="1"/>
  <c r="B25654" i="1"/>
  <c r="G25653" i="1"/>
  <c r="B25653" i="1"/>
  <c r="G25652" i="1"/>
  <c r="C25652" i="1"/>
  <c r="B25652" i="1"/>
  <c r="G25651" i="1"/>
  <c r="B25651" i="1"/>
  <c r="G25650" i="1"/>
  <c r="C25650" i="1"/>
  <c r="B25650" i="1"/>
  <c r="G25649" i="1"/>
  <c r="B25649" i="1"/>
  <c r="G25648" i="1"/>
  <c r="C25648" i="1"/>
  <c r="B25648" i="1"/>
  <c r="G25647" i="1"/>
  <c r="B25647" i="1"/>
  <c r="G25646" i="1"/>
  <c r="C25646" i="1"/>
  <c r="B25646" i="1"/>
  <c r="G25645" i="1"/>
  <c r="C25645" i="1"/>
  <c r="B25645" i="1"/>
  <c r="G25644" i="1"/>
  <c r="B25644" i="1"/>
  <c r="G25643" i="1"/>
  <c r="C25643" i="1"/>
  <c r="B25643" i="1"/>
  <c r="G25642" i="1"/>
  <c r="C25642" i="1"/>
  <c r="B25642" i="1"/>
  <c r="G25641" i="1"/>
  <c r="C25641" i="1"/>
  <c r="B25641" i="1"/>
  <c r="G25640" i="1"/>
  <c r="C25640" i="1"/>
  <c r="B25640" i="1"/>
  <c r="G25639" i="1"/>
  <c r="B25639" i="1"/>
  <c r="G25638" i="1"/>
  <c r="B25638" i="1"/>
  <c r="G25637" i="1"/>
  <c r="C25637" i="1"/>
  <c r="B25637" i="1"/>
  <c r="G25636" i="1"/>
  <c r="B25636" i="1"/>
  <c r="G25635" i="1"/>
  <c r="C25635" i="1"/>
  <c r="B25635" i="1"/>
  <c r="G25634" i="1"/>
  <c r="C25634" i="1"/>
  <c r="B25634" i="1"/>
  <c r="G25633" i="1"/>
  <c r="C25633" i="1"/>
  <c r="B25633" i="1"/>
  <c r="G25632" i="1"/>
  <c r="C25632" i="1"/>
  <c r="B25632" i="1"/>
  <c r="G25631" i="1"/>
  <c r="C25631" i="1"/>
  <c r="B25631" i="1"/>
  <c r="G25630" i="1"/>
  <c r="B25630" i="1"/>
  <c r="G25629" i="1"/>
  <c r="C25629" i="1"/>
  <c r="B25629" i="1"/>
  <c r="G25628" i="1"/>
  <c r="C25628" i="1"/>
  <c r="B25628" i="1"/>
  <c r="G25627" i="1"/>
  <c r="C25627" i="1"/>
  <c r="B25627" i="1"/>
  <c r="G25626" i="1"/>
  <c r="C25626" i="1"/>
  <c r="B25626" i="1"/>
  <c r="G25625" i="1"/>
  <c r="C25625" i="1"/>
  <c r="B25625" i="1"/>
  <c r="G25624" i="1"/>
  <c r="C25624" i="1"/>
  <c r="B25624" i="1"/>
  <c r="G25623" i="1"/>
  <c r="C25623" i="1"/>
  <c r="B25623" i="1"/>
  <c r="G25622" i="1"/>
  <c r="C25622" i="1"/>
  <c r="B25622" i="1"/>
  <c r="G25621" i="1"/>
  <c r="C25621" i="1"/>
  <c r="B25621" i="1"/>
  <c r="G25620" i="1"/>
  <c r="B25620" i="1"/>
  <c r="G25619" i="1"/>
  <c r="C25619" i="1"/>
  <c r="B25619" i="1"/>
  <c r="G25618" i="1"/>
  <c r="C25618" i="1"/>
  <c r="B25618" i="1"/>
  <c r="G25617" i="1"/>
  <c r="C25617" i="1"/>
  <c r="B25617" i="1"/>
  <c r="G25616" i="1"/>
  <c r="C25616" i="1"/>
  <c r="B25616" i="1"/>
  <c r="G25615" i="1"/>
  <c r="C25615" i="1"/>
  <c r="B25615" i="1"/>
  <c r="G25614" i="1"/>
  <c r="B25614" i="1"/>
  <c r="G25613" i="1"/>
  <c r="B25613" i="1"/>
  <c r="G25612" i="1"/>
  <c r="C25612" i="1"/>
  <c r="B25612" i="1"/>
  <c r="G25611" i="1"/>
  <c r="C25611" i="1"/>
  <c r="B25611" i="1"/>
  <c r="G25610" i="1"/>
  <c r="B25610" i="1"/>
  <c r="G25609" i="1"/>
  <c r="C25609" i="1"/>
  <c r="B25609" i="1"/>
  <c r="G25608" i="1"/>
  <c r="B25608" i="1"/>
  <c r="G25607" i="1"/>
  <c r="C25607" i="1"/>
  <c r="B25607" i="1"/>
  <c r="G25606" i="1"/>
  <c r="C25606" i="1"/>
  <c r="B25606" i="1"/>
  <c r="G25605" i="1"/>
  <c r="C25605" i="1"/>
  <c r="B25605" i="1"/>
  <c r="G25604" i="1"/>
  <c r="C25604" i="1"/>
  <c r="B25604" i="1"/>
  <c r="G25603" i="1"/>
  <c r="C25603" i="1"/>
  <c r="B25603" i="1"/>
  <c r="G25602" i="1"/>
  <c r="C25602" i="1"/>
  <c r="B25602" i="1"/>
  <c r="G25601" i="1"/>
  <c r="B25601" i="1"/>
  <c r="G25600" i="1"/>
  <c r="B25600" i="1"/>
  <c r="G25599" i="1"/>
  <c r="C25599" i="1"/>
  <c r="B25599" i="1"/>
  <c r="G25598" i="1"/>
  <c r="C25598" i="1"/>
  <c r="B25598" i="1"/>
  <c r="G25597" i="1"/>
  <c r="C25597" i="1"/>
  <c r="B25597" i="1"/>
  <c r="G25596" i="1"/>
  <c r="C25596" i="1"/>
  <c r="B25596" i="1"/>
  <c r="G25595" i="1"/>
  <c r="C25595" i="1"/>
  <c r="B25595" i="1"/>
  <c r="G25594" i="1"/>
  <c r="B25594" i="1"/>
  <c r="G25593" i="1"/>
  <c r="B25593" i="1"/>
  <c r="G25592" i="1"/>
  <c r="C25592" i="1"/>
  <c r="B25592" i="1"/>
  <c r="G25591" i="1"/>
  <c r="C25591" i="1"/>
  <c r="B25591" i="1"/>
  <c r="G25590" i="1"/>
  <c r="C25590" i="1"/>
  <c r="B25590" i="1"/>
  <c r="G25589" i="1"/>
  <c r="B25589" i="1"/>
  <c r="G25588" i="1"/>
  <c r="C25588" i="1"/>
  <c r="B25588" i="1"/>
  <c r="G25587" i="1"/>
  <c r="C25587" i="1"/>
  <c r="B25587" i="1"/>
  <c r="G25586" i="1"/>
  <c r="B25586" i="1"/>
  <c r="G25585" i="1"/>
  <c r="B25585" i="1"/>
  <c r="G25584" i="1"/>
  <c r="C25584" i="1"/>
  <c r="B25584" i="1"/>
  <c r="G25583" i="1"/>
  <c r="C25583" i="1"/>
  <c r="B25583" i="1"/>
  <c r="G25582" i="1"/>
  <c r="C25582" i="1"/>
  <c r="B25582" i="1"/>
  <c r="G25581" i="1"/>
  <c r="C25581" i="1"/>
  <c r="B25581" i="1"/>
  <c r="G25580" i="1"/>
  <c r="B25580" i="1"/>
  <c r="G25579" i="1"/>
  <c r="C25579" i="1"/>
  <c r="B25579" i="1"/>
  <c r="G25578" i="1"/>
  <c r="B25578" i="1"/>
  <c r="G25577" i="1"/>
  <c r="B25577" i="1"/>
  <c r="G25576" i="1"/>
  <c r="C25576" i="1"/>
  <c r="B25576" i="1"/>
  <c r="G25575" i="1"/>
  <c r="C25575" i="1"/>
  <c r="B25575" i="1"/>
  <c r="G25574" i="1"/>
  <c r="C25574" i="1"/>
  <c r="B25574" i="1"/>
  <c r="G25573" i="1"/>
  <c r="C25573" i="1"/>
  <c r="B25573" i="1"/>
  <c r="G25572" i="1"/>
  <c r="C25572" i="1"/>
  <c r="B25572" i="1"/>
  <c r="G25571" i="1"/>
  <c r="B25571" i="1"/>
  <c r="G25570" i="1"/>
  <c r="C25570" i="1"/>
  <c r="B25570" i="1"/>
  <c r="G25569" i="1"/>
  <c r="C25569" i="1"/>
  <c r="B25569" i="1"/>
  <c r="G25568" i="1"/>
  <c r="C25568" i="1"/>
  <c r="B25568" i="1"/>
  <c r="G25567" i="1"/>
  <c r="C25567" i="1"/>
  <c r="B25567" i="1"/>
  <c r="G25566" i="1"/>
  <c r="B25566" i="1"/>
  <c r="G25565" i="1"/>
  <c r="C25565" i="1"/>
  <c r="B25565" i="1"/>
  <c r="G25564" i="1"/>
  <c r="B25564" i="1"/>
  <c r="G25563" i="1"/>
  <c r="C25563" i="1"/>
  <c r="B25563" i="1"/>
  <c r="G25562" i="1"/>
  <c r="C25562" i="1"/>
  <c r="B25562" i="1"/>
  <c r="G25561" i="1"/>
  <c r="C25561" i="1"/>
  <c r="B25561" i="1"/>
  <c r="G25560" i="1"/>
  <c r="B25560" i="1"/>
  <c r="G25559" i="1"/>
  <c r="B25559" i="1"/>
  <c r="G25558" i="1"/>
  <c r="C25558" i="1"/>
  <c r="B25558" i="1"/>
  <c r="G25557" i="1"/>
  <c r="C25557" i="1"/>
  <c r="B25557" i="1"/>
  <c r="G25556" i="1"/>
  <c r="C25556" i="1"/>
  <c r="B25556" i="1"/>
  <c r="G25555" i="1"/>
  <c r="B25555" i="1"/>
  <c r="G25554" i="1"/>
  <c r="C25554" i="1"/>
  <c r="B25554" i="1"/>
  <c r="G25553" i="1"/>
  <c r="C25553" i="1"/>
  <c r="B25553" i="1"/>
  <c r="G25552" i="1"/>
  <c r="C25552" i="1"/>
  <c r="B25552" i="1"/>
  <c r="G25551" i="1"/>
  <c r="C25551" i="1"/>
  <c r="B25551" i="1"/>
  <c r="G25550" i="1"/>
  <c r="B25550" i="1"/>
  <c r="G25549" i="1"/>
  <c r="C25549" i="1"/>
  <c r="B25549" i="1"/>
  <c r="G25548" i="1"/>
  <c r="B25548" i="1"/>
  <c r="G25547" i="1"/>
  <c r="C25547" i="1"/>
  <c r="B25547" i="1"/>
  <c r="G25546" i="1"/>
  <c r="C25546" i="1"/>
  <c r="B25546" i="1"/>
  <c r="G25545" i="1"/>
  <c r="C25545" i="1"/>
  <c r="B25545" i="1"/>
  <c r="G25544" i="1"/>
  <c r="C25544" i="1"/>
  <c r="B25544" i="1"/>
  <c r="G25543" i="1"/>
  <c r="B25543" i="1"/>
  <c r="G25542" i="1"/>
  <c r="C25542" i="1"/>
  <c r="B25542" i="1"/>
  <c r="G25541" i="1"/>
  <c r="C25541" i="1"/>
  <c r="B25541" i="1"/>
  <c r="G25540" i="1"/>
  <c r="C25540" i="1"/>
  <c r="B25540" i="1"/>
  <c r="G25539" i="1"/>
  <c r="C25539" i="1"/>
  <c r="B25539" i="1"/>
  <c r="G25538" i="1"/>
  <c r="C25538" i="1"/>
  <c r="B25538" i="1"/>
  <c r="G25537" i="1"/>
  <c r="C25537" i="1"/>
  <c r="B25537" i="1"/>
  <c r="G25536" i="1"/>
  <c r="B25536" i="1"/>
  <c r="G25535" i="1"/>
  <c r="B25535" i="1"/>
  <c r="G25534" i="1"/>
  <c r="C25534" i="1"/>
  <c r="B25534" i="1"/>
  <c r="G25533" i="1"/>
  <c r="B25533" i="1"/>
  <c r="G25532" i="1"/>
  <c r="C25532" i="1"/>
  <c r="B25532" i="1"/>
  <c r="G25531" i="1"/>
  <c r="C25531" i="1"/>
  <c r="B25531" i="1"/>
  <c r="G25530" i="1"/>
  <c r="B25530" i="1"/>
  <c r="G25529" i="1"/>
  <c r="B25529" i="1"/>
  <c r="G25528" i="1"/>
  <c r="C25528" i="1"/>
  <c r="B25528" i="1"/>
  <c r="G25527" i="1"/>
  <c r="C25527" i="1"/>
  <c r="B25527" i="1"/>
  <c r="G25526" i="1"/>
  <c r="C25526" i="1"/>
  <c r="B25526" i="1"/>
  <c r="G25525" i="1"/>
  <c r="B25525" i="1"/>
  <c r="G25524" i="1"/>
  <c r="B25524" i="1"/>
  <c r="G25523" i="1"/>
  <c r="C25523" i="1"/>
  <c r="B25523" i="1"/>
  <c r="G25522" i="1"/>
  <c r="C25522" i="1"/>
  <c r="B25522" i="1"/>
  <c r="G25521" i="1"/>
  <c r="B25521" i="1"/>
  <c r="G25520" i="1"/>
  <c r="C25520" i="1"/>
  <c r="B25520" i="1"/>
  <c r="G25519" i="1"/>
  <c r="C25519" i="1"/>
  <c r="B25519" i="1"/>
  <c r="G25518" i="1"/>
  <c r="C25518" i="1"/>
  <c r="B25518" i="1"/>
  <c r="G25517" i="1"/>
  <c r="C25517" i="1"/>
  <c r="B25517" i="1"/>
  <c r="G25516" i="1"/>
  <c r="C25516" i="1"/>
  <c r="B25516" i="1"/>
  <c r="G25515" i="1"/>
  <c r="C25515" i="1"/>
  <c r="B25515" i="1"/>
  <c r="G25514" i="1"/>
  <c r="C25514" i="1"/>
  <c r="B25514" i="1"/>
  <c r="G25513" i="1"/>
  <c r="C25513" i="1"/>
  <c r="B25513" i="1"/>
  <c r="G25512" i="1"/>
  <c r="C25512" i="1"/>
  <c r="B25512" i="1"/>
  <c r="G25511" i="1"/>
  <c r="C25511" i="1"/>
  <c r="B25511" i="1"/>
  <c r="G25510" i="1"/>
  <c r="C25510" i="1"/>
  <c r="B25510" i="1"/>
  <c r="G25509" i="1"/>
  <c r="B25509" i="1"/>
  <c r="G25508" i="1"/>
  <c r="C25508" i="1"/>
  <c r="B25508" i="1"/>
  <c r="G25507" i="1"/>
  <c r="C25507" i="1"/>
  <c r="B25507" i="1"/>
  <c r="G25506" i="1"/>
  <c r="B25506" i="1"/>
  <c r="G25505" i="1"/>
  <c r="C25505" i="1"/>
  <c r="B25505" i="1"/>
  <c r="G25504" i="1"/>
  <c r="B25504" i="1"/>
  <c r="G25503" i="1"/>
  <c r="C25503" i="1"/>
  <c r="B25503" i="1"/>
  <c r="G25502" i="1"/>
  <c r="B25502" i="1"/>
  <c r="G25501" i="1"/>
  <c r="C25501" i="1"/>
  <c r="B25501" i="1"/>
  <c r="G25500" i="1"/>
  <c r="C25500" i="1"/>
  <c r="B25500" i="1"/>
  <c r="G25499" i="1"/>
  <c r="B25499" i="1"/>
  <c r="G25498" i="1"/>
  <c r="C25498" i="1"/>
  <c r="B25498" i="1"/>
  <c r="G25497" i="1"/>
  <c r="C25497" i="1"/>
  <c r="B25497" i="1"/>
  <c r="G25496" i="1"/>
  <c r="B25496" i="1"/>
  <c r="G25495" i="1"/>
  <c r="C25495" i="1"/>
  <c r="B25495" i="1"/>
  <c r="G25494" i="1"/>
  <c r="C25494" i="1"/>
  <c r="B25494" i="1"/>
  <c r="G25493" i="1"/>
  <c r="C25493" i="1"/>
  <c r="B25493" i="1"/>
  <c r="G25492" i="1"/>
  <c r="C25492" i="1"/>
  <c r="B25492" i="1"/>
  <c r="G25491" i="1"/>
  <c r="C25491" i="1"/>
  <c r="B25491" i="1"/>
  <c r="G25490" i="1"/>
  <c r="C25490" i="1"/>
  <c r="B25490" i="1"/>
  <c r="G25489" i="1"/>
  <c r="C25489" i="1"/>
  <c r="B25489" i="1"/>
  <c r="G25488" i="1"/>
  <c r="B25488" i="1"/>
  <c r="G25487" i="1"/>
  <c r="C25487" i="1"/>
  <c r="B25487" i="1"/>
  <c r="G25486" i="1"/>
  <c r="C25486" i="1"/>
  <c r="B25486" i="1"/>
  <c r="G25485" i="1"/>
  <c r="C25485" i="1"/>
  <c r="B25485" i="1"/>
  <c r="G25484" i="1"/>
  <c r="B25484" i="1"/>
  <c r="G25483" i="1"/>
  <c r="B25483" i="1"/>
  <c r="G25482" i="1"/>
  <c r="B25482" i="1"/>
  <c r="G25481" i="1"/>
  <c r="B25481" i="1"/>
  <c r="G25480" i="1"/>
  <c r="C25480" i="1"/>
  <c r="B25480" i="1"/>
  <c r="G25479" i="1"/>
  <c r="C25479" i="1"/>
  <c r="B25479" i="1"/>
  <c r="G25478" i="1"/>
  <c r="C25478" i="1"/>
  <c r="B25478" i="1"/>
  <c r="G25477" i="1"/>
  <c r="C25477" i="1"/>
  <c r="B25477" i="1"/>
  <c r="G25476" i="1"/>
  <c r="B25476" i="1"/>
  <c r="G25475" i="1"/>
  <c r="C25475" i="1"/>
  <c r="B25475" i="1"/>
  <c r="G25474" i="1"/>
  <c r="B25474" i="1"/>
  <c r="G25473" i="1"/>
  <c r="B25473" i="1"/>
  <c r="G25472" i="1"/>
  <c r="C25472" i="1"/>
  <c r="B25472" i="1"/>
  <c r="G25471" i="1"/>
  <c r="C25471" i="1"/>
  <c r="B25471" i="1"/>
  <c r="G25470" i="1"/>
  <c r="C25470" i="1"/>
  <c r="B25470" i="1"/>
  <c r="G25469" i="1"/>
  <c r="B25469" i="1"/>
  <c r="G25468" i="1"/>
  <c r="C25468" i="1"/>
  <c r="B25468" i="1"/>
  <c r="G25467" i="1"/>
  <c r="C25467" i="1"/>
  <c r="B25467" i="1"/>
  <c r="G25466" i="1"/>
  <c r="C25466" i="1"/>
  <c r="B25466" i="1"/>
  <c r="G25465" i="1"/>
  <c r="B25465" i="1"/>
  <c r="G25464" i="1"/>
  <c r="C25464" i="1"/>
  <c r="B25464" i="1"/>
  <c r="G25463" i="1"/>
  <c r="C25463" i="1"/>
  <c r="B25463" i="1"/>
  <c r="G25462" i="1"/>
  <c r="C25462" i="1"/>
  <c r="B25462" i="1"/>
  <c r="G25461" i="1"/>
  <c r="C25461" i="1"/>
  <c r="B25461" i="1"/>
  <c r="G25460" i="1"/>
  <c r="B25460" i="1"/>
  <c r="G25459" i="1"/>
  <c r="C25459" i="1"/>
  <c r="B25459" i="1"/>
  <c r="G25458" i="1"/>
  <c r="C25458" i="1"/>
  <c r="B25458" i="1"/>
  <c r="G25457" i="1"/>
  <c r="B25457" i="1"/>
  <c r="G25456" i="1"/>
  <c r="C25456" i="1"/>
  <c r="B25456" i="1"/>
  <c r="G25455" i="1"/>
  <c r="B25455" i="1"/>
  <c r="G25454" i="1"/>
  <c r="C25454" i="1"/>
  <c r="B25454" i="1"/>
  <c r="G25453" i="1"/>
  <c r="B25453" i="1"/>
  <c r="G25452" i="1"/>
  <c r="C25452" i="1"/>
  <c r="B25452" i="1"/>
  <c r="G25451" i="1"/>
  <c r="C25451" i="1"/>
  <c r="B25451" i="1"/>
  <c r="G25450" i="1"/>
  <c r="B25450" i="1"/>
  <c r="G25449" i="1"/>
  <c r="C25449" i="1"/>
  <c r="B25449" i="1"/>
  <c r="G25448" i="1"/>
  <c r="C25448" i="1"/>
  <c r="B25448" i="1"/>
  <c r="G25447" i="1"/>
  <c r="C25447" i="1"/>
  <c r="B25447" i="1"/>
  <c r="G25446" i="1"/>
  <c r="B25446" i="1"/>
  <c r="G25445" i="1"/>
  <c r="C25445" i="1"/>
  <c r="B25445" i="1"/>
  <c r="G25444" i="1"/>
  <c r="C25444" i="1"/>
  <c r="B25444" i="1"/>
  <c r="G25443" i="1"/>
  <c r="B25443" i="1"/>
  <c r="G25442" i="1"/>
  <c r="B25442" i="1"/>
  <c r="G25441" i="1"/>
  <c r="B25441" i="1"/>
  <c r="G25440" i="1"/>
  <c r="C25440" i="1"/>
  <c r="B25440" i="1"/>
  <c r="G25439" i="1"/>
  <c r="C25439" i="1"/>
  <c r="B25439" i="1"/>
  <c r="G25438" i="1"/>
  <c r="C25438" i="1"/>
  <c r="B25438" i="1"/>
  <c r="G25437" i="1"/>
  <c r="C25437" i="1"/>
  <c r="B25437" i="1"/>
  <c r="G25436" i="1"/>
  <c r="B25436" i="1"/>
  <c r="G25435" i="1"/>
  <c r="C25435" i="1"/>
  <c r="B25435" i="1"/>
  <c r="G25434" i="1"/>
  <c r="B25434" i="1"/>
  <c r="G25433" i="1"/>
  <c r="B25433" i="1"/>
  <c r="G25432" i="1"/>
  <c r="C25432" i="1"/>
  <c r="B25432" i="1"/>
  <c r="G25431" i="1"/>
  <c r="C25431" i="1"/>
  <c r="B25431" i="1"/>
  <c r="G25430" i="1"/>
  <c r="B25430" i="1"/>
  <c r="G25429" i="1"/>
  <c r="C25429" i="1"/>
  <c r="B25429" i="1"/>
  <c r="G25428" i="1"/>
  <c r="C25428" i="1"/>
  <c r="B25428" i="1"/>
  <c r="G25427" i="1"/>
  <c r="B25427" i="1"/>
  <c r="G25426" i="1"/>
  <c r="B25426" i="1"/>
  <c r="G25425" i="1"/>
  <c r="B25425" i="1"/>
  <c r="G25424" i="1"/>
  <c r="C25424" i="1"/>
  <c r="B25424" i="1"/>
  <c r="G25423" i="1"/>
  <c r="C25423" i="1"/>
  <c r="B25423" i="1"/>
  <c r="G25422" i="1"/>
  <c r="B25422" i="1"/>
  <c r="G25421" i="1"/>
  <c r="B25421" i="1"/>
  <c r="G25420" i="1"/>
  <c r="C25420" i="1"/>
  <c r="B25420" i="1"/>
  <c r="G25419" i="1"/>
  <c r="C25419" i="1"/>
  <c r="B25419" i="1"/>
  <c r="G25418" i="1"/>
  <c r="B25418" i="1"/>
  <c r="G25417" i="1"/>
  <c r="C25417" i="1"/>
  <c r="B25417" i="1"/>
  <c r="G25416" i="1"/>
  <c r="C25416" i="1"/>
  <c r="B25416" i="1"/>
  <c r="G25415" i="1"/>
  <c r="B25415" i="1"/>
  <c r="G25414" i="1"/>
  <c r="C25414" i="1"/>
  <c r="B25414" i="1"/>
  <c r="G25413" i="1"/>
  <c r="B25413" i="1"/>
  <c r="G25412" i="1"/>
  <c r="C25412" i="1"/>
  <c r="B25412" i="1"/>
  <c r="G25411" i="1"/>
  <c r="C25411" i="1"/>
  <c r="B25411" i="1"/>
  <c r="G25410" i="1"/>
  <c r="C25410" i="1"/>
  <c r="B25410" i="1"/>
  <c r="G25409" i="1"/>
  <c r="C25409" i="1"/>
  <c r="B25409" i="1"/>
  <c r="G25408" i="1"/>
  <c r="C25408" i="1"/>
  <c r="B25408" i="1"/>
  <c r="G25407" i="1"/>
  <c r="C25407" i="1"/>
  <c r="B25407" i="1"/>
  <c r="G25406" i="1"/>
  <c r="C25406" i="1"/>
  <c r="B25406" i="1"/>
  <c r="G25405" i="1"/>
  <c r="B25405" i="1"/>
  <c r="G25404" i="1"/>
  <c r="C25404" i="1"/>
  <c r="B25404" i="1"/>
  <c r="G25403" i="1"/>
  <c r="C25403" i="1"/>
  <c r="B25403" i="1"/>
  <c r="G25402" i="1"/>
  <c r="C25402" i="1"/>
  <c r="B25402" i="1"/>
  <c r="G25401" i="1"/>
  <c r="C25401" i="1"/>
  <c r="B25401" i="1"/>
  <c r="G25400" i="1"/>
  <c r="C25400" i="1"/>
  <c r="B25400" i="1"/>
  <c r="G25399" i="1"/>
  <c r="B25399" i="1"/>
  <c r="G25398" i="1"/>
  <c r="C25398" i="1"/>
  <c r="B25398" i="1"/>
  <c r="G25397" i="1"/>
  <c r="B25397" i="1"/>
  <c r="G25396" i="1"/>
  <c r="B25396" i="1"/>
  <c r="G25395" i="1"/>
  <c r="C25395" i="1"/>
  <c r="B25395" i="1"/>
  <c r="G25394" i="1"/>
  <c r="C25394" i="1"/>
  <c r="B25394" i="1"/>
  <c r="G25393" i="1"/>
  <c r="C25393" i="1"/>
  <c r="B25393" i="1"/>
  <c r="G25392" i="1"/>
  <c r="C25392" i="1"/>
  <c r="B25392" i="1"/>
  <c r="G25391" i="1"/>
  <c r="C25391" i="1"/>
  <c r="B25391" i="1"/>
  <c r="G25390" i="1"/>
  <c r="C25390" i="1"/>
  <c r="B25390" i="1"/>
  <c r="G25389" i="1"/>
  <c r="C25389" i="1"/>
  <c r="B25389" i="1"/>
  <c r="G25388" i="1"/>
  <c r="C25388" i="1"/>
  <c r="B25388" i="1"/>
  <c r="G25387" i="1"/>
  <c r="C25387" i="1"/>
  <c r="B25387" i="1"/>
  <c r="G25386" i="1"/>
  <c r="C25386" i="1"/>
  <c r="B25386" i="1"/>
  <c r="G25385" i="1"/>
  <c r="C25385" i="1"/>
  <c r="B25385" i="1"/>
  <c r="G25384" i="1"/>
  <c r="C25384" i="1"/>
  <c r="B25384" i="1"/>
  <c r="G25383" i="1"/>
  <c r="B25383" i="1"/>
  <c r="G25382" i="1"/>
  <c r="C25382" i="1"/>
  <c r="B25382" i="1"/>
  <c r="G25381" i="1"/>
  <c r="C25381" i="1"/>
  <c r="B25381" i="1"/>
  <c r="G25380" i="1"/>
  <c r="C25380" i="1"/>
  <c r="B25380" i="1"/>
  <c r="G25379" i="1"/>
  <c r="C25379" i="1"/>
  <c r="B25379" i="1"/>
  <c r="G25378" i="1"/>
  <c r="C25378" i="1"/>
  <c r="B25378" i="1"/>
  <c r="G25377" i="1"/>
  <c r="C25377" i="1"/>
  <c r="B25377" i="1"/>
  <c r="G25376" i="1"/>
  <c r="B25376" i="1"/>
  <c r="G25375" i="1"/>
  <c r="B25375" i="1"/>
  <c r="G25374" i="1"/>
  <c r="B25374" i="1"/>
  <c r="G25373" i="1"/>
  <c r="C25373" i="1"/>
  <c r="B25373" i="1"/>
  <c r="G25372" i="1"/>
  <c r="C25372" i="1"/>
  <c r="B25372" i="1"/>
  <c r="G25371" i="1"/>
  <c r="B25371" i="1"/>
  <c r="G25370" i="1"/>
  <c r="C25370" i="1"/>
  <c r="B25370" i="1"/>
  <c r="G25369" i="1"/>
  <c r="C25369" i="1"/>
  <c r="B25369" i="1"/>
  <c r="G25368" i="1"/>
  <c r="C25368" i="1"/>
  <c r="B25368" i="1"/>
  <c r="G25367" i="1"/>
  <c r="C25367" i="1"/>
  <c r="B25367" i="1"/>
  <c r="G25366" i="1"/>
  <c r="C25366" i="1"/>
  <c r="B25366" i="1"/>
  <c r="G25365" i="1"/>
  <c r="C25365" i="1"/>
  <c r="B25365" i="1"/>
  <c r="G25364" i="1"/>
  <c r="B25364" i="1"/>
  <c r="G25363" i="1"/>
  <c r="B25363" i="1"/>
  <c r="G25362" i="1"/>
  <c r="C25362" i="1"/>
  <c r="B25362" i="1"/>
  <c r="G25361" i="1"/>
  <c r="B25361" i="1"/>
  <c r="G25360" i="1"/>
  <c r="C25360" i="1"/>
  <c r="B25360" i="1"/>
  <c r="G25359" i="1"/>
  <c r="C25359" i="1"/>
  <c r="B25359" i="1"/>
  <c r="G25358" i="1"/>
  <c r="B25358" i="1"/>
  <c r="G25357" i="1"/>
  <c r="C25357" i="1"/>
  <c r="B25357" i="1"/>
  <c r="G25356" i="1"/>
  <c r="C25356" i="1"/>
  <c r="B25356" i="1"/>
  <c r="G25355" i="1"/>
  <c r="B25355" i="1"/>
  <c r="G25354" i="1"/>
  <c r="C25354" i="1"/>
  <c r="B25354" i="1"/>
  <c r="G25353" i="1"/>
  <c r="C25353" i="1"/>
  <c r="B25353" i="1"/>
  <c r="G25352" i="1"/>
  <c r="B25352" i="1"/>
  <c r="G25351" i="1"/>
  <c r="C25351" i="1"/>
  <c r="B25351" i="1"/>
  <c r="G25350" i="1"/>
  <c r="C25350" i="1"/>
  <c r="B25350" i="1"/>
  <c r="G25349" i="1"/>
  <c r="C25349" i="1"/>
  <c r="B25349" i="1"/>
  <c r="G25348" i="1"/>
  <c r="C25348" i="1"/>
  <c r="B25348" i="1"/>
  <c r="G25347" i="1"/>
  <c r="C25347" i="1"/>
  <c r="B25347" i="1"/>
  <c r="G25346" i="1"/>
  <c r="C25346" i="1"/>
  <c r="B25346" i="1"/>
  <c r="G25345" i="1"/>
  <c r="C25345" i="1"/>
  <c r="B25345" i="1"/>
  <c r="G25344" i="1"/>
  <c r="B25344" i="1"/>
  <c r="G25343" i="1"/>
  <c r="C25343" i="1"/>
  <c r="B25343" i="1"/>
  <c r="G25342" i="1"/>
  <c r="C25342" i="1"/>
  <c r="B25342" i="1"/>
  <c r="G25341" i="1"/>
  <c r="C25341" i="1"/>
  <c r="B25341" i="1"/>
  <c r="G25340" i="1"/>
  <c r="C25340" i="1"/>
  <c r="B25340" i="1"/>
  <c r="G25339" i="1"/>
  <c r="C25339" i="1"/>
  <c r="B25339" i="1"/>
  <c r="G25338" i="1"/>
  <c r="C25338" i="1"/>
  <c r="B25338" i="1"/>
  <c r="G25337" i="1"/>
  <c r="C25337" i="1"/>
  <c r="B25337" i="1"/>
  <c r="G25336" i="1"/>
  <c r="C25336" i="1"/>
  <c r="B25336" i="1"/>
  <c r="G25335" i="1"/>
  <c r="C25335" i="1"/>
  <c r="B25335" i="1"/>
  <c r="G25334" i="1"/>
  <c r="B25334" i="1"/>
  <c r="G25333" i="1"/>
  <c r="B25333" i="1"/>
  <c r="G25332" i="1"/>
  <c r="C25332" i="1"/>
  <c r="B25332" i="1"/>
  <c r="G25331" i="1"/>
  <c r="B25331" i="1"/>
  <c r="G25330" i="1"/>
  <c r="B25330" i="1"/>
  <c r="G25329" i="1"/>
  <c r="C25329" i="1"/>
  <c r="B25329" i="1"/>
  <c r="G25328" i="1"/>
  <c r="B25328" i="1"/>
  <c r="G25327" i="1"/>
  <c r="C25327" i="1"/>
  <c r="B25327" i="1"/>
  <c r="G25326" i="1"/>
  <c r="B25326" i="1"/>
  <c r="G25325" i="1"/>
  <c r="C25325" i="1"/>
  <c r="B25325" i="1"/>
  <c r="G25324" i="1"/>
  <c r="C25324" i="1"/>
  <c r="B25324" i="1"/>
  <c r="G25323" i="1"/>
  <c r="B25323" i="1"/>
  <c r="G25322" i="1"/>
  <c r="C25322" i="1"/>
  <c r="B25322" i="1"/>
  <c r="G25321" i="1"/>
  <c r="B25321" i="1"/>
  <c r="G25320" i="1"/>
  <c r="C25320" i="1"/>
  <c r="B25320" i="1"/>
  <c r="G25319" i="1"/>
  <c r="C25319" i="1"/>
  <c r="B25319" i="1"/>
  <c r="G25318" i="1"/>
  <c r="C25318" i="1"/>
  <c r="B25318" i="1"/>
  <c r="G25317" i="1"/>
  <c r="B25317" i="1"/>
  <c r="G25316" i="1"/>
  <c r="B25316" i="1"/>
  <c r="G25315" i="1"/>
  <c r="C25315" i="1"/>
  <c r="B25315" i="1"/>
  <c r="G25314" i="1"/>
  <c r="C25314" i="1"/>
  <c r="B25314" i="1"/>
  <c r="G25313" i="1"/>
  <c r="B25313" i="1"/>
  <c r="G25312" i="1"/>
  <c r="C25312" i="1"/>
  <c r="B25312" i="1"/>
  <c r="G25311" i="1"/>
  <c r="B25311" i="1"/>
  <c r="G25310" i="1"/>
  <c r="C25310" i="1"/>
  <c r="B25310" i="1"/>
  <c r="G25309" i="1"/>
  <c r="C25309" i="1"/>
  <c r="B25309" i="1"/>
  <c r="G25308" i="1"/>
  <c r="C25308" i="1"/>
  <c r="B25308" i="1"/>
  <c r="G25307" i="1"/>
  <c r="C25307" i="1"/>
  <c r="B25307" i="1"/>
  <c r="G25306" i="1"/>
  <c r="C25306" i="1"/>
  <c r="B25306" i="1"/>
  <c r="G25305" i="1"/>
  <c r="C25305" i="1"/>
  <c r="B25305" i="1"/>
  <c r="G25304" i="1"/>
  <c r="C25304" i="1"/>
  <c r="B25304" i="1"/>
  <c r="G25303" i="1"/>
  <c r="C25303" i="1"/>
  <c r="B25303" i="1"/>
  <c r="G25302" i="1"/>
  <c r="C25302" i="1"/>
  <c r="B25302" i="1"/>
  <c r="G25301" i="1"/>
  <c r="C25301" i="1"/>
  <c r="B25301" i="1"/>
  <c r="G25300" i="1"/>
  <c r="B25300" i="1"/>
  <c r="G25299" i="1"/>
  <c r="B25299" i="1"/>
  <c r="G25298" i="1"/>
  <c r="C25298" i="1"/>
  <c r="B25298" i="1"/>
  <c r="G25297" i="1"/>
  <c r="C25297" i="1"/>
  <c r="B25297" i="1"/>
  <c r="G25296" i="1"/>
  <c r="C25296" i="1"/>
  <c r="B25296" i="1"/>
  <c r="G25295" i="1"/>
  <c r="C25295" i="1"/>
  <c r="B25295" i="1"/>
  <c r="G25294" i="1"/>
  <c r="B25294" i="1"/>
  <c r="G25293" i="1"/>
  <c r="B25293" i="1"/>
  <c r="G25292" i="1"/>
  <c r="C25292" i="1"/>
  <c r="B25292" i="1"/>
  <c r="G25291" i="1"/>
  <c r="B25291" i="1"/>
  <c r="G25290" i="1"/>
  <c r="B25290" i="1"/>
  <c r="G25289" i="1"/>
  <c r="B25289" i="1"/>
  <c r="G25288" i="1"/>
  <c r="B25288" i="1"/>
  <c r="G25287" i="1"/>
  <c r="B25287" i="1"/>
  <c r="G25286" i="1"/>
  <c r="B25286" i="1"/>
  <c r="G25285" i="1"/>
  <c r="B25285" i="1"/>
  <c r="G25284" i="1"/>
  <c r="B25284" i="1"/>
  <c r="G25283" i="1"/>
  <c r="B25283" i="1"/>
  <c r="G25282" i="1"/>
  <c r="B25282" i="1"/>
  <c r="G25281" i="1"/>
  <c r="B25281" i="1"/>
  <c r="G25280" i="1"/>
  <c r="C25280" i="1"/>
  <c r="B25280" i="1"/>
  <c r="G25279" i="1"/>
  <c r="B25279" i="1"/>
  <c r="G25278" i="1"/>
  <c r="B25278" i="1"/>
  <c r="G25277" i="1"/>
  <c r="C25277" i="1"/>
  <c r="B25277" i="1"/>
  <c r="G25276" i="1"/>
  <c r="B25276" i="1"/>
  <c r="G25275" i="1"/>
  <c r="C25275" i="1"/>
  <c r="B25275" i="1"/>
  <c r="G25274" i="1"/>
  <c r="C25274" i="1"/>
  <c r="B25274" i="1"/>
  <c r="G25273" i="1"/>
  <c r="C25273" i="1"/>
  <c r="B25273" i="1"/>
  <c r="G25272" i="1"/>
  <c r="B25272" i="1"/>
  <c r="G25271" i="1"/>
  <c r="B25271" i="1"/>
  <c r="G25270" i="1"/>
  <c r="B25270" i="1"/>
  <c r="G25269" i="1"/>
  <c r="C25269" i="1"/>
  <c r="B25269" i="1"/>
  <c r="G25268" i="1"/>
  <c r="C25268" i="1"/>
  <c r="B25268" i="1"/>
  <c r="G25267" i="1"/>
  <c r="C25267" i="1"/>
  <c r="B25267" i="1"/>
  <c r="G25266" i="1"/>
  <c r="C25266" i="1"/>
  <c r="B25266" i="1"/>
  <c r="G25265" i="1"/>
  <c r="B25265" i="1"/>
  <c r="G25264" i="1"/>
  <c r="C25264" i="1"/>
  <c r="B25264" i="1"/>
  <c r="G25263" i="1"/>
  <c r="B25263" i="1"/>
  <c r="G25262" i="1"/>
  <c r="C25262" i="1"/>
  <c r="B25262" i="1"/>
  <c r="G25261" i="1"/>
  <c r="C25261" i="1"/>
  <c r="B25261" i="1"/>
  <c r="G25260" i="1"/>
  <c r="C25260" i="1"/>
  <c r="B25260" i="1"/>
  <c r="G25259" i="1"/>
  <c r="C25259" i="1"/>
  <c r="B25259" i="1"/>
  <c r="G25258" i="1"/>
  <c r="C25258" i="1"/>
  <c r="B25258" i="1"/>
  <c r="G25257" i="1"/>
  <c r="C25257" i="1"/>
  <c r="B25257" i="1"/>
  <c r="G25256" i="1"/>
  <c r="B25256" i="1"/>
  <c r="G25255" i="1"/>
  <c r="C25255" i="1"/>
  <c r="B25255" i="1"/>
  <c r="G25254" i="1"/>
  <c r="C25254" i="1"/>
  <c r="B25254" i="1"/>
  <c r="G25253" i="1"/>
  <c r="C25253" i="1"/>
  <c r="B25253" i="1"/>
  <c r="G25252" i="1"/>
  <c r="C25252" i="1"/>
  <c r="B25252" i="1"/>
  <c r="G25251" i="1"/>
  <c r="C25251" i="1"/>
  <c r="B25251" i="1"/>
  <c r="G25250" i="1"/>
  <c r="C25250" i="1"/>
  <c r="B25250" i="1"/>
  <c r="G25249" i="1"/>
  <c r="C25249" i="1"/>
  <c r="B25249" i="1"/>
  <c r="G25248" i="1"/>
  <c r="C25248" i="1"/>
  <c r="B25248" i="1"/>
  <c r="G25247" i="1"/>
  <c r="B25247" i="1"/>
  <c r="G25246" i="1"/>
  <c r="C25246" i="1"/>
  <c r="B25246" i="1"/>
  <c r="G25245" i="1"/>
  <c r="B25245" i="1"/>
  <c r="G25244" i="1"/>
  <c r="C25244" i="1"/>
  <c r="B25244" i="1"/>
  <c r="G25243" i="1"/>
  <c r="B25243" i="1"/>
  <c r="G25242" i="1"/>
  <c r="C25242" i="1"/>
  <c r="B25242" i="1"/>
  <c r="G25241" i="1"/>
  <c r="C25241" i="1"/>
  <c r="B25241" i="1"/>
  <c r="G25240" i="1"/>
  <c r="C25240" i="1"/>
  <c r="B25240" i="1"/>
  <c r="G25239" i="1"/>
  <c r="C25239" i="1"/>
  <c r="B25239" i="1"/>
  <c r="G25238" i="1"/>
  <c r="B25238" i="1"/>
  <c r="G25237" i="1"/>
  <c r="B25237" i="1"/>
  <c r="G25236" i="1"/>
  <c r="B25236" i="1"/>
  <c r="G25235" i="1"/>
  <c r="B25235" i="1"/>
  <c r="G25234" i="1"/>
  <c r="C25234" i="1"/>
  <c r="B25234" i="1"/>
  <c r="G25233" i="1"/>
  <c r="B25233" i="1"/>
  <c r="G25232" i="1"/>
  <c r="C25232" i="1"/>
  <c r="B25232" i="1"/>
  <c r="G25231" i="1"/>
  <c r="C25231" i="1"/>
  <c r="B25231" i="1"/>
  <c r="G25230" i="1"/>
  <c r="B25230" i="1"/>
  <c r="G25229" i="1"/>
  <c r="C25229" i="1"/>
  <c r="B25229" i="1"/>
  <c r="G25228" i="1"/>
  <c r="C25228" i="1"/>
  <c r="B25228" i="1"/>
  <c r="G25227" i="1"/>
  <c r="C25227" i="1"/>
  <c r="B25227" i="1"/>
  <c r="G25226" i="1"/>
  <c r="C25226" i="1"/>
  <c r="B25226" i="1"/>
  <c r="G25225" i="1"/>
  <c r="C25225" i="1"/>
  <c r="B25225" i="1"/>
  <c r="G25224" i="1"/>
  <c r="C25224" i="1"/>
  <c r="B25224" i="1"/>
  <c r="G25223" i="1"/>
  <c r="B25223" i="1"/>
  <c r="G25222" i="1"/>
  <c r="C25222" i="1"/>
  <c r="B25222" i="1"/>
  <c r="G25221" i="1"/>
  <c r="B25221" i="1"/>
  <c r="G25220" i="1"/>
  <c r="C25220" i="1"/>
  <c r="B25220" i="1"/>
  <c r="G25219" i="1"/>
  <c r="B25219" i="1"/>
  <c r="G25218" i="1"/>
  <c r="C25218" i="1"/>
  <c r="B25218" i="1"/>
  <c r="G25217" i="1"/>
  <c r="B25217" i="1"/>
  <c r="G25216" i="1"/>
  <c r="B25216" i="1"/>
  <c r="G25215" i="1"/>
  <c r="C25215" i="1"/>
  <c r="B25215" i="1"/>
  <c r="G25214" i="1"/>
  <c r="B25214" i="1"/>
  <c r="G25213" i="1"/>
  <c r="B25213" i="1"/>
  <c r="G25212" i="1"/>
  <c r="C25212" i="1"/>
  <c r="B25212" i="1"/>
  <c r="G25211" i="1"/>
  <c r="C25211" i="1"/>
  <c r="B25211" i="1"/>
  <c r="G25210" i="1"/>
  <c r="C25210" i="1"/>
  <c r="B25210" i="1"/>
  <c r="G25209" i="1"/>
  <c r="C25209" i="1"/>
  <c r="B25209" i="1"/>
  <c r="G25208" i="1"/>
  <c r="C25208" i="1"/>
  <c r="B25208" i="1"/>
  <c r="G25207" i="1"/>
  <c r="C25207" i="1"/>
  <c r="B25207" i="1"/>
  <c r="G25206" i="1"/>
  <c r="B25206" i="1"/>
  <c r="G25205" i="1"/>
  <c r="B25205" i="1"/>
  <c r="G25204" i="1"/>
  <c r="C25204" i="1"/>
  <c r="B25204" i="1"/>
  <c r="G25203" i="1"/>
  <c r="C25203" i="1"/>
  <c r="B25203" i="1"/>
  <c r="G25202" i="1"/>
  <c r="B25202" i="1"/>
  <c r="G25201" i="1"/>
  <c r="B25201" i="1"/>
  <c r="G25200" i="1"/>
  <c r="C25200" i="1"/>
  <c r="B25200" i="1"/>
  <c r="G25199" i="1"/>
  <c r="B25199" i="1"/>
  <c r="G25198" i="1"/>
  <c r="C25198" i="1"/>
  <c r="B25198" i="1"/>
  <c r="G25197" i="1"/>
  <c r="B25197" i="1"/>
  <c r="G25196" i="1"/>
  <c r="B25196" i="1"/>
  <c r="G25195" i="1"/>
  <c r="C25195" i="1"/>
  <c r="B25195" i="1"/>
  <c r="G25194" i="1"/>
  <c r="C25194" i="1"/>
  <c r="B25194" i="1"/>
  <c r="G25193" i="1"/>
  <c r="B25193" i="1"/>
  <c r="G25192" i="1"/>
  <c r="C25192" i="1"/>
  <c r="B25192" i="1"/>
  <c r="G25191" i="1"/>
  <c r="B25191" i="1"/>
  <c r="G25190" i="1"/>
  <c r="B25190" i="1"/>
  <c r="G25189" i="1"/>
  <c r="B25189" i="1"/>
  <c r="G25188" i="1"/>
  <c r="C25188" i="1"/>
  <c r="B25188" i="1"/>
  <c r="G25187" i="1"/>
  <c r="C25187" i="1"/>
  <c r="B25187" i="1"/>
  <c r="G25186" i="1"/>
  <c r="B25186" i="1"/>
  <c r="G25185" i="1"/>
  <c r="C25185" i="1"/>
  <c r="B25185" i="1"/>
  <c r="G25184" i="1"/>
  <c r="C25184" i="1"/>
  <c r="B25184" i="1"/>
  <c r="G25183" i="1"/>
  <c r="C25183" i="1"/>
  <c r="B25183" i="1"/>
  <c r="G25182" i="1"/>
  <c r="C25182" i="1"/>
  <c r="B25182" i="1"/>
  <c r="G25181" i="1"/>
  <c r="C25181" i="1"/>
  <c r="B25181" i="1"/>
  <c r="G25180" i="1"/>
  <c r="C25180" i="1"/>
  <c r="B25180" i="1"/>
  <c r="G25179" i="1"/>
  <c r="C25179" i="1"/>
  <c r="B25179" i="1"/>
  <c r="G25178" i="1"/>
  <c r="C25178" i="1"/>
  <c r="B25178" i="1"/>
  <c r="G25177" i="1"/>
  <c r="C25177" i="1"/>
  <c r="B25177" i="1"/>
  <c r="G25176" i="1"/>
  <c r="C25176" i="1"/>
  <c r="B25176" i="1"/>
  <c r="G25175" i="1"/>
  <c r="C25175" i="1"/>
  <c r="B25175" i="1"/>
  <c r="G25174" i="1"/>
  <c r="C25174" i="1"/>
  <c r="B25174" i="1"/>
  <c r="G25173" i="1"/>
  <c r="C25173" i="1"/>
  <c r="B25173" i="1"/>
  <c r="G25172" i="1"/>
  <c r="C25172" i="1"/>
  <c r="B25172" i="1"/>
  <c r="G25171" i="1"/>
  <c r="C25171" i="1"/>
  <c r="B25171" i="1"/>
  <c r="G25170" i="1"/>
  <c r="C25170" i="1"/>
  <c r="B25170" i="1"/>
  <c r="G25169" i="1"/>
  <c r="C25169" i="1"/>
  <c r="B25169" i="1"/>
  <c r="G25168" i="1"/>
  <c r="C25168" i="1"/>
  <c r="B25168" i="1"/>
  <c r="G25167" i="1"/>
  <c r="C25167" i="1"/>
  <c r="B25167" i="1"/>
  <c r="G25166" i="1"/>
  <c r="C25166" i="1"/>
  <c r="B25166" i="1"/>
  <c r="G25165" i="1"/>
  <c r="B25165" i="1"/>
  <c r="G25164" i="1"/>
  <c r="C25164" i="1"/>
  <c r="B25164" i="1"/>
  <c r="G25163" i="1"/>
  <c r="B25163" i="1"/>
  <c r="G25162" i="1"/>
  <c r="C25162" i="1"/>
  <c r="B25162" i="1"/>
  <c r="G25161" i="1"/>
  <c r="C25161" i="1"/>
  <c r="B25161" i="1"/>
  <c r="G25160" i="1"/>
  <c r="C25160" i="1"/>
  <c r="B25160" i="1"/>
  <c r="G25159" i="1"/>
  <c r="C25159" i="1"/>
  <c r="B25159" i="1"/>
  <c r="G25158" i="1"/>
  <c r="C25158" i="1"/>
  <c r="B25158" i="1"/>
  <c r="G25157" i="1"/>
  <c r="C25157" i="1"/>
  <c r="B25157" i="1"/>
  <c r="G25156" i="1"/>
  <c r="C25156" i="1"/>
  <c r="B25156" i="1"/>
  <c r="G25155" i="1"/>
  <c r="C25155" i="1"/>
  <c r="B25155" i="1"/>
  <c r="G25154" i="1"/>
  <c r="B25154" i="1"/>
  <c r="G25153" i="1"/>
  <c r="C25153" i="1"/>
  <c r="B25153" i="1"/>
  <c r="G25152" i="1"/>
  <c r="C25152" i="1"/>
  <c r="B25152" i="1"/>
  <c r="G25151" i="1"/>
  <c r="B25151" i="1"/>
  <c r="G25150" i="1"/>
  <c r="C25150" i="1"/>
  <c r="B25150" i="1"/>
  <c r="G25149" i="1"/>
  <c r="C25149" i="1"/>
  <c r="B25149" i="1"/>
  <c r="G25148" i="1"/>
  <c r="B25148" i="1"/>
  <c r="G25147" i="1"/>
  <c r="C25147" i="1"/>
  <c r="B25147" i="1"/>
  <c r="G25146" i="1"/>
  <c r="C25146" i="1"/>
  <c r="B25146" i="1"/>
  <c r="G25145" i="1"/>
  <c r="B25145" i="1"/>
  <c r="G25144" i="1"/>
  <c r="B25144" i="1"/>
  <c r="G25143" i="1"/>
  <c r="B25143" i="1"/>
  <c r="G25142" i="1"/>
  <c r="B25142" i="1"/>
  <c r="G25141" i="1"/>
  <c r="C25141" i="1"/>
  <c r="B25141" i="1"/>
  <c r="G25140" i="1"/>
  <c r="C25140" i="1"/>
  <c r="B25140" i="1"/>
  <c r="G25139" i="1"/>
  <c r="B25139" i="1"/>
  <c r="G25138" i="1"/>
  <c r="C25138" i="1"/>
  <c r="B25138" i="1"/>
  <c r="G25137" i="1"/>
  <c r="B25137" i="1"/>
  <c r="G25136" i="1"/>
  <c r="C25136" i="1"/>
  <c r="B25136" i="1"/>
  <c r="G25135" i="1"/>
  <c r="C25135" i="1"/>
  <c r="B25135" i="1"/>
  <c r="G25134" i="1"/>
  <c r="B25134" i="1"/>
  <c r="G25133" i="1"/>
  <c r="B25133" i="1"/>
  <c r="G25132" i="1"/>
  <c r="C25132" i="1"/>
  <c r="B25132" i="1"/>
  <c r="G25131" i="1"/>
  <c r="C25131" i="1"/>
  <c r="B25131" i="1"/>
  <c r="G25130" i="1"/>
  <c r="B25130" i="1"/>
  <c r="G25129" i="1"/>
  <c r="B25129" i="1"/>
  <c r="G25128" i="1"/>
  <c r="C25128" i="1"/>
  <c r="B25128" i="1"/>
  <c r="G25127" i="1"/>
  <c r="C25127" i="1"/>
  <c r="B25127" i="1"/>
  <c r="G25126" i="1"/>
  <c r="B25126" i="1"/>
  <c r="G25125" i="1"/>
  <c r="C25125" i="1"/>
  <c r="B25125" i="1"/>
  <c r="G25124" i="1"/>
  <c r="B25124" i="1"/>
  <c r="G25123" i="1"/>
  <c r="B25123" i="1"/>
  <c r="G25122" i="1"/>
  <c r="B25122" i="1"/>
  <c r="G25121" i="1"/>
  <c r="C25121" i="1"/>
  <c r="B25121" i="1"/>
  <c r="G25120" i="1"/>
  <c r="C25120" i="1"/>
  <c r="B25120" i="1"/>
  <c r="G25119" i="1"/>
  <c r="C25119" i="1"/>
  <c r="B25119" i="1"/>
  <c r="G25118" i="1"/>
  <c r="C25118" i="1"/>
  <c r="B25118" i="1"/>
  <c r="G25117" i="1"/>
  <c r="C25117" i="1"/>
  <c r="B25117" i="1"/>
  <c r="G25116" i="1"/>
  <c r="B25116" i="1"/>
  <c r="G25115" i="1"/>
  <c r="B25115" i="1"/>
  <c r="G25114" i="1"/>
  <c r="C25114" i="1"/>
  <c r="B25114" i="1"/>
  <c r="G25113" i="1"/>
  <c r="C25113" i="1"/>
  <c r="B25113" i="1"/>
  <c r="G25112" i="1"/>
  <c r="B25112" i="1"/>
  <c r="G25111" i="1"/>
  <c r="B25111" i="1"/>
  <c r="G25110" i="1"/>
  <c r="C25110" i="1"/>
  <c r="B25110" i="1"/>
  <c r="G25109" i="1"/>
  <c r="B25109" i="1"/>
  <c r="G25108" i="1"/>
  <c r="B25108" i="1"/>
  <c r="G25107" i="1"/>
  <c r="C25107" i="1"/>
  <c r="B25107" i="1"/>
  <c r="G25106" i="1"/>
  <c r="B25106" i="1"/>
  <c r="G25105" i="1"/>
  <c r="C25105" i="1"/>
  <c r="B25105" i="1"/>
  <c r="G25104" i="1"/>
  <c r="C25104" i="1"/>
  <c r="B25104" i="1"/>
  <c r="G25103" i="1"/>
  <c r="B25103" i="1"/>
  <c r="G25102" i="1"/>
  <c r="C25102" i="1"/>
  <c r="B25102" i="1"/>
  <c r="G25101" i="1"/>
  <c r="C25101" i="1"/>
  <c r="B25101" i="1"/>
  <c r="G25100" i="1"/>
  <c r="B25100" i="1"/>
  <c r="G25099" i="1"/>
  <c r="C25099" i="1"/>
  <c r="B25099" i="1"/>
  <c r="G25098" i="1"/>
  <c r="C25098" i="1"/>
  <c r="B25098" i="1"/>
  <c r="G25097" i="1"/>
  <c r="C25097" i="1"/>
  <c r="B25097" i="1"/>
  <c r="G25096" i="1"/>
  <c r="C25096" i="1"/>
  <c r="B25096" i="1"/>
  <c r="G25095" i="1"/>
  <c r="C25095" i="1"/>
  <c r="B25095" i="1"/>
  <c r="G25094" i="1"/>
  <c r="C25094" i="1"/>
  <c r="B25094" i="1"/>
  <c r="G25093" i="1"/>
  <c r="B25093" i="1"/>
  <c r="G25092" i="1"/>
  <c r="C25092" i="1"/>
  <c r="B25092" i="1"/>
  <c r="G25091" i="1"/>
  <c r="C25091" i="1"/>
  <c r="B25091" i="1"/>
  <c r="G25090" i="1"/>
  <c r="C25090" i="1"/>
  <c r="B25090" i="1"/>
  <c r="G25089" i="1"/>
  <c r="C25089" i="1"/>
  <c r="B25089" i="1"/>
  <c r="G25088" i="1"/>
  <c r="C25088" i="1"/>
  <c r="B25088" i="1"/>
  <c r="G25087" i="1"/>
  <c r="C25087" i="1"/>
  <c r="B25087" i="1"/>
  <c r="G25086" i="1"/>
  <c r="B25086" i="1"/>
  <c r="G25085" i="1"/>
  <c r="C25085" i="1"/>
  <c r="B25085" i="1"/>
  <c r="G25084" i="1"/>
  <c r="B25084" i="1"/>
  <c r="G25083" i="1"/>
  <c r="C25083" i="1"/>
  <c r="B25083" i="1"/>
  <c r="G25082" i="1"/>
  <c r="B25082" i="1"/>
  <c r="G25081" i="1"/>
  <c r="C25081" i="1"/>
  <c r="B25081" i="1"/>
  <c r="G25080" i="1"/>
  <c r="B25080" i="1"/>
  <c r="G25079" i="1"/>
  <c r="C25079" i="1"/>
  <c r="B25079" i="1"/>
  <c r="G25078" i="1"/>
  <c r="C25078" i="1"/>
  <c r="B25078" i="1"/>
  <c r="G25077" i="1"/>
  <c r="B25077" i="1"/>
  <c r="G25076" i="1"/>
  <c r="C25076" i="1"/>
  <c r="B25076" i="1"/>
  <c r="G25075" i="1"/>
  <c r="C25075" i="1"/>
  <c r="B25075" i="1"/>
  <c r="G25074" i="1"/>
  <c r="B25074" i="1"/>
  <c r="G25073" i="1"/>
  <c r="B25073" i="1"/>
  <c r="G25072" i="1"/>
  <c r="C25072" i="1"/>
  <c r="B25072" i="1"/>
  <c r="G25071" i="1"/>
  <c r="C25071" i="1"/>
  <c r="B25071" i="1"/>
  <c r="G25070" i="1"/>
  <c r="B25070" i="1"/>
  <c r="G25069" i="1"/>
  <c r="B25069" i="1"/>
  <c r="G25068" i="1"/>
  <c r="C25068" i="1"/>
  <c r="B25068" i="1"/>
  <c r="G25067" i="1"/>
  <c r="C25067" i="1"/>
  <c r="B25067" i="1"/>
  <c r="G25066" i="1"/>
  <c r="C25066" i="1"/>
  <c r="B25066" i="1"/>
  <c r="G25065" i="1"/>
  <c r="B25065" i="1"/>
  <c r="G25064" i="1"/>
  <c r="C25064" i="1"/>
  <c r="B25064" i="1"/>
  <c r="G25063" i="1"/>
  <c r="C25063" i="1"/>
  <c r="B25063" i="1"/>
  <c r="G25062" i="1"/>
  <c r="C25062" i="1"/>
  <c r="B25062" i="1"/>
  <c r="G25061" i="1"/>
  <c r="C25061" i="1"/>
  <c r="B25061" i="1"/>
  <c r="G25060" i="1"/>
  <c r="C25060" i="1"/>
  <c r="B25060" i="1"/>
  <c r="G25059" i="1"/>
  <c r="C25059" i="1"/>
  <c r="B25059" i="1"/>
  <c r="G25058" i="1"/>
  <c r="C25058" i="1"/>
  <c r="B25058" i="1"/>
  <c r="G25057" i="1"/>
  <c r="B25057" i="1"/>
  <c r="G25056" i="1"/>
  <c r="C25056" i="1"/>
  <c r="B25056" i="1"/>
  <c r="G25055" i="1"/>
  <c r="C25055" i="1"/>
  <c r="B25055" i="1"/>
  <c r="G25054" i="1"/>
  <c r="B25054" i="1"/>
  <c r="G25053" i="1"/>
  <c r="C25053" i="1"/>
  <c r="B25053" i="1"/>
  <c r="G25052" i="1"/>
  <c r="C25052" i="1"/>
  <c r="B25052" i="1"/>
  <c r="G25051" i="1"/>
  <c r="C25051" i="1"/>
  <c r="B25051" i="1"/>
  <c r="G25050" i="1"/>
  <c r="C25050" i="1"/>
  <c r="B25050" i="1"/>
  <c r="G25049" i="1"/>
  <c r="C25049" i="1"/>
  <c r="B25049" i="1"/>
  <c r="G25048" i="1"/>
  <c r="C25048" i="1"/>
  <c r="B25048" i="1"/>
  <c r="G25047" i="1"/>
  <c r="C25047" i="1"/>
  <c r="B25047" i="1"/>
  <c r="G25046" i="1"/>
  <c r="C25046" i="1"/>
  <c r="B25046" i="1"/>
  <c r="G25045" i="1"/>
  <c r="C25045" i="1"/>
  <c r="B25045" i="1"/>
  <c r="G25044" i="1"/>
  <c r="B25044" i="1"/>
  <c r="G25043" i="1"/>
  <c r="B25043" i="1"/>
  <c r="G25042" i="1"/>
  <c r="C25042" i="1"/>
  <c r="B25042" i="1"/>
  <c r="G25041" i="1"/>
  <c r="C25041" i="1"/>
  <c r="B25041" i="1"/>
  <c r="G25040" i="1"/>
  <c r="C25040" i="1"/>
  <c r="B25040" i="1"/>
  <c r="G25039" i="1"/>
  <c r="C25039" i="1"/>
  <c r="B25039" i="1"/>
  <c r="G25038" i="1"/>
  <c r="C25038" i="1"/>
  <c r="B25038" i="1"/>
  <c r="G25037" i="1"/>
  <c r="C25037" i="1"/>
  <c r="B25037" i="1"/>
  <c r="G25036" i="1"/>
  <c r="B25036" i="1"/>
  <c r="G25035" i="1"/>
  <c r="B25035" i="1"/>
  <c r="G25034" i="1"/>
  <c r="B25034" i="1"/>
  <c r="G25033" i="1"/>
  <c r="B25033" i="1"/>
  <c r="G25032" i="1"/>
  <c r="C25032" i="1"/>
  <c r="B25032" i="1"/>
  <c r="G25031" i="1"/>
  <c r="C25031" i="1"/>
  <c r="B25031" i="1"/>
  <c r="G25030" i="1"/>
  <c r="C25030" i="1"/>
  <c r="B25030" i="1"/>
  <c r="G25029" i="1"/>
  <c r="C25029" i="1"/>
  <c r="B25029" i="1"/>
  <c r="G25028" i="1"/>
  <c r="B25028" i="1"/>
  <c r="G25027" i="1"/>
  <c r="C25027" i="1"/>
  <c r="B25027" i="1"/>
  <c r="G25026" i="1"/>
  <c r="C25026" i="1"/>
  <c r="B25026" i="1"/>
  <c r="G25025" i="1"/>
  <c r="C25025" i="1"/>
  <c r="B25025" i="1"/>
  <c r="G25024" i="1"/>
  <c r="C25024" i="1"/>
  <c r="B25024" i="1"/>
  <c r="G25023" i="1"/>
  <c r="C25023" i="1"/>
  <c r="B25023" i="1"/>
  <c r="G25022" i="1"/>
  <c r="B25022" i="1"/>
  <c r="G25021" i="1"/>
  <c r="C25021" i="1"/>
  <c r="B25021" i="1"/>
  <c r="G25020" i="1"/>
  <c r="B25020" i="1"/>
  <c r="G25019" i="1"/>
  <c r="B25019" i="1"/>
  <c r="G25018" i="1"/>
  <c r="B25018" i="1"/>
  <c r="G25017" i="1"/>
  <c r="B25017" i="1"/>
  <c r="G25016" i="1"/>
  <c r="B25016" i="1"/>
  <c r="G25015" i="1"/>
  <c r="C25015" i="1"/>
  <c r="B25015" i="1"/>
  <c r="G25014" i="1"/>
  <c r="B25014" i="1"/>
  <c r="G25013" i="1"/>
  <c r="C25013" i="1"/>
  <c r="B25013" i="1"/>
  <c r="G25012" i="1"/>
  <c r="C25012" i="1"/>
  <c r="B25012" i="1"/>
  <c r="G25011" i="1"/>
  <c r="C25011" i="1"/>
  <c r="B25011" i="1"/>
  <c r="G25010" i="1"/>
  <c r="C25010" i="1"/>
  <c r="B25010" i="1"/>
  <c r="G25009" i="1"/>
  <c r="C25009" i="1"/>
  <c r="B25009" i="1"/>
  <c r="G25008" i="1"/>
  <c r="C25008" i="1"/>
  <c r="B25008" i="1"/>
  <c r="G25007" i="1"/>
  <c r="C25007" i="1"/>
  <c r="B25007" i="1"/>
  <c r="G25006" i="1"/>
  <c r="C25006" i="1"/>
  <c r="B25006" i="1"/>
  <c r="G25005" i="1"/>
  <c r="C25005" i="1"/>
  <c r="B25005" i="1"/>
  <c r="G25004" i="1"/>
  <c r="B25004" i="1"/>
  <c r="G25003" i="1"/>
  <c r="B25003" i="1"/>
  <c r="G25002" i="1"/>
  <c r="B25002" i="1"/>
  <c r="G25001" i="1"/>
  <c r="B25001" i="1"/>
  <c r="G25000" i="1"/>
  <c r="C25000" i="1"/>
  <c r="B25000" i="1"/>
  <c r="G24999" i="1"/>
  <c r="C24999" i="1"/>
  <c r="B24999" i="1"/>
  <c r="G24998" i="1"/>
  <c r="C24998" i="1"/>
  <c r="B24998" i="1"/>
  <c r="G24997" i="1"/>
  <c r="C24997" i="1"/>
  <c r="B24997" i="1"/>
  <c r="G24996" i="1"/>
  <c r="B24996" i="1"/>
  <c r="G24995" i="1"/>
  <c r="B24995" i="1"/>
  <c r="G24994" i="1"/>
  <c r="C24994" i="1"/>
  <c r="B24994" i="1"/>
  <c r="G24993" i="1"/>
  <c r="C24993" i="1"/>
  <c r="B24993" i="1"/>
  <c r="G24992" i="1"/>
  <c r="C24992" i="1"/>
  <c r="B24992" i="1"/>
  <c r="G24991" i="1"/>
  <c r="C24991" i="1"/>
  <c r="B24991" i="1"/>
  <c r="G24990" i="1"/>
  <c r="B24990" i="1"/>
  <c r="G24989" i="1"/>
  <c r="B24989" i="1"/>
  <c r="G24988" i="1"/>
  <c r="B24988" i="1"/>
  <c r="G24987" i="1"/>
  <c r="B24987" i="1"/>
  <c r="G24986" i="1"/>
  <c r="C24986" i="1"/>
  <c r="B24986" i="1"/>
  <c r="G24985" i="1"/>
  <c r="C24985" i="1"/>
  <c r="B24985" i="1"/>
  <c r="G24984" i="1"/>
  <c r="C24984" i="1"/>
  <c r="B24984" i="1"/>
  <c r="G24983" i="1"/>
  <c r="C24983" i="1"/>
  <c r="B24983" i="1"/>
  <c r="G24982" i="1"/>
  <c r="B24982" i="1"/>
  <c r="G24981" i="1"/>
  <c r="C24981" i="1"/>
  <c r="B24981" i="1"/>
  <c r="G24980" i="1"/>
  <c r="C24980" i="1"/>
  <c r="B24980" i="1"/>
  <c r="G24979" i="1"/>
  <c r="B24979" i="1"/>
  <c r="G24978" i="1"/>
  <c r="B24978" i="1"/>
  <c r="G24977" i="1"/>
  <c r="C24977" i="1"/>
  <c r="B24977" i="1"/>
  <c r="G24976" i="1"/>
  <c r="B24976" i="1"/>
  <c r="G24975" i="1"/>
  <c r="B24975" i="1"/>
  <c r="G24974" i="1"/>
  <c r="C24974" i="1"/>
  <c r="B24974" i="1"/>
  <c r="G24973" i="1"/>
  <c r="C24973" i="1"/>
  <c r="B24973" i="1"/>
  <c r="G24972" i="1"/>
  <c r="B24972" i="1"/>
  <c r="G24971" i="1"/>
  <c r="B24971" i="1"/>
  <c r="G24970" i="1"/>
  <c r="B24970" i="1"/>
  <c r="G24969" i="1"/>
  <c r="C24969" i="1"/>
  <c r="B24969" i="1"/>
  <c r="G24968" i="1"/>
  <c r="B24968" i="1"/>
  <c r="G24967" i="1"/>
  <c r="C24967" i="1"/>
  <c r="B24967" i="1"/>
  <c r="G24966" i="1"/>
  <c r="B24966" i="1"/>
  <c r="G24965" i="1"/>
  <c r="B24965" i="1"/>
  <c r="G24964" i="1"/>
  <c r="C24964" i="1"/>
  <c r="B24964" i="1"/>
  <c r="G24963" i="1"/>
  <c r="B24963" i="1"/>
  <c r="G24962" i="1"/>
  <c r="C24962" i="1"/>
  <c r="B24962" i="1"/>
  <c r="G24961" i="1"/>
  <c r="C24961" i="1"/>
  <c r="B24961" i="1"/>
  <c r="G24960" i="1"/>
  <c r="B24960" i="1"/>
  <c r="G24959" i="1"/>
  <c r="B24959" i="1"/>
  <c r="G24958" i="1"/>
  <c r="B24958" i="1"/>
  <c r="G24957" i="1"/>
  <c r="C24957" i="1"/>
  <c r="B24957" i="1"/>
  <c r="G24956" i="1"/>
  <c r="C24956" i="1"/>
  <c r="B24956" i="1"/>
  <c r="G24955" i="1"/>
  <c r="C24955" i="1"/>
  <c r="B24955" i="1"/>
  <c r="G24954" i="1"/>
  <c r="B24954" i="1"/>
  <c r="G24953" i="1"/>
  <c r="B24953" i="1"/>
  <c r="G24952" i="1"/>
  <c r="C24952" i="1"/>
  <c r="B24952" i="1"/>
  <c r="G24951" i="1"/>
  <c r="B24951" i="1"/>
  <c r="G24950" i="1"/>
  <c r="B24950" i="1"/>
  <c r="G24949" i="1"/>
  <c r="C24949" i="1"/>
  <c r="B24949" i="1"/>
  <c r="G24948" i="1"/>
  <c r="B24948" i="1"/>
  <c r="G24947" i="1"/>
  <c r="C24947" i="1"/>
  <c r="B24947" i="1"/>
  <c r="G24946" i="1"/>
  <c r="C24946" i="1"/>
  <c r="B24946" i="1"/>
  <c r="G24945" i="1"/>
  <c r="B24945" i="1"/>
  <c r="G24944" i="1"/>
  <c r="C24944" i="1"/>
  <c r="B24944" i="1"/>
  <c r="G24943" i="1"/>
  <c r="B24943" i="1"/>
  <c r="G24942" i="1"/>
  <c r="C24942" i="1"/>
  <c r="B24942" i="1"/>
  <c r="G24941" i="1"/>
  <c r="C24941" i="1"/>
  <c r="B24941" i="1"/>
  <c r="G24940" i="1"/>
  <c r="C24940" i="1"/>
  <c r="B24940" i="1"/>
  <c r="G24939" i="1"/>
  <c r="C24939" i="1"/>
  <c r="B24939" i="1"/>
  <c r="G24938" i="1"/>
  <c r="B24938" i="1"/>
  <c r="G24937" i="1"/>
  <c r="C24937" i="1"/>
  <c r="B24937" i="1"/>
  <c r="G24936" i="1"/>
  <c r="B24936" i="1"/>
  <c r="G24935" i="1"/>
  <c r="B24935" i="1"/>
  <c r="G24934" i="1"/>
  <c r="B24934" i="1"/>
  <c r="G24933" i="1"/>
  <c r="C24933" i="1"/>
  <c r="B24933" i="1"/>
  <c r="G24932" i="1"/>
  <c r="B24932" i="1"/>
  <c r="G24931" i="1"/>
  <c r="B24931" i="1"/>
  <c r="G24930" i="1"/>
  <c r="C24930" i="1"/>
  <c r="B24930" i="1"/>
  <c r="G24929" i="1"/>
  <c r="C24929" i="1"/>
  <c r="B24929" i="1"/>
  <c r="G24928" i="1"/>
  <c r="B24928" i="1"/>
  <c r="G24927" i="1"/>
  <c r="B24927" i="1"/>
  <c r="G24926" i="1"/>
  <c r="B24926" i="1"/>
  <c r="G24925" i="1"/>
  <c r="B24925" i="1"/>
  <c r="G24924" i="1"/>
  <c r="C24924" i="1"/>
  <c r="B24924" i="1"/>
  <c r="G24923" i="1"/>
  <c r="C24923" i="1"/>
  <c r="B24923" i="1"/>
  <c r="G24922" i="1"/>
  <c r="C24922" i="1"/>
  <c r="B24922" i="1"/>
  <c r="G24921" i="1"/>
  <c r="C24921" i="1"/>
  <c r="B24921" i="1"/>
  <c r="G24920" i="1"/>
  <c r="C24920" i="1"/>
  <c r="B24920" i="1"/>
  <c r="G24919" i="1"/>
  <c r="C24919" i="1"/>
  <c r="B24919" i="1"/>
  <c r="G24918" i="1"/>
  <c r="B24918" i="1"/>
  <c r="G24917" i="1"/>
  <c r="B24917" i="1"/>
  <c r="G24916" i="1"/>
  <c r="C24916" i="1"/>
  <c r="B24916" i="1"/>
  <c r="G24915" i="1"/>
  <c r="B24915" i="1"/>
  <c r="G24914" i="1"/>
  <c r="B24914" i="1"/>
  <c r="G24913" i="1"/>
  <c r="C24913" i="1"/>
  <c r="B24913" i="1"/>
  <c r="G24912" i="1"/>
  <c r="C24912" i="1"/>
  <c r="B24912" i="1"/>
  <c r="G24911" i="1"/>
  <c r="C24911" i="1"/>
  <c r="B24911" i="1"/>
  <c r="G24910" i="1"/>
  <c r="C24910" i="1"/>
  <c r="B24910" i="1"/>
  <c r="G24909" i="1"/>
  <c r="C24909" i="1"/>
  <c r="B24909" i="1"/>
  <c r="G24908" i="1"/>
  <c r="C24908" i="1"/>
  <c r="B24908" i="1"/>
  <c r="G24907" i="1"/>
  <c r="B24907" i="1"/>
  <c r="G24906" i="1"/>
  <c r="B24906" i="1"/>
  <c r="G24905" i="1"/>
  <c r="C24905" i="1"/>
  <c r="B24905" i="1"/>
  <c r="G24904" i="1"/>
  <c r="C24904" i="1"/>
  <c r="B24904" i="1"/>
  <c r="G24903" i="1"/>
  <c r="B24903" i="1"/>
  <c r="G24902" i="1"/>
  <c r="C24902" i="1"/>
  <c r="B24902" i="1"/>
  <c r="G24901" i="1"/>
  <c r="C24901" i="1"/>
  <c r="B24901" i="1"/>
  <c r="G24900" i="1"/>
  <c r="B24900" i="1"/>
  <c r="G24899" i="1"/>
  <c r="C24899" i="1"/>
  <c r="B24899" i="1"/>
  <c r="G24898" i="1"/>
  <c r="B24898" i="1"/>
  <c r="G24897" i="1"/>
  <c r="C24897" i="1"/>
  <c r="B24897" i="1"/>
  <c r="G24896" i="1"/>
  <c r="C24896" i="1"/>
  <c r="B24896" i="1"/>
  <c r="G24895" i="1"/>
  <c r="C24895" i="1"/>
  <c r="B24895" i="1"/>
  <c r="G24894" i="1"/>
  <c r="C24894" i="1"/>
  <c r="B24894" i="1"/>
  <c r="G24893" i="1"/>
  <c r="B24893" i="1"/>
  <c r="G24892" i="1"/>
  <c r="C24892" i="1"/>
  <c r="B24892" i="1"/>
  <c r="G24891" i="1"/>
  <c r="C24891" i="1"/>
  <c r="B24891" i="1"/>
  <c r="G24890" i="1"/>
  <c r="B24890" i="1"/>
  <c r="G24889" i="1"/>
  <c r="C24889" i="1"/>
  <c r="B24889" i="1"/>
  <c r="G24888" i="1"/>
  <c r="C24888" i="1"/>
  <c r="B24888" i="1"/>
  <c r="G24887" i="1"/>
  <c r="C24887" i="1"/>
  <c r="B24887" i="1"/>
  <c r="G24886" i="1"/>
  <c r="B24886" i="1"/>
  <c r="G24885" i="1"/>
  <c r="B24885" i="1"/>
  <c r="G24884" i="1"/>
  <c r="C24884" i="1"/>
  <c r="B24884" i="1"/>
  <c r="G24883" i="1"/>
  <c r="C24883" i="1"/>
  <c r="B24883" i="1"/>
  <c r="G24882" i="1"/>
  <c r="C24882" i="1"/>
  <c r="B24882" i="1"/>
  <c r="G24881" i="1"/>
  <c r="C24881" i="1"/>
  <c r="B24881" i="1"/>
  <c r="G24880" i="1"/>
  <c r="C24880" i="1"/>
  <c r="B24880" i="1"/>
  <c r="G24879" i="1"/>
  <c r="C24879" i="1"/>
  <c r="B24879" i="1"/>
  <c r="G24878" i="1"/>
  <c r="C24878" i="1"/>
  <c r="B24878" i="1"/>
  <c r="G24877" i="1"/>
  <c r="B24877" i="1"/>
  <c r="G24876" i="1"/>
  <c r="C24876" i="1"/>
  <c r="B24876" i="1"/>
  <c r="G24875" i="1"/>
  <c r="C24875" i="1"/>
  <c r="B24875" i="1"/>
  <c r="G24874" i="1"/>
  <c r="C24874" i="1"/>
  <c r="B24874" i="1"/>
  <c r="G24873" i="1"/>
  <c r="C24873" i="1"/>
  <c r="B24873" i="1"/>
  <c r="G24872" i="1"/>
  <c r="C24872" i="1"/>
  <c r="B24872" i="1"/>
  <c r="G24871" i="1"/>
  <c r="B24871" i="1"/>
  <c r="G24870" i="1"/>
  <c r="B24870" i="1"/>
  <c r="G24869" i="1"/>
  <c r="C24869" i="1"/>
  <c r="B24869" i="1"/>
  <c r="G24868" i="1"/>
  <c r="C24868" i="1"/>
  <c r="B24868" i="1"/>
  <c r="G24867" i="1"/>
  <c r="C24867" i="1"/>
  <c r="B24867" i="1"/>
  <c r="G24866" i="1"/>
  <c r="C24866" i="1"/>
  <c r="B24866" i="1"/>
  <c r="G24865" i="1"/>
  <c r="C24865" i="1"/>
  <c r="B24865" i="1"/>
  <c r="G24864" i="1"/>
  <c r="C24864" i="1"/>
  <c r="B24864" i="1"/>
  <c r="G24863" i="1"/>
  <c r="C24863" i="1"/>
  <c r="B24863" i="1"/>
  <c r="G24862" i="1"/>
  <c r="B24862" i="1"/>
  <c r="G24861" i="1"/>
  <c r="B24861" i="1"/>
  <c r="G24860" i="1"/>
  <c r="C24860" i="1"/>
  <c r="B24860" i="1"/>
  <c r="G24859" i="1"/>
  <c r="C24859" i="1"/>
  <c r="B24859" i="1"/>
  <c r="G24858" i="1"/>
  <c r="B24858" i="1"/>
  <c r="G24857" i="1"/>
  <c r="C24857" i="1"/>
  <c r="B24857" i="1"/>
  <c r="G24856" i="1"/>
  <c r="C24856" i="1"/>
  <c r="B24856" i="1"/>
  <c r="G24855" i="1"/>
  <c r="B24855" i="1"/>
  <c r="G24854" i="1"/>
  <c r="B24854" i="1"/>
  <c r="G24853" i="1"/>
  <c r="B24853" i="1"/>
  <c r="G24852" i="1"/>
  <c r="C24852" i="1"/>
  <c r="B24852" i="1"/>
  <c r="G24851" i="1"/>
  <c r="C24851" i="1"/>
  <c r="B24851" i="1"/>
  <c r="G24850" i="1"/>
  <c r="B24850" i="1"/>
  <c r="G24849" i="1"/>
  <c r="C24849" i="1"/>
  <c r="B24849" i="1"/>
  <c r="G24848" i="1"/>
  <c r="B24848" i="1"/>
  <c r="G24847" i="1"/>
  <c r="C24847" i="1"/>
  <c r="B24847" i="1"/>
  <c r="G24846" i="1"/>
  <c r="C24846" i="1"/>
  <c r="B24846" i="1"/>
  <c r="G24845" i="1"/>
  <c r="C24845" i="1"/>
  <c r="B24845" i="1"/>
  <c r="G24844" i="1"/>
  <c r="B24844" i="1"/>
  <c r="G24843" i="1"/>
  <c r="C24843" i="1"/>
  <c r="B24843" i="1"/>
  <c r="G24842" i="1"/>
  <c r="C24842" i="1"/>
  <c r="B24842" i="1"/>
  <c r="G24841" i="1"/>
  <c r="B24841" i="1"/>
  <c r="G24840" i="1"/>
  <c r="C24840" i="1"/>
  <c r="B24840" i="1"/>
  <c r="G24839" i="1"/>
  <c r="C24839" i="1"/>
  <c r="B24839" i="1"/>
  <c r="G24838" i="1"/>
  <c r="C24838" i="1"/>
  <c r="B24838" i="1"/>
  <c r="G24837" i="1"/>
  <c r="C24837" i="1"/>
  <c r="B24837" i="1"/>
  <c r="G24836" i="1"/>
  <c r="C24836" i="1"/>
  <c r="B24836" i="1"/>
  <c r="G24835" i="1"/>
  <c r="B24835" i="1"/>
  <c r="G24834" i="1"/>
  <c r="C24834" i="1"/>
  <c r="B24834" i="1"/>
  <c r="G24833" i="1"/>
  <c r="B24833" i="1"/>
  <c r="G24832" i="1"/>
  <c r="B24832" i="1"/>
  <c r="G24831" i="1"/>
  <c r="C24831" i="1"/>
  <c r="B24831" i="1"/>
  <c r="G24830" i="1"/>
  <c r="B24830" i="1"/>
  <c r="G24829" i="1"/>
  <c r="C24829" i="1"/>
  <c r="B24829" i="1"/>
  <c r="G24828" i="1"/>
  <c r="B24828" i="1"/>
  <c r="G24827" i="1"/>
  <c r="C24827" i="1"/>
  <c r="B24827" i="1"/>
  <c r="G24826" i="1"/>
  <c r="C24826" i="1"/>
  <c r="B24826" i="1"/>
  <c r="G24825" i="1"/>
  <c r="C24825" i="1"/>
  <c r="B24825" i="1"/>
  <c r="G24824" i="1"/>
  <c r="B24824" i="1"/>
  <c r="G24823" i="1"/>
  <c r="C24823" i="1"/>
  <c r="B24823" i="1"/>
  <c r="G24822" i="1"/>
  <c r="C24822" i="1"/>
  <c r="B24822" i="1"/>
  <c r="G24821" i="1"/>
  <c r="C24821" i="1"/>
  <c r="B24821" i="1"/>
  <c r="G24820" i="1"/>
  <c r="C24820" i="1"/>
  <c r="B24820" i="1"/>
  <c r="G24819" i="1"/>
  <c r="C24819" i="1"/>
  <c r="B24819" i="1"/>
  <c r="G24818" i="1"/>
  <c r="C24818" i="1"/>
  <c r="B24818" i="1"/>
  <c r="G24817" i="1"/>
  <c r="B24817" i="1"/>
  <c r="G24816" i="1"/>
  <c r="C24816" i="1"/>
  <c r="B24816" i="1"/>
  <c r="G24815" i="1"/>
  <c r="B24815" i="1"/>
  <c r="G24814" i="1"/>
  <c r="C24814" i="1"/>
  <c r="B24814" i="1"/>
  <c r="G24813" i="1"/>
  <c r="C24813" i="1"/>
  <c r="B24813" i="1"/>
  <c r="G24812" i="1"/>
  <c r="B24812" i="1"/>
  <c r="G24811" i="1"/>
  <c r="C24811" i="1"/>
  <c r="B24811" i="1"/>
  <c r="G24810" i="1"/>
  <c r="B24810" i="1"/>
  <c r="G24809" i="1"/>
  <c r="B24809" i="1"/>
  <c r="G24808" i="1"/>
  <c r="B24808" i="1"/>
  <c r="G24807" i="1"/>
  <c r="C24807" i="1"/>
  <c r="B24807" i="1"/>
  <c r="G24806" i="1"/>
  <c r="B24806" i="1"/>
  <c r="G24805" i="1"/>
  <c r="B24805" i="1"/>
  <c r="G24804" i="1"/>
  <c r="C24804" i="1"/>
  <c r="B24804" i="1"/>
  <c r="G24803" i="1"/>
  <c r="C24803" i="1"/>
  <c r="B24803" i="1"/>
  <c r="G24802" i="1"/>
  <c r="B24802" i="1"/>
  <c r="G24801" i="1"/>
  <c r="B24801" i="1"/>
  <c r="G24800" i="1"/>
  <c r="C24800" i="1"/>
  <c r="B24800" i="1"/>
  <c r="G24799" i="1"/>
  <c r="B24799" i="1"/>
  <c r="G24798" i="1"/>
  <c r="B24798" i="1"/>
  <c r="G24797" i="1"/>
  <c r="C24797" i="1"/>
  <c r="B24797" i="1"/>
  <c r="G24796" i="1"/>
  <c r="B24796" i="1"/>
  <c r="G24795" i="1"/>
  <c r="B24795" i="1"/>
  <c r="G24794" i="1"/>
  <c r="B24794" i="1"/>
  <c r="G24793" i="1"/>
  <c r="C24793" i="1"/>
  <c r="B24793" i="1"/>
  <c r="G24792" i="1"/>
  <c r="C24792" i="1"/>
  <c r="B24792" i="1"/>
  <c r="G24791" i="1"/>
  <c r="C24791" i="1"/>
  <c r="B24791" i="1"/>
  <c r="G24790" i="1"/>
  <c r="C24790" i="1"/>
  <c r="B24790" i="1"/>
  <c r="G24789" i="1"/>
  <c r="B24789" i="1"/>
  <c r="G24788" i="1"/>
  <c r="B24788" i="1"/>
  <c r="G24787" i="1"/>
  <c r="B24787" i="1"/>
  <c r="G24786" i="1"/>
  <c r="B24786" i="1"/>
  <c r="G24785" i="1"/>
  <c r="C24785" i="1"/>
  <c r="B24785" i="1"/>
  <c r="G24784" i="1"/>
  <c r="B24784" i="1"/>
  <c r="G24783" i="1"/>
  <c r="C24783" i="1"/>
  <c r="B24783" i="1"/>
  <c r="G24782" i="1"/>
  <c r="B24782" i="1"/>
  <c r="G24781" i="1"/>
  <c r="C24781" i="1"/>
  <c r="B24781" i="1"/>
  <c r="G24780" i="1"/>
  <c r="B24780" i="1"/>
  <c r="G24779" i="1"/>
  <c r="C24779" i="1"/>
  <c r="B24779" i="1"/>
  <c r="G24778" i="1"/>
  <c r="B24778" i="1"/>
  <c r="G24777" i="1"/>
  <c r="C24777" i="1"/>
  <c r="B24777" i="1"/>
  <c r="G24776" i="1"/>
  <c r="B24776" i="1"/>
  <c r="G24775" i="1"/>
  <c r="B24775" i="1"/>
  <c r="G24774" i="1"/>
  <c r="B24774" i="1"/>
  <c r="G24773" i="1"/>
  <c r="B24773" i="1"/>
  <c r="G24772" i="1"/>
  <c r="B24772" i="1"/>
  <c r="G24771" i="1"/>
  <c r="B24771" i="1"/>
  <c r="G24770" i="1"/>
  <c r="C24770" i="1"/>
  <c r="B24770" i="1"/>
  <c r="G24769" i="1"/>
  <c r="C24769" i="1"/>
  <c r="B24769" i="1"/>
  <c r="G24768" i="1"/>
  <c r="B24768" i="1"/>
  <c r="G24767" i="1"/>
  <c r="C24767" i="1"/>
  <c r="B24767" i="1"/>
  <c r="G24766" i="1"/>
  <c r="B24766" i="1"/>
  <c r="G24765" i="1"/>
  <c r="C24765" i="1"/>
  <c r="B24765" i="1"/>
  <c r="G24764" i="1"/>
  <c r="B24764" i="1"/>
  <c r="G24763" i="1"/>
  <c r="B24763" i="1"/>
  <c r="G24762" i="1"/>
  <c r="C24762" i="1"/>
  <c r="B24762" i="1"/>
  <c r="G24761" i="1"/>
  <c r="C24761" i="1"/>
  <c r="B24761" i="1"/>
  <c r="G24760" i="1"/>
  <c r="C24760" i="1"/>
  <c r="B24760" i="1"/>
  <c r="G24759" i="1"/>
  <c r="C24759" i="1"/>
  <c r="B24759" i="1"/>
  <c r="G24758" i="1"/>
  <c r="C24758" i="1"/>
  <c r="B24758" i="1"/>
  <c r="G24757" i="1"/>
  <c r="C24757" i="1"/>
  <c r="B24757" i="1"/>
  <c r="G24756" i="1"/>
  <c r="C24756" i="1"/>
  <c r="B24756" i="1"/>
  <c r="G24755" i="1"/>
  <c r="B24755" i="1"/>
  <c r="G24754" i="1"/>
  <c r="C24754" i="1"/>
  <c r="B24754" i="1"/>
  <c r="G24753" i="1"/>
  <c r="C24753" i="1"/>
  <c r="B24753" i="1"/>
  <c r="G24752" i="1"/>
  <c r="C24752" i="1"/>
  <c r="B24752" i="1"/>
  <c r="G24751" i="1"/>
  <c r="C24751" i="1"/>
  <c r="B24751" i="1"/>
  <c r="G24750" i="1"/>
  <c r="C24750" i="1"/>
  <c r="B24750" i="1"/>
  <c r="G24749" i="1"/>
  <c r="C24749" i="1"/>
  <c r="B24749" i="1"/>
  <c r="G24748" i="1"/>
  <c r="C24748" i="1"/>
  <c r="B24748" i="1"/>
  <c r="G24747" i="1"/>
  <c r="B24747" i="1"/>
  <c r="G24746" i="1"/>
  <c r="B24746" i="1"/>
  <c r="G24745" i="1"/>
  <c r="B24745" i="1"/>
  <c r="G24744" i="1"/>
  <c r="B24744" i="1"/>
  <c r="G24743" i="1"/>
  <c r="C24743" i="1"/>
  <c r="B24743" i="1"/>
  <c r="G24742" i="1"/>
  <c r="B24742" i="1"/>
  <c r="G24741" i="1"/>
  <c r="B24741" i="1"/>
  <c r="G24740" i="1"/>
  <c r="C24740" i="1"/>
  <c r="B24740" i="1"/>
  <c r="G24739" i="1"/>
  <c r="C24739" i="1"/>
  <c r="B24739" i="1"/>
  <c r="G24738" i="1"/>
  <c r="B24738" i="1"/>
  <c r="G24737" i="1"/>
  <c r="B24737" i="1"/>
  <c r="G24736" i="1"/>
  <c r="B24736" i="1"/>
  <c r="G24735" i="1"/>
  <c r="B24735" i="1"/>
  <c r="G24734" i="1"/>
  <c r="B24734" i="1"/>
  <c r="G24733" i="1"/>
  <c r="C24733" i="1"/>
  <c r="B24733" i="1"/>
  <c r="G24732" i="1"/>
  <c r="C24732" i="1"/>
  <c r="B24732" i="1"/>
  <c r="G24731" i="1"/>
  <c r="B24731" i="1"/>
  <c r="G24730" i="1"/>
  <c r="C24730" i="1"/>
  <c r="B24730" i="1"/>
  <c r="G24729" i="1"/>
  <c r="C24729" i="1"/>
  <c r="B24729" i="1"/>
  <c r="G24728" i="1"/>
  <c r="C24728" i="1"/>
  <c r="B24728" i="1"/>
  <c r="G24727" i="1"/>
  <c r="C24727" i="1"/>
  <c r="B24727" i="1"/>
  <c r="G24726" i="1"/>
  <c r="C24726" i="1"/>
  <c r="B24726" i="1"/>
  <c r="G24725" i="1"/>
  <c r="C24725" i="1"/>
  <c r="B24725" i="1"/>
  <c r="G24724" i="1"/>
  <c r="C24724" i="1"/>
  <c r="B24724" i="1"/>
  <c r="G24723" i="1"/>
  <c r="B24723" i="1"/>
  <c r="G24722" i="1"/>
  <c r="B24722" i="1"/>
  <c r="G24721" i="1"/>
  <c r="B24721" i="1"/>
  <c r="G24720" i="1"/>
  <c r="C24720" i="1"/>
  <c r="B24720" i="1"/>
  <c r="G24719" i="1"/>
  <c r="C24719" i="1"/>
  <c r="B24719" i="1"/>
  <c r="G24718" i="1"/>
  <c r="C24718" i="1"/>
  <c r="B24718" i="1"/>
  <c r="G24717" i="1"/>
  <c r="C24717" i="1"/>
  <c r="B24717" i="1"/>
  <c r="G24716" i="1"/>
  <c r="C24716" i="1"/>
  <c r="B24716" i="1"/>
  <c r="G24715" i="1"/>
  <c r="B24715" i="1"/>
  <c r="G24714" i="1"/>
  <c r="B24714" i="1"/>
  <c r="G24713" i="1"/>
  <c r="C24713" i="1"/>
  <c r="B24713" i="1"/>
  <c r="G24712" i="1"/>
  <c r="B24712" i="1"/>
  <c r="G24711" i="1"/>
  <c r="B24711" i="1"/>
  <c r="G24710" i="1"/>
  <c r="B24710" i="1"/>
  <c r="G24709" i="1"/>
  <c r="B24709" i="1"/>
  <c r="G24708" i="1"/>
  <c r="C24708" i="1"/>
  <c r="B24708" i="1"/>
  <c r="G24707" i="1"/>
  <c r="B24707" i="1"/>
  <c r="G24706" i="1"/>
  <c r="B24706" i="1"/>
  <c r="G24705" i="1"/>
  <c r="C24705" i="1"/>
  <c r="B24705" i="1"/>
  <c r="G24704" i="1"/>
  <c r="C24704" i="1"/>
  <c r="B24704" i="1"/>
  <c r="G24703" i="1"/>
  <c r="B24703" i="1"/>
  <c r="G24702" i="1"/>
  <c r="C24702" i="1"/>
  <c r="B24702" i="1"/>
  <c r="G24701" i="1"/>
  <c r="B24701" i="1"/>
  <c r="G24700" i="1"/>
  <c r="C24700" i="1"/>
  <c r="B24700" i="1"/>
  <c r="G24699" i="1"/>
  <c r="C24699" i="1"/>
  <c r="B24699" i="1"/>
  <c r="G24698" i="1"/>
  <c r="C24698" i="1"/>
  <c r="B24698" i="1"/>
  <c r="G24697" i="1"/>
  <c r="B24697" i="1"/>
  <c r="G24696" i="1"/>
  <c r="B24696" i="1"/>
  <c r="G24695" i="1"/>
  <c r="C24695" i="1"/>
  <c r="B24695" i="1"/>
  <c r="G24694" i="1"/>
  <c r="B24694" i="1"/>
  <c r="G24693" i="1"/>
  <c r="B24693" i="1"/>
  <c r="G24692" i="1"/>
  <c r="B24692" i="1"/>
  <c r="G24691" i="1"/>
  <c r="C24691" i="1"/>
  <c r="B24691" i="1"/>
  <c r="G24690" i="1"/>
  <c r="B24690" i="1"/>
  <c r="G24689" i="1"/>
  <c r="B24689" i="1"/>
  <c r="G24688" i="1"/>
  <c r="B24688" i="1"/>
  <c r="G24687" i="1"/>
  <c r="C24687" i="1"/>
  <c r="B24687" i="1"/>
  <c r="G24686" i="1"/>
  <c r="C24686" i="1"/>
  <c r="B24686" i="1"/>
  <c r="G24685" i="1"/>
  <c r="B24685" i="1"/>
  <c r="G24684" i="1"/>
  <c r="C24684" i="1"/>
  <c r="B24684" i="1"/>
  <c r="G24683" i="1"/>
  <c r="C24683" i="1"/>
  <c r="B24683" i="1"/>
  <c r="G24682" i="1"/>
  <c r="C24682" i="1"/>
  <c r="B24682" i="1"/>
  <c r="G24681" i="1"/>
  <c r="B24681" i="1"/>
  <c r="G24680" i="1"/>
  <c r="C24680" i="1"/>
  <c r="B24680" i="1"/>
  <c r="G24679" i="1"/>
  <c r="C24679" i="1"/>
  <c r="B24679" i="1"/>
  <c r="G24678" i="1"/>
  <c r="C24678" i="1"/>
  <c r="B24678" i="1"/>
  <c r="G24677" i="1"/>
  <c r="B24677" i="1"/>
  <c r="G24676" i="1"/>
  <c r="B24676" i="1"/>
  <c r="G24675" i="1"/>
  <c r="C24675" i="1"/>
  <c r="B24675" i="1"/>
  <c r="G24674" i="1"/>
  <c r="B24674" i="1"/>
  <c r="G24673" i="1"/>
  <c r="C24673" i="1"/>
  <c r="B24673" i="1"/>
  <c r="G24672" i="1"/>
  <c r="B24672" i="1"/>
  <c r="G24671" i="1"/>
  <c r="C24671" i="1"/>
  <c r="B24671" i="1"/>
  <c r="G24670" i="1"/>
  <c r="C24670" i="1"/>
  <c r="B24670" i="1"/>
  <c r="G24669" i="1"/>
  <c r="C24669" i="1"/>
  <c r="B24669" i="1"/>
  <c r="G24668" i="1"/>
  <c r="B24668" i="1"/>
  <c r="G24667" i="1"/>
  <c r="B24667" i="1"/>
  <c r="G24666" i="1"/>
  <c r="C24666" i="1"/>
  <c r="B24666" i="1"/>
  <c r="G24665" i="1"/>
  <c r="B24665" i="1"/>
  <c r="G24664" i="1"/>
  <c r="C24664" i="1"/>
  <c r="B24664" i="1"/>
  <c r="G24663" i="1"/>
  <c r="C24663" i="1"/>
  <c r="B24663" i="1"/>
  <c r="G24662" i="1"/>
  <c r="C24662" i="1"/>
  <c r="B24662" i="1"/>
  <c r="G24661" i="1"/>
  <c r="B24661" i="1"/>
  <c r="G24660" i="1"/>
  <c r="C24660" i="1"/>
  <c r="B24660" i="1"/>
  <c r="G24659" i="1"/>
  <c r="C24659" i="1"/>
  <c r="B24659" i="1"/>
  <c r="G24658" i="1"/>
  <c r="C24658" i="1"/>
  <c r="B24658" i="1"/>
  <c r="G24657" i="1"/>
  <c r="C24657" i="1"/>
  <c r="B24657" i="1"/>
  <c r="G24656" i="1"/>
  <c r="C24656" i="1"/>
  <c r="B24656" i="1"/>
  <c r="G24655" i="1"/>
  <c r="C24655" i="1"/>
  <c r="B24655" i="1"/>
  <c r="G24654" i="1"/>
  <c r="C24654" i="1"/>
  <c r="B24654" i="1"/>
  <c r="G24653" i="1"/>
  <c r="B24653" i="1"/>
  <c r="G24652" i="1"/>
  <c r="C24652" i="1"/>
  <c r="B24652" i="1"/>
  <c r="G24651" i="1"/>
  <c r="B24651" i="1"/>
  <c r="G24650" i="1"/>
  <c r="B24650" i="1"/>
  <c r="G24649" i="1"/>
  <c r="B24649" i="1"/>
  <c r="G24648" i="1"/>
  <c r="B24648" i="1"/>
  <c r="G24647" i="1"/>
  <c r="C24647" i="1"/>
  <c r="B24647" i="1"/>
  <c r="G24646" i="1"/>
  <c r="C24646" i="1"/>
  <c r="B24646" i="1"/>
  <c r="G24645" i="1"/>
  <c r="B24645" i="1"/>
  <c r="G24644" i="1"/>
  <c r="C24644" i="1"/>
  <c r="B24644" i="1"/>
  <c r="G24643" i="1"/>
  <c r="C24643" i="1"/>
  <c r="B24643" i="1"/>
  <c r="G24642" i="1"/>
  <c r="C24642" i="1"/>
  <c r="B24642" i="1"/>
  <c r="G24641" i="1"/>
  <c r="B24641" i="1"/>
  <c r="G24640" i="1"/>
  <c r="C24640" i="1"/>
  <c r="B24640" i="1"/>
  <c r="G24639" i="1"/>
  <c r="C24639" i="1"/>
  <c r="B24639" i="1"/>
  <c r="G24638" i="1"/>
  <c r="C24638" i="1"/>
  <c r="B24638" i="1"/>
  <c r="G24637" i="1"/>
  <c r="B24637" i="1"/>
  <c r="G24636" i="1"/>
  <c r="C24636" i="1"/>
  <c r="B24636" i="1"/>
  <c r="G24635" i="1"/>
  <c r="C24635" i="1"/>
  <c r="B24635" i="1"/>
  <c r="G24634" i="1"/>
  <c r="B24634" i="1"/>
  <c r="G24633" i="1"/>
  <c r="C24633" i="1"/>
  <c r="B24633" i="1"/>
  <c r="G24632" i="1"/>
  <c r="B24632" i="1"/>
  <c r="G24631" i="1"/>
  <c r="C24631" i="1"/>
  <c r="B24631" i="1"/>
  <c r="G24630" i="1"/>
  <c r="C24630" i="1"/>
  <c r="B24630" i="1"/>
  <c r="G24629" i="1"/>
  <c r="C24629" i="1"/>
  <c r="B24629" i="1"/>
  <c r="G24628" i="1"/>
  <c r="B24628" i="1"/>
  <c r="G24627" i="1"/>
  <c r="B24627" i="1"/>
  <c r="G24626" i="1"/>
  <c r="B24626" i="1"/>
  <c r="G24625" i="1"/>
  <c r="C24625" i="1"/>
  <c r="B24625" i="1"/>
  <c r="G24624" i="1"/>
  <c r="C24624" i="1"/>
  <c r="B24624" i="1"/>
  <c r="G24623" i="1"/>
  <c r="C24623" i="1"/>
  <c r="B24623" i="1"/>
  <c r="G24622" i="1"/>
  <c r="C24622" i="1"/>
  <c r="B24622" i="1"/>
  <c r="G24621" i="1"/>
  <c r="B24621" i="1"/>
  <c r="G24620" i="1"/>
  <c r="C24620" i="1"/>
  <c r="B24620" i="1"/>
  <c r="G24619" i="1"/>
  <c r="C24619" i="1"/>
  <c r="B24619" i="1"/>
  <c r="G24618" i="1"/>
  <c r="B24618" i="1"/>
  <c r="G24617" i="1"/>
  <c r="B24617" i="1"/>
  <c r="G24616" i="1"/>
  <c r="C24616" i="1"/>
  <c r="B24616" i="1"/>
  <c r="G24615" i="1"/>
  <c r="C24615" i="1"/>
  <c r="B24615" i="1"/>
  <c r="G24614" i="1"/>
  <c r="C24614" i="1"/>
  <c r="B24614" i="1"/>
  <c r="G24613" i="1"/>
  <c r="C24613" i="1"/>
  <c r="B24613" i="1"/>
  <c r="G24612" i="1"/>
  <c r="B24612" i="1"/>
  <c r="G24611" i="1"/>
  <c r="B24611" i="1"/>
  <c r="G24610" i="1"/>
  <c r="B24610" i="1"/>
  <c r="G24609" i="1"/>
  <c r="C24609" i="1"/>
  <c r="B24609" i="1"/>
  <c r="G24608" i="1"/>
  <c r="C24608" i="1"/>
  <c r="B24608" i="1"/>
  <c r="G24607" i="1"/>
  <c r="C24607" i="1"/>
  <c r="B24607" i="1"/>
  <c r="G24606" i="1"/>
  <c r="C24606" i="1"/>
  <c r="B24606" i="1"/>
  <c r="G24605" i="1"/>
  <c r="C24605" i="1"/>
  <c r="B24605" i="1"/>
  <c r="G24604" i="1"/>
  <c r="B24604" i="1"/>
  <c r="G24603" i="1"/>
  <c r="C24603" i="1"/>
  <c r="B24603" i="1"/>
  <c r="G24602" i="1"/>
  <c r="C24602" i="1"/>
  <c r="B24602" i="1"/>
  <c r="G24601" i="1"/>
  <c r="B24601" i="1"/>
  <c r="G24600" i="1"/>
  <c r="C24600" i="1"/>
  <c r="B24600" i="1"/>
  <c r="G24599" i="1"/>
  <c r="B24599" i="1"/>
  <c r="G24598" i="1"/>
  <c r="C24598" i="1"/>
  <c r="B24598" i="1"/>
  <c r="G24597" i="1"/>
  <c r="B24597" i="1"/>
  <c r="G24596" i="1"/>
  <c r="C24596" i="1"/>
  <c r="B24596" i="1"/>
  <c r="G24595" i="1"/>
  <c r="B24595" i="1"/>
  <c r="G24594" i="1"/>
  <c r="C24594" i="1"/>
  <c r="B24594" i="1"/>
  <c r="G24593" i="1"/>
  <c r="C24593" i="1"/>
  <c r="B24593" i="1"/>
  <c r="G24592" i="1"/>
  <c r="C24592" i="1"/>
  <c r="B24592" i="1"/>
  <c r="G24591" i="1"/>
  <c r="C24591" i="1"/>
  <c r="B24591" i="1"/>
  <c r="G24590" i="1"/>
  <c r="C24590" i="1"/>
  <c r="B24590" i="1"/>
  <c r="G24589" i="1"/>
  <c r="B24589" i="1"/>
  <c r="G24588" i="1"/>
  <c r="C24588" i="1"/>
  <c r="B24588" i="1"/>
  <c r="G24587" i="1"/>
  <c r="C24587" i="1"/>
  <c r="B24587" i="1"/>
  <c r="G24586" i="1"/>
  <c r="C24586" i="1"/>
  <c r="B24586" i="1"/>
  <c r="G24585" i="1"/>
  <c r="B24585" i="1"/>
  <c r="G24584" i="1"/>
  <c r="C24584" i="1"/>
  <c r="B24584" i="1"/>
  <c r="G24583" i="1"/>
  <c r="C24583" i="1"/>
  <c r="B24583" i="1"/>
  <c r="G24582" i="1"/>
  <c r="B24582" i="1"/>
  <c r="G24581" i="1"/>
  <c r="C24581" i="1"/>
  <c r="B24581" i="1"/>
  <c r="G24580" i="1"/>
  <c r="C24580" i="1"/>
  <c r="B24580" i="1"/>
  <c r="G24579" i="1"/>
  <c r="C24579" i="1"/>
  <c r="B24579" i="1"/>
  <c r="G24578" i="1"/>
  <c r="B24578" i="1"/>
  <c r="G24577" i="1"/>
  <c r="B24577" i="1"/>
  <c r="G24576" i="1"/>
  <c r="C24576" i="1"/>
  <c r="B24576" i="1"/>
  <c r="G24575" i="1"/>
  <c r="B24575" i="1"/>
  <c r="G24574" i="1"/>
  <c r="C24574" i="1"/>
  <c r="B24574" i="1"/>
  <c r="G24573" i="1"/>
  <c r="C24573" i="1"/>
  <c r="B24573" i="1"/>
  <c r="G24572" i="1"/>
  <c r="B24572" i="1"/>
  <c r="G24571" i="1"/>
  <c r="C24571" i="1"/>
  <c r="B24571" i="1"/>
  <c r="G24570" i="1"/>
  <c r="C24570" i="1"/>
  <c r="B24570" i="1"/>
  <c r="G24569" i="1"/>
  <c r="C24569" i="1"/>
  <c r="B24569" i="1"/>
  <c r="G24568" i="1"/>
  <c r="C24568" i="1"/>
  <c r="B24568" i="1"/>
  <c r="G24567" i="1"/>
  <c r="C24567" i="1"/>
  <c r="B24567" i="1"/>
  <c r="G24566" i="1"/>
  <c r="C24566" i="1"/>
  <c r="B24566" i="1"/>
  <c r="G24565" i="1"/>
  <c r="C24565" i="1"/>
  <c r="B24565" i="1"/>
  <c r="G24564" i="1"/>
  <c r="B24564" i="1"/>
  <c r="G24563" i="1"/>
  <c r="C24563" i="1"/>
  <c r="B24563" i="1"/>
  <c r="G24562" i="1"/>
  <c r="C24562" i="1"/>
  <c r="B24562" i="1"/>
  <c r="G24561" i="1"/>
  <c r="B24561" i="1"/>
  <c r="G24560" i="1"/>
  <c r="B24560" i="1"/>
  <c r="G24559" i="1"/>
  <c r="C24559" i="1"/>
  <c r="B24559" i="1"/>
  <c r="G24558" i="1"/>
  <c r="C24558" i="1"/>
  <c r="B24558" i="1"/>
  <c r="G24557" i="1"/>
  <c r="C24557" i="1"/>
  <c r="B24557" i="1"/>
  <c r="G24556" i="1"/>
  <c r="C24556" i="1"/>
  <c r="B24556" i="1"/>
  <c r="G24555" i="1"/>
  <c r="C24555" i="1"/>
  <c r="B24555" i="1"/>
  <c r="G24554" i="1"/>
  <c r="B24554" i="1"/>
  <c r="G24553" i="1"/>
  <c r="C24553" i="1"/>
  <c r="B24553" i="1"/>
  <c r="G24552" i="1"/>
  <c r="B24552" i="1"/>
  <c r="G24551" i="1"/>
  <c r="C24551" i="1"/>
  <c r="B24551" i="1"/>
  <c r="G24550" i="1"/>
  <c r="C24550" i="1"/>
  <c r="B24550" i="1"/>
  <c r="G24549" i="1"/>
  <c r="C24549" i="1"/>
  <c r="B24549" i="1"/>
  <c r="G24548" i="1"/>
  <c r="B24548" i="1"/>
  <c r="G24547" i="1"/>
  <c r="C24547" i="1"/>
  <c r="B24547" i="1"/>
  <c r="G24546" i="1"/>
  <c r="C24546" i="1"/>
  <c r="B24546" i="1"/>
  <c r="G24545" i="1"/>
  <c r="B24545" i="1"/>
  <c r="G24544" i="1"/>
  <c r="C24544" i="1"/>
  <c r="B24544" i="1"/>
  <c r="G24543" i="1"/>
  <c r="C24543" i="1"/>
  <c r="B24543" i="1"/>
  <c r="G24542" i="1"/>
  <c r="C24542" i="1"/>
  <c r="B24542" i="1"/>
  <c r="G24541" i="1"/>
  <c r="C24541" i="1"/>
  <c r="B24541" i="1"/>
  <c r="G24540" i="1"/>
  <c r="B24540" i="1"/>
  <c r="G24539" i="1"/>
  <c r="C24539" i="1"/>
  <c r="B24539" i="1"/>
  <c r="G24538" i="1"/>
  <c r="C24538" i="1"/>
  <c r="B24538" i="1"/>
  <c r="G24537" i="1"/>
  <c r="B24537" i="1"/>
  <c r="G24536" i="1"/>
  <c r="B24536" i="1"/>
  <c r="G24535" i="1"/>
  <c r="C24535" i="1"/>
  <c r="B24535" i="1"/>
  <c r="G24534" i="1"/>
  <c r="B24534" i="1"/>
  <c r="G24533" i="1"/>
  <c r="C24533" i="1"/>
  <c r="B24533" i="1"/>
  <c r="G24532" i="1"/>
  <c r="C24532" i="1"/>
  <c r="B24532" i="1"/>
  <c r="G24531" i="1"/>
  <c r="C24531" i="1"/>
  <c r="B24531" i="1"/>
  <c r="G24530" i="1"/>
  <c r="C24530" i="1"/>
  <c r="B24530" i="1"/>
  <c r="G24529" i="1"/>
  <c r="C24529" i="1"/>
  <c r="B24529" i="1"/>
  <c r="G24528" i="1"/>
  <c r="C24528" i="1"/>
  <c r="B24528" i="1"/>
  <c r="G24527" i="1"/>
  <c r="B24527" i="1"/>
  <c r="G24526" i="1"/>
  <c r="B24526" i="1"/>
  <c r="G24525" i="1"/>
  <c r="C24525" i="1"/>
  <c r="B24525" i="1"/>
  <c r="G24524" i="1"/>
  <c r="B24524" i="1"/>
  <c r="G24523" i="1"/>
  <c r="C24523" i="1"/>
  <c r="B24523" i="1"/>
  <c r="G24522" i="1"/>
  <c r="B24522" i="1"/>
  <c r="G24521" i="1"/>
  <c r="C24521" i="1"/>
  <c r="B24521" i="1"/>
  <c r="G24520" i="1"/>
  <c r="C24520" i="1"/>
  <c r="B24520" i="1"/>
  <c r="G24519" i="1"/>
  <c r="B24519" i="1"/>
  <c r="G24518" i="1"/>
  <c r="C24518" i="1"/>
  <c r="B24518" i="1"/>
  <c r="G24517" i="1"/>
  <c r="B24517" i="1"/>
  <c r="G24516" i="1"/>
  <c r="B24516" i="1"/>
  <c r="G24515" i="1"/>
  <c r="B24515" i="1"/>
  <c r="G24514" i="1"/>
  <c r="C24514" i="1"/>
  <c r="B24514" i="1"/>
  <c r="G24513" i="1"/>
  <c r="C24513" i="1"/>
  <c r="B24513" i="1"/>
  <c r="G24512" i="1"/>
  <c r="C24512" i="1"/>
  <c r="B24512" i="1"/>
  <c r="G24511" i="1"/>
  <c r="C24511" i="1"/>
  <c r="B24511" i="1"/>
  <c r="G24510" i="1"/>
  <c r="C24510" i="1"/>
  <c r="B24510" i="1"/>
  <c r="G24509" i="1"/>
  <c r="C24509" i="1"/>
  <c r="B24509" i="1"/>
  <c r="G24508" i="1"/>
  <c r="B24508" i="1"/>
  <c r="G24507" i="1"/>
  <c r="C24507" i="1"/>
  <c r="B24507" i="1"/>
  <c r="G24506" i="1"/>
  <c r="C24506" i="1"/>
  <c r="B24506" i="1"/>
  <c r="G24505" i="1"/>
  <c r="B24505" i="1"/>
  <c r="G24504" i="1"/>
  <c r="B24504" i="1"/>
  <c r="G24503" i="1"/>
  <c r="C24503" i="1"/>
  <c r="B24503" i="1"/>
  <c r="G24502" i="1"/>
  <c r="C24502" i="1"/>
  <c r="B24502" i="1"/>
  <c r="G24501" i="1"/>
  <c r="C24501" i="1"/>
  <c r="B24501" i="1"/>
  <c r="G24500" i="1"/>
  <c r="C24500" i="1"/>
  <c r="B24500" i="1"/>
  <c r="G24499" i="1"/>
  <c r="C24499" i="1"/>
  <c r="B24499" i="1"/>
  <c r="G24498" i="1"/>
  <c r="B24498" i="1"/>
  <c r="G24497" i="1"/>
  <c r="C24497" i="1"/>
  <c r="B24497" i="1"/>
  <c r="G24496" i="1"/>
  <c r="B24496" i="1"/>
  <c r="G24495" i="1"/>
  <c r="C24495" i="1"/>
  <c r="B24495" i="1"/>
  <c r="G24494" i="1"/>
  <c r="B24494" i="1"/>
  <c r="G24493" i="1"/>
  <c r="C24493" i="1"/>
  <c r="B24493" i="1"/>
  <c r="G24492" i="1"/>
  <c r="C24492" i="1"/>
  <c r="B24492" i="1"/>
  <c r="G24491" i="1"/>
  <c r="C24491" i="1"/>
  <c r="B24491" i="1"/>
  <c r="G24490" i="1"/>
  <c r="B24490" i="1"/>
  <c r="G24489" i="1"/>
  <c r="C24489" i="1"/>
  <c r="B24489" i="1"/>
  <c r="G24488" i="1"/>
  <c r="C24488" i="1"/>
  <c r="B24488" i="1"/>
  <c r="G24487" i="1"/>
  <c r="C24487" i="1"/>
  <c r="B24487" i="1"/>
  <c r="G24486" i="1"/>
  <c r="C24486" i="1"/>
  <c r="B24486" i="1"/>
  <c r="G24485" i="1"/>
  <c r="B24485" i="1"/>
  <c r="G24484" i="1"/>
  <c r="B24484" i="1"/>
  <c r="G24483" i="1"/>
  <c r="B24483" i="1"/>
  <c r="G24482" i="1"/>
  <c r="B24482" i="1"/>
  <c r="G24481" i="1"/>
  <c r="B24481" i="1"/>
  <c r="G24480" i="1"/>
  <c r="C24480" i="1"/>
  <c r="B24480" i="1"/>
  <c r="G24479" i="1"/>
  <c r="C24479" i="1"/>
  <c r="B24479" i="1"/>
  <c r="G24478" i="1"/>
  <c r="C24478" i="1"/>
  <c r="B24478" i="1"/>
  <c r="G24477" i="1"/>
  <c r="C24477" i="1"/>
  <c r="B24477" i="1"/>
  <c r="G24476" i="1"/>
  <c r="B24476" i="1"/>
  <c r="G24475" i="1"/>
  <c r="C24475" i="1"/>
  <c r="B24475" i="1"/>
  <c r="G24474" i="1"/>
  <c r="C24474" i="1"/>
  <c r="B24474" i="1"/>
  <c r="G24473" i="1"/>
  <c r="C24473" i="1"/>
  <c r="B24473" i="1"/>
  <c r="G24472" i="1"/>
  <c r="C24472" i="1"/>
  <c r="B24472" i="1"/>
  <c r="G24471" i="1"/>
  <c r="B24471" i="1"/>
  <c r="G24470" i="1"/>
  <c r="C24470" i="1"/>
  <c r="B24470" i="1"/>
  <c r="G24469" i="1"/>
  <c r="B24469" i="1"/>
  <c r="G24468" i="1"/>
  <c r="C24468" i="1"/>
  <c r="B24468" i="1"/>
  <c r="G24467" i="1"/>
  <c r="C24467" i="1"/>
  <c r="B24467" i="1"/>
  <c r="G24466" i="1"/>
  <c r="B24466" i="1"/>
  <c r="G24465" i="1"/>
  <c r="C24465" i="1"/>
  <c r="B24465" i="1"/>
  <c r="G24464" i="1"/>
  <c r="B24464" i="1"/>
  <c r="G24463" i="1"/>
  <c r="C24463" i="1"/>
  <c r="B24463" i="1"/>
  <c r="G24462" i="1"/>
  <c r="B24462" i="1"/>
  <c r="G24461" i="1"/>
  <c r="B24461" i="1"/>
  <c r="G24460" i="1"/>
  <c r="C24460" i="1"/>
  <c r="B24460" i="1"/>
  <c r="G24459" i="1"/>
  <c r="C24459" i="1"/>
  <c r="B24459" i="1"/>
  <c r="G24458" i="1"/>
  <c r="B24458" i="1"/>
  <c r="G24457" i="1"/>
  <c r="B24457" i="1"/>
  <c r="G24456" i="1"/>
  <c r="C24456" i="1"/>
  <c r="B24456" i="1"/>
  <c r="G24455" i="1"/>
  <c r="C24455" i="1"/>
  <c r="B24455" i="1"/>
  <c r="G24454" i="1"/>
  <c r="B24454" i="1"/>
  <c r="G24453" i="1"/>
  <c r="C24453" i="1"/>
  <c r="B24453" i="1"/>
  <c r="G24452" i="1"/>
  <c r="C24452" i="1"/>
  <c r="B24452" i="1"/>
  <c r="G24451" i="1"/>
  <c r="B24451" i="1"/>
  <c r="G24450" i="1"/>
  <c r="B24450" i="1"/>
  <c r="G24449" i="1"/>
  <c r="B24449" i="1"/>
  <c r="G24448" i="1"/>
  <c r="B24448" i="1"/>
  <c r="G24447" i="1"/>
  <c r="C24447" i="1"/>
  <c r="B24447" i="1"/>
  <c r="G24446" i="1"/>
  <c r="C24446" i="1"/>
  <c r="B24446" i="1"/>
  <c r="G24445" i="1"/>
  <c r="C24445" i="1"/>
  <c r="B24445" i="1"/>
  <c r="G24444" i="1"/>
  <c r="C24444" i="1"/>
  <c r="B24444" i="1"/>
  <c r="G24443" i="1"/>
  <c r="B24443" i="1"/>
  <c r="G24442" i="1"/>
  <c r="B24442" i="1"/>
  <c r="G24441" i="1"/>
  <c r="C24441" i="1"/>
  <c r="B24441" i="1"/>
  <c r="G24440" i="1"/>
  <c r="B24440" i="1"/>
  <c r="G24439" i="1"/>
  <c r="C24439" i="1"/>
  <c r="B24439" i="1"/>
  <c r="G24438" i="1"/>
  <c r="B24438" i="1"/>
  <c r="G24437" i="1"/>
  <c r="C24437" i="1"/>
  <c r="B24437" i="1"/>
  <c r="G24436" i="1"/>
  <c r="B24436" i="1"/>
  <c r="G24435" i="1"/>
  <c r="C24435" i="1"/>
  <c r="B24435" i="1"/>
  <c r="G24434" i="1"/>
  <c r="C24434" i="1"/>
  <c r="B24434" i="1"/>
  <c r="G24433" i="1"/>
  <c r="C24433" i="1"/>
  <c r="B24433" i="1"/>
  <c r="G24432" i="1"/>
  <c r="C24432" i="1"/>
  <c r="B24432" i="1"/>
  <c r="G24431" i="1"/>
  <c r="C24431" i="1"/>
  <c r="B24431" i="1"/>
  <c r="G24430" i="1"/>
  <c r="B24430" i="1"/>
  <c r="G24429" i="1"/>
  <c r="C24429" i="1"/>
  <c r="B24429" i="1"/>
  <c r="G24428" i="1"/>
  <c r="C24428" i="1"/>
  <c r="B24428" i="1"/>
  <c r="G24427" i="1"/>
  <c r="C24427" i="1"/>
  <c r="B24427" i="1"/>
  <c r="G24426" i="1"/>
  <c r="C24426" i="1"/>
  <c r="B24426" i="1"/>
  <c r="G24425" i="1"/>
  <c r="C24425" i="1"/>
  <c r="B24425" i="1"/>
  <c r="G24424" i="1"/>
  <c r="C24424" i="1"/>
  <c r="B24424" i="1"/>
  <c r="G24423" i="1"/>
  <c r="B24423" i="1"/>
  <c r="G24422" i="1"/>
  <c r="B24422" i="1"/>
  <c r="G24421" i="1"/>
  <c r="C24421" i="1"/>
  <c r="B24421" i="1"/>
  <c r="G24420" i="1"/>
  <c r="C24420" i="1"/>
  <c r="B24420" i="1"/>
  <c r="G24419" i="1"/>
  <c r="B24419" i="1"/>
  <c r="G24418" i="1"/>
  <c r="C24418" i="1"/>
  <c r="B24418" i="1"/>
  <c r="G24417" i="1"/>
  <c r="C24417" i="1"/>
  <c r="B24417" i="1"/>
  <c r="G24416" i="1"/>
  <c r="B24416" i="1"/>
  <c r="G24415" i="1"/>
  <c r="C24415" i="1"/>
  <c r="B24415" i="1"/>
  <c r="G24414" i="1"/>
  <c r="C24414" i="1"/>
  <c r="B24414" i="1"/>
  <c r="G24413" i="1"/>
  <c r="B24413" i="1"/>
  <c r="G24412" i="1"/>
  <c r="C24412" i="1"/>
  <c r="B24412" i="1"/>
  <c r="G24411" i="1"/>
  <c r="C24411" i="1"/>
  <c r="B24411" i="1"/>
  <c r="G24410" i="1"/>
  <c r="C24410" i="1"/>
  <c r="B24410" i="1"/>
  <c r="G24409" i="1"/>
  <c r="C24409" i="1"/>
  <c r="B24409" i="1"/>
  <c r="G24408" i="1"/>
  <c r="C24408" i="1"/>
  <c r="B24408" i="1"/>
  <c r="G24407" i="1"/>
  <c r="C24407" i="1"/>
  <c r="B24407" i="1"/>
  <c r="G24406" i="1"/>
  <c r="C24406" i="1"/>
  <c r="B24406" i="1"/>
  <c r="G24405" i="1"/>
  <c r="C24405" i="1"/>
  <c r="B24405" i="1"/>
  <c r="G24404" i="1"/>
  <c r="C24404" i="1"/>
  <c r="B24404" i="1"/>
  <c r="G24403" i="1"/>
  <c r="B24403" i="1"/>
  <c r="G24402" i="1"/>
  <c r="C24402" i="1"/>
  <c r="B24402" i="1"/>
  <c r="G24401" i="1"/>
  <c r="C24401" i="1"/>
  <c r="B24401" i="1"/>
  <c r="G24400" i="1"/>
  <c r="B24400" i="1"/>
  <c r="G24399" i="1"/>
  <c r="C24399" i="1"/>
  <c r="B24399" i="1"/>
  <c r="G24398" i="1"/>
  <c r="B24398" i="1"/>
  <c r="G24397" i="1"/>
  <c r="C24397" i="1"/>
  <c r="B24397" i="1"/>
  <c r="G24396" i="1"/>
  <c r="C24396" i="1"/>
  <c r="B24396" i="1"/>
  <c r="G24395" i="1"/>
  <c r="B24395" i="1"/>
  <c r="G24394" i="1"/>
  <c r="C24394" i="1"/>
  <c r="B24394" i="1"/>
  <c r="G24393" i="1"/>
  <c r="C24393" i="1"/>
  <c r="B24393" i="1"/>
  <c r="G24392" i="1"/>
  <c r="C24392" i="1"/>
  <c r="B24392" i="1"/>
  <c r="G24391" i="1"/>
  <c r="C24391" i="1"/>
  <c r="B24391" i="1"/>
  <c r="G24390" i="1"/>
  <c r="C24390" i="1"/>
  <c r="B24390" i="1"/>
  <c r="G24389" i="1"/>
  <c r="C24389" i="1"/>
  <c r="B24389" i="1"/>
  <c r="G24388" i="1"/>
  <c r="B24388" i="1"/>
  <c r="G24387" i="1"/>
  <c r="C24387" i="1"/>
  <c r="B24387" i="1"/>
  <c r="G24386" i="1"/>
  <c r="C24386" i="1"/>
  <c r="B24386" i="1"/>
  <c r="G24385" i="1"/>
  <c r="B24385" i="1"/>
  <c r="G24384" i="1"/>
  <c r="B24384" i="1"/>
  <c r="G24383" i="1"/>
  <c r="C24383" i="1"/>
  <c r="B24383" i="1"/>
  <c r="G24382" i="1"/>
  <c r="C24382" i="1"/>
  <c r="B24382" i="1"/>
  <c r="G24381" i="1"/>
  <c r="C24381" i="1"/>
  <c r="B24381" i="1"/>
  <c r="D24380" i="1"/>
  <c r="C24378" i="1"/>
  <c r="B24378" i="1"/>
  <c r="G24377" i="1"/>
  <c r="C24377" i="1"/>
  <c r="B24377" i="1"/>
  <c r="G24376" i="1"/>
  <c r="C24376" i="1"/>
  <c r="B24376" i="1"/>
  <c r="G24375" i="1"/>
  <c r="C24375" i="1"/>
  <c r="B24375" i="1"/>
  <c r="G24374" i="1"/>
  <c r="C24374" i="1"/>
  <c r="B24374" i="1"/>
  <c r="G24373" i="1"/>
  <c r="B24373" i="1"/>
  <c r="G24372" i="1"/>
  <c r="B24372" i="1"/>
  <c r="G24371" i="1"/>
  <c r="B24371" i="1"/>
  <c r="G24370" i="1"/>
  <c r="C24370" i="1"/>
  <c r="B24370" i="1"/>
  <c r="G24369" i="1"/>
  <c r="B24369" i="1"/>
  <c r="G24368" i="1"/>
  <c r="B24368" i="1"/>
  <c r="G24367" i="1"/>
  <c r="C24367" i="1"/>
  <c r="B24367" i="1"/>
  <c r="G24366" i="1"/>
  <c r="B24366" i="1"/>
  <c r="G24365" i="1"/>
  <c r="C24365" i="1"/>
  <c r="B24365" i="1"/>
  <c r="G24364" i="1"/>
  <c r="C24364" i="1"/>
  <c r="B24364" i="1"/>
  <c r="G24363" i="1"/>
  <c r="B24363" i="1"/>
  <c r="G24362" i="1"/>
  <c r="B24362" i="1"/>
  <c r="G24361" i="1"/>
  <c r="C24361" i="1"/>
  <c r="B24361" i="1"/>
  <c r="G24360" i="1"/>
  <c r="B24360" i="1"/>
  <c r="G24359" i="1"/>
  <c r="C24359" i="1"/>
  <c r="B24359" i="1"/>
  <c r="G24358" i="1"/>
  <c r="C24358" i="1"/>
  <c r="B24358" i="1"/>
  <c r="G24357" i="1"/>
  <c r="C24357" i="1"/>
  <c r="B24357" i="1"/>
  <c r="G24356" i="1"/>
  <c r="B24356" i="1"/>
  <c r="G24355" i="1"/>
  <c r="C24355" i="1"/>
  <c r="B24355" i="1"/>
  <c r="G24354" i="1"/>
  <c r="B24354" i="1"/>
  <c r="G24353" i="1"/>
  <c r="C24353" i="1"/>
  <c r="B24353" i="1"/>
  <c r="G24352" i="1"/>
  <c r="C24352" i="1"/>
  <c r="B24352" i="1"/>
  <c r="G24351" i="1"/>
  <c r="C24351" i="1"/>
  <c r="B24351" i="1"/>
  <c r="G24350" i="1"/>
  <c r="C24350" i="1"/>
  <c r="B24350" i="1"/>
  <c r="G24349" i="1"/>
  <c r="C24349" i="1"/>
  <c r="B24349" i="1"/>
  <c r="G24348" i="1"/>
  <c r="B24348" i="1"/>
  <c r="G24347" i="1"/>
  <c r="B24347" i="1"/>
  <c r="G24346" i="1"/>
  <c r="C24346" i="1"/>
  <c r="B24346" i="1"/>
  <c r="G24345" i="1"/>
  <c r="C24345" i="1"/>
  <c r="B24345" i="1"/>
  <c r="G24344" i="1"/>
  <c r="C24344" i="1"/>
  <c r="B24344" i="1"/>
  <c r="G24343" i="1"/>
  <c r="B24343" i="1"/>
  <c r="G24342" i="1"/>
  <c r="C24342" i="1"/>
  <c r="B24342" i="1"/>
  <c r="G24341" i="1"/>
  <c r="C24341" i="1"/>
  <c r="B24341" i="1"/>
  <c r="G24340" i="1"/>
  <c r="B24340" i="1"/>
  <c r="G24339" i="1"/>
  <c r="C24339" i="1"/>
  <c r="B24339" i="1"/>
  <c r="G24338" i="1"/>
  <c r="C24338" i="1"/>
  <c r="B24338" i="1"/>
  <c r="G24337" i="1"/>
  <c r="C24337" i="1"/>
  <c r="B24337" i="1"/>
  <c r="G24336" i="1"/>
  <c r="B24336" i="1"/>
  <c r="G24335" i="1"/>
  <c r="B24335" i="1"/>
  <c r="G24334" i="1"/>
  <c r="C24334" i="1"/>
  <c r="B24334" i="1"/>
  <c r="G24333" i="1"/>
  <c r="C24333" i="1"/>
  <c r="B24333" i="1"/>
  <c r="G24332" i="1"/>
  <c r="C24332" i="1"/>
  <c r="B24332" i="1"/>
  <c r="G24331" i="1"/>
  <c r="B24331" i="1"/>
  <c r="G24330" i="1"/>
  <c r="B24330" i="1"/>
  <c r="G24329" i="1"/>
  <c r="B24329" i="1"/>
  <c r="G24328" i="1"/>
  <c r="B24328" i="1"/>
  <c r="G24327" i="1"/>
  <c r="C24327" i="1"/>
  <c r="B24327" i="1"/>
  <c r="G24326" i="1"/>
  <c r="B24326" i="1"/>
  <c r="G24325" i="1"/>
  <c r="B24325" i="1"/>
  <c r="G24324" i="1"/>
  <c r="C24324" i="1"/>
  <c r="B24324" i="1"/>
  <c r="G24323" i="1"/>
  <c r="B24323" i="1"/>
  <c r="G24322" i="1"/>
  <c r="C24322" i="1"/>
  <c r="B24322" i="1"/>
  <c r="G24321" i="1"/>
  <c r="B24321" i="1"/>
  <c r="G24320" i="1"/>
  <c r="C24320" i="1"/>
  <c r="B24320" i="1"/>
  <c r="G24319" i="1"/>
  <c r="C24319" i="1"/>
  <c r="B24319" i="1"/>
  <c r="G24318" i="1"/>
  <c r="B24318" i="1"/>
  <c r="G24317" i="1"/>
  <c r="B24317" i="1"/>
  <c r="G24316" i="1"/>
  <c r="B24316" i="1"/>
  <c r="G24315" i="1"/>
  <c r="B24315" i="1"/>
  <c r="G24314" i="1"/>
  <c r="C24314" i="1"/>
  <c r="B24314" i="1"/>
  <c r="G24313" i="1"/>
  <c r="B24313" i="1"/>
  <c r="G24312" i="1"/>
  <c r="B24312" i="1"/>
  <c r="G24311" i="1"/>
  <c r="C24311" i="1"/>
  <c r="B24311" i="1"/>
  <c r="G24310" i="1"/>
  <c r="C24310" i="1"/>
  <c r="B24310" i="1"/>
  <c r="G24309" i="1"/>
  <c r="C24309" i="1"/>
  <c r="B24309" i="1"/>
  <c r="G24308" i="1"/>
  <c r="C24308" i="1"/>
  <c r="B24308" i="1"/>
  <c r="G24307" i="1"/>
  <c r="C24307" i="1"/>
  <c r="B24307" i="1"/>
  <c r="G24306" i="1"/>
  <c r="C24306" i="1"/>
  <c r="B24306" i="1"/>
  <c r="G24305" i="1"/>
  <c r="B24305" i="1"/>
  <c r="G24304" i="1"/>
  <c r="C24304" i="1"/>
  <c r="B24304" i="1"/>
  <c r="G24303" i="1"/>
  <c r="B24303" i="1"/>
  <c r="G24302" i="1"/>
  <c r="C24302" i="1"/>
  <c r="B24302" i="1"/>
  <c r="G24301" i="1"/>
  <c r="C24301" i="1"/>
  <c r="B24301" i="1"/>
  <c r="G24300" i="1"/>
  <c r="B24300" i="1"/>
  <c r="G24299" i="1"/>
  <c r="C24299" i="1"/>
  <c r="B24299" i="1"/>
  <c r="G24298" i="1"/>
  <c r="C24298" i="1"/>
  <c r="B24298" i="1"/>
  <c r="G24297" i="1"/>
  <c r="B24297" i="1"/>
  <c r="G24296" i="1"/>
  <c r="B24296" i="1"/>
  <c r="G24295" i="1"/>
  <c r="C24295" i="1"/>
  <c r="B24295" i="1"/>
  <c r="G24294" i="1"/>
  <c r="C24294" i="1"/>
  <c r="B24294" i="1"/>
  <c r="G24293" i="1"/>
  <c r="B24293" i="1"/>
  <c r="G24292" i="1"/>
  <c r="C24292" i="1"/>
  <c r="B24292" i="1"/>
  <c r="G24291" i="1"/>
  <c r="C24291" i="1"/>
  <c r="B24291" i="1"/>
  <c r="G24290" i="1"/>
  <c r="B24290" i="1"/>
  <c r="G24289" i="1"/>
  <c r="C24289" i="1"/>
  <c r="B24289" i="1"/>
  <c r="G24288" i="1"/>
  <c r="C24288" i="1"/>
  <c r="B24288" i="1"/>
  <c r="G24287" i="1"/>
  <c r="C24287" i="1"/>
  <c r="B24287" i="1"/>
  <c r="G24286" i="1"/>
  <c r="B24286" i="1"/>
  <c r="G24285" i="1"/>
  <c r="B24285" i="1"/>
  <c r="G24284" i="1"/>
  <c r="C24284" i="1"/>
  <c r="B24284" i="1"/>
  <c r="G24283" i="1"/>
  <c r="C24283" i="1"/>
  <c r="B24283" i="1"/>
  <c r="G24282" i="1"/>
  <c r="C24282" i="1"/>
  <c r="B24282" i="1"/>
  <c r="G24281" i="1"/>
  <c r="C24281" i="1"/>
  <c r="B24281" i="1"/>
  <c r="G24280" i="1"/>
  <c r="C24280" i="1"/>
  <c r="B24280" i="1"/>
  <c r="G24279" i="1"/>
  <c r="C24279" i="1"/>
  <c r="B24279" i="1"/>
  <c r="G24278" i="1"/>
  <c r="B24278" i="1"/>
  <c r="G24277" i="1"/>
  <c r="C24277" i="1"/>
  <c r="B24277" i="1"/>
  <c r="G24276" i="1"/>
  <c r="C24276" i="1"/>
  <c r="B24276" i="1"/>
  <c r="G24275" i="1"/>
  <c r="B24275" i="1"/>
  <c r="G24274" i="1"/>
  <c r="C24274" i="1"/>
  <c r="B24274" i="1"/>
  <c r="G24273" i="1"/>
  <c r="B24273" i="1"/>
  <c r="G24272" i="1"/>
  <c r="B24272" i="1"/>
  <c r="G24271" i="1"/>
  <c r="C24271" i="1"/>
  <c r="B24271" i="1"/>
  <c r="G24270" i="1"/>
  <c r="C24270" i="1"/>
  <c r="B24270" i="1"/>
  <c r="G24269" i="1"/>
  <c r="C24269" i="1"/>
  <c r="B24269" i="1"/>
  <c r="G24268" i="1"/>
  <c r="B24268" i="1"/>
  <c r="G24267" i="1"/>
  <c r="C24267" i="1"/>
  <c r="B24267" i="1"/>
  <c r="G24266" i="1"/>
  <c r="B24266" i="1"/>
  <c r="G24265" i="1"/>
  <c r="B24265" i="1"/>
  <c r="G24264" i="1"/>
  <c r="C24264" i="1"/>
  <c r="B24264" i="1"/>
  <c r="G24263" i="1"/>
  <c r="B24263" i="1"/>
  <c r="G24262" i="1"/>
  <c r="B24262" i="1"/>
  <c r="G24261" i="1"/>
  <c r="B24261" i="1"/>
  <c r="G24260" i="1"/>
  <c r="C24260" i="1"/>
  <c r="B24260" i="1"/>
  <c r="G24259" i="1"/>
  <c r="B24259" i="1"/>
  <c r="G24258" i="1"/>
  <c r="C24258" i="1"/>
  <c r="B24258" i="1"/>
  <c r="G24257" i="1"/>
  <c r="B24257" i="1"/>
  <c r="G24256" i="1"/>
  <c r="C24256" i="1"/>
  <c r="B24256" i="1"/>
  <c r="G24255" i="1"/>
  <c r="C24255" i="1"/>
  <c r="B24255" i="1"/>
  <c r="G24254" i="1"/>
  <c r="B24254" i="1"/>
  <c r="G24253" i="1"/>
  <c r="B24253" i="1"/>
  <c r="G24252" i="1"/>
  <c r="B24252" i="1"/>
  <c r="G24251" i="1"/>
  <c r="B24251" i="1"/>
  <c r="G24250" i="1"/>
  <c r="B24250" i="1"/>
  <c r="G24249" i="1"/>
  <c r="C24249" i="1"/>
  <c r="B24249" i="1"/>
  <c r="G24248" i="1"/>
  <c r="B24248" i="1"/>
  <c r="G24247" i="1"/>
  <c r="C24247" i="1"/>
  <c r="B24247" i="1"/>
  <c r="G24246" i="1"/>
  <c r="B24246" i="1"/>
  <c r="G24245" i="1"/>
  <c r="C24245" i="1"/>
  <c r="B24245" i="1"/>
  <c r="G24244" i="1"/>
  <c r="C24244" i="1"/>
  <c r="B24244" i="1"/>
  <c r="G24243" i="1"/>
  <c r="C24243" i="1"/>
  <c r="B24243" i="1"/>
  <c r="G24242" i="1"/>
  <c r="C24242" i="1"/>
  <c r="B24242" i="1"/>
  <c r="G24241" i="1"/>
  <c r="B24241" i="1"/>
  <c r="G24240" i="1"/>
  <c r="C24240" i="1"/>
  <c r="B24240" i="1"/>
  <c r="G24239" i="1"/>
  <c r="B24239" i="1"/>
  <c r="G24238" i="1"/>
  <c r="B24238" i="1"/>
  <c r="G24237" i="1"/>
  <c r="B24237" i="1"/>
  <c r="G24236" i="1"/>
  <c r="C24236" i="1"/>
  <c r="B24236" i="1"/>
  <c r="G24235" i="1"/>
  <c r="C24235" i="1"/>
  <c r="B24235" i="1"/>
  <c r="G24234" i="1"/>
  <c r="B24234" i="1"/>
  <c r="G24233" i="1"/>
  <c r="C24233" i="1"/>
  <c r="B24233" i="1"/>
  <c r="G24232" i="1"/>
  <c r="C24232" i="1"/>
  <c r="B24232" i="1"/>
  <c r="G24231" i="1"/>
  <c r="C24231" i="1"/>
  <c r="B24231" i="1"/>
  <c r="G24230" i="1"/>
  <c r="B24230" i="1"/>
  <c r="G24229" i="1"/>
  <c r="B24229" i="1"/>
  <c r="G24228" i="1"/>
  <c r="C24228" i="1"/>
  <c r="B24228" i="1"/>
  <c r="G24227" i="1"/>
  <c r="C24227" i="1"/>
  <c r="B24227" i="1"/>
  <c r="G24226" i="1"/>
  <c r="C24226" i="1"/>
  <c r="B24226" i="1"/>
  <c r="G24225" i="1"/>
  <c r="B24225" i="1"/>
  <c r="G24224" i="1"/>
  <c r="C24224" i="1"/>
  <c r="B24224" i="1"/>
  <c r="G24223" i="1"/>
  <c r="C24223" i="1"/>
  <c r="B24223" i="1"/>
  <c r="G24222" i="1"/>
  <c r="B24222" i="1"/>
  <c r="G24221" i="1"/>
  <c r="C24221" i="1"/>
  <c r="B24221" i="1"/>
  <c r="G24220" i="1"/>
  <c r="C24220" i="1"/>
  <c r="B24220" i="1"/>
  <c r="G24219" i="1"/>
  <c r="C24219" i="1"/>
  <c r="B24219" i="1"/>
  <c r="G24218" i="1"/>
  <c r="C24218" i="1"/>
  <c r="B24218" i="1"/>
  <c r="G24217" i="1"/>
  <c r="B24217" i="1"/>
  <c r="G24216" i="1"/>
  <c r="C24216" i="1"/>
  <c r="B24216" i="1"/>
  <c r="G24215" i="1"/>
  <c r="C24215" i="1"/>
  <c r="B24215" i="1"/>
  <c r="G24214" i="1"/>
  <c r="C24214" i="1"/>
  <c r="B24214" i="1"/>
  <c r="G24213" i="1"/>
  <c r="B24213" i="1"/>
  <c r="G24212" i="1"/>
  <c r="C24212" i="1"/>
  <c r="B24212" i="1"/>
  <c r="G24211" i="1"/>
  <c r="C24211" i="1"/>
  <c r="B24211" i="1"/>
  <c r="G24210" i="1"/>
  <c r="B24210" i="1"/>
  <c r="G24209" i="1"/>
  <c r="C24209" i="1"/>
  <c r="B24209" i="1"/>
  <c r="G24208" i="1"/>
  <c r="B24208" i="1"/>
  <c r="G24207" i="1"/>
  <c r="C24207" i="1"/>
  <c r="B24207" i="1"/>
  <c r="G24206" i="1"/>
  <c r="C24206" i="1"/>
  <c r="B24206" i="1"/>
  <c r="G24205" i="1"/>
  <c r="C24205" i="1"/>
  <c r="B24205" i="1"/>
  <c r="G24204" i="1"/>
  <c r="C24204" i="1"/>
  <c r="B24204" i="1"/>
  <c r="G24203" i="1"/>
  <c r="B24203" i="1"/>
  <c r="G24202" i="1"/>
  <c r="B24202" i="1"/>
  <c r="G24201" i="1"/>
  <c r="C24201" i="1"/>
  <c r="B24201" i="1"/>
  <c r="G24200" i="1"/>
  <c r="C24200" i="1"/>
  <c r="B24200" i="1"/>
  <c r="G24199" i="1"/>
  <c r="B24199" i="1"/>
  <c r="G24198" i="1"/>
  <c r="C24198" i="1"/>
  <c r="B24198" i="1"/>
  <c r="G24197" i="1"/>
  <c r="C24197" i="1"/>
  <c r="B24197" i="1"/>
  <c r="G24196" i="1"/>
  <c r="C24196" i="1"/>
  <c r="B24196" i="1"/>
  <c r="G24195" i="1"/>
  <c r="B24195" i="1"/>
  <c r="G24194" i="1"/>
  <c r="C24194" i="1"/>
  <c r="B24194" i="1"/>
  <c r="G24193" i="1"/>
  <c r="C24193" i="1"/>
  <c r="B24193" i="1"/>
  <c r="G24192" i="1"/>
  <c r="B24192" i="1"/>
  <c r="G24191" i="1"/>
  <c r="C24191" i="1"/>
  <c r="B24191" i="1"/>
  <c r="G24190" i="1"/>
  <c r="C24190" i="1"/>
  <c r="B24190" i="1"/>
  <c r="G24189" i="1"/>
  <c r="C24189" i="1"/>
  <c r="B24189" i="1"/>
  <c r="G24188" i="1"/>
  <c r="C24188" i="1"/>
  <c r="B24188" i="1"/>
  <c r="G24187" i="1"/>
  <c r="C24187" i="1"/>
  <c r="B24187" i="1"/>
  <c r="G24186" i="1"/>
  <c r="C24186" i="1"/>
  <c r="B24186" i="1"/>
  <c r="G24185" i="1"/>
  <c r="C24185" i="1"/>
  <c r="B24185" i="1"/>
  <c r="G24184" i="1"/>
  <c r="C24184" i="1"/>
  <c r="B24184" i="1"/>
  <c r="G24183" i="1"/>
  <c r="C24183" i="1"/>
  <c r="B24183" i="1"/>
  <c r="G24182" i="1"/>
  <c r="C24182" i="1"/>
  <c r="B24182" i="1"/>
  <c r="G24181" i="1"/>
  <c r="B24181" i="1"/>
  <c r="G24180" i="1"/>
  <c r="C24180" i="1"/>
  <c r="B24180" i="1"/>
  <c r="G24179" i="1"/>
  <c r="B24179" i="1"/>
  <c r="G24178" i="1"/>
  <c r="B24178" i="1"/>
  <c r="G24177" i="1"/>
  <c r="B24177" i="1"/>
  <c r="G24176" i="1"/>
  <c r="C24176" i="1"/>
  <c r="B24176" i="1"/>
  <c r="G24175" i="1"/>
  <c r="B24175" i="1"/>
  <c r="G24174" i="1"/>
  <c r="C24174" i="1"/>
  <c r="B24174" i="1"/>
  <c r="G24173" i="1"/>
  <c r="C24173" i="1"/>
  <c r="B24173" i="1"/>
  <c r="G24172" i="1"/>
  <c r="C24172" i="1"/>
  <c r="B24172" i="1"/>
  <c r="G24171" i="1"/>
  <c r="B24171" i="1"/>
  <c r="G24170" i="1"/>
  <c r="B24170" i="1"/>
  <c r="G24169" i="1"/>
  <c r="B24169" i="1"/>
  <c r="G24168" i="1"/>
  <c r="B24168" i="1"/>
  <c r="G24167" i="1"/>
  <c r="C24167" i="1"/>
  <c r="B24167" i="1"/>
  <c r="G24166" i="1"/>
  <c r="C24166" i="1"/>
  <c r="B24166" i="1"/>
  <c r="G24165" i="1"/>
  <c r="C24165" i="1"/>
  <c r="B24165" i="1"/>
  <c r="G24164" i="1"/>
  <c r="C24164" i="1"/>
  <c r="B24164" i="1"/>
  <c r="G24163" i="1"/>
  <c r="B24163" i="1"/>
  <c r="G24162" i="1"/>
  <c r="C24162" i="1"/>
  <c r="B24162" i="1"/>
  <c r="G24161" i="1"/>
  <c r="B24161" i="1"/>
  <c r="G24160" i="1"/>
  <c r="B24160" i="1"/>
  <c r="G24159" i="1"/>
  <c r="C24159" i="1"/>
  <c r="B24159" i="1"/>
  <c r="G24158" i="1"/>
  <c r="C24158" i="1"/>
  <c r="B24158" i="1"/>
  <c r="G24157" i="1"/>
  <c r="C24157" i="1"/>
  <c r="B24157" i="1"/>
  <c r="G24156" i="1"/>
  <c r="C24156" i="1"/>
  <c r="B24156" i="1"/>
  <c r="G24155" i="1"/>
  <c r="B24155" i="1"/>
  <c r="G24154" i="1"/>
  <c r="C24154" i="1"/>
  <c r="B24154" i="1"/>
  <c r="G24153" i="1"/>
  <c r="B24153" i="1"/>
  <c r="G24152" i="1"/>
  <c r="B24152" i="1"/>
  <c r="G24151" i="1"/>
  <c r="B24151" i="1"/>
  <c r="G24150" i="1"/>
  <c r="C24150" i="1"/>
  <c r="B24150" i="1"/>
  <c r="G24149" i="1"/>
  <c r="B24149" i="1"/>
  <c r="G24148" i="1"/>
  <c r="C24148" i="1"/>
  <c r="B24148" i="1"/>
  <c r="G24147" i="1"/>
  <c r="C24147" i="1"/>
  <c r="B24147" i="1"/>
  <c r="G24146" i="1"/>
  <c r="B24146" i="1"/>
  <c r="G24145" i="1"/>
  <c r="B24145" i="1"/>
  <c r="G24144" i="1"/>
  <c r="C24144" i="1"/>
  <c r="B24144" i="1"/>
  <c r="G24143" i="1"/>
  <c r="B24143" i="1"/>
  <c r="G24142" i="1"/>
  <c r="C24142" i="1"/>
  <c r="B24142" i="1"/>
  <c r="G24141" i="1"/>
  <c r="C24141" i="1"/>
  <c r="B24141" i="1"/>
  <c r="G24140" i="1"/>
  <c r="B24140" i="1"/>
  <c r="G24139" i="1"/>
  <c r="C24139" i="1"/>
  <c r="B24139" i="1"/>
  <c r="G24138" i="1"/>
  <c r="C24138" i="1"/>
  <c r="B24138" i="1"/>
  <c r="G24137" i="1"/>
  <c r="B24137" i="1"/>
  <c r="G24136" i="1"/>
  <c r="C24136" i="1"/>
  <c r="B24136" i="1"/>
  <c r="G24135" i="1"/>
  <c r="C24135" i="1"/>
  <c r="B24135" i="1"/>
  <c r="G24134" i="1"/>
  <c r="C24134" i="1"/>
  <c r="B24134" i="1"/>
  <c r="G24133" i="1"/>
  <c r="C24133" i="1"/>
  <c r="B24133" i="1"/>
  <c r="G24132" i="1"/>
  <c r="C24132" i="1"/>
  <c r="B24132" i="1"/>
  <c r="G24131" i="1"/>
  <c r="C24131" i="1"/>
  <c r="B24131" i="1"/>
  <c r="G24130" i="1"/>
  <c r="C24130" i="1"/>
  <c r="B24130" i="1"/>
  <c r="G24129" i="1"/>
  <c r="B24129" i="1"/>
  <c r="G24128" i="1"/>
  <c r="B24128" i="1"/>
  <c r="G24127" i="1"/>
  <c r="C24127" i="1"/>
  <c r="B24127" i="1"/>
  <c r="G24126" i="1"/>
  <c r="C24126" i="1"/>
  <c r="B24126" i="1"/>
  <c r="G24125" i="1"/>
  <c r="C24125" i="1"/>
  <c r="B24125" i="1"/>
  <c r="G24124" i="1"/>
  <c r="C24124" i="1"/>
  <c r="B24124" i="1"/>
  <c r="G24123" i="1"/>
  <c r="C24123" i="1"/>
  <c r="B24123" i="1"/>
  <c r="G24122" i="1"/>
  <c r="B24122" i="1"/>
  <c r="G24121" i="1"/>
  <c r="C24121" i="1"/>
  <c r="B24121" i="1"/>
  <c r="G24120" i="1"/>
  <c r="C24120" i="1"/>
  <c r="B24120" i="1"/>
  <c r="G24119" i="1"/>
  <c r="C24119" i="1"/>
  <c r="B24119" i="1"/>
  <c r="G24118" i="1"/>
  <c r="C24118" i="1"/>
  <c r="B24118" i="1"/>
  <c r="G24117" i="1"/>
  <c r="B24117" i="1"/>
  <c r="G24116" i="1"/>
  <c r="B24116" i="1"/>
  <c r="G24115" i="1"/>
  <c r="C24115" i="1"/>
  <c r="B24115" i="1"/>
  <c r="G24114" i="1"/>
  <c r="C24114" i="1"/>
  <c r="B24114" i="1"/>
  <c r="G24113" i="1"/>
  <c r="C24113" i="1"/>
  <c r="B24113" i="1"/>
  <c r="G24112" i="1"/>
  <c r="C24112" i="1"/>
  <c r="B24112" i="1"/>
  <c r="G24111" i="1"/>
  <c r="C24111" i="1"/>
  <c r="B24111" i="1"/>
  <c r="G24110" i="1"/>
  <c r="B24110" i="1"/>
  <c r="G24109" i="1"/>
  <c r="B24109" i="1"/>
  <c r="G24108" i="1"/>
  <c r="B24108" i="1"/>
  <c r="G24107" i="1"/>
  <c r="C24107" i="1"/>
  <c r="B24107" i="1"/>
  <c r="G24106" i="1"/>
  <c r="B24106" i="1"/>
  <c r="G24105" i="1"/>
  <c r="C24105" i="1"/>
  <c r="B24105" i="1"/>
  <c r="G24104" i="1"/>
  <c r="C24104" i="1"/>
  <c r="B24104" i="1"/>
  <c r="G24103" i="1"/>
  <c r="C24103" i="1"/>
  <c r="B24103" i="1"/>
  <c r="G24102" i="1"/>
  <c r="B24102" i="1"/>
  <c r="G24101" i="1"/>
  <c r="C24101" i="1"/>
  <c r="B24101" i="1"/>
  <c r="G24100" i="1"/>
  <c r="B24100" i="1"/>
  <c r="G24099" i="1"/>
  <c r="B24099" i="1"/>
  <c r="G24098" i="1"/>
  <c r="B24098" i="1"/>
  <c r="G24097" i="1"/>
  <c r="B24097" i="1"/>
  <c r="G24096" i="1"/>
  <c r="C24096" i="1"/>
  <c r="B24096" i="1"/>
  <c r="G24095" i="1"/>
  <c r="C24095" i="1"/>
  <c r="B24095" i="1"/>
  <c r="G24094" i="1"/>
  <c r="C24094" i="1"/>
  <c r="B24094" i="1"/>
  <c r="G24093" i="1"/>
  <c r="C24093" i="1"/>
  <c r="B24093" i="1"/>
  <c r="G24092" i="1"/>
  <c r="B24092" i="1"/>
  <c r="G24091" i="1"/>
  <c r="B24091" i="1"/>
  <c r="G24090" i="1"/>
  <c r="C24090" i="1"/>
  <c r="B24090" i="1"/>
  <c r="G24089" i="1"/>
  <c r="C24089" i="1"/>
  <c r="B24089" i="1"/>
  <c r="G24088" i="1"/>
  <c r="C24088" i="1"/>
  <c r="B24088" i="1"/>
  <c r="G24087" i="1"/>
  <c r="B24087" i="1"/>
  <c r="G24086" i="1"/>
  <c r="C24086" i="1"/>
  <c r="B24086" i="1"/>
  <c r="G24085" i="1"/>
  <c r="B24085" i="1"/>
  <c r="G24084" i="1"/>
  <c r="C24084" i="1"/>
  <c r="B24084" i="1"/>
  <c r="G24083" i="1"/>
  <c r="C24083" i="1"/>
  <c r="B24083" i="1"/>
  <c r="G24082" i="1"/>
  <c r="B24082" i="1"/>
  <c r="G24081" i="1"/>
  <c r="C24081" i="1"/>
  <c r="B24081" i="1"/>
  <c r="G24080" i="1"/>
  <c r="C24080" i="1"/>
  <c r="B24080" i="1"/>
  <c r="G24079" i="1"/>
  <c r="C24079" i="1"/>
  <c r="B24079" i="1"/>
  <c r="G24078" i="1"/>
  <c r="B24078" i="1"/>
  <c r="G24077" i="1"/>
  <c r="C24077" i="1"/>
  <c r="B24077" i="1"/>
  <c r="G24076" i="1"/>
  <c r="C24076" i="1"/>
  <c r="B24076" i="1"/>
  <c r="G24075" i="1"/>
  <c r="B24075" i="1"/>
  <c r="G24074" i="1"/>
  <c r="C24074" i="1"/>
  <c r="B24074" i="1"/>
  <c r="G24073" i="1"/>
  <c r="C24073" i="1"/>
  <c r="B24073" i="1"/>
  <c r="G24072" i="1"/>
  <c r="B24072" i="1"/>
  <c r="G24071" i="1"/>
  <c r="C24071" i="1"/>
  <c r="B24071" i="1"/>
  <c r="G24070" i="1"/>
  <c r="C24070" i="1"/>
  <c r="B24070" i="1"/>
  <c r="G24069" i="1"/>
  <c r="C24069" i="1"/>
  <c r="B24069" i="1"/>
  <c r="G24068" i="1"/>
  <c r="C24068" i="1"/>
  <c r="B24068" i="1"/>
  <c r="G24067" i="1"/>
  <c r="C24067" i="1"/>
  <c r="B24067" i="1"/>
  <c r="G24066" i="1"/>
  <c r="C24066" i="1"/>
  <c r="B24066" i="1"/>
  <c r="G24065" i="1"/>
  <c r="C24065" i="1"/>
  <c r="B24065" i="1"/>
  <c r="G24064" i="1"/>
  <c r="C24064" i="1"/>
  <c r="B24064" i="1"/>
  <c r="G24063" i="1"/>
  <c r="C24063" i="1"/>
  <c r="B24063" i="1"/>
  <c r="G24062" i="1"/>
  <c r="C24062" i="1"/>
  <c r="B24062" i="1"/>
  <c r="G24061" i="1"/>
  <c r="C24061" i="1"/>
  <c r="B24061" i="1"/>
  <c r="G24060" i="1"/>
  <c r="C24060" i="1"/>
  <c r="B24060" i="1"/>
  <c r="G24059" i="1"/>
  <c r="C24059" i="1"/>
  <c r="B24059" i="1"/>
  <c r="G24058" i="1"/>
  <c r="C24058" i="1"/>
  <c r="B24058" i="1"/>
  <c r="G24057" i="1"/>
  <c r="B24057" i="1"/>
  <c r="G24056" i="1"/>
  <c r="B24056" i="1"/>
  <c r="G24055" i="1"/>
  <c r="C24055" i="1"/>
  <c r="B24055" i="1"/>
  <c r="G24054" i="1"/>
  <c r="C24054" i="1"/>
  <c r="B24054" i="1"/>
  <c r="G24053" i="1"/>
  <c r="C24053" i="1"/>
  <c r="B24053" i="1"/>
  <c r="G24052" i="1"/>
  <c r="B24052" i="1"/>
  <c r="G24051" i="1"/>
  <c r="C24051" i="1"/>
  <c r="B24051" i="1"/>
  <c r="G24050" i="1"/>
  <c r="C24050" i="1"/>
  <c r="B24050" i="1"/>
  <c r="G24049" i="1"/>
  <c r="C24049" i="1"/>
  <c r="B24049" i="1"/>
  <c r="G24048" i="1"/>
  <c r="C24048" i="1"/>
  <c r="B24048" i="1"/>
  <c r="G24047" i="1"/>
  <c r="C24047" i="1"/>
  <c r="B24047" i="1"/>
  <c r="G24046" i="1"/>
  <c r="C24046" i="1"/>
  <c r="B24046" i="1"/>
  <c r="G24045" i="1"/>
  <c r="C24045" i="1"/>
  <c r="B24045" i="1"/>
  <c r="G24044" i="1"/>
  <c r="C24044" i="1"/>
  <c r="B24044" i="1"/>
  <c r="G24043" i="1"/>
  <c r="C24043" i="1"/>
  <c r="B24043" i="1"/>
  <c r="G24042" i="1"/>
  <c r="B24042" i="1"/>
  <c r="G24041" i="1"/>
  <c r="C24041" i="1"/>
  <c r="B24041" i="1"/>
  <c r="G24040" i="1"/>
  <c r="C24040" i="1"/>
  <c r="B24040" i="1"/>
  <c r="G24039" i="1"/>
  <c r="C24039" i="1"/>
  <c r="B24039" i="1"/>
  <c r="G24038" i="1"/>
  <c r="C24038" i="1"/>
  <c r="B24038" i="1"/>
  <c r="G24037" i="1"/>
  <c r="C24037" i="1"/>
  <c r="B24037" i="1"/>
  <c r="G24036" i="1"/>
  <c r="C24036" i="1"/>
  <c r="B24036" i="1"/>
  <c r="G24035" i="1"/>
  <c r="C24035" i="1"/>
  <c r="B24035" i="1"/>
  <c r="G24034" i="1"/>
  <c r="C24034" i="1"/>
  <c r="B24034" i="1"/>
  <c r="G24033" i="1"/>
  <c r="C24033" i="1"/>
  <c r="B24033" i="1"/>
  <c r="G24032" i="1"/>
  <c r="B24032" i="1"/>
  <c r="G24031" i="1"/>
  <c r="B24031" i="1"/>
  <c r="G24030" i="1"/>
  <c r="B24030" i="1"/>
  <c r="G24029" i="1"/>
  <c r="C24029" i="1"/>
  <c r="B24029" i="1"/>
  <c r="G24028" i="1"/>
  <c r="C24028" i="1"/>
  <c r="B24028" i="1"/>
  <c r="G24027" i="1"/>
  <c r="C24027" i="1"/>
  <c r="B24027" i="1"/>
  <c r="G24026" i="1"/>
  <c r="C24026" i="1"/>
  <c r="B24026" i="1"/>
  <c r="G24025" i="1"/>
  <c r="B24025" i="1"/>
  <c r="G24024" i="1"/>
  <c r="C24024" i="1"/>
  <c r="B24024" i="1"/>
  <c r="G24023" i="1"/>
  <c r="C24023" i="1"/>
  <c r="B24023" i="1"/>
  <c r="G24022" i="1"/>
  <c r="B24022" i="1"/>
  <c r="G24021" i="1"/>
  <c r="B24021" i="1"/>
  <c r="G24020" i="1"/>
  <c r="C24020" i="1"/>
  <c r="B24020" i="1"/>
  <c r="G24019" i="1"/>
  <c r="B24019" i="1"/>
  <c r="G24018" i="1"/>
  <c r="B24018" i="1"/>
  <c r="G24017" i="1"/>
  <c r="C24017" i="1"/>
  <c r="B24017" i="1"/>
  <c r="G24016" i="1"/>
  <c r="C24016" i="1"/>
  <c r="B24016" i="1"/>
  <c r="G24015" i="1"/>
  <c r="C24015" i="1"/>
  <c r="B24015" i="1"/>
  <c r="G24014" i="1"/>
  <c r="C24014" i="1"/>
  <c r="B24014" i="1"/>
  <c r="G24013" i="1"/>
  <c r="B24013" i="1"/>
  <c r="G24012" i="1"/>
  <c r="C24012" i="1"/>
  <c r="B24012" i="1"/>
  <c r="G24011" i="1"/>
  <c r="C24011" i="1"/>
  <c r="B24011" i="1"/>
  <c r="G24010" i="1"/>
  <c r="B24010" i="1"/>
  <c r="G24009" i="1"/>
  <c r="C24009" i="1"/>
  <c r="B24009" i="1"/>
  <c r="G24008" i="1"/>
  <c r="B24008" i="1"/>
  <c r="G24007" i="1"/>
  <c r="C24007" i="1"/>
  <c r="B24007" i="1"/>
  <c r="G24006" i="1"/>
  <c r="C24006" i="1"/>
  <c r="B24006" i="1"/>
  <c r="G24005" i="1"/>
  <c r="C24005" i="1"/>
  <c r="B24005" i="1"/>
  <c r="G24004" i="1"/>
  <c r="C24004" i="1"/>
  <c r="B24004" i="1"/>
  <c r="G24003" i="1"/>
  <c r="C24003" i="1"/>
  <c r="B24003" i="1"/>
  <c r="G24002" i="1"/>
  <c r="B24002" i="1"/>
  <c r="G24001" i="1"/>
  <c r="B24001" i="1"/>
  <c r="G24000" i="1"/>
  <c r="C24000" i="1"/>
  <c r="B24000" i="1"/>
  <c r="G23999" i="1"/>
  <c r="B23999" i="1"/>
  <c r="G23998" i="1"/>
  <c r="B23998" i="1"/>
  <c r="G23997" i="1"/>
  <c r="C23997" i="1"/>
  <c r="B23997" i="1"/>
  <c r="G23996" i="1"/>
  <c r="B23996" i="1"/>
  <c r="G23995" i="1"/>
  <c r="C23995" i="1"/>
  <c r="B23995" i="1"/>
  <c r="G23994" i="1"/>
  <c r="C23994" i="1"/>
  <c r="B23994" i="1"/>
  <c r="G23993" i="1"/>
  <c r="C23993" i="1"/>
  <c r="B23993" i="1"/>
  <c r="G23992" i="1"/>
  <c r="C23992" i="1"/>
  <c r="B23992" i="1"/>
  <c r="G23991" i="1"/>
  <c r="C23991" i="1"/>
  <c r="B23991" i="1"/>
  <c r="G23990" i="1"/>
  <c r="C23990" i="1"/>
  <c r="B23990" i="1"/>
  <c r="G23989" i="1"/>
  <c r="B23989" i="1"/>
  <c r="G23988" i="1"/>
  <c r="C23988" i="1"/>
  <c r="B23988" i="1"/>
  <c r="G23987" i="1"/>
  <c r="B23987" i="1"/>
  <c r="G23986" i="1"/>
  <c r="C23986" i="1"/>
  <c r="B23986" i="1"/>
  <c r="G23985" i="1"/>
  <c r="B23985" i="1"/>
  <c r="G23984" i="1"/>
  <c r="B23984" i="1"/>
  <c r="G23983" i="1"/>
  <c r="C23983" i="1"/>
  <c r="B23983" i="1"/>
  <c r="G23982" i="1"/>
  <c r="C23982" i="1"/>
  <c r="B23982" i="1"/>
  <c r="G23981" i="1"/>
  <c r="B23981" i="1"/>
  <c r="G23980" i="1"/>
  <c r="B23980" i="1"/>
  <c r="G23979" i="1"/>
  <c r="C23979" i="1"/>
  <c r="B23979" i="1"/>
  <c r="G23978" i="1"/>
  <c r="C23978" i="1"/>
  <c r="B23978" i="1"/>
  <c r="G23977" i="1"/>
  <c r="B23977" i="1"/>
  <c r="G23976" i="1"/>
  <c r="C23976" i="1"/>
  <c r="B23976" i="1"/>
  <c r="G23975" i="1"/>
  <c r="C23975" i="1"/>
  <c r="B23975" i="1"/>
  <c r="G23974" i="1"/>
  <c r="C23974" i="1"/>
  <c r="B23974" i="1"/>
  <c r="G23973" i="1"/>
  <c r="C23973" i="1"/>
  <c r="B23973" i="1"/>
  <c r="G23972" i="1"/>
  <c r="B23972" i="1"/>
  <c r="G23971" i="1"/>
  <c r="B23971" i="1"/>
  <c r="G23970" i="1"/>
  <c r="B23970" i="1"/>
  <c r="G23969" i="1"/>
  <c r="C23969" i="1"/>
  <c r="B23969" i="1"/>
  <c r="G23968" i="1"/>
  <c r="C23968" i="1"/>
  <c r="B23968" i="1"/>
  <c r="G23967" i="1"/>
  <c r="B23967" i="1"/>
  <c r="G23966" i="1"/>
  <c r="B23966" i="1"/>
  <c r="G23965" i="1"/>
  <c r="C23965" i="1"/>
  <c r="B23965" i="1"/>
  <c r="G23964" i="1"/>
  <c r="C23964" i="1"/>
  <c r="B23964" i="1"/>
  <c r="G23963" i="1"/>
  <c r="B23963" i="1"/>
  <c r="G23962" i="1"/>
  <c r="C23962" i="1"/>
  <c r="B23962" i="1"/>
  <c r="G23961" i="1"/>
  <c r="C23961" i="1"/>
  <c r="B23961" i="1"/>
  <c r="G23960" i="1"/>
  <c r="C23960" i="1"/>
  <c r="B23960" i="1"/>
  <c r="G23959" i="1"/>
  <c r="C23959" i="1"/>
  <c r="B23959" i="1"/>
  <c r="G23958" i="1"/>
  <c r="C23958" i="1"/>
  <c r="B23958" i="1"/>
  <c r="G23957" i="1"/>
  <c r="C23957" i="1"/>
  <c r="B23957" i="1"/>
  <c r="G23956" i="1"/>
  <c r="B23956" i="1"/>
  <c r="G23955" i="1"/>
  <c r="C23955" i="1"/>
  <c r="B23955" i="1"/>
  <c r="G23954" i="1"/>
  <c r="C23954" i="1"/>
  <c r="B23954" i="1"/>
  <c r="G23953" i="1"/>
  <c r="C23953" i="1"/>
  <c r="B23953" i="1"/>
  <c r="G23952" i="1"/>
  <c r="B23952" i="1"/>
  <c r="G23951" i="1"/>
  <c r="B23951" i="1"/>
  <c r="G23950" i="1"/>
  <c r="C23950" i="1"/>
  <c r="B23950" i="1"/>
  <c r="G23949" i="1"/>
  <c r="C23949" i="1"/>
  <c r="B23949" i="1"/>
  <c r="G23948" i="1"/>
  <c r="C23948" i="1"/>
  <c r="B23948" i="1"/>
  <c r="G23947" i="1"/>
  <c r="C23947" i="1"/>
  <c r="B23947" i="1"/>
  <c r="G23946" i="1"/>
  <c r="B23946" i="1"/>
  <c r="G23945" i="1"/>
  <c r="C23945" i="1"/>
  <c r="B23945" i="1"/>
  <c r="G23944" i="1"/>
  <c r="C23944" i="1"/>
  <c r="B23944" i="1"/>
  <c r="G23943" i="1"/>
  <c r="B23943" i="1"/>
  <c r="G23942" i="1"/>
  <c r="C23942" i="1"/>
  <c r="B23942" i="1"/>
  <c r="G23941" i="1"/>
  <c r="C23941" i="1"/>
  <c r="B23941" i="1"/>
  <c r="G23940" i="1"/>
  <c r="B23940" i="1"/>
  <c r="G23939" i="1"/>
  <c r="C23939" i="1"/>
  <c r="B23939" i="1"/>
  <c r="G23938" i="1"/>
  <c r="C23938" i="1"/>
  <c r="B23938" i="1"/>
  <c r="G23937" i="1"/>
  <c r="B23937" i="1"/>
  <c r="G23936" i="1"/>
  <c r="C23936" i="1"/>
  <c r="B23936" i="1"/>
  <c r="G23935" i="1"/>
  <c r="C23935" i="1"/>
  <c r="B23935" i="1"/>
  <c r="G23934" i="1"/>
  <c r="C23934" i="1"/>
  <c r="B23934" i="1"/>
  <c r="G23933" i="1"/>
  <c r="B23933" i="1"/>
  <c r="G23932" i="1"/>
  <c r="B23932" i="1"/>
  <c r="G23931" i="1"/>
  <c r="C23931" i="1"/>
  <c r="B23931" i="1"/>
  <c r="G23930" i="1"/>
  <c r="C23930" i="1"/>
  <c r="B23930" i="1"/>
  <c r="G23929" i="1"/>
  <c r="C23929" i="1"/>
  <c r="B23929" i="1"/>
  <c r="G23928" i="1"/>
  <c r="C23928" i="1"/>
  <c r="B23928" i="1"/>
  <c r="G23927" i="1"/>
  <c r="C23927" i="1"/>
  <c r="B23927" i="1"/>
  <c r="G23926" i="1"/>
  <c r="C23926" i="1"/>
  <c r="B23926" i="1"/>
  <c r="G23925" i="1"/>
  <c r="B23925" i="1"/>
  <c r="G23924" i="1"/>
  <c r="C23924" i="1"/>
  <c r="B23924" i="1"/>
  <c r="G23923" i="1"/>
  <c r="C23923" i="1"/>
  <c r="B23923" i="1"/>
  <c r="G23922" i="1"/>
  <c r="C23922" i="1"/>
  <c r="B23922" i="1"/>
  <c r="G23921" i="1"/>
  <c r="C23921" i="1"/>
  <c r="B23921" i="1"/>
  <c r="G23920" i="1"/>
  <c r="C23920" i="1"/>
  <c r="B23920" i="1"/>
  <c r="G23919" i="1"/>
  <c r="C23919" i="1"/>
  <c r="B23919" i="1"/>
  <c r="G23918" i="1"/>
  <c r="C23918" i="1"/>
  <c r="B23918" i="1"/>
  <c r="G23917" i="1"/>
  <c r="B23917" i="1"/>
  <c r="G23916" i="1"/>
  <c r="B23916" i="1"/>
  <c r="G23915" i="1"/>
  <c r="C23915" i="1"/>
  <c r="B23915" i="1"/>
  <c r="G23914" i="1"/>
  <c r="C23914" i="1"/>
  <c r="B23914" i="1"/>
  <c r="G23913" i="1"/>
  <c r="B23913" i="1"/>
  <c r="G23912" i="1"/>
  <c r="B23912" i="1"/>
  <c r="G23911" i="1"/>
  <c r="B23911" i="1"/>
  <c r="G23910" i="1"/>
  <c r="C23910" i="1"/>
  <c r="B23910" i="1"/>
  <c r="G23909" i="1"/>
  <c r="C23909" i="1"/>
  <c r="B23909" i="1"/>
  <c r="G23908" i="1"/>
  <c r="C23908" i="1"/>
  <c r="B23908" i="1"/>
  <c r="G23907" i="1"/>
  <c r="C23907" i="1"/>
  <c r="B23907" i="1"/>
  <c r="G23906" i="1"/>
  <c r="C23906" i="1"/>
  <c r="B23906" i="1"/>
  <c r="G23905" i="1"/>
  <c r="C23905" i="1"/>
  <c r="B23905" i="1"/>
  <c r="G23904" i="1"/>
  <c r="B23904" i="1"/>
  <c r="G23903" i="1"/>
  <c r="B23903" i="1"/>
  <c r="G23902" i="1"/>
  <c r="C23902" i="1"/>
  <c r="B23902" i="1"/>
  <c r="G23901" i="1"/>
  <c r="C23901" i="1"/>
  <c r="B23901" i="1"/>
  <c r="G23900" i="1"/>
  <c r="C23900" i="1"/>
  <c r="B23900" i="1"/>
  <c r="G23899" i="1"/>
  <c r="B23899" i="1"/>
  <c r="G23898" i="1"/>
  <c r="B23898" i="1"/>
  <c r="G23897" i="1"/>
  <c r="C23897" i="1"/>
  <c r="B23897" i="1"/>
  <c r="G23896" i="1"/>
  <c r="C23896" i="1"/>
  <c r="B23896" i="1"/>
  <c r="G23895" i="1"/>
  <c r="B23895" i="1"/>
  <c r="G23894" i="1"/>
  <c r="C23894" i="1"/>
  <c r="B23894" i="1"/>
  <c r="G23893" i="1"/>
  <c r="C23893" i="1"/>
  <c r="B23893" i="1"/>
  <c r="G23892" i="1"/>
  <c r="C23892" i="1"/>
  <c r="B23892" i="1"/>
  <c r="G23891" i="1"/>
  <c r="B23891" i="1"/>
  <c r="G23890" i="1"/>
  <c r="B23890" i="1"/>
  <c r="G23889" i="1"/>
  <c r="C23889" i="1"/>
  <c r="B23889" i="1"/>
  <c r="G23888" i="1"/>
  <c r="C23888" i="1"/>
  <c r="B23888" i="1"/>
  <c r="G23887" i="1"/>
  <c r="C23887" i="1"/>
  <c r="B23887" i="1"/>
  <c r="G23886" i="1"/>
  <c r="C23886" i="1"/>
  <c r="B23886" i="1"/>
  <c r="G23885" i="1"/>
  <c r="C23885" i="1"/>
  <c r="B23885" i="1"/>
  <c r="G23884" i="1"/>
  <c r="C23884" i="1"/>
  <c r="B23884" i="1"/>
  <c r="G23883" i="1"/>
  <c r="C23883" i="1"/>
  <c r="B23883" i="1"/>
  <c r="G23882" i="1"/>
  <c r="C23882" i="1"/>
  <c r="B23882" i="1"/>
  <c r="G23881" i="1"/>
  <c r="B23881" i="1"/>
  <c r="G23880" i="1"/>
  <c r="C23880" i="1"/>
  <c r="B23880" i="1"/>
  <c r="G23879" i="1"/>
  <c r="C23879" i="1"/>
  <c r="B23879" i="1"/>
  <c r="G23878" i="1"/>
  <c r="C23878" i="1"/>
  <c r="B23878" i="1"/>
  <c r="G23877" i="1"/>
  <c r="C23877" i="1"/>
  <c r="B23877" i="1"/>
  <c r="G23876" i="1"/>
  <c r="C23876" i="1"/>
  <c r="B23876" i="1"/>
  <c r="G23875" i="1"/>
  <c r="C23875" i="1"/>
  <c r="B23875" i="1"/>
  <c r="G23874" i="1"/>
  <c r="C23874" i="1"/>
  <c r="B23874" i="1"/>
  <c r="G23873" i="1"/>
  <c r="C23873" i="1"/>
  <c r="B23873" i="1"/>
  <c r="G23872" i="1"/>
  <c r="C23872" i="1"/>
  <c r="B23872" i="1"/>
  <c r="G23871" i="1"/>
  <c r="C23871" i="1"/>
  <c r="B23871" i="1"/>
  <c r="G23870" i="1"/>
  <c r="C23870" i="1"/>
  <c r="B23870" i="1"/>
  <c r="G23869" i="1"/>
  <c r="C23869" i="1"/>
  <c r="B23869" i="1"/>
  <c r="G23868" i="1"/>
  <c r="C23868" i="1"/>
  <c r="B23868" i="1"/>
  <c r="G23867" i="1"/>
  <c r="C23867" i="1"/>
  <c r="B23867" i="1"/>
  <c r="G23866" i="1"/>
  <c r="C23866" i="1"/>
  <c r="B23866" i="1"/>
  <c r="G23865" i="1"/>
  <c r="C23865" i="1"/>
  <c r="B23865" i="1"/>
  <c r="G23864" i="1"/>
  <c r="C23864" i="1"/>
  <c r="B23864" i="1"/>
  <c r="G23863" i="1"/>
  <c r="B23863" i="1"/>
  <c r="G23862" i="1"/>
  <c r="C23862" i="1"/>
  <c r="B23862" i="1"/>
  <c r="G23861" i="1"/>
  <c r="B23861" i="1"/>
  <c r="G23860" i="1"/>
  <c r="C23860" i="1"/>
  <c r="B23860" i="1"/>
  <c r="G23859" i="1"/>
  <c r="B23859" i="1"/>
  <c r="G23858" i="1"/>
  <c r="C23858" i="1"/>
  <c r="B23858" i="1"/>
  <c r="G23857" i="1"/>
  <c r="B23857" i="1"/>
  <c r="G23856" i="1"/>
  <c r="B23856" i="1"/>
  <c r="G23855" i="1"/>
  <c r="C23855" i="1"/>
  <c r="B23855" i="1"/>
  <c r="G23854" i="1"/>
  <c r="B23854" i="1"/>
  <c r="G23853" i="1"/>
  <c r="C23853" i="1"/>
  <c r="B23853" i="1"/>
  <c r="G23852" i="1"/>
  <c r="C23852" i="1"/>
  <c r="B23852" i="1"/>
  <c r="G23851" i="1"/>
  <c r="C23851" i="1"/>
  <c r="B23851" i="1"/>
  <c r="G23850" i="1"/>
  <c r="C23850" i="1"/>
  <c r="B23850" i="1"/>
  <c r="G23849" i="1"/>
  <c r="C23849" i="1"/>
  <c r="B23849" i="1"/>
  <c r="G23848" i="1"/>
  <c r="C23848" i="1"/>
  <c r="B23848" i="1"/>
  <c r="G23847" i="1"/>
  <c r="B23847" i="1"/>
  <c r="G23846" i="1"/>
  <c r="B23846" i="1"/>
  <c r="G23845" i="1"/>
  <c r="B23845" i="1"/>
  <c r="G23844" i="1"/>
  <c r="C23844" i="1"/>
  <c r="B23844" i="1"/>
  <c r="G23843" i="1"/>
  <c r="C23843" i="1"/>
  <c r="B23843" i="1"/>
  <c r="G23842" i="1"/>
  <c r="B23842" i="1"/>
  <c r="G23841" i="1"/>
  <c r="C23841" i="1"/>
  <c r="B23841" i="1"/>
  <c r="G23840" i="1"/>
  <c r="C23840" i="1"/>
  <c r="B23840" i="1"/>
  <c r="G23839" i="1"/>
  <c r="C23839" i="1"/>
  <c r="B23839" i="1"/>
  <c r="G23838" i="1"/>
  <c r="C23838" i="1"/>
  <c r="B23838" i="1"/>
  <c r="G23837" i="1"/>
  <c r="C23837" i="1"/>
  <c r="B23837" i="1"/>
  <c r="G23836" i="1"/>
  <c r="C23836" i="1"/>
  <c r="B23836" i="1"/>
  <c r="G23835" i="1"/>
  <c r="C23835" i="1"/>
  <c r="B23835" i="1"/>
  <c r="G23834" i="1"/>
  <c r="B23834" i="1"/>
  <c r="G23833" i="1"/>
  <c r="C23833" i="1"/>
  <c r="B23833" i="1"/>
  <c r="G23832" i="1"/>
  <c r="C23832" i="1"/>
  <c r="B23832" i="1"/>
  <c r="G23831" i="1"/>
  <c r="C23831" i="1"/>
  <c r="B23831" i="1"/>
  <c r="G23830" i="1"/>
  <c r="C23830" i="1"/>
  <c r="B23830" i="1"/>
  <c r="G23829" i="1"/>
  <c r="B23829" i="1"/>
  <c r="G23828" i="1"/>
  <c r="B23828" i="1"/>
  <c r="G23827" i="1"/>
  <c r="C23827" i="1"/>
  <c r="B23827" i="1"/>
  <c r="G23826" i="1"/>
  <c r="B23826" i="1"/>
  <c r="G23825" i="1"/>
  <c r="C23825" i="1"/>
  <c r="B23825" i="1"/>
  <c r="G23824" i="1"/>
  <c r="C23824" i="1"/>
  <c r="B23824" i="1"/>
  <c r="G23823" i="1"/>
  <c r="C23823" i="1"/>
  <c r="B23823" i="1"/>
  <c r="G23822" i="1"/>
  <c r="B23822" i="1"/>
  <c r="G23821" i="1"/>
  <c r="C23821" i="1"/>
  <c r="B23821" i="1"/>
  <c r="G23820" i="1"/>
  <c r="C23820" i="1"/>
  <c r="B23820" i="1"/>
  <c r="G23819" i="1"/>
  <c r="C23819" i="1"/>
  <c r="B23819" i="1"/>
  <c r="G23818" i="1"/>
  <c r="B23818" i="1"/>
  <c r="G23817" i="1"/>
  <c r="C23817" i="1"/>
  <c r="B23817" i="1"/>
  <c r="G23816" i="1"/>
  <c r="C23816" i="1"/>
  <c r="B23816" i="1"/>
  <c r="G23815" i="1"/>
  <c r="C23815" i="1"/>
  <c r="B23815" i="1"/>
  <c r="G23814" i="1"/>
  <c r="C23814" i="1"/>
  <c r="B23814" i="1"/>
  <c r="G23813" i="1"/>
  <c r="B23813" i="1"/>
  <c r="G23812" i="1"/>
  <c r="C23812" i="1"/>
  <c r="B23812" i="1"/>
  <c r="G23811" i="1"/>
  <c r="C23811" i="1"/>
  <c r="B23811" i="1"/>
  <c r="G23810" i="1"/>
  <c r="C23810" i="1"/>
  <c r="B23810" i="1"/>
  <c r="G23809" i="1"/>
  <c r="B23809" i="1"/>
  <c r="G23808" i="1"/>
  <c r="C23808" i="1"/>
  <c r="B23808" i="1"/>
  <c r="G23807" i="1"/>
  <c r="C23807" i="1"/>
  <c r="B23807" i="1"/>
  <c r="G23806" i="1"/>
  <c r="C23806" i="1"/>
  <c r="B23806" i="1"/>
  <c r="G23805" i="1"/>
  <c r="B23805" i="1"/>
  <c r="G23804" i="1"/>
  <c r="C23804" i="1"/>
  <c r="B23804" i="1"/>
  <c r="G23803" i="1"/>
  <c r="C23803" i="1"/>
  <c r="B23803" i="1"/>
  <c r="G23802" i="1"/>
  <c r="C23802" i="1"/>
  <c r="B23802" i="1"/>
  <c r="G23801" i="1"/>
  <c r="C23801" i="1"/>
  <c r="B23801" i="1"/>
  <c r="G23800" i="1"/>
  <c r="C23800" i="1"/>
  <c r="B23800" i="1"/>
  <c r="G23799" i="1"/>
  <c r="C23799" i="1"/>
  <c r="B23799" i="1"/>
  <c r="G23798" i="1"/>
  <c r="C23798" i="1"/>
  <c r="B23798" i="1"/>
  <c r="G23797" i="1"/>
  <c r="C23797" i="1"/>
  <c r="B23797" i="1"/>
  <c r="G23796" i="1"/>
  <c r="C23796" i="1"/>
  <c r="B23796" i="1"/>
  <c r="G23795" i="1"/>
  <c r="C23795" i="1"/>
  <c r="B23795" i="1"/>
  <c r="G23794" i="1"/>
  <c r="C23794" i="1"/>
  <c r="B23794" i="1"/>
  <c r="G23793" i="1"/>
  <c r="C23793" i="1"/>
  <c r="B23793" i="1"/>
  <c r="G23792" i="1"/>
  <c r="C23792" i="1"/>
  <c r="B23792" i="1"/>
  <c r="G23791" i="1"/>
  <c r="B23791" i="1"/>
  <c r="G23790" i="1"/>
  <c r="C23790" i="1"/>
  <c r="B23790" i="1"/>
  <c r="G23789" i="1"/>
  <c r="C23789" i="1"/>
  <c r="B23789" i="1"/>
  <c r="G23788" i="1"/>
  <c r="C23788" i="1"/>
  <c r="B23788" i="1"/>
  <c r="G23787" i="1"/>
  <c r="B23787" i="1"/>
  <c r="G23786" i="1"/>
  <c r="C23786" i="1"/>
  <c r="B23786" i="1"/>
  <c r="G23785" i="1"/>
  <c r="B23785" i="1"/>
  <c r="G23784" i="1"/>
  <c r="B23784" i="1"/>
  <c r="G23783" i="1"/>
  <c r="B23783" i="1"/>
  <c r="G23782" i="1"/>
  <c r="C23782" i="1"/>
  <c r="B23782" i="1"/>
  <c r="G23781" i="1"/>
  <c r="C23781" i="1"/>
  <c r="B23781" i="1"/>
  <c r="G23780" i="1"/>
  <c r="C23780" i="1"/>
  <c r="B23780" i="1"/>
  <c r="G23779" i="1"/>
  <c r="C23779" i="1"/>
  <c r="B23779" i="1"/>
  <c r="G23778" i="1"/>
  <c r="C23778" i="1"/>
  <c r="B23778" i="1"/>
  <c r="G23777" i="1"/>
  <c r="C23777" i="1"/>
  <c r="B23777" i="1"/>
  <c r="G23776" i="1"/>
  <c r="C23776" i="1"/>
  <c r="B23776" i="1"/>
  <c r="G23775" i="1"/>
  <c r="C23775" i="1"/>
  <c r="B23775" i="1"/>
  <c r="G23774" i="1"/>
  <c r="C23774" i="1"/>
  <c r="B23774" i="1"/>
  <c r="G23773" i="1"/>
  <c r="C23773" i="1"/>
  <c r="B23773" i="1"/>
  <c r="G23772" i="1"/>
  <c r="C23772" i="1"/>
  <c r="B23772" i="1"/>
  <c r="G23771" i="1"/>
  <c r="C23771" i="1"/>
  <c r="B23771" i="1"/>
  <c r="G23770" i="1"/>
  <c r="C23770" i="1"/>
  <c r="B23770" i="1"/>
  <c r="G23769" i="1"/>
  <c r="C23769" i="1"/>
  <c r="B23769" i="1"/>
  <c r="G23768" i="1"/>
  <c r="C23768" i="1"/>
  <c r="B23768" i="1"/>
  <c r="C23767" i="1"/>
  <c r="C23765" i="1"/>
  <c r="B23765" i="1"/>
  <c r="G23764" i="1"/>
  <c r="B23764" i="1"/>
  <c r="G23763" i="1"/>
  <c r="C23763" i="1"/>
  <c r="B23763" i="1"/>
  <c r="G23762" i="1"/>
  <c r="B23762" i="1"/>
  <c r="G23761" i="1"/>
  <c r="C23761" i="1"/>
  <c r="B23761" i="1"/>
  <c r="G23760" i="1"/>
  <c r="C23760" i="1"/>
  <c r="B23760" i="1"/>
  <c r="G23759" i="1"/>
  <c r="B23759" i="1"/>
  <c r="G23758" i="1"/>
  <c r="C23758" i="1"/>
  <c r="B23758" i="1"/>
  <c r="G23757" i="1"/>
  <c r="C23757" i="1"/>
  <c r="B23757" i="1"/>
  <c r="G23756" i="1"/>
  <c r="C23756" i="1"/>
  <c r="B23756" i="1"/>
  <c r="G23755" i="1"/>
  <c r="C23755" i="1"/>
  <c r="B23755" i="1"/>
  <c r="G23754" i="1"/>
  <c r="C23754" i="1"/>
  <c r="B23754" i="1"/>
  <c r="G23753" i="1"/>
  <c r="C23753" i="1"/>
  <c r="B23753" i="1"/>
  <c r="G23752" i="1"/>
  <c r="C23752" i="1"/>
  <c r="B23752" i="1"/>
  <c r="G23751" i="1"/>
  <c r="B23751" i="1"/>
  <c r="G23750" i="1"/>
  <c r="C23750" i="1"/>
  <c r="B23750" i="1"/>
  <c r="G23749" i="1"/>
  <c r="B23749" i="1"/>
  <c r="G23748" i="1"/>
  <c r="C23748" i="1"/>
  <c r="B23748" i="1"/>
  <c r="G23747" i="1"/>
  <c r="C23747" i="1"/>
  <c r="B23747" i="1"/>
  <c r="G23746" i="1"/>
  <c r="C23746" i="1"/>
  <c r="B23746" i="1"/>
  <c r="G23745" i="1"/>
  <c r="B23745" i="1"/>
  <c r="G23744" i="1"/>
  <c r="C23744" i="1"/>
  <c r="B23744" i="1"/>
  <c r="G23743" i="1"/>
  <c r="C23743" i="1"/>
  <c r="B23743" i="1"/>
  <c r="G23742" i="1"/>
  <c r="C23742" i="1"/>
  <c r="B23742" i="1"/>
  <c r="G23741" i="1"/>
  <c r="C23741" i="1"/>
  <c r="B23741" i="1"/>
  <c r="G23740" i="1"/>
  <c r="C23740" i="1"/>
  <c r="B23740" i="1"/>
  <c r="G23739" i="1"/>
  <c r="C23739" i="1"/>
  <c r="B23739" i="1"/>
  <c r="G23738" i="1"/>
  <c r="C23738" i="1"/>
  <c r="B23738" i="1"/>
  <c r="G23737" i="1"/>
  <c r="C23737" i="1"/>
  <c r="B23737" i="1"/>
  <c r="G23736" i="1"/>
  <c r="C23736" i="1"/>
  <c r="B23736" i="1"/>
  <c r="G23735" i="1"/>
  <c r="C23735" i="1"/>
  <c r="B23735" i="1"/>
  <c r="G23734" i="1"/>
  <c r="C23734" i="1"/>
  <c r="B23734" i="1"/>
  <c r="G23733" i="1"/>
  <c r="B23733" i="1"/>
  <c r="G23732" i="1"/>
  <c r="C23732" i="1"/>
  <c r="B23732" i="1"/>
  <c r="G23731" i="1"/>
  <c r="C23731" i="1"/>
  <c r="B23731" i="1"/>
  <c r="G23730" i="1"/>
  <c r="B23730" i="1"/>
  <c r="G23729" i="1"/>
  <c r="C23729" i="1"/>
  <c r="B23729" i="1"/>
  <c r="G23728" i="1"/>
  <c r="B23728" i="1"/>
  <c r="G23727" i="1"/>
  <c r="C23727" i="1"/>
  <c r="B23727" i="1"/>
  <c r="G23726" i="1"/>
  <c r="B23726" i="1"/>
  <c r="G23725" i="1"/>
  <c r="C23725" i="1"/>
  <c r="B23725" i="1"/>
  <c r="G23724" i="1"/>
  <c r="B23724" i="1"/>
  <c r="G23723" i="1"/>
  <c r="B23723" i="1"/>
  <c r="G23722" i="1"/>
  <c r="C23722" i="1"/>
  <c r="B23722" i="1"/>
  <c r="G23721" i="1"/>
  <c r="C23721" i="1"/>
  <c r="B23721" i="1"/>
  <c r="G23720" i="1"/>
  <c r="C23720" i="1"/>
  <c r="B23720" i="1"/>
  <c r="G23719" i="1"/>
  <c r="C23719" i="1"/>
  <c r="B23719" i="1"/>
  <c r="G23718" i="1"/>
  <c r="C23718" i="1"/>
  <c r="B23718" i="1"/>
  <c r="G23717" i="1"/>
  <c r="C23717" i="1"/>
  <c r="B23717" i="1"/>
  <c r="G23716" i="1"/>
  <c r="B23716" i="1"/>
  <c r="G23715" i="1"/>
  <c r="B23715" i="1"/>
  <c r="G23714" i="1"/>
  <c r="C23714" i="1"/>
  <c r="B23714" i="1"/>
  <c r="G23713" i="1"/>
  <c r="B23713" i="1"/>
  <c r="G23712" i="1"/>
  <c r="C23712" i="1"/>
  <c r="B23712" i="1"/>
  <c r="G23711" i="1"/>
  <c r="C23711" i="1"/>
  <c r="B23711" i="1"/>
  <c r="G23710" i="1"/>
  <c r="C23710" i="1"/>
  <c r="B23710" i="1"/>
  <c r="G23709" i="1"/>
  <c r="C23709" i="1"/>
  <c r="B23709" i="1"/>
  <c r="G23708" i="1"/>
  <c r="C23708" i="1"/>
  <c r="B23708" i="1"/>
  <c r="G23707" i="1"/>
  <c r="C23707" i="1"/>
  <c r="B23707" i="1"/>
  <c r="G23706" i="1"/>
  <c r="B23706" i="1"/>
  <c r="G23705" i="1"/>
  <c r="B23705" i="1"/>
  <c r="G23704" i="1"/>
  <c r="C23704" i="1"/>
  <c r="B23704" i="1"/>
  <c r="G23703" i="1"/>
  <c r="C23703" i="1"/>
  <c r="B23703" i="1"/>
  <c r="G23702" i="1"/>
  <c r="B23702" i="1"/>
  <c r="G23701" i="1"/>
  <c r="C23701" i="1"/>
  <c r="B23701" i="1"/>
  <c r="G23700" i="1"/>
  <c r="B23700" i="1"/>
  <c r="G23699" i="1"/>
  <c r="B23699" i="1"/>
  <c r="G23698" i="1"/>
  <c r="C23698" i="1"/>
  <c r="B23698" i="1"/>
  <c r="G23697" i="1"/>
  <c r="B23697" i="1"/>
  <c r="G23696" i="1"/>
  <c r="B23696" i="1"/>
  <c r="G23695" i="1"/>
  <c r="C23695" i="1"/>
  <c r="B23695" i="1"/>
  <c r="G23694" i="1"/>
  <c r="C23694" i="1"/>
  <c r="B23694" i="1"/>
  <c r="G23693" i="1"/>
  <c r="C23693" i="1"/>
  <c r="B23693" i="1"/>
  <c r="G23692" i="1"/>
  <c r="B23692" i="1"/>
  <c r="G23691" i="1"/>
  <c r="B23691" i="1"/>
  <c r="G23690" i="1"/>
  <c r="C23690" i="1"/>
  <c r="B23690" i="1"/>
  <c r="G23689" i="1"/>
  <c r="B23689" i="1"/>
  <c r="G23688" i="1"/>
  <c r="C23688" i="1"/>
  <c r="B23688" i="1"/>
  <c r="G23687" i="1"/>
  <c r="B23687" i="1"/>
  <c r="G23686" i="1"/>
  <c r="B23686" i="1"/>
  <c r="G23685" i="1"/>
  <c r="C23685" i="1"/>
  <c r="B23685" i="1"/>
  <c r="G23684" i="1"/>
  <c r="C23684" i="1"/>
  <c r="B23684" i="1"/>
  <c r="G23683" i="1"/>
  <c r="C23683" i="1"/>
  <c r="B23683" i="1"/>
  <c r="G23682" i="1"/>
  <c r="B23682" i="1"/>
  <c r="G23681" i="1"/>
  <c r="B23681" i="1"/>
  <c r="G23680" i="1"/>
  <c r="C23680" i="1"/>
  <c r="B23680" i="1"/>
  <c r="G23679" i="1"/>
  <c r="C23679" i="1"/>
  <c r="B23679" i="1"/>
  <c r="G23678" i="1"/>
  <c r="C23678" i="1"/>
  <c r="B23678" i="1"/>
  <c r="G23677" i="1"/>
  <c r="C23677" i="1"/>
  <c r="B23677" i="1"/>
  <c r="G23676" i="1"/>
  <c r="B23676" i="1"/>
  <c r="G23675" i="1"/>
  <c r="B23675" i="1"/>
  <c r="G23674" i="1"/>
  <c r="C23674" i="1"/>
  <c r="B23674" i="1"/>
  <c r="G23673" i="1"/>
  <c r="C23673" i="1"/>
  <c r="B23673" i="1"/>
  <c r="G23672" i="1"/>
  <c r="C23672" i="1"/>
  <c r="B23672" i="1"/>
  <c r="G23671" i="1"/>
  <c r="C23671" i="1"/>
  <c r="B23671" i="1"/>
  <c r="G23670" i="1"/>
  <c r="B23670" i="1"/>
  <c r="G23669" i="1"/>
  <c r="C23669" i="1"/>
  <c r="B23669" i="1"/>
  <c r="G23668" i="1"/>
  <c r="C23668" i="1"/>
  <c r="B23668" i="1"/>
  <c r="G23667" i="1"/>
  <c r="C23667" i="1"/>
  <c r="B23667" i="1"/>
  <c r="G23666" i="1"/>
  <c r="C23666" i="1"/>
  <c r="B23666" i="1"/>
  <c r="G23665" i="1"/>
  <c r="B23665" i="1"/>
  <c r="G23664" i="1"/>
  <c r="B23664" i="1"/>
  <c r="G23663" i="1"/>
  <c r="C23663" i="1"/>
  <c r="B23663" i="1"/>
  <c r="G23662" i="1"/>
  <c r="C23662" i="1"/>
  <c r="B23662" i="1"/>
  <c r="G23661" i="1"/>
  <c r="C23661" i="1"/>
  <c r="B23661" i="1"/>
  <c r="G23660" i="1"/>
  <c r="B23660" i="1"/>
  <c r="G23659" i="1"/>
  <c r="B23659" i="1"/>
  <c r="G23658" i="1"/>
  <c r="C23658" i="1"/>
  <c r="B23658" i="1"/>
  <c r="G23657" i="1"/>
  <c r="C23657" i="1"/>
  <c r="B23657" i="1"/>
  <c r="G23656" i="1"/>
  <c r="B23656" i="1"/>
  <c r="G23655" i="1"/>
  <c r="C23655" i="1"/>
  <c r="B23655" i="1"/>
  <c r="G23654" i="1"/>
  <c r="C23654" i="1"/>
  <c r="B23654" i="1"/>
  <c r="G23653" i="1"/>
  <c r="C23653" i="1"/>
  <c r="B23653" i="1"/>
  <c r="G23652" i="1"/>
  <c r="B23652" i="1"/>
  <c r="G23651" i="1"/>
  <c r="C23651" i="1"/>
  <c r="B23651" i="1"/>
  <c r="G23650" i="1"/>
  <c r="C23650" i="1"/>
  <c r="B23650" i="1"/>
  <c r="G23649" i="1"/>
  <c r="B23649" i="1"/>
  <c r="G23648" i="1"/>
  <c r="C23648" i="1"/>
  <c r="B23648" i="1"/>
  <c r="G23647" i="1"/>
  <c r="B23647" i="1"/>
  <c r="G23646" i="1"/>
  <c r="C23646" i="1"/>
  <c r="B23646" i="1"/>
  <c r="G23645" i="1"/>
  <c r="C23645" i="1"/>
  <c r="B23645" i="1"/>
  <c r="G23644" i="1"/>
  <c r="B23644" i="1"/>
  <c r="G23643" i="1"/>
  <c r="C23643" i="1"/>
  <c r="B23643" i="1"/>
  <c r="G23642" i="1"/>
  <c r="C23642" i="1"/>
  <c r="B23642" i="1"/>
  <c r="G23641" i="1"/>
  <c r="C23641" i="1"/>
  <c r="B23641" i="1"/>
  <c r="G23640" i="1"/>
  <c r="C23640" i="1"/>
  <c r="B23640" i="1"/>
  <c r="G23639" i="1"/>
  <c r="C23639" i="1"/>
  <c r="B23639" i="1"/>
  <c r="G23638" i="1"/>
  <c r="B23638" i="1"/>
  <c r="G23637" i="1"/>
  <c r="C23637" i="1"/>
  <c r="B23637" i="1"/>
  <c r="G23636" i="1"/>
  <c r="B23636" i="1"/>
  <c r="G23635" i="1"/>
  <c r="B23635" i="1"/>
  <c r="G23634" i="1"/>
  <c r="C23634" i="1"/>
  <c r="B23634" i="1"/>
  <c r="G23633" i="1"/>
  <c r="B23633" i="1"/>
  <c r="G23632" i="1"/>
  <c r="C23632" i="1"/>
  <c r="B23632" i="1"/>
  <c r="G23631" i="1"/>
  <c r="C23631" i="1"/>
  <c r="B23631" i="1"/>
  <c r="G23630" i="1"/>
  <c r="C23630" i="1"/>
  <c r="B23630" i="1"/>
  <c r="G23629" i="1"/>
  <c r="B23629" i="1"/>
  <c r="G23628" i="1"/>
  <c r="B23628" i="1"/>
  <c r="G23627" i="1"/>
  <c r="B23627" i="1"/>
  <c r="G23626" i="1"/>
  <c r="C23626" i="1"/>
  <c r="B23626" i="1"/>
  <c r="G23625" i="1"/>
  <c r="B23625" i="1"/>
  <c r="G23624" i="1"/>
  <c r="B23624" i="1"/>
  <c r="G23623" i="1"/>
  <c r="C23623" i="1"/>
  <c r="B23623" i="1"/>
  <c r="G23622" i="1"/>
  <c r="C23622" i="1"/>
  <c r="B23622" i="1"/>
  <c r="G23621" i="1"/>
  <c r="C23621" i="1"/>
  <c r="B23621" i="1"/>
  <c r="G23620" i="1"/>
  <c r="B23620" i="1"/>
  <c r="G23619" i="1"/>
  <c r="B23619" i="1"/>
  <c r="G23618" i="1"/>
  <c r="B23618" i="1"/>
  <c r="G23617" i="1"/>
  <c r="C23617" i="1"/>
  <c r="B23617" i="1"/>
  <c r="G23616" i="1"/>
  <c r="C23616" i="1"/>
  <c r="B23616" i="1"/>
  <c r="G23615" i="1"/>
  <c r="B23615" i="1"/>
  <c r="G23614" i="1"/>
  <c r="B23614" i="1"/>
  <c r="G23613" i="1"/>
  <c r="C23613" i="1"/>
  <c r="B23613" i="1"/>
  <c r="G23612" i="1"/>
  <c r="B23612" i="1"/>
  <c r="G23611" i="1"/>
  <c r="C23611" i="1"/>
  <c r="B23611" i="1"/>
  <c r="G23610" i="1"/>
  <c r="C23610" i="1"/>
  <c r="B23610" i="1"/>
  <c r="G23609" i="1"/>
  <c r="C23609" i="1"/>
  <c r="B23609" i="1"/>
  <c r="G23608" i="1"/>
  <c r="B23608" i="1"/>
  <c r="G23607" i="1"/>
  <c r="C23607" i="1"/>
  <c r="B23607" i="1"/>
  <c r="G23606" i="1"/>
  <c r="B23606" i="1"/>
  <c r="G23605" i="1"/>
  <c r="B23605" i="1"/>
  <c r="G23604" i="1"/>
  <c r="C23604" i="1"/>
  <c r="B23604" i="1"/>
  <c r="G23603" i="1"/>
  <c r="B23603" i="1"/>
  <c r="G23602" i="1"/>
  <c r="C23602" i="1"/>
  <c r="B23602" i="1"/>
  <c r="G23601" i="1"/>
  <c r="C23601" i="1"/>
  <c r="B23601" i="1"/>
  <c r="G23600" i="1"/>
  <c r="C23600" i="1"/>
  <c r="B23600" i="1"/>
  <c r="G23599" i="1"/>
  <c r="B23599" i="1"/>
  <c r="G23598" i="1"/>
  <c r="B23598" i="1"/>
  <c r="G23597" i="1"/>
  <c r="B23597" i="1"/>
  <c r="G23596" i="1"/>
  <c r="C23596" i="1"/>
  <c r="B23596" i="1"/>
  <c r="G23595" i="1"/>
  <c r="C23595" i="1"/>
  <c r="B23595" i="1"/>
  <c r="G23594" i="1"/>
  <c r="C23594" i="1"/>
  <c r="B23594" i="1"/>
  <c r="G23593" i="1"/>
  <c r="B23593" i="1"/>
  <c r="G23592" i="1"/>
  <c r="C23592" i="1"/>
  <c r="B23592" i="1"/>
  <c r="G23591" i="1"/>
  <c r="C23591" i="1"/>
  <c r="B23591" i="1"/>
  <c r="G23590" i="1"/>
  <c r="C23590" i="1"/>
  <c r="B23590" i="1"/>
  <c r="G23589" i="1"/>
  <c r="B23589" i="1"/>
  <c r="G23588" i="1"/>
  <c r="C23588" i="1"/>
  <c r="B23588" i="1"/>
  <c r="G23587" i="1"/>
  <c r="C23587" i="1"/>
  <c r="B23587" i="1"/>
  <c r="G23586" i="1"/>
  <c r="B23586" i="1"/>
  <c r="G23585" i="1"/>
  <c r="C23585" i="1"/>
  <c r="B23585" i="1"/>
  <c r="G23584" i="1"/>
  <c r="B23584" i="1"/>
  <c r="G23583" i="1"/>
  <c r="B23583" i="1"/>
  <c r="G23582" i="1"/>
  <c r="C23582" i="1"/>
  <c r="B23582" i="1"/>
  <c r="G23581" i="1"/>
  <c r="C23581" i="1"/>
  <c r="B23581" i="1"/>
  <c r="G23580" i="1"/>
  <c r="B23580" i="1"/>
  <c r="G23579" i="1"/>
  <c r="C23579" i="1"/>
  <c r="B23579" i="1"/>
  <c r="G23578" i="1"/>
  <c r="B23578" i="1"/>
  <c r="G23577" i="1"/>
  <c r="C23577" i="1"/>
  <c r="B23577" i="1"/>
  <c r="G23576" i="1"/>
  <c r="B23576" i="1"/>
  <c r="G23575" i="1"/>
  <c r="C23575" i="1"/>
  <c r="B23575" i="1"/>
  <c r="G23574" i="1"/>
  <c r="C23574" i="1"/>
  <c r="B23574" i="1"/>
  <c r="G23573" i="1"/>
  <c r="C23573" i="1"/>
  <c r="B23573" i="1"/>
  <c r="G23572" i="1"/>
  <c r="C23572" i="1"/>
  <c r="B23572" i="1"/>
  <c r="G23571" i="1"/>
  <c r="C23571" i="1"/>
  <c r="B23571" i="1"/>
  <c r="G23570" i="1"/>
  <c r="C23570" i="1"/>
  <c r="B23570" i="1"/>
  <c r="G23569" i="1"/>
  <c r="B23569" i="1"/>
  <c r="G23568" i="1"/>
  <c r="C23568" i="1"/>
  <c r="B23568" i="1"/>
  <c r="G23567" i="1"/>
  <c r="C23567" i="1"/>
  <c r="B23567" i="1"/>
  <c r="G23566" i="1"/>
  <c r="C23566" i="1"/>
  <c r="B23566" i="1"/>
  <c r="G23565" i="1"/>
  <c r="C23565" i="1"/>
  <c r="B23565" i="1"/>
  <c r="G23564" i="1"/>
  <c r="B23564" i="1"/>
  <c r="G23563" i="1"/>
  <c r="C23563" i="1"/>
  <c r="B23563" i="1"/>
  <c r="G23562" i="1"/>
  <c r="C23562" i="1"/>
  <c r="B23562" i="1"/>
  <c r="G23561" i="1"/>
  <c r="B23561" i="1"/>
  <c r="G23560" i="1"/>
  <c r="C23560" i="1"/>
  <c r="B23560" i="1"/>
  <c r="G23559" i="1"/>
  <c r="C23559" i="1"/>
  <c r="B23559" i="1"/>
  <c r="G23558" i="1"/>
  <c r="B23558" i="1"/>
  <c r="G23557" i="1"/>
  <c r="C23557" i="1"/>
  <c r="B23557" i="1"/>
  <c r="G23556" i="1"/>
  <c r="C23556" i="1"/>
  <c r="B23556" i="1"/>
  <c r="G23555" i="1"/>
  <c r="C23555" i="1"/>
  <c r="B23555" i="1"/>
  <c r="G23554" i="1"/>
  <c r="C23554" i="1"/>
  <c r="B23554" i="1"/>
  <c r="G23553" i="1"/>
  <c r="C23553" i="1"/>
  <c r="B23553" i="1"/>
  <c r="G23552" i="1"/>
  <c r="C23552" i="1"/>
  <c r="B23552" i="1"/>
  <c r="G23551" i="1"/>
  <c r="B23551" i="1"/>
  <c r="G23550" i="1"/>
  <c r="C23550" i="1"/>
  <c r="B23550" i="1"/>
  <c r="G23549" i="1"/>
  <c r="B23549" i="1"/>
  <c r="G23548" i="1"/>
  <c r="C23548" i="1"/>
  <c r="B23548" i="1"/>
  <c r="G23547" i="1"/>
  <c r="B23547" i="1"/>
  <c r="G23546" i="1"/>
  <c r="C23546" i="1"/>
  <c r="B23546" i="1"/>
  <c r="G23545" i="1"/>
  <c r="B23545" i="1"/>
  <c r="G23544" i="1"/>
  <c r="C23544" i="1"/>
  <c r="B23544" i="1"/>
  <c r="G23543" i="1"/>
  <c r="B23543" i="1"/>
  <c r="G23542" i="1"/>
  <c r="C23542" i="1"/>
  <c r="B23542" i="1"/>
  <c r="G23541" i="1"/>
  <c r="B23541" i="1"/>
  <c r="G23540" i="1"/>
  <c r="B23540" i="1"/>
  <c r="G23539" i="1"/>
  <c r="B23539" i="1"/>
  <c r="G23538" i="1"/>
  <c r="C23538" i="1"/>
  <c r="B23538" i="1"/>
  <c r="G23537" i="1"/>
  <c r="B23537" i="1"/>
  <c r="G23536" i="1"/>
  <c r="C23536" i="1"/>
  <c r="B23536" i="1"/>
  <c r="G23535" i="1"/>
  <c r="B23535" i="1"/>
  <c r="G23534" i="1"/>
  <c r="B23534" i="1"/>
  <c r="G23533" i="1"/>
  <c r="B23533" i="1"/>
  <c r="G23532" i="1"/>
  <c r="B23532" i="1"/>
  <c r="G23531" i="1"/>
  <c r="C23531" i="1"/>
  <c r="B23531" i="1"/>
  <c r="G23530" i="1"/>
  <c r="C23530" i="1"/>
  <c r="B23530" i="1"/>
  <c r="G23529" i="1"/>
  <c r="C23529" i="1"/>
  <c r="B23529" i="1"/>
  <c r="G23528" i="1"/>
  <c r="B23528" i="1"/>
  <c r="G23527" i="1"/>
  <c r="B23527" i="1"/>
  <c r="G23526" i="1"/>
  <c r="B23526" i="1"/>
  <c r="G23525" i="1"/>
  <c r="B23525" i="1"/>
  <c r="G23524" i="1"/>
  <c r="C23524" i="1"/>
  <c r="B23524" i="1"/>
  <c r="G23523" i="1"/>
  <c r="B23523" i="1"/>
  <c r="G23522" i="1"/>
  <c r="C23522" i="1"/>
  <c r="B23522" i="1"/>
  <c r="G23521" i="1"/>
  <c r="B23521" i="1"/>
  <c r="G23520" i="1"/>
  <c r="C23520" i="1"/>
  <c r="B23520" i="1"/>
  <c r="G23519" i="1"/>
  <c r="B23519" i="1"/>
  <c r="G23518" i="1"/>
  <c r="C23518" i="1"/>
  <c r="B23518" i="1"/>
  <c r="G23517" i="1"/>
  <c r="B23517" i="1"/>
  <c r="G23516" i="1"/>
  <c r="B23516" i="1"/>
  <c r="G23515" i="1"/>
  <c r="C23515" i="1"/>
  <c r="B23515" i="1"/>
  <c r="G23514" i="1"/>
  <c r="C23514" i="1"/>
  <c r="B23514" i="1"/>
  <c r="G23513" i="1"/>
  <c r="B23513" i="1"/>
  <c r="G23512" i="1"/>
  <c r="C23512" i="1"/>
  <c r="B23512" i="1"/>
  <c r="G23511" i="1"/>
  <c r="B23511" i="1"/>
  <c r="G23510" i="1"/>
  <c r="C23510" i="1"/>
  <c r="B23510" i="1"/>
  <c r="G23509" i="1"/>
  <c r="C23509" i="1"/>
  <c r="B23509" i="1"/>
  <c r="G23508" i="1"/>
  <c r="B23508" i="1"/>
  <c r="G23507" i="1"/>
  <c r="C23507" i="1"/>
  <c r="B23507" i="1"/>
  <c r="G23506" i="1"/>
  <c r="C23506" i="1"/>
  <c r="B23506" i="1"/>
  <c r="G23505" i="1"/>
  <c r="B23505" i="1"/>
  <c r="G23504" i="1"/>
  <c r="B23504" i="1"/>
  <c r="G23503" i="1"/>
  <c r="C23503" i="1"/>
  <c r="B23503" i="1"/>
  <c r="G23502" i="1"/>
  <c r="B23502" i="1"/>
  <c r="G23501" i="1"/>
  <c r="B23501" i="1"/>
  <c r="G23500" i="1"/>
  <c r="B23500" i="1"/>
  <c r="G23499" i="1"/>
  <c r="C23499" i="1"/>
  <c r="B23499" i="1"/>
  <c r="G23498" i="1"/>
  <c r="B23498" i="1"/>
  <c r="G23497" i="1"/>
  <c r="B23497" i="1"/>
  <c r="G23496" i="1"/>
  <c r="C23496" i="1"/>
  <c r="B23496" i="1"/>
  <c r="G23495" i="1"/>
  <c r="C23495" i="1"/>
  <c r="B23495" i="1"/>
  <c r="G23494" i="1"/>
  <c r="B23494" i="1"/>
  <c r="G23493" i="1"/>
  <c r="B23493" i="1"/>
  <c r="G23492" i="1"/>
  <c r="C23492" i="1"/>
  <c r="B23492" i="1"/>
  <c r="G23491" i="1"/>
  <c r="C23491" i="1"/>
  <c r="B23491" i="1"/>
  <c r="G23490" i="1"/>
  <c r="C23490" i="1"/>
  <c r="B23490" i="1"/>
  <c r="G23489" i="1"/>
  <c r="B23489" i="1"/>
  <c r="G23488" i="1"/>
  <c r="B23488" i="1"/>
  <c r="G23487" i="1"/>
  <c r="C23487" i="1"/>
  <c r="B23487" i="1"/>
  <c r="G23486" i="1"/>
  <c r="B23486" i="1"/>
  <c r="G23485" i="1"/>
  <c r="B23485" i="1"/>
  <c r="G23484" i="1"/>
  <c r="C23484" i="1"/>
  <c r="B23484" i="1"/>
  <c r="G23483" i="1"/>
  <c r="B23483" i="1"/>
  <c r="G23482" i="1"/>
  <c r="C23482" i="1"/>
  <c r="B23482" i="1"/>
  <c r="G23481" i="1"/>
  <c r="B23481" i="1"/>
  <c r="G23480" i="1"/>
  <c r="C23480" i="1"/>
  <c r="B23480" i="1"/>
  <c r="G23479" i="1"/>
  <c r="C23479" i="1"/>
  <c r="B23479" i="1"/>
  <c r="G23478" i="1"/>
  <c r="C23478" i="1"/>
  <c r="B23478" i="1"/>
  <c r="G23477" i="1"/>
  <c r="B23477" i="1"/>
  <c r="G23476" i="1"/>
  <c r="B23476" i="1"/>
  <c r="G23475" i="1"/>
  <c r="B23475" i="1"/>
  <c r="G23474" i="1"/>
  <c r="B23474" i="1"/>
  <c r="G23473" i="1"/>
  <c r="C23473" i="1"/>
  <c r="B23473" i="1"/>
  <c r="G23472" i="1"/>
  <c r="B23472" i="1"/>
  <c r="G23471" i="1"/>
  <c r="C23471" i="1"/>
  <c r="B23471" i="1"/>
  <c r="G23470" i="1"/>
  <c r="C23470" i="1"/>
  <c r="B23470" i="1"/>
  <c r="G23469" i="1"/>
  <c r="B23469" i="1"/>
  <c r="G23468" i="1"/>
  <c r="C23468" i="1"/>
  <c r="B23468" i="1"/>
  <c r="G23467" i="1"/>
  <c r="B23467" i="1"/>
  <c r="G23466" i="1"/>
  <c r="C23466" i="1"/>
  <c r="B23466" i="1"/>
  <c r="G23465" i="1"/>
  <c r="B23465" i="1"/>
  <c r="G23464" i="1"/>
  <c r="B23464" i="1"/>
  <c r="G23463" i="1"/>
  <c r="B23463" i="1"/>
  <c r="G23462" i="1"/>
  <c r="B23462" i="1"/>
  <c r="G23461" i="1"/>
  <c r="C23461" i="1"/>
  <c r="B23461" i="1"/>
  <c r="G23460" i="1"/>
  <c r="C23460" i="1"/>
  <c r="B23460" i="1"/>
  <c r="G23459" i="1"/>
  <c r="C23459" i="1"/>
  <c r="B23459" i="1"/>
  <c r="G23458" i="1"/>
  <c r="B23458" i="1"/>
  <c r="G23457" i="1"/>
  <c r="B23457" i="1"/>
  <c r="G23456" i="1"/>
  <c r="C23456" i="1"/>
  <c r="B23456" i="1"/>
  <c r="G23455" i="1"/>
  <c r="B23455" i="1"/>
  <c r="G23454" i="1"/>
  <c r="B23454" i="1"/>
  <c r="G23453" i="1"/>
  <c r="C23453" i="1"/>
  <c r="B23453" i="1"/>
  <c r="G23452" i="1"/>
  <c r="C23452" i="1"/>
  <c r="B23452" i="1"/>
  <c r="G23451" i="1"/>
  <c r="B23451" i="1"/>
  <c r="G23450" i="1"/>
  <c r="B23450" i="1"/>
  <c r="G23449" i="1"/>
  <c r="C23449" i="1"/>
  <c r="B23449" i="1"/>
  <c r="G23448" i="1"/>
  <c r="C23448" i="1"/>
  <c r="B23448" i="1"/>
  <c r="G23447" i="1"/>
  <c r="B23447" i="1"/>
  <c r="G23446" i="1"/>
  <c r="C23446" i="1"/>
  <c r="B23446" i="1"/>
  <c r="G23445" i="1"/>
  <c r="C23445" i="1"/>
  <c r="B23445" i="1"/>
  <c r="G23444" i="1"/>
  <c r="B23444" i="1"/>
  <c r="G23443" i="1"/>
  <c r="C23443" i="1"/>
  <c r="B23443" i="1"/>
  <c r="G23442" i="1"/>
  <c r="C23442" i="1"/>
  <c r="B23442" i="1"/>
  <c r="G23441" i="1"/>
  <c r="C23441" i="1"/>
  <c r="B23441" i="1"/>
  <c r="G23440" i="1"/>
  <c r="C23440" i="1"/>
  <c r="B23440" i="1"/>
  <c r="G23439" i="1"/>
  <c r="B23439" i="1"/>
  <c r="G23438" i="1"/>
  <c r="C23438" i="1"/>
  <c r="B23438" i="1"/>
  <c r="G23437" i="1"/>
  <c r="B23437" i="1"/>
  <c r="G23436" i="1"/>
  <c r="B23436" i="1"/>
  <c r="G23435" i="1"/>
  <c r="C23435" i="1"/>
  <c r="B23435" i="1"/>
  <c r="G23434" i="1"/>
  <c r="B23434" i="1"/>
  <c r="G23433" i="1"/>
  <c r="C23433" i="1"/>
  <c r="B23433" i="1"/>
  <c r="G23432" i="1"/>
  <c r="C23432" i="1"/>
  <c r="B23432" i="1"/>
  <c r="G23431" i="1"/>
  <c r="B23431" i="1"/>
  <c r="G23430" i="1"/>
  <c r="B23430" i="1"/>
  <c r="G23429" i="1"/>
  <c r="C23429" i="1"/>
  <c r="B23429" i="1"/>
  <c r="G23428" i="1"/>
  <c r="B23428" i="1"/>
  <c r="G23427" i="1"/>
  <c r="C23427" i="1"/>
  <c r="B23427" i="1"/>
  <c r="G23426" i="1"/>
  <c r="B23426" i="1"/>
  <c r="G23425" i="1"/>
  <c r="C23425" i="1"/>
  <c r="B23425" i="1"/>
  <c r="G23424" i="1"/>
  <c r="B23424" i="1"/>
  <c r="G23423" i="1"/>
  <c r="C23423" i="1"/>
  <c r="B23423" i="1"/>
  <c r="G23422" i="1"/>
  <c r="B23422" i="1"/>
  <c r="G23421" i="1"/>
  <c r="C23421" i="1"/>
  <c r="B23421" i="1"/>
  <c r="G23420" i="1"/>
  <c r="B23420" i="1"/>
  <c r="G23419" i="1"/>
  <c r="C23419" i="1"/>
  <c r="B23419" i="1"/>
  <c r="G23418" i="1"/>
  <c r="C23418" i="1"/>
  <c r="B23418" i="1"/>
  <c r="G23417" i="1"/>
  <c r="C23417" i="1"/>
  <c r="B23417" i="1"/>
  <c r="G23416" i="1"/>
  <c r="B23416" i="1"/>
  <c r="G23415" i="1"/>
  <c r="C23415" i="1"/>
  <c r="B23415" i="1"/>
  <c r="G23414" i="1"/>
  <c r="B23414" i="1"/>
  <c r="G23413" i="1"/>
  <c r="B23413" i="1"/>
  <c r="G23412" i="1"/>
  <c r="C23412" i="1"/>
  <c r="B23412" i="1"/>
  <c r="G23411" i="1"/>
  <c r="C23411" i="1"/>
  <c r="B23411" i="1"/>
  <c r="G23410" i="1"/>
  <c r="B23410" i="1"/>
  <c r="G23409" i="1"/>
  <c r="B23409" i="1"/>
  <c r="G23408" i="1"/>
  <c r="C23408" i="1"/>
  <c r="B23408" i="1"/>
  <c r="G23407" i="1"/>
  <c r="C23407" i="1"/>
  <c r="B23407" i="1"/>
  <c r="G23406" i="1"/>
  <c r="B23406" i="1"/>
  <c r="G23405" i="1"/>
  <c r="C23405" i="1"/>
  <c r="B23405" i="1"/>
  <c r="G23404" i="1"/>
  <c r="C23404" i="1"/>
  <c r="B23404" i="1"/>
  <c r="G23403" i="1"/>
  <c r="C23403" i="1"/>
  <c r="B23403" i="1"/>
  <c r="G23402" i="1"/>
  <c r="C23402" i="1"/>
  <c r="B23402" i="1"/>
  <c r="G23401" i="1"/>
  <c r="B23401" i="1"/>
  <c r="G23400" i="1"/>
  <c r="C23400" i="1"/>
  <c r="B23400" i="1"/>
  <c r="G23399" i="1"/>
  <c r="B23399" i="1"/>
  <c r="G23398" i="1"/>
  <c r="C23398" i="1"/>
  <c r="B23398" i="1"/>
  <c r="G23397" i="1"/>
  <c r="C23397" i="1"/>
  <c r="B23397" i="1"/>
  <c r="G23396" i="1"/>
  <c r="C23396" i="1"/>
  <c r="B23396" i="1"/>
  <c r="G23395" i="1"/>
  <c r="B23395" i="1"/>
  <c r="G23394" i="1"/>
  <c r="B23394" i="1"/>
  <c r="G23393" i="1"/>
  <c r="B23393" i="1"/>
  <c r="G23392" i="1"/>
  <c r="C23392" i="1"/>
  <c r="B23392" i="1"/>
  <c r="G23391" i="1"/>
  <c r="C23391" i="1"/>
  <c r="B23391" i="1"/>
  <c r="G23390" i="1"/>
  <c r="C23390" i="1"/>
  <c r="B23390" i="1"/>
  <c r="G23389" i="1"/>
  <c r="B23389" i="1"/>
  <c r="G23388" i="1"/>
  <c r="B23388" i="1"/>
  <c r="G23387" i="1"/>
  <c r="C23387" i="1"/>
  <c r="B23387" i="1"/>
  <c r="G23386" i="1"/>
  <c r="C23386" i="1"/>
  <c r="B23386" i="1"/>
  <c r="G23385" i="1"/>
  <c r="C23385" i="1"/>
  <c r="B23385" i="1"/>
  <c r="G23384" i="1"/>
  <c r="C23384" i="1"/>
  <c r="B23384" i="1"/>
  <c r="G23383" i="1"/>
  <c r="B23383" i="1"/>
  <c r="G23382" i="1"/>
  <c r="C23382" i="1"/>
  <c r="B23382" i="1"/>
  <c r="G23381" i="1"/>
  <c r="C23381" i="1"/>
  <c r="B23381" i="1"/>
  <c r="G23380" i="1"/>
  <c r="C23380" i="1"/>
  <c r="B23380" i="1"/>
  <c r="G23379" i="1"/>
  <c r="C23379" i="1"/>
  <c r="B23379" i="1"/>
  <c r="G23378" i="1"/>
  <c r="B23378" i="1"/>
  <c r="G23377" i="1"/>
  <c r="C23377" i="1"/>
  <c r="B23377" i="1"/>
  <c r="G23376" i="1"/>
  <c r="C23376" i="1"/>
  <c r="B23376" i="1"/>
  <c r="G23375" i="1"/>
  <c r="C23375" i="1"/>
  <c r="B23375" i="1"/>
  <c r="G23374" i="1"/>
  <c r="B23374" i="1"/>
  <c r="G23373" i="1"/>
  <c r="B23373" i="1"/>
  <c r="G23372" i="1"/>
  <c r="B23372" i="1"/>
  <c r="G23371" i="1"/>
  <c r="C23371" i="1"/>
  <c r="B23371" i="1"/>
  <c r="G23370" i="1"/>
  <c r="C23370" i="1"/>
  <c r="B23370" i="1"/>
  <c r="G23369" i="1"/>
  <c r="C23369" i="1"/>
  <c r="B23369" i="1"/>
  <c r="G23368" i="1"/>
  <c r="B23368" i="1"/>
  <c r="G23367" i="1"/>
  <c r="C23367" i="1"/>
  <c r="B23367" i="1"/>
  <c r="G23366" i="1"/>
  <c r="B23366" i="1"/>
  <c r="G23365" i="1"/>
  <c r="B23365" i="1"/>
  <c r="G23364" i="1"/>
  <c r="B23364" i="1"/>
  <c r="G23363" i="1"/>
  <c r="B23363" i="1"/>
  <c r="G23362" i="1"/>
  <c r="C23362" i="1"/>
  <c r="B23362" i="1"/>
  <c r="G23361" i="1"/>
  <c r="B23361" i="1"/>
  <c r="G23360" i="1"/>
  <c r="B23360" i="1"/>
  <c r="G23359" i="1"/>
  <c r="C23359" i="1"/>
  <c r="B23359" i="1"/>
  <c r="G23358" i="1"/>
  <c r="B23358" i="1"/>
  <c r="G23357" i="1"/>
  <c r="C23357" i="1"/>
  <c r="B23357" i="1"/>
  <c r="G23356" i="1"/>
  <c r="C23356" i="1"/>
  <c r="B23356" i="1"/>
  <c r="G23355" i="1"/>
  <c r="B23355" i="1"/>
  <c r="G23354" i="1"/>
  <c r="C23354" i="1"/>
  <c r="B23354" i="1"/>
  <c r="G23353" i="1"/>
  <c r="C23353" i="1"/>
  <c r="B23353" i="1"/>
  <c r="G23352" i="1"/>
  <c r="B23352" i="1"/>
  <c r="G23351" i="1"/>
  <c r="C23351" i="1"/>
  <c r="B23351" i="1"/>
  <c r="G23350" i="1"/>
  <c r="C23350" i="1"/>
  <c r="B23350" i="1"/>
  <c r="G23349" i="1"/>
  <c r="C23349" i="1"/>
  <c r="B23349" i="1"/>
  <c r="G23348" i="1"/>
  <c r="B23348" i="1"/>
  <c r="G23347" i="1"/>
  <c r="C23347" i="1"/>
  <c r="B23347" i="1"/>
  <c r="G23346" i="1"/>
  <c r="B23346" i="1"/>
  <c r="G23345" i="1"/>
  <c r="C23345" i="1"/>
  <c r="B23345" i="1"/>
  <c r="G23344" i="1"/>
  <c r="B23344" i="1"/>
  <c r="G23343" i="1"/>
  <c r="C23343" i="1"/>
  <c r="B23343" i="1"/>
  <c r="G23342" i="1"/>
  <c r="C23342" i="1"/>
  <c r="B23342" i="1"/>
  <c r="G23341" i="1"/>
  <c r="B23341" i="1"/>
  <c r="G23340" i="1"/>
  <c r="C23340" i="1"/>
  <c r="B23340" i="1"/>
  <c r="G23339" i="1"/>
  <c r="C23339" i="1"/>
  <c r="B23339" i="1"/>
  <c r="G23338" i="1"/>
  <c r="B23338" i="1"/>
  <c r="G23337" i="1"/>
  <c r="B23337" i="1"/>
  <c r="G23336" i="1"/>
  <c r="B23336" i="1"/>
  <c r="G23335" i="1"/>
  <c r="C23335" i="1"/>
  <c r="B23335" i="1"/>
  <c r="G23334" i="1"/>
  <c r="B23334" i="1"/>
  <c r="G23333" i="1"/>
  <c r="C23333" i="1"/>
  <c r="B23333" i="1"/>
  <c r="G23332" i="1"/>
  <c r="B23332" i="1"/>
  <c r="G23331" i="1"/>
  <c r="B23331" i="1"/>
  <c r="G23330" i="1"/>
  <c r="C23330" i="1"/>
  <c r="B23330" i="1"/>
  <c r="G23329" i="1"/>
  <c r="C23329" i="1"/>
  <c r="B23329" i="1"/>
  <c r="G23328" i="1"/>
  <c r="B23328" i="1"/>
  <c r="G23327" i="1"/>
  <c r="C23327" i="1"/>
  <c r="B23327" i="1"/>
  <c r="G23326" i="1"/>
  <c r="C23326" i="1"/>
  <c r="B23326" i="1"/>
  <c r="G23325" i="1"/>
  <c r="C23325" i="1"/>
  <c r="B23325" i="1"/>
  <c r="G23324" i="1"/>
  <c r="C23324" i="1"/>
  <c r="B23324" i="1"/>
  <c r="G23323" i="1"/>
  <c r="C23323" i="1"/>
  <c r="B23323" i="1"/>
  <c r="G23322" i="1"/>
  <c r="C23322" i="1"/>
  <c r="B23322" i="1"/>
  <c r="G23321" i="1"/>
  <c r="B23321" i="1"/>
  <c r="G23320" i="1"/>
  <c r="B23320" i="1"/>
  <c r="G23319" i="1"/>
  <c r="C23319" i="1"/>
  <c r="B23319" i="1"/>
  <c r="G23318" i="1"/>
  <c r="B23318" i="1"/>
  <c r="G23317" i="1"/>
  <c r="B23317" i="1"/>
  <c r="G23316" i="1"/>
  <c r="B23316" i="1"/>
  <c r="G23315" i="1"/>
  <c r="C23315" i="1"/>
  <c r="B23315" i="1"/>
  <c r="G23314" i="1"/>
  <c r="C23314" i="1"/>
  <c r="B23314" i="1"/>
  <c r="G23313" i="1"/>
  <c r="B23313" i="1"/>
  <c r="G23312" i="1"/>
  <c r="B23312" i="1"/>
  <c r="G23311" i="1"/>
  <c r="C23311" i="1"/>
  <c r="B23311" i="1"/>
  <c r="G23310" i="1"/>
  <c r="C23310" i="1"/>
  <c r="B23310" i="1"/>
  <c r="G23309" i="1"/>
  <c r="B23309" i="1"/>
  <c r="G23308" i="1"/>
  <c r="C23308" i="1"/>
  <c r="B23308" i="1"/>
  <c r="G23307" i="1"/>
  <c r="B23307" i="1"/>
  <c r="G23306" i="1"/>
  <c r="B23306" i="1"/>
  <c r="G23305" i="1"/>
  <c r="B23305" i="1"/>
  <c r="G23304" i="1"/>
  <c r="C23304" i="1"/>
  <c r="B23304" i="1"/>
  <c r="G23303" i="1"/>
  <c r="B23303" i="1"/>
  <c r="G23302" i="1"/>
  <c r="C23302" i="1"/>
  <c r="B23302" i="1"/>
  <c r="G23301" i="1"/>
  <c r="B23301" i="1"/>
  <c r="G23300" i="1"/>
  <c r="C23300" i="1"/>
  <c r="B23300" i="1"/>
  <c r="G23299" i="1"/>
  <c r="C23299" i="1"/>
  <c r="B23299" i="1"/>
  <c r="G23298" i="1"/>
  <c r="C23298" i="1"/>
  <c r="B23298" i="1"/>
  <c r="G23297" i="1"/>
  <c r="B23297" i="1"/>
  <c r="G23296" i="1"/>
  <c r="B23296" i="1"/>
  <c r="G23295" i="1"/>
  <c r="C23295" i="1"/>
  <c r="B23295" i="1"/>
  <c r="G23294" i="1"/>
  <c r="B23294" i="1"/>
  <c r="G23293" i="1"/>
  <c r="C23293" i="1"/>
  <c r="B23293" i="1"/>
  <c r="G23292" i="1"/>
  <c r="C23292" i="1"/>
  <c r="B23292" i="1"/>
  <c r="G23291" i="1"/>
  <c r="B23291" i="1"/>
  <c r="G23290" i="1"/>
  <c r="B23290" i="1"/>
  <c r="G23289" i="1"/>
  <c r="C23289" i="1"/>
  <c r="B23289" i="1"/>
  <c r="G23288" i="1"/>
  <c r="C23288" i="1"/>
  <c r="B23288" i="1"/>
  <c r="G23287" i="1"/>
  <c r="C23287" i="1"/>
  <c r="B23287" i="1"/>
  <c r="G23286" i="1"/>
  <c r="B23286" i="1"/>
  <c r="G23285" i="1"/>
  <c r="C23285" i="1"/>
  <c r="B23285" i="1"/>
  <c r="G23284" i="1"/>
  <c r="B23284" i="1"/>
  <c r="G23283" i="1"/>
  <c r="C23283" i="1"/>
  <c r="B23283" i="1"/>
  <c r="G23282" i="1"/>
  <c r="C23282" i="1"/>
  <c r="B23282" i="1"/>
  <c r="G23281" i="1"/>
  <c r="C23281" i="1"/>
  <c r="B23281" i="1"/>
  <c r="G23280" i="1"/>
  <c r="B23280" i="1"/>
  <c r="G23279" i="1"/>
  <c r="B23279" i="1"/>
  <c r="G23278" i="1"/>
  <c r="C23278" i="1"/>
  <c r="B23278" i="1"/>
  <c r="G23277" i="1"/>
  <c r="C23277" i="1"/>
  <c r="B23277" i="1"/>
  <c r="G23276" i="1"/>
  <c r="B23276" i="1"/>
  <c r="G23275" i="1"/>
  <c r="C23275" i="1"/>
  <c r="B23275" i="1"/>
  <c r="G23274" i="1"/>
  <c r="B23274" i="1"/>
  <c r="G23273" i="1"/>
  <c r="B23273" i="1"/>
  <c r="G23272" i="1"/>
  <c r="C23272" i="1"/>
  <c r="B23272" i="1"/>
  <c r="G23271" i="1"/>
  <c r="C23271" i="1"/>
  <c r="B23271" i="1"/>
  <c r="G23270" i="1"/>
  <c r="B23270" i="1"/>
  <c r="G23269" i="1"/>
  <c r="B23269" i="1"/>
  <c r="G23268" i="1"/>
  <c r="C23268" i="1"/>
  <c r="B23268" i="1"/>
  <c r="G23267" i="1"/>
  <c r="C23267" i="1"/>
  <c r="B23267" i="1"/>
  <c r="G23266" i="1"/>
  <c r="B23266" i="1"/>
  <c r="G23265" i="1"/>
  <c r="C23265" i="1"/>
  <c r="B23265" i="1"/>
  <c r="G23264" i="1"/>
  <c r="C23264" i="1"/>
  <c r="B23264" i="1"/>
  <c r="G23263" i="1"/>
  <c r="B23263" i="1"/>
  <c r="G23262" i="1"/>
  <c r="C23262" i="1"/>
  <c r="B23262" i="1"/>
  <c r="G23261" i="1"/>
  <c r="C23261" i="1"/>
  <c r="B23261" i="1"/>
  <c r="G23260" i="1"/>
  <c r="B23260" i="1"/>
  <c r="G23259" i="1"/>
  <c r="C23259" i="1"/>
  <c r="B23259" i="1"/>
  <c r="G23258" i="1"/>
  <c r="C23258" i="1"/>
  <c r="B23258" i="1"/>
  <c r="G23257" i="1"/>
  <c r="B23257" i="1"/>
  <c r="G23256" i="1"/>
  <c r="C23256" i="1"/>
  <c r="B23256" i="1"/>
  <c r="G23255" i="1"/>
  <c r="B23255" i="1"/>
  <c r="G23254" i="1"/>
  <c r="B23254" i="1"/>
  <c r="G23253" i="1"/>
  <c r="C23253" i="1"/>
  <c r="B23253" i="1"/>
  <c r="G23252" i="1"/>
  <c r="B23252" i="1"/>
  <c r="G23251" i="1"/>
  <c r="C23251" i="1"/>
  <c r="B23251" i="1"/>
  <c r="G23250" i="1"/>
  <c r="C23250" i="1"/>
  <c r="B23250" i="1"/>
  <c r="G23249" i="1"/>
  <c r="B23249" i="1"/>
  <c r="G23248" i="1"/>
  <c r="B23248" i="1"/>
  <c r="G23247" i="1"/>
  <c r="C23247" i="1"/>
  <c r="B23247" i="1"/>
  <c r="G23246" i="1"/>
  <c r="C23246" i="1"/>
  <c r="B23246" i="1"/>
  <c r="G23245" i="1"/>
  <c r="C23245" i="1"/>
  <c r="B23245" i="1"/>
  <c r="G23244" i="1"/>
  <c r="B23244" i="1"/>
  <c r="G23243" i="1"/>
  <c r="C23243" i="1"/>
  <c r="B23243" i="1"/>
  <c r="G23242" i="1"/>
  <c r="B23242" i="1"/>
  <c r="G23241" i="1"/>
  <c r="B23241" i="1"/>
  <c r="G23240" i="1"/>
  <c r="C23240" i="1"/>
  <c r="B23240" i="1"/>
  <c r="G23239" i="1"/>
  <c r="B23239" i="1"/>
  <c r="G23238" i="1"/>
  <c r="B23238" i="1"/>
  <c r="G23237" i="1"/>
  <c r="B23237" i="1"/>
  <c r="G23236" i="1"/>
  <c r="C23236" i="1"/>
  <c r="B23236" i="1"/>
  <c r="G23235" i="1"/>
  <c r="C23235" i="1"/>
  <c r="B23235" i="1"/>
  <c r="G23234" i="1"/>
  <c r="B23234" i="1"/>
  <c r="G23233" i="1"/>
  <c r="C23233" i="1"/>
  <c r="B23233" i="1"/>
  <c r="G23232" i="1"/>
  <c r="C23232" i="1"/>
  <c r="B23232" i="1"/>
  <c r="G23231" i="1"/>
  <c r="B23231" i="1"/>
  <c r="G23230" i="1"/>
  <c r="B23230" i="1"/>
  <c r="G23229" i="1"/>
  <c r="C23229" i="1"/>
  <c r="B23229" i="1"/>
  <c r="G23228" i="1"/>
  <c r="B23228" i="1"/>
  <c r="G23227" i="1"/>
  <c r="C23227" i="1"/>
  <c r="B23227" i="1"/>
  <c r="G23226" i="1"/>
  <c r="B23226" i="1"/>
  <c r="G23225" i="1"/>
  <c r="B23225" i="1"/>
  <c r="G23224" i="1"/>
  <c r="B23224" i="1"/>
  <c r="G23223" i="1"/>
  <c r="B23223" i="1"/>
  <c r="G23222" i="1"/>
  <c r="B23222" i="1"/>
  <c r="G23221" i="1"/>
  <c r="C23221" i="1"/>
  <c r="B23221" i="1"/>
  <c r="G23220" i="1"/>
  <c r="C23220" i="1"/>
  <c r="B23220" i="1"/>
  <c r="G23219" i="1"/>
  <c r="B23219" i="1"/>
  <c r="G23218" i="1"/>
  <c r="B23218" i="1"/>
  <c r="G23217" i="1"/>
  <c r="B23217" i="1"/>
  <c r="G23216" i="1"/>
  <c r="C23216" i="1"/>
  <c r="B23216" i="1"/>
  <c r="G23215" i="1"/>
  <c r="C23215" i="1"/>
  <c r="B23215" i="1"/>
  <c r="G23214" i="1"/>
  <c r="C23214" i="1"/>
  <c r="B23214" i="1"/>
  <c r="G23213" i="1"/>
  <c r="C23213" i="1"/>
  <c r="B23213" i="1"/>
  <c r="G23212" i="1"/>
  <c r="C23212" i="1"/>
  <c r="B23212" i="1"/>
  <c r="G23211" i="1"/>
  <c r="C23211" i="1"/>
  <c r="B23211" i="1"/>
  <c r="G23210" i="1"/>
  <c r="C23210" i="1"/>
  <c r="B23210" i="1"/>
  <c r="G23209" i="1"/>
  <c r="B23209" i="1"/>
  <c r="G23208" i="1"/>
  <c r="C23208" i="1"/>
  <c r="B23208" i="1"/>
  <c r="G23207" i="1"/>
  <c r="B23207" i="1"/>
  <c r="G23206" i="1"/>
  <c r="C23206" i="1"/>
  <c r="B23206" i="1"/>
  <c r="G23205" i="1"/>
  <c r="B23205" i="1"/>
  <c r="G23204" i="1"/>
  <c r="C23204" i="1"/>
  <c r="B23204" i="1"/>
  <c r="G23203" i="1"/>
  <c r="B23203" i="1"/>
  <c r="G23202" i="1"/>
  <c r="C23202" i="1"/>
  <c r="B23202" i="1"/>
  <c r="G23201" i="1"/>
  <c r="C23201" i="1"/>
  <c r="B23201" i="1"/>
  <c r="G23200" i="1"/>
  <c r="B23200" i="1"/>
  <c r="G23199" i="1"/>
  <c r="C23199" i="1"/>
  <c r="B23199" i="1"/>
  <c r="G23198" i="1"/>
  <c r="C23198" i="1"/>
  <c r="B23198" i="1"/>
  <c r="G23197" i="1"/>
  <c r="B23197" i="1"/>
  <c r="G23196" i="1"/>
  <c r="C23196" i="1"/>
  <c r="B23196" i="1"/>
  <c r="G23195" i="1"/>
  <c r="B23195" i="1"/>
  <c r="G23194" i="1"/>
  <c r="C23194" i="1"/>
  <c r="B23194" i="1"/>
  <c r="G23193" i="1"/>
  <c r="C23193" i="1"/>
  <c r="B23193" i="1"/>
  <c r="G23192" i="1"/>
  <c r="C23192" i="1"/>
  <c r="B23192" i="1"/>
  <c r="G23191" i="1"/>
  <c r="C23191" i="1"/>
  <c r="B23191" i="1"/>
  <c r="G23190" i="1"/>
  <c r="C23190" i="1"/>
  <c r="B23190" i="1"/>
  <c r="G23189" i="1"/>
  <c r="B23189" i="1"/>
  <c r="G23188" i="1"/>
  <c r="C23188" i="1"/>
  <c r="B23188" i="1"/>
  <c r="G23187" i="1"/>
  <c r="C23187" i="1"/>
  <c r="B23187" i="1"/>
  <c r="G23186" i="1"/>
  <c r="B23186" i="1"/>
  <c r="G23185" i="1"/>
  <c r="C23185" i="1"/>
  <c r="B23185" i="1"/>
  <c r="G23184" i="1"/>
  <c r="B23184" i="1"/>
  <c r="G23183" i="1"/>
  <c r="C23183" i="1"/>
  <c r="B23183" i="1"/>
  <c r="G23182" i="1"/>
  <c r="B23182" i="1"/>
  <c r="G23181" i="1"/>
  <c r="C23181" i="1"/>
  <c r="B23181" i="1"/>
  <c r="G23180" i="1"/>
  <c r="C23180" i="1"/>
  <c r="B23180" i="1"/>
  <c r="G23179" i="1"/>
  <c r="C23179" i="1"/>
  <c r="B23179" i="1"/>
  <c r="G23178" i="1"/>
  <c r="C23178" i="1"/>
  <c r="B23178" i="1"/>
  <c r="G23177" i="1"/>
  <c r="C23177" i="1"/>
  <c r="B23177" i="1"/>
  <c r="G23176" i="1"/>
  <c r="C23176" i="1"/>
  <c r="B23176" i="1"/>
  <c r="G23175" i="1"/>
  <c r="C23175" i="1"/>
  <c r="B23175" i="1"/>
  <c r="G23174" i="1"/>
  <c r="B23174" i="1"/>
  <c r="G23173" i="1"/>
  <c r="C23173" i="1"/>
  <c r="B23173" i="1"/>
  <c r="G23172" i="1"/>
  <c r="C23172" i="1"/>
  <c r="B23172" i="1"/>
  <c r="G23171" i="1"/>
  <c r="C23171" i="1"/>
  <c r="B23171" i="1"/>
  <c r="G23170" i="1"/>
  <c r="C23170" i="1"/>
  <c r="B23170" i="1"/>
  <c r="G23169" i="1"/>
  <c r="C23169" i="1"/>
  <c r="B23169" i="1"/>
  <c r="G23168" i="1"/>
  <c r="C23168" i="1"/>
  <c r="B23168" i="1"/>
  <c r="G23167" i="1"/>
  <c r="B23167" i="1"/>
  <c r="G23166" i="1"/>
  <c r="C23166" i="1"/>
  <c r="B23166" i="1"/>
  <c r="G23165" i="1"/>
  <c r="C23165" i="1"/>
  <c r="B23165" i="1"/>
  <c r="G23164" i="1"/>
  <c r="B23164" i="1"/>
  <c r="G23163" i="1"/>
  <c r="C23163" i="1"/>
  <c r="B23163" i="1"/>
  <c r="G23162" i="1"/>
  <c r="C23162" i="1"/>
  <c r="B23162" i="1"/>
  <c r="G23161" i="1"/>
  <c r="C23161" i="1"/>
  <c r="B23161" i="1"/>
  <c r="G23160" i="1"/>
  <c r="B23160" i="1"/>
  <c r="G23159" i="1"/>
  <c r="C23159" i="1"/>
  <c r="B23159" i="1"/>
  <c r="G23158" i="1"/>
  <c r="C23158" i="1"/>
  <c r="B23158" i="1"/>
  <c r="G23157" i="1"/>
  <c r="B23157" i="1"/>
  <c r="G23156" i="1"/>
  <c r="C23156" i="1"/>
  <c r="B23156" i="1"/>
  <c r="G23155" i="1"/>
  <c r="C23155" i="1"/>
  <c r="B23155" i="1"/>
  <c r="G23154" i="1"/>
  <c r="C23154" i="1"/>
  <c r="B23154" i="1"/>
  <c r="G23153" i="1"/>
  <c r="B23153" i="1"/>
  <c r="G23152" i="1"/>
  <c r="C23152" i="1"/>
  <c r="B23152" i="1"/>
  <c r="G23151" i="1"/>
  <c r="C23151" i="1"/>
  <c r="B23151" i="1"/>
  <c r="G23150" i="1"/>
  <c r="C23150" i="1"/>
  <c r="B23150" i="1"/>
  <c r="G23149" i="1"/>
  <c r="C23149" i="1"/>
  <c r="B23149" i="1"/>
  <c r="G23148" i="1"/>
  <c r="C23148" i="1"/>
  <c r="B23148" i="1"/>
  <c r="G23147" i="1"/>
  <c r="B23147" i="1"/>
  <c r="G23146" i="1"/>
  <c r="C23146" i="1"/>
  <c r="B23146" i="1"/>
  <c r="G23145" i="1"/>
  <c r="C23145" i="1"/>
  <c r="B23145" i="1"/>
  <c r="G23144" i="1"/>
  <c r="C23144" i="1"/>
  <c r="B23144" i="1"/>
  <c r="G23143" i="1"/>
  <c r="C23143" i="1"/>
  <c r="B23143" i="1"/>
  <c r="G23142" i="1"/>
  <c r="C23142" i="1"/>
  <c r="B23142" i="1"/>
  <c r="G23141" i="1"/>
  <c r="C23141" i="1"/>
  <c r="B23141" i="1"/>
  <c r="G23140" i="1"/>
  <c r="C23140" i="1"/>
  <c r="B23140" i="1"/>
  <c r="G23139" i="1"/>
  <c r="B23139" i="1"/>
  <c r="G23138" i="1"/>
  <c r="B23138" i="1"/>
  <c r="G23137" i="1"/>
  <c r="B23137" i="1"/>
  <c r="G23136" i="1"/>
  <c r="C23136" i="1"/>
  <c r="B23136" i="1"/>
  <c r="G23135" i="1"/>
  <c r="C23135" i="1"/>
  <c r="B23135" i="1"/>
  <c r="G23134" i="1"/>
  <c r="B23134" i="1"/>
  <c r="G23133" i="1"/>
  <c r="C23133" i="1"/>
  <c r="B23133" i="1"/>
  <c r="G23132" i="1"/>
  <c r="C23132" i="1"/>
  <c r="B23132" i="1"/>
  <c r="G23131" i="1"/>
  <c r="C23131" i="1"/>
  <c r="B23131" i="1"/>
  <c r="G23130" i="1"/>
  <c r="C23130" i="1"/>
  <c r="B23130" i="1"/>
  <c r="G23129" i="1"/>
  <c r="B23129" i="1"/>
  <c r="G23128" i="1"/>
  <c r="B23128" i="1"/>
  <c r="G23127" i="1"/>
  <c r="C23127" i="1"/>
  <c r="B23127" i="1"/>
  <c r="G23126" i="1"/>
  <c r="C23126" i="1"/>
  <c r="B23126" i="1"/>
  <c r="G23125" i="1"/>
  <c r="B23125" i="1"/>
  <c r="G23124" i="1"/>
  <c r="C23124" i="1"/>
  <c r="B23124" i="1"/>
  <c r="G23123" i="1"/>
  <c r="B23123" i="1"/>
  <c r="G23122" i="1"/>
  <c r="C23122" i="1"/>
  <c r="B23122" i="1"/>
  <c r="G23121" i="1"/>
  <c r="C23121" i="1"/>
  <c r="B23121" i="1"/>
  <c r="G23120" i="1"/>
  <c r="C23120" i="1"/>
  <c r="B23120" i="1"/>
  <c r="G23119" i="1"/>
  <c r="C23119" i="1"/>
  <c r="B23119" i="1"/>
  <c r="G23118" i="1"/>
  <c r="B23118" i="1"/>
  <c r="G23117" i="1"/>
  <c r="C23117" i="1"/>
  <c r="B23117" i="1"/>
  <c r="G23116" i="1"/>
  <c r="C23116" i="1"/>
  <c r="B23116" i="1"/>
  <c r="G23115" i="1"/>
  <c r="C23115" i="1"/>
  <c r="B23115" i="1"/>
  <c r="G23114" i="1"/>
  <c r="B23114" i="1"/>
  <c r="G23113" i="1"/>
  <c r="C23113" i="1"/>
  <c r="B23113" i="1"/>
  <c r="G23112" i="1"/>
  <c r="C23112" i="1"/>
  <c r="B23112" i="1"/>
  <c r="G23111" i="1"/>
  <c r="B23111" i="1"/>
  <c r="G23110" i="1"/>
  <c r="B23110" i="1"/>
  <c r="G23109" i="1"/>
  <c r="B23109" i="1"/>
  <c r="G23108" i="1"/>
  <c r="C23108" i="1"/>
  <c r="B23108" i="1"/>
  <c r="G23107" i="1"/>
  <c r="C23107" i="1"/>
  <c r="B23107" i="1"/>
  <c r="G23106" i="1"/>
  <c r="B23106" i="1"/>
  <c r="G23105" i="1"/>
  <c r="C23105" i="1"/>
  <c r="B23105" i="1"/>
  <c r="G23104" i="1"/>
  <c r="B23104" i="1"/>
  <c r="G23103" i="1"/>
  <c r="C23103" i="1"/>
  <c r="B23103" i="1"/>
  <c r="G23102" i="1"/>
  <c r="C23102" i="1"/>
  <c r="B23102" i="1"/>
  <c r="G23101" i="1"/>
  <c r="B23101" i="1"/>
  <c r="G23100" i="1"/>
  <c r="C23100" i="1"/>
  <c r="B23100" i="1"/>
  <c r="G23099" i="1"/>
  <c r="B23099" i="1"/>
  <c r="G23098" i="1"/>
  <c r="C23098" i="1"/>
  <c r="B23098" i="1"/>
  <c r="G23097" i="1"/>
  <c r="C23097" i="1"/>
  <c r="B23097" i="1"/>
  <c r="G23096" i="1"/>
  <c r="B23096" i="1"/>
  <c r="G23095" i="1"/>
  <c r="C23095" i="1"/>
  <c r="B23095" i="1"/>
  <c r="G23094" i="1"/>
  <c r="C23094" i="1"/>
  <c r="B23094" i="1"/>
  <c r="G23093" i="1"/>
  <c r="C23093" i="1"/>
  <c r="B23093" i="1"/>
  <c r="G23092" i="1"/>
  <c r="B23092" i="1"/>
  <c r="G23091" i="1"/>
  <c r="C23091" i="1"/>
  <c r="B23091" i="1"/>
  <c r="G23090" i="1"/>
  <c r="C23090" i="1"/>
  <c r="B23090" i="1"/>
  <c r="G23089" i="1"/>
  <c r="C23089" i="1"/>
  <c r="B23089" i="1"/>
  <c r="G23088" i="1"/>
  <c r="C23088" i="1"/>
  <c r="B23088" i="1"/>
  <c r="G23087" i="1"/>
  <c r="C23087" i="1"/>
  <c r="B23087" i="1"/>
  <c r="G23086" i="1"/>
  <c r="C23086" i="1"/>
  <c r="B23086" i="1"/>
  <c r="G23085" i="1"/>
  <c r="C23085" i="1"/>
  <c r="B23085" i="1"/>
  <c r="G23084" i="1"/>
  <c r="B23084" i="1"/>
  <c r="G23083" i="1"/>
  <c r="C23083" i="1"/>
  <c r="B23083" i="1"/>
  <c r="G23082" i="1"/>
  <c r="C23082" i="1"/>
  <c r="B23082" i="1"/>
  <c r="G23081" i="1"/>
  <c r="C23081" i="1"/>
  <c r="B23081" i="1"/>
  <c r="G23080" i="1"/>
  <c r="C23080" i="1"/>
  <c r="B23080" i="1"/>
  <c r="G23079" i="1"/>
  <c r="C23079" i="1"/>
  <c r="B23079" i="1"/>
  <c r="G23078" i="1"/>
  <c r="B23078" i="1"/>
  <c r="G23077" i="1"/>
  <c r="C23077" i="1"/>
  <c r="B23077" i="1"/>
  <c r="G23076" i="1"/>
  <c r="B23076" i="1"/>
  <c r="G23075" i="1"/>
  <c r="C23075" i="1"/>
  <c r="B23075" i="1"/>
  <c r="G23074" i="1"/>
  <c r="C23074" i="1"/>
  <c r="B23074" i="1"/>
  <c r="G23073" i="1"/>
  <c r="C23073" i="1"/>
  <c r="B23073" i="1"/>
  <c r="G23072" i="1"/>
  <c r="C23072" i="1"/>
  <c r="B23072" i="1"/>
  <c r="G23071" i="1"/>
  <c r="C23071" i="1"/>
  <c r="B23071" i="1"/>
  <c r="G23070" i="1"/>
  <c r="C23070" i="1"/>
  <c r="B23070" i="1"/>
  <c r="G23069" i="1"/>
  <c r="B23069" i="1"/>
  <c r="G23068" i="1"/>
  <c r="C23068" i="1"/>
  <c r="B23068" i="1"/>
  <c r="G23067" i="1"/>
  <c r="C23067" i="1"/>
  <c r="B23067" i="1"/>
  <c r="G23066" i="1"/>
  <c r="C23066" i="1"/>
  <c r="B23066" i="1"/>
  <c r="G23065" i="1"/>
  <c r="B23065" i="1"/>
  <c r="G23064" i="1"/>
  <c r="C23064" i="1"/>
  <c r="B23064" i="1"/>
  <c r="G23063" i="1"/>
  <c r="B23063" i="1"/>
  <c r="G23062" i="1"/>
  <c r="C23062" i="1"/>
  <c r="B23062" i="1"/>
  <c r="G23061" i="1"/>
  <c r="C23061" i="1"/>
  <c r="B23061" i="1"/>
  <c r="G23060" i="1"/>
  <c r="C23060" i="1"/>
  <c r="B23060" i="1"/>
  <c r="G23059" i="1"/>
  <c r="B23059" i="1"/>
  <c r="G23058" i="1"/>
  <c r="C23058" i="1"/>
  <c r="B23058" i="1"/>
  <c r="G23057" i="1"/>
  <c r="B23057" i="1"/>
  <c r="G23056" i="1"/>
  <c r="B23056" i="1"/>
  <c r="G23055" i="1"/>
  <c r="B23055" i="1"/>
  <c r="G23054" i="1"/>
  <c r="C23054" i="1"/>
  <c r="B23054" i="1"/>
  <c r="G23053" i="1"/>
  <c r="C23053" i="1"/>
  <c r="B23053" i="1"/>
  <c r="G23052" i="1"/>
  <c r="C23052" i="1"/>
  <c r="B23052" i="1"/>
  <c r="G23051" i="1"/>
  <c r="C23051" i="1"/>
  <c r="B23051" i="1"/>
  <c r="G23050" i="1"/>
  <c r="C23050" i="1"/>
  <c r="B23050" i="1"/>
  <c r="G23049" i="1"/>
  <c r="B23049" i="1"/>
  <c r="G23048" i="1"/>
  <c r="C23048" i="1"/>
  <c r="B23048" i="1"/>
  <c r="G23047" i="1"/>
  <c r="C23047" i="1"/>
  <c r="B23047" i="1"/>
  <c r="G23046" i="1"/>
  <c r="B23046" i="1"/>
  <c r="G23045" i="1"/>
  <c r="C23045" i="1"/>
  <c r="B23045" i="1"/>
  <c r="G23044" i="1"/>
  <c r="C23044" i="1"/>
  <c r="B23044" i="1"/>
  <c r="G23043" i="1"/>
  <c r="C23043" i="1"/>
  <c r="B23043" i="1"/>
  <c r="G23042" i="1"/>
  <c r="C23042" i="1"/>
  <c r="B23042" i="1"/>
  <c r="G23041" i="1"/>
  <c r="C23041" i="1"/>
  <c r="B23041" i="1"/>
  <c r="G23040" i="1"/>
  <c r="C23040" i="1"/>
  <c r="B23040" i="1"/>
  <c r="G23039" i="1"/>
  <c r="C23039" i="1"/>
  <c r="B23039" i="1"/>
  <c r="G23038" i="1"/>
  <c r="B23038" i="1"/>
  <c r="G23037" i="1"/>
  <c r="B23037" i="1"/>
  <c r="G23036" i="1"/>
  <c r="C23036" i="1"/>
  <c r="B23036" i="1"/>
  <c r="G23035" i="1"/>
  <c r="B23035" i="1"/>
  <c r="G23034" i="1"/>
  <c r="C23034" i="1"/>
  <c r="B23034" i="1"/>
  <c r="G23033" i="1"/>
  <c r="C23033" i="1"/>
  <c r="B23033" i="1"/>
  <c r="G23032" i="1"/>
  <c r="C23032" i="1"/>
  <c r="B23032" i="1"/>
  <c r="G23031" i="1"/>
  <c r="C23031" i="1"/>
  <c r="B23031" i="1"/>
  <c r="G23030" i="1"/>
  <c r="C23030" i="1"/>
  <c r="B23030" i="1"/>
  <c r="G23029" i="1"/>
  <c r="C23029" i="1"/>
  <c r="B23029" i="1"/>
  <c r="G23028" i="1"/>
  <c r="B23028" i="1"/>
  <c r="G23027" i="1"/>
  <c r="C23027" i="1"/>
  <c r="B23027" i="1"/>
  <c r="G23026" i="1"/>
  <c r="C23026" i="1"/>
  <c r="B23026" i="1"/>
  <c r="G23025" i="1"/>
  <c r="C23025" i="1"/>
  <c r="B23025" i="1"/>
  <c r="G23024" i="1"/>
  <c r="C23024" i="1"/>
  <c r="B23024" i="1"/>
  <c r="G23023" i="1"/>
  <c r="C23023" i="1"/>
  <c r="B23023" i="1"/>
  <c r="G23022" i="1"/>
  <c r="C23022" i="1"/>
  <c r="B23022" i="1"/>
  <c r="G23021" i="1"/>
  <c r="C23021" i="1"/>
  <c r="B23021" i="1"/>
  <c r="G23020" i="1"/>
  <c r="B23020" i="1"/>
  <c r="G23019" i="1"/>
  <c r="C23019" i="1"/>
  <c r="B23019" i="1"/>
  <c r="G23018" i="1"/>
  <c r="C23018" i="1"/>
  <c r="B23018" i="1"/>
  <c r="G23017" i="1"/>
  <c r="B23017" i="1"/>
  <c r="G23016" i="1"/>
  <c r="C23016" i="1"/>
  <c r="B23016" i="1"/>
  <c r="G23015" i="1"/>
  <c r="C23015" i="1"/>
  <c r="B23015" i="1"/>
  <c r="G23014" i="1"/>
  <c r="C23014" i="1"/>
  <c r="B23014" i="1"/>
  <c r="G23013" i="1"/>
  <c r="C23013" i="1"/>
  <c r="B23013" i="1"/>
  <c r="G23012" i="1"/>
  <c r="C23012" i="1"/>
  <c r="B23012" i="1"/>
  <c r="G23011" i="1"/>
  <c r="C23011" i="1"/>
  <c r="B23011" i="1"/>
  <c r="G23010" i="1"/>
  <c r="C23010" i="1"/>
  <c r="B23010" i="1"/>
  <c r="G23009" i="1"/>
  <c r="B23009" i="1"/>
  <c r="G23008" i="1"/>
  <c r="C23008" i="1"/>
  <c r="B23008" i="1"/>
  <c r="G23007" i="1"/>
  <c r="C23007" i="1"/>
  <c r="B23007" i="1"/>
  <c r="G23006" i="1"/>
  <c r="C23006" i="1"/>
  <c r="B23006" i="1"/>
  <c r="G23005" i="1"/>
  <c r="C23005" i="1"/>
  <c r="B23005" i="1"/>
  <c r="G23004" i="1"/>
  <c r="B23004" i="1"/>
  <c r="G23003" i="1"/>
  <c r="C23003" i="1"/>
  <c r="B23003" i="1"/>
  <c r="G23002" i="1"/>
  <c r="C23002" i="1"/>
  <c r="B23002" i="1"/>
  <c r="G23001" i="1"/>
  <c r="C23001" i="1"/>
  <c r="B23001" i="1"/>
  <c r="G23000" i="1"/>
  <c r="C23000" i="1"/>
  <c r="B23000" i="1"/>
  <c r="G22999" i="1"/>
  <c r="C22999" i="1"/>
  <c r="B22999" i="1"/>
  <c r="G22998" i="1"/>
  <c r="C22998" i="1"/>
  <c r="B22998" i="1"/>
  <c r="G22997" i="1"/>
  <c r="B22997" i="1"/>
  <c r="G22996" i="1"/>
  <c r="C22996" i="1"/>
  <c r="B22996" i="1"/>
  <c r="G22995" i="1"/>
  <c r="B22995" i="1"/>
  <c r="G22994" i="1"/>
  <c r="C22994" i="1"/>
  <c r="B22994" i="1"/>
  <c r="G22993" i="1"/>
  <c r="C22993" i="1"/>
  <c r="B22993" i="1"/>
  <c r="G22992" i="1"/>
  <c r="C22992" i="1"/>
  <c r="B22992" i="1"/>
  <c r="G22991" i="1"/>
  <c r="C22991" i="1"/>
  <c r="B22991" i="1"/>
  <c r="G22990" i="1"/>
  <c r="C22990" i="1"/>
  <c r="B22990" i="1"/>
  <c r="G22989" i="1"/>
  <c r="C22989" i="1"/>
  <c r="B22989" i="1"/>
  <c r="G22988" i="1"/>
  <c r="C22988" i="1"/>
  <c r="B22988" i="1"/>
  <c r="G22987" i="1"/>
  <c r="C22987" i="1"/>
  <c r="B22987" i="1"/>
  <c r="G22986" i="1"/>
  <c r="C22986" i="1"/>
  <c r="B22986" i="1"/>
  <c r="G22985" i="1"/>
  <c r="C22985" i="1"/>
  <c r="B22985" i="1"/>
  <c r="G22984" i="1"/>
  <c r="C22984" i="1"/>
  <c r="B22984" i="1"/>
  <c r="G22983" i="1"/>
  <c r="B22983" i="1"/>
  <c r="G22982" i="1"/>
  <c r="C22982" i="1"/>
  <c r="B22982" i="1"/>
  <c r="G22981" i="1"/>
  <c r="C22981" i="1"/>
  <c r="B22981" i="1"/>
  <c r="G22980" i="1"/>
  <c r="C22980" i="1"/>
  <c r="B22980" i="1"/>
  <c r="G22979" i="1"/>
  <c r="C22979" i="1"/>
  <c r="B22979" i="1"/>
  <c r="G22978" i="1"/>
  <c r="C22978" i="1"/>
  <c r="B22978" i="1"/>
  <c r="G22977" i="1"/>
  <c r="C22977" i="1"/>
  <c r="B22977" i="1"/>
  <c r="G22976" i="1"/>
  <c r="C22976" i="1"/>
  <c r="B22976" i="1"/>
  <c r="G22975" i="1"/>
  <c r="C22975" i="1"/>
  <c r="B22975" i="1"/>
  <c r="G22974" i="1"/>
  <c r="C22974" i="1"/>
  <c r="B22974" i="1"/>
  <c r="G22973" i="1"/>
  <c r="C22973" i="1"/>
  <c r="B22973" i="1"/>
  <c r="G22972" i="1"/>
  <c r="C22972" i="1"/>
  <c r="B22972" i="1"/>
  <c r="G22971" i="1"/>
  <c r="C22971" i="1"/>
  <c r="B22971" i="1"/>
  <c r="G22970" i="1"/>
  <c r="B22970" i="1"/>
  <c r="G22969" i="1"/>
  <c r="C22969" i="1"/>
  <c r="B22969" i="1"/>
  <c r="G22968" i="1"/>
  <c r="B22968" i="1"/>
  <c r="G22967" i="1"/>
  <c r="C22967" i="1"/>
  <c r="B22967" i="1"/>
  <c r="G22966" i="1"/>
  <c r="B22966" i="1"/>
  <c r="G22965" i="1"/>
  <c r="C22965" i="1"/>
  <c r="B22965" i="1"/>
  <c r="G22964" i="1"/>
  <c r="C22964" i="1"/>
  <c r="B22964" i="1"/>
  <c r="G22963" i="1"/>
  <c r="C22963" i="1"/>
  <c r="B22963" i="1"/>
  <c r="G22962" i="1"/>
  <c r="C22962" i="1"/>
  <c r="B22962" i="1"/>
  <c r="G22961" i="1"/>
  <c r="C22961" i="1"/>
  <c r="B22961" i="1"/>
  <c r="G22960" i="1"/>
  <c r="C22960" i="1"/>
  <c r="B22960" i="1"/>
  <c r="G22959" i="1"/>
  <c r="C22959" i="1"/>
  <c r="B22959" i="1"/>
  <c r="G22958" i="1"/>
  <c r="B22958" i="1"/>
  <c r="G22957" i="1"/>
  <c r="C22957" i="1"/>
  <c r="B22957" i="1"/>
  <c r="G22956" i="1"/>
  <c r="C22956" i="1"/>
  <c r="B22956" i="1"/>
  <c r="G22955" i="1"/>
  <c r="C22955" i="1"/>
  <c r="B22955" i="1"/>
  <c r="G22954" i="1"/>
  <c r="C22954" i="1"/>
  <c r="B22954" i="1"/>
  <c r="G22953" i="1"/>
  <c r="B22953" i="1"/>
  <c r="G22952" i="1"/>
  <c r="C22952" i="1"/>
  <c r="B22952" i="1"/>
  <c r="G22951" i="1"/>
  <c r="B22951" i="1"/>
  <c r="G22950" i="1"/>
  <c r="C22950" i="1"/>
  <c r="B22950" i="1"/>
  <c r="G22949" i="1"/>
  <c r="B22949" i="1"/>
  <c r="G22948" i="1"/>
  <c r="C22948" i="1"/>
  <c r="B22948" i="1"/>
  <c r="G22947" i="1"/>
  <c r="C22947" i="1"/>
  <c r="B22947" i="1"/>
  <c r="G22946" i="1"/>
  <c r="C22946" i="1"/>
  <c r="B22946" i="1"/>
  <c r="G22945" i="1"/>
  <c r="B22945" i="1"/>
  <c r="G22944" i="1"/>
  <c r="B22944" i="1"/>
  <c r="G22943" i="1"/>
  <c r="C22943" i="1"/>
  <c r="B22943" i="1"/>
  <c r="G22942" i="1"/>
  <c r="C22942" i="1"/>
  <c r="B22942" i="1"/>
  <c r="G22941" i="1"/>
  <c r="C22941" i="1"/>
  <c r="B22941" i="1"/>
  <c r="G22940" i="1"/>
  <c r="C22940" i="1"/>
  <c r="B22940" i="1"/>
  <c r="G22939" i="1"/>
  <c r="B22939" i="1"/>
  <c r="G22938" i="1"/>
  <c r="B22938" i="1"/>
  <c r="G22937" i="1"/>
  <c r="C22937" i="1"/>
  <c r="B22937" i="1"/>
  <c r="G22936" i="1"/>
  <c r="C22936" i="1"/>
  <c r="B22936" i="1"/>
  <c r="G22935" i="1"/>
  <c r="C22935" i="1"/>
  <c r="B22935" i="1"/>
  <c r="G22934" i="1"/>
  <c r="B22934" i="1"/>
  <c r="G22933" i="1"/>
  <c r="C22933" i="1"/>
  <c r="B22933" i="1"/>
  <c r="G22932" i="1"/>
  <c r="C22932" i="1"/>
  <c r="B22932" i="1"/>
  <c r="G22931" i="1"/>
  <c r="C22931" i="1"/>
  <c r="B22931" i="1"/>
  <c r="G22930" i="1"/>
  <c r="C22930" i="1"/>
  <c r="B22930" i="1"/>
  <c r="G22929" i="1"/>
  <c r="B22929" i="1"/>
  <c r="G22928" i="1"/>
  <c r="B22928" i="1"/>
  <c r="G22927" i="1"/>
  <c r="C22927" i="1"/>
  <c r="B22927" i="1"/>
  <c r="G22926" i="1"/>
  <c r="C22926" i="1"/>
  <c r="B22926" i="1"/>
  <c r="G22925" i="1"/>
  <c r="C22925" i="1"/>
  <c r="B22925" i="1"/>
  <c r="G22924" i="1"/>
  <c r="C22924" i="1"/>
  <c r="B22924" i="1"/>
  <c r="G22923" i="1"/>
  <c r="C22923" i="1"/>
  <c r="B22923" i="1"/>
  <c r="G22922" i="1"/>
  <c r="B22922" i="1"/>
  <c r="G22921" i="1"/>
  <c r="B22921" i="1"/>
  <c r="G22920" i="1"/>
  <c r="C22920" i="1"/>
  <c r="B22920" i="1"/>
  <c r="G22919" i="1"/>
  <c r="B22919" i="1"/>
  <c r="G22918" i="1"/>
  <c r="B22918" i="1"/>
  <c r="G22917" i="1"/>
  <c r="C22917" i="1"/>
  <c r="B22917" i="1"/>
  <c r="G22916" i="1"/>
  <c r="C22916" i="1"/>
  <c r="B22916" i="1"/>
  <c r="G22915" i="1"/>
  <c r="C22915" i="1"/>
  <c r="B22915" i="1"/>
  <c r="G22914" i="1"/>
  <c r="C22914" i="1"/>
  <c r="B22914" i="1"/>
  <c r="G22913" i="1"/>
  <c r="B22913" i="1"/>
  <c r="G22912" i="1"/>
  <c r="C22912" i="1"/>
  <c r="B22912" i="1"/>
  <c r="G22911" i="1"/>
  <c r="C22911" i="1"/>
  <c r="B22911" i="1"/>
  <c r="G22910" i="1"/>
  <c r="B22910" i="1"/>
  <c r="G22909" i="1"/>
  <c r="B22909" i="1"/>
  <c r="G22908" i="1"/>
  <c r="C22908" i="1"/>
  <c r="B22908" i="1"/>
  <c r="G22907" i="1"/>
  <c r="B22907" i="1"/>
  <c r="G22906" i="1"/>
  <c r="C22906" i="1"/>
  <c r="B22906" i="1"/>
  <c r="G22905" i="1"/>
  <c r="C22905" i="1"/>
  <c r="B22905" i="1"/>
  <c r="G22904" i="1"/>
  <c r="C22904" i="1"/>
  <c r="B22904" i="1"/>
  <c r="G22903" i="1"/>
  <c r="C22903" i="1"/>
  <c r="B22903" i="1"/>
  <c r="G22902" i="1"/>
  <c r="C22902" i="1"/>
  <c r="B22902" i="1"/>
  <c r="G22901" i="1"/>
  <c r="B22901" i="1"/>
  <c r="G22900" i="1"/>
  <c r="C22900" i="1"/>
  <c r="B22900" i="1"/>
  <c r="G22899" i="1"/>
  <c r="B22899" i="1"/>
  <c r="G22898" i="1"/>
  <c r="C22898" i="1"/>
  <c r="B22898" i="1"/>
  <c r="G22897" i="1"/>
  <c r="B22897" i="1"/>
  <c r="G22896" i="1"/>
  <c r="B22896" i="1"/>
  <c r="G22895" i="1"/>
  <c r="B22895" i="1"/>
  <c r="G22894" i="1"/>
  <c r="B22894" i="1"/>
  <c r="G22893" i="1"/>
  <c r="C22893" i="1"/>
  <c r="B22893" i="1"/>
  <c r="G22892" i="1"/>
  <c r="B22892" i="1"/>
  <c r="G22891" i="1"/>
  <c r="C22891" i="1"/>
  <c r="B22891" i="1"/>
  <c r="G22890" i="1"/>
  <c r="B22890" i="1"/>
  <c r="G22889" i="1"/>
  <c r="C22889" i="1"/>
  <c r="B22889" i="1"/>
  <c r="G22888" i="1"/>
  <c r="C22888" i="1"/>
  <c r="B22888" i="1"/>
  <c r="G22887" i="1"/>
  <c r="C22887" i="1"/>
  <c r="B22887" i="1"/>
  <c r="G22886" i="1"/>
  <c r="B22886" i="1"/>
  <c r="G22885" i="1"/>
  <c r="C22885" i="1"/>
  <c r="B22885" i="1"/>
  <c r="G22884" i="1"/>
  <c r="B22884" i="1"/>
  <c r="G22883" i="1"/>
  <c r="C22883" i="1"/>
  <c r="B22883" i="1"/>
  <c r="G22882" i="1"/>
  <c r="B22882" i="1"/>
  <c r="G22881" i="1"/>
  <c r="C22881" i="1"/>
  <c r="B22881" i="1"/>
  <c r="G22880" i="1"/>
  <c r="B22880" i="1"/>
  <c r="G22879" i="1"/>
  <c r="C22879" i="1"/>
  <c r="B22879" i="1"/>
  <c r="G22878" i="1"/>
  <c r="C22878" i="1"/>
  <c r="B22878" i="1"/>
  <c r="G22877" i="1"/>
  <c r="C22877" i="1"/>
  <c r="B22877" i="1"/>
  <c r="G22876" i="1"/>
  <c r="C22876" i="1"/>
  <c r="B22876" i="1"/>
  <c r="G22875" i="1"/>
  <c r="C22875" i="1"/>
  <c r="B22875" i="1"/>
  <c r="G22874" i="1"/>
  <c r="B22874" i="1"/>
  <c r="G22873" i="1"/>
  <c r="C22873" i="1"/>
  <c r="B22873" i="1"/>
  <c r="G22872" i="1"/>
  <c r="B22872" i="1"/>
  <c r="G22871" i="1"/>
  <c r="B22871" i="1"/>
  <c r="G22870" i="1"/>
  <c r="C22870" i="1"/>
  <c r="B22870" i="1"/>
  <c r="G22869" i="1"/>
  <c r="B22869" i="1"/>
  <c r="G22868" i="1"/>
  <c r="C22868" i="1"/>
  <c r="B22868" i="1"/>
  <c r="G22867" i="1"/>
  <c r="B22867" i="1"/>
  <c r="G22866" i="1"/>
  <c r="C22866" i="1"/>
  <c r="B22866" i="1"/>
  <c r="G22865" i="1"/>
  <c r="C22865" i="1"/>
  <c r="B22865" i="1"/>
  <c r="G22864" i="1"/>
  <c r="B22864" i="1"/>
  <c r="G22863" i="1"/>
  <c r="C22863" i="1"/>
  <c r="B22863" i="1"/>
  <c r="G22862" i="1"/>
  <c r="C22862" i="1"/>
  <c r="B22862" i="1"/>
  <c r="G22861" i="1"/>
  <c r="B22861" i="1"/>
  <c r="G22860" i="1"/>
  <c r="B22860" i="1"/>
  <c r="G22859" i="1"/>
  <c r="B22859" i="1"/>
  <c r="G22858" i="1"/>
  <c r="C22858" i="1"/>
  <c r="B22858" i="1"/>
  <c r="G22857" i="1"/>
  <c r="C22857" i="1"/>
  <c r="B22857" i="1"/>
  <c r="G22856" i="1"/>
  <c r="C22856" i="1"/>
  <c r="B22856" i="1"/>
  <c r="G22855" i="1"/>
  <c r="B22855" i="1"/>
  <c r="G22854" i="1"/>
  <c r="B22854" i="1"/>
  <c r="G22853" i="1"/>
  <c r="C22853" i="1"/>
  <c r="B22853" i="1"/>
  <c r="G22852" i="1"/>
  <c r="B22852" i="1"/>
  <c r="G22851" i="1"/>
  <c r="C22851" i="1"/>
  <c r="B22851" i="1"/>
  <c r="G22850" i="1"/>
  <c r="C22850" i="1"/>
  <c r="B22850" i="1"/>
  <c r="G22849" i="1"/>
  <c r="C22849" i="1"/>
  <c r="B22849" i="1"/>
  <c r="G22848" i="1"/>
  <c r="C22848" i="1"/>
  <c r="B22848" i="1"/>
  <c r="G22847" i="1"/>
  <c r="C22847" i="1"/>
  <c r="B22847" i="1"/>
  <c r="G22846" i="1"/>
  <c r="C22846" i="1"/>
  <c r="B22846" i="1"/>
  <c r="G22845" i="1"/>
  <c r="B22845" i="1"/>
  <c r="G22844" i="1"/>
  <c r="C22844" i="1"/>
  <c r="B22844" i="1"/>
  <c r="G22843" i="1"/>
  <c r="C22843" i="1"/>
  <c r="B22843" i="1"/>
  <c r="G22842" i="1"/>
  <c r="C22842" i="1"/>
  <c r="B22842" i="1"/>
  <c r="G22841" i="1"/>
  <c r="C22841" i="1"/>
  <c r="B22841" i="1"/>
  <c r="G22840" i="1"/>
  <c r="C22840" i="1"/>
  <c r="B22840" i="1"/>
  <c r="G22839" i="1"/>
  <c r="B22839" i="1"/>
  <c r="G22838" i="1"/>
  <c r="C22838" i="1"/>
  <c r="B22838" i="1"/>
  <c r="G22837" i="1"/>
  <c r="B22837" i="1"/>
  <c r="G22836" i="1"/>
  <c r="C22836" i="1"/>
  <c r="B22836" i="1"/>
  <c r="G22835" i="1"/>
  <c r="B22835" i="1"/>
  <c r="G22834" i="1"/>
  <c r="C22834" i="1"/>
  <c r="B22834" i="1"/>
  <c r="G22833" i="1"/>
  <c r="C22833" i="1"/>
  <c r="B22833" i="1"/>
  <c r="G22832" i="1"/>
  <c r="C22832" i="1"/>
  <c r="B22832" i="1"/>
  <c r="G22831" i="1"/>
  <c r="C22831" i="1"/>
  <c r="B22831" i="1"/>
  <c r="G22830" i="1"/>
  <c r="B22830" i="1"/>
  <c r="G22829" i="1"/>
  <c r="C22829" i="1"/>
  <c r="B22829" i="1"/>
  <c r="G22828" i="1"/>
  <c r="C22828" i="1"/>
  <c r="B22828" i="1"/>
  <c r="G22827" i="1"/>
  <c r="C22827" i="1"/>
  <c r="B22827" i="1"/>
  <c r="G22826" i="1"/>
  <c r="C22826" i="1"/>
  <c r="B22826" i="1"/>
  <c r="G22825" i="1"/>
  <c r="B22825" i="1"/>
  <c r="G22824" i="1"/>
  <c r="B22824" i="1"/>
  <c r="G22823" i="1"/>
  <c r="C22823" i="1"/>
  <c r="B22823" i="1"/>
  <c r="G22822" i="1"/>
  <c r="C22822" i="1"/>
  <c r="B22822" i="1"/>
  <c r="G22821" i="1"/>
  <c r="C22821" i="1"/>
  <c r="B22821" i="1"/>
  <c r="G22820" i="1"/>
  <c r="B22820" i="1"/>
  <c r="G22819" i="1"/>
  <c r="C22819" i="1"/>
  <c r="B22819" i="1"/>
  <c r="G22818" i="1"/>
  <c r="C22818" i="1"/>
  <c r="B22818" i="1"/>
  <c r="G22817" i="1"/>
  <c r="C22817" i="1"/>
  <c r="B22817" i="1"/>
  <c r="G22816" i="1"/>
  <c r="B22816" i="1"/>
  <c r="G22815" i="1"/>
  <c r="B22815" i="1"/>
  <c r="G22814" i="1"/>
  <c r="C22814" i="1"/>
  <c r="B22814" i="1"/>
  <c r="G22813" i="1"/>
  <c r="C22813" i="1"/>
  <c r="B22813" i="1"/>
  <c r="G22812" i="1"/>
  <c r="C22812" i="1"/>
  <c r="B22812" i="1"/>
  <c r="G22811" i="1"/>
  <c r="B22811" i="1"/>
  <c r="G22810" i="1"/>
  <c r="C22810" i="1"/>
  <c r="B22810" i="1"/>
  <c r="G22809" i="1"/>
  <c r="C22809" i="1"/>
  <c r="B22809" i="1"/>
  <c r="G22808" i="1"/>
  <c r="C22808" i="1"/>
  <c r="B22808" i="1"/>
  <c r="G22807" i="1"/>
  <c r="C22807" i="1"/>
  <c r="B22807" i="1"/>
  <c r="G22806" i="1"/>
  <c r="C22806" i="1"/>
  <c r="B22806" i="1"/>
  <c r="G22805" i="1"/>
  <c r="C22805" i="1"/>
  <c r="B22805" i="1"/>
  <c r="G22804" i="1"/>
  <c r="B22804" i="1"/>
  <c r="G22803" i="1"/>
  <c r="B22803" i="1"/>
  <c r="G22802" i="1"/>
  <c r="C22802" i="1"/>
  <c r="B22802" i="1"/>
  <c r="G22801" i="1"/>
  <c r="C22801" i="1"/>
  <c r="B22801" i="1"/>
  <c r="G22800" i="1"/>
  <c r="B22800" i="1"/>
  <c r="G22799" i="1"/>
  <c r="B22799" i="1"/>
  <c r="G22798" i="1"/>
  <c r="C22798" i="1"/>
  <c r="B22798" i="1"/>
  <c r="G22797" i="1"/>
  <c r="B22797" i="1"/>
  <c r="G22796" i="1"/>
  <c r="C22796" i="1"/>
  <c r="B22796" i="1"/>
  <c r="G22795" i="1"/>
  <c r="B22795" i="1"/>
  <c r="G22794" i="1"/>
  <c r="C22794" i="1"/>
  <c r="B22794" i="1"/>
  <c r="G22793" i="1"/>
  <c r="C22793" i="1"/>
  <c r="B22793" i="1"/>
  <c r="G22792" i="1"/>
  <c r="C22792" i="1"/>
  <c r="B22792" i="1"/>
  <c r="G22791" i="1"/>
  <c r="B22791" i="1"/>
  <c r="G22790" i="1"/>
  <c r="C22790" i="1"/>
  <c r="B22790" i="1"/>
  <c r="G22789" i="1"/>
  <c r="C22789" i="1"/>
  <c r="B22789" i="1"/>
  <c r="G22788" i="1"/>
  <c r="C22788" i="1"/>
  <c r="B22788" i="1"/>
  <c r="G22787" i="1"/>
  <c r="C22787" i="1"/>
  <c r="B22787" i="1"/>
  <c r="G22786" i="1"/>
  <c r="C22786" i="1"/>
  <c r="B22786" i="1"/>
  <c r="G22785" i="1"/>
  <c r="B22785" i="1"/>
  <c r="G22784" i="1"/>
  <c r="C22784" i="1"/>
  <c r="B22784" i="1"/>
  <c r="G22783" i="1"/>
  <c r="C22783" i="1"/>
  <c r="B22783" i="1"/>
  <c r="G22782" i="1"/>
  <c r="C22782" i="1"/>
  <c r="B22782" i="1"/>
  <c r="G22781" i="1"/>
  <c r="C22781" i="1"/>
  <c r="B22781" i="1"/>
  <c r="G22780" i="1"/>
  <c r="B22780" i="1"/>
  <c r="G22779" i="1"/>
  <c r="C22779" i="1"/>
  <c r="B22779" i="1"/>
  <c r="G22778" i="1"/>
  <c r="B22778" i="1"/>
  <c r="G22777" i="1"/>
  <c r="C22777" i="1"/>
  <c r="B22777" i="1"/>
  <c r="G22776" i="1"/>
  <c r="C22776" i="1"/>
  <c r="B22776" i="1"/>
  <c r="G22775" i="1"/>
  <c r="C22775" i="1"/>
  <c r="B22775" i="1"/>
  <c r="G22774" i="1"/>
  <c r="B22774" i="1"/>
  <c r="G22773" i="1"/>
  <c r="C22773" i="1"/>
  <c r="B22773" i="1"/>
  <c r="G22772" i="1"/>
  <c r="C22772" i="1"/>
  <c r="B22772" i="1"/>
  <c r="G22771" i="1"/>
  <c r="C22771" i="1"/>
  <c r="B22771" i="1"/>
  <c r="G22770" i="1"/>
  <c r="C22770" i="1"/>
  <c r="B22770" i="1"/>
  <c r="G22769" i="1"/>
  <c r="B22769" i="1"/>
  <c r="G22768" i="1"/>
  <c r="B22768" i="1"/>
  <c r="G22767" i="1"/>
  <c r="C22767" i="1"/>
  <c r="B22767" i="1"/>
  <c r="G22766" i="1"/>
  <c r="B22766" i="1"/>
  <c r="G22765" i="1"/>
  <c r="C22765" i="1"/>
  <c r="B22765" i="1"/>
  <c r="G22764" i="1"/>
  <c r="C22764" i="1"/>
  <c r="B22764" i="1"/>
  <c r="G22763" i="1"/>
  <c r="C22763" i="1"/>
  <c r="B22763" i="1"/>
  <c r="G22762" i="1"/>
  <c r="B22762" i="1"/>
  <c r="G22761" i="1"/>
  <c r="C22761" i="1"/>
  <c r="B22761" i="1"/>
  <c r="G22760" i="1"/>
  <c r="B22760" i="1"/>
  <c r="G22759" i="1"/>
  <c r="C22759" i="1"/>
  <c r="B22759" i="1"/>
  <c r="G22758" i="1"/>
  <c r="C22758" i="1"/>
  <c r="B22758" i="1"/>
  <c r="G22757" i="1"/>
  <c r="C22757" i="1"/>
  <c r="B22757" i="1"/>
  <c r="G22756" i="1"/>
  <c r="C22756" i="1"/>
  <c r="B22756" i="1"/>
  <c r="G22755" i="1"/>
  <c r="B22755" i="1"/>
  <c r="G22754" i="1"/>
  <c r="C22754" i="1"/>
  <c r="B22754" i="1"/>
  <c r="G22753" i="1"/>
  <c r="C22753" i="1"/>
  <c r="B22753" i="1"/>
  <c r="G22752" i="1"/>
  <c r="B22752" i="1"/>
  <c r="G22751" i="1"/>
  <c r="B22751" i="1"/>
  <c r="G22750" i="1"/>
  <c r="C22750" i="1"/>
  <c r="B22750" i="1"/>
  <c r="G22749" i="1"/>
  <c r="C22749" i="1"/>
  <c r="B22749" i="1"/>
  <c r="G22748" i="1"/>
  <c r="B22748" i="1"/>
  <c r="G22747" i="1"/>
  <c r="C22747" i="1"/>
  <c r="B22747" i="1"/>
  <c r="G22746" i="1"/>
  <c r="C22746" i="1"/>
  <c r="B22746" i="1"/>
  <c r="G22745" i="1"/>
  <c r="C22745" i="1"/>
  <c r="B22745" i="1"/>
  <c r="G22744" i="1"/>
  <c r="C22744" i="1"/>
  <c r="B22744" i="1"/>
  <c r="G22743" i="1"/>
  <c r="B22743" i="1"/>
  <c r="G22742" i="1"/>
  <c r="B22742" i="1"/>
  <c r="G22741" i="1"/>
  <c r="C22741" i="1"/>
  <c r="B22741" i="1"/>
  <c r="G22740" i="1"/>
  <c r="C22740" i="1"/>
  <c r="B22740" i="1"/>
  <c r="G22739" i="1"/>
  <c r="B22739" i="1"/>
  <c r="G22738" i="1"/>
  <c r="C22738" i="1"/>
  <c r="B22738" i="1"/>
  <c r="G22737" i="1"/>
  <c r="C22737" i="1"/>
  <c r="B22737" i="1"/>
  <c r="G22736" i="1"/>
  <c r="C22736" i="1"/>
  <c r="B22736" i="1"/>
  <c r="G22735" i="1"/>
  <c r="B22735" i="1"/>
  <c r="G22734" i="1"/>
  <c r="C22734" i="1"/>
  <c r="B22734" i="1"/>
  <c r="G22733" i="1"/>
  <c r="B22733" i="1"/>
  <c r="G22732" i="1"/>
  <c r="C22732" i="1"/>
  <c r="B22732" i="1"/>
  <c r="G22731" i="1"/>
  <c r="C22731" i="1"/>
  <c r="B22731" i="1"/>
  <c r="G22730" i="1"/>
  <c r="C22730" i="1"/>
  <c r="B22730" i="1"/>
  <c r="G22729" i="1"/>
  <c r="C22729" i="1"/>
  <c r="B22729" i="1"/>
  <c r="G22728" i="1"/>
  <c r="C22728" i="1"/>
  <c r="B22728" i="1"/>
  <c r="G22727" i="1"/>
  <c r="B22727" i="1"/>
  <c r="G22726" i="1"/>
  <c r="B22726" i="1"/>
  <c r="G22725" i="1"/>
  <c r="B22725" i="1"/>
  <c r="G22724" i="1"/>
  <c r="C22724" i="1"/>
  <c r="B22724" i="1"/>
  <c r="G22723" i="1"/>
  <c r="C22723" i="1"/>
  <c r="B22723" i="1"/>
  <c r="G22722" i="1"/>
  <c r="B22722" i="1"/>
  <c r="G22721" i="1"/>
  <c r="C22721" i="1"/>
  <c r="B22721" i="1"/>
  <c r="G22720" i="1"/>
  <c r="C22720" i="1"/>
  <c r="B22720" i="1"/>
  <c r="G22719" i="1"/>
  <c r="C22719" i="1"/>
  <c r="B22719" i="1"/>
  <c r="G22718" i="1"/>
  <c r="B22718" i="1"/>
  <c r="G22717" i="1"/>
  <c r="C22717" i="1"/>
  <c r="B22717" i="1"/>
  <c r="G22716" i="1"/>
  <c r="C22716" i="1"/>
  <c r="B22716" i="1"/>
  <c r="G22715" i="1"/>
  <c r="C22715" i="1"/>
  <c r="B22715" i="1"/>
  <c r="G22714" i="1"/>
  <c r="B22714" i="1"/>
  <c r="G22713" i="1"/>
  <c r="B22713" i="1"/>
  <c r="G22712" i="1"/>
  <c r="C22712" i="1"/>
  <c r="B22712" i="1"/>
  <c r="G22711" i="1"/>
  <c r="B22711" i="1"/>
  <c r="G22710" i="1"/>
  <c r="C22710" i="1"/>
  <c r="B22710" i="1"/>
  <c r="G22709" i="1"/>
  <c r="C22709" i="1"/>
  <c r="B22709" i="1"/>
  <c r="G22708" i="1"/>
  <c r="C22708" i="1"/>
  <c r="B22708" i="1"/>
  <c r="G22707" i="1"/>
  <c r="C22707" i="1"/>
  <c r="B22707" i="1"/>
  <c r="G22706" i="1"/>
  <c r="C22706" i="1"/>
  <c r="B22706" i="1"/>
  <c r="G22705" i="1"/>
  <c r="C22705" i="1"/>
  <c r="B22705" i="1"/>
  <c r="G22704" i="1"/>
  <c r="B22704" i="1"/>
  <c r="G22703" i="1"/>
  <c r="C22703" i="1"/>
  <c r="B22703" i="1"/>
  <c r="G22702" i="1"/>
  <c r="C22702" i="1"/>
  <c r="B22702" i="1"/>
  <c r="G22701" i="1"/>
  <c r="C22701" i="1"/>
  <c r="B22701" i="1"/>
  <c r="G22700" i="1"/>
  <c r="C22700" i="1"/>
  <c r="B22700" i="1"/>
  <c r="G22699" i="1"/>
  <c r="C22699" i="1"/>
  <c r="B22699" i="1"/>
  <c r="G22698" i="1"/>
  <c r="C22698" i="1"/>
  <c r="B22698" i="1"/>
  <c r="G22697" i="1"/>
  <c r="C22697" i="1"/>
  <c r="B22697" i="1"/>
  <c r="G22696" i="1"/>
  <c r="C22696" i="1"/>
  <c r="B22696" i="1"/>
  <c r="G22695" i="1"/>
  <c r="C22695" i="1"/>
  <c r="B22695" i="1"/>
  <c r="G22694" i="1"/>
  <c r="C22694" i="1"/>
  <c r="B22694" i="1"/>
  <c r="G22693" i="1"/>
  <c r="C22693" i="1"/>
  <c r="B22693" i="1"/>
  <c r="G22692" i="1"/>
  <c r="C22692" i="1"/>
  <c r="B22692" i="1"/>
  <c r="G22691" i="1"/>
  <c r="B22691" i="1"/>
  <c r="G22690" i="1"/>
  <c r="C22690" i="1"/>
  <c r="B22690" i="1"/>
  <c r="G22689" i="1"/>
  <c r="C22689" i="1"/>
  <c r="B22689" i="1"/>
  <c r="G22688" i="1"/>
  <c r="B22688" i="1"/>
  <c r="G22687" i="1"/>
  <c r="C22687" i="1"/>
  <c r="B22687" i="1"/>
  <c r="G22686" i="1"/>
  <c r="C22686" i="1"/>
  <c r="B22686" i="1"/>
  <c r="G22685" i="1"/>
  <c r="C22685" i="1"/>
  <c r="B22685" i="1"/>
  <c r="G22684" i="1"/>
  <c r="C22684" i="1"/>
  <c r="B22684" i="1"/>
  <c r="G22683" i="1"/>
  <c r="B22683" i="1"/>
  <c r="G22682" i="1"/>
  <c r="C22682" i="1"/>
  <c r="B22682" i="1"/>
  <c r="G22681" i="1"/>
  <c r="B22681" i="1"/>
  <c r="G22680" i="1"/>
  <c r="C22680" i="1"/>
  <c r="B22680" i="1"/>
  <c r="G22679" i="1"/>
  <c r="C22679" i="1"/>
  <c r="B22679" i="1"/>
  <c r="G22678" i="1"/>
  <c r="B22678" i="1"/>
  <c r="G22677" i="1"/>
  <c r="C22677" i="1"/>
  <c r="B22677" i="1"/>
  <c r="G22676" i="1"/>
  <c r="C22676" i="1"/>
  <c r="B22676" i="1"/>
  <c r="G22675" i="1"/>
  <c r="C22675" i="1"/>
  <c r="B22675" i="1"/>
  <c r="G22674" i="1"/>
  <c r="C22674" i="1"/>
  <c r="B22674" i="1"/>
  <c r="G22673" i="1"/>
  <c r="C22673" i="1"/>
  <c r="B22673" i="1"/>
  <c r="G22672" i="1"/>
  <c r="B22672" i="1"/>
  <c r="G22671" i="1"/>
  <c r="B22671" i="1"/>
  <c r="G22670" i="1"/>
  <c r="B22670" i="1"/>
  <c r="G22669" i="1"/>
  <c r="C22669" i="1"/>
  <c r="B22669" i="1"/>
  <c r="G22668" i="1"/>
  <c r="C22668" i="1"/>
  <c r="B22668" i="1"/>
  <c r="G22667" i="1"/>
  <c r="B22667" i="1"/>
  <c r="G22666" i="1"/>
  <c r="B22666" i="1"/>
  <c r="G22665" i="1"/>
  <c r="C22665" i="1"/>
  <c r="B22665" i="1"/>
  <c r="G22664" i="1"/>
  <c r="C22664" i="1"/>
  <c r="B22664" i="1"/>
  <c r="G22663" i="1"/>
  <c r="C22663" i="1"/>
  <c r="B22663" i="1"/>
  <c r="G22662" i="1"/>
  <c r="B22662" i="1"/>
  <c r="G22661" i="1"/>
  <c r="B22661" i="1"/>
  <c r="G22660" i="1"/>
  <c r="C22660" i="1"/>
  <c r="B22660" i="1"/>
  <c r="G22659" i="1"/>
  <c r="C22659" i="1"/>
  <c r="B22659" i="1"/>
  <c r="G22658" i="1"/>
  <c r="C22658" i="1"/>
  <c r="B22658" i="1"/>
  <c r="G22657" i="1"/>
  <c r="B22657" i="1"/>
  <c r="G22656" i="1"/>
  <c r="B22656" i="1"/>
  <c r="G22655" i="1"/>
  <c r="B22655" i="1"/>
  <c r="G22654" i="1"/>
  <c r="B22654" i="1"/>
  <c r="G22653" i="1"/>
  <c r="B22653" i="1"/>
  <c r="G22652" i="1"/>
  <c r="C22652" i="1"/>
  <c r="B22652" i="1"/>
  <c r="G22651" i="1"/>
  <c r="B22651" i="1"/>
  <c r="G22650" i="1"/>
  <c r="C22650" i="1"/>
  <c r="B22650" i="1"/>
  <c r="G22649" i="1"/>
  <c r="B22649" i="1"/>
  <c r="G22648" i="1"/>
  <c r="C22648" i="1"/>
  <c r="B22648" i="1"/>
  <c r="G22647" i="1"/>
  <c r="C22647" i="1"/>
  <c r="B22647" i="1"/>
  <c r="G22646" i="1"/>
  <c r="C22646" i="1"/>
  <c r="B22646" i="1"/>
  <c r="G22645" i="1"/>
  <c r="C22645" i="1"/>
  <c r="B22645" i="1"/>
  <c r="G22644" i="1"/>
  <c r="C22644" i="1"/>
  <c r="B22644" i="1"/>
  <c r="G22643" i="1"/>
  <c r="C22643" i="1"/>
  <c r="B22643" i="1"/>
  <c r="G22642" i="1"/>
  <c r="C22642" i="1"/>
  <c r="B22642" i="1"/>
  <c r="G22641" i="1"/>
  <c r="C22641" i="1"/>
  <c r="B22641" i="1"/>
  <c r="G22640" i="1"/>
  <c r="C22640" i="1"/>
  <c r="B22640" i="1"/>
  <c r="G22639" i="1"/>
  <c r="C22639" i="1"/>
  <c r="B22639" i="1"/>
  <c r="G22638" i="1"/>
  <c r="C22638" i="1"/>
  <c r="B22638" i="1"/>
  <c r="G22637" i="1"/>
  <c r="B22637" i="1"/>
  <c r="G22636" i="1"/>
  <c r="C22636" i="1"/>
  <c r="B22636" i="1"/>
  <c r="G22635" i="1"/>
  <c r="C22635" i="1"/>
  <c r="B22635" i="1"/>
  <c r="G22634" i="1"/>
  <c r="C22634" i="1"/>
  <c r="B22634" i="1"/>
  <c r="G22633" i="1"/>
  <c r="B22633" i="1"/>
  <c r="G22632" i="1"/>
  <c r="C22632" i="1"/>
  <c r="B22632" i="1"/>
  <c r="G22631" i="1"/>
  <c r="C22631" i="1"/>
  <c r="B22631" i="1"/>
  <c r="G22630" i="1"/>
  <c r="B22630" i="1"/>
  <c r="G22629" i="1"/>
  <c r="C22629" i="1"/>
  <c r="B22629" i="1"/>
  <c r="G22628" i="1"/>
  <c r="C22628" i="1"/>
  <c r="B22628" i="1"/>
  <c r="G22627" i="1"/>
  <c r="C22627" i="1"/>
  <c r="B22627" i="1"/>
  <c r="G22626" i="1"/>
  <c r="B22626" i="1"/>
  <c r="G22625" i="1"/>
  <c r="C22625" i="1"/>
  <c r="B22625" i="1"/>
  <c r="G22624" i="1"/>
  <c r="B22624" i="1"/>
  <c r="G22623" i="1"/>
  <c r="B22623" i="1"/>
  <c r="G22622" i="1"/>
  <c r="B22622" i="1"/>
  <c r="G22621" i="1"/>
  <c r="C22621" i="1"/>
  <c r="B22621" i="1"/>
  <c r="G22620" i="1"/>
  <c r="B22620" i="1"/>
  <c r="G22619" i="1"/>
  <c r="C22619" i="1"/>
  <c r="B22619" i="1"/>
  <c r="G22618" i="1"/>
  <c r="C22618" i="1"/>
  <c r="B22618" i="1"/>
  <c r="G22617" i="1"/>
  <c r="C22617" i="1"/>
  <c r="B22617" i="1"/>
  <c r="G22616" i="1"/>
  <c r="B22616" i="1"/>
  <c r="G22615" i="1"/>
  <c r="C22615" i="1"/>
  <c r="B22615" i="1"/>
  <c r="G22614" i="1"/>
  <c r="C22614" i="1"/>
  <c r="B22614" i="1"/>
  <c r="G22613" i="1"/>
  <c r="C22613" i="1"/>
  <c r="B22613" i="1"/>
  <c r="G22612" i="1"/>
  <c r="C22612" i="1"/>
  <c r="B22612" i="1"/>
  <c r="G22611" i="1"/>
  <c r="C22611" i="1"/>
  <c r="B22611" i="1"/>
  <c r="G22610" i="1"/>
  <c r="C22610" i="1"/>
  <c r="B22610" i="1"/>
  <c r="G22609" i="1"/>
  <c r="C22609" i="1"/>
  <c r="B22609" i="1"/>
  <c r="G22608" i="1"/>
  <c r="C22608" i="1"/>
  <c r="B22608" i="1"/>
  <c r="G22607" i="1"/>
  <c r="C22607" i="1"/>
  <c r="B22607" i="1"/>
  <c r="G22606" i="1"/>
  <c r="C22606" i="1"/>
  <c r="B22606" i="1"/>
  <c r="G22605" i="1"/>
  <c r="C22605" i="1"/>
  <c r="B22605" i="1"/>
  <c r="G22604" i="1"/>
  <c r="B22604" i="1"/>
  <c r="G22603" i="1"/>
  <c r="B22603" i="1"/>
  <c r="G22602" i="1"/>
  <c r="C22602" i="1"/>
  <c r="B22602" i="1"/>
  <c r="G22601" i="1"/>
  <c r="B22601" i="1"/>
  <c r="G22600" i="1"/>
  <c r="C22600" i="1"/>
  <c r="B22600" i="1"/>
  <c r="G22599" i="1"/>
  <c r="B22599" i="1"/>
  <c r="G22598" i="1"/>
  <c r="C22598" i="1"/>
  <c r="B22598" i="1"/>
  <c r="G22597" i="1"/>
  <c r="C22597" i="1"/>
  <c r="B22597" i="1"/>
  <c r="G22596" i="1"/>
  <c r="C22596" i="1"/>
  <c r="B22596" i="1"/>
  <c r="G22595" i="1"/>
  <c r="C22595" i="1"/>
  <c r="B22595" i="1"/>
  <c r="G22594" i="1"/>
  <c r="B22594" i="1"/>
  <c r="G22593" i="1"/>
  <c r="B22593" i="1"/>
  <c r="G22592" i="1"/>
  <c r="C22592" i="1"/>
  <c r="B22592" i="1"/>
  <c r="G22591" i="1"/>
  <c r="C22591" i="1"/>
  <c r="B22591" i="1"/>
  <c r="G22590" i="1"/>
  <c r="C22590" i="1"/>
  <c r="B22590" i="1"/>
  <c r="G22589" i="1"/>
  <c r="C22589" i="1"/>
  <c r="B22589" i="1"/>
  <c r="G22588" i="1"/>
  <c r="C22588" i="1"/>
  <c r="B22588" i="1"/>
  <c r="G22587" i="1"/>
  <c r="C22587" i="1"/>
  <c r="B22587" i="1"/>
  <c r="G22586" i="1"/>
  <c r="C22586" i="1"/>
  <c r="B22586" i="1"/>
  <c r="G22585" i="1"/>
  <c r="C22585" i="1"/>
  <c r="B22585" i="1"/>
  <c r="G22584" i="1"/>
  <c r="C22584" i="1"/>
  <c r="B22584" i="1"/>
  <c r="G22583" i="1"/>
  <c r="C22583" i="1"/>
  <c r="B22583" i="1"/>
  <c r="G22582" i="1"/>
  <c r="C22582" i="1"/>
  <c r="B22582" i="1"/>
  <c r="G22581" i="1"/>
  <c r="B22581" i="1"/>
  <c r="G22580" i="1"/>
  <c r="C22580" i="1"/>
  <c r="B22580" i="1"/>
  <c r="G22579" i="1"/>
  <c r="B22579" i="1"/>
  <c r="G22578" i="1"/>
  <c r="B22578" i="1"/>
  <c r="G22577" i="1"/>
  <c r="C22577" i="1"/>
  <c r="B22577" i="1"/>
  <c r="G22576" i="1"/>
  <c r="C22576" i="1"/>
  <c r="B22576" i="1"/>
  <c r="G22575" i="1"/>
  <c r="C22575" i="1"/>
  <c r="B22575" i="1"/>
  <c r="G22574" i="1"/>
  <c r="C22574" i="1"/>
  <c r="B22574" i="1"/>
  <c r="G22573" i="1"/>
  <c r="C22573" i="1"/>
  <c r="B22573" i="1"/>
  <c r="G22572" i="1"/>
  <c r="C22572" i="1"/>
  <c r="B22572" i="1"/>
  <c r="G22571" i="1"/>
  <c r="C22571" i="1"/>
  <c r="B22571" i="1"/>
  <c r="G22570" i="1"/>
  <c r="B22570" i="1"/>
  <c r="G22569" i="1"/>
  <c r="C22569" i="1"/>
  <c r="B22569" i="1"/>
  <c r="G22568" i="1"/>
  <c r="B22568" i="1"/>
  <c r="G22567" i="1"/>
  <c r="B22567" i="1"/>
  <c r="G22566" i="1"/>
  <c r="C22566" i="1"/>
  <c r="B22566" i="1"/>
  <c r="G22565" i="1"/>
  <c r="C22565" i="1"/>
  <c r="B22565" i="1"/>
  <c r="G22564" i="1"/>
  <c r="C22564" i="1"/>
  <c r="B22564" i="1"/>
  <c r="G22563" i="1"/>
  <c r="B22563" i="1"/>
  <c r="G22562" i="1"/>
  <c r="C22562" i="1"/>
  <c r="B22562" i="1"/>
  <c r="G22561" i="1"/>
  <c r="B22561" i="1"/>
  <c r="G22560" i="1"/>
  <c r="B22560" i="1"/>
  <c r="G22559" i="1"/>
  <c r="C22559" i="1"/>
  <c r="B22559" i="1"/>
  <c r="G22558" i="1"/>
  <c r="C22558" i="1"/>
  <c r="B22558" i="1"/>
  <c r="G22557" i="1"/>
  <c r="C22557" i="1"/>
  <c r="B22557" i="1"/>
  <c r="G22556" i="1"/>
  <c r="C22556" i="1"/>
  <c r="B22556" i="1"/>
  <c r="G22555" i="1"/>
  <c r="C22555" i="1"/>
  <c r="B22555" i="1"/>
  <c r="G22554" i="1"/>
  <c r="C22554" i="1"/>
  <c r="B22554" i="1"/>
  <c r="G22553" i="1"/>
  <c r="B22553" i="1"/>
  <c r="G22552" i="1"/>
  <c r="C22552" i="1"/>
  <c r="B22552" i="1"/>
  <c r="G22551" i="1"/>
  <c r="C22551" i="1"/>
  <c r="B22551" i="1"/>
  <c r="G22550" i="1"/>
  <c r="C22550" i="1"/>
  <c r="B22550" i="1"/>
  <c r="G22549" i="1"/>
  <c r="B22549" i="1"/>
  <c r="G22548" i="1"/>
  <c r="C22548" i="1"/>
  <c r="B22548" i="1"/>
  <c r="G22547" i="1"/>
  <c r="C22547" i="1"/>
  <c r="B22547" i="1"/>
  <c r="G22546" i="1"/>
  <c r="C22546" i="1"/>
  <c r="B22546" i="1"/>
  <c r="G22545" i="1"/>
  <c r="C22545" i="1"/>
  <c r="B22545" i="1"/>
  <c r="G22544" i="1"/>
  <c r="C22544" i="1"/>
  <c r="B22544" i="1"/>
  <c r="G22543" i="1"/>
  <c r="C22543" i="1"/>
  <c r="B22543" i="1"/>
  <c r="G22542" i="1"/>
  <c r="B22542" i="1"/>
  <c r="G22541" i="1"/>
  <c r="C22541" i="1"/>
  <c r="B22541" i="1"/>
  <c r="G22540" i="1"/>
  <c r="C22540" i="1"/>
  <c r="B22540" i="1"/>
  <c r="G22539" i="1"/>
  <c r="B22539" i="1"/>
  <c r="G22538" i="1"/>
  <c r="B22538" i="1"/>
  <c r="G22537" i="1"/>
  <c r="B22537" i="1"/>
  <c r="G22536" i="1"/>
  <c r="C22536" i="1"/>
  <c r="B22536" i="1"/>
  <c r="G22535" i="1"/>
  <c r="C22535" i="1"/>
  <c r="B22535" i="1"/>
  <c r="G22534" i="1"/>
  <c r="C22534" i="1"/>
  <c r="B22534" i="1"/>
  <c r="G22533" i="1"/>
  <c r="B22533" i="1"/>
  <c r="G22532" i="1"/>
  <c r="B22532" i="1"/>
  <c r="G22531" i="1"/>
  <c r="C22531" i="1"/>
  <c r="B22531" i="1"/>
  <c r="G22530" i="1"/>
  <c r="C22530" i="1"/>
  <c r="B22530" i="1"/>
  <c r="G22529" i="1"/>
  <c r="B22529" i="1"/>
  <c r="G22528" i="1"/>
  <c r="B22528" i="1"/>
  <c r="G22527" i="1"/>
  <c r="B22527" i="1"/>
  <c r="G22526" i="1"/>
  <c r="C22526" i="1"/>
  <c r="B22526" i="1"/>
  <c r="G22525" i="1"/>
  <c r="C22525" i="1"/>
  <c r="B22525" i="1"/>
  <c r="G22524" i="1"/>
  <c r="C22524" i="1"/>
  <c r="B22524" i="1"/>
  <c r="G22523" i="1"/>
  <c r="C22523" i="1"/>
  <c r="B22523" i="1"/>
  <c r="G22522" i="1"/>
  <c r="C22522" i="1"/>
  <c r="B22522" i="1"/>
  <c r="G22521" i="1"/>
  <c r="B22521" i="1"/>
  <c r="G22520" i="1"/>
  <c r="C22520" i="1"/>
  <c r="B22520" i="1"/>
  <c r="G22519" i="1"/>
  <c r="C22519" i="1"/>
  <c r="B22519" i="1"/>
  <c r="G22518" i="1"/>
  <c r="C22518" i="1"/>
  <c r="B22518" i="1"/>
  <c r="G22517" i="1"/>
  <c r="C22517" i="1"/>
  <c r="B22517" i="1"/>
  <c r="G22516" i="1"/>
  <c r="C22516" i="1"/>
  <c r="B22516" i="1"/>
  <c r="G22515" i="1"/>
  <c r="C22515" i="1"/>
  <c r="B22515" i="1"/>
  <c r="G22514" i="1"/>
  <c r="C22514" i="1"/>
  <c r="B22514" i="1"/>
  <c r="G22513" i="1"/>
  <c r="B22513" i="1"/>
  <c r="G22512" i="1"/>
  <c r="C22512" i="1"/>
  <c r="B22512" i="1"/>
  <c r="G22511" i="1"/>
  <c r="B22511" i="1"/>
  <c r="G22510" i="1"/>
  <c r="C22510" i="1"/>
  <c r="B22510" i="1"/>
  <c r="G22509" i="1"/>
  <c r="C22509" i="1"/>
  <c r="B22509" i="1"/>
  <c r="G22508" i="1"/>
  <c r="C22508" i="1"/>
  <c r="B22508" i="1"/>
  <c r="G22507" i="1"/>
  <c r="C22507" i="1"/>
  <c r="B22507" i="1"/>
  <c r="G22506" i="1"/>
  <c r="C22506" i="1"/>
  <c r="B22506" i="1"/>
  <c r="G22505" i="1"/>
  <c r="C22505" i="1"/>
  <c r="B22505" i="1"/>
  <c r="G22504" i="1"/>
  <c r="C22504" i="1"/>
  <c r="B22504" i="1"/>
  <c r="G22503" i="1"/>
  <c r="B22503" i="1"/>
  <c r="G22502" i="1"/>
  <c r="C22502" i="1"/>
  <c r="B22502" i="1"/>
  <c r="G22501" i="1"/>
  <c r="C22501" i="1"/>
  <c r="B22501" i="1"/>
  <c r="G22500" i="1"/>
  <c r="B22500" i="1"/>
  <c r="G22499" i="1"/>
  <c r="C22499" i="1"/>
  <c r="B22499" i="1"/>
  <c r="G22498" i="1"/>
  <c r="C22498" i="1"/>
  <c r="B22498" i="1"/>
  <c r="G22497" i="1"/>
  <c r="B22497" i="1"/>
  <c r="G22496" i="1"/>
  <c r="B22496" i="1"/>
  <c r="G22495" i="1"/>
  <c r="C22495" i="1"/>
  <c r="B22495" i="1"/>
  <c r="G22494" i="1"/>
  <c r="B22494" i="1"/>
  <c r="G22493" i="1"/>
  <c r="B22493" i="1"/>
  <c r="G22492" i="1"/>
  <c r="C22492" i="1"/>
  <c r="B22492" i="1"/>
  <c r="G22491" i="1"/>
  <c r="C22491" i="1"/>
  <c r="B22491" i="1"/>
  <c r="G22490" i="1"/>
  <c r="C22490" i="1"/>
  <c r="B22490" i="1"/>
  <c r="G22489" i="1"/>
  <c r="C22489" i="1"/>
  <c r="B22489" i="1"/>
  <c r="G22488" i="1"/>
  <c r="C22488" i="1"/>
  <c r="B22488" i="1"/>
  <c r="G22487" i="1"/>
  <c r="C22487" i="1"/>
  <c r="B22487" i="1"/>
  <c r="G22486" i="1"/>
  <c r="C22486" i="1"/>
  <c r="B22486" i="1"/>
  <c r="G22485" i="1"/>
  <c r="B22485" i="1"/>
  <c r="G22484" i="1"/>
  <c r="C22484" i="1"/>
  <c r="B22484" i="1"/>
  <c r="G22483" i="1"/>
  <c r="C22483" i="1"/>
  <c r="B22483" i="1"/>
  <c r="G22482" i="1"/>
  <c r="C22482" i="1"/>
  <c r="B22482" i="1"/>
  <c r="G22481" i="1"/>
  <c r="B22481" i="1"/>
  <c r="G22480" i="1"/>
  <c r="C22480" i="1"/>
  <c r="B22480" i="1"/>
  <c r="G22479" i="1"/>
  <c r="C22479" i="1"/>
  <c r="B22479" i="1"/>
  <c r="G22478" i="1"/>
  <c r="C22478" i="1"/>
  <c r="B22478" i="1"/>
  <c r="G22477" i="1"/>
  <c r="B22477" i="1"/>
  <c r="G22476" i="1"/>
  <c r="B22476" i="1"/>
  <c r="G22475" i="1"/>
  <c r="C22475" i="1"/>
  <c r="B22475" i="1"/>
  <c r="G22474" i="1"/>
  <c r="C22474" i="1"/>
  <c r="B22474" i="1"/>
  <c r="G22473" i="1"/>
  <c r="C22473" i="1"/>
  <c r="B22473" i="1"/>
  <c r="G22472" i="1"/>
  <c r="C22472" i="1"/>
  <c r="B22472" i="1"/>
  <c r="G22471" i="1"/>
  <c r="C22471" i="1"/>
  <c r="B22471" i="1"/>
  <c r="G22470" i="1"/>
  <c r="B22470" i="1"/>
  <c r="G22469" i="1"/>
  <c r="C22469" i="1"/>
  <c r="B22469" i="1"/>
  <c r="G22468" i="1"/>
  <c r="B22468" i="1"/>
  <c r="G22467" i="1"/>
  <c r="C22467" i="1"/>
  <c r="B22467" i="1"/>
  <c r="G22466" i="1"/>
  <c r="C22466" i="1"/>
  <c r="B22466" i="1"/>
  <c r="G22465" i="1"/>
  <c r="B22465" i="1"/>
  <c r="G22464" i="1"/>
  <c r="C22464" i="1"/>
  <c r="B22464" i="1"/>
  <c r="G22463" i="1"/>
  <c r="C22463" i="1"/>
  <c r="B22463" i="1"/>
  <c r="G22462" i="1"/>
  <c r="C22462" i="1"/>
  <c r="B22462" i="1"/>
  <c r="G22461" i="1"/>
  <c r="B22461" i="1"/>
  <c r="G22460" i="1"/>
  <c r="C22460" i="1"/>
  <c r="B22460" i="1"/>
  <c r="G22459" i="1"/>
  <c r="C22459" i="1"/>
  <c r="B22459" i="1"/>
  <c r="G22458" i="1"/>
  <c r="C22458" i="1"/>
  <c r="B22458" i="1"/>
  <c r="G22457" i="1"/>
  <c r="C22457" i="1"/>
  <c r="B22457" i="1"/>
  <c r="G22456" i="1"/>
  <c r="C22456" i="1"/>
  <c r="B22456" i="1"/>
  <c r="G22455" i="1"/>
  <c r="B22455" i="1"/>
  <c r="G22454" i="1"/>
  <c r="C22454" i="1"/>
  <c r="B22454" i="1"/>
  <c r="G22453" i="1"/>
  <c r="C22453" i="1"/>
  <c r="B22453" i="1"/>
  <c r="G22452" i="1"/>
  <c r="C22452" i="1"/>
  <c r="B22452" i="1"/>
  <c r="G22451" i="1"/>
  <c r="B22451" i="1"/>
  <c r="G22450" i="1"/>
  <c r="B22450" i="1"/>
  <c r="G22449" i="1"/>
  <c r="B22449" i="1"/>
  <c r="G22448" i="1"/>
  <c r="C22448" i="1"/>
  <c r="B22448" i="1"/>
  <c r="G22447" i="1"/>
  <c r="C22447" i="1"/>
  <c r="B22447" i="1"/>
  <c r="G22446" i="1"/>
  <c r="C22446" i="1"/>
  <c r="B22446" i="1"/>
  <c r="G22445" i="1"/>
  <c r="B22445" i="1"/>
  <c r="G22444" i="1"/>
  <c r="C22444" i="1"/>
  <c r="B22444" i="1"/>
  <c r="G22443" i="1"/>
  <c r="C22443" i="1"/>
  <c r="B22443" i="1"/>
  <c r="G22442" i="1"/>
  <c r="C22442" i="1"/>
  <c r="B22442" i="1"/>
  <c r="G22441" i="1"/>
  <c r="C22441" i="1"/>
  <c r="B22441" i="1"/>
  <c r="G22440" i="1"/>
  <c r="C22440" i="1"/>
  <c r="B22440" i="1"/>
  <c r="G22439" i="1"/>
  <c r="B22439" i="1"/>
  <c r="G22438" i="1"/>
  <c r="C22438" i="1"/>
  <c r="B22438" i="1"/>
  <c r="G22437" i="1"/>
  <c r="C22437" i="1"/>
  <c r="B22437" i="1"/>
  <c r="G22436" i="1"/>
  <c r="B22436" i="1"/>
  <c r="G22435" i="1"/>
  <c r="B22435" i="1"/>
  <c r="G22434" i="1"/>
  <c r="B22434" i="1"/>
  <c r="G22433" i="1"/>
  <c r="C22433" i="1"/>
  <c r="B22433" i="1"/>
  <c r="G22432" i="1"/>
  <c r="B22432" i="1"/>
  <c r="G22431" i="1"/>
  <c r="C22431" i="1"/>
  <c r="B22431" i="1"/>
  <c r="G22430" i="1"/>
  <c r="C22430" i="1"/>
  <c r="B22430" i="1"/>
  <c r="G22429" i="1"/>
  <c r="B22429" i="1"/>
  <c r="G22428" i="1"/>
  <c r="C22428" i="1"/>
  <c r="B22428" i="1"/>
  <c r="G22427" i="1"/>
  <c r="C22427" i="1"/>
  <c r="B22427" i="1"/>
  <c r="G22426" i="1"/>
  <c r="C22426" i="1"/>
  <c r="B22426" i="1"/>
  <c r="G22425" i="1"/>
  <c r="C22425" i="1"/>
  <c r="B22425" i="1"/>
  <c r="G22424" i="1"/>
  <c r="C22424" i="1"/>
  <c r="B22424" i="1"/>
  <c r="G22423" i="1"/>
  <c r="B22423" i="1"/>
  <c r="G22422" i="1"/>
  <c r="B22422" i="1"/>
  <c r="G22421" i="1"/>
  <c r="B22421" i="1"/>
  <c r="G22420" i="1"/>
  <c r="C22420" i="1"/>
  <c r="B22420" i="1"/>
  <c r="G22419" i="1"/>
  <c r="B22419" i="1"/>
  <c r="G22418" i="1"/>
  <c r="B22418" i="1"/>
  <c r="G22417" i="1"/>
  <c r="C22417" i="1"/>
  <c r="B22417" i="1"/>
  <c r="G22416" i="1"/>
  <c r="C22416" i="1"/>
  <c r="B22416" i="1"/>
  <c r="G22415" i="1"/>
  <c r="B22415" i="1"/>
  <c r="G22414" i="1"/>
  <c r="B22414" i="1"/>
  <c r="G22413" i="1"/>
  <c r="C22413" i="1"/>
  <c r="B22413" i="1"/>
  <c r="G22412" i="1"/>
  <c r="C22412" i="1"/>
  <c r="B22412" i="1"/>
  <c r="G22411" i="1"/>
  <c r="B22411" i="1"/>
  <c r="G22410" i="1"/>
  <c r="C22410" i="1"/>
  <c r="B22410" i="1"/>
  <c r="G22409" i="1"/>
  <c r="B22409" i="1"/>
  <c r="G22408" i="1"/>
  <c r="B22408" i="1"/>
  <c r="G22407" i="1"/>
  <c r="B22407" i="1"/>
  <c r="G22406" i="1"/>
  <c r="B22406" i="1"/>
  <c r="G22405" i="1"/>
  <c r="C22405" i="1"/>
  <c r="B22405" i="1"/>
  <c r="G22404" i="1"/>
  <c r="B22404" i="1"/>
  <c r="G22403" i="1"/>
  <c r="C22403" i="1"/>
  <c r="B22403" i="1"/>
  <c r="G22402" i="1"/>
  <c r="C22402" i="1"/>
  <c r="B22402" i="1"/>
  <c r="G22401" i="1"/>
  <c r="C22401" i="1"/>
  <c r="B22401" i="1"/>
  <c r="G22400" i="1"/>
  <c r="B22400" i="1"/>
  <c r="G22399" i="1"/>
  <c r="B22399" i="1"/>
  <c r="G22398" i="1"/>
  <c r="C22398" i="1"/>
  <c r="B22398" i="1"/>
  <c r="G22397" i="1"/>
  <c r="B22397" i="1"/>
  <c r="G22396" i="1"/>
  <c r="C22396" i="1"/>
  <c r="B22396" i="1"/>
  <c r="G22395" i="1"/>
  <c r="B22395" i="1"/>
  <c r="G22394" i="1"/>
  <c r="C22394" i="1"/>
  <c r="B22394" i="1"/>
  <c r="G22393" i="1"/>
  <c r="B22393" i="1"/>
  <c r="G22392" i="1"/>
  <c r="C22392" i="1"/>
  <c r="B22392" i="1"/>
  <c r="G22391" i="1"/>
  <c r="B22391" i="1"/>
  <c r="G22390" i="1"/>
  <c r="C22390" i="1"/>
  <c r="B22390" i="1"/>
  <c r="G22389" i="1"/>
  <c r="B22389" i="1"/>
  <c r="G22388" i="1"/>
  <c r="C22388" i="1"/>
  <c r="B22388" i="1"/>
  <c r="G22387" i="1"/>
  <c r="C22387" i="1"/>
  <c r="B22387" i="1"/>
  <c r="G22386" i="1"/>
  <c r="B22386" i="1"/>
  <c r="G22385" i="1"/>
  <c r="C22385" i="1"/>
  <c r="B22385" i="1"/>
  <c r="G22384" i="1"/>
  <c r="C22384" i="1"/>
  <c r="B22384" i="1"/>
  <c r="G22383" i="1"/>
  <c r="B22383" i="1"/>
  <c r="G22382" i="1"/>
  <c r="B22382" i="1"/>
  <c r="G22381" i="1"/>
  <c r="C22381" i="1"/>
  <c r="B22381" i="1"/>
  <c r="G22380" i="1"/>
  <c r="C22380" i="1"/>
  <c r="B22380" i="1"/>
  <c r="G22379" i="1"/>
  <c r="B22379" i="1"/>
  <c r="G22378" i="1"/>
  <c r="C22378" i="1"/>
  <c r="B22378" i="1"/>
  <c r="G22377" i="1"/>
  <c r="C22377" i="1"/>
  <c r="B22377" i="1"/>
  <c r="G22376" i="1"/>
  <c r="B22376" i="1"/>
  <c r="G22375" i="1"/>
  <c r="B22375" i="1"/>
  <c r="G22374" i="1"/>
  <c r="B22374" i="1"/>
  <c r="G22373" i="1"/>
  <c r="C22373" i="1"/>
  <c r="B22373" i="1"/>
  <c r="G22372" i="1"/>
  <c r="B22372" i="1"/>
  <c r="G22371" i="1"/>
  <c r="C22371" i="1"/>
  <c r="B22371" i="1"/>
  <c r="G22370" i="1"/>
  <c r="B22370" i="1"/>
  <c r="G22369" i="1"/>
  <c r="C22369" i="1"/>
  <c r="B22369" i="1"/>
  <c r="G22368" i="1"/>
  <c r="B22368" i="1"/>
  <c r="G22367" i="1"/>
  <c r="C22367" i="1"/>
  <c r="B22367" i="1"/>
  <c r="G22366" i="1"/>
  <c r="B22366" i="1"/>
  <c r="G22365" i="1"/>
  <c r="C22365" i="1"/>
  <c r="B22365" i="1"/>
  <c r="G22364" i="1"/>
  <c r="B22364" i="1"/>
  <c r="G22363" i="1"/>
  <c r="C22363" i="1"/>
  <c r="B22363" i="1"/>
  <c r="G22362" i="1"/>
  <c r="B22362" i="1"/>
  <c r="G22361" i="1"/>
  <c r="C22361" i="1"/>
  <c r="B22361" i="1"/>
  <c r="G22360" i="1"/>
  <c r="C22360" i="1"/>
  <c r="B22360" i="1"/>
  <c r="G22359" i="1"/>
  <c r="C22359" i="1"/>
  <c r="B22359" i="1"/>
  <c r="G22358" i="1"/>
  <c r="C22358" i="1"/>
  <c r="B22358" i="1"/>
  <c r="G22357" i="1"/>
  <c r="B22357" i="1"/>
  <c r="G22356" i="1"/>
  <c r="B22356" i="1"/>
  <c r="G22355" i="1"/>
  <c r="B22355" i="1"/>
  <c r="G22354" i="1"/>
  <c r="C22354" i="1"/>
  <c r="B22354" i="1"/>
  <c r="G22353" i="1"/>
  <c r="C22353" i="1"/>
  <c r="B22353" i="1"/>
  <c r="G22352" i="1"/>
  <c r="C22352" i="1"/>
  <c r="B22352" i="1"/>
  <c r="G22351" i="1"/>
  <c r="B22351" i="1"/>
  <c r="G22350" i="1"/>
  <c r="C22350" i="1"/>
  <c r="B22350" i="1"/>
  <c r="G22349" i="1"/>
  <c r="C22349" i="1"/>
  <c r="B22349" i="1"/>
  <c r="G22348" i="1"/>
  <c r="B22348" i="1"/>
  <c r="G22347" i="1"/>
  <c r="C22347" i="1"/>
  <c r="B22347" i="1"/>
  <c r="G22346" i="1"/>
  <c r="B22346" i="1"/>
  <c r="G22345" i="1"/>
  <c r="B22345" i="1"/>
  <c r="G22344" i="1"/>
  <c r="B22344" i="1"/>
  <c r="G22343" i="1"/>
  <c r="C22343" i="1"/>
  <c r="B22343" i="1"/>
  <c r="G22342" i="1"/>
  <c r="C22342" i="1"/>
  <c r="B22342" i="1"/>
  <c r="G22341" i="1"/>
  <c r="B22341" i="1"/>
  <c r="G22340" i="1"/>
  <c r="B22340" i="1"/>
  <c r="G22339" i="1"/>
  <c r="C22339" i="1"/>
  <c r="B22339" i="1"/>
  <c r="G22338" i="1"/>
  <c r="C22338" i="1"/>
  <c r="B22338" i="1"/>
  <c r="G22337" i="1"/>
  <c r="C22337" i="1"/>
  <c r="B22337" i="1"/>
  <c r="G22336" i="1"/>
  <c r="C22336" i="1"/>
  <c r="B22336" i="1"/>
  <c r="G22335" i="1"/>
  <c r="C22335" i="1"/>
  <c r="B22335" i="1"/>
  <c r="G22334" i="1"/>
  <c r="B22334" i="1"/>
  <c r="G22333" i="1"/>
  <c r="B22333" i="1"/>
  <c r="G22332" i="1"/>
  <c r="C22332" i="1"/>
  <c r="B22332" i="1"/>
  <c r="G22331" i="1"/>
  <c r="C22331" i="1"/>
  <c r="B22331" i="1"/>
  <c r="G22330" i="1"/>
  <c r="B22330" i="1"/>
  <c r="G22329" i="1"/>
  <c r="C22329" i="1"/>
  <c r="B22329" i="1"/>
  <c r="G22328" i="1"/>
  <c r="B22328" i="1"/>
  <c r="G22327" i="1"/>
  <c r="C22327" i="1"/>
  <c r="B22327" i="1"/>
  <c r="G22326" i="1"/>
  <c r="B22326" i="1"/>
  <c r="G22325" i="1"/>
  <c r="B22325" i="1"/>
  <c r="G22324" i="1"/>
  <c r="C22324" i="1"/>
  <c r="B22324" i="1"/>
  <c r="G22323" i="1"/>
  <c r="C22323" i="1"/>
  <c r="B22323" i="1"/>
  <c r="G22322" i="1"/>
  <c r="C22322" i="1"/>
  <c r="B22322" i="1"/>
  <c r="G22321" i="1"/>
  <c r="C22321" i="1"/>
  <c r="B22321" i="1"/>
  <c r="G22320" i="1"/>
  <c r="C22320" i="1"/>
  <c r="B22320" i="1"/>
  <c r="G22319" i="1"/>
  <c r="B22319" i="1"/>
  <c r="G22318" i="1"/>
  <c r="C22318" i="1"/>
  <c r="B22318" i="1"/>
  <c r="G22317" i="1"/>
  <c r="B22317" i="1"/>
  <c r="G22316" i="1"/>
  <c r="C22316" i="1"/>
  <c r="B22316" i="1"/>
  <c r="G22315" i="1"/>
  <c r="B22315" i="1"/>
  <c r="G22314" i="1"/>
  <c r="B22314" i="1"/>
  <c r="G22313" i="1"/>
  <c r="B22313" i="1"/>
  <c r="G22312" i="1"/>
  <c r="C22312" i="1"/>
  <c r="B22312" i="1"/>
  <c r="G22311" i="1"/>
  <c r="B22311" i="1"/>
  <c r="G22310" i="1"/>
  <c r="C22310" i="1"/>
  <c r="B22310" i="1"/>
  <c r="G22309" i="1"/>
  <c r="B22309" i="1"/>
  <c r="G22308" i="1"/>
  <c r="C22308" i="1"/>
  <c r="B22308" i="1"/>
  <c r="G22307" i="1"/>
  <c r="C22307" i="1"/>
  <c r="B22307" i="1"/>
  <c r="G22306" i="1"/>
  <c r="C22306" i="1"/>
  <c r="B22306" i="1"/>
  <c r="G22305" i="1"/>
  <c r="B22305" i="1"/>
  <c r="G22304" i="1"/>
  <c r="C22304" i="1"/>
  <c r="B22304" i="1"/>
  <c r="G22303" i="1"/>
  <c r="C22303" i="1"/>
  <c r="B22303" i="1"/>
  <c r="G22302" i="1"/>
  <c r="C22302" i="1"/>
  <c r="B22302" i="1"/>
  <c r="G22301" i="1"/>
  <c r="B22301" i="1"/>
  <c r="G22300" i="1"/>
  <c r="B22300" i="1"/>
  <c r="G22299" i="1"/>
  <c r="C22299" i="1"/>
  <c r="B22299" i="1"/>
  <c r="G22298" i="1"/>
  <c r="C22298" i="1"/>
  <c r="B22298" i="1"/>
  <c r="G22297" i="1"/>
  <c r="B22297" i="1"/>
  <c r="G22296" i="1"/>
  <c r="B22296" i="1"/>
  <c r="G22295" i="1"/>
  <c r="B22295" i="1"/>
  <c r="G22294" i="1"/>
  <c r="B22294" i="1"/>
  <c r="G22293" i="1"/>
  <c r="C22293" i="1"/>
  <c r="B22293" i="1"/>
  <c r="G22292" i="1"/>
  <c r="C22292" i="1"/>
  <c r="B22292" i="1"/>
  <c r="G22291" i="1"/>
  <c r="B22291" i="1"/>
  <c r="G22290" i="1"/>
  <c r="C22290" i="1"/>
  <c r="B22290" i="1"/>
  <c r="G22289" i="1"/>
  <c r="C22289" i="1"/>
  <c r="B22289" i="1"/>
  <c r="G22288" i="1"/>
  <c r="B22288" i="1"/>
  <c r="G22287" i="1"/>
  <c r="C22287" i="1"/>
  <c r="B22287" i="1"/>
  <c r="G22286" i="1"/>
  <c r="B22286" i="1"/>
  <c r="G22285" i="1"/>
  <c r="C22285" i="1"/>
  <c r="B22285" i="1"/>
  <c r="G22284" i="1"/>
  <c r="B22284" i="1"/>
  <c r="G22283" i="1"/>
  <c r="C22283" i="1"/>
  <c r="B22283" i="1"/>
  <c r="G22282" i="1"/>
  <c r="C22282" i="1"/>
  <c r="B22282" i="1"/>
  <c r="G22281" i="1"/>
  <c r="C22281" i="1"/>
  <c r="B22281" i="1"/>
  <c r="G22280" i="1"/>
  <c r="C22280" i="1"/>
  <c r="B22280" i="1"/>
  <c r="G22279" i="1"/>
  <c r="C22279" i="1"/>
  <c r="B22279" i="1"/>
  <c r="G22278" i="1"/>
  <c r="C22278" i="1"/>
  <c r="B22278" i="1"/>
  <c r="G22277" i="1"/>
  <c r="C22277" i="1"/>
  <c r="B22277" i="1"/>
  <c r="G22276" i="1"/>
  <c r="B22276" i="1"/>
  <c r="G22275" i="1"/>
  <c r="B22275" i="1"/>
  <c r="G22274" i="1"/>
  <c r="C22274" i="1"/>
  <c r="B22274" i="1"/>
  <c r="G22273" i="1"/>
  <c r="C22273" i="1"/>
  <c r="B22273" i="1"/>
  <c r="G22272" i="1"/>
  <c r="C22272" i="1"/>
  <c r="B22272" i="1"/>
  <c r="G22271" i="1"/>
  <c r="B22271" i="1"/>
  <c r="G22270" i="1"/>
  <c r="C22270" i="1"/>
  <c r="B22270" i="1"/>
  <c r="G22269" i="1"/>
  <c r="C22269" i="1"/>
  <c r="B22269" i="1"/>
  <c r="G22268" i="1"/>
  <c r="C22268" i="1"/>
  <c r="B22268" i="1"/>
  <c r="G22267" i="1"/>
  <c r="C22267" i="1"/>
  <c r="B22267" i="1"/>
  <c r="G22266" i="1"/>
  <c r="B22266" i="1"/>
  <c r="G22265" i="1"/>
  <c r="C22265" i="1"/>
  <c r="B22265" i="1"/>
  <c r="G22264" i="1"/>
  <c r="C22264" i="1"/>
  <c r="B22264" i="1"/>
  <c r="G22263" i="1"/>
  <c r="C22263" i="1"/>
  <c r="B22263" i="1"/>
  <c r="G22262" i="1"/>
  <c r="B22262" i="1"/>
  <c r="G22261" i="1"/>
  <c r="C22261" i="1"/>
  <c r="B22261" i="1"/>
  <c r="G22260" i="1"/>
  <c r="C22260" i="1"/>
  <c r="B22260" i="1"/>
  <c r="G22259" i="1"/>
  <c r="B22259" i="1"/>
  <c r="G22258" i="1"/>
  <c r="B22258" i="1"/>
  <c r="G22257" i="1"/>
  <c r="B22257" i="1"/>
  <c r="G22256" i="1"/>
  <c r="C22256" i="1"/>
  <c r="B22256" i="1"/>
  <c r="G22255" i="1"/>
  <c r="C22255" i="1"/>
  <c r="B22255" i="1"/>
  <c r="G22254" i="1"/>
  <c r="B22254" i="1"/>
  <c r="G22253" i="1"/>
  <c r="C22253" i="1"/>
  <c r="B22253" i="1"/>
  <c r="G22252" i="1"/>
  <c r="B22252" i="1"/>
  <c r="G22251" i="1"/>
  <c r="C22251" i="1"/>
  <c r="B22251" i="1"/>
  <c r="G22250" i="1"/>
  <c r="C22250" i="1"/>
  <c r="B22250" i="1"/>
  <c r="G22249" i="1"/>
  <c r="C22249" i="1"/>
  <c r="B22249" i="1"/>
  <c r="G22248" i="1"/>
  <c r="C22248" i="1"/>
  <c r="B22248" i="1"/>
  <c r="G22247" i="1"/>
  <c r="C22247" i="1"/>
  <c r="B22247" i="1"/>
  <c r="G22246" i="1"/>
  <c r="C22246" i="1"/>
  <c r="B22246" i="1"/>
  <c r="G22245" i="1"/>
  <c r="C22245" i="1"/>
  <c r="B22245" i="1"/>
  <c r="G22244" i="1"/>
  <c r="C22244" i="1"/>
  <c r="B22244" i="1"/>
  <c r="G22243" i="1"/>
  <c r="C22243" i="1"/>
  <c r="B22243" i="1"/>
  <c r="G22242" i="1"/>
  <c r="B22242" i="1"/>
  <c r="G22241" i="1"/>
  <c r="C22241" i="1"/>
  <c r="B22241" i="1"/>
  <c r="G22240" i="1"/>
  <c r="B22240" i="1"/>
  <c r="G22239" i="1"/>
  <c r="B22239" i="1"/>
  <c r="G22238" i="1"/>
  <c r="B22238" i="1"/>
  <c r="G22237" i="1"/>
  <c r="C22237" i="1"/>
  <c r="B22237" i="1"/>
  <c r="G22236" i="1"/>
  <c r="C22236" i="1"/>
  <c r="B22236" i="1"/>
  <c r="G22235" i="1"/>
  <c r="C22235" i="1"/>
  <c r="B22235" i="1"/>
  <c r="G22234" i="1"/>
  <c r="C22234" i="1"/>
  <c r="B22234" i="1"/>
  <c r="G22233" i="1"/>
  <c r="C22233" i="1"/>
  <c r="B22233" i="1"/>
  <c r="G22232" i="1"/>
  <c r="C22232" i="1"/>
  <c r="B22232" i="1"/>
  <c r="G22231" i="1"/>
  <c r="C22231" i="1"/>
  <c r="B22231" i="1"/>
  <c r="G22230" i="1"/>
  <c r="C22230" i="1"/>
  <c r="B22230" i="1"/>
  <c r="G22229" i="1"/>
  <c r="C22229" i="1"/>
  <c r="B22229" i="1"/>
  <c r="G22228" i="1"/>
  <c r="B22228" i="1"/>
  <c r="G22227" i="1"/>
  <c r="C22227" i="1"/>
  <c r="B22227" i="1"/>
  <c r="G22226" i="1"/>
  <c r="C22226" i="1"/>
  <c r="B22226" i="1"/>
  <c r="G22225" i="1"/>
  <c r="C22225" i="1"/>
  <c r="B22225" i="1"/>
  <c r="G22224" i="1"/>
  <c r="C22224" i="1"/>
  <c r="B22224" i="1"/>
  <c r="G22223" i="1"/>
  <c r="C22223" i="1"/>
  <c r="B22223" i="1"/>
  <c r="G22222" i="1"/>
  <c r="B22222" i="1"/>
  <c r="G22221" i="1"/>
  <c r="C22221" i="1"/>
  <c r="B22221" i="1"/>
  <c r="G22220" i="1"/>
  <c r="B22220" i="1"/>
  <c r="G22219" i="1"/>
  <c r="C22219" i="1"/>
  <c r="B22219" i="1"/>
  <c r="G22218" i="1"/>
  <c r="C22218" i="1"/>
  <c r="B22218" i="1"/>
  <c r="G22217" i="1"/>
  <c r="B22217" i="1"/>
  <c r="G22216" i="1"/>
  <c r="C22216" i="1"/>
  <c r="B22216" i="1"/>
  <c r="G22215" i="1"/>
  <c r="B22215" i="1"/>
  <c r="G22214" i="1"/>
  <c r="C22214" i="1"/>
  <c r="B22214" i="1"/>
  <c r="G22213" i="1"/>
  <c r="C22213" i="1"/>
  <c r="B22213" i="1"/>
  <c r="G22212" i="1"/>
  <c r="C22212" i="1"/>
  <c r="B22212" i="1"/>
  <c r="G22211" i="1"/>
  <c r="C22211" i="1"/>
  <c r="B22211" i="1"/>
  <c r="G22210" i="1"/>
  <c r="C22210" i="1"/>
  <c r="B22210" i="1"/>
  <c r="G22209" i="1"/>
  <c r="B22209" i="1"/>
  <c r="G22208" i="1"/>
  <c r="C22208" i="1"/>
  <c r="B22208" i="1"/>
  <c r="G22207" i="1"/>
  <c r="C22207" i="1"/>
  <c r="B22207" i="1"/>
  <c r="G22206" i="1"/>
  <c r="B22206" i="1"/>
  <c r="G22205" i="1"/>
  <c r="C22205" i="1"/>
  <c r="B22205" i="1"/>
  <c r="G22204" i="1"/>
  <c r="C22204" i="1"/>
  <c r="B22204" i="1"/>
  <c r="G22203" i="1"/>
  <c r="C22203" i="1"/>
  <c r="B22203" i="1"/>
  <c r="G22202" i="1"/>
  <c r="C22202" i="1"/>
  <c r="B22202" i="1"/>
  <c r="G22201" i="1"/>
  <c r="B22201" i="1"/>
  <c r="G22200" i="1"/>
  <c r="C22200" i="1"/>
  <c r="B22200" i="1"/>
  <c r="G22199" i="1"/>
  <c r="C22199" i="1"/>
  <c r="B22199" i="1"/>
  <c r="G22198" i="1"/>
  <c r="C22198" i="1"/>
  <c r="B22198" i="1"/>
  <c r="G22197" i="1"/>
  <c r="B22197" i="1"/>
  <c r="G22196" i="1"/>
  <c r="C22196" i="1"/>
  <c r="B22196" i="1"/>
  <c r="G22195" i="1"/>
  <c r="C22195" i="1"/>
  <c r="B22195" i="1"/>
  <c r="G22194" i="1"/>
  <c r="C22194" i="1"/>
  <c r="B22194" i="1"/>
  <c r="G22193" i="1"/>
  <c r="B22193" i="1"/>
  <c r="G22192" i="1"/>
  <c r="B22192" i="1"/>
  <c r="G22191" i="1"/>
  <c r="B22191" i="1"/>
  <c r="G22190" i="1"/>
  <c r="C22190" i="1"/>
  <c r="B22190" i="1"/>
  <c r="G22189" i="1"/>
  <c r="C22189" i="1"/>
  <c r="B22189" i="1"/>
  <c r="G22188" i="1"/>
  <c r="C22188" i="1"/>
  <c r="B22188" i="1"/>
  <c r="G22187" i="1"/>
  <c r="B22187" i="1"/>
  <c r="G22186" i="1"/>
  <c r="B22186" i="1"/>
  <c r="G22185" i="1"/>
  <c r="B22185" i="1"/>
  <c r="G22184" i="1"/>
  <c r="C22184" i="1"/>
  <c r="B22184" i="1"/>
  <c r="G22183" i="1"/>
  <c r="B22183" i="1"/>
  <c r="G22182" i="1"/>
  <c r="B22182" i="1"/>
  <c r="G22181" i="1"/>
  <c r="B22181" i="1"/>
  <c r="G22180" i="1"/>
  <c r="C22180" i="1"/>
  <c r="B22180" i="1"/>
  <c r="G22179" i="1"/>
  <c r="B22179" i="1"/>
  <c r="G22178" i="1"/>
  <c r="C22178" i="1"/>
  <c r="B22178" i="1"/>
  <c r="G22177" i="1"/>
  <c r="C22177" i="1"/>
  <c r="B22177" i="1"/>
  <c r="G22176" i="1"/>
  <c r="B22176" i="1"/>
  <c r="G22175" i="1"/>
  <c r="C22175" i="1"/>
  <c r="B22175" i="1"/>
  <c r="G22174" i="1"/>
  <c r="B22174" i="1"/>
  <c r="G22173" i="1"/>
  <c r="C22173" i="1"/>
  <c r="B22173" i="1"/>
  <c r="G22172" i="1"/>
  <c r="C22172" i="1"/>
  <c r="B22172" i="1"/>
  <c r="G22171" i="1"/>
  <c r="B22171" i="1"/>
  <c r="G22170" i="1"/>
  <c r="B22170" i="1"/>
  <c r="G22169" i="1"/>
  <c r="B22169" i="1"/>
  <c r="G22168" i="1"/>
  <c r="B22168" i="1"/>
  <c r="G22167" i="1"/>
  <c r="B22167" i="1"/>
  <c r="G22166" i="1"/>
  <c r="C22166" i="1"/>
  <c r="B22166" i="1"/>
  <c r="G22165" i="1"/>
  <c r="B22165" i="1"/>
  <c r="G22164" i="1"/>
  <c r="B22164" i="1"/>
  <c r="G22163" i="1"/>
  <c r="C22163" i="1"/>
  <c r="B22163" i="1"/>
  <c r="G22162" i="1"/>
  <c r="C22162" i="1"/>
  <c r="B22162" i="1"/>
  <c r="G22161" i="1"/>
  <c r="C22161" i="1"/>
  <c r="B22161" i="1"/>
  <c r="G22160" i="1"/>
  <c r="C22160" i="1"/>
  <c r="B22160" i="1"/>
  <c r="G22159" i="1"/>
  <c r="C22159" i="1"/>
  <c r="B22159" i="1"/>
  <c r="G22158" i="1"/>
  <c r="B22158" i="1"/>
  <c r="G22157" i="1"/>
  <c r="B22157" i="1"/>
  <c r="G22156" i="1"/>
  <c r="C22156" i="1"/>
  <c r="B22156" i="1"/>
  <c r="G22155" i="1"/>
  <c r="C22155" i="1"/>
  <c r="B22155" i="1"/>
  <c r="G22154" i="1"/>
  <c r="C22154" i="1"/>
  <c r="B22154" i="1"/>
  <c r="G22153" i="1"/>
  <c r="C22153" i="1"/>
  <c r="B22153" i="1"/>
  <c r="G22152" i="1"/>
  <c r="C22152" i="1"/>
  <c r="B22152" i="1"/>
  <c r="G22151" i="1"/>
  <c r="B22151" i="1"/>
  <c r="G22150" i="1"/>
  <c r="C22150" i="1"/>
  <c r="B22150" i="1"/>
  <c r="G22149" i="1"/>
  <c r="B22149" i="1"/>
  <c r="G22148" i="1"/>
  <c r="B22148" i="1"/>
  <c r="G22147" i="1"/>
  <c r="C22147" i="1"/>
  <c r="B22147" i="1"/>
  <c r="G22146" i="1"/>
  <c r="B22146" i="1"/>
  <c r="G22145" i="1"/>
  <c r="C22145" i="1"/>
  <c r="B22145" i="1"/>
  <c r="G22144" i="1"/>
  <c r="C22144" i="1"/>
  <c r="B22144" i="1"/>
  <c r="G22143" i="1"/>
  <c r="C22143" i="1"/>
  <c r="B22143" i="1"/>
  <c r="G22142" i="1"/>
  <c r="C22142" i="1"/>
  <c r="B22142" i="1"/>
  <c r="G22141" i="1"/>
  <c r="C22141" i="1"/>
  <c r="B22141" i="1"/>
  <c r="G22140" i="1"/>
  <c r="C22140" i="1"/>
  <c r="B22140" i="1"/>
  <c r="G22139" i="1"/>
  <c r="C22139" i="1"/>
  <c r="B22139" i="1"/>
  <c r="G22138" i="1"/>
  <c r="C22138" i="1"/>
  <c r="B22138" i="1"/>
  <c r="G22137" i="1"/>
  <c r="C22137" i="1"/>
  <c r="B22137" i="1"/>
  <c r="G22136" i="1"/>
  <c r="C22136" i="1"/>
  <c r="B22136" i="1"/>
  <c r="G22135" i="1"/>
  <c r="C22135" i="1"/>
  <c r="B22135" i="1"/>
  <c r="G22134" i="1"/>
  <c r="C22134" i="1"/>
  <c r="B22134" i="1"/>
  <c r="G22133" i="1"/>
  <c r="C22133" i="1"/>
  <c r="B22133" i="1"/>
  <c r="G22132" i="1"/>
  <c r="B22132" i="1"/>
  <c r="G22131" i="1"/>
  <c r="C22131" i="1"/>
  <c r="B22131" i="1"/>
  <c r="G22130" i="1"/>
  <c r="B22130" i="1"/>
  <c r="G22129" i="1"/>
  <c r="B22129" i="1"/>
  <c r="G22128" i="1"/>
  <c r="B22128" i="1"/>
  <c r="G22127" i="1"/>
  <c r="C22127" i="1"/>
  <c r="B22127" i="1"/>
  <c r="G22126" i="1"/>
  <c r="C22126" i="1"/>
  <c r="B22126" i="1"/>
  <c r="G22125" i="1"/>
  <c r="B22125" i="1"/>
  <c r="G22124" i="1"/>
  <c r="B22124" i="1"/>
  <c r="G22123" i="1"/>
  <c r="B22123" i="1"/>
  <c r="G22122" i="1"/>
  <c r="C22122" i="1"/>
  <c r="B22122" i="1"/>
  <c r="G22121" i="1"/>
  <c r="C22121" i="1"/>
  <c r="B22121" i="1"/>
  <c r="G22120" i="1"/>
  <c r="B22120" i="1"/>
  <c r="G22119" i="1"/>
  <c r="C22119" i="1"/>
  <c r="B22119" i="1"/>
  <c r="G22118" i="1"/>
  <c r="B22118" i="1"/>
  <c r="G22117" i="1"/>
  <c r="C22117" i="1"/>
  <c r="B22117" i="1"/>
  <c r="G22116" i="1"/>
  <c r="B22116" i="1"/>
  <c r="G22115" i="1"/>
  <c r="C22115" i="1"/>
  <c r="B22115" i="1"/>
  <c r="G22114" i="1"/>
  <c r="B22114" i="1"/>
  <c r="G22113" i="1"/>
  <c r="B22113" i="1"/>
  <c r="G22112" i="1"/>
  <c r="C22112" i="1"/>
  <c r="B22112" i="1"/>
  <c r="G22111" i="1"/>
  <c r="C22111" i="1"/>
  <c r="B22111" i="1"/>
  <c r="G22110" i="1"/>
  <c r="B22110" i="1"/>
  <c r="G22109" i="1"/>
  <c r="B22109" i="1"/>
  <c r="G22108" i="1"/>
  <c r="C22108" i="1"/>
  <c r="B22108" i="1"/>
  <c r="G22107" i="1"/>
  <c r="C22107" i="1"/>
  <c r="B22107" i="1"/>
  <c r="G22106" i="1"/>
  <c r="B22106" i="1"/>
  <c r="G22105" i="1"/>
  <c r="C22105" i="1"/>
  <c r="B22105" i="1"/>
  <c r="G22104" i="1"/>
  <c r="B22104" i="1"/>
  <c r="G22103" i="1"/>
  <c r="B22103" i="1"/>
  <c r="G22102" i="1"/>
  <c r="B22102" i="1"/>
  <c r="G22101" i="1"/>
  <c r="B22101" i="1"/>
  <c r="G22100" i="1"/>
  <c r="B22100" i="1"/>
  <c r="G22099" i="1"/>
  <c r="C22099" i="1"/>
  <c r="B22099" i="1"/>
  <c r="G22098" i="1"/>
  <c r="C22098" i="1"/>
  <c r="B22098" i="1"/>
  <c r="G22097" i="1"/>
  <c r="C22097" i="1"/>
  <c r="B22097" i="1"/>
  <c r="G22096" i="1"/>
  <c r="C22096" i="1"/>
  <c r="B22096" i="1"/>
  <c r="G22095" i="1"/>
  <c r="B22095" i="1"/>
  <c r="G22094" i="1"/>
  <c r="C22094" i="1"/>
  <c r="B22094" i="1"/>
  <c r="G22093" i="1"/>
  <c r="B22093" i="1"/>
  <c r="G22092" i="1"/>
  <c r="B22092" i="1"/>
  <c r="G22091" i="1"/>
  <c r="C22091" i="1"/>
  <c r="B22091" i="1"/>
  <c r="G22090" i="1"/>
  <c r="C22090" i="1"/>
  <c r="B22090" i="1"/>
  <c r="G22089" i="1"/>
  <c r="C22089" i="1"/>
  <c r="B22089" i="1"/>
  <c r="G22088" i="1"/>
  <c r="C22088" i="1"/>
  <c r="B22088" i="1"/>
  <c r="G22087" i="1"/>
  <c r="C22087" i="1"/>
  <c r="B22087" i="1"/>
  <c r="G22086" i="1"/>
  <c r="C22086" i="1"/>
  <c r="B22086" i="1"/>
  <c r="G22085" i="1"/>
  <c r="B22085" i="1"/>
  <c r="G22084" i="1"/>
  <c r="C22084" i="1"/>
  <c r="B22084" i="1"/>
  <c r="G22083" i="1"/>
  <c r="B22083" i="1"/>
  <c r="G22082" i="1"/>
  <c r="B22082" i="1"/>
  <c r="G22081" i="1"/>
  <c r="C22081" i="1"/>
  <c r="B22081" i="1"/>
  <c r="G22080" i="1"/>
  <c r="C22080" i="1"/>
  <c r="B22080" i="1"/>
  <c r="G22079" i="1"/>
  <c r="C22079" i="1"/>
  <c r="B22079" i="1"/>
  <c r="G22078" i="1"/>
  <c r="B22078" i="1"/>
  <c r="G22077" i="1"/>
  <c r="C22077" i="1"/>
  <c r="B22077" i="1"/>
  <c r="G22076" i="1"/>
  <c r="C22076" i="1"/>
  <c r="B22076" i="1"/>
  <c r="G22075" i="1"/>
  <c r="C22075" i="1"/>
  <c r="B22075" i="1"/>
  <c r="G22074" i="1"/>
  <c r="B22074" i="1"/>
  <c r="G22073" i="1"/>
  <c r="C22073" i="1"/>
  <c r="B22073" i="1"/>
  <c r="G22072" i="1"/>
  <c r="B22072" i="1"/>
  <c r="G22071" i="1"/>
  <c r="C22071" i="1"/>
  <c r="B22071" i="1"/>
  <c r="G22070" i="1"/>
  <c r="C22070" i="1"/>
  <c r="B22070" i="1"/>
  <c r="G22069" i="1"/>
  <c r="B22069" i="1"/>
  <c r="G22068" i="1"/>
  <c r="C22068" i="1"/>
  <c r="B22068" i="1"/>
  <c r="G22067" i="1"/>
  <c r="B22067" i="1"/>
  <c r="G22066" i="1"/>
  <c r="B22066" i="1"/>
  <c r="G22065" i="1"/>
  <c r="B22065" i="1"/>
  <c r="G22064" i="1"/>
  <c r="C22064" i="1"/>
  <c r="B22064" i="1"/>
  <c r="G22063" i="1"/>
  <c r="C22063" i="1"/>
  <c r="B22063" i="1"/>
  <c r="G22062" i="1"/>
  <c r="C22062" i="1"/>
  <c r="B22062" i="1"/>
  <c r="G22061" i="1"/>
  <c r="C22061" i="1"/>
  <c r="B22061" i="1"/>
  <c r="G22060" i="1"/>
  <c r="B22060" i="1"/>
  <c r="G22059" i="1"/>
  <c r="C22059" i="1"/>
  <c r="B22059" i="1"/>
  <c r="G22058" i="1"/>
  <c r="C22058" i="1"/>
  <c r="B22058" i="1"/>
  <c r="G22057" i="1"/>
  <c r="C22057" i="1"/>
  <c r="B22057" i="1"/>
  <c r="G22056" i="1"/>
  <c r="C22056" i="1"/>
  <c r="B22056" i="1"/>
  <c r="G22055" i="1"/>
  <c r="B22055" i="1"/>
  <c r="G22054" i="1"/>
  <c r="C22054" i="1"/>
  <c r="B22054" i="1"/>
  <c r="G22053" i="1"/>
  <c r="B22053" i="1"/>
  <c r="G22052" i="1"/>
  <c r="C22052" i="1"/>
  <c r="B22052" i="1"/>
  <c r="G22051" i="1"/>
  <c r="B22051" i="1"/>
  <c r="G22050" i="1"/>
  <c r="B22050" i="1"/>
  <c r="G22049" i="1"/>
  <c r="C22049" i="1"/>
  <c r="B22049" i="1"/>
  <c r="G22048" i="1"/>
  <c r="B22048" i="1"/>
  <c r="G22047" i="1"/>
  <c r="C22047" i="1"/>
  <c r="B22047" i="1"/>
  <c r="G22046" i="1"/>
  <c r="C22046" i="1"/>
  <c r="B22046" i="1"/>
  <c r="G22045" i="1"/>
  <c r="B22045" i="1"/>
  <c r="G22044" i="1"/>
  <c r="C22044" i="1"/>
  <c r="B22044" i="1"/>
  <c r="G22043" i="1"/>
  <c r="B22043" i="1"/>
  <c r="G22042" i="1"/>
  <c r="B22042" i="1"/>
  <c r="G22041" i="1"/>
  <c r="B22041" i="1"/>
  <c r="G22040" i="1"/>
  <c r="C22040" i="1"/>
  <c r="B22040" i="1"/>
  <c r="G22039" i="1"/>
  <c r="C22039" i="1"/>
  <c r="B22039" i="1"/>
  <c r="G22038" i="1"/>
  <c r="B22038" i="1"/>
  <c r="G22037" i="1"/>
  <c r="C22037" i="1"/>
  <c r="B22037" i="1"/>
  <c r="G22036" i="1"/>
  <c r="C22036" i="1"/>
  <c r="B22036" i="1"/>
  <c r="G22035" i="1"/>
  <c r="C22035" i="1"/>
  <c r="B22035" i="1"/>
  <c r="G22034" i="1"/>
  <c r="C22034" i="1"/>
  <c r="B22034" i="1"/>
  <c r="G22033" i="1"/>
  <c r="B22033" i="1"/>
  <c r="G22032" i="1"/>
  <c r="C22032" i="1"/>
  <c r="B22032" i="1"/>
  <c r="G22031" i="1"/>
  <c r="C22031" i="1"/>
  <c r="B22031" i="1"/>
  <c r="G22030" i="1"/>
  <c r="C22030" i="1"/>
  <c r="B22030" i="1"/>
  <c r="G22029" i="1"/>
  <c r="B22029" i="1"/>
  <c r="G22028" i="1"/>
  <c r="B22028" i="1"/>
  <c r="G22027" i="1"/>
  <c r="B22027" i="1"/>
  <c r="G22026" i="1"/>
  <c r="B22026" i="1"/>
  <c r="G22025" i="1"/>
  <c r="B22025" i="1"/>
  <c r="G22024" i="1"/>
  <c r="C22024" i="1"/>
  <c r="B22024" i="1"/>
  <c r="G22023" i="1"/>
  <c r="B22023" i="1"/>
  <c r="G22022" i="1"/>
  <c r="C22022" i="1"/>
  <c r="B22022" i="1"/>
  <c r="G22021" i="1"/>
  <c r="C22021" i="1"/>
  <c r="B22021" i="1"/>
  <c r="G22020" i="1"/>
  <c r="C22020" i="1"/>
  <c r="B22020" i="1"/>
  <c r="G22019" i="1"/>
  <c r="B22019" i="1"/>
  <c r="G22018" i="1"/>
  <c r="C22018" i="1"/>
  <c r="B22018" i="1"/>
  <c r="G22017" i="1"/>
  <c r="C22017" i="1"/>
  <c r="B22017" i="1"/>
  <c r="G22016" i="1"/>
  <c r="B22016" i="1"/>
  <c r="G22015" i="1"/>
  <c r="B22015" i="1"/>
  <c r="G22014" i="1"/>
  <c r="C22014" i="1"/>
  <c r="B22014" i="1"/>
  <c r="G22013" i="1"/>
  <c r="C22013" i="1"/>
  <c r="B22013" i="1"/>
  <c r="G22012" i="1"/>
  <c r="B22012" i="1"/>
  <c r="G22011" i="1"/>
  <c r="B22011" i="1"/>
  <c r="G22010" i="1"/>
  <c r="C22010" i="1"/>
  <c r="B22010" i="1"/>
  <c r="G22009" i="1"/>
  <c r="B22009" i="1"/>
  <c r="G22008" i="1"/>
  <c r="B22008" i="1"/>
  <c r="G22007" i="1"/>
  <c r="C22007" i="1"/>
  <c r="B22007" i="1"/>
  <c r="G22006" i="1"/>
  <c r="C22006" i="1"/>
  <c r="B22006" i="1"/>
  <c r="G22005" i="1"/>
  <c r="C22005" i="1"/>
  <c r="B22005" i="1"/>
  <c r="G22004" i="1"/>
  <c r="C22004" i="1"/>
  <c r="B22004" i="1"/>
  <c r="G22003" i="1"/>
  <c r="C22003" i="1"/>
  <c r="B22003" i="1"/>
  <c r="G22002" i="1"/>
  <c r="C22002" i="1"/>
  <c r="B22002" i="1"/>
  <c r="G22001" i="1"/>
  <c r="C22001" i="1"/>
  <c r="B22001" i="1"/>
  <c r="G22000" i="1"/>
  <c r="B22000" i="1"/>
  <c r="G21999" i="1"/>
  <c r="C21999" i="1"/>
  <c r="B21999" i="1"/>
  <c r="G21998" i="1"/>
  <c r="B21998" i="1"/>
  <c r="G21997" i="1"/>
  <c r="C21997" i="1"/>
  <c r="B21997" i="1"/>
  <c r="G21996" i="1"/>
  <c r="C21996" i="1"/>
  <c r="B21996" i="1"/>
  <c r="G21995" i="1"/>
  <c r="C21995" i="1"/>
  <c r="B21995" i="1"/>
  <c r="G21994" i="1"/>
  <c r="C21994" i="1"/>
  <c r="B21994" i="1"/>
  <c r="G21993" i="1"/>
  <c r="B21993" i="1"/>
  <c r="G21992" i="1"/>
  <c r="C21992" i="1"/>
  <c r="B21992" i="1"/>
  <c r="G21991" i="1"/>
  <c r="C21991" i="1"/>
  <c r="B21991" i="1"/>
  <c r="G21990" i="1"/>
  <c r="C21990" i="1"/>
  <c r="B21990" i="1"/>
  <c r="G21989" i="1"/>
  <c r="C21989" i="1"/>
  <c r="B21989" i="1"/>
  <c r="G21988" i="1"/>
  <c r="B21988" i="1"/>
  <c r="G21987" i="1"/>
  <c r="B21987" i="1"/>
  <c r="G21986" i="1"/>
  <c r="C21986" i="1"/>
  <c r="B21986" i="1"/>
  <c r="G21985" i="1"/>
  <c r="C21985" i="1"/>
  <c r="B21985" i="1"/>
  <c r="G21984" i="1"/>
  <c r="C21984" i="1"/>
  <c r="B21984" i="1"/>
  <c r="G21983" i="1"/>
  <c r="C21983" i="1"/>
  <c r="B21983" i="1"/>
  <c r="G21982" i="1"/>
  <c r="B21982" i="1"/>
  <c r="G21981" i="1"/>
  <c r="C21981" i="1"/>
  <c r="B21981" i="1"/>
  <c r="G21980" i="1"/>
  <c r="B21980" i="1"/>
  <c r="G21979" i="1"/>
  <c r="B21979" i="1"/>
  <c r="G21978" i="1"/>
  <c r="B21978" i="1"/>
  <c r="G21977" i="1"/>
  <c r="C21977" i="1"/>
  <c r="B21977" i="1"/>
  <c r="G21976" i="1"/>
  <c r="C21976" i="1"/>
  <c r="B21976" i="1"/>
  <c r="G21975" i="1"/>
  <c r="C21975" i="1"/>
  <c r="B21975" i="1"/>
  <c r="G21974" i="1"/>
  <c r="C21974" i="1"/>
  <c r="B21974" i="1"/>
  <c r="G21973" i="1"/>
  <c r="B21973" i="1"/>
  <c r="G21972" i="1"/>
  <c r="B21972" i="1"/>
  <c r="G21971" i="1"/>
  <c r="C21971" i="1"/>
  <c r="B21971" i="1"/>
  <c r="G21970" i="1"/>
  <c r="C21970" i="1"/>
  <c r="B21970" i="1"/>
  <c r="G21969" i="1"/>
  <c r="C21969" i="1"/>
  <c r="B21969" i="1"/>
  <c r="G21968" i="1"/>
  <c r="C21968" i="1"/>
  <c r="B21968" i="1"/>
  <c r="G21967" i="1"/>
  <c r="C21967" i="1"/>
  <c r="B21967" i="1"/>
  <c r="G21966" i="1"/>
  <c r="C21966" i="1"/>
  <c r="B21966" i="1"/>
  <c r="G21965" i="1"/>
  <c r="C21965" i="1"/>
  <c r="B21965" i="1"/>
  <c r="G21964" i="1"/>
  <c r="B21964" i="1"/>
  <c r="G21963" i="1"/>
  <c r="C21963" i="1"/>
  <c r="B21963" i="1"/>
  <c r="G21962" i="1"/>
  <c r="C21962" i="1"/>
  <c r="B21962" i="1"/>
  <c r="G21961" i="1"/>
  <c r="C21961" i="1"/>
  <c r="B21961" i="1"/>
  <c r="G21960" i="1"/>
  <c r="C21960" i="1"/>
  <c r="B21960" i="1"/>
  <c r="G21959" i="1"/>
  <c r="C21959" i="1"/>
  <c r="B21959" i="1"/>
  <c r="G21958" i="1"/>
  <c r="B21958" i="1"/>
  <c r="G21957" i="1"/>
  <c r="C21957" i="1"/>
  <c r="B21957" i="1"/>
  <c r="G21956" i="1"/>
  <c r="C21956" i="1"/>
  <c r="B21956" i="1"/>
  <c r="G21955" i="1"/>
  <c r="C21955" i="1"/>
  <c r="B21955" i="1"/>
  <c r="G21954" i="1"/>
  <c r="B21954" i="1"/>
  <c r="G21953" i="1"/>
  <c r="B21953" i="1"/>
  <c r="G21952" i="1"/>
  <c r="B21952" i="1"/>
  <c r="G21951" i="1"/>
  <c r="C21951" i="1"/>
  <c r="B21951" i="1"/>
  <c r="G21950" i="1"/>
  <c r="C21950" i="1"/>
  <c r="B21950" i="1"/>
  <c r="G21949" i="1"/>
  <c r="C21949" i="1"/>
  <c r="B21949" i="1"/>
  <c r="G21948" i="1"/>
  <c r="C21948" i="1"/>
  <c r="B21948" i="1"/>
  <c r="G21947" i="1"/>
  <c r="C21947" i="1"/>
  <c r="B21947" i="1"/>
  <c r="G21946" i="1"/>
  <c r="C21946" i="1"/>
  <c r="B21946" i="1"/>
  <c r="G21945" i="1"/>
  <c r="C21945" i="1"/>
  <c r="B21945" i="1"/>
  <c r="G21944" i="1"/>
  <c r="C21944" i="1"/>
  <c r="B21944" i="1"/>
  <c r="G21943" i="1"/>
  <c r="B21943" i="1"/>
  <c r="G21942" i="1"/>
  <c r="B21942" i="1"/>
  <c r="G21941" i="1"/>
  <c r="B21941" i="1"/>
  <c r="G21940" i="1"/>
  <c r="C21940" i="1"/>
  <c r="B21940" i="1"/>
  <c r="G21939" i="1"/>
  <c r="C21939" i="1"/>
  <c r="B21939" i="1"/>
  <c r="G21938" i="1"/>
  <c r="B21938" i="1"/>
  <c r="G21937" i="1"/>
  <c r="C21937" i="1"/>
  <c r="B21937" i="1"/>
  <c r="G21936" i="1"/>
  <c r="C21936" i="1"/>
  <c r="B21936" i="1"/>
  <c r="G21935" i="1"/>
  <c r="C21935" i="1"/>
  <c r="B21935" i="1"/>
  <c r="G21934" i="1"/>
  <c r="C21934" i="1"/>
  <c r="B21934" i="1"/>
  <c r="G21933" i="1"/>
  <c r="C21933" i="1"/>
  <c r="B21933" i="1"/>
  <c r="G21932" i="1"/>
  <c r="C21932" i="1"/>
  <c r="B21932" i="1"/>
  <c r="G21931" i="1"/>
  <c r="C21931" i="1"/>
  <c r="B21931" i="1"/>
  <c r="G21930" i="1"/>
  <c r="B21930" i="1"/>
  <c r="G21929" i="1"/>
  <c r="C21929" i="1"/>
  <c r="B21929" i="1"/>
  <c r="G21928" i="1"/>
  <c r="C21928" i="1"/>
  <c r="B21928" i="1"/>
  <c r="G21927" i="1"/>
  <c r="B21927" i="1"/>
  <c r="G21926" i="1"/>
  <c r="B21926" i="1"/>
  <c r="G21925" i="1"/>
  <c r="C21925" i="1"/>
  <c r="B21925" i="1"/>
  <c r="G21924" i="1"/>
  <c r="C21924" i="1"/>
  <c r="B21924" i="1"/>
  <c r="G21923" i="1"/>
  <c r="C21923" i="1"/>
  <c r="B21923" i="1"/>
  <c r="G21922" i="1"/>
  <c r="C21922" i="1"/>
  <c r="B21922" i="1"/>
  <c r="G21921" i="1"/>
  <c r="C21921" i="1"/>
  <c r="B21921" i="1"/>
  <c r="G21920" i="1"/>
  <c r="B21920" i="1"/>
  <c r="G21919" i="1"/>
  <c r="C21919" i="1"/>
  <c r="B21919" i="1"/>
  <c r="G21918" i="1"/>
  <c r="C21918" i="1"/>
  <c r="B21918" i="1"/>
  <c r="G21917" i="1"/>
  <c r="C21917" i="1"/>
  <c r="B21917" i="1"/>
  <c r="G21916" i="1"/>
  <c r="B21916" i="1"/>
  <c r="G21915" i="1"/>
  <c r="C21915" i="1"/>
  <c r="B21915" i="1"/>
  <c r="G21914" i="1"/>
  <c r="C21914" i="1"/>
  <c r="B21914" i="1"/>
  <c r="G21913" i="1"/>
  <c r="C21913" i="1"/>
  <c r="B21913" i="1"/>
  <c r="G21912" i="1"/>
  <c r="B21912" i="1"/>
  <c r="G21911" i="1"/>
  <c r="B21911" i="1"/>
  <c r="G21910" i="1"/>
  <c r="B21910" i="1"/>
  <c r="G21909" i="1"/>
  <c r="C21909" i="1"/>
  <c r="B21909" i="1"/>
  <c r="G21908" i="1"/>
  <c r="C21908" i="1"/>
  <c r="B21908" i="1"/>
  <c r="G21907" i="1"/>
  <c r="C21907" i="1"/>
  <c r="B21907" i="1"/>
  <c r="G21906" i="1"/>
  <c r="B21906" i="1"/>
  <c r="G21905" i="1"/>
  <c r="C21905" i="1"/>
  <c r="B21905" i="1"/>
  <c r="G21904" i="1"/>
  <c r="C21904" i="1"/>
  <c r="B21904" i="1"/>
  <c r="G21903" i="1"/>
  <c r="B21903" i="1"/>
  <c r="G21902" i="1"/>
  <c r="C21902" i="1"/>
  <c r="B21902" i="1"/>
  <c r="G21901" i="1"/>
  <c r="C21901" i="1"/>
  <c r="B21901" i="1"/>
  <c r="G21900" i="1"/>
  <c r="C21900" i="1"/>
  <c r="B21900" i="1"/>
  <c r="G21899" i="1"/>
  <c r="B21899" i="1"/>
  <c r="G21898" i="1"/>
  <c r="B21898" i="1"/>
  <c r="G21897" i="1"/>
  <c r="B21897" i="1"/>
  <c r="G21896" i="1"/>
  <c r="C21896" i="1"/>
  <c r="B21896" i="1"/>
  <c r="G21895" i="1"/>
  <c r="B21895" i="1"/>
  <c r="G21894" i="1"/>
  <c r="C21894" i="1"/>
  <c r="B21894" i="1"/>
  <c r="G21893" i="1"/>
  <c r="C21893" i="1"/>
  <c r="B21893" i="1"/>
  <c r="G21892" i="1"/>
  <c r="C21892" i="1"/>
  <c r="B21892" i="1"/>
  <c r="G21891" i="1"/>
  <c r="B21891" i="1"/>
  <c r="G21890" i="1"/>
  <c r="B21890" i="1"/>
  <c r="G21889" i="1"/>
  <c r="C21889" i="1"/>
  <c r="B21889" i="1"/>
  <c r="G21888" i="1"/>
  <c r="C21888" i="1"/>
  <c r="B21888" i="1"/>
  <c r="G21887" i="1"/>
  <c r="C21887" i="1"/>
  <c r="B21887" i="1"/>
  <c r="G21886" i="1"/>
  <c r="C21886" i="1"/>
  <c r="B21886" i="1"/>
  <c r="G21885" i="1"/>
  <c r="B21885" i="1"/>
  <c r="G21884" i="1"/>
  <c r="C21884" i="1"/>
  <c r="B21884" i="1"/>
  <c r="G21883" i="1"/>
  <c r="B21883" i="1"/>
  <c r="G21882" i="1"/>
  <c r="B21882" i="1"/>
  <c r="G21881" i="1"/>
  <c r="B21881" i="1"/>
  <c r="G21880" i="1"/>
  <c r="C21880" i="1"/>
  <c r="B21880" i="1"/>
  <c r="G21879" i="1"/>
  <c r="B21879" i="1"/>
  <c r="G21878" i="1"/>
  <c r="B21878" i="1"/>
  <c r="G21877" i="1"/>
  <c r="C21877" i="1"/>
  <c r="B21877" i="1"/>
  <c r="G21876" i="1"/>
  <c r="C21876" i="1"/>
  <c r="B21876" i="1"/>
  <c r="G21875" i="1"/>
  <c r="B21875" i="1"/>
  <c r="G21874" i="1"/>
  <c r="C21874" i="1"/>
  <c r="B21874" i="1"/>
  <c r="G21873" i="1"/>
  <c r="C21873" i="1"/>
  <c r="B21873" i="1"/>
  <c r="G21872" i="1"/>
  <c r="C21872" i="1"/>
  <c r="B21872" i="1"/>
  <c r="G21871" i="1"/>
  <c r="B21871" i="1"/>
  <c r="G21870" i="1"/>
  <c r="B21870" i="1"/>
  <c r="G21869" i="1"/>
  <c r="B21869" i="1"/>
  <c r="G21868" i="1"/>
  <c r="B21868" i="1"/>
  <c r="G21867" i="1"/>
  <c r="C21867" i="1"/>
  <c r="B21867" i="1"/>
  <c r="G21866" i="1"/>
  <c r="C21866" i="1"/>
  <c r="B21866" i="1"/>
  <c r="G21865" i="1"/>
  <c r="B21865" i="1"/>
  <c r="G21864" i="1"/>
  <c r="B21864" i="1"/>
  <c r="G21863" i="1"/>
  <c r="B21863" i="1"/>
  <c r="G21862" i="1"/>
  <c r="C21862" i="1"/>
  <c r="B21862" i="1"/>
  <c r="G21861" i="1"/>
  <c r="C21861" i="1"/>
  <c r="B21861" i="1"/>
  <c r="G21860" i="1"/>
  <c r="C21860" i="1"/>
  <c r="B21860" i="1"/>
  <c r="G21859" i="1"/>
  <c r="C21859" i="1"/>
  <c r="B21859" i="1"/>
  <c r="G21858" i="1"/>
  <c r="C21858" i="1"/>
  <c r="B21858" i="1"/>
  <c r="G21857" i="1"/>
  <c r="C21857" i="1"/>
  <c r="B21857" i="1"/>
  <c r="G21856" i="1"/>
  <c r="C21856" i="1"/>
  <c r="B21856" i="1"/>
  <c r="G21855" i="1"/>
  <c r="C21855" i="1"/>
  <c r="B21855" i="1"/>
  <c r="G21854" i="1"/>
  <c r="C21854" i="1"/>
  <c r="B21854" i="1"/>
  <c r="G21853" i="1"/>
  <c r="C21853" i="1"/>
  <c r="B21853" i="1"/>
  <c r="G21852" i="1"/>
  <c r="B21852" i="1"/>
  <c r="G21851" i="1"/>
  <c r="C21851" i="1"/>
  <c r="B21851" i="1"/>
  <c r="G21850" i="1"/>
  <c r="C21850" i="1"/>
  <c r="B21850" i="1"/>
  <c r="G21849" i="1"/>
  <c r="C21849" i="1"/>
  <c r="B21849" i="1"/>
  <c r="G21848" i="1"/>
  <c r="B21848" i="1"/>
  <c r="G21847" i="1"/>
  <c r="C21847" i="1"/>
  <c r="B21847" i="1"/>
  <c r="G21846" i="1"/>
  <c r="C21846" i="1"/>
  <c r="B21846" i="1"/>
  <c r="G21845" i="1"/>
  <c r="C21845" i="1"/>
  <c r="B21845" i="1"/>
  <c r="G21844" i="1"/>
  <c r="B21844" i="1"/>
  <c r="G21843" i="1"/>
  <c r="C21843" i="1"/>
  <c r="B21843" i="1"/>
  <c r="G21842" i="1"/>
  <c r="C21842" i="1"/>
  <c r="B21842" i="1"/>
  <c r="G21841" i="1"/>
  <c r="C21841" i="1"/>
  <c r="B21841" i="1"/>
  <c r="G21840" i="1"/>
  <c r="B21840" i="1"/>
  <c r="G21839" i="1"/>
  <c r="B21839" i="1"/>
  <c r="G21838" i="1"/>
  <c r="C21838" i="1"/>
  <c r="B21838" i="1"/>
  <c r="G21837" i="1"/>
  <c r="B21837" i="1"/>
  <c r="G21836" i="1"/>
  <c r="C21836" i="1"/>
  <c r="B21836" i="1"/>
  <c r="G21835" i="1"/>
  <c r="C21835" i="1"/>
  <c r="B21835" i="1"/>
  <c r="G21834" i="1"/>
  <c r="C21834" i="1"/>
  <c r="B21834" i="1"/>
  <c r="G21833" i="1"/>
  <c r="C21833" i="1"/>
  <c r="B21833" i="1"/>
  <c r="G21832" i="1"/>
  <c r="B21832" i="1"/>
  <c r="G21831" i="1"/>
  <c r="C21831" i="1"/>
  <c r="B21831" i="1"/>
  <c r="G21830" i="1"/>
  <c r="B21830" i="1"/>
  <c r="G21829" i="1"/>
  <c r="B21829" i="1"/>
  <c r="G21828" i="1"/>
  <c r="C21828" i="1"/>
  <c r="B21828" i="1"/>
  <c r="G21827" i="1"/>
  <c r="C21827" i="1"/>
  <c r="B21827" i="1"/>
  <c r="G21826" i="1"/>
  <c r="B21826" i="1"/>
  <c r="G21825" i="1"/>
  <c r="C21825" i="1"/>
  <c r="B21825" i="1"/>
  <c r="G21824" i="1"/>
  <c r="C21824" i="1"/>
  <c r="B21824" i="1"/>
  <c r="G21823" i="1"/>
  <c r="C21823" i="1"/>
  <c r="B21823" i="1"/>
  <c r="G21822" i="1"/>
  <c r="B21822" i="1"/>
  <c r="G21821" i="1"/>
  <c r="C21821" i="1"/>
  <c r="B21821" i="1"/>
  <c r="G21820" i="1"/>
  <c r="C21820" i="1"/>
  <c r="B21820" i="1"/>
  <c r="G21819" i="1"/>
  <c r="C21819" i="1"/>
  <c r="B21819" i="1"/>
  <c r="G21818" i="1"/>
  <c r="C21818" i="1"/>
  <c r="B21818" i="1"/>
  <c r="G21817" i="1"/>
  <c r="B21817" i="1"/>
  <c r="G21816" i="1"/>
  <c r="C21816" i="1"/>
  <c r="B21816" i="1"/>
  <c r="G21815" i="1"/>
  <c r="C21815" i="1"/>
  <c r="B21815" i="1"/>
  <c r="G21814" i="1"/>
  <c r="C21814" i="1"/>
  <c r="B21814" i="1"/>
  <c r="G21813" i="1"/>
  <c r="B21813" i="1"/>
  <c r="G21812" i="1"/>
  <c r="C21812" i="1"/>
  <c r="B21812" i="1"/>
  <c r="G21811" i="1"/>
  <c r="C21811" i="1"/>
  <c r="B21811" i="1"/>
  <c r="G21810" i="1"/>
  <c r="C21810" i="1"/>
  <c r="B21810" i="1"/>
  <c r="G21809" i="1"/>
  <c r="B21809" i="1"/>
  <c r="G21808" i="1"/>
  <c r="C21808" i="1"/>
  <c r="B21808" i="1"/>
  <c r="G21807" i="1"/>
  <c r="B21807" i="1"/>
  <c r="G21806" i="1"/>
  <c r="C21806" i="1"/>
  <c r="B21806" i="1"/>
  <c r="G21805" i="1"/>
  <c r="C21805" i="1"/>
  <c r="B21805" i="1"/>
  <c r="G21804" i="1"/>
  <c r="C21804" i="1"/>
  <c r="B21804" i="1"/>
  <c r="G21803" i="1"/>
  <c r="C21803" i="1"/>
  <c r="B21803" i="1"/>
  <c r="G21802" i="1"/>
  <c r="B21802" i="1"/>
  <c r="G21801" i="1"/>
  <c r="C21801" i="1"/>
  <c r="B21801" i="1"/>
  <c r="G21800" i="1"/>
  <c r="C21800" i="1"/>
  <c r="B21800" i="1"/>
  <c r="G21799" i="1"/>
  <c r="B21799" i="1"/>
  <c r="G21798" i="1"/>
  <c r="C21798" i="1"/>
  <c r="B21798" i="1"/>
  <c r="G21797" i="1"/>
  <c r="C21797" i="1"/>
  <c r="B21797" i="1"/>
  <c r="G21796" i="1"/>
  <c r="C21796" i="1"/>
  <c r="B21796" i="1"/>
  <c r="G21795" i="1"/>
  <c r="C21795" i="1"/>
  <c r="B21795" i="1"/>
  <c r="G21794" i="1"/>
  <c r="B21794" i="1"/>
  <c r="G21793" i="1"/>
  <c r="C21793" i="1"/>
  <c r="B21793" i="1"/>
  <c r="G21792" i="1"/>
  <c r="C21792" i="1"/>
  <c r="B21792" i="1"/>
  <c r="G21791" i="1"/>
  <c r="B21791" i="1"/>
  <c r="G21790" i="1"/>
  <c r="B21790" i="1"/>
  <c r="G21789" i="1"/>
  <c r="C21789" i="1"/>
  <c r="B21789" i="1"/>
  <c r="G21788" i="1"/>
  <c r="C21788" i="1"/>
  <c r="B21788" i="1"/>
  <c r="G21787" i="1"/>
  <c r="C21787" i="1"/>
  <c r="B21787" i="1"/>
  <c r="G21786" i="1"/>
  <c r="C21786" i="1"/>
  <c r="B21786" i="1"/>
  <c r="G21785" i="1"/>
  <c r="B21785" i="1"/>
  <c r="G21784" i="1"/>
  <c r="C21784" i="1"/>
  <c r="B21784" i="1"/>
  <c r="G21783" i="1"/>
  <c r="C21783" i="1"/>
  <c r="B21783" i="1"/>
  <c r="G21782" i="1"/>
  <c r="C21782" i="1"/>
  <c r="B21782" i="1"/>
  <c r="G21781" i="1"/>
  <c r="B21781" i="1"/>
  <c r="G21780" i="1"/>
  <c r="B21780" i="1"/>
  <c r="G21779" i="1"/>
  <c r="C21779" i="1"/>
  <c r="B21779" i="1"/>
  <c r="G21778" i="1"/>
  <c r="C21778" i="1"/>
  <c r="B21778" i="1"/>
  <c r="G21777" i="1"/>
  <c r="B21777" i="1"/>
  <c r="G21776" i="1"/>
  <c r="B21776" i="1"/>
  <c r="G21775" i="1"/>
  <c r="B21775" i="1"/>
  <c r="G21774" i="1"/>
  <c r="C21774" i="1"/>
  <c r="B21774" i="1"/>
  <c r="G21773" i="1"/>
  <c r="C21773" i="1"/>
  <c r="B21773" i="1"/>
  <c r="G21772" i="1"/>
  <c r="C21772" i="1"/>
  <c r="B21772" i="1"/>
  <c r="G21771" i="1"/>
  <c r="B21771" i="1"/>
  <c r="G21770" i="1"/>
  <c r="C21770" i="1"/>
  <c r="B21770" i="1"/>
  <c r="G21769" i="1"/>
  <c r="C21769" i="1"/>
  <c r="B21769" i="1"/>
  <c r="G21768" i="1"/>
  <c r="B21768" i="1"/>
  <c r="G21767" i="1"/>
  <c r="C21767" i="1"/>
  <c r="B21767" i="1"/>
  <c r="G21766" i="1"/>
  <c r="C21766" i="1"/>
  <c r="B21766" i="1"/>
  <c r="G21765" i="1"/>
  <c r="C21765" i="1"/>
  <c r="B21765" i="1"/>
  <c r="G21764" i="1"/>
  <c r="C21764" i="1"/>
  <c r="B21764" i="1"/>
  <c r="G21763" i="1"/>
  <c r="B21763" i="1"/>
  <c r="G21762" i="1"/>
  <c r="C21762" i="1"/>
  <c r="B21762" i="1"/>
  <c r="G21761" i="1"/>
  <c r="B21761" i="1"/>
  <c r="G21760" i="1"/>
  <c r="C21760" i="1"/>
  <c r="B21760" i="1"/>
  <c r="G21759" i="1"/>
  <c r="C21759" i="1"/>
  <c r="B21759" i="1"/>
  <c r="G21758" i="1"/>
  <c r="B21758" i="1"/>
  <c r="G21757" i="1"/>
  <c r="C21757" i="1"/>
  <c r="B21757" i="1"/>
  <c r="G21756" i="1"/>
  <c r="C21756" i="1"/>
  <c r="B21756" i="1"/>
  <c r="G21755" i="1"/>
  <c r="C21755" i="1"/>
  <c r="B21755" i="1"/>
  <c r="G21754" i="1"/>
  <c r="C21754" i="1"/>
  <c r="B21754" i="1"/>
  <c r="G21753" i="1"/>
  <c r="C21753" i="1"/>
  <c r="B21753" i="1"/>
  <c r="G21752" i="1"/>
  <c r="B21752" i="1"/>
  <c r="G21751" i="1"/>
  <c r="C21751" i="1"/>
  <c r="B21751" i="1"/>
  <c r="G21750" i="1"/>
  <c r="C21750" i="1"/>
  <c r="B21750" i="1"/>
  <c r="G21749" i="1"/>
  <c r="B21749" i="1"/>
  <c r="G21748" i="1"/>
  <c r="C21748" i="1"/>
  <c r="B21748" i="1"/>
  <c r="G21747" i="1"/>
  <c r="B21747" i="1"/>
  <c r="G21746" i="1"/>
  <c r="B21746" i="1"/>
  <c r="G21745" i="1"/>
  <c r="C21745" i="1"/>
  <c r="B21745" i="1"/>
  <c r="G21744" i="1"/>
  <c r="C21744" i="1"/>
  <c r="B21744" i="1"/>
  <c r="G21743" i="1"/>
  <c r="C21743" i="1"/>
  <c r="B21743" i="1"/>
  <c r="G21742" i="1"/>
  <c r="B21742" i="1"/>
  <c r="G21741" i="1"/>
  <c r="C21741" i="1"/>
  <c r="B21741" i="1"/>
  <c r="G21740" i="1"/>
  <c r="C21740" i="1"/>
  <c r="B21740" i="1"/>
  <c r="G21739" i="1"/>
  <c r="C21739" i="1"/>
  <c r="B21739" i="1"/>
  <c r="G21738" i="1"/>
  <c r="B21738" i="1"/>
  <c r="G21737" i="1"/>
  <c r="C21737" i="1"/>
  <c r="B21737" i="1"/>
  <c r="G21736" i="1"/>
  <c r="C21736" i="1"/>
  <c r="B21736" i="1"/>
  <c r="G21735" i="1"/>
  <c r="B21735" i="1"/>
  <c r="G21734" i="1"/>
  <c r="B21734" i="1"/>
  <c r="G21733" i="1"/>
  <c r="B21733" i="1"/>
  <c r="G21732" i="1"/>
  <c r="B21732" i="1"/>
  <c r="G21731" i="1"/>
  <c r="C21731" i="1"/>
  <c r="B21731" i="1"/>
  <c r="G21730" i="1"/>
  <c r="B21730" i="1"/>
  <c r="G21729" i="1"/>
  <c r="C21729" i="1"/>
  <c r="B21729" i="1"/>
  <c r="G21728" i="1"/>
  <c r="B21728" i="1"/>
  <c r="G21727" i="1"/>
  <c r="C21727" i="1"/>
  <c r="B21727" i="1"/>
  <c r="G21726" i="1"/>
  <c r="C21726" i="1"/>
  <c r="B21726" i="1"/>
  <c r="G21725" i="1"/>
  <c r="C21725" i="1"/>
  <c r="B21725" i="1"/>
  <c r="G21724" i="1"/>
  <c r="C21724" i="1"/>
  <c r="B21724" i="1"/>
  <c r="G21723" i="1"/>
  <c r="B21723" i="1"/>
  <c r="G21722" i="1"/>
  <c r="C21722" i="1"/>
  <c r="B21722" i="1"/>
  <c r="G21721" i="1"/>
  <c r="C21721" i="1"/>
  <c r="B21721" i="1"/>
  <c r="G21720" i="1"/>
  <c r="B21720" i="1"/>
  <c r="G21719" i="1"/>
  <c r="B21719" i="1"/>
  <c r="G21718" i="1"/>
  <c r="C21718" i="1"/>
  <c r="B21718" i="1"/>
  <c r="G21717" i="1"/>
  <c r="C21717" i="1"/>
  <c r="B21717" i="1"/>
  <c r="G21716" i="1"/>
  <c r="B21716" i="1"/>
  <c r="G21715" i="1"/>
  <c r="C21715" i="1"/>
  <c r="B21715" i="1"/>
  <c r="G21714" i="1"/>
  <c r="B21714" i="1"/>
  <c r="G21713" i="1"/>
  <c r="C21713" i="1"/>
  <c r="B21713" i="1"/>
  <c r="G21712" i="1"/>
  <c r="C21712" i="1"/>
  <c r="B21712" i="1"/>
  <c r="G21711" i="1"/>
  <c r="C21711" i="1"/>
  <c r="B21711" i="1"/>
  <c r="G21710" i="1"/>
  <c r="C21710" i="1"/>
  <c r="B21710" i="1"/>
  <c r="G21709" i="1"/>
  <c r="C21709" i="1"/>
  <c r="B21709" i="1"/>
  <c r="G21708" i="1"/>
  <c r="C21708" i="1"/>
  <c r="B21708" i="1"/>
  <c r="G21707" i="1"/>
  <c r="C21707" i="1"/>
  <c r="B21707" i="1"/>
  <c r="G21706" i="1"/>
  <c r="C21706" i="1"/>
  <c r="B21706" i="1"/>
  <c r="G21705" i="1"/>
  <c r="B21705" i="1"/>
  <c r="G21704" i="1"/>
  <c r="C21704" i="1"/>
  <c r="B21704" i="1"/>
  <c r="G21703" i="1"/>
  <c r="B21703" i="1"/>
  <c r="G21702" i="1"/>
  <c r="C21702" i="1"/>
  <c r="B21702" i="1"/>
  <c r="G21701" i="1"/>
  <c r="C21701" i="1"/>
  <c r="B21701" i="1"/>
  <c r="G21700" i="1"/>
  <c r="C21700" i="1"/>
  <c r="B21700" i="1"/>
  <c r="G21699" i="1"/>
  <c r="B21699" i="1"/>
  <c r="G21698" i="1"/>
  <c r="B21698" i="1"/>
  <c r="G21697" i="1"/>
  <c r="C21697" i="1"/>
  <c r="B21697" i="1"/>
  <c r="G21696" i="1"/>
  <c r="B21696" i="1"/>
  <c r="G21695" i="1"/>
  <c r="C21695" i="1"/>
  <c r="B21695" i="1"/>
  <c r="G21694" i="1"/>
  <c r="C21694" i="1"/>
  <c r="B21694" i="1"/>
  <c r="G21693" i="1"/>
  <c r="B21693" i="1"/>
  <c r="G21692" i="1"/>
  <c r="C21692" i="1"/>
  <c r="B21692" i="1"/>
  <c r="G21691" i="1"/>
  <c r="C21691" i="1"/>
  <c r="B21691" i="1"/>
  <c r="G21690" i="1"/>
  <c r="C21690" i="1"/>
  <c r="B21690" i="1"/>
  <c r="G21689" i="1"/>
  <c r="B21689" i="1"/>
  <c r="G21688" i="1"/>
  <c r="C21688" i="1"/>
  <c r="B21688" i="1"/>
  <c r="G21687" i="1"/>
  <c r="C21687" i="1"/>
  <c r="B21687" i="1"/>
  <c r="G21686" i="1"/>
  <c r="C21686" i="1"/>
  <c r="B21686" i="1"/>
  <c r="G21685" i="1"/>
  <c r="C21685" i="1"/>
  <c r="B21685" i="1"/>
  <c r="G21684" i="1"/>
  <c r="C21684" i="1"/>
  <c r="B21684" i="1"/>
  <c r="G21683" i="1"/>
  <c r="B21683" i="1"/>
  <c r="G21682" i="1"/>
  <c r="C21682" i="1"/>
  <c r="B21682" i="1"/>
  <c r="G21681" i="1"/>
  <c r="B21681" i="1"/>
  <c r="G21680" i="1"/>
  <c r="C21680" i="1"/>
  <c r="B21680" i="1"/>
  <c r="G21679" i="1"/>
  <c r="B21679" i="1"/>
  <c r="G21678" i="1"/>
  <c r="B21678" i="1"/>
  <c r="G21677" i="1"/>
  <c r="C21677" i="1"/>
  <c r="B21677" i="1"/>
  <c r="G21676" i="1"/>
  <c r="C21676" i="1"/>
  <c r="B21676" i="1"/>
  <c r="G21675" i="1"/>
  <c r="B21675" i="1"/>
  <c r="G21674" i="1"/>
  <c r="B21674" i="1"/>
  <c r="G21673" i="1"/>
  <c r="B21673" i="1"/>
  <c r="G21672" i="1"/>
  <c r="C21672" i="1"/>
  <c r="B21672" i="1"/>
  <c r="G21671" i="1"/>
  <c r="B21671" i="1"/>
  <c r="G21670" i="1"/>
  <c r="B21670" i="1"/>
  <c r="G21669" i="1"/>
  <c r="C21669" i="1"/>
  <c r="B21669" i="1"/>
  <c r="G21668" i="1"/>
  <c r="C21668" i="1"/>
  <c r="B21668" i="1"/>
  <c r="G21667" i="1"/>
  <c r="B21667" i="1"/>
  <c r="G21666" i="1"/>
  <c r="C21666" i="1"/>
  <c r="B21666" i="1"/>
  <c r="G21665" i="1"/>
  <c r="B21665" i="1"/>
  <c r="G21664" i="1"/>
  <c r="C21664" i="1"/>
  <c r="B21664" i="1"/>
  <c r="G21663" i="1"/>
  <c r="C21663" i="1"/>
  <c r="B21663" i="1"/>
  <c r="G21662" i="1"/>
  <c r="B21662" i="1"/>
  <c r="G21661" i="1"/>
  <c r="C21661" i="1"/>
  <c r="B21661" i="1"/>
  <c r="G21660" i="1"/>
  <c r="C21660" i="1"/>
  <c r="B21660" i="1"/>
  <c r="G21659" i="1"/>
  <c r="B21659" i="1"/>
  <c r="G21658" i="1"/>
  <c r="B21658" i="1"/>
  <c r="G21657" i="1"/>
  <c r="C21657" i="1"/>
  <c r="B21657" i="1"/>
  <c r="G21656" i="1"/>
  <c r="C21656" i="1"/>
  <c r="B21656" i="1"/>
  <c r="G21655" i="1"/>
  <c r="B21655" i="1"/>
  <c r="G21654" i="1"/>
  <c r="C21654" i="1"/>
  <c r="B21654" i="1"/>
  <c r="G21653" i="1"/>
  <c r="C21653" i="1"/>
  <c r="B21653" i="1"/>
  <c r="G21652" i="1"/>
  <c r="C21652" i="1"/>
  <c r="B21652" i="1"/>
  <c r="G21651" i="1"/>
  <c r="C21651" i="1"/>
  <c r="B21651" i="1"/>
  <c r="G21650" i="1"/>
  <c r="B21650" i="1"/>
  <c r="G21649" i="1"/>
  <c r="C21649" i="1"/>
  <c r="B21649" i="1"/>
  <c r="G21648" i="1"/>
  <c r="B21648" i="1"/>
  <c r="G21647" i="1"/>
  <c r="C21647" i="1"/>
  <c r="B21647" i="1"/>
  <c r="G21646" i="1"/>
  <c r="B21646" i="1"/>
  <c r="G21645" i="1"/>
  <c r="B21645" i="1"/>
  <c r="G21644" i="1"/>
  <c r="B21644" i="1"/>
  <c r="G21643" i="1"/>
  <c r="C21643" i="1"/>
  <c r="B21643" i="1"/>
  <c r="G21642" i="1"/>
  <c r="B21642" i="1"/>
  <c r="G21641" i="1"/>
  <c r="C21641" i="1"/>
  <c r="B21641" i="1"/>
  <c r="G21640" i="1"/>
  <c r="C21640" i="1"/>
  <c r="B21640" i="1"/>
  <c r="G21639" i="1"/>
  <c r="C21639" i="1"/>
  <c r="B21639" i="1"/>
  <c r="G21638" i="1"/>
  <c r="B21638" i="1"/>
  <c r="G21637" i="1"/>
  <c r="C21637" i="1"/>
  <c r="B21637" i="1"/>
  <c r="G21636" i="1"/>
  <c r="B21636" i="1"/>
  <c r="G21635" i="1"/>
  <c r="C21635" i="1"/>
  <c r="B21635" i="1"/>
  <c r="G21634" i="1"/>
  <c r="C21634" i="1"/>
  <c r="B21634" i="1"/>
  <c r="G21633" i="1"/>
  <c r="C21633" i="1"/>
  <c r="B21633" i="1"/>
  <c r="G21632" i="1"/>
  <c r="B21632" i="1"/>
  <c r="G21631" i="1"/>
  <c r="B21631" i="1"/>
  <c r="G21630" i="1"/>
  <c r="B21630" i="1"/>
  <c r="G21629" i="1"/>
  <c r="B21629" i="1"/>
  <c r="G21628" i="1"/>
  <c r="B21628" i="1"/>
  <c r="G21627" i="1"/>
  <c r="C21627" i="1"/>
  <c r="B21627" i="1"/>
  <c r="G21626" i="1"/>
  <c r="B21626" i="1"/>
  <c r="G21625" i="1"/>
  <c r="C21625" i="1"/>
  <c r="B21625" i="1"/>
  <c r="G21624" i="1"/>
  <c r="C21624" i="1"/>
  <c r="B21624" i="1"/>
  <c r="G21623" i="1"/>
  <c r="B21623" i="1"/>
  <c r="G21622" i="1"/>
  <c r="C21622" i="1"/>
  <c r="B21622" i="1"/>
  <c r="G21621" i="1"/>
  <c r="B21621" i="1"/>
  <c r="G21620" i="1"/>
  <c r="B21620" i="1"/>
  <c r="G21619" i="1"/>
  <c r="B21619" i="1"/>
  <c r="G21618" i="1"/>
  <c r="C21618" i="1"/>
  <c r="B21618" i="1"/>
  <c r="G21617" i="1"/>
  <c r="C21617" i="1"/>
  <c r="B21617" i="1"/>
  <c r="G21616" i="1"/>
  <c r="B21616" i="1"/>
  <c r="G21615" i="1"/>
  <c r="C21615" i="1"/>
  <c r="B21615" i="1"/>
  <c r="G21614" i="1"/>
  <c r="B21614" i="1"/>
  <c r="G21613" i="1"/>
  <c r="C21613" i="1"/>
  <c r="B21613" i="1"/>
  <c r="G21612" i="1"/>
  <c r="C21612" i="1"/>
  <c r="B21612" i="1"/>
  <c r="G21611" i="1"/>
  <c r="C21611" i="1"/>
  <c r="B21611" i="1"/>
  <c r="G21610" i="1"/>
  <c r="B21610" i="1"/>
  <c r="G21609" i="1"/>
  <c r="C21609" i="1"/>
  <c r="B21609" i="1"/>
  <c r="G21608" i="1"/>
  <c r="C21608" i="1"/>
  <c r="B21608" i="1"/>
  <c r="G21607" i="1"/>
  <c r="B21607" i="1"/>
  <c r="G21606" i="1"/>
  <c r="B21606" i="1"/>
  <c r="G21605" i="1"/>
  <c r="C21605" i="1"/>
  <c r="B21605" i="1"/>
  <c r="G21604" i="1"/>
  <c r="B21604" i="1"/>
  <c r="G21603" i="1"/>
  <c r="B21603" i="1"/>
  <c r="G21602" i="1"/>
  <c r="C21602" i="1"/>
  <c r="B21602" i="1"/>
  <c r="G21601" i="1"/>
  <c r="C21601" i="1"/>
  <c r="B21601" i="1"/>
  <c r="G21600" i="1"/>
  <c r="C21600" i="1"/>
  <c r="B21600" i="1"/>
  <c r="G21599" i="1"/>
  <c r="C21599" i="1"/>
  <c r="B21599" i="1"/>
  <c r="G21598" i="1"/>
  <c r="C21598" i="1"/>
  <c r="B21598" i="1"/>
  <c r="G21597" i="1"/>
  <c r="C21597" i="1"/>
  <c r="B21597" i="1"/>
  <c r="G21596" i="1"/>
  <c r="C21596" i="1"/>
  <c r="B21596" i="1"/>
  <c r="G21595" i="1"/>
  <c r="C21595" i="1"/>
  <c r="B21595" i="1"/>
  <c r="G21594" i="1"/>
  <c r="C21594" i="1"/>
  <c r="B21594" i="1"/>
  <c r="G21593" i="1"/>
  <c r="C21593" i="1"/>
  <c r="B21593" i="1"/>
  <c r="G21592" i="1"/>
  <c r="B21592" i="1"/>
  <c r="G21591" i="1"/>
  <c r="C21591" i="1"/>
  <c r="B21591" i="1"/>
  <c r="G21590" i="1"/>
  <c r="C21590" i="1"/>
  <c r="B21590" i="1"/>
  <c r="G21589" i="1"/>
  <c r="B21589" i="1"/>
  <c r="G21588" i="1"/>
  <c r="B21588" i="1"/>
  <c r="G21587" i="1"/>
  <c r="C21587" i="1"/>
  <c r="B21587" i="1"/>
  <c r="G21586" i="1"/>
  <c r="B21586" i="1"/>
  <c r="G21585" i="1"/>
  <c r="C21585" i="1"/>
  <c r="B21585" i="1"/>
  <c r="G21584" i="1"/>
  <c r="C21584" i="1"/>
  <c r="B21584" i="1"/>
  <c r="G21583" i="1"/>
  <c r="B21583" i="1"/>
  <c r="G21582" i="1"/>
  <c r="C21582" i="1"/>
  <c r="B21582" i="1"/>
  <c r="G21581" i="1"/>
  <c r="C21581" i="1"/>
  <c r="B21581" i="1"/>
  <c r="G21580" i="1"/>
  <c r="B21580" i="1"/>
  <c r="G21579" i="1"/>
  <c r="B21579" i="1"/>
  <c r="G21578" i="1"/>
  <c r="B21578" i="1"/>
  <c r="G21577" i="1"/>
  <c r="B21577" i="1"/>
  <c r="G21576" i="1"/>
  <c r="C21576" i="1"/>
  <c r="B21576" i="1"/>
  <c r="G21575" i="1"/>
  <c r="C21575" i="1"/>
  <c r="B21575" i="1"/>
  <c r="G21574" i="1"/>
  <c r="B21574" i="1"/>
  <c r="G21573" i="1"/>
  <c r="C21573" i="1"/>
  <c r="B21573" i="1"/>
  <c r="G21572" i="1"/>
  <c r="B21572" i="1"/>
  <c r="G21571" i="1"/>
  <c r="B21571" i="1"/>
  <c r="G21570" i="1"/>
  <c r="B21570" i="1"/>
  <c r="G21569" i="1"/>
  <c r="C21569" i="1"/>
  <c r="B21569" i="1"/>
  <c r="G21568" i="1"/>
  <c r="C21568" i="1"/>
  <c r="B21568" i="1"/>
  <c r="G21567" i="1"/>
  <c r="C21567" i="1"/>
  <c r="B21567" i="1"/>
  <c r="G21566" i="1"/>
  <c r="C21566" i="1"/>
  <c r="B21566" i="1"/>
  <c r="G21565" i="1"/>
  <c r="B21565" i="1"/>
  <c r="G21564" i="1"/>
  <c r="C21564" i="1"/>
  <c r="B21564" i="1"/>
  <c r="G21563" i="1"/>
  <c r="C21563" i="1"/>
  <c r="B21563" i="1"/>
  <c r="G21562" i="1"/>
  <c r="C21562" i="1"/>
  <c r="B21562" i="1"/>
  <c r="G21561" i="1"/>
  <c r="C21561" i="1"/>
  <c r="B21561" i="1"/>
  <c r="G21560" i="1"/>
  <c r="B21560" i="1"/>
  <c r="G21559" i="1"/>
  <c r="C21559" i="1"/>
  <c r="B21559" i="1"/>
  <c r="G21558" i="1"/>
  <c r="C21558" i="1"/>
  <c r="B21558" i="1"/>
  <c r="G21557" i="1"/>
  <c r="C21557" i="1"/>
  <c r="B21557" i="1"/>
  <c r="G21556" i="1"/>
  <c r="C21556" i="1"/>
  <c r="B21556" i="1"/>
  <c r="G21555" i="1"/>
  <c r="B21555" i="1"/>
  <c r="G21554" i="1"/>
  <c r="B21554" i="1"/>
  <c r="G21553" i="1"/>
  <c r="C21553" i="1"/>
  <c r="B21553" i="1"/>
  <c r="G21552" i="1"/>
  <c r="C21552" i="1"/>
  <c r="B21552" i="1"/>
  <c r="G21551" i="1"/>
  <c r="C21551" i="1"/>
  <c r="B21551" i="1"/>
  <c r="G21550" i="1"/>
  <c r="C21550" i="1"/>
  <c r="B21550" i="1"/>
  <c r="G21549" i="1"/>
  <c r="C21549" i="1"/>
  <c r="B21549" i="1"/>
  <c r="G21548" i="1"/>
  <c r="C21548" i="1"/>
  <c r="B21548" i="1"/>
  <c r="G21547" i="1"/>
  <c r="C21547" i="1"/>
  <c r="B21547" i="1"/>
  <c r="G21546" i="1"/>
  <c r="C21546" i="1"/>
  <c r="B21546" i="1"/>
  <c r="G21545" i="1"/>
  <c r="C21545" i="1"/>
  <c r="B21545" i="1"/>
  <c r="G21544" i="1"/>
  <c r="B21544" i="1"/>
  <c r="G21543" i="1"/>
  <c r="C21543" i="1"/>
  <c r="B21543" i="1"/>
  <c r="G21542" i="1"/>
  <c r="B21542" i="1"/>
  <c r="G21541" i="1"/>
  <c r="C21541" i="1"/>
  <c r="B21541" i="1"/>
  <c r="G21540" i="1"/>
  <c r="C21540" i="1"/>
  <c r="B21540" i="1"/>
  <c r="G21539" i="1"/>
  <c r="B21539" i="1"/>
  <c r="G21538" i="1"/>
  <c r="C21538" i="1"/>
  <c r="B21538" i="1"/>
  <c r="G21537" i="1"/>
  <c r="C21537" i="1"/>
  <c r="B21537" i="1"/>
  <c r="G21536" i="1"/>
  <c r="B21536" i="1"/>
  <c r="G21535" i="1"/>
  <c r="B21535" i="1"/>
  <c r="G21534" i="1"/>
  <c r="C21534" i="1"/>
  <c r="B21534" i="1"/>
  <c r="G21533" i="1"/>
  <c r="C21533" i="1"/>
  <c r="B21533" i="1"/>
  <c r="G21532" i="1"/>
  <c r="C21532" i="1"/>
  <c r="B21532" i="1"/>
  <c r="G21531" i="1"/>
  <c r="B21531" i="1"/>
  <c r="G21530" i="1"/>
  <c r="C21530" i="1"/>
  <c r="B21530" i="1"/>
  <c r="G21529" i="1"/>
  <c r="B21529" i="1"/>
  <c r="G21528" i="1"/>
  <c r="C21528" i="1"/>
  <c r="B21528" i="1"/>
  <c r="G21527" i="1"/>
  <c r="C21527" i="1"/>
  <c r="B21527" i="1"/>
  <c r="G21526" i="1"/>
  <c r="B21526" i="1"/>
  <c r="G21525" i="1"/>
  <c r="B21525" i="1"/>
  <c r="G21524" i="1"/>
  <c r="C21524" i="1"/>
  <c r="B21524" i="1"/>
  <c r="G21523" i="1"/>
  <c r="C21523" i="1"/>
  <c r="B21523" i="1"/>
  <c r="G21522" i="1"/>
  <c r="B21522" i="1"/>
  <c r="G21521" i="1"/>
  <c r="C21521" i="1"/>
  <c r="B21521" i="1"/>
  <c r="G21520" i="1"/>
  <c r="C21520" i="1"/>
  <c r="B21520" i="1"/>
  <c r="G21519" i="1"/>
  <c r="C21519" i="1"/>
  <c r="B21519" i="1"/>
  <c r="G21518" i="1"/>
  <c r="C21518" i="1"/>
  <c r="B21518" i="1"/>
  <c r="G21517" i="1"/>
  <c r="C21517" i="1"/>
  <c r="B21517" i="1"/>
  <c r="G21516" i="1"/>
  <c r="C21516" i="1"/>
  <c r="B21516" i="1"/>
  <c r="G21515" i="1"/>
  <c r="B21515" i="1"/>
  <c r="G21514" i="1"/>
  <c r="B21514" i="1"/>
  <c r="G21513" i="1"/>
  <c r="C21513" i="1"/>
  <c r="B21513" i="1"/>
  <c r="G21512" i="1"/>
  <c r="C21512" i="1"/>
  <c r="B21512" i="1"/>
  <c r="G21511" i="1"/>
  <c r="C21511" i="1"/>
  <c r="B21511" i="1"/>
  <c r="G21510" i="1"/>
  <c r="C21510" i="1"/>
  <c r="B21510" i="1"/>
  <c r="G21509" i="1"/>
  <c r="C21509" i="1"/>
  <c r="B21509" i="1"/>
  <c r="G21508" i="1"/>
  <c r="C21508" i="1"/>
  <c r="B21508" i="1"/>
  <c r="G21507" i="1"/>
  <c r="C21507" i="1"/>
  <c r="B21507" i="1"/>
  <c r="G21506" i="1"/>
  <c r="C21506" i="1"/>
  <c r="B21506" i="1"/>
  <c r="G21505" i="1"/>
  <c r="B21505" i="1"/>
  <c r="G21504" i="1"/>
  <c r="B21504" i="1"/>
  <c r="G21503" i="1"/>
  <c r="C21503" i="1"/>
  <c r="B21503" i="1"/>
  <c r="G21502" i="1"/>
  <c r="B21502" i="1"/>
  <c r="G21501" i="1"/>
  <c r="B21501" i="1"/>
  <c r="G21500" i="1"/>
  <c r="C21500" i="1"/>
  <c r="B21500" i="1"/>
  <c r="G21499" i="1"/>
  <c r="B21499" i="1"/>
  <c r="G21498" i="1"/>
  <c r="C21498" i="1"/>
  <c r="B21498" i="1"/>
  <c r="G21497" i="1"/>
  <c r="C21497" i="1"/>
  <c r="B21497" i="1"/>
  <c r="G21496" i="1"/>
  <c r="B21496" i="1"/>
  <c r="G21495" i="1"/>
  <c r="C21495" i="1"/>
  <c r="B21495" i="1"/>
  <c r="G21494" i="1"/>
  <c r="B21494" i="1"/>
  <c r="G21493" i="1"/>
  <c r="C21493" i="1"/>
  <c r="B21493" i="1"/>
  <c r="G21492" i="1"/>
  <c r="B21492" i="1"/>
  <c r="G21491" i="1"/>
  <c r="B21491" i="1"/>
  <c r="G21490" i="1"/>
  <c r="C21490" i="1"/>
  <c r="B21490" i="1"/>
  <c r="G21489" i="1"/>
  <c r="B21489" i="1"/>
  <c r="G21488" i="1"/>
  <c r="B21488" i="1"/>
  <c r="G21487" i="1"/>
  <c r="C21487" i="1"/>
  <c r="B21487" i="1"/>
  <c r="G21486" i="1"/>
  <c r="B21486" i="1"/>
  <c r="G21485" i="1"/>
  <c r="B21485" i="1"/>
  <c r="G21484" i="1"/>
  <c r="C21484" i="1"/>
  <c r="B21484" i="1"/>
  <c r="G21483" i="1"/>
  <c r="C21483" i="1"/>
  <c r="B21483" i="1"/>
  <c r="G21482" i="1"/>
  <c r="C21482" i="1"/>
  <c r="B21482" i="1"/>
  <c r="G21481" i="1"/>
  <c r="B21481" i="1"/>
  <c r="G21480" i="1"/>
  <c r="C21480" i="1"/>
  <c r="B21480" i="1"/>
  <c r="G21479" i="1"/>
  <c r="B21479" i="1"/>
  <c r="G21478" i="1"/>
  <c r="C21478" i="1"/>
  <c r="B21478" i="1"/>
  <c r="G21477" i="1"/>
  <c r="C21477" i="1"/>
  <c r="B21477" i="1"/>
  <c r="G21476" i="1"/>
  <c r="C21476" i="1"/>
  <c r="B21476" i="1"/>
  <c r="G21475" i="1"/>
  <c r="B21475" i="1"/>
  <c r="G21474" i="1"/>
  <c r="C21474" i="1"/>
  <c r="B21474" i="1"/>
  <c r="G21473" i="1"/>
  <c r="C21473" i="1"/>
  <c r="B21473" i="1"/>
  <c r="G21472" i="1"/>
  <c r="C21472" i="1"/>
  <c r="B21472" i="1"/>
  <c r="G21471" i="1"/>
  <c r="C21471" i="1"/>
  <c r="B21471" i="1"/>
  <c r="G21470" i="1"/>
  <c r="B21470" i="1"/>
  <c r="G21469" i="1"/>
  <c r="B21469" i="1"/>
  <c r="G21468" i="1"/>
  <c r="C21468" i="1"/>
  <c r="B21468" i="1"/>
  <c r="G21467" i="1"/>
  <c r="C21467" i="1"/>
  <c r="B21467" i="1"/>
  <c r="G21466" i="1"/>
  <c r="C21466" i="1"/>
  <c r="B21466" i="1"/>
  <c r="G21465" i="1"/>
  <c r="C21465" i="1"/>
  <c r="B21465" i="1"/>
  <c r="G21464" i="1"/>
  <c r="C21464" i="1"/>
  <c r="B21464" i="1"/>
  <c r="G21463" i="1"/>
  <c r="C21463" i="1"/>
  <c r="B21463" i="1"/>
  <c r="G21462" i="1"/>
  <c r="C21462" i="1"/>
  <c r="B21462" i="1"/>
  <c r="G21461" i="1"/>
  <c r="C21461" i="1"/>
  <c r="B21461" i="1"/>
  <c r="G21460" i="1"/>
  <c r="C21460" i="1"/>
  <c r="B21460" i="1"/>
  <c r="G21459" i="1"/>
  <c r="B21459" i="1"/>
  <c r="G21458" i="1"/>
  <c r="C21458" i="1"/>
  <c r="B21458" i="1"/>
  <c r="G21457" i="1"/>
  <c r="C21457" i="1"/>
  <c r="B21457" i="1"/>
  <c r="G21456" i="1"/>
  <c r="C21456" i="1"/>
  <c r="B21456" i="1"/>
  <c r="G21455" i="1"/>
  <c r="C21455" i="1"/>
  <c r="B21455" i="1"/>
  <c r="G21454" i="1"/>
  <c r="C21454" i="1"/>
  <c r="B21454" i="1"/>
  <c r="G21453" i="1"/>
  <c r="C21453" i="1"/>
  <c r="B21453" i="1"/>
  <c r="G21452" i="1"/>
  <c r="C21452" i="1"/>
  <c r="B21452" i="1"/>
  <c r="G21451" i="1"/>
  <c r="C21451" i="1"/>
  <c r="B21451" i="1"/>
  <c r="G21450" i="1"/>
  <c r="C21450" i="1"/>
  <c r="B21450" i="1"/>
  <c r="G21449" i="1"/>
  <c r="C21449" i="1"/>
  <c r="B21449" i="1"/>
  <c r="G21448" i="1"/>
  <c r="C21448" i="1"/>
  <c r="B21448" i="1"/>
  <c r="G21447" i="1"/>
  <c r="C21447" i="1"/>
  <c r="B21447" i="1"/>
  <c r="G21446" i="1"/>
  <c r="B21446" i="1"/>
  <c r="G21445" i="1"/>
  <c r="C21445" i="1"/>
  <c r="B21445" i="1"/>
  <c r="G21444" i="1"/>
  <c r="B21444" i="1"/>
  <c r="G21443" i="1"/>
  <c r="C21443" i="1"/>
  <c r="B21443" i="1"/>
  <c r="G21442" i="1"/>
  <c r="C21442" i="1"/>
  <c r="B21442" i="1"/>
  <c r="G21441" i="1"/>
  <c r="C21441" i="1"/>
  <c r="B21441" i="1"/>
  <c r="G21440" i="1"/>
  <c r="B21440" i="1"/>
  <c r="G21439" i="1"/>
  <c r="C21439" i="1"/>
  <c r="B21439" i="1"/>
  <c r="G21438" i="1"/>
  <c r="B21438" i="1"/>
  <c r="G21437" i="1"/>
  <c r="B21437" i="1"/>
  <c r="G21436" i="1"/>
  <c r="B21436" i="1"/>
  <c r="G21435" i="1"/>
  <c r="C21435" i="1"/>
  <c r="B21435" i="1"/>
  <c r="G21434" i="1"/>
  <c r="C21434" i="1"/>
  <c r="B21434" i="1"/>
  <c r="G21433" i="1"/>
  <c r="C21433" i="1"/>
  <c r="B21433" i="1"/>
  <c r="G21432" i="1"/>
  <c r="B21432" i="1"/>
  <c r="G21431" i="1"/>
  <c r="C21431" i="1"/>
  <c r="B21431" i="1"/>
  <c r="G21430" i="1"/>
  <c r="B21430" i="1"/>
  <c r="G21429" i="1"/>
  <c r="B21429" i="1"/>
  <c r="G21428" i="1"/>
  <c r="B21428" i="1"/>
  <c r="G21427" i="1"/>
  <c r="C21427" i="1"/>
  <c r="B21427" i="1"/>
  <c r="G21426" i="1"/>
  <c r="C21426" i="1"/>
  <c r="B21426" i="1"/>
  <c r="G21425" i="1"/>
  <c r="C21425" i="1"/>
  <c r="B21425" i="1"/>
  <c r="G21424" i="1"/>
  <c r="C21424" i="1"/>
  <c r="B21424" i="1"/>
  <c r="G21423" i="1"/>
  <c r="C21423" i="1"/>
  <c r="B21423" i="1"/>
  <c r="G21422" i="1"/>
  <c r="C21422" i="1"/>
  <c r="B21422" i="1"/>
  <c r="G21421" i="1"/>
  <c r="C21421" i="1"/>
  <c r="B21421" i="1"/>
  <c r="G21420" i="1"/>
  <c r="B21420" i="1"/>
  <c r="G21419" i="1"/>
  <c r="C21419" i="1"/>
  <c r="B21419" i="1"/>
  <c r="G21418" i="1"/>
  <c r="C21418" i="1"/>
  <c r="B21418" i="1"/>
  <c r="G21417" i="1"/>
  <c r="C21417" i="1"/>
  <c r="B21417" i="1"/>
  <c r="G21416" i="1"/>
  <c r="B21416" i="1"/>
  <c r="G21415" i="1"/>
  <c r="B21415" i="1"/>
  <c r="G21414" i="1"/>
  <c r="C21414" i="1"/>
  <c r="B21414" i="1"/>
  <c r="G21413" i="1"/>
  <c r="B21413" i="1"/>
  <c r="G21412" i="1"/>
  <c r="C21412" i="1"/>
  <c r="B21412" i="1"/>
  <c r="G21411" i="1"/>
  <c r="C21411" i="1"/>
  <c r="B21411" i="1"/>
  <c r="G21410" i="1"/>
  <c r="C21410" i="1"/>
  <c r="B21410" i="1"/>
  <c r="G21409" i="1"/>
  <c r="C21409" i="1"/>
  <c r="B21409" i="1"/>
  <c r="G21408" i="1"/>
  <c r="C21408" i="1"/>
  <c r="B21408" i="1"/>
  <c r="G21407" i="1"/>
  <c r="C21407" i="1"/>
  <c r="B21407" i="1"/>
  <c r="G21406" i="1"/>
  <c r="C21406" i="1"/>
  <c r="B21406" i="1"/>
  <c r="G21405" i="1"/>
  <c r="C21405" i="1"/>
  <c r="B21405" i="1"/>
  <c r="G21404" i="1"/>
  <c r="C21404" i="1"/>
  <c r="B21404" i="1"/>
  <c r="G21403" i="1"/>
  <c r="C21403" i="1"/>
  <c r="B21403" i="1"/>
  <c r="G21402" i="1"/>
  <c r="B21402" i="1"/>
  <c r="G21401" i="1"/>
  <c r="C21401" i="1"/>
  <c r="B21401" i="1"/>
  <c r="G21400" i="1"/>
  <c r="C21400" i="1"/>
  <c r="B21400" i="1"/>
  <c r="G21399" i="1"/>
  <c r="C21399" i="1"/>
  <c r="B21399" i="1"/>
  <c r="G21398" i="1"/>
  <c r="C21398" i="1"/>
  <c r="B21398" i="1"/>
  <c r="G21397" i="1"/>
  <c r="C21397" i="1"/>
  <c r="B21397" i="1"/>
  <c r="G21396" i="1"/>
  <c r="C21396" i="1"/>
  <c r="B21396" i="1"/>
  <c r="G21395" i="1"/>
  <c r="C21395" i="1"/>
  <c r="B21395" i="1"/>
  <c r="G21394" i="1"/>
  <c r="C21394" i="1"/>
  <c r="B21394" i="1"/>
  <c r="G21393" i="1"/>
  <c r="C21393" i="1"/>
  <c r="B21393" i="1"/>
  <c r="G21392" i="1"/>
  <c r="B21392" i="1"/>
  <c r="G21391" i="1"/>
  <c r="C21391" i="1"/>
  <c r="B21391" i="1"/>
  <c r="G21390" i="1"/>
  <c r="C21390" i="1"/>
  <c r="B21390" i="1"/>
  <c r="G21389" i="1"/>
  <c r="B21389" i="1"/>
  <c r="G21388" i="1"/>
  <c r="C21388" i="1"/>
  <c r="B21388" i="1"/>
  <c r="G21387" i="1"/>
  <c r="C21387" i="1"/>
  <c r="B21387" i="1"/>
  <c r="G21386" i="1"/>
  <c r="B21386" i="1"/>
  <c r="G21385" i="1"/>
  <c r="C21385" i="1"/>
  <c r="B21385" i="1"/>
  <c r="G21384" i="1"/>
  <c r="C21384" i="1"/>
  <c r="B21384" i="1"/>
  <c r="G21383" i="1"/>
  <c r="C21383" i="1"/>
  <c r="B21383" i="1"/>
  <c r="G21382" i="1"/>
  <c r="B21382" i="1"/>
  <c r="G21381" i="1"/>
  <c r="C21381" i="1"/>
  <c r="B21381" i="1"/>
  <c r="G21380" i="1"/>
  <c r="C21380" i="1"/>
  <c r="B21380" i="1"/>
  <c r="G21379" i="1"/>
  <c r="C21379" i="1"/>
  <c r="B21379" i="1"/>
  <c r="G21378" i="1"/>
  <c r="C21378" i="1"/>
  <c r="B21378" i="1"/>
  <c r="G21377" i="1"/>
  <c r="B21377" i="1"/>
  <c r="G21376" i="1"/>
  <c r="B21376" i="1"/>
  <c r="G21375" i="1"/>
  <c r="C21375" i="1"/>
  <c r="B21375" i="1"/>
  <c r="G21374" i="1"/>
  <c r="C21374" i="1"/>
  <c r="B21374" i="1"/>
  <c r="G21373" i="1"/>
  <c r="C21373" i="1"/>
  <c r="B21373" i="1"/>
  <c r="G21372" i="1"/>
  <c r="C21372" i="1"/>
  <c r="B21372" i="1"/>
  <c r="G21371" i="1"/>
  <c r="C21371" i="1"/>
  <c r="B21371" i="1"/>
  <c r="G21370" i="1"/>
  <c r="C21370" i="1"/>
  <c r="B21370" i="1"/>
  <c r="G21369" i="1"/>
  <c r="C21369" i="1"/>
  <c r="B21369" i="1"/>
  <c r="G21368" i="1"/>
  <c r="C21368" i="1"/>
  <c r="B21368" i="1"/>
  <c r="G21367" i="1"/>
  <c r="C21367" i="1"/>
  <c r="B21367" i="1"/>
  <c r="G21366" i="1"/>
  <c r="C21366" i="1"/>
  <c r="B21366" i="1"/>
  <c r="G21365" i="1"/>
  <c r="C21365" i="1"/>
  <c r="B21365" i="1"/>
  <c r="G21364" i="1"/>
  <c r="C21364" i="1"/>
  <c r="B21364" i="1"/>
  <c r="G21363" i="1"/>
  <c r="C21363" i="1"/>
  <c r="B21363" i="1"/>
  <c r="G21362" i="1"/>
  <c r="C21362" i="1"/>
  <c r="B21362" i="1"/>
  <c r="G21361" i="1"/>
  <c r="B21361" i="1"/>
  <c r="G21360" i="1"/>
  <c r="C21360" i="1"/>
  <c r="B21360" i="1"/>
  <c r="G21359" i="1"/>
  <c r="C21359" i="1"/>
  <c r="B21359" i="1"/>
  <c r="G21358" i="1"/>
  <c r="B21358" i="1"/>
  <c r="G21357" i="1"/>
  <c r="C21357" i="1"/>
  <c r="B21357" i="1"/>
  <c r="G21356" i="1"/>
  <c r="C21356" i="1"/>
  <c r="B21356" i="1"/>
  <c r="G21355" i="1"/>
  <c r="C21355" i="1"/>
  <c r="B21355" i="1"/>
  <c r="G21354" i="1"/>
  <c r="C21354" i="1"/>
  <c r="B21354" i="1"/>
  <c r="G21353" i="1"/>
  <c r="C21353" i="1"/>
  <c r="B21353" i="1"/>
  <c r="G21352" i="1"/>
  <c r="C21352" i="1"/>
  <c r="B21352" i="1"/>
  <c r="G21351" i="1"/>
  <c r="C21351" i="1"/>
  <c r="B21351" i="1"/>
  <c r="G21350" i="1"/>
  <c r="C21350" i="1"/>
  <c r="B21350" i="1"/>
  <c r="G21349" i="1"/>
  <c r="C21349" i="1"/>
  <c r="B21349" i="1"/>
  <c r="G21348" i="1"/>
  <c r="C21348" i="1"/>
  <c r="B21348" i="1"/>
  <c r="G21347" i="1"/>
  <c r="B21347" i="1"/>
  <c r="G21346" i="1"/>
  <c r="B21346" i="1"/>
  <c r="G21345" i="1"/>
  <c r="C21345" i="1"/>
  <c r="B21345" i="1"/>
  <c r="G21344" i="1"/>
  <c r="C21344" i="1"/>
  <c r="B21344" i="1"/>
  <c r="G21343" i="1"/>
  <c r="C21343" i="1"/>
  <c r="B21343" i="1"/>
  <c r="G21342" i="1"/>
  <c r="C21342" i="1"/>
  <c r="B21342" i="1"/>
  <c r="G21341" i="1"/>
  <c r="C21341" i="1"/>
  <c r="B21341" i="1"/>
  <c r="G21340" i="1"/>
  <c r="C21340" i="1"/>
  <c r="B21340" i="1"/>
  <c r="G21339" i="1"/>
  <c r="C21339" i="1"/>
  <c r="B21339" i="1"/>
  <c r="G21338" i="1"/>
  <c r="B21338" i="1"/>
  <c r="G21337" i="1"/>
  <c r="C21337" i="1"/>
  <c r="B21337" i="1"/>
  <c r="G21336" i="1"/>
  <c r="C21336" i="1"/>
  <c r="B21336" i="1"/>
  <c r="G21335" i="1"/>
  <c r="C21335" i="1"/>
  <c r="B21335" i="1"/>
  <c r="G21334" i="1"/>
  <c r="C21334" i="1"/>
  <c r="B21334" i="1"/>
  <c r="G21333" i="1"/>
  <c r="C21333" i="1"/>
  <c r="B21333" i="1"/>
  <c r="G21332" i="1"/>
  <c r="C21332" i="1"/>
  <c r="B21332" i="1"/>
  <c r="G21331" i="1"/>
  <c r="C21331" i="1"/>
  <c r="B21331" i="1"/>
  <c r="G21330" i="1"/>
  <c r="C21330" i="1"/>
  <c r="B21330" i="1"/>
  <c r="G21329" i="1"/>
  <c r="B21329" i="1"/>
  <c r="G21328" i="1"/>
  <c r="C21328" i="1"/>
  <c r="B21328" i="1"/>
  <c r="G21327" i="1"/>
  <c r="B21327" i="1"/>
  <c r="G21326" i="1"/>
  <c r="B21326" i="1"/>
  <c r="G21325" i="1"/>
  <c r="B21325" i="1"/>
  <c r="G21324" i="1"/>
  <c r="C21324" i="1"/>
  <c r="B21324" i="1"/>
  <c r="G21323" i="1"/>
  <c r="C21323" i="1"/>
  <c r="B21323" i="1"/>
  <c r="G21322" i="1"/>
  <c r="C21322" i="1"/>
  <c r="B21322" i="1"/>
  <c r="G21321" i="1"/>
  <c r="C21321" i="1"/>
  <c r="B21321" i="1"/>
  <c r="G21320" i="1"/>
  <c r="C21320" i="1"/>
  <c r="B21320" i="1"/>
  <c r="G21319" i="1"/>
  <c r="C21319" i="1"/>
  <c r="B21319" i="1"/>
  <c r="G21318" i="1"/>
  <c r="C21318" i="1"/>
  <c r="B21318" i="1"/>
  <c r="G21317" i="1"/>
  <c r="B21317" i="1"/>
  <c r="G21316" i="1"/>
  <c r="C21316" i="1"/>
  <c r="B21316" i="1"/>
  <c r="G21315" i="1"/>
  <c r="C21315" i="1"/>
  <c r="B21315" i="1"/>
  <c r="G21314" i="1"/>
  <c r="B21314" i="1"/>
  <c r="G21313" i="1"/>
  <c r="C21313" i="1"/>
  <c r="B21313" i="1"/>
  <c r="G21312" i="1"/>
  <c r="B21312" i="1"/>
  <c r="G21311" i="1"/>
  <c r="B21311" i="1"/>
  <c r="G21310" i="1"/>
  <c r="C21310" i="1"/>
  <c r="B21310" i="1"/>
  <c r="G21309" i="1"/>
  <c r="C21309" i="1"/>
  <c r="B21309" i="1"/>
  <c r="G21308" i="1"/>
  <c r="C21308" i="1"/>
  <c r="B21308" i="1"/>
  <c r="G21307" i="1"/>
  <c r="B21307" i="1"/>
  <c r="G21306" i="1"/>
  <c r="B21306" i="1"/>
  <c r="G21305" i="1"/>
  <c r="C21305" i="1"/>
  <c r="B21305" i="1"/>
  <c r="G21304" i="1"/>
  <c r="C21304" i="1"/>
  <c r="B21304" i="1"/>
  <c r="G21303" i="1"/>
  <c r="C21303" i="1"/>
  <c r="B21303" i="1"/>
  <c r="G21302" i="1"/>
  <c r="C21302" i="1"/>
  <c r="B21302" i="1"/>
  <c r="G21301" i="1"/>
  <c r="C21301" i="1"/>
  <c r="B21301" i="1"/>
  <c r="G21300" i="1"/>
  <c r="C21300" i="1"/>
  <c r="B21300" i="1"/>
  <c r="G21299" i="1"/>
  <c r="C21299" i="1"/>
  <c r="B21299" i="1"/>
  <c r="G21298" i="1"/>
  <c r="C21298" i="1"/>
  <c r="B21298" i="1"/>
  <c r="G21297" i="1"/>
  <c r="C21297" i="1"/>
  <c r="B21297" i="1"/>
  <c r="G21296" i="1"/>
  <c r="C21296" i="1"/>
  <c r="B21296" i="1"/>
  <c r="G21295" i="1"/>
  <c r="C21295" i="1"/>
  <c r="B21295" i="1"/>
  <c r="G21294" i="1"/>
  <c r="C21294" i="1"/>
  <c r="B21294" i="1"/>
  <c r="G21293" i="1"/>
  <c r="B21293" i="1"/>
  <c r="G21292" i="1"/>
  <c r="C21292" i="1"/>
  <c r="B21292" i="1"/>
  <c r="G21291" i="1"/>
  <c r="B21291" i="1"/>
  <c r="G21290" i="1"/>
  <c r="C21290" i="1"/>
  <c r="B21290" i="1"/>
  <c r="G21289" i="1"/>
  <c r="C21289" i="1"/>
  <c r="B21289" i="1"/>
  <c r="G21288" i="1"/>
  <c r="B21288" i="1"/>
  <c r="G21287" i="1"/>
  <c r="C21287" i="1"/>
  <c r="B21287" i="1"/>
  <c r="G21286" i="1"/>
  <c r="C21286" i="1"/>
  <c r="B21286" i="1"/>
  <c r="G21285" i="1"/>
  <c r="B21285" i="1"/>
  <c r="G21284" i="1"/>
  <c r="B21284" i="1"/>
  <c r="G21283" i="1"/>
  <c r="C21283" i="1"/>
  <c r="B21283" i="1"/>
  <c r="G21282" i="1"/>
  <c r="C21282" i="1"/>
  <c r="B21282" i="1"/>
  <c r="G21281" i="1"/>
  <c r="C21281" i="1"/>
  <c r="B21281" i="1"/>
  <c r="G21280" i="1"/>
  <c r="C21280" i="1"/>
  <c r="B21280" i="1"/>
  <c r="G21279" i="1"/>
  <c r="C21279" i="1"/>
  <c r="B21279" i="1"/>
  <c r="G21278" i="1"/>
  <c r="C21278" i="1"/>
  <c r="B21278" i="1"/>
  <c r="G21277" i="1"/>
  <c r="C21277" i="1"/>
  <c r="B21277" i="1"/>
  <c r="G21276" i="1"/>
  <c r="C21276" i="1"/>
  <c r="B21276" i="1"/>
  <c r="G21275" i="1"/>
  <c r="C21275" i="1"/>
  <c r="B21275" i="1"/>
  <c r="G21274" i="1"/>
  <c r="C21274" i="1"/>
  <c r="B21274" i="1"/>
  <c r="G21273" i="1"/>
  <c r="C21273" i="1"/>
  <c r="B21273" i="1"/>
  <c r="G21272" i="1"/>
  <c r="C21272" i="1"/>
  <c r="B21272" i="1"/>
  <c r="G21271" i="1"/>
  <c r="B21271" i="1"/>
  <c r="G21270" i="1"/>
  <c r="C21270" i="1"/>
  <c r="B21270" i="1"/>
  <c r="G21269" i="1"/>
  <c r="C21269" i="1"/>
  <c r="B21269" i="1"/>
  <c r="G21268" i="1"/>
  <c r="C21268" i="1"/>
  <c r="B21268" i="1"/>
  <c r="G21267" i="1"/>
  <c r="C21267" i="1"/>
  <c r="B21267" i="1"/>
  <c r="G21266" i="1"/>
  <c r="B21266" i="1"/>
  <c r="G21265" i="1"/>
  <c r="C21265" i="1"/>
  <c r="B21265" i="1"/>
  <c r="G21264" i="1"/>
  <c r="C21264" i="1"/>
  <c r="B21264" i="1"/>
  <c r="G21263" i="1"/>
  <c r="B21263" i="1"/>
  <c r="G21262" i="1"/>
  <c r="C21262" i="1"/>
  <c r="B21262" i="1"/>
  <c r="G21261" i="1"/>
  <c r="C21261" i="1"/>
  <c r="B21261" i="1"/>
  <c r="G21260" i="1"/>
  <c r="B21260" i="1"/>
  <c r="G21259" i="1"/>
  <c r="C21259" i="1"/>
  <c r="B21259" i="1"/>
  <c r="G21258" i="1"/>
  <c r="C21258" i="1"/>
  <c r="B21258" i="1"/>
  <c r="G21257" i="1"/>
  <c r="C21257" i="1"/>
  <c r="B21257" i="1"/>
  <c r="G21256" i="1"/>
  <c r="C21256" i="1"/>
  <c r="B21256" i="1"/>
  <c r="G21255" i="1"/>
  <c r="B21255" i="1"/>
  <c r="G21254" i="1"/>
  <c r="C21254" i="1"/>
  <c r="B21254" i="1"/>
  <c r="G21253" i="1"/>
  <c r="C21253" i="1"/>
  <c r="B21253" i="1"/>
  <c r="G21252" i="1"/>
  <c r="C21252" i="1"/>
  <c r="B21252" i="1"/>
  <c r="G21251" i="1"/>
  <c r="C21251" i="1"/>
  <c r="B21251" i="1"/>
  <c r="G21250" i="1"/>
  <c r="C21250" i="1"/>
  <c r="B21250" i="1"/>
  <c r="G21249" i="1"/>
  <c r="C21249" i="1"/>
  <c r="B21249" i="1"/>
  <c r="G21248" i="1"/>
  <c r="C21248" i="1"/>
  <c r="B21248" i="1"/>
  <c r="G21247" i="1"/>
  <c r="C21247" i="1"/>
  <c r="B21247" i="1"/>
  <c r="G21246" i="1"/>
  <c r="C21246" i="1"/>
  <c r="B21246" i="1"/>
  <c r="G21245" i="1"/>
  <c r="C21245" i="1"/>
  <c r="B21245" i="1"/>
  <c r="G21244" i="1"/>
  <c r="B21244" i="1"/>
  <c r="G21243" i="1"/>
  <c r="C21243" i="1"/>
  <c r="B21243" i="1"/>
  <c r="G21242" i="1"/>
  <c r="B21242" i="1"/>
  <c r="G21241" i="1"/>
  <c r="C21241" i="1"/>
  <c r="B21241" i="1"/>
  <c r="G21240" i="1"/>
  <c r="C21240" i="1"/>
  <c r="B21240" i="1"/>
  <c r="G21239" i="1"/>
  <c r="C21239" i="1"/>
  <c r="B21239" i="1"/>
  <c r="G21238" i="1"/>
  <c r="C21238" i="1"/>
  <c r="B21238" i="1"/>
  <c r="G21237" i="1"/>
  <c r="C21237" i="1"/>
  <c r="B21237" i="1"/>
  <c r="G21236" i="1"/>
  <c r="B21236" i="1"/>
  <c r="G21235" i="1"/>
  <c r="C21235" i="1"/>
  <c r="B21235" i="1"/>
  <c r="G21234" i="1"/>
  <c r="C21234" i="1"/>
  <c r="B21234" i="1"/>
  <c r="G21233" i="1"/>
  <c r="C21233" i="1"/>
  <c r="B21233" i="1"/>
  <c r="G21232" i="1"/>
  <c r="C21232" i="1"/>
  <c r="B21232" i="1"/>
  <c r="G21231" i="1"/>
  <c r="B21231" i="1"/>
  <c r="G21230" i="1"/>
  <c r="C21230" i="1"/>
  <c r="B21230" i="1"/>
  <c r="G21229" i="1"/>
  <c r="C21229" i="1"/>
  <c r="B21229" i="1"/>
  <c r="G21228" i="1"/>
  <c r="C21228" i="1"/>
  <c r="B21228" i="1"/>
  <c r="G21227" i="1"/>
  <c r="C21227" i="1"/>
  <c r="B21227" i="1"/>
  <c r="G21226" i="1"/>
  <c r="C21226" i="1"/>
  <c r="B21226" i="1"/>
  <c r="G21225" i="1"/>
  <c r="C21225" i="1"/>
  <c r="B21225" i="1"/>
  <c r="G21224" i="1"/>
  <c r="B21224" i="1"/>
  <c r="G21223" i="1"/>
  <c r="C21223" i="1"/>
  <c r="B21223" i="1"/>
  <c r="G21222" i="1"/>
  <c r="C21222" i="1"/>
  <c r="B21222" i="1"/>
  <c r="G21221" i="1"/>
  <c r="C21221" i="1"/>
  <c r="B21221" i="1"/>
  <c r="G21220" i="1"/>
  <c r="C21220" i="1"/>
  <c r="B21220" i="1"/>
  <c r="G21219" i="1"/>
  <c r="C21219" i="1"/>
  <c r="B21219" i="1"/>
  <c r="G21218" i="1"/>
  <c r="C21218" i="1"/>
  <c r="B21218" i="1"/>
  <c r="G21217" i="1"/>
  <c r="B21217" i="1"/>
  <c r="G21216" i="1"/>
  <c r="B21216" i="1"/>
  <c r="G21215" i="1"/>
  <c r="C21215" i="1"/>
  <c r="B21215" i="1"/>
  <c r="G21214" i="1"/>
  <c r="B21214" i="1"/>
  <c r="G21213" i="1"/>
  <c r="C21213" i="1"/>
  <c r="B21213" i="1"/>
  <c r="G21212" i="1"/>
  <c r="C21212" i="1"/>
  <c r="B21212" i="1"/>
  <c r="G21211" i="1"/>
  <c r="C21211" i="1"/>
  <c r="B21211" i="1"/>
  <c r="G21210" i="1"/>
  <c r="C21210" i="1"/>
  <c r="B21210" i="1"/>
  <c r="G21209" i="1"/>
  <c r="B21209" i="1"/>
  <c r="G21208" i="1"/>
  <c r="B21208" i="1"/>
  <c r="G21207" i="1"/>
  <c r="B21207" i="1"/>
  <c r="G21206" i="1"/>
  <c r="B21206" i="1"/>
  <c r="G21205" i="1"/>
  <c r="B21205" i="1"/>
  <c r="G21204" i="1"/>
  <c r="C21204" i="1"/>
  <c r="B21204" i="1"/>
  <c r="G21203" i="1"/>
  <c r="C21203" i="1"/>
  <c r="B21203" i="1"/>
  <c r="G21202" i="1"/>
  <c r="C21202" i="1"/>
  <c r="B21202" i="1"/>
  <c r="G21201" i="1"/>
  <c r="B21201" i="1"/>
  <c r="G21200" i="1"/>
  <c r="C21200" i="1"/>
  <c r="B21200" i="1"/>
  <c r="G21199" i="1"/>
  <c r="C21199" i="1"/>
  <c r="B21199" i="1"/>
  <c r="G21198" i="1"/>
  <c r="C21198" i="1"/>
  <c r="B21198" i="1"/>
  <c r="G21197" i="1"/>
  <c r="C21197" i="1"/>
  <c r="B21197" i="1"/>
  <c r="G21196" i="1"/>
  <c r="B21196" i="1"/>
  <c r="G21195" i="1"/>
  <c r="B21195" i="1"/>
  <c r="G21194" i="1"/>
  <c r="C21194" i="1"/>
  <c r="B21194" i="1"/>
  <c r="G21193" i="1"/>
  <c r="B21193" i="1"/>
  <c r="G21192" i="1"/>
  <c r="B21192" i="1"/>
  <c r="G21191" i="1"/>
  <c r="B21191" i="1"/>
  <c r="G21190" i="1"/>
  <c r="B21190" i="1"/>
  <c r="G21189" i="1"/>
  <c r="C21189" i="1"/>
  <c r="B21189" i="1"/>
  <c r="G21188" i="1"/>
  <c r="C21188" i="1"/>
  <c r="B21188" i="1"/>
  <c r="G21187" i="1"/>
  <c r="C21187" i="1"/>
  <c r="B21187" i="1"/>
  <c r="G21186" i="1"/>
  <c r="C21186" i="1"/>
  <c r="B21186" i="1"/>
  <c r="G21185" i="1"/>
  <c r="C21185" i="1"/>
  <c r="B21185" i="1"/>
  <c r="G21184" i="1"/>
  <c r="C21184" i="1"/>
  <c r="B21184" i="1"/>
  <c r="G21183" i="1"/>
  <c r="B21183" i="1"/>
  <c r="G21182" i="1"/>
  <c r="C21182" i="1"/>
  <c r="B21182" i="1"/>
  <c r="G21181" i="1"/>
  <c r="C21181" i="1"/>
  <c r="B21181" i="1"/>
  <c r="G21180" i="1"/>
  <c r="C21180" i="1"/>
  <c r="B21180" i="1"/>
  <c r="G21179" i="1"/>
  <c r="C21179" i="1"/>
  <c r="B21179" i="1"/>
  <c r="G21178" i="1"/>
  <c r="C21178" i="1"/>
  <c r="B21178" i="1"/>
  <c r="G21177" i="1"/>
  <c r="C21177" i="1"/>
  <c r="B21177" i="1"/>
  <c r="G21176" i="1"/>
  <c r="C21176" i="1"/>
  <c r="B21176" i="1"/>
  <c r="G21175" i="1"/>
  <c r="C21175" i="1"/>
  <c r="B21175" i="1"/>
  <c r="G21174" i="1"/>
  <c r="C21174" i="1"/>
  <c r="B21174" i="1"/>
  <c r="G21173" i="1"/>
  <c r="C21173" i="1"/>
  <c r="B21173" i="1"/>
  <c r="G21172" i="1"/>
  <c r="C21172" i="1"/>
  <c r="B21172" i="1"/>
  <c r="G21171" i="1"/>
  <c r="C21171" i="1"/>
  <c r="B21171" i="1"/>
  <c r="G21170" i="1"/>
  <c r="B21170" i="1"/>
  <c r="G21169" i="1"/>
  <c r="C21169" i="1"/>
  <c r="B21169" i="1"/>
  <c r="G21168" i="1"/>
  <c r="C21168" i="1"/>
  <c r="B21168" i="1"/>
  <c r="G21167" i="1"/>
  <c r="C21167" i="1"/>
  <c r="B21167" i="1"/>
  <c r="G21166" i="1"/>
  <c r="B21166" i="1"/>
  <c r="G21165" i="1"/>
  <c r="C21165" i="1"/>
  <c r="B21165" i="1"/>
  <c r="G21164" i="1"/>
  <c r="C21164" i="1"/>
  <c r="B21164" i="1"/>
  <c r="G21163" i="1"/>
  <c r="C21163" i="1"/>
  <c r="B21163" i="1"/>
  <c r="G21162" i="1"/>
  <c r="C21162" i="1"/>
  <c r="B21162" i="1"/>
  <c r="G21161" i="1"/>
  <c r="B21161" i="1"/>
  <c r="G21160" i="1"/>
  <c r="C21160" i="1"/>
  <c r="B21160" i="1"/>
  <c r="G21159" i="1"/>
  <c r="B21159" i="1"/>
  <c r="G21158" i="1"/>
  <c r="C21158" i="1"/>
  <c r="B21158" i="1"/>
  <c r="G21157" i="1"/>
  <c r="C21157" i="1"/>
  <c r="B21157" i="1"/>
  <c r="G21156" i="1"/>
  <c r="C21156" i="1"/>
  <c r="B21156" i="1"/>
  <c r="G21155" i="1"/>
  <c r="B21155" i="1"/>
  <c r="G21154" i="1"/>
  <c r="B21154" i="1"/>
  <c r="G21153" i="1"/>
  <c r="C21153" i="1"/>
  <c r="B21153" i="1"/>
  <c r="G21152" i="1"/>
  <c r="C21152" i="1"/>
  <c r="B21152" i="1"/>
  <c r="G21151" i="1"/>
  <c r="C21151" i="1"/>
  <c r="B21151" i="1"/>
  <c r="G21150" i="1"/>
  <c r="C21150" i="1"/>
  <c r="B21150" i="1"/>
  <c r="G21149" i="1"/>
  <c r="C21149" i="1"/>
  <c r="B21149" i="1"/>
  <c r="G21148" i="1"/>
  <c r="C21148" i="1"/>
  <c r="B21148" i="1"/>
  <c r="G21147" i="1"/>
  <c r="C21147" i="1"/>
  <c r="B21147" i="1"/>
  <c r="G21146" i="1"/>
  <c r="C21146" i="1"/>
  <c r="B21146" i="1"/>
  <c r="G21145" i="1"/>
  <c r="C21145" i="1"/>
  <c r="B21145" i="1"/>
  <c r="G21144" i="1"/>
  <c r="C21144" i="1"/>
  <c r="B21144" i="1"/>
  <c r="G21143" i="1"/>
  <c r="C21143" i="1"/>
  <c r="B21143" i="1"/>
  <c r="G21142" i="1"/>
  <c r="C21142" i="1"/>
  <c r="B21142" i="1"/>
  <c r="G21141" i="1"/>
  <c r="C21141" i="1"/>
  <c r="B21141" i="1"/>
  <c r="G21140" i="1"/>
  <c r="B21140" i="1"/>
  <c r="G21139" i="1"/>
  <c r="C21139" i="1"/>
  <c r="B21139" i="1"/>
  <c r="G21138" i="1"/>
  <c r="C21138" i="1"/>
  <c r="B21138" i="1"/>
  <c r="G21137" i="1"/>
  <c r="C21137" i="1"/>
  <c r="B21137" i="1"/>
  <c r="G21136" i="1"/>
  <c r="B21136" i="1"/>
  <c r="G21135" i="1"/>
  <c r="C21135" i="1"/>
  <c r="B21135" i="1"/>
  <c r="G21134" i="1"/>
  <c r="C21134" i="1"/>
  <c r="B21134" i="1"/>
  <c r="G21133" i="1"/>
  <c r="C21133" i="1"/>
  <c r="B21133" i="1"/>
  <c r="G21132" i="1"/>
  <c r="C21132" i="1"/>
  <c r="B21132" i="1"/>
  <c r="G21131" i="1"/>
  <c r="C21131" i="1"/>
  <c r="B21131" i="1"/>
  <c r="G21130" i="1"/>
  <c r="C21130" i="1"/>
  <c r="B21130" i="1"/>
  <c r="G21129" i="1"/>
  <c r="C21129" i="1"/>
  <c r="B21129" i="1"/>
  <c r="G21128" i="1"/>
  <c r="C21128" i="1"/>
  <c r="B21128" i="1"/>
  <c r="G21127" i="1"/>
  <c r="C21127" i="1"/>
  <c r="B21127" i="1"/>
  <c r="G21126" i="1"/>
  <c r="B21126" i="1"/>
  <c r="G21125" i="1"/>
  <c r="C21125" i="1"/>
  <c r="B21125" i="1"/>
  <c r="G21124" i="1"/>
  <c r="C21124" i="1"/>
  <c r="B21124" i="1"/>
  <c r="G21123" i="1"/>
  <c r="C21123" i="1"/>
  <c r="B21123" i="1"/>
  <c r="G21122" i="1"/>
  <c r="C21122" i="1"/>
  <c r="B21122" i="1"/>
  <c r="G21121" i="1"/>
  <c r="C21121" i="1"/>
  <c r="B21121" i="1"/>
  <c r="G21120" i="1"/>
  <c r="C21120" i="1"/>
  <c r="B21120" i="1"/>
  <c r="G21119" i="1"/>
  <c r="B21119" i="1"/>
  <c r="G21118" i="1"/>
  <c r="B21118" i="1"/>
  <c r="G21117" i="1"/>
  <c r="C21117" i="1"/>
  <c r="B21117" i="1"/>
  <c r="G21116" i="1"/>
  <c r="C21116" i="1"/>
  <c r="B21116" i="1"/>
  <c r="G21115" i="1"/>
  <c r="C21115" i="1"/>
  <c r="B21115" i="1"/>
  <c r="G21114" i="1"/>
  <c r="C21114" i="1"/>
  <c r="B21114" i="1"/>
  <c r="G21113" i="1"/>
  <c r="C21113" i="1"/>
  <c r="B21113" i="1"/>
  <c r="G21112" i="1"/>
  <c r="C21112" i="1"/>
  <c r="B21112" i="1"/>
  <c r="G21111" i="1"/>
  <c r="C21111" i="1"/>
  <c r="B21111" i="1"/>
  <c r="G21110" i="1"/>
  <c r="C21110" i="1"/>
  <c r="B21110" i="1"/>
  <c r="G21109" i="1"/>
  <c r="C21109" i="1"/>
  <c r="B21109" i="1"/>
  <c r="G21108" i="1"/>
  <c r="C21108" i="1"/>
  <c r="B21108" i="1"/>
  <c r="G21107" i="1"/>
  <c r="C21107" i="1"/>
  <c r="B21107" i="1"/>
  <c r="G21106" i="1"/>
  <c r="B21106" i="1"/>
  <c r="G21105" i="1"/>
  <c r="B21105" i="1"/>
  <c r="G21104" i="1"/>
  <c r="B21104" i="1"/>
  <c r="G21103" i="1"/>
  <c r="C21103" i="1"/>
  <c r="B21103" i="1"/>
  <c r="G21102" i="1"/>
  <c r="C21102" i="1"/>
  <c r="B21102" i="1"/>
  <c r="G21101" i="1"/>
  <c r="C21101" i="1"/>
  <c r="B21101" i="1"/>
  <c r="G21100" i="1"/>
  <c r="B21100" i="1"/>
  <c r="G21099" i="1"/>
  <c r="B21099" i="1"/>
  <c r="G21098" i="1"/>
  <c r="C21098" i="1"/>
  <c r="B21098" i="1"/>
  <c r="G21097" i="1"/>
  <c r="B21097" i="1"/>
  <c r="G21096" i="1"/>
  <c r="C21096" i="1"/>
  <c r="B21096" i="1"/>
  <c r="G21095" i="1"/>
  <c r="C21095" i="1"/>
  <c r="B21095" i="1"/>
  <c r="G21094" i="1"/>
  <c r="C21094" i="1"/>
  <c r="B21094" i="1"/>
  <c r="G21093" i="1"/>
  <c r="C21093" i="1"/>
  <c r="B21093" i="1"/>
  <c r="G21092" i="1"/>
  <c r="C21092" i="1"/>
  <c r="B21092" i="1"/>
  <c r="G21091" i="1"/>
  <c r="C21091" i="1"/>
  <c r="B21091" i="1"/>
  <c r="G21090" i="1"/>
  <c r="C21090" i="1"/>
  <c r="B21090" i="1"/>
  <c r="G21089" i="1"/>
  <c r="C21089" i="1"/>
  <c r="B21089" i="1"/>
  <c r="G21088" i="1"/>
  <c r="B21088" i="1"/>
  <c r="G21087" i="1"/>
  <c r="C21087" i="1"/>
  <c r="B21087" i="1"/>
  <c r="G21086" i="1"/>
  <c r="C21086" i="1"/>
  <c r="B21086" i="1"/>
  <c r="G21085" i="1"/>
  <c r="C21085" i="1"/>
  <c r="B21085" i="1"/>
  <c r="G21084" i="1"/>
  <c r="C21084" i="1"/>
  <c r="B21084" i="1"/>
  <c r="G21083" i="1"/>
  <c r="C21083" i="1"/>
  <c r="B21083" i="1"/>
  <c r="G21082" i="1"/>
  <c r="C21082" i="1"/>
  <c r="B21082" i="1"/>
  <c r="G21081" i="1"/>
  <c r="C21081" i="1"/>
  <c r="B21081" i="1"/>
  <c r="G21080" i="1"/>
  <c r="C21080" i="1"/>
  <c r="B21080" i="1"/>
  <c r="G21079" i="1"/>
  <c r="C21079" i="1"/>
  <c r="B21079" i="1"/>
  <c r="G21078" i="1"/>
  <c r="C21078" i="1"/>
  <c r="B21078" i="1"/>
  <c r="G21077" i="1"/>
  <c r="C21077" i="1"/>
  <c r="B21077" i="1"/>
  <c r="G21076" i="1"/>
  <c r="C21076" i="1"/>
  <c r="B21076" i="1"/>
  <c r="G21075" i="1"/>
  <c r="C21075" i="1"/>
  <c r="B21075" i="1"/>
  <c r="G21074" i="1"/>
  <c r="C21074" i="1"/>
  <c r="B21074" i="1"/>
  <c r="G21073" i="1"/>
  <c r="C21073" i="1"/>
  <c r="B21073" i="1"/>
  <c r="G21072" i="1"/>
  <c r="B21072" i="1"/>
  <c r="G21071" i="1"/>
  <c r="B21071" i="1"/>
  <c r="G21070" i="1"/>
  <c r="C21070" i="1"/>
  <c r="B21070" i="1"/>
  <c r="G21069" i="1"/>
  <c r="C21069" i="1"/>
  <c r="B21069" i="1"/>
  <c r="G21068" i="1"/>
  <c r="C21068" i="1"/>
  <c r="B21068" i="1"/>
  <c r="G21067" i="1"/>
  <c r="C21067" i="1"/>
  <c r="B21067" i="1"/>
  <c r="G21066" i="1"/>
  <c r="C21066" i="1"/>
  <c r="B21066" i="1"/>
  <c r="G21065" i="1"/>
  <c r="C21065" i="1"/>
  <c r="B21065" i="1"/>
  <c r="G21064" i="1"/>
  <c r="C21064" i="1"/>
  <c r="B21064" i="1"/>
  <c r="G21063" i="1"/>
  <c r="C21063" i="1"/>
  <c r="B21063" i="1"/>
  <c r="G21062" i="1"/>
  <c r="C21062" i="1"/>
  <c r="B21062" i="1"/>
  <c r="G21061" i="1"/>
  <c r="C21061" i="1"/>
  <c r="B21061" i="1"/>
  <c r="G21060" i="1"/>
  <c r="C21060" i="1"/>
  <c r="B21060" i="1"/>
  <c r="G21059" i="1"/>
  <c r="C21059" i="1"/>
  <c r="B21059" i="1"/>
  <c r="G21058" i="1"/>
  <c r="C21058" i="1"/>
  <c r="B21058" i="1"/>
  <c r="G21057" i="1"/>
  <c r="C21057" i="1"/>
  <c r="B21057" i="1"/>
  <c r="G21056" i="1"/>
  <c r="C21056" i="1"/>
  <c r="B21056" i="1"/>
  <c r="G21055" i="1"/>
  <c r="C21055" i="1"/>
  <c r="B21055" i="1"/>
  <c r="G21054" i="1"/>
  <c r="B21054" i="1"/>
  <c r="G21053" i="1"/>
  <c r="C21053" i="1"/>
  <c r="B21053" i="1"/>
  <c r="G21052" i="1"/>
  <c r="B21052" i="1"/>
  <c r="G21051" i="1"/>
  <c r="C21051" i="1"/>
  <c r="B21051" i="1"/>
  <c r="G21050" i="1"/>
  <c r="C21050" i="1"/>
  <c r="B21050" i="1"/>
  <c r="G21049" i="1"/>
  <c r="C21049" i="1"/>
  <c r="B21049" i="1"/>
  <c r="G21048" i="1"/>
  <c r="C21048" i="1"/>
  <c r="B21048" i="1"/>
  <c r="G21047" i="1"/>
  <c r="C21047" i="1"/>
  <c r="B21047" i="1"/>
  <c r="G21046" i="1"/>
  <c r="B21046" i="1"/>
  <c r="G21045" i="1"/>
  <c r="C21045" i="1"/>
  <c r="B21045" i="1"/>
  <c r="G21044" i="1"/>
  <c r="C21044" i="1"/>
  <c r="B21044" i="1"/>
  <c r="G21043" i="1"/>
  <c r="C21043" i="1"/>
  <c r="B21043" i="1"/>
  <c r="G21042" i="1"/>
  <c r="C21042" i="1"/>
  <c r="B21042" i="1"/>
  <c r="G21041" i="1"/>
  <c r="C21041" i="1"/>
  <c r="B21041" i="1"/>
  <c r="G21040" i="1"/>
  <c r="C21040" i="1"/>
  <c r="B21040" i="1"/>
  <c r="G21039" i="1"/>
  <c r="B21039" i="1"/>
  <c r="G21038" i="1"/>
  <c r="C21038" i="1"/>
  <c r="B21038" i="1"/>
  <c r="G21037" i="1"/>
  <c r="C21037" i="1"/>
  <c r="B21037" i="1"/>
  <c r="G21036" i="1"/>
  <c r="C21036" i="1"/>
  <c r="B21036" i="1"/>
  <c r="G21035" i="1"/>
  <c r="C21035" i="1"/>
  <c r="B21035" i="1"/>
  <c r="G21034" i="1"/>
  <c r="C21034" i="1"/>
  <c r="B21034" i="1"/>
  <c r="G21033" i="1"/>
  <c r="B21033" i="1"/>
  <c r="G21032" i="1"/>
  <c r="C21032" i="1"/>
  <c r="B21032" i="1"/>
  <c r="G21031" i="1"/>
  <c r="C21031" i="1"/>
  <c r="B21031" i="1"/>
  <c r="G21030" i="1"/>
  <c r="C21030" i="1"/>
  <c r="B21030" i="1"/>
  <c r="G21029" i="1"/>
  <c r="C21029" i="1"/>
  <c r="B21029" i="1"/>
  <c r="G21028" i="1"/>
  <c r="B21028" i="1"/>
  <c r="G21027" i="1"/>
  <c r="B21027" i="1"/>
  <c r="G21026" i="1"/>
  <c r="C21026" i="1"/>
  <c r="B21026" i="1"/>
  <c r="G21025" i="1"/>
  <c r="C21025" i="1"/>
  <c r="B21025" i="1"/>
  <c r="G21024" i="1"/>
  <c r="C21024" i="1"/>
  <c r="B21024" i="1"/>
  <c r="G21023" i="1"/>
  <c r="C21023" i="1"/>
  <c r="B21023" i="1"/>
  <c r="G21022" i="1"/>
  <c r="C21022" i="1"/>
  <c r="B21022" i="1"/>
  <c r="G21021" i="1"/>
  <c r="C21021" i="1"/>
  <c r="B21021" i="1"/>
  <c r="G21020" i="1"/>
  <c r="C21020" i="1"/>
  <c r="B21020" i="1"/>
  <c r="G21019" i="1"/>
  <c r="B21019" i="1"/>
  <c r="G21018" i="1"/>
  <c r="C21018" i="1"/>
  <c r="B21018" i="1"/>
  <c r="G21017" i="1"/>
  <c r="C21017" i="1"/>
  <c r="B21017" i="1"/>
  <c r="G21016" i="1"/>
  <c r="C21016" i="1"/>
  <c r="B21016" i="1"/>
  <c r="G21015" i="1"/>
  <c r="C21015" i="1"/>
  <c r="B21015" i="1"/>
  <c r="G21014" i="1"/>
  <c r="C21014" i="1"/>
  <c r="B21014" i="1"/>
  <c r="G21013" i="1"/>
  <c r="B21013" i="1"/>
  <c r="G21012" i="1"/>
  <c r="C21012" i="1"/>
  <c r="B21012" i="1"/>
  <c r="G21011" i="1"/>
  <c r="B21011" i="1"/>
  <c r="G21010" i="1"/>
  <c r="B21010" i="1"/>
  <c r="G21009" i="1"/>
  <c r="C21009" i="1"/>
  <c r="B21009" i="1"/>
  <c r="G21008" i="1"/>
  <c r="C21008" i="1"/>
  <c r="B21008" i="1"/>
  <c r="G21007" i="1"/>
  <c r="C21007" i="1"/>
  <c r="B21007" i="1"/>
  <c r="G21006" i="1"/>
  <c r="C21006" i="1"/>
  <c r="B21006" i="1"/>
  <c r="G21005" i="1"/>
  <c r="C21005" i="1"/>
  <c r="B21005" i="1"/>
  <c r="G21004" i="1"/>
  <c r="C21004" i="1"/>
  <c r="B21004" i="1"/>
  <c r="G21003" i="1"/>
  <c r="B21003" i="1"/>
  <c r="G21002" i="1"/>
  <c r="C21002" i="1"/>
  <c r="B21002" i="1"/>
  <c r="G21001" i="1"/>
  <c r="C21001" i="1"/>
  <c r="B21001" i="1"/>
  <c r="G21000" i="1"/>
  <c r="C21000" i="1"/>
  <c r="B21000" i="1"/>
  <c r="G20999" i="1"/>
  <c r="C20999" i="1"/>
  <c r="B20999" i="1"/>
  <c r="G20998" i="1"/>
  <c r="B20998" i="1"/>
  <c r="G20997" i="1"/>
  <c r="C20997" i="1"/>
  <c r="B20997" i="1"/>
  <c r="G20996" i="1"/>
  <c r="C20996" i="1"/>
  <c r="B20996" i="1"/>
  <c r="G20995" i="1"/>
  <c r="C20995" i="1"/>
  <c r="B20995" i="1"/>
  <c r="G20994" i="1"/>
  <c r="C20994" i="1"/>
  <c r="B20994" i="1"/>
  <c r="G20993" i="1"/>
  <c r="C20993" i="1"/>
  <c r="B20993" i="1"/>
  <c r="G20992" i="1"/>
  <c r="C20992" i="1"/>
  <c r="B20992" i="1"/>
  <c r="G20991" i="1"/>
  <c r="B20991" i="1"/>
  <c r="G20990" i="1"/>
  <c r="C20990" i="1"/>
  <c r="B20990" i="1"/>
  <c r="G20989" i="1"/>
  <c r="C20989" i="1"/>
  <c r="B20989" i="1"/>
  <c r="G20988" i="1"/>
  <c r="C20988" i="1"/>
  <c r="B20988" i="1"/>
  <c r="G20987" i="1"/>
  <c r="B20987" i="1"/>
  <c r="G20986" i="1"/>
  <c r="B20986" i="1"/>
  <c r="G20985" i="1"/>
  <c r="C20985" i="1"/>
  <c r="B20985" i="1"/>
  <c r="G20984" i="1"/>
  <c r="B20984" i="1"/>
  <c r="G20983" i="1"/>
  <c r="C20983" i="1"/>
  <c r="B20983" i="1"/>
  <c r="G20982" i="1"/>
  <c r="C20982" i="1"/>
  <c r="B20982" i="1"/>
  <c r="G20981" i="1"/>
  <c r="C20981" i="1"/>
  <c r="B20981" i="1"/>
  <c r="G20980" i="1"/>
  <c r="C20980" i="1"/>
  <c r="B20980" i="1"/>
  <c r="G20979" i="1"/>
  <c r="C20979" i="1"/>
  <c r="B20979" i="1"/>
  <c r="G20978" i="1"/>
  <c r="C20978" i="1"/>
  <c r="B20978" i="1"/>
  <c r="G20977" i="1"/>
  <c r="C20977" i="1"/>
  <c r="B20977" i="1"/>
  <c r="G20976" i="1"/>
  <c r="C20976" i="1"/>
  <c r="B20976" i="1"/>
  <c r="G20975" i="1"/>
  <c r="C20975" i="1"/>
  <c r="B20975" i="1"/>
  <c r="G20974" i="1"/>
  <c r="B20974" i="1"/>
  <c r="G20973" i="1"/>
  <c r="C20973" i="1"/>
  <c r="B20973" i="1"/>
  <c r="G20972" i="1"/>
  <c r="C20972" i="1"/>
  <c r="B20972" i="1"/>
  <c r="G20971" i="1"/>
  <c r="C20971" i="1"/>
  <c r="B20971" i="1"/>
  <c r="G20970" i="1"/>
  <c r="C20970" i="1"/>
  <c r="B20970" i="1"/>
  <c r="G20969" i="1"/>
  <c r="C20969" i="1"/>
  <c r="B20969" i="1"/>
  <c r="G20968" i="1"/>
  <c r="B20968" i="1"/>
  <c r="G20967" i="1"/>
  <c r="B20967" i="1"/>
  <c r="G20966" i="1"/>
  <c r="B20966" i="1"/>
  <c r="G20965" i="1"/>
  <c r="C20965" i="1"/>
  <c r="B20965" i="1"/>
  <c r="G20964" i="1"/>
  <c r="C20964" i="1"/>
  <c r="B20964" i="1"/>
  <c r="G20963" i="1"/>
  <c r="C20963" i="1"/>
  <c r="B20963" i="1"/>
  <c r="G20962" i="1"/>
  <c r="C20962" i="1"/>
  <c r="B20962" i="1"/>
  <c r="G20961" i="1"/>
  <c r="B20961" i="1"/>
  <c r="G20960" i="1"/>
  <c r="C20960" i="1"/>
  <c r="B20960" i="1"/>
  <c r="G20959" i="1"/>
  <c r="C20959" i="1"/>
  <c r="B20959" i="1"/>
  <c r="G20958" i="1"/>
  <c r="C20958" i="1"/>
  <c r="B20958" i="1"/>
  <c r="G20957" i="1"/>
  <c r="B20957" i="1"/>
  <c r="G20956" i="1"/>
  <c r="C20956" i="1"/>
  <c r="B20956" i="1"/>
  <c r="G20955" i="1"/>
  <c r="C20955" i="1"/>
  <c r="B20955" i="1"/>
  <c r="G20954" i="1"/>
  <c r="B20954" i="1"/>
  <c r="G20953" i="1"/>
  <c r="C20953" i="1"/>
  <c r="B20953" i="1"/>
  <c r="G20952" i="1"/>
  <c r="C20952" i="1"/>
  <c r="B20952" i="1"/>
  <c r="G20951" i="1"/>
  <c r="C20951" i="1"/>
  <c r="B20951" i="1"/>
  <c r="G20950" i="1"/>
  <c r="B20950" i="1"/>
  <c r="G20949" i="1"/>
  <c r="C20949" i="1"/>
  <c r="B20949" i="1"/>
  <c r="G20948" i="1"/>
  <c r="C20948" i="1"/>
  <c r="B20948" i="1"/>
  <c r="G20947" i="1"/>
  <c r="B20947" i="1"/>
  <c r="G20946" i="1"/>
  <c r="C20946" i="1"/>
  <c r="B20946" i="1"/>
  <c r="G20945" i="1"/>
  <c r="C20945" i="1"/>
  <c r="B20945" i="1"/>
  <c r="G20944" i="1"/>
  <c r="C20944" i="1"/>
  <c r="B20944" i="1"/>
  <c r="G20943" i="1"/>
  <c r="C20943" i="1"/>
  <c r="B20943" i="1"/>
  <c r="G20942" i="1"/>
  <c r="C20942" i="1"/>
  <c r="B20942" i="1"/>
  <c r="G20941" i="1"/>
  <c r="C20941" i="1"/>
  <c r="B20941" i="1"/>
  <c r="G20940" i="1"/>
  <c r="B20940" i="1"/>
  <c r="G20939" i="1"/>
  <c r="B20939" i="1"/>
  <c r="G20938" i="1"/>
  <c r="B20938" i="1"/>
  <c r="G20937" i="1"/>
  <c r="B20937" i="1"/>
  <c r="G20936" i="1"/>
  <c r="C20936" i="1"/>
  <c r="B20936" i="1"/>
  <c r="G20935" i="1"/>
  <c r="C20935" i="1"/>
  <c r="B20935" i="1"/>
  <c r="G20934" i="1"/>
  <c r="B20934" i="1"/>
  <c r="G20933" i="1"/>
  <c r="C20933" i="1"/>
  <c r="B20933" i="1"/>
  <c r="G20932" i="1"/>
  <c r="C20932" i="1"/>
  <c r="B20932" i="1"/>
  <c r="G20931" i="1"/>
  <c r="C20931" i="1"/>
  <c r="B20931" i="1"/>
  <c r="G20930" i="1"/>
  <c r="C20930" i="1"/>
  <c r="B20930" i="1"/>
  <c r="G20929" i="1"/>
  <c r="C20929" i="1"/>
  <c r="B20929" i="1"/>
  <c r="G20928" i="1"/>
  <c r="C20928" i="1"/>
  <c r="B20928" i="1"/>
  <c r="G20927" i="1"/>
  <c r="C20927" i="1"/>
  <c r="B20927" i="1"/>
  <c r="G20926" i="1"/>
  <c r="C20926" i="1"/>
  <c r="B20926" i="1"/>
  <c r="G20925" i="1"/>
  <c r="C20925" i="1"/>
  <c r="B20925" i="1"/>
  <c r="G20924" i="1"/>
  <c r="B20924" i="1"/>
  <c r="G20923" i="1"/>
  <c r="C20923" i="1"/>
  <c r="B20923" i="1"/>
  <c r="G20922" i="1"/>
  <c r="C20922" i="1"/>
  <c r="B20922" i="1"/>
  <c r="G20921" i="1"/>
  <c r="C20921" i="1"/>
  <c r="B20921" i="1"/>
  <c r="G20920" i="1"/>
  <c r="C20920" i="1"/>
  <c r="B20920" i="1"/>
  <c r="G20919" i="1"/>
  <c r="C20919" i="1"/>
  <c r="B20919" i="1"/>
  <c r="G20918" i="1"/>
  <c r="C20918" i="1"/>
  <c r="B20918" i="1"/>
  <c r="G20917" i="1"/>
  <c r="C20917" i="1"/>
  <c r="B20917" i="1"/>
  <c r="G20916" i="1"/>
  <c r="C20916" i="1"/>
  <c r="B20916" i="1"/>
  <c r="G20915" i="1"/>
  <c r="C20915" i="1"/>
  <c r="B20915" i="1"/>
  <c r="G20914" i="1"/>
  <c r="C20914" i="1"/>
  <c r="B20914" i="1"/>
  <c r="G20913" i="1"/>
  <c r="C20913" i="1"/>
  <c r="B20913" i="1"/>
  <c r="G20912" i="1"/>
  <c r="C20912" i="1"/>
  <c r="B20912" i="1"/>
  <c r="G20911" i="1"/>
  <c r="C20911" i="1"/>
  <c r="B20911" i="1"/>
  <c r="G20910" i="1"/>
  <c r="C20910" i="1"/>
  <c r="B20910" i="1"/>
  <c r="G20909" i="1"/>
  <c r="B20909" i="1"/>
  <c r="G20908" i="1"/>
  <c r="C20908" i="1"/>
  <c r="B20908" i="1"/>
  <c r="G20907" i="1"/>
  <c r="C20907" i="1"/>
  <c r="B20907" i="1"/>
  <c r="G20906" i="1"/>
  <c r="C20906" i="1"/>
  <c r="B20906" i="1"/>
  <c r="G20905" i="1"/>
  <c r="B20905" i="1"/>
  <c r="G20904" i="1"/>
  <c r="C20904" i="1"/>
  <c r="B20904" i="1"/>
  <c r="G20903" i="1"/>
  <c r="C20903" i="1"/>
  <c r="B20903" i="1"/>
  <c r="G20902" i="1"/>
  <c r="C20902" i="1"/>
  <c r="B20902" i="1"/>
  <c r="G20901" i="1"/>
  <c r="C20901" i="1"/>
  <c r="B20901" i="1"/>
  <c r="G20900" i="1"/>
  <c r="C20900" i="1"/>
  <c r="B20900" i="1"/>
  <c r="G20899" i="1"/>
  <c r="C20899" i="1"/>
  <c r="B20899" i="1"/>
  <c r="G20898" i="1"/>
  <c r="B20898" i="1"/>
  <c r="G20897" i="1"/>
  <c r="C20897" i="1"/>
  <c r="B20897" i="1"/>
  <c r="G20896" i="1"/>
  <c r="B20896" i="1"/>
  <c r="G20895" i="1"/>
  <c r="C20895" i="1"/>
  <c r="B20895" i="1"/>
  <c r="G20894" i="1"/>
  <c r="C20894" i="1"/>
  <c r="B20894" i="1"/>
  <c r="G20893" i="1"/>
  <c r="B20893" i="1"/>
  <c r="G20892" i="1"/>
  <c r="C20892" i="1"/>
  <c r="B20892" i="1"/>
  <c r="G20891" i="1"/>
  <c r="C20891" i="1"/>
  <c r="B20891" i="1"/>
  <c r="G20890" i="1"/>
  <c r="C20890" i="1"/>
  <c r="B20890" i="1"/>
  <c r="G20889" i="1"/>
  <c r="C20889" i="1"/>
  <c r="B20889" i="1"/>
  <c r="G20888" i="1"/>
  <c r="C20888" i="1"/>
  <c r="B20888" i="1"/>
  <c r="G20887" i="1"/>
  <c r="B20887" i="1"/>
  <c r="G20886" i="1"/>
  <c r="B20886" i="1"/>
  <c r="G20885" i="1"/>
  <c r="C20885" i="1"/>
  <c r="B20885" i="1"/>
  <c r="G20884" i="1"/>
  <c r="C20884" i="1"/>
  <c r="B20884" i="1"/>
  <c r="G20883" i="1"/>
  <c r="B20883" i="1"/>
  <c r="G20882" i="1"/>
  <c r="C20882" i="1"/>
  <c r="B20882" i="1"/>
  <c r="G20881" i="1"/>
  <c r="C20881" i="1"/>
  <c r="B20881" i="1"/>
  <c r="G20880" i="1"/>
  <c r="C20880" i="1"/>
  <c r="B20880" i="1"/>
  <c r="G20879" i="1"/>
  <c r="B20879" i="1"/>
  <c r="G20878" i="1"/>
  <c r="C20878" i="1"/>
  <c r="B20878" i="1"/>
  <c r="G20877" i="1"/>
  <c r="B20877" i="1"/>
  <c r="G20876" i="1"/>
  <c r="C20876" i="1"/>
  <c r="B20876" i="1"/>
  <c r="G20875" i="1"/>
  <c r="B20875" i="1"/>
  <c r="G20874" i="1"/>
  <c r="C20874" i="1"/>
  <c r="B20874" i="1"/>
  <c r="G20873" i="1"/>
  <c r="C20873" i="1"/>
  <c r="B20873" i="1"/>
  <c r="G20872" i="1"/>
  <c r="B20872" i="1"/>
  <c r="G20871" i="1"/>
  <c r="B20871" i="1"/>
  <c r="G20870" i="1"/>
  <c r="C20870" i="1"/>
  <c r="B20870" i="1"/>
  <c r="G20869" i="1"/>
  <c r="C20869" i="1"/>
  <c r="B20869" i="1"/>
  <c r="G20868" i="1"/>
  <c r="C20868" i="1"/>
  <c r="B20868" i="1"/>
  <c r="G20867" i="1"/>
  <c r="C20867" i="1"/>
  <c r="B20867" i="1"/>
  <c r="G20866" i="1"/>
  <c r="C20866" i="1"/>
  <c r="B20866" i="1"/>
  <c r="G20865" i="1"/>
  <c r="C20865" i="1"/>
  <c r="B20865" i="1"/>
  <c r="G20864" i="1"/>
  <c r="C20864" i="1"/>
  <c r="B20864" i="1"/>
  <c r="G20863" i="1"/>
  <c r="B20863" i="1"/>
  <c r="G20862" i="1"/>
  <c r="B20862" i="1"/>
  <c r="G20861" i="1"/>
  <c r="C20861" i="1"/>
  <c r="B20861" i="1"/>
  <c r="G20860" i="1"/>
  <c r="C20860" i="1"/>
  <c r="B20860" i="1"/>
  <c r="G20859" i="1"/>
  <c r="B20859" i="1"/>
  <c r="G20858" i="1"/>
  <c r="B20858" i="1"/>
  <c r="G20857" i="1"/>
  <c r="C20857" i="1"/>
  <c r="B20857" i="1"/>
  <c r="G20856" i="1"/>
  <c r="B20856" i="1"/>
  <c r="G20855" i="1"/>
  <c r="C20855" i="1"/>
  <c r="B20855" i="1"/>
  <c r="G20854" i="1"/>
  <c r="C20854" i="1"/>
  <c r="B20854" i="1"/>
  <c r="G20853" i="1"/>
  <c r="C20853" i="1"/>
  <c r="B20853" i="1"/>
  <c r="G20852" i="1"/>
  <c r="C20852" i="1"/>
  <c r="B20852" i="1"/>
  <c r="G20851" i="1"/>
  <c r="C20851" i="1"/>
  <c r="B20851" i="1"/>
  <c r="D20850" i="1"/>
  <c r="C20849" i="1"/>
  <c r="B20849" i="1"/>
  <c r="G20848" i="1"/>
  <c r="B20848" i="1"/>
  <c r="G20847" i="1"/>
  <c r="C20847" i="1"/>
  <c r="B20847" i="1"/>
  <c r="G20846" i="1"/>
  <c r="C20846" i="1"/>
  <c r="B20846" i="1"/>
  <c r="G20845" i="1"/>
  <c r="C20845" i="1"/>
  <c r="B20845" i="1"/>
  <c r="G20844" i="1"/>
  <c r="C20844" i="1"/>
  <c r="B20844" i="1"/>
  <c r="G20843" i="1"/>
  <c r="B20843" i="1"/>
  <c r="G20842" i="1"/>
  <c r="B20842" i="1"/>
  <c r="G20841" i="1"/>
  <c r="C20841" i="1"/>
  <c r="B20841" i="1"/>
  <c r="G20840" i="1"/>
  <c r="C20840" i="1"/>
  <c r="B20840" i="1"/>
  <c r="G20839" i="1"/>
  <c r="B20839" i="1"/>
  <c r="G20838" i="1"/>
  <c r="C20838" i="1"/>
  <c r="B20838" i="1"/>
  <c r="G20837" i="1"/>
  <c r="C20837" i="1"/>
  <c r="B20837" i="1"/>
  <c r="G20836" i="1"/>
  <c r="C20836" i="1"/>
  <c r="B20836" i="1"/>
  <c r="G20835" i="1"/>
  <c r="C20835" i="1"/>
  <c r="B20835" i="1"/>
  <c r="G20834" i="1"/>
  <c r="B20834" i="1"/>
  <c r="G20833" i="1"/>
  <c r="B20833" i="1"/>
  <c r="G20832" i="1"/>
  <c r="C20832" i="1"/>
  <c r="B20832" i="1"/>
  <c r="G20831" i="1"/>
  <c r="B20831" i="1"/>
  <c r="G20830" i="1"/>
  <c r="C20830" i="1"/>
  <c r="B20830" i="1"/>
  <c r="G20829" i="1"/>
  <c r="C20829" i="1"/>
  <c r="B20829" i="1"/>
  <c r="G20828" i="1"/>
  <c r="B20828" i="1"/>
  <c r="G20827" i="1"/>
  <c r="C20827" i="1"/>
  <c r="B20827" i="1"/>
  <c r="G20826" i="1"/>
  <c r="C20826" i="1"/>
  <c r="B20826" i="1"/>
  <c r="G20825" i="1"/>
  <c r="C20825" i="1"/>
  <c r="B20825" i="1"/>
  <c r="G20824" i="1"/>
  <c r="C20824" i="1"/>
  <c r="B20824" i="1"/>
  <c r="G20823" i="1"/>
  <c r="B20823" i="1"/>
  <c r="G20822" i="1"/>
  <c r="B20822" i="1"/>
  <c r="G20821" i="1"/>
  <c r="C20821" i="1"/>
  <c r="B20821" i="1"/>
  <c r="G20820" i="1"/>
  <c r="C20820" i="1"/>
  <c r="B20820" i="1"/>
  <c r="G20819" i="1"/>
  <c r="C20819" i="1"/>
  <c r="B20819" i="1"/>
  <c r="G20818" i="1"/>
  <c r="C20818" i="1"/>
  <c r="B20818" i="1"/>
  <c r="G20817" i="1"/>
  <c r="C20817" i="1"/>
  <c r="B20817" i="1"/>
  <c r="G20816" i="1"/>
  <c r="C20816" i="1"/>
  <c r="B20816" i="1"/>
  <c r="G20815" i="1"/>
  <c r="C20815" i="1"/>
  <c r="B20815" i="1"/>
  <c r="G20814" i="1"/>
  <c r="B20814" i="1"/>
  <c r="G20813" i="1"/>
  <c r="C20813" i="1"/>
  <c r="B20813" i="1"/>
  <c r="G20812" i="1"/>
  <c r="C20812" i="1"/>
  <c r="B20812" i="1"/>
  <c r="G20811" i="1"/>
  <c r="C20811" i="1"/>
  <c r="B20811" i="1"/>
  <c r="G20810" i="1"/>
  <c r="C20810" i="1"/>
  <c r="B20810" i="1"/>
  <c r="G20809" i="1"/>
  <c r="C20809" i="1"/>
  <c r="B20809" i="1"/>
  <c r="G20808" i="1"/>
  <c r="B20808" i="1"/>
  <c r="G20807" i="1"/>
  <c r="C20807" i="1"/>
  <c r="B20807" i="1"/>
  <c r="G20806" i="1"/>
  <c r="C20806" i="1"/>
  <c r="B20806" i="1"/>
  <c r="G20805" i="1"/>
  <c r="C20805" i="1"/>
  <c r="B20805" i="1"/>
  <c r="G20804" i="1"/>
  <c r="C20804" i="1"/>
  <c r="B20804" i="1"/>
  <c r="G20803" i="1"/>
  <c r="B20803" i="1"/>
  <c r="G20802" i="1"/>
  <c r="C20802" i="1"/>
  <c r="B20802" i="1"/>
  <c r="G20801" i="1"/>
  <c r="B20801" i="1"/>
  <c r="G20800" i="1"/>
  <c r="B20800" i="1"/>
  <c r="G20799" i="1"/>
  <c r="C20799" i="1"/>
  <c r="B20799" i="1"/>
  <c r="G20798" i="1"/>
  <c r="C20798" i="1"/>
  <c r="B20798" i="1"/>
  <c r="G20797" i="1"/>
  <c r="C20797" i="1"/>
  <c r="B20797" i="1"/>
  <c r="G20796" i="1"/>
  <c r="B20796" i="1"/>
  <c r="G20795" i="1"/>
  <c r="C20795" i="1"/>
  <c r="B20795" i="1"/>
  <c r="G20794" i="1"/>
  <c r="B20794" i="1"/>
  <c r="G20793" i="1"/>
  <c r="B20793" i="1"/>
  <c r="G20792" i="1"/>
  <c r="C20792" i="1"/>
  <c r="B20792" i="1"/>
  <c r="G20791" i="1"/>
  <c r="B20791" i="1"/>
  <c r="G20790" i="1"/>
  <c r="C20790" i="1"/>
  <c r="B20790" i="1"/>
  <c r="G20789" i="1"/>
  <c r="B20789" i="1"/>
  <c r="G20788" i="1"/>
  <c r="C20788" i="1"/>
  <c r="B20788" i="1"/>
  <c r="G20787" i="1"/>
  <c r="C20787" i="1"/>
  <c r="B20787" i="1"/>
  <c r="G20786" i="1"/>
  <c r="C20786" i="1"/>
  <c r="B20786" i="1"/>
  <c r="G20785" i="1"/>
  <c r="B20785" i="1"/>
  <c r="G20784" i="1"/>
  <c r="C20784" i="1"/>
  <c r="B20784" i="1"/>
  <c r="G20783" i="1"/>
  <c r="C20783" i="1"/>
  <c r="B20783" i="1"/>
  <c r="G20782" i="1"/>
  <c r="C20782" i="1"/>
  <c r="B20782" i="1"/>
  <c r="G20781" i="1"/>
  <c r="B20781" i="1"/>
  <c r="G20780" i="1"/>
  <c r="C20780" i="1"/>
  <c r="B20780" i="1"/>
  <c r="G20779" i="1"/>
  <c r="C20779" i="1"/>
  <c r="B20779" i="1"/>
  <c r="G20778" i="1"/>
  <c r="C20778" i="1"/>
  <c r="B20778" i="1"/>
  <c r="G20777" i="1"/>
  <c r="C20777" i="1"/>
  <c r="B20777" i="1"/>
  <c r="G20776" i="1"/>
  <c r="C20776" i="1"/>
  <c r="B20776" i="1"/>
  <c r="G20775" i="1"/>
  <c r="C20775" i="1"/>
  <c r="B20775" i="1"/>
  <c r="G20774" i="1"/>
  <c r="C20774" i="1"/>
  <c r="B20774" i="1"/>
  <c r="G20773" i="1"/>
  <c r="B20773" i="1"/>
  <c r="G20772" i="1"/>
  <c r="B20772" i="1"/>
  <c r="G20771" i="1"/>
  <c r="C20771" i="1"/>
  <c r="B20771" i="1"/>
  <c r="G20770" i="1"/>
  <c r="C20770" i="1"/>
  <c r="B20770" i="1"/>
  <c r="G20769" i="1"/>
  <c r="C20769" i="1"/>
  <c r="B20769" i="1"/>
  <c r="G20768" i="1"/>
  <c r="B20768" i="1"/>
  <c r="G20767" i="1"/>
  <c r="C20767" i="1"/>
  <c r="B20767" i="1"/>
  <c r="G20766" i="1"/>
  <c r="C20766" i="1"/>
  <c r="B20766" i="1"/>
  <c r="G20765" i="1"/>
  <c r="C20765" i="1"/>
  <c r="B20765" i="1"/>
  <c r="G20764" i="1"/>
  <c r="C20764" i="1"/>
  <c r="B20764" i="1"/>
  <c r="G20763" i="1"/>
  <c r="C20763" i="1"/>
  <c r="B20763" i="1"/>
  <c r="G20762" i="1"/>
  <c r="C20762" i="1"/>
  <c r="B20762" i="1"/>
  <c r="G20761" i="1"/>
  <c r="B20761" i="1"/>
  <c r="G20760" i="1"/>
  <c r="C20760" i="1"/>
  <c r="B20760" i="1"/>
  <c r="G20759" i="1"/>
  <c r="C20759" i="1"/>
  <c r="B20759" i="1"/>
  <c r="G20758" i="1"/>
  <c r="C20758" i="1"/>
  <c r="B20758" i="1"/>
  <c r="G20757" i="1"/>
  <c r="C20757" i="1"/>
  <c r="B20757" i="1"/>
  <c r="G20756" i="1"/>
  <c r="B20756" i="1"/>
  <c r="G20755" i="1"/>
  <c r="C20755" i="1"/>
  <c r="B20755" i="1"/>
  <c r="G20754" i="1"/>
  <c r="C20754" i="1"/>
  <c r="B20754" i="1"/>
  <c r="G20753" i="1"/>
  <c r="C20753" i="1"/>
  <c r="B20753" i="1"/>
  <c r="G20752" i="1"/>
  <c r="C20752" i="1"/>
  <c r="B20752" i="1"/>
  <c r="G20751" i="1"/>
  <c r="C20751" i="1"/>
  <c r="B20751" i="1"/>
  <c r="G20750" i="1"/>
  <c r="B20750" i="1"/>
  <c r="G20749" i="1"/>
  <c r="B20749" i="1"/>
  <c r="G20748" i="1"/>
  <c r="C20748" i="1"/>
  <c r="B20748" i="1"/>
  <c r="G20747" i="1"/>
  <c r="C20747" i="1"/>
  <c r="B20747" i="1"/>
  <c r="G20746" i="1"/>
  <c r="C20746" i="1"/>
  <c r="B20746" i="1"/>
  <c r="G20745" i="1"/>
  <c r="C20745" i="1"/>
  <c r="B20745" i="1"/>
  <c r="G20744" i="1"/>
  <c r="C20744" i="1"/>
  <c r="B20744" i="1"/>
  <c r="G20743" i="1"/>
  <c r="B20743" i="1"/>
  <c r="G20742" i="1"/>
  <c r="B20742" i="1"/>
  <c r="G20741" i="1"/>
  <c r="C20741" i="1"/>
  <c r="B20741" i="1"/>
  <c r="G20740" i="1"/>
  <c r="C20740" i="1"/>
  <c r="B20740" i="1"/>
  <c r="G20739" i="1"/>
  <c r="C20739" i="1"/>
  <c r="B20739" i="1"/>
  <c r="G20738" i="1"/>
  <c r="C20738" i="1"/>
  <c r="B20738" i="1"/>
  <c r="G20737" i="1"/>
  <c r="B20737" i="1"/>
  <c r="G20736" i="1"/>
  <c r="B20736" i="1"/>
  <c r="G20735" i="1"/>
  <c r="C20735" i="1"/>
  <c r="B20735" i="1"/>
  <c r="G20734" i="1"/>
  <c r="B20734" i="1"/>
  <c r="G20733" i="1"/>
  <c r="C20733" i="1"/>
  <c r="B20733" i="1"/>
  <c r="G20732" i="1"/>
  <c r="C20732" i="1"/>
  <c r="B20732" i="1"/>
  <c r="G20731" i="1"/>
  <c r="C20731" i="1"/>
  <c r="B20731" i="1"/>
  <c r="G20730" i="1"/>
  <c r="B20730" i="1"/>
  <c r="G20729" i="1"/>
  <c r="C20729" i="1"/>
  <c r="B20729" i="1"/>
  <c r="G20728" i="1"/>
  <c r="C20728" i="1"/>
  <c r="B20728" i="1"/>
  <c r="G20727" i="1"/>
  <c r="C20727" i="1"/>
  <c r="B20727" i="1"/>
  <c r="G20726" i="1"/>
  <c r="C20726" i="1"/>
  <c r="B20726" i="1"/>
  <c r="G20725" i="1"/>
  <c r="C20725" i="1"/>
  <c r="B20725" i="1"/>
  <c r="G20724" i="1"/>
  <c r="B20724" i="1"/>
  <c r="G20723" i="1"/>
  <c r="C20723" i="1"/>
  <c r="B20723" i="1"/>
  <c r="G20722" i="1"/>
  <c r="B20722" i="1"/>
  <c r="G20721" i="1"/>
  <c r="C20721" i="1"/>
  <c r="B20721" i="1"/>
  <c r="G20720" i="1"/>
  <c r="C20720" i="1"/>
  <c r="B20720" i="1"/>
  <c r="G20719" i="1"/>
  <c r="C20719" i="1"/>
  <c r="B20719" i="1"/>
  <c r="G20718" i="1"/>
  <c r="C20718" i="1"/>
  <c r="B20718" i="1"/>
  <c r="G20717" i="1"/>
  <c r="C20717" i="1"/>
  <c r="B20717" i="1"/>
  <c r="G20716" i="1"/>
  <c r="C20716" i="1"/>
  <c r="B20716" i="1"/>
  <c r="G20715" i="1"/>
  <c r="C20715" i="1"/>
  <c r="B20715" i="1"/>
  <c r="G20714" i="1"/>
  <c r="C20714" i="1"/>
  <c r="B20714" i="1"/>
  <c r="G20713" i="1"/>
  <c r="B20713" i="1"/>
  <c r="G20712" i="1"/>
  <c r="C20712" i="1"/>
  <c r="B20712" i="1"/>
  <c r="G20711" i="1"/>
  <c r="C20711" i="1"/>
  <c r="B20711" i="1"/>
  <c r="G20710" i="1"/>
  <c r="C20710" i="1"/>
  <c r="B20710" i="1"/>
  <c r="G20709" i="1"/>
  <c r="B20709" i="1"/>
  <c r="G20708" i="1"/>
  <c r="C20708" i="1"/>
  <c r="B20708" i="1"/>
  <c r="G20707" i="1"/>
  <c r="C20707" i="1"/>
  <c r="B20707" i="1"/>
  <c r="G20706" i="1"/>
  <c r="B20706" i="1"/>
  <c r="G20705" i="1"/>
  <c r="C20705" i="1"/>
  <c r="B20705" i="1"/>
  <c r="G20704" i="1"/>
  <c r="C20704" i="1"/>
  <c r="B20704" i="1"/>
  <c r="G20703" i="1"/>
  <c r="B20703" i="1"/>
  <c r="G20702" i="1"/>
  <c r="C20702" i="1"/>
  <c r="B20702" i="1"/>
  <c r="G20701" i="1"/>
  <c r="B20701" i="1"/>
  <c r="G20700" i="1"/>
  <c r="C20700" i="1"/>
  <c r="B20700" i="1"/>
  <c r="G20699" i="1"/>
  <c r="B20699" i="1"/>
  <c r="G20698" i="1"/>
  <c r="C20698" i="1"/>
  <c r="B20698" i="1"/>
  <c r="G20697" i="1"/>
  <c r="C20697" i="1"/>
  <c r="B20697" i="1"/>
  <c r="G20696" i="1"/>
  <c r="C20696" i="1"/>
  <c r="B20696" i="1"/>
  <c r="G20695" i="1"/>
  <c r="B20695" i="1"/>
  <c r="G20694" i="1"/>
  <c r="B20694" i="1"/>
  <c r="G20693" i="1"/>
  <c r="B20693" i="1"/>
  <c r="G20692" i="1"/>
  <c r="C20692" i="1"/>
  <c r="B20692" i="1"/>
  <c r="G20691" i="1"/>
  <c r="C20691" i="1"/>
  <c r="B20691" i="1"/>
  <c r="G20690" i="1"/>
  <c r="C20690" i="1"/>
  <c r="B20690" i="1"/>
  <c r="G20689" i="1"/>
  <c r="C20689" i="1"/>
  <c r="B20689" i="1"/>
  <c r="G20688" i="1"/>
  <c r="C20688" i="1"/>
  <c r="B20688" i="1"/>
  <c r="G20687" i="1"/>
  <c r="C20687" i="1"/>
  <c r="B20687" i="1"/>
  <c r="G20686" i="1"/>
  <c r="B20686" i="1"/>
  <c r="G20685" i="1"/>
  <c r="C20685" i="1"/>
  <c r="B20685" i="1"/>
  <c r="G20684" i="1"/>
  <c r="B20684" i="1"/>
  <c r="G20683" i="1"/>
  <c r="C20683" i="1"/>
  <c r="B20683" i="1"/>
  <c r="G20682" i="1"/>
  <c r="B20682" i="1"/>
  <c r="G20681" i="1"/>
  <c r="C20681" i="1"/>
  <c r="B20681" i="1"/>
  <c r="G20680" i="1"/>
  <c r="C20680" i="1"/>
  <c r="B20680" i="1"/>
  <c r="G20679" i="1"/>
  <c r="C20679" i="1"/>
  <c r="B20679" i="1"/>
  <c r="G20678" i="1"/>
  <c r="C20678" i="1"/>
  <c r="B20678" i="1"/>
  <c r="G20677" i="1"/>
  <c r="B20677" i="1"/>
  <c r="G20676" i="1"/>
  <c r="B20676" i="1"/>
  <c r="G20675" i="1"/>
  <c r="C20675" i="1"/>
  <c r="B20675" i="1"/>
  <c r="G20674" i="1"/>
  <c r="C20674" i="1"/>
  <c r="B20674" i="1"/>
  <c r="G20673" i="1"/>
  <c r="C20673" i="1"/>
  <c r="B20673" i="1"/>
  <c r="G20672" i="1"/>
  <c r="C20672" i="1"/>
  <c r="B20672" i="1"/>
  <c r="G20671" i="1"/>
  <c r="C20671" i="1"/>
  <c r="B20671" i="1"/>
  <c r="G20670" i="1"/>
  <c r="C20670" i="1"/>
  <c r="B20670" i="1"/>
  <c r="G20669" i="1"/>
  <c r="C20669" i="1"/>
  <c r="B20669" i="1"/>
  <c r="G20668" i="1"/>
  <c r="C20668" i="1"/>
  <c r="B20668" i="1"/>
  <c r="G20667" i="1"/>
  <c r="B20667" i="1"/>
  <c r="G20666" i="1"/>
  <c r="B20666" i="1"/>
  <c r="G20665" i="1"/>
  <c r="C20665" i="1"/>
  <c r="B20665" i="1"/>
  <c r="G20664" i="1"/>
  <c r="C20664" i="1"/>
  <c r="B20664" i="1"/>
  <c r="G20663" i="1"/>
  <c r="C20663" i="1"/>
  <c r="B20663" i="1"/>
  <c r="G20662" i="1"/>
  <c r="C20662" i="1"/>
  <c r="B20662" i="1"/>
  <c r="G20661" i="1"/>
  <c r="C20661" i="1"/>
  <c r="B20661" i="1"/>
  <c r="G20660" i="1"/>
  <c r="C20660" i="1"/>
  <c r="B20660" i="1"/>
  <c r="G20659" i="1"/>
  <c r="B20659" i="1"/>
  <c r="G20658" i="1"/>
  <c r="C20658" i="1"/>
  <c r="B20658" i="1"/>
  <c r="G20657" i="1"/>
  <c r="C20657" i="1"/>
  <c r="B20657" i="1"/>
  <c r="G20656" i="1"/>
  <c r="B20656" i="1"/>
  <c r="G20655" i="1"/>
  <c r="C20655" i="1"/>
  <c r="B20655" i="1"/>
  <c r="G20654" i="1"/>
  <c r="C20654" i="1"/>
  <c r="B20654" i="1"/>
  <c r="G20653" i="1"/>
  <c r="C20653" i="1"/>
  <c r="B20653" i="1"/>
  <c r="G20652" i="1"/>
  <c r="C20652" i="1"/>
  <c r="B20652" i="1"/>
  <c r="G20651" i="1"/>
  <c r="C20651" i="1"/>
  <c r="B20651" i="1"/>
  <c r="G20650" i="1"/>
  <c r="C20650" i="1"/>
  <c r="B20650" i="1"/>
  <c r="G20649" i="1"/>
  <c r="B20649" i="1"/>
  <c r="G20648" i="1"/>
  <c r="C20648" i="1"/>
  <c r="B20648" i="1"/>
  <c r="G20647" i="1"/>
  <c r="B20647" i="1"/>
  <c r="G20646" i="1"/>
  <c r="B20646" i="1"/>
  <c r="G20645" i="1"/>
  <c r="B20645" i="1"/>
  <c r="G20644" i="1"/>
  <c r="B20644" i="1"/>
  <c r="G20643" i="1"/>
  <c r="C20643" i="1"/>
  <c r="B20643" i="1"/>
  <c r="G20642" i="1"/>
  <c r="B20642" i="1"/>
  <c r="G20641" i="1"/>
  <c r="C20641" i="1"/>
  <c r="B20641" i="1"/>
  <c r="G20640" i="1"/>
  <c r="C20640" i="1"/>
  <c r="B20640" i="1"/>
  <c r="G20639" i="1"/>
  <c r="C20639" i="1"/>
  <c r="B20639" i="1"/>
  <c r="G20638" i="1"/>
  <c r="C20638" i="1"/>
  <c r="B20638" i="1"/>
  <c r="G20637" i="1"/>
  <c r="C20637" i="1"/>
  <c r="B20637" i="1"/>
  <c r="G20636" i="1"/>
  <c r="C20636" i="1"/>
  <c r="B20636" i="1"/>
  <c r="G20635" i="1"/>
  <c r="B20635" i="1"/>
  <c r="G20634" i="1"/>
  <c r="C20634" i="1"/>
  <c r="B20634" i="1"/>
  <c r="G20633" i="1"/>
  <c r="C20633" i="1"/>
  <c r="B20633" i="1"/>
  <c r="G20632" i="1"/>
  <c r="C20632" i="1"/>
  <c r="B20632" i="1"/>
  <c r="G20631" i="1"/>
  <c r="C20631" i="1"/>
  <c r="B20631" i="1"/>
  <c r="G20630" i="1"/>
  <c r="C20630" i="1"/>
  <c r="B20630" i="1"/>
  <c r="G20629" i="1"/>
  <c r="C20629" i="1"/>
  <c r="B20629" i="1"/>
  <c r="G20628" i="1"/>
  <c r="C20628" i="1"/>
  <c r="B20628" i="1"/>
  <c r="G20627" i="1"/>
  <c r="B20627" i="1"/>
  <c r="G20626" i="1"/>
  <c r="C20626" i="1"/>
  <c r="B20626" i="1"/>
  <c r="G20625" i="1"/>
  <c r="C20625" i="1"/>
  <c r="B20625" i="1"/>
  <c r="G20624" i="1"/>
  <c r="C20624" i="1"/>
  <c r="B20624" i="1"/>
  <c r="G20623" i="1"/>
  <c r="C20623" i="1"/>
  <c r="B20623" i="1"/>
  <c r="G20622" i="1"/>
  <c r="C20622" i="1"/>
  <c r="B20622" i="1"/>
  <c r="G20621" i="1"/>
  <c r="B20621" i="1"/>
  <c r="G20620" i="1"/>
  <c r="C20620" i="1"/>
  <c r="B20620" i="1"/>
  <c r="G20619" i="1"/>
  <c r="C20619" i="1"/>
  <c r="B20619" i="1"/>
  <c r="G20618" i="1"/>
  <c r="C20618" i="1"/>
  <c r="B20618" i="1"/>
  <c r="G20617" i="1"/>
  <c r="B20617" i="1"/>
  <c r="G20616" i="1"/>
  <c r="B20616" i="1"/>
  <c r="G20615" i="1"/>
  <c r="C20615" i="1"/>
  <c r="B20615" i="1"/>
  <c r="G20614" i="1"/>
  <c r="C20614" i="1"/>
  <c r="B20614" i="1"/>
  <c r="G20613" i="1"/>
  <c r="C20613" i="1"/>
  <c r="B20613" i="1"/>
  <c r="G20612" i="1"/>
  <c r="C20612" i="1"/>
  <c r="B20612" i="1"/>
  <c r="G20611" i="1"/>
  <c r="C20611" i="1"/>
  <c r="B20611" i="1"/>
  <c r="G20610" i="1"/>
  <c r="C20610" i="1"/>
  <c r="B20610" i="1"/>
  <c r="G20609" i="1"/>
  <c r="C20609" i="1"/>
  <c r="B20609" i="1"/>
  <c r="G20608" i="1"/>
  <c r="C20608" i="1"/>
  <c r="B20608" i="1"/>
  <c r="G20607" i="1"/>
  <c r="C20607" i="1"/>
  <c r="B20607" i="1"/>
  <c r="G20606" i="1"/>
  <c r="B20606" i="1"/>
  <c r="G20605" i="1"/>
  <c r="C20605" i="1"/>
  <c r="B20605" i="1"/>
  <c r="G20604" i="1"/>
  <c r="C20604" i="1"/>
  <c r="B20604" i="1"/>
  <c r="G20603" i="1"/>
  <c r="C20603" i="1"/>
  <c r="B20603" i="1"/>
  <c r="G20602" i="1"/>
  <c r="C20602" i="1"/>
  <c r="B20602" i="1"/>
  <c r="G20601" i="1"/>
  <c r="C20601" i="1"/>
  <c r="B20601" i="1"/>
  <c r="G20600" i="1"/>
  <c r="B20600" i="1"/>
  <c r="G20599" i="1"/>
  <c r="B20599" i="1"/>
  <c r="G20598" i="1"/>
  <c r="B20598" i="1"/>
  <c r="G20597" i="1"/>
  <c r="B20597" i="1"/>
  <c r="G20596" i="1"/>
  <c r="C20596" i="1"/>
  <c r="B20596" i="1"/>
  <c r="G20595" i="1"/>
  <c r="C20595" i="1"/>
  <c r="B20595" i="1"/>
  <c r="G20594" i="1"/>
  <c r="C20594" i="1"/>
  <c r="B20594" i="1"/>
  <c r="G20593" i="1"/>
  <c r="C20593" i="1"/>
  <c r="B20593" i="1"/>
  <c r="G20592" i="1"/>
  <c r="B20592" i="1"/>
  <c r="G20591" i="1"/>
  <c r="C20591" i="1"/>
  <c r="B20591" i="1"/>
  <c r="G20590" i="1"/>
  <c r="B20590" i="1"/>
  <c r="G20589" i="1"/>
  <c r="B20589" i="1"/>
  <c r="G20588" i="1"/>
  <c r="B20588" i="1"/>
  <c r="G20587" i="1"/>
  <c r="C20587" i="1"/>
  <c r="B20587" i="1"/>
  <c r="G20586" i="1"/>
  <c r="C20586" i="1"/>
  <c r="B20586" i="1"/>
  <c r="G20585" i="1"/>
  <c r="B20585" i="1"/>
  <c r="G20584" i="1"/>
  <c r="C20584" i="1"/>
  <c r="B20584" i="1"/>
  <c r="G20583" i="1"/>
  <c r="C20583" i="1"/>
  <c r="B20583" i="1"/>
  <c r="G20582" i="1"/>
  <c r="C20582" i="1"/>
  <c r="B20582" i="1"/>
  <c r="G20581" i="1"/>
  <c r="B20581" i="1"/>
  <c r="G20580" i="1"/>
  <c r="C20580" i="1"/>
  <c r="B20580" i="1"/>
  <c r="G20579" i="1"/>
  <c r="B20579" i="1"/>
  <c r="G20578" i="1"/>
  <c r="B20578" i="1"/>
  <c r="G20577" i="1"/>
  <c r="C20577" i="1"/>
  <c r="B20577" i="1"/>
  <c r="G20576" i="1"/>
  <c r="B20576" i="1"/>
  <c r="G20575" i="1"/>
  <c r="C20575" i="1"/>
  <c r="B20575" i="1"/>
  <c r="G20574" i="1"/>
  <c r="B20574" i="1"/>
  <c r="G20573" i="1"/>
  <c r="C20573" i="1"/>
  <c r="B20573" i="1"/>
  <c r="G20572" i="1"/>
  <c r="B20572" i="1"/>
  <c r="G20571" i="1"/>
  <c r="C20571" i="1"/>
  <c r="B20571" i="1"/>
  <c r="G20570" i="1"/>
  <c r="C20570" i="1"/>
  <c r="B20570" i="1"/>
  <c r="G20569" i="1"/>
  <c r="C20569" i="1"/>
  <c r="B20569" i="1"/>
  <c r="G20568" i="1"/>
  <c r="C20568" i="1"/>
  <c r="B20568" i="1"/>
  <c r="G20567" i="1"/>
  <c r="C20567" i="1"/>
  <c r="B20567" i="1"/>
  <c r="G20566" i="1"/>
  <c r="B20566" i="1"/>
  <c r="G20565" i="1"/>
  <c r="B20565" i="1"/>
  <c r="G20564" i="1"/>
  <c r="B20564" i="1"/>
  <c r="G20563" i="1"/>
  <c r="C20563" i="1"/>
  <c r="B20563" i="1"/>
  <c r="G20562" i="1"/>
  <c r="C20562" i="1"/>
  <c r="B20562" i="1"/>
  <c r="G20561" i="1"/>
  <c r="B20561" i="1"/>
  <c r="G20560" i="1"/>
  <c r="C20560" i="1"/>
  <c r="B20560" i="1"/>
  <c r="G20559" i="1"/>
  <c r="C20559" i="1"/>
  <c r="B20559" i="1"/>
  <c r="G20558" i="1"/>
  <c r="C20558" i="1"/>
  <c r="B20558" i="1"/>
  <c r="G20557" i="1"/>
  <c r="C20557" i="1"/>
  <c r="B20557" i="1"/>
  <c r="G20556" i="1"/>
  <c r="C20556" i="1"/>
  <c r="B20556" i="1"/>
  <c r="G20555" i="1"/>
  <c r="B20555" i="1"/>
  <c r="G20554" i="1"/>
  <c r="B20554" i="1"/>
  <c r="G20553" i="1"/>
  <c r="C20553" i="1"/>
  <c r="B20553" i="1"/>
  <c r="G20552" i="1"/>
  <c r="C20552" i="1"/>
  <c r="B20552" i="1"/>
  <c r="G20551" i="1"/>
  <c r="C20551" i="1"/>
  <c r="B20551" i="1"/>
  <c r="G20550" i="1"/>
  <c r="C20550" i="1"/>
  <c r="B20550" i="1"/>
  <c r="G20549" i="1"/>
  <c r="C20549" i="1"/>
  <c r="B20549" i="1"/>
  <c r="G20548" i="1"/>
  <c r="B20548" i="1"/>
  <c r="G20547" i="1"/>
  <c r="C20547" i="1"/>
  <c r="B20547" i="1"/>
  <c r="G20546" i="1"/>
  <c r="B20546" i="1"/>
  <c r="G20545" i="1"/>
  <c r="C20545" i="1"/>
  <c r="B20545" i="1"/>
  <c r="G20544" i="1"/>
  <c r="C20544" i="1"/>
  <c r="B20544" i="1"/>
  <c r="G20543" i="1"/>
  <c r="B20543" i="1"/>
  <c r="G20542" i="1"/>
  <c r="C20542" i="1"/>
  <c r="B20542" i="1"/>
  <c r="G20541" i="1"/>
  <c r="C20541" i="1"/>
  <c r="B20541" i="1"/>
  <c r="G20540" i="1"/>
  <c r="C20540" i="1"/>
  <c r="B20540" i="1"/>
  <c r="G20539" i="1"/>
  <c r="C20539" i="1"/>
  <c r="B20539" i="1"/>
  <c r="G20538" i="1"/>
  <c r="C20538" i="1"/>
  <c r="B20538" i="1"/>
  <c r="G20537" i="1"/>
  <c r="C20537" i="1"/>
  <c r="B20537" i="1"/>
  <c r="G20536" i="1"/>
  <c r="C20536" i="1"/>
  <c r="B20536" i="1"/>
  <c r="G20535" i="1"/>
  <c r="B20535" i="1"/>
  <c r="G20534" i="1"/>
  <c r="C20534" i="1"/>
  <c r="B20534" i="1"/>
  <c r="G20533" i="1"/>
  <c r="C20533" i="1"/>
  <c r="B20533" i="1"/>
  <c r="G20532" i="1"/>
  <c r="C20532" i="1"/>
  <c r="B20532" i="1"/>
  <c r="G20531" i="1"/>
  <c r="B20531" i="1"/>
  <c r="G20530" i="1"/>
  <c r="C20530" i="1"/>
  <c r="B20530" i="1"/>
  <c r="G20529" i="1"/>
  <c r="C20529" i="1"/>
  <c r="B20529" i="1"/>
  <c r="G20528" i="1"/>
  <c r="C20528" i="1"/>
  <c r="B20528" i="1"/>
  <c r="G20527" i="1"/>
  <c r="C20527" i="1"/>
  <c r="B20527" i="1"/>
  <c r="G20526" i="1"/>
  <c r="C20526" i="1"/>
  <c r="B20526" i="1"/>
  <c r="G20525" i="1"/>
  <c r="C20525" i="1"/>
  <c r="B20525" i="1"/>
  <c r="G20524" i="1"/>
  <c r="C20524" i="1"/>
  <c r="B20524" i="1"/>
  <c r="G20523" i="1"/>
  <c r="C20523" i="1"/>
  <c r="B20523" i="1"/>
  <c r="G20522" i="1"/>
  <c r="B20522" i="1"/>
  <c r="G20521" i="1"/>
  <c r="C20521" i="1"/>
  <c r="B20521" i="1"/>
  <c r="G20520" i="1"/>
  <c r="B20520" i="1"/>
  <c r="G20519" i="1"/>
  <c r="C20519" i="1"/>
  <c r="B20519" i="1"/>
  <c r="G20518" i="1"/>
  <c r="B20518" i="1"/>
  <c r="G20517" i="1"/>
  <c r="C20517" i="1"/>
  <c r="B20517" i="1"/>
  <c r="G20516" i="1"/>
  <c r="C20516" i="1"/>
  <c r="B20516" i="1"/>
  <c r="G20515" i="1"/>
  <c r="B20515" i="1"/>
  <c r="G20514" i="1"/>
  <c r="C20514" i="1"/>
  <c r="B20514" i="1"/>
  <c r="G20513" i="1"/>
  <c r="B20513" i="1"/>
  <c r="G20512" i="1"/>
  <c r="B20512" i="1"/>
  <c r="G20511" i="1"/>
  <c r="B20511" i="1"/>
  <c r="G20510" i="1"/>
  <c r="C20510" i="1"/>
  <c r="B20510" i="1"/>
  <c r="G20509" i="1"/>
  <c r="B20509" i="1"/>
  <c r="G20508" i="1"/>
  <c r="C20508" i="1"/>
  <c r="B20508" i="1"/>
  <c r="G20507" i="1"/>
  <c r="C20507" i="1"/>
  <c r="B20507" i="1"/>
  <c r="G20506" i="1"/>
  <c r="B20506" i="1"/>
  <c r="G20505" i="1"/>
  <c r="C20505" i="1"/>
  <c r="B20505" i="1"/>
  <c r="G20504" i="1"/>
  <c r="B20504" i="1"/>
  <c r="G20503" i="1"/>
  <c r="B20503" i="1"/>
  <c r="G20502" i="1"/>
  <c r="C20502" i="1"/>
  <c r="B20502" i="1"/>
  <c r="G20501" i="1"/>
  <c r="B20501" i="1"/>
  <c r="G20500" i="1"/>
  <c r="C20500" i="1"/>
  <c r="B20500" i="1"/>
  <c r="G20499" i="1"/>
  <c r="C20499" i="1"/>
  <c r="B20499" i="1"/>
  <c r="G20498" i="1"/>
  <c r="C20498" i="1"/>
  <c r="B20498" i="1"/>
  <c r="G20497" i="1"/>
  <c r="B20497" i="1"/>
  <c r="G20496" i="1"/>
  <c r="B20496" i="1"/>
  <c r="G20495" i="1"/>
  <c r="C20495" i="1"/>
  <c r="B20495" i="1"/>
  <c r="G20494" i="1"/>
  <c r="C20494" i="1"/>
  <c r="B20494" i="1"/>
  <c r="G20493" i="1"/>
  <c r="C20493" i="1"/>
  <c r="B20493" i="1"/>
  <c r="G20492" i="1"/>
  <c r="C20492" i="1"/>
  <c r="B20492" i="1"/>
  <c r="G20491" i="1"/>
  <c r="B20491" i="1"/>
  <c r="G20490" i="1"/>
  <c r="C20490" i="1"/>
  <c r="B20490" i="1"/>
  <c r="G20489" i="1"/>
  <c r="B20489" i="1"/>
  <c r="G20488" i="1"/>
  <c r="B20488" i="1"/>
  <c r="G20487" i="1"/>
  <c r="C20487" i="1"/>
  <c r="B20487" i="1"/>
  <c r="G20486" i="1"/>
  <c r="C20486" i="1"/>
  <c r="B20486" i="1"/>
  <c r="G20485" i="1"/>
  <c r="C20485" i="1"/>
  <c r="B20485" i="1"/>
  <c r="G20484" i="1"/>
  <c r="C20484" i="1"/>
  <c r="B20484" i="1"/>
  <c r="G20483" i="1"/>
  <c r="C20483" i="1"/>
  <c r="B20483" i="1"/>
  <c r="G20482" i="1"/>
  <c r="C20482" i="1"/>
  <c r="B20482" i="1"/>
  <c r="G20481" i="1"/>
  <c r="B20481" i="1"/>
  <c r="G20480" i="1"/>
  <c r="B20480" i="1"/>
  <c r="G20479" i="1"/>
  <c r="C20479" i="1"/>
  <c r="B20479" i="1"/>
  <c r="G20478" i="1"/>
  <c r="C20478" i="1"/>
  <c r="B20478" i="1"/>
  <c r="G20477" i="1"/>
  <c r="C20477" i="1"/>
  <c r="B20477" i="1"/>
  <c r="G20476" i="1"/>
  <c r="B20476" i="1"/>
  <c r="G20475" i="1"/>
  <c r="C20475" i="1"/>
  <c r="B20475" i="1"/>
  <c r="G20474" i="1"/>
  <c r="C20474" i="1"/>
  <c r="B20474" i="1"/>
  <c r="G20473" i="1"/>
  <c r="C20473" i="1"/>
  <c r="B20473" i="1"/>
  <c r="G20472" i="1"/>
  <c r="C20472" i="1"/>
  <c r="B20472" i="1"/>
  <c r="G20471" i="1"/>
  <c r="B20471" i="1"/>
  <c r="G20470" i="1"/>
  <c r="B20470" i="1"/>
  <c r="G20469" i="1"/>
  <c r="B20469" i="1"/>
  <c r="G20468" i="1"/>
  <c r="C20468" i="1"/>
  <c r="B20468" i="1"/>
  <c r="G20467" i="1"/>
  <c r="C20467" i="1"/>
  <c r="B20467" i="1"/>
  <c r="G20466" i="1"/>
  <c r="B20466" i="1"/>
  <c r="G20465" i="1"/>
  <c r="C20465" i="1"/>
  <c r="B20465" i="1"/>
  <c r="G20464" i="1"/>
  <c r="C20464" i="1"/>
  <c r="B20464" i="1"/>
  <c r="G20463" i="1"/>
  <c r="B20463" i="1"/>
  <c r="G20462" i="1"/>
  <c r="C20462" i="1"/>
  <c r="B20462" i="1"/>
  <c r="G20461" i="1"/>
  <c r="C20461" i="1"/>
  <c r="B20461" i="1"/>
  <c r="G20460" i="1"/>
  <c r="C20460" i="1"/>
  <c r="B20460" i="1"/>
  <c r="G20459" i="1"/>
  <c r="B20459" i="1"/>
  <c r="G20458" i="1"/>
  <c r="C20458" i="1"/>
  <c r="B20458" i="1"/>
  <c r="G20457" i="1"/>
  <c r="C20457" i="1"/>
  <c r="B20457" i="1"/>
  <c r="G20456" i="1"/>
  <c r="C20456" i="1"/>
  <c r="B20456" i="1"/>
  <c r="G20455" i="1"/>
  <c r="C20455" i="1"/>
  <c r="B20455" i="1"/>
  <c r="G20454" i="1"/>
  <c r="C20454" i="1"/>
  <c r="B20454" i="1"/>
  <c r="G20453" i="1"/>
  <c r="C20453" i="1"/>
  <c r="B20453" i="1"/>
  <c r="G20452" i="1"/>
  <c r="B20452" i="1"/>
  <c r="G20451" i="1"/>
  <c r="C20451" i="1"/>
  <c r="B20451" i="1"/>
  <c r="G20450" i="1"/>
  <c r="C20450" i="1"/>
  <c r="B20450" i="1"/>
  <c r="G20449" i="1"/>
  <c r="B20449" i="1"/>
  <c r="G20448" i="1"/>
  <c r="C20448" i="1"/>
  <c r="B20448" i="1"/>
  <c r="G20447" i="1"/>
  <c r="C20447" i="1"/>
  <c r="B20447" i="1"/>
  <c r="G20446" i="1"/>
  <c r="C20446" i="1"/>
  <c r="B20446" i="1"/>
  <c r="G20445" i="1"/>
  <c r="B20445" i="1"/>
  <c r="G20444" i="1"/>
  <c r="C20444" i="1"/>
  <c r="B20444" i="1"/>
  <c r="G20443" i="1"/>
  <c r="C20443" i="1"/>
  <c r="B20443" i="1"/>
  <c r="G20442" i="1"/>
  <c r="C20442" i="1"/>
  <c r="B20442" i="1"/>
  <c r="G20441" i="1"/>
  <c r="B20441" i="1"/>
  <c r="G20440" i="1"/>
  <c r="C20440" i="1"/>
  <c r="B20440" i="1"/>
  <c r="G20439" i="1"/>
  <c r="C20439" i="1"/>
  <c r="B20439" i="1"/>
  <c r="G20438" i="1"/>
  <c r="B20438" i="1"/>
  <c r="G20437" i="1"/>
  <c r="B20437" i="1"/>
  <c r="G20436" i="1"/>
  <c r="B20436" i="1"/>
  <c r="G20435" i="1"/>
  <c r="B20435" i="1"/>
  <c r="G20434" i="1"/>
  <c r="B20434" i="1"/>
  <c r="G20433" i="1"/>
  <c r="C20433" i="1"/>
  <c r="B20433" i="1"/>
  <c r="G20432" i="1"/>
  <c r="C20432" i="1"/>
  <c r="B20432" i="1"/>
  <c r="G20431" i="1"/>
  <c r="B20431" i="1"/>
  <c r="G20430" i="1"/>
  <c r="C20430" i="1"/>
  <c r="B20430" i="1"/>
  <c r="G20429" i="1"/>
  <c r="B20429" i="1"/>
  <c r="G20428" i="1"/>
  <c r="C20428" i="1"/>
  <c r="B20428" i="1"/>
  <c r="G20427" i="1"/>
  <c r="B20427" i="1"/>
  <c r="G20426" i="1"/>
  <c r="C20426" i="1"/>
  <c r="B20426" i="1"/>
  <c r="G20425" i="1"/>
  <c r="C20425" i="1"/>
  <c r="B20425" i="1"/>
  <c r="G20424" i="1"/>
  <c r="C20424" i="1"/>
  <c r="B20424" i="1"/>
  <c r="G20423" i="1"/>
  <c r="C20423" i="1"/>
  <c r="B20423" i="1"/>
  <c r="G20422" i="1"/>
  <c r="C20422" i="1"/>
  <c r="B20422" i="1"/>
  <c r="G20421" i="1"/>
  <c r="B20421" i="1"/>
  <c r="G20420" i="1"/>
  <c r="C20420" i="1"/>
  <c r="B20420" i="1"/>
  <c r="G20419" i="1"/>
  <c r="C20419" i="1"/>
  <c r="B20419" i="1"/>
  <c r="G20418" i="1"/>
  <c r="B20418" i="1"/>
  <c r="G20417" i="1"/>
  <c r="B20417" i="1"/>
  <c r="G20416" i="1"/>
  <c r="B20416" i="1"/>
  <c r="G20415" i="1"/>
  <c r="B20415" i="1"/>
  <c r="G20414" i="1"/>
  <c r="C20414" i="1"/>
  <c r="B20414" i="1"/>
  <c r="G20413" i="1"/>
  <c r="C20413" i="1"/>
  <c r="B20413" i="1"/>
  <c r="G20412" i="1"/>
  <c r="C20412" i="1"/>
  <c r="B20412" i="1"/>
  <c r="G20411" i="1"/>
  <c r="B20411" i="1"/>
  <c r="G20410" i="1"/>
  <c r="C20410" i="1"/>
  <c r="B20410" i="1"/>
  <c r="G20409" i="1"/>
  <c r="C20409" i="1"/>
  <c r="B20409" i="1"/>
  <c r="G20408" i="1"/>
  <c r="C20408" i="1"/>
  <c r="B20408" i="1"/>
  <c r="G20407" i="1"/>
  <c r="B20407" i="1"/>
  <c r="G20406" i="1"/>
  <c r="C20406" i="1"/>
  <c r="B20406" i="1"/>
  <c r="G20405" i="1"/>
  <c r="B20405" i="1"/>
  <c r="G20404" i="1"/>
  <c r="B20404" i="1"/>
  <c r="G20403" i="1"/>
  <c r="C20403" i="1"/>
  <c r="B20403" i="1"/>
  <c r="G20402" i="1"/>
  <c r="C20402" i="1"/>
  <c r="B20402" i="1"/>
  <c r="G20401" i="1"/>
  <c r="C20401" i="1"/>
  <c r="B20401" i="1"/>
  <c r="G20400" i="1"/>
  <c r="B20400" i="1"/>
  <c r="G20399" i="1"/>
  <c r="C20399" i="1"/>
  <c r="B20399" i="1"/>
  <c r="G20398" i="1"/>
  <c r="C20398" i="1"/>
  <c r="B20398" i="1"/>
  <c r="G20397" i="1"/>
  <c r="B20397" i="1"/>
  <c r="G20396" i="1"/>
  <c r="B20396" i="1"/>
  <c r="G20395" i="1"/>
  <c r="C20395" i="1"/>
  <c r="B20395" i="1"/>
  <c r="G20394" i="1"/>
  <c r="C20394" i="1"/>
  <c r="B20394" i="1"/>
  <c r="G20393" i="1"/>
  <c r="B20393" i="1"/>
  <c r="G20392" i="1"/>
  <c r="C20392" i="1"/>
  <c r="B20392" i="1"/>
  <c r="G20391" i="1"/>
  <c r="B20391" i="1"/>
  <c r="G20390" i="1"/>
  <c r="C20390" i="1"/>
  <c r="B20390" i="1"/>
  <c r="G20389" i="1"/>
  <c r="C20389" i="1"/>
  <c r="B20389" i="1"/>
  <c r="G20388" i="1"/>
  <c r="C20388" i="1"/>
  <c r="B20388" i="1"/>
  <c r="G20387" i="1"/>
  <c r="C20387" i="1"/>
  <c r="B20387" i="1"/>
  <c r="G20386" i="1"/>
  <c r="C20386" i="1"/>
  <c r="B20386" i="1"/>
  <c r="G20385" i="1"/>
  <c r="B20385" i="1"/>
  <c r="G20384" i="1"/>
  <c r="B20384" i="1"/>
  <c r="G20383" i="1"/>
  <c r="C20383" i="1"/>
  <c r="B20383" i="1"/>
  <c r="G20382" i="1"/>
  <c r="C20382" i="1"/>
  <c r="B20382" i="1"/>
  <c r="G20381" i="1"/>
  <c r="B20381" i="1"/>
  <c r="G20380" i="1"/>
  <c r="C20380" i="1"/>
  <c r="B20380" i="1"/>
  <c r="G20379" i="1"/>
  <c r="C20379" i="1"/>
  <c r="B20379" i="1"/>
  <c r="G20378" i="1"/>
  <c r="C20378" i="1"/>
  <c r="B20378" i="1"/>
  <c r="G20377" i="1"/>
  <c r="B20377" i="1"/>
  <c r="G20376" i="1"/>
  <c r="C20376" i="1"/>
  <c r="B20376" i="1"/>
  <c r="G20375" i="1"/>
  <c r="B20375" i="1"/>
  <c r="G20374" i="1"/>
  <c r="C20374" i="1"/>
  <c r="B20374" i="1"/>
  <c r="G20373" i="1"/>
  <c r="B20373" i="1"/>
  <c r="G20372" i="1"/>
  <c r="B20372" i="1"/>
  <c r="G20371" i="1"/>
  <c r="B20371" i="1"/>
  <c r="G20370" i="1"/>
  <c r="B20370" i="1"/>
  <c r="G20369" i="1"/>
  <c r="B20369" i="1"/>
  <c r="G20368" i="1"/>
  <c r="B20368" i="1"/>
  <c r="G20367" i="1"/>
  <c r="C20367" i="1"/>
  <c r="B20367" i="1"/>
  <c r="G20366" i="1"/>
  <c r="C20366" i="1"/>
  <c r="B20366" i="1"/>
  <c r="G20365" i="1"/>
  <c r="B20365" i="1"/>
  <c r="G20364" i="1"/>
  <c r="C20364" i="1"/>
  <c r="B20364" i="1"/>
  <c r="G20363" i="1"/>
  <c r="C20363" i="1"/>
  <c r="B20363" i="1"/>
  <c r="G20362" i="1"/>
  <c r="B20362" i="1"/>
  <c r="G20361" i="1"/>
  <c r="C20361" i="1"/>
  <c r="B20361" i="1"/>
  <c r="G20360" i="1"/>
  <c r="B20360" i="1"/>
  <c r="G20359" i="1"/>
  <c r="C20359" i="1"/>
  <c r="B20359" i="1"/>
  <c r="G20358" i="1"/>
  <c r="B20358" i="1"/>
  <c r="G20357" i="1"/>
  <c r="B20357" i="1"/>
  <c r="G20356" i="1"/>
  <c r="B20356" i="1"/>
  <c r="G20355" i="1"/>
  <c r="C20355" i="1"/>
  <c r="B20355" i="1"/>
  <c r="G20354" i="1"/>
  <c r="C20354" i="1"/>
  <c r="B20354" i="1"/>
  <c r="G20353" i="1"/>
  <c r="B20353" i="1"/>
  <c r="G20352" i="1"/>
  <c r="B20352" i="1"/>
  <c r="G20351" i="1"/>
  <c r="B20351" i="1"/>
  <c r="G20350" i="1"/>
  <c r="B20350" i="1"/>
  <c r="G20349" i="1"/>
  <c r="C20349" i="1"/>
  <c r="B20349" i="1"/>
  <c r="G20348" i="1"/>
  <c r="C20348" i="1"/>
  <c r="B20348" i="1"/>
  <c r="G20347" i="1"/>
  <c r="B20347" i="1"/>
  <c r="G20346" i="1"/>
  <c r="B20346" i="1"/>
  <c r="G20345" i="1"/>
  <c r="B20345" i="1"/>
  <c r="G20344" i="1"/>
  <c r="C20344" i="1"/>
  <c r="B20344" i="1"/>
  <c r="G20343" i="1"/>
  <c r="C20343" i="1"/>
  <c r="B20343" i="1"/>
  <c r="G20342" i="1"/>
  <c r="C20342" i="1"/>
  <c r="B20342" i="1"/>
  <c r="G20341" i="1"/>
  <c r="B20341" i="1"/>
  <c r="G20340" i="1"/>
  <c r="C20340" i="1"/>
  <c r="B20340" i="1"/>
  <c r="G20339" i="1"/>
  <c r="C20339" i="1"/>
  <c r="B20339" i="1"/>
  <c r="G20338" i="1"/>
  <c r="B20338" i="1"/>
  <c r="G20337" i="1"/>
  <c r="B20337" i="1"/>
  <c r="G20336" i="1"/>
  <c r="B20336" i="1"/>
  <c r="G20335" i="1"/>
  <c r="C20335" i="1"/>
  <c r="B20335" i="1"/>
  <c r="G20334" i="1"/>
  <c r="C20334" i="1"/>
  <c r="B20334" i="1"/>
  <c r="G20333" i="1"/>
  <c r="C20333" i="1"/>
  <c r="B20333" i="1"/>
  <c r="G20332" i="1"/>
  <c r="C20332" i="1"/>
  <c r="B20332" i="1"/>
  <c r="G20331" i="1"/>
  <c r="B20331" i="1"/>
  <c r="G20330" i="1"/>
  <c r="B20330" i="1"/>
  <c r="G20329" i="1"/>
  <c r="C20329" i="1"/>
  <c r="B20329" i="1"/>
  <c r="G20328" i="1"/>
  <c r="C20328" i="1"/>
  <c r="B20328" i="1"/>
  <c r="G20327" i="1"/>
  <c r="B20327" i="1"/>
  <c r="G20326" i="1"/>
  <c r="C20326" i="1"/>
  <c r="B20326" i="1"/>
  <c r="G20325" i="1"/>
  <c r="C20325" i="1"/>
  <c r="B20325" i="1"/>
  <c r="G20324" i="1"/>
  <c r="B20324" i="1"/>
  <c r="G20323" i="1"/>
  <c r="C20323" i="1"/>
  <c r="B20323" i="1"/>
  <c r="G20322" i="1"/>
  <c r="C20322" i="1"/>
  <c r="B20322" i="1"/>
  <c r="G20321" i="1"/>
  <c r="C20321" i="1"/>
  <c r="B20321" i="1"/>
  <c r="G20320" i="1"/>
  <c r="C20320" i="1"/>
  <c r="B20320" i="1"/>
  <c r="G20319" i="1"/>
  <c r="C20319" i="1"/>
  <c r="B20319" i="1"/>
  <c r="G20318" i="1"/>
  <c r="C20318" i="1"/>
  <c r="B20318" i="1"/>
  <c r="G20317" i="1"/>
  <c r="C20317" i="1"/>
  <c r="B20317" i="1"/>
  <c r="G20316" i="1"/>
  <c r="B20316" i="1"/>
  <c r="G20315" i="1"/>
  <c r="C20315" i="1"/>
  <c r="B20315" i="1"/>
  <c r="G20314" i="1"/>
  <c r="C20314" i="1"/>
  <c r="B20314" i="1"/>
  <c r="G20313" i="1"/>
  <c r="C20313" i="1"/>
  <c r="B20313" i="1"/>
  <c r="G20312" i="1"/>
  <c r="C20312" i="1"/>
  <c r="B20312" i="1"/>
  <c r="G20311" i="1"/>
  <c r="C20311" i="1"/>
  <c r="B20311" i="1"/>
  <c r="G20310" i="1"/>
  <c r="C20310" i="1"/>
  <c r="B20310" i="1"/>
  <c r="G20309" i="1"/>
  <c r="C20309" i="1"/>
  <c r="B20309" i="1"/>
  <c r="G20308" i="1"/>
  <c r="C20308" i="1"/>
  <c r="B20308" i="1"/>
  <c r="G20307" i="1"/>
  <c r="C20307" i="1"/>
  <c r="B20307" i="1"/>
  <c r="G20306" i="1"/>
  <c r="B20306" i="1"/>
  <c r="G20305" i="1"/>
  <c r="C20305" i="1"/>
  <c r="B20305" i="1"/>
  <c r="G20304" i="1"/>
  <c r="B20304" i="1"/>
  <c r="G20303" i="1"/>
  <c r="C20303" i="1"/>
  <c r="B20303" i="1"/>
  <c r="G20302" i="1"/>
  <c r="C20302" i="1"/>
  <c r="B20302" i="1"/>
  <c r="G20301" i="1"/>
  <c r="B20301" i="1"/>
  <c r="G20300" i="1"/>
  <c r="B20300" i="1"/>
  <c r="G20299" i="1"/>
  <c r="B20299" i="1"/>
  <c r="G20298" i="1"/>
  <c r="C20298" i="1"/>
  <c r="B20298" i="1"/>
  <c r="G20297" i="1"/>
  <c r="C20297" i="1"/>
  <c r="B20297" i="1"/>
  <c r="G20296" i="1"/>
  <c r="C20296" i="1"/>
  <c r="B20296" i="1"/>
  <c r="G20295" i="1"/>
  <c r="B20295" i="1"/>
  <c r="G20294" i="1"/>
  <c r="C20294" i="1"/>
  <c r="B20294" i="1"/>
  <c r="G20293" i="1"/>
  <c r="C20293" i="1"/>
  <c r="B20293" i="1"/>
  <c r="G20292" i="1"/>
  <c r="B20292" i="1"/>
  <c r="G20291" i="1"/>
  <c r="C20291" i="1"/>
  <c r="B20291" i="1"/>
  <c r="G20290" i="1"/>
  <c r="B20290" i="1"/>
  <c r="G20289" i="1"/>
  <c r="B20289" i="1"/>
  <c r="G20288" i="1"/>
  <c r="C20288" i="1"/>
  <c r="B20288" i="1"/>
  <c r="G20287" i="1"/>
  <c r="C20287" i="1"/>
  <c r="B20287" i="1"/>
  <c r="G20286" i="1"/>
  <c r="B20286" i="1"/>
  <c r="G20285" i="1"/>
  <c r="B20285" i="1"/>
  <c r="G20284" i="1"/>
  <c r="C20284" i="1"/>
  <c r="B20284" i="1"/>
  <c r="G20283" i="1"/>
  <c r="B20283" i="1"/>
  <c r="G20282" i="1"/>
  <c r="C20282" i="1"/>
  <c r="B20282" i="1"/>
  <c r="G20281" i="1"/>
  <c r="B20281" i="1"/>
  <c r="G20280" i="1"/>
  <c r="B20280" i="1"/>
  <c r="G20279" i="1"/>
  <c r="B20279" i="1"/>
  <c r="G20278" i="1"/>
  <c r="B20278" i="1"/>
  <c r="G20277" i="1"/>
  <c r="C20277" i="1"/>
  <c r="B20277" i="1"/>
  <c r="G20276" i="1"/>
  <c r="C20276" i="1"/>
  <c r="B20276" i="1"/>
  <c r="G20275" i="1"/>
  <c r="C20275" i="1"/>
  <c r="B20275" i="1"/>
  <c r="G20274" i="1"/>
  <c r="C20274" i="1"/>
  <c r="B20274" i="1"/>
  <c r="G20273" i="1"/>
  <c r="C20273" i="1"/>
  <c r="B20273" i="1"/>
  <c r="G20272" i="1"/>
  <c r="B20272" i="1"/>
  <c r="G20271" i="1"/>
  <c r="B20271" i="1"/>
  <c r="G20270" i="1"/>
  <c r="C20270" i="1"/>
  <c r="B20270" i="1"/>
  <c r="G20269" i="1"/>
  <c r="C20269" i="1"/>
  <c r="B20269" i="1"/>
  <c r="G20268" i="1"/>
  <c r="B20268" i="1"/>
  <c r="G20267" i="1"/>
  <c r="C20267" i="1"/>
  <c r="B20267" i="1"/>
  <c r="G20266" i="1"/>
  <c r="C20266" i="1"/>
  <c r="B20266" i="1"/>
  <c r="G20265" i="1"/>
  <c r="C20265" i="1"/>
  <c r="B20265" i="1"/>
  <c r="G20264" i="1"/>
  <c r="C20264" i="1"/>
  <c r="B20264" i="1"/>
  <c r="G20263" i="1"/>
  <c r="C20263" i="1"/>
  <c r="B20263" i="1"/>
  <c r="G20262" i="1"/>
  <c r="B20262" i="1"/>
  <c r="G20261" i="1"/>
  <c r="C20261" i="1"/>
  <c r="B20261" i="1"/>
  <c r="G20260" i="1"/>
  <c r="B20260" i="1"/>
  <c r="G20259" i="1"/>
  <c r="C20259" i="1"/>
  <c r="B20259" i="1"/>
  <c r="G20258" i="1"/>
  <c r="C20258" i="1"/>
  <c r="B20258" i="1"/>
  <c r="G20257" i="1"/>
  <c r="C20257" i="1"/>
  <c r="B20257" i="1"/>
  <c r="G20256" i="1"/>
  <c r="B20256" i="1"/>
  <c r="G20255" i="1"/>
  <c r="B20255" i="1"/>
  <c r="G20254" i="1"/>
  <c r="C20254" i="1"/>
  <c r="B20254" i="1"/>
  <c r="G20253" i="1"/>
  <c r="B20253" i="1"/>
  <c r="G20252" i="1"/>
  <c r="C20252" i="1"/>
  <c r="B20252" i="1"/>
  <c r="G20251" i="1"/>
  <c r="C20251" i="1"/>
  <c r="B20251" i="1"/>
  <c r="G20250" i="1"/>
  <c r="C20250" i="1"/>
  <c r="B20250" i="1"/>
  <c r="G20249" i="1"/>
  <c r="C20249" i="1"/>
  <c r="B20249" i="1"/>
  <c r="G20248" i="1"/>
  <c r="B20248" i="1"/>
  <c r="G20247" i="1"/>
  <c r="C20247" i="1"/>
  <c r="B20247" i="1"/>
  <c r="G20246" i="1"/>
  <c r="C20246" i="1"/>
  <c r="B20246" i="1"/>
  <c r="G20245" i="1"/>
  <c r="B20245" i="1"/>
  <c r="G20244" i="1"/>
  <c r="C20244" i="1"/>
  <c r="B20244" i="1"/>
  <c r="G20243" i="1"/>
  <c r="B20243" i="1"/>
  <c r="G20242" i="1"/>
  <c r="C20242" i="1"/>
  <c r="B20242" i="1"/>
  <c r="G20241" i="1"/>
  <c r="C20241" i="1"/>
  <c r="B20241" i="1"/>
  <c r="G20240" i="1"/>
  <c r="C20240" i="1"/>
  <c r="B20240" i="1"/>
  <c r="G20239" i="1"/>
  <c r="B20239" i="1"/>
  <c r="G20238" i="1"/>
  <c r="C20238" i="1"/>
  <c r="B20238" i="1"/>
  <c r="G20237" i="1"/>
  <c r="B20237" i="1"/>
  <c r="G20236" i="1"/>
  <c r="C20236" i="1"/>
  <c r="B20236" i="1"/>
  <c r="G20235" i="1"/>
  <c r="B20235" i="1"/>
  <c r="G20234" i="1"/>
  <c r="C20234" i="1"/>
  <c r="B20234" i="1"/>
  <c r="G20233" i="1"/>
  <c r="C20233" i="1"/>
  <c r="B20233" i="1"/>
  <c r="G20232" i="1"/>
  <c r="B20232" i="1"/>
  <c r="G20231" i="1"/>
  <c r="C20231" i="1"/>
  <c r="B20231" i="1"/>
  <c r="G20230" i="1"/>
  <c r="C20230" i="1"/>
  <c r="B20230" i="1"/>
  <c r="G20229" i="1"/>
  <c r="C20229" i="1"/>
  <c r="B20229" i="1"/>
  <c r="G20228" i="1"/>
  <c r="B20228" i="1"/>
  <c r="G20227" i="1"/>
  <c r="C20227" i="1"/>
  <c r="B20227" i="1"/>
  <c r="G20226" i="1"/>
  <c r="B20226" i="1"/>
  <c r="G20225" i="1"/>
  <c r="C20225" i="1"/>
  <c r="B20225" i="1"/>
  <c r="G20224" i="1"/>
  <c r="C20224" i="1"/>
  <c r="B20224" i="1"/>
  <c r="G20223" i="1"/>
  <c r="B20223" i="1"/>
  <c r="G20222" i="1"/>
  <c r="C20222" i="1"/>
  <c r="B20222" i="1"/>
  <c r="G20221" i="1"/>
  <c r="B20221" i="1"/>
  <c r="G20220" i="1"/>
  <c r="C20220" i="1"/>
  <c r="B20220" i="1"/>
  <c r="G20219" i="1"/>
  <c r="B20219" i="1"/>
  <c r="G20218" i="1"/>
  <c r="C20218" i="1"/>
  <c r="B20218" i="1"/>
  <c r="G20217" i="1"/>
  <c r="C20217" i="1"/>
  <c r="B20217" i="1"/>
  <c r="G20216" i="1"/>
  <c r="C20216" i="1"/>
  <c r="B20216" i="1"/>
  <c r="G20215" i="1"/>
  <c r="C20215" i="1"/>
  <c r="B20215" i="1"/>
  <c r="G20214" i="1"/>
  <c r="C20214" i="1"/>
  <c r="B20214" i="1"/>
  <c r="G20213" i="1"/>
  <c r="B20213" i="1"/>
  <c r="G20212" i="1"/>
  <c r="B20212" i="1"/>
  <c r="G20211" i="1"/>
  <c r="C20211" i="1"/>
  <c r="B20211" i="1"/>
  <c r="G20210" i="1"/>
  <c r="B20210" i="1"/>
  <c r="G20209" i="1"/>
  <c r="B20209" i="1"/>
  <c r="G20208" i="1"/>
  <c r="C20208" i="1"/>
  <c r="B20208" i="1"/>
  <c r="G20207" i="1"/>
  <c r="B20207" i="1"/>
  <c r="G20206" i="1"/>
  <c r="C20206" i="1"/>
  <c r="B20206" i="1"/>
  <c r="G20205" i="1"/>
  <c r="B20205" i="1"/>
  <c r="G20204" i="1"/>
  <c r="C20204" i="1"/>
  <c r="B20204" i="1"/>
  <c r="G20203" i="1"/>
  <c r="C20203" i="1"/>
  <c r="B20203" i="1"/>
  <c r="G20202" i="1"/>
  <c r="C20202" i="1"/>
  <c r="B20202" i="1"/>
  <c r="G20201" i="1"/>
  <c r="C20201" i="1"/>
  <c r="B20201" i="1"/>
  <c r="G20200" i="1"/>
  <c r="C20200" i="1"/>
  <c r="B20200" i="1"/>
  <c r="G20199" i="1"/>
  <c r="B20199" i="1"/>
  <c r="G20198" i="1"/>
  <c r="B20198" i="1"/>
  <c r="G20197" i="1"/>
  <c r="B20197" i="1"/>
  <c r="G20196" i="1"/>
  <c r="C20196" i="1"/>
  <c r="B20196" i="1"/>
  <c r="G20195" i="1"/>
  <c r="C20195" i="1"/>
  <c r="B20195" i="1"/>
  <c r="G20194" i="1"/>
  <c r="C20194" i="1"/>
  <c r="B20194" i="1"/>
  <c r="G20193" i="1"/>
  <c r="C20193" i="1"/>
  <c r="B20193" i="1"/>
  <c r="G20192" i="1"/>
  <c r="C20192" i="1"/>
  <c r="B20192" i="1"/>
  <c r="G20191" i="1"/>
  <c r="C20191" i="1"/>
  <c r="B20191" i="1"/>
  <c r="G20190" i="1"/>
  <c r="C20190" i="1"/>
  <c r="B20190" i="1"/>
  <c r="G20189" i="1"/>
  <c r="C20189" i="1"/>
  <c r="B20189" i="1"/>
  <c r="G20188" i="1"/>
  <c r="C20188" i="1"/>
  <c r="B20188" i="1"/>
  <c r="G20187" i="1"/>
  <c r="C20187" i="1"/>
  <c r="B20187" i="1"/>
  <c r="G20186" i="1"/>
  <c r="B20186" i="1"/>
  <c r="G20185" i="1"/>
  <c r="C20185" i="1"/>
  <c r="B20185" i="1"/>
  <c r="G20184" i="1"/>
  <c r="C20184" i="1"/>
  <c r="B20184" i="1"/>
  <c r="G20183" i="1"/>
  <c r="C20183" i="1"/>
  <c r="B20183" i="1"/>
  <c r="G20182" i="1"/>
  <c r="B20182" i="1"/>
  <c r="G20181" i="1"/>
  <c r="B20181" i="1"/>
  <c r="G20180" i="1"/>
  <c r="C20180" i="1"/>
  <c r="B20180" i="1"/>
  <c r="G20179" i="1"/>
  <c r="B20179" i="1"/>
  <c r="G20178" i="1"/>
  <c r="B20178" i="1"/>
  <c r="G20177" i="1"/>
  <c r="B20177" i="1"/>
  <c r="G20176" i="1"/>
  <c r="C20176" i="1"/>
  <c r="B20176" i="1"/>
  <c r="G20175" i="1"/>
  <c r="C20175" i="1"/>
  <c r="B20175" i="1"/>
  <c r="G20174" i="1"/>
  <c r="B20174" i="1"/>
  <c r="G20173" i="1"/>
  <c r="C20173" i="1"/>
  <c r="B20173" i="1"/>
  <c r="G20172" i="1"/>
  <c r="C20172" i="1"/>
  <c r="B20172" i="1"/>
  <c r="G20171" i="1"/>
  <c r="C20171" i="1"/>
  <c r="B20171" i="1"/>
  <c r="G20170" i="1"/>
  <c r="C20170" i="1"/>
  <c r="B20170" i="1"/>
  <c r="G20169" i="1"/>
  <c r="C20169" i="1"/>
  <c r="B20169" i="1"/>
  <c r="G20168" i="1"/>
  <c r="C20168" i="1"/>
  <c r="B20168" i="1"/>
  <c r="G20167" i="1"/>
  <c r="B20167" i="1"/>
  <c r="G20166" i="1"/>
  <c r="B20166" i="1"/>
  <c r="G20165" i="1"/>
  <c r="C20165" i="1"/>
  <c r="B20165" i="1"/>
  <c r="G20164" i="1"/>
  <c r="C20164" i="1"/>
  <c r="B20164" i="1"/>
  <c r="G20163" i="1"/>
  <c r="C20163" i="1"/>
  <c r="B20163" i="1"/>
  <c r="G20162" i="1"/>
  <c r="C20162" i="1"/>
  <c r="B20162" i="1"/>
  <c r="G20161" i="1"/>
  <c r="C20161" i="1"/>
  <c r="B20161" i="1"/>
  <c r="G20160" i="1"/>
  <c r="C20160" i="1"/>
  <c r="B20160" i="1"/>
  <c r="G20159" i="1"/>
  <c r="C20159" i="1"/>
  <c r="B20159" i="1"/>
  <c r="G20158" i="1"/>
  <c r="C20158" i="1"/>
  <c r="B20158" i="1"/>
  <c r="G20157" i="1"/>
  <c r="C20157" i="1"/>
  <c r="B20157" i="1"/>
  <c r="G20156" i="1"/>
  <c r="C20156" i="1"/>
  <c r="B20156" i="1"/>
  <c r="G20155" i="1"/>
  <c r="C20155" i="1"/>
  <c r="B20155" i="1"/>
  <c r="G20154" i="1"/>
  <c r="C20154" i="1"/>
  <c r="B20154" i="1"/>
  <c r="G20153" i="1"/>
  <c r="C20153" i="1"/>
  <c r="B20153" i="1"/>
  <c r="G20152" i="1"/>
  <c r="C20152" i="1"/>
  <c r="B20152" i="1"/>
  <c r="G20151" i="1"/>
  <c r="B20151" i="1"/>
  <c r="G20150" i="1"/>
  <c r="B20150" i="1"/>
  <c r="G20149" i="1"/>
  <c r="B20149" i="1"/>
  <c r="G20148" i="1"/>
  <c r="C20148" i="1"/>
  <c r="B20148" i="1"/>
  <c r="G20147" i="1"/>
  <c r="C20147" i="1"/>
  <c r="B20147" i="1"/>
  <c r="G20146" i="1"/>
  <c r="C20146" i="1"/>
  <c r="B20146" i="1"/>
  <c r="G20145" i="1"/>
  <c r="C20145" i="1"/>
  <c r="B20145" i="1"/>
  <c r="G20144" i="1"/>
  <c r="C20144" i="1"/>
  <c r="B20144" i="1"/>
  <c r="G20143" i="1"/>
  <c r="B20143" i="1"/>
  <c r="G20142" i="1"/>
  <c r="C20142" i="1"/>
  <c r="B20142" i="1"/>
  <c r="G20141" i="1"/>
  <c r="C20141" i="1"/>
  <c r="B20141" i="1"/>
  <c r="G20140" i="1"/>
  <c r="B20140" i="1"/>
  <c r="G20139" i="1"/>
  <c r="B20139" i="1"/>
  <c r="G20138" i="1"/>
  <c r="C20138" i="1"/>
  <c r="B20138" i="1"/>
  <c r="G20137" i="1"/>
  <c r="C20137" i="1"/>
  <c r="B20137" i="1"/>
  <c r="G20136" i="1"/>
  <c r="C20136" i="1"/>
  <c r="B20136" i="1"/>
  <c r="G20135" i="1"/>
  <c r="C20135" i="1"/>
  <c r="B20135" i="1"/>
  <c r="G20134" i="1"/>
  <c r="C20134" i="1"/>
  <c r="B20134" i="1"/>
  <c r="G20133" i="1"/>
  <c r="C20133" i="1"/>
  <c r="B20133" i="1"/>
  <c r="G20132" i="1"/>
  <c r="B20132" i="1"/>
  <c r="G20131" i="1"/>
  <c r="B20131" i="1"/>
  <c r="G20130" i="1"/>
  <c r="C20130" i="1"/>
  <c r="B20130" i="1"/>
  <c r="G20129" i="1"/>
  <c r="C20129" i="1"/>
  <c r="B20129" i="1"/>
  <c r="G20128" i="1"/>
  <c r="B20128" i="1"/>
  <c r="G20127" i="1"/>
  <c r="B20127" i="1"/>
  <c r="G20126" i="1"/>
  <c r="B20126" i="1"/>
  <c r="G20125" i="1"/>
  <c r="C20125" i="1"/>
  <c r="B20125" i="1"/>
  <c r="G20124" i="1"/>
  <c r="C20124" i="1"/>
  <c r="B20124" i="1"/>
  <c r="G20123" i="1"/>
  <c r="C20123" i="1"/>
  <c r="B20123" i="1"/>
  <c r="G20122" i="1"/>
  <c r="C20122" i="1"/>
  <c r="B20122" i="1"/>
  <c r="G20121" i="1"/>
  <c r="C20121" i="1"/>
  <c r="B20121" i="1"/>
  <c r="G20120" i="1"/>
  <c r="C20120" i="1"/>
  <c r="B20120" i="1"/>
  <c r="G20119" i="1"/>
  <c r="C20119" i="1"/>
  <c r="B20119" i="1"/>
  <c r="G20118" i="1"/>
  <c r="C20118" i="1"/>
  <c r="B20118" i="1"/>
  <c r="G20117" i="1"/>
  <c r="C20117" i="1"/>
  <c r="B20117" i="1"/>
  <c r="G20116" i="1"/>
  <c r="B20116" i="1"/>
  <c r="G20115" i="1"/>
  <c r="C20115" i="1"/>
  <c r="B20115" i="1"/>
  <c r="G20114" i="1"/>
  <c r="B20114" i="1"/>
  <c r="G20113" i="1"/>
  <c r="C20113" i="1"/>
  <c r="B20113" i="1"/>
  <c r="G20112" i="1"/>
  <c r="B20112" i="1"/>
  <c r="G20111" i="1"/>
  <c r="C20111" i="1"/>
  <c r="B20111" i="1"/>
  <c r="G20110" i="1"/>
  <c r="C20110" i="1"/>
  <c r="B20110" i="1"/>
  <c r="G20109" i="1"/>
  <c r="C20109" i="1"/>
  <c r="B20109" i="1"/>
  <c r="G20108" i="1"/>
  <c r="C20108" i="1"/>
  <c r="B20108" i="1"/>
  <c r="G20107" i="1"/>
  <c r="C20107" i="1"/>
  <c r="B20107" i="1"/>
  <c r="G20106" i="1"/>
  <c r="C20106" i="1"/>
  <c r="B20106" i="1"/>
  <c r="G20105" i="1"/>
  <c r="C20105" i="1"/>
  <c r="B20105" i="1"/>
  <c r="G20104" i="1"/>
  <c r="C20104" i="1"/>
  <c r="B20104" i="1"/>
  <c r="G20103" i="1"/>
  <c r="C20103" i="1"/>
  <c r="B20103" i="1"/>
  <c r="G20102" i="1"/>
  <c r="C20102" i="1"/>
  <c r="B20102" i="1"/>
  <c r="G20101" i="1"/>
  <c r="C20101" i="1"/>
  <c r="B20101" i="1"/>
  <c r="G20100" i="1"/>
  <c r="C20100" i="1"/>
  <c r="B20100" i="1"/>
  <c r="G20099" i="1"/>
  <c r="C20099" i="1"/>
  <c r="B20099" i="1"/>
  <c r="G20098" i="1"/>
  <c r="C20098" i="1"/>
  <c r="B20098" i="1"/>
  <c r="G20097" i="1"/>
  <c r="C20097" i="1"/>
  <c r="B20097" i="1"/>
  <c r="G20096" i="1"/>
  <c r="C20096" i="1"/>
  <c r="B20096" i="1"/>
  <c r="G20095" i="1"/>
  <c r="C20095" i="1"/>
  <c r="B20095" i="1"/>
  <c r="G20094" i="1"/>
  <c r="B20094" i="1"/>
  <c r="G20093" i="1"/>
  <c r="C20093" i="1"/>
  <c r="B20093" i="1"/>
  <c r="G20092" i="1"/>
  <c r="C20092" i="1"/>
  <c r="B20092" i="1"/>
  <c r="G20091" i="1"/>
  <c r="C20091" i="1"/>
  <c r="B20091" i="1"/>
  <c r="G20090" i="1"/>
  <c r="C20090" i="1"/>
  <c r="B20090" i="1"/>
  <c r="G20089" i="1"/>
  <c r="C20089" i="1"/>
  <c r="B20089" i="1"/>
  <c r="G20088" i="1"/>
  <c r="B20088" i="1"/>
  <c r="G20087" i="1"/>
  <c r="C20087" i="1"/>
  <c r="B20087" i="1"/>
  <c r="G20086" i="1"/>
  <c r="B20086" i="1"/>
  <c r="G20085" i="1"/>
  <c r="C20085" i="1"/>
  <c r="B20085" i="1"/>
  <c r="G20084" i="1"/>
  <c r="C20084" i="1"/>
  <c r="B20084" i="1"/>
  <c r="G20083" i="1"/>
  <c r="C20083" i="1"/>
  <c r="B20083" i="1"/>
  <c r="G20082" i="1"/>
  <c r="C20082" i="1"/>
  <c r="B20082" i="1"/>
  <c r="G20081" i="1"/>
  <c r="B20081" i="1"/>
  <c r="G20080" i="1"/>
  <c r="C20080" i="1"/>
  <c r="B20080" i="1"/>
  <c r="G20079" i="1"/>
  <c r="C20079" i="1"/>
  <c r="B20079" i="1"/>
  <c r="G20078" i="1"/>
  <c r="C20078" i="1"/>
  <c r="B20078" i="1"/>
  <c r="G20077" i="1"/>
  <c r="B20077" i="1"/>
  <c r="G20076" i="1"/>
  <c r="B20076" i="1"/>
  <c r="G20075" i="1"/>
  <c r="B20075" i="1"/>
  <c r="G20074" i="1"/>
  <c r="B20074" i="1"/>
  <c r="G20073" i="1"/>
  <c r="C20073" i="1"/>
  <c r="B20073" i="1"/>
  <c r="G20072" i="1"/>
  <c r="C20072" i="1"/>
  <c r="B20072" i="1"/>
  <c r="G20071" i="1"/>
  <c r="C20071" i="1"/>
  <c r="B20071" i="1"/>
  <c r="G20070" i="1"/>
  <c r="C20070" i="1"/>
  <c r="B20070" i="1"/>
  <c r="G20069" i="1"/>
  <c r="C20069" i="1"/>
  <c r="B20069" i="1"/>
  <c r="G20068" i="1"/>
  <c r="B20068" i="1"/>
  <c r="G20067" i="1"/>
  <c r="C20067" i="1"/>
  <c r="B20067" i="1"/>
  <c r="G20066" i="1"/>
  <c r="C20066" i="1"/>
  <c r="B20066" i="1"/>
  <c r="G20065" i="1"/>
  <c r="C20065" i="1"/>
  <c r="B20065" i="1"/>
  <c r="G20064" i="1"/>
  <c r="B20064" i="1"/>
  <c r="G20063" i="1"/>
  <c r="C20063" i="1"/>
  <c r="B20063" i="1"/>
  <c r="G20062" i="1"/>
  <c r="C20062" i="1"/>
  <c r="B20062" i="1"/>
  <c r="G20061" i="1"/>
  <c r="C20061" i="1"/>
  <c r="B20061" i="1"/>
  <c r="G20060" i="1"/>
  <c r="C20060" i="1"/>
  <c r="B20060" i="1"/>
  <c r="G20059" i="1"/>
  <c r="C20059" i="1"/>
  <c r="B20059" i="1"/>
  <c r="G20058" i="1"/>
  <c r="B20058" i="1"/>
  <c r="G20057" i="1"/>
  <c r="C20057" i="1"/>
  <c r="B20057" i="1"/>
  <c r="G20056" i="1"/>
  <c r="C20056" i="1"/>
  <c r="B20056" i="1"/>
  <c r="G20055" i="1"/>
  <c r="B20055" i="1"/>
  <c r="G20054" i="1"/>
  <c r="C20054" i="1"/>
  <c r="B20054" i="1"/>
  <c r="G20053" i="1"/>
  <c r="B20053" i="1"/>
  <c r="G20052" i="1"/>
  <c r="C20052" i="1"/>
  <c r="B20052" i="1"/>
  <c r="G20051" i="1"/>
  <c r="C20051" i="1"/>
  <c r="B20051" i="1"/>
  <c r="G20050" i="1"/>
  <c r="C20050" i="1"/>
  <c r="B20050" i="1"/>
  <c r="G20049" i="1"/>
  <c r="C20049" i="1"/>
  <c r="B20049" i="1"/>
  <c r="G20048" i="1"/>
  <c r="C20048" i="1"/>
  <c r="B20048" i="1"/>
  <c r="G20047" i="1"/>
  <c r="C20047" i="1"/>
  <c r="B20047" i="1"/>
  <c r="G20046" i="1"/>
  <c r="C20046" i="1"/>
  <c r="B20046" i="1"/>
  <c r="G20045" i="1"/>
  <c r="C20045" i="1"/>
  <c r="B20045" i="1"/>
  <c r="G20044" i="1"/>
  <c r="C20044" i="1"/>
  <c r="B20044" i="1"/>
  <c r="G20043" i="1"/>
  <c r="C20043" i="1"/>
  <c r="B20043" i="1"/>
  <c r="G20042" i="1"/>
  <c r="C20042" i="1"/>
  <c r="B20042" i="1"/>
  <c r="G20041" i="1"/>
  <c r="C20041" i="1"/>
  <c r="B20041" i="1"/>
  <c r="G20040" i="1"/>
  <c r="C20040" i="1"/>
  <c r="B20040" i="1"/>
  <c r="G20039" i="1"/>
  <c r="C20039" i="1"/>
  <c r="B20039" i="1"/>
  <c r="G20038" i="1"/>
  <c r="C20038" i="1"/>
  <c r="B20038" i="1"/>
  <c r="G20037" i="1"/>
  <c r="C20037" i="1"/>
  <c r="B20037" i="1"/>
  <c r="G20036" i="1"/>
  <c r="C20036" i="1"/>
  <c r="B20036" i="1"/>
  <c r="G20035" i="1"/>
  <c r="C20035" i="1"/>
  <c r="B20035" i="1"/>
  <c r="G20034" i="1"/>
  <c r="C20034" i="1"/>
  <c r="B20034" i="1"/>
  <c r="G20033" i="1"/>
  <c r="C20033" i="1"/>
  <c r="B20033" i="1"/>
  <c r="G20032" i="1"/>
  <c r="B20032" i="1"/>
  <c r="G20031" i="1"/>
  <c r="C20031" i="1"/>
  <c r="B20031" i="1"/>
  <c r="G20030" i="1"/>
  <c r="B20030" i="1"/>
  <c r="G20029" i="1"/>
  <c r="C20029" i="1"/>
  <c r="B20029" i="1"/>
  <c r="G20028" i="1"/>
  <c r="C20028" i="1"/>
  <c r="B20028" i="1"/>
  <c r="G20027" i="1"/>
  <c r="C20027" i="1"/>
  <c r="B20027" i="1"/>
  <c r="G20026" i="1"/>
  <c r="C20026" i="1"/>
  <c r="B20026" i="1"/>
  <c r="G20025" i="1"/>
  <c r="C20025" i="1"/>
  <c r="B20025" i="1"/>
  <c r="G20024" i="1"/>
  <c r="B20024" i="1"/>
  <c r="G20023" i="1"/>
  <c r="C20023" i="1"/>
  <c r="B20023" i="1"/>
  <c r="G20022" i="1"/>
  <c r="C20022" i="1"/>
  <c r="B20022" i="1"/>
  <c r="G20021" i="1"/>
  <c r="C20021" i="1"/>
  <c r="B20021" i="1"/>
  <c r="G20020" i="1"/>
  <c r="C20020" i="1"/>
  <c r="B20020" i="1"/>
  <c r="G20019" i="1"/>
  <c r="C20019" i="1"/>
  <c r="B20019" i="1"/>
  <c r="G20018" i="1"/>
  <c r="C20018" i="1"/>
  <c r="B20018" i="1"/>
  <c r="G20017" i="1"/>
  <c r="C20017" i="1"/>
  <c r="B20017" i="1"/>
  <c r="G20016" i="1"/>
  <c r="C20016" i="1"/>
  <c r="B20016" i="1"/>
  <c r="G20015" i="1"/>
  <c r="C20015" i="1"/>
  <c r="B20015" i="1"/>
  <c r="G20014" i="1"/>
  <c r="C20014" i="1"/>
  <c r="B20014" i="1"/>
  <c r="G20013" i="1"/>
  <c r="C20013" i="1"/>
  <c r="B20013" i="1"/>
  <c r="G20012" i="1"/>
  <c r="C20012" i="1"/>
  <c r="B20012" i="1"/>
  <c r="G20011" i="1"/>
  <c r="C20011" i="1"/>
  <c r="B20011" i="1"/>
  <c r="G20010" i="1"/>
  <c r="B20010" i="1"/>
  <c r="G20009" i="1"/>
  <c r="C20009" i="1"/>
  <c r="B20009" i="1"/>
  <c r="G20008" i="1"/>
  <c r="B20008" i="1"/>
  <c r="G20007" i="1"/>
  <c r="C20007" i="1"/>
  <c r="B20007" i="1"/>
  <c r="G20006" i="1"/>
  <c r="C20006" i="1"/>
  <c r="B20006" i="1"/>
  <c r="G20005" i="1"/>
  <c r="C20005" i="1"/>
  <c r="B20005" i="1"/>
  <c r="G20004" i="1"/>
  <c r="C20004" i="1"/>
  <c r="B20004" i="1"/>
  <c r="G20003" i="1"/>
  <c r="B20003" i="1"/>
  <c r="G20002" i="1"/>
  <c r="C20002" i="1"/>
  <c r="B20002" i="1"/>
  <c r="G20001" i="1"/>
  <c r="C20001" i="1"/>
  <c r="B20001" i="1"/>
  <c r="G20000" i="1"/>
  <c r="C20000" i="1"/>
  <c r="B20000" i="1"/>
  <c r="G19999" i="1"/>
  <c r="C19999" i="1"/>
  <c r="B19999" i="1"/>
  <c r="G19998" i="1"/>
  <c r="B19998" i="1"/>
  <c r="G19997" i="1"/>
  <c r="C19997" i="1"/>
  <c r="B19997" i="1"/>
  <c r="G19996" i="1"/>
  <c r="C19996" i="1"/>
  <c r="B19996" i="1"/>
  <c r="G19995" i="1"/>
  <c r="C19995" i="1"/>
  <c r="B19995" i="1"/>
  <c r="G19994" i="1"/>
  <c r="C19994" i="1"/>
  <c r="B19994" i="1"/>
  <c r="G19993" i="1"/>
  <c r="C19993" i="1"/>
  <c r="B19993" i="1"/>
  <c r="G19992" i="1"/>
  <c r="C19992" i="1"/>
  <c r="B19992" i="1"/>
  <c r="G19991" i="1"/>
  <c r="C19991" i="1"/>
  <c r="B19991" i="1"/>
  <c r="G19990" i="1"/>
  <c r="C19990" i="1"/>
  <c r="B19990" i="1"/>
  <c r="G19989" i="1"/>
  <c r="C19989" i="1"/>
  <c r="B19989" i="1"/>
  <c r="G19988" i="1"/>
  <c r="C19988" i="1"/>
  <c r="B19988" i="1"/>
  <c r="G19987" i="1"/>
  <c r="C19987" i="1"/>
  <c r="B19987" i="1"/>
  <c r="G19986" i="1"/>
  <c r="C19986" i="1"/>
  <c r="B19986" i="1"/>
  <c r="G19985" i="1"/>
  <c r="B19985" i="1"/>
  <c r="G19984" i="1"/>
  <c r="B19984" i="1"/>
  <c r="G19983" i="1"/>
  <c r="C19983" i="1"/>
  <c r="B19983" i="1"/>
  <c r="G19982" i="1"/>
  <c r="C19982" i="1"/>
  <c r="B19982" i="1"/>
  <c r="G19981" i="1"/>
  <c r="C19981" i="1"/>
  <c r="B19981" i="1"/>
  <c r="G19980" i="1"/>
  <c r="C19980" i="1"/>
  <c r="B19980" i="1"/>
  <c r="G19979" i="1"/>
  <c r="C19979" i="1"/>
  <c r="B19979" i="1"/>
  <c r="G19978" i="1"/>
  <c r="C19978" i="1"/>
  <c r="B19978" i="1"/>
  <c r="G19977" i="1"/>
  <c r="C19977" i="1"/>
  <c r="B19977" i="1"/>
  <c r="G19976" i="1"/>
  <c r="C19976" i="1"/>
  <c r="B19976" i="1"/>
  <c r="G19975" i="1"/>
  <c r="C19975" i="1"/>
  <c r="B19975" i="1"/>
  <c r="G19974" i="1"/>
  <c r="C19974" i="1"/>
  <c r="B19974" i="1"/>
  <c r="G19973" i="1"/>
  <c r="B19973" i="1"/>
  <c r="G19972" i="1"/>
  <c r="C19972" i="1"/>
  <c r="B19972" i="1"/>
  <c r="G19971" i="1"/>
  <c r="C19971" i="1"/>
  <c r="B19971" i="1"/>
  <c r="G19970" i="1"/>
  <c r="C19970" i="1"/>
  <c r="B19970" i="1"/>
  <c r="G19969" i="1"/>
  <c r="C19969" i="1"/>
  <c r="B19969" i="1"/>
  <c r="G19968" i="1"/>
  <c r="C19968" i="1"/>
  <c r="B19968" i="1"/>
  <c r="G19967" i="1"/>
  <c r="C19967" i="1"/>
  <c r="B19967" i="1"/>
  <c r="G19966" i="1"/>
  <c r="C19966" i="1"/>
  <c r="B19966" i="1"/>
  <c r="G19965" i="1"/>
  <c r="C19965" i="1"/>
  <c r="B19965" i="1"/>
  <c r="G19964" i="1"/>
  <c r="C19964" i="1"/>
  <c r="B19964" i="1"/>
  <c r="G19963" i="1"/>
  <c r="C19963" i="1"/>
  <c r="B19963" i="1"/>
  <c r="G19962" i="1"/>
  <c r="B19962" i="1"/>
  <c r="G19961" i="1"/>
  <c r="C19961" i="1"/>
  <c r="B19961" i="1"/>
  <c r="G19960" i="1"/>
  <c r="C19960" i="1"/>
  <c r="B19960" i="1"/>
  <c r="G19959" i="1"/>
  <c r="C19959" i="1"/>
  <c r="B19959" i="1"/>
  <c r="G19958" i="1"/>
  <c r="C19958" i="1"/>
  <c r="B19958" i="1"/>
  <c r="G19957" i="1"/>
  <c r="C19957" i="1"/>
  <c r="B19957" i="1"/>
  <c r="G19956" i="1"/>
  <c r="B19956" i="1"/>
  <c r="G19955" i="1"/>
  <c r="C19955" i="1"/>
  <c r="B19955" i="1"/>
  <c r="G19954" i="1"/>
  <c r="C19954" i="1"/>
  <c r="B19954" i="1"/>
  <c r="G19953" i="1"/>
  <c r="C19953" i="1"/>
  <c r="B19953" i="1"/>
  <c r="G19952" i="1"/>
  <c r="C19952" i="1"/>
  <c r="B19952" i="1"/>
  <c r="G19951" i="1"/>
  <c r="C19951" i="1"/>
  <c r="B19951" i="1"/>
  <c r="G19950" i="1"/>
  <c r="C19950" i="1"/>
  <c r="B19950" i="1"/>
  <c r="G19949" i="1"/>
  <c r="C19949" i="1"/>
  <c r="B19949" i="1"/>
  <c r="G19948" i="1"/>
  <c r="C19948" i="1"/>
  <c r="B19948" i="1"/>
  <c r="G19947" i="1"/>
  <c r="B19947" i="1"/>
  <c r="G19946" i="1"/>
  <c r="B19946" i="1"/>
  <c r="G19945" i="1"/>
  <c r="C19945" i="1"/>
  <c r="B19945" i="1"/>
  <c r="G19944" i="1"/>
  <c r="B19944" i="1"/>
  <c r="G19943" i="1"/>
  <c r="C19943" i="1"/>
  <c r="B19943" i="1"/>
  <c r="G19942" i="1"/>
  <c r="C19942" i="1"/>
  <c r="B19942" i="1"/>
  <c r="G19941" i="1"/>
  <c r="C19941" i="1"/>
  <c r="B19941" i="1"/>
  <c r="G19940" i="1"/>
  <c r="C19940" i="1"/>
  <c r="B19940" i="1"/>
  <c r="G19939" i="1"/>
  <c r="B19939" i="1"/>
  <c r="G19938" i="1"/>
  <c r="C19938" i="1"/>
  <c r="B19938" i="1"/>
  <c r="G19937" i="1"/>
  <c r="C19937" i="1"/>
  <c r="B19937" i="1"/>
  <c r="G19936" i="1"/>
  <c r="C19936" i="1"/>
  <c r="B19936" i="1"/>
  <c r="G19935" i="1"/>
  <c r="C19935" i="1"/>
  <c r="B19935" i="1"/>
  <c r="G19934" i="1"/>
  <c r="C19934" i="1"/>
  <c r="B19934" i="1"/>
  <c r="G19933" i="1"/>
  <c r="B19933" i="1"/>
  <c r="G19932" i="1"/>
  <c r="C19932" i="1"/>
  <c r="B19932" i="1"/>
  <c r="G19931" i="1"/>
  <c r="C19931" i="1"/>
  <c r="B19931" i="1"/>
  <c r="G19930" i="1"/>
  <c r="C19930" i="1"/>
  <c r="B19930" i="1"/>
  <c r="G19929" i="1"/>
  <c r="B19929" i="1"/>
  <c r="G19928" i="1"/>
  <c r="C19928" i="1"/>
  <c r="B19928" i="1"/>
  <c r="G19927" i="1"/>
  <c r="C19927" i="1"/>
  <c r="B19927" i="1"/>
  <c r="G19926" i="1"/>
  <c r="C19926" i="1"/>
  <c r="B19926" i="1"/>
  <c r="G19925" i="1"/>
  <c r="C19925" i="1"/>
  <c r="B19925" i="1"/>
  <c r="G19924" i="1"/>
  <c r="C19924" i="1"/>
  <c r="B19924" i="1"/>
  <c r="G19923" i="1"/>
  <c r="C19923" i="1"/>
  <c r="B19923" i="1"/>
  <c r="G19922" i="1"/>
  <c r="C19922" i="1"/>
  <c r="B19922" i="1"/>
  <c r="G19921" i="1"/>
  <c r="C19921" i="1"/>
  <c r="B19921" i="1"/>
  <c r="G19920" i="1"/>
  <c r="C19920" i="1"/>
  <c r="B19920" i="1"/>
  <c r="G19919" i="1"/>
  <c r="C19919" i="1"/>
  <c r="B19919" i="1"/>
  <c r="G19918" i="1"/>
  <c r="C19918" i="1"/>
  <c r="B19918" i="1"/>
  <c r="G19917" i="1"/>
  <c r="C19917" i="1"/>
  <c r="B19917" i="1"/>
  <c r="G19916" i="1"/>
  <c r="C19916" i="1"/>
  <c r="B19916" i="1"/>
  <c r="G19915" i="1"/>
  <c r="C19915" i="1"/>
  <c r="B19915" i="1"/>
  <c r="G19914" i="1"/>
  <c r="C19914" i="1"/>
  <c r="B19914" i="1"/>
  <c r="G19913" i="1"/>
  <c r="B19913" i="1"/>
  <c r="G19912" i="1"/>
  <c r="C19912" i="1"/>
  <c r="B19912" i="1"/>
  <c r="G19911" i="1"/>
  <c r="C19911" i="1"/>
  <c r="B19911" i="1"/>
  <c r="G19910" i="1"/>
  <c r="B19910" i="1"/>
  <c r="G19909" i="1"/>
  <c r="C19909" i="1"/>
  <c r="B19909" i="1"/>
  <c r="G19908" i="1"/>
  <c r="C19908" i="1"/>
  <c r="B19908" i="1"/>
  <c r="G19907" i="1"/>
  <c r="C19907" i="1"/>
  <c r="B19907" i="1"/>
  <c r="G19906" i="1"/>
  <c r="C19906" i="1"/>
  <c r="B19906" i="1"/>
  <c r="G19905" i="1"/>
  <c r="C19905" i="1"/>
  <c r="B19905" i="1"/>
  <c r="G19904" i="1"/>
  <c r="C19904" i="1"/>
  <c r="B19904" i="1"/>
  <c r="G19903" i="1"/>
  <c r="C19903" i="1"/>
  <c r="B19903" i="1"/>
  <c r="G19902" i="1"/>
  <c r="C19902" i="1"/>
  <c r="B19902" i="1"/>
  <c r="G19901" i="1"/>
  <c r="C19901" i="1"/>
  <c r="B19901" i="1"/>
  <c r="G19900" i="1"/>
  <c r="C19900" i="1"/>
  <c r="B19900" i="1"/>
  <c r="G19899" i="1"/>
  <c r="C19899" i="1"/>
  <c r="B19899" i="1"/>
  <c r="G19898" i="1"/>
  <c r="B19898" i="1"/>
  <c r="G19897" i="1"/>
  <c r="C19897" i="1"/>
  <c r="B19897" i="1"/>
  <c r="G19896" i="1"/>
  <c r="C19896" i="1"/>
  <c r="B19896" i="1"/>
  <c r="G19895" i="1"/>
  <c r="C19895" i="1"/>
  <c r="B19895" i="1"/>
  <c r="G19894" i="1"/>
  <c r="C19894" i="1"/>
  <c r="B19894" i="1"/>
  <c r="G19893" i="1"/>
  <c r="C19893" i="1"/>
  <c r="B19893" i="1"/>
  <c r="G19892" i="1"/>
  <c r="B19892" i="1"/>
  <c r="G19891" i="1"/>
  <c r="C19891" i="1"/>
  <c r="B19891" i="1"/>
  <c r="G19890" i="1"/>
  <c r="C19890" i="1"/>
  <c r="B19890" i="1"/>
  <c r="G19889" i="1"/>
  <c r="C19889" i="1"/>
  <c r="B19889" i="1"/>
  <c r="G19888" i="1"/>
  <c r="C19888" i="1"/>
  <c r="B19888" i="1"/>
  <c r="G19887" i="1"/>
  <c r="C19887" i="1"/>
  <c r="B19887" i="1"/>
  <c r="G19886" i="1"/>
  <c r="C19886" i="1"/>
  <c r="B19886" i="1"/>
  <c r="G19885" i="1"/>
  <c r="C19885" i="1"/>
  <c r="B19885" i="1"/>
  <c r="G19884" i="1"/>
  <c r="C19884" i="1"/>
  <c r="B19884" i="1"/>
  <c r="G19883" i="1"/>
  <c r="C19883" i="1"/>
  <c r="B19883" i="1"/>
  <c r="G19882" i="1"/>
  <c r="C19882" i="1"/>
  <c r="B19882" i="1"/>
  <c r="G19881" i="1"/>
  <c r="C19881" i="1"/>
  <c r="B19881" i="1"/>
  <c r="G19880" i="1"/>
  <c r="C19880" i="1"/>
  <c r="B19880" i="1"/>
  <c r="G19879" i="1"/>
  <c r="C19879" i="1"/>
  <c r="B19879" i="1"/>
  <c r="G19878" i="1"/>
  <c r="C19878" i="1"/>
  <c r="B19878" i="1"/>
  <c r="G19877" i="1"/>
  <c r="C19877" i="1"/>
  <c r="B19877" i="1"/>
  <c r="G19876" i="1"/>
  <c r="B19876" i="1"/>
  <c r="G19875" i="1"/>
  <c r="C19875" i="1"/>
  <c r="B19875" i="1"/>
  <c r="G19874" i="1"/>
  <c r="B19874" i="1"/>
  <c r="G19873" i="1"/>
  <c r="C19873" i="1"/>
  <c r="B19873" i="1"/>
  <c r="G19872" i="1"/>
  <c r="C19872" i="1"/>
  <c r="B19872" i="1"/>
  <c r="G19871" i="1"/>
  <c r="C19871" i="1"/>
  <c r="B19871" i="1"/>
  <c r="G19870" i="1"/>
  <c r="C19870" i="1"/>
  <c r="B19870" i="1"/>
  <c r="G19869" i="1"/>
  <c r="B19869" i="1"/>
  <c r="G19868" i="1"/>
  <c r="C19868" i="1"/>
  <c r="B19868" i="1"/>
  <c r="G19867" i="1"/>
  <c r="B19867" i="1"/>
  <c r="G19866" i="1"/>
  <c r="C19866" i="1"/>
  <c r="B19866" i="1"/>
  <c r="G19865" i="1"/>
  <c r="C19865" i="1"/>
  <c r="B19865" i="1"/>
  <c r="G19864" i="1"/>
  <c r="C19864" i="1"/>
  <c r="B19864" i="1"/>
  <c r="G19863" i="1"/>
  <c r="C19863" i="1"/>
  <c r="B19863" i="1"/>
  <c r="G19862" i="1"/>
  <c r="C19862" i="1"/>
  <c r="B19862" i="1"/>
  <c r="G19861" i="1"/>
  <c r="C19861" i="1"/>
  <c r="B19861" i="1"/>
  <c r="G19860" i="1"/>
  <c r="C19860" i="1"/>
  <c r="B19860" i="1"/>
  <c r="G19859" i="1"/>
  <c r="B19859" i="1"/>
  <c r="G19858" i="1"/>
  <c r="C19858" i="1"/>
  <c r="B19858" i="1"/>
  <c r="G19857" i="1"/>
  <c r="C19857" i="1"/>
  <c r="B19857" i="1"/>
  <c r="G19856" i="1"/>
  <c r="C19856" i="1"/>
  <c r="B19856" i="1"/>
  <c r="G19855" i="1"/>
  <c r="C19855" i="1"/>
  <c r="B19855" i="1"/>
  <c r="G19854" i="1"/>
  <c r="C19854" i="1"/>
  <c r="B19854" i="1"/>
  <c r="G19853" i="1"/>
  <c r="C19853" i="1"/>
  <c r="B19853" i="1"/>
  <c r="G19852" i="1"/>
  <c r="C19852" i="1"/>
  <c r="B19852" i="1"/>
  <c r="G19851" i="1"/>
  <c r="B19851" i="1"/>
  <c r="G19850" i="1"/>
  <c r="C19850" i="1"/>
  <c r="B19850" i="1"/>
  <c r="G19849" i="1"/>
  <c r="C19849" i="1"/>
  <c r="B19849" i="1"/>
  <c r="G19848" i="1"/>
  <c r="C19848" i="1"/>
  <c r="B19848" i="1"/>
  <c r="G19847" i="1"/>
  <c r="C19847" i="1"/>
  <c r="B19847" i="1"/>
  <c r="G19846" i="1"/>
  <c r="C19846" i="1"/>
  <c r="B19846" i="1"/>
  <c r="G19845" i="1"/>
  <c r="C19845" i="1"/>
  <c r="B19845" i="1"/>
  <c r="G19844" i="1"/>
  <c r="C19844" i="1"/>
  <c r="B19844" i="1"/>
  <c r="G19843" i="1"/>
  <c r="C19843" i="1"/>
  <c r="B19843" i="1"/>
  <c r="G19842" i="1"/>
  <c r="C19842" i="1"/>
  <c r="B19842" i="1"/>
  <c r="G19841" i="1"/>
  <c r="C19841" i="1"/>
  <c r="B19841" i="1"/>
  <c r="G19840" i="1"/>
  <c r="C19840" i="1"/>
  <c r="B19840" i="1"/>
  <c r="G19839" i="1"/>
  <c r="C19839" i="1"/>
  <c r="B19839" i="1"/>
  <c r="G19838" i="1"/>
  <c r="C19838" i="1"/>
  <c r="B19838" i="1"/>
  <c r="G19837" i="1"/>
  <c r="B19837" i="1"/>
  <c r="G19836" i="1"/>
  <c r="C19836" i="1"/>
  <c r="B19836" i="1"/>
  <c r="G19835" i="1"/>
  <c r="C19835" i="1"/>
  <c r="B19835" i="1"/>
  <c r="G19834" i="1"/>
  <c r="C19834" i="1"/>
  <c r="B19834" i="1"/>
  <c r="G19833" i="1"/>
  <c r="C19833" i="1"/>
  <c r="B19833" i="1"/>
  <c r="G19832" i="1"/>
  <c r="C19832" i="1"/>
  <c r="B19832" i="1"/>
  <c r="G19831" i="1"/>
  <c r="C19831" i="1"/>
  <c r="B19831" i="1"/>
  <c r="G19830" i="1"/>
  <c r="C19830" i="1"/>
  <c r="B19830" i="1"/>
  <c r="G19829" i="1"/>
  <c r="C19829" i="1"/>
  <c r="B19829" i="1"/>
  <c r="G19828" i="1"/>
  <c r="B19828" i="1"/>
  <c r="G19827" i="1"/>
  <c r="C19827" i="1"/>
  <c r="B19827" i="1"/>
  <c r="G19826" i="1"/>
  <c r="C19826" i="1"/>
  <c r="B19826" i="1"/>
  <c r="G19825" i="1"/>
  <c r="C19825" i="1"/>
  <c r="B19825" i="1"/>
  <c r="G19824" i="1"/>
  <c r="C19824" i="1"/>
  <c r="B19824" i="1"/>
  <c r="G19823" i="1"/>
  <c r="C19823" i="1"/>
  <c r="B19823" i="1"/>
  <c r="G19822" i="1"/>
  <c r="C19822" i="1"/>
  <c r="B19822" i="1"/>
  <c r="G19821" i="1"/>
  <c r="C19821" i="1"/>
  <c r="B19821" i="1"/>
  <c r="G19820" i="1"/>
  <c r="B19820" i="1"/>
  <c r="G19819" i="1"/>
  <c r="C19819" i="1"/>
  <c r="B19819" i="1"/>
  <c r="G19818" i="1"/>
  <c r="C19818" i="1"/>
  <c r="B19818" i="1"/>
  <c r="G19817" i="1"/>
  <c r="B19817" i="1"/>
  <c r="G19816" i="1"/>
  <c r="C19816" i="1"/>
  <c r="B19816" i="1"/>
  <c r="G19815" i="1"/>
  <c r="B19815" i="1"/>
  <c r="G19814" i="1"/>
  <c r="C19814" i="1"/>
  <c r="B19814" i="1"/>
  <c r="G19813" i="1"/>
  <c r="C19813" i="1"/>
  <c r="B19813" i="1"/>
  <c r="G19812" i="1"/>
  <c r="B19812" i="1"/>
  <c r="G19811" i="1"/>
  <c r="C19811" i="1"/>
  <c r="B19811" i="1"/>
  <c r="G19810" i="1"/>
  <c r="C19810" i="1"/>
  <c r="B19810" i="1"/>
  <c r="G19809" i="1"/>
  <c r="C19809" i="1"/>
  <c r="B19809" i="1"/>
  <c r="G19808" i="1"/>
  <c r="C19808" i="1"/>
  <c r="B19808" i="1"/>
  <c r="G19807" i="1"/>
  <c r="C19807" i="1"/>
  <c r="B19807" i="1"/>
  <c r="G19806" i="1"/>
  <c r="B19806" i="1"/>
  <c r="G19805" i="1"/>
  <c r="B19805" i="1"/>
  <c r="G19804" i="1"/>
  <c r="C19804" i="1"/>
  <c r="B19804" i="1"/>
  <c r="G19803" i="1"/>
  <c r="C19803" i="1"/>
  <c r="B19803" i="1"/>
  <c r="G19802" i="1"/>
  <c r="B19802" i="1"/>
  <c r="G19801" i="1"/>
  <c r="C19801" i="1"/>
  <c r="B19801" i="1"/>
  <c r="G19800" i="1"/>
  <c r="C19800" i="1"/>
  <c r="B19800" i="1"/>
  <c r="G19799" i="1"/>
  <c r="C19799" i="1"/>
  <c r="B19799" i="1"/>
  <c r="G19798" i="1"/>
  <c r="C19798" i="1"/>
  <c r="B19798" i="1"/>
  <c r="G19797" i="1"/>
  <c r="C19797" i="1"/>
  <c r="B19797" i="1"/>
  <c r="G19796" i="1"/>
  <c r="B19796" i="1"/>
  <c r="G19795" i="1"/>
  <c r="C19795" i="1"/>
  <c r="B19795" i="1"/>
  <c r="G19794" i="1"/>
  <c r="C19794" i="1"/>
  <c r="B19794" i="1"/>
  <c r="G19793" i="1"/>
  <c r="C19793" i="1"/>
  <c r="B19793" i="1"/>
  <c r="G19792" i="1"/>
  <c r="C19792" i="1"/>
  <c r="B19792" i="1"/>
  <c r="G19791" i="1"/>
  <c r="C19791" i="1"/>
  <c r="B19791" i="1"/>
  <c r="G19790" i="1"/>
  <c r="C19790" i="1"/>
  <c r="B19790" i="1"/>
  <c r="G19789" i="1"/>
  <c r="B19789" i="1"/>
  <c r="G19788" i="1"/>
  <c r="C19788" i="1"/>
  <c r="B19788" i="1"/>
  <c r="G19787" i="1"/>
  <c r="C19787" i="1"/>
  <c r="B19787" i="1"/>
  <c r="G19786" i="1"/>
  <c r="C19786" i="1"/>
  <c r="B19786" i="1"/>
  <c r="G19785" i="1"/>
  <c r="C19785" i="1"/>
  <c r="B19785" i="1"/>
  <c r="G19784" i="1"/>
  <c r="C19784" i="1"/>
  <c r="B19784" i="1"/>
  <c r="G19783" i="1"/>
  <c r="C19783" i="1"/>
  <c r="B19783" i="1"/>
  <c r="G19782" i="1"/>
  <c r="C19782" i="1"/>
  <c r="B19782" i="1"/>
  <c r="G19781" i="1"/>
  <c r="B19781" i="1"/>
  <c r="G19780" i="1"/>
  <c r="C19780" i="1"/>
  <c r="B19780" i="1"/>
  <c r="G19779" i="1"/>
  <c r="C19779" i="1"/>
  <c r="B19779" i="1"/>
  <c r="G19778" i="1"/>
  <c r="C19778" i="1"/>
  <c r="B19778" i="1"/>
  <c r="G19777" i="1"/>
  <c r="C19777" i="1"/>
  <c r="B19777" i="1"/>
  <c r="G19776" i="1"/>
  <c r="C19776" i="1"/>
  <c r="B19776" i="1"/>
  <c r="G19775" i="1"/>
  <c r="C19775" i="1"/>
  <c r="B19775" i="1"/>
  <c r="G19774" i="1"/>
  <c r="C19774" i="1"/>
  <c r="B19774" i="1"/>
  <c r="G19773" i="1"/>
  <c r="C19773" i="1"/>
  <c r="B19773" i="1"/>
  <c r="G19772" i="1"/>
  <c r="B19772" i="1"/>
  <c r="G19771" i="1"/>
  <c r="C19771" i="1"/>
  <c r="B19771" i="1"/>
  <c r="G19770" i="1"/>
  <c r="C19770" i="1"/>
  <c r="B19770" i="1"/>
  <c r="G19769" i="1"/>
  <c r="B19769" i="1"/>
  <c r="G19768" i="1"/>
  <c r="C19768" i="1"/>
  <c r="B19768" i="1"/>
  <c r="G19767" i="1"/>
  <c r="C19767" i="1"/>
  <c r="B19767" i="1"/>
  <c r="G19766" i="1"/>
  <c r="C19766" i="1"/>
  <c r="B19766" i="1"/>
  <c r="G19765" i="1"/>
  <c r="B19765" i="1"/>
  <c r="G19764" i="1"/>
  <c r="C19764" i="1"/>
  <c r="B19764" i="1"/>
  <c r="G19763" i="1"/>
  <c r="C19763" i="1"/>
  <c r="B19763" i="1"/>
  <c r="G19762" i="1"/>
  <c r="B19762" i="1"/>
  <c r="G19761" i="1"/>
  <c r="C19761" i="1"/>
  <c r="B19761" i="1"/>
  <c r="G19760" i="1"/>
  <c r="C19760" i="1"/>
  <c r="B19760" i="1"/>
  <c r="G19759" i="1"/>
  <c r="C19759" i="1"/>
  <c r="B19759" i="1"/>
  <c r="G19758" i="1"/>
  <c r="C19758" i="1"/>
  <c r="B19758" i="1"/>
  <c r="G19757" i="1"/>
  <c r="C19757" i="1"/>
  <c r="B19757" i="1"/>
  <c r="G19756" i="1"/>
  <c r="C19756" i="1"/>
  <c r="B19756" i="1"/>
  <c r="G19755" i="1"/>
  <c r="B19755" i="1"/>
  <c r="G19754" i="1"/>
  <c r="C19754" i="1"/>
  <c r="B19754" i="1"/>
  <c r="G19753" i="1"/>
  <c r="C19753" i="1"/>
  <c r="B19753" i="1"/>
  <c r="G19752" i="1"/>
  <c r="C19752" i="1"/>
  <c r="B19752" i="1"/>
  <c r="G19751" i="1"/>
  <c r="B19751" i="1"/>
  <c r="G19750" i="1"/>
  <c r="C19750" i="1"/>
  <c r="B19750" i="1"/>
  <c r="G19749" i="1"/>
  <c r="C19749" i="1"/>
  <c r="B19749" i="1"/>
  <c r="G19748" i="1"/>
  <c r="C19748" i="1"/>
  <c r="B19748" i="1"/>
  <c r="G19747" i="1"/>
  <c r="C19747" i="1"/>
  <c r="B19747" i="1"/>
  <c r="G19746" i="1"/>
  <c r="B19746" i="1"/>
  <c r="G19745" i="1"/>
  <c r="C19745" i="1"/>
  <c r="B19745" i="1"/>
  <c r="G19744" i="1"/>
  <c r="C19744" i="1"/>
  <c r="B19744" i="1"/>
  <c r="G19743" i="1"/>
  <c r="B19743" i="1"/>
  <c r="G19742" i="1"/>
  <c r="B19742" i="1"/>
  <c r="G19741" i="1"/>
  <c r="C19741" i="1"/>
  <c r="B19741" i="1"/>
  <c r="G19740" i="1"/>
  <c r="C19740" i="1"/>
  <c r="B19740" i="1"/>
  <c r="G19739" i="1"/>
  <c r="C19739" i="1"/>
  <c r="B19739" i="1"/>
  <c r="G19738" i="1"/>
  <c r="C19738" i="1"/>
  <c r="B19738" i="1"/>
  <c r="G19737" i="1"/>
  <c r="C19737" i="1"/>
  <c r="B19737" i="1"/>
  <c r="G19736" i="1"/>
  <c r="B19736" i="1"/>
  <c r="G19735" i="1"/>
  <c r="C19735" i="1"/>
  <c r="B19735" i="1"/>
  <c r="G19734" i="1"/>
  <c r="B19734" i="1"/>
  <c r="G19733" i="1"/>
  <c r="C19733" i="1"/>
  <c r="B19733" i="1"/>
  <c r="G19732" i="1"/>
  <c r="C19732" i="1"/>
  <c r="B19732" i="1"/>
  <c r="G19731" i="1"/>
  <c r="C19731" i="1"/>
  <c r="B19731" i="1"/>
  <c r="G19730" i="1"/>
  <c r="B19730" i="1"/>
  <c r="G19729" i="1"/>
  <c r="C19729" i="1"/>
  <c r="B19729" i="1"/>
  <c r="G19728" i="1"/>
  <c r="C19728" i="1"/>
  <c r="B19728" i="1"/>
  <c r="G19727" i="1"/>
  <c r="C19727" i="1"/>
  <c r="B19727" i="1"/>
  <c r="G19726" i="1"/>
  <c r="B19726" i="1"/>
  <c r="G19725" i="1"/>
  <c r="C19725" i="1"/>
  <c r="B19725" i="1"/>
  <c r="G19724" i="1"/>
  <c r="C19724" i="1"/>
  <c r="B19724" i="1"/>
  <c r="G19723" i="1"/>
  <c r="C19723" i="1"/>
  <c r="B19723" i="1"/>
  <c r="G19722" i="1"/>
  <c r="B19722" i="1"/>
  <c r="G19721" i="1"/>
  <c r="C19721" i="1"/>
  <c r="B19721" i="1"/>
  <c r="G19720" i="1"/>
  <c r="B19720" i="1"/>
  <c r="G19719" i="1"/>
  <c r="B19719" i="1"/>
  <c r="G19718" i="1"/>
  <c r="B19718" i="1"/>
  <c r="G19717" i="1"/>
  <c r="C19717" i="1"/>
  <c r="B19717" i="1"/>
  <c r="G19716" i="1"/>
  <c r="C19716" i="1"/>
  <c r="B19716" i="1"/>
  <c r="G19715" i="1"/>
  <c r="C19715" i="1"/>
  <c r="B19715" i="1"/>
  <c r="G19714" i="1"/>
  <c r="B19714" i="1"/>
  <c r="G19713" i="1"/>
  <c r="C19713" i="1"/>
  <c r="B19713" i="1"/>
  <c r="G19712" i="1"/>
  <c r="B19712" i="1"/>
  <c r="G19711" i="1"/>
  <c r="C19711" i="1"/>
  <c r="B19711" i="1"/>
  <c r="G19710" i="1"/>
  <c r="C19710" i="1"/>
  <c r="B19710" i="1"/>
  <c r="G19709" i="1"/>
  <c r="C19709" i="1"/>
  <c r="B19709" i="1"/>
  <c r="G19708" i="1"/>
  <c r="C19708" i="1"/>
  <c r="B19708" i="1"/>
  <c r="G19707" i="1"/>
  <c r="C19707" i="1"/>
  <c r="B19707" i="1"/>
  <c r="G19706" i="1"/>
  <c r="B19706" i="1"/>
  <c r="G19705" i="1"/>
  <c r="C19705" i="1"/>
  <c r="B19705" i="1"/>
  <c r="G19704" i="1"/>
  <c r="C19704" i="1"/>
  <c r="B19704" i="1"/>
  <c r="G19703" i="1"/>
  <c r="C19703" i="1"/>
  <c r="B19703" i="1"/>
  <c r="G19702" i="1"/>
  <c r="C19702" i="1"/>
  <c r="B19702" i="1"/>
  <c r="G19701" i="1"/>
  <c r="B19701" i="1"/>
  <c r="G19700" i="1"/>
  <c r="C19700" i="1"/>
  <c r="B19700" i="1"/>
  <c r="G19699" i="1"/>
  <c r="C19699" i="1"/>
  <c r="B19699" i="1"/>
  <c r="G19698" i="1"/>
  <c r="C19698" i="1"/>
  <c r="B19698" i="1"/>
  <c r="G19697" i="1"/>
  <c r="C19697" i="1"/>
  <c r="B19697" i="1"/>
  <c r="G19696" i="1"/>
  <c r="C19696" i="1"/>
  <c r="B19696" i="1"/>
  <c r="G19695" i="1"/>
  <c r="B19695" i="1"/>
  <c r="G19694" i="1"/>
  <c r="C19694" i="1"/>
  <c r="B19694" i="1"/>
  <c r="G19693" i="1"/>
  <c r="B19693" i="1"/>
  <c r="G19692" i="1"/>
  <c r="C19692" i="1"/>
  <c r="B19692" i="1"/>
  <c r="G19691" i="1"/>
  <c r="C19691" i="1"/>
  <c r="B19691" i="1"/>
  <c r="G19690" i="1"/>
  <c r="B19690" i="1"/>
  <c r="G19689" i="1"/>
  <c r="C19689" i="1"/>
  <c r="B19689" i="1"/>
  <c r="G19688" i="1"/>
  <c r="B19688" i="1"/>
  <c r="G19687" i="1"/>
  <c r="C19687" i="1"/>
  <c r="B19687" i="1"/>
  <c r="G19686" i="1"/>
  <c r="B19686" i="1"/>
  <c r="G19685" i="1"/>
  <c r="C19685" i="1"/>
  <c r="B19685" i="1"/>
  <c r="G19684" i="1"/>
  <c r="B19684" i="1"/>
  <c r="G19683" i="1"/>
  <c r="C19683" i="1"/>
  <c r="B19683" i="1"/>
  <c r="G19682" i="1"/>
  <c r="C19682" i="1"/>
  <c r="B19682" i="1"/>
  <c r="G19681" i="1"/>
  <c r="C19681" i="1"/>
  <c r="B19681" i="1"/>
  <c r="G19680" i="1"/>
  <c r="C19680" i="1"/>
  <c r="B19680" i="1"/>
  <c r="G19679" i="1"/>
  <c r="C19679" i="1"/>
  <c r="B19679" i="1"/>
  <c r="G19678" i="1"/>
  <c r="C19678" i="1"/>
  <c r="B19678" i="1"/>
  <c r="G19677" i="1"/>
  <c r="C19677" i="1"/>
  <c r="B19677" i="1"/>
  <c r="G19676" i="1"/>
  <c r="C19676" i="1"/>
  <c r="B19676" i="1"/>
  <c r="G19675" i="1"/>
  <c r="B19675" i="1"/>
  <c r="G19674" i="1"/>
  <c r="B19674" i="1"/>
  <c r="G19673" i="1"/>
  <c r="C19673" i="1"/>
  <c r="B19673" i="1"/>
  <c r="G19672" i="1"/>
  <c r="B19672" i="1"/>
  <c r="G19671" i="1"/>
  <c r="C19671" i="1"/>
  <c r="B19671" i="1"/>
  <c r="G19670" i="1"/>
  <c r="B19670" i="1"/>
  <c r="G19669" i="1"/>
  <c r="C19669" i="1"/>
  <c r="B19669" i="1"/>
  <c r="G19668" i="1"/>
  <c r="C19668" i="1"/>
  <c r="B19668" i="1"/>
  <c r="G19667" i="1"/>
  <c r="C19667" i="1"/>
  <c r="B19667" i="1"/>
  <c r="G19666" i="1"/>
  <c r="B19666" i="1"/>
  <c r="G19665" i="1"/>
  <c r="B19665" i="1"/>
  <c r="G19664" i="1"/>
  <c r="C19664" i="1"/>
  <c r="B19664" i="1"/>
  <c r="G19663" i="1"/>
  <c r="B19663" i="1"/>
  <c r="G19662" i="1"/>
  <c r="B19662" i="1"/>
  <c r="G19661" i="1"/>
  <c r="C19661" i="1"/>
  <c r="B19661" i="1"/>
  <c r="G19660" i="1"/>
  <c r="C19660" i="1"/>
  <c r="B19660" i="1"/>
  <c r="G19659" i="1"/>
  <c r="C19659" i="1"/>
  <c r="B19659" i="1"/>
  <c r="G19658" i="1"/>
  <c r="C19658" i="1"/>
  <c r="B19658" i="1"/>
  <c r="G19657" i="1"/>
  <c r="C19657" i="1"/>
  <c r="B19657" i="1"/>
  <c r="G19656" i="1"/>
  <c r="B19656" i="1"/>
  <c r="G19655" i="1"/>
  <c r="C19655" i="1"/>
  <c r="B19655" i="1"/>
  <c r="G19654" i="1"/>
  <c r="C19654" i="1"/>
  <c r="B19654" i="1"/>
  <c r="G19653" i="1"/>
  <c r="C19653" i="1"/>
  <c r="B19653" i="1"/>
  <c r="G19652" i="1"/>
  <c r="B19652" i="1"/>
  <c r="G19651" i="1"/>
  <c r="C19651" i="1"/>
  <c r="B19651" i="1"/>
  <c r="G19650" i="1"/>
  <c r="C19650" i="1"/>
  <c r="B19650" i="1"/>
  <c r="G19649" i="1"/>
  <c r="C19649" i="1"/>
  <c r="B19649" i="1"/>
  <c r="G19648" i="1"/>
  <c r="C19648" i="1"/>
  <c r="B19648" i="1"/>
  <c r="G19647" i="1"/>
  <c r="B19647" i="1"/>
  <c r="G19646" i="1"/>
  <c r="C19646" i="1"/>
  <c r="B19646" i="1"/>
  <c r="G19645" i="1"/>
  <c r="B19645" i="1"/>
  <c r="G19644" i="1"/>
  <c r="C19644" i="1"/>
  <c r="B19644" i="1"/>
  <c r="G19643" i="1"/>
  <c r="C19643" i="1"/>
  <c r="B19643" i="1"/>
  <c r="G19642" i="1"/>
  <c r="C19642" i="1"/>
  <c r="B19642" i="1"/>
  <c r="G19641" i="1"/>
  <c r="C19641" i="1"/>
  <c r="B19641" i="1"/>
  <c r="G19640" i="1"/>
  <c r="B19640" i="1"/>
  <c r="G19639" i="1"/>
  <c r="C19639" i="1"/>
  <c r="B19639" i="1"/>
  <c r="G19638" i="1"/>
  <c r="C19638" i="1"/>
  <c r="B19638" i="1"/>
  <c r="G19637" i="1"/>
  <c r="B19637" i="1"/>
  <c r="G19636" i="1"/>
  <c r="C19636" i="1"/>
  <c r="B19636" i="1"/>
  <c r="G19635" i="1"/>
  <c r="B19635" i="1"/>
  <c r="G19634" i="1"/>
  <c r="B19634" i="1"/>
  <c r="G19633" i="1"/>
  <c r="C19633" i="1"/>
  <c r="B19633" i="1"/>
  <c r="G19632" i="1"/>
  <c r="C19632" i="1"/>
  <c r="B19632" i="1"/>
  <c r="G19631" i="1"/>
  <c r="B19631" i="1"/>
  <c r="G19630" i="1"/>
  <c r="B19630" i="1"/>
  <c r="G19629" i="1"/>
  <c r="C19629" i="1"/>
  <c r="B19629" i="1"/>
  <c r="G19628" i="1"/>
  <c r="B19628" i="1"/>
  <c r="G19627" i="1"/>
  <c r="B19627" i="1"/>
  <c r="G19626" i="1"/>
  <c r="B19626" i="1"/>
  <c r="G19625" i="1"/>
  <c r="B19625" i="1"/>
  <c r="G19624" i="1"/>
  <c r="B19624" i="1"/>
  <c r="G19623" i="1"/>
  <c r="B19623" i="1"/>
  <c r="G19622" i="1"/>
  <c r="C19622" i="1"/>
  <c r="B19622" i="1"/>
  <c r="G19621" i="1"/>
  <c r="B19621" i="1"/>
  <c r="G19620" i="1"/>
  <c r="C19620" i="1"/>
  <c r="B19620" i="1"/>
  <c r="G19619" i="1"/>
  <c r="C19619" i="1"/>
  <c r="B19619" i="1"/>
  <c r="G19618" i="1"/>
  <c r="C19618" i="1"/>
  <c r="B19618" i="1"/>
  <c r="G19617" i="1"/>
  <c r="B19617" i="1"/>
  <c r="G19616" i="1"/>
  <c r="C19616" i="1"/>
  <c r="B19616" i="1"/>
  <c r="G19615" i="1"/>
  <c r="C19615" i="1"/>
  <c r="B19615" i="1"/>
  <c r="G19614" i="1"/>
  <c r="C19614" i="1"/>
  <c r="B19614" i="1"/>
  <c r="G19613" i="1"/>
  <c r="C19613" i="1"/>
  <c r="B19613" i="1"/>
  <c r="G19612" i="1"/>
  <c r="C19612" i="1"/>
  <c r="B19612" i="1"/>
  <c r="G19611" i="1"/>
  <c r="C19611" i="1"/>
  <c r="B19611" i="1"/>
  <c r="G19610" i="1"/>
  <c r="C19610" i="1"/>
  <c r="B19610" i="1"/>
  <c r="G19609" i="1"/>
  <c r="C19609" i="1"/>
  <c r="B19609" i="1"/>
  <c r="G19608" i="1"/>
  <c r="C19608" i="1"/>
  <c r="B19608" i="1"/>
  <c r="G19607" i="1"/>
  <c r="C19607" i="1"/>
  <c r="B19607" i="1"/>
  <c r="G19606" i="1"/>
  <c r="C19606" i="1"/>
  <c r="B19606" i="1"/>
  <c r="G19605" i="1"/>
  <c r="C19605" i="1"/>
  <c r="B19605" i="1"/>
  <c r="G19604" i="1"/>
  <c r="B19604" i="1"/>
  <c r="G19603" i="1"/>
  <c r="B19603" i="1"/>
  <c r="G19602" i="1"/>
  <c r="C19602" i="1"/>
  <c r="B19602" i="1"/>
  <c r="G19601" i="1"/>
  <c r="C19601" i="1"/>
  <c r="B19601" i="1"/>
  <c r="G19600" i="1"/>
  <c r="C19600" i="1"/>
  <c r="B19600" i="1"/>
  <c r="G19599" i="1"/>
  <c r="C19599" i="1"/>
  <c r="B19599" i="1"/>
  <c r="G19598" i="1"/>
  <c r="C19598" i="1"/>
  <c r="B19598" i="1"/>
  <c r="G19597" i="1"/>
  <c r="B19597" i="1"/>
  <c r="G19596" i="1"/>
  <c r="B19596" i="1"/>
  <c r="G19595" i="1"/>
  <c r="C19595" i="1"/>
  <c r="B19595" i="1"/>
  <c r="G19594" i="1"/>
  <c r="C19594" i="1"/>
  <c r="B19594" i="1"/>
  <c r="G19593" i="1"/>
  <c r="B19593" i="1"/>
  <c r="G19592" i="1"/>
  <c r="C19592" i="1"/>
  <c r="B19592" i="1"/>
  <c r="G19591" i="1"/>
  <c r="C19591" i="1"/>
  <c r="B19591" i="1"/>
  <c r="G19590" i="1"/>
  <c r="C19590" i="1"/>
  <c r="B19590" i="1"/>
  <c r="G19589" i="1"/>
  <c r="B19589" i="1"/>
  <c r="G19588" i="1"/>
  <c r="B19588" i="1"/>
  <c r="G19587" i="1"/>
  <c r="C19587" i="1"/>
  <c r="B19587" i="1"/>
  <c r="G19586" i="1"/>
  <c r="C19586" i="1"/>
  <c r="B19586" i="1"/>
  <c r="G19585" i="1"/>
  <c r="C19585" i="1"/>
  <c r="B19585" i="1"/>
  <c r="G19584" i="1"/>
  <c r="B19584" i="1"/>
  <c r="G19583" i="1"/>
  <c r="C19583" i="1"/>
  <c r="B19583" i="1"/>
  <c r="G19582" i="1"/>
  <c r="C19582" i="1"/>
  <c r="B19582" i="1"/>
  <c r="G19581" i="1"/>
  <c r="C19581" i="1"/>
  <c r="B19581" i="1"/>
  <c r="G19580" i="1"/>
  <c r="C19580" i="1"/>
  <c r="B19580" i="1"/>
  <c r="G19579" i="1"/>
  <c r="C19579" i="1"/>
  <c r="B19579" i="1"/>
  <c r="G19578" i="1"/>
  <c r="C19578" i="1"/>
  <c r="B19578" i="1"/>
  <c r="G19577" i="1"/>
  <c r="C19577" i="1"/>
  <c r="B19577" i="1"/>
  <c r="G19576" i="1"/>
  <c r="C19576" i="1"/>
  <c r="B19576" i="1"/>
  <c r="G19575" i="1"/>
  <c r="C19575" i="1"/>
  <c r="B19575" i="1"/>
  <c r="G19574" i="1"/>
  <c r="C19574" i="1"/>
  <c r="B19574" i="1"/>
  <c r="G19573" i="1"/>
  <c r="C19573" i="1"/>
  <c r="B19573" i="1"/>
  <c r="G19572" i="1"/>
  <c r="C19572" i="1"/>
  <c r="B19572" i="1"/>
  <c r="G19571" i="1"/>
  <c r="C19571" i="1"/>
  <c r="B19571" i="1"/>
  <c r="G19570" i="1"/>
  <c r="C19570" i="1"/>
  <c r="B19570" i="1"/>
  <c r="G19569" i="1"/>
  <c r="C19569" i="1"/>
  <c r="B19569" i="1"/>
  <c r="G19568" i="1"/>
  <c r="C19568" i="1"/>
  <c r="B19568" i="1"/>
  <c r="G19567" i="1"/>
  <c r="C19567" i="1"/>
  <c r="B19567" i="1"/>
  <c r="G19566" i="1"/>
  <c r="B19566" i="1"/>
  <c r="G19565" i="1"/>
  <c r="C19565" i="1"/>
  <c r="B19565" i="1"/>
  <c r="G19564" i="1"/>
  <c r="B19564" i="1"/>
  <c r="G19563" i="1"/>
  <c r="C19563" i="1"/>
  <c r="B19563" i="1"/>
  <c r="G19562" i="1"/>
  <c r="B19562" i="1"/>
  <c r="G19561" i="1"/>
  <c r="B19561" i="1"/>
  <c r="G19560" i="1"/>
  <c r="C19560" i="1"/>
  <c r="B19560" i="1"/>
  <c r="G19559" i="1"/>
  <c r="C19559" i="1"/>
  <c r="B19559" i="1"/>
  <c r="G19558" i="1"/>
  <c r="C19558" i="1"/>
  <c r="B19558" i="1"/>
  <c r="G19557" i="1"/>
  <c r="C19557" i="1"/>
  <c r="B19557" i="1"/>
  <c r="G19556" i="1"/>
  <c r="C19556" i="1"/>
  <c r="B19556" i="1"/>
  <c r="G19555" i="1"/>
  <c r="B19555" i="1"/>
  <c r="G19554" i="1"/>
  <c r="C19554" i="1"/>
  <c r="B19554" i="1"/>
  <c r="G19553" i="1"/>
  <c r="C19553" i="1"/>
  <c r="B19553" i="1"/>
  <c r="G19552" i="1"/>
  <c r="B19552" i="1"/>
  <c r="G19551" i="1"/>
  <c r="C19551" i="1"/>
  <c r="B19551" i="1"/>
  <c r="G19550" i="1"/>
  <c r="C19550" i="1"/>
  <c r="B19550" i="1"/>
  <c r="G19549" i="1"/>
  <c r="B19549" i="1"/>
  <c r="G19548" i="1"/>
  <c r="C19548" i="1"/>
  <c r="B19548" i="1"/>
  <c r="G19547" i="1"/>
  <c r="B19547" i="1"/>
  <c r="G19546" i="1"/>
  <c r="C19546" i="1"/>
  <c r="B19546" i="1"/>
  <c r="G19545" i="1"/>
  <c r="C19545" i="1"/>
  <c r="B19545" i="1"/>
  <c r="G19544" i="1"/>
  <c r="C19544" i="1"/>
  <c r="B19544" i="1"/>
  <c r="G19543" i="1"/>
  <c r="C19543" i="1"/>
  <c r="B19543" i="1"/>
  <c r="G19542" i="1"/>
  <c r="C19542" i="1"/>
  <c r="B19542" i="1"/>
  <c r="G19541" i="1"/>
  <c r="B19541" i="1"/>
  <c r="G19540" i="1"/>
  <c r="C19540" i="1"/>
  <c r="B19540" i="1"/>
  <c r="G19539" i="1"/>
  <c r="C19539" i="1"/>
  <c r="B19539" i="1"/>
  <c r="G19538" i="1"/>
  <c r="C19538" i="1"/>
  <c r="B19538" i="1"/>
  <c r="G19537" i="1"/>
  <c r="B19537" i="1"/>
  <c r="G19536" i="1"/>
  <c r="C19536" i="1"/>
  <c r="B19536" i="1"/>
  <c r="G19535" i="1"/>
  <c r="C19535" i="1"/>
  <c r="B19535" i="1"/>
  <c r="G19534" i="1"/>
  <c r="C19534" i="1"/>
  <c r="B19534" i="1"/>
  <c r="G19533" i="1"/>
  <c r="B19533" i="1"/>
  <c r="G19532" i="1"/>
  <c r="C19532" i="1"/>
  <c r="B19532" i="1"/>
  <c r="G19531" i="1"/>
  <c r="C19531" i="1"/>
  <c r="B19531" i="1"/>
  <c r="G19530" i="1"/>
  <c r="C19530" i="1"/>
  <c r="B19530" i="1"/>
  <c r="G19529" i="1"/>
  <c r="C19529" i="1"/>
  <c r="B19529" i="1"/>
  <c r="G19528" i="1"/>
  <c r="C19528" i="1"/>
  <c r="B19528" i="1"/>
  <c r="G19527" i="1"/>
  <c r="B19527" i="1"/>
  <c r="G19526" i="1"/>
  <c r="C19526" i="1"/>
  <c r="B19526" i="1"/>
  <c r="G19525" i="1"/>
  <c r="C19525" i="1"/>
  <c r="B19525" i="1"/>
  <c r="G19524" i="1"/>
  <c r="C19524" i="1"/>
  <c r="B19524" i="1"/>
  <c r="G19523" i="1"/>
  <c r="C19523" i="1"/>
  <c r="B19523" i="1"/>
  <c r="G19522" i="1"/>
  <c r="C19522" i="1"/>
  <c r="B19522" i="1"/>
  <c r="G19521" i="1"/>
  <c r="C19521" i="1"/>
  <c r="B19521" i="1"/>
  <c r="G19520" i="1"/>
  <c r="C19520" i="1"/>
  <c r="B19520" i="1"/>
  <c r="G19519" i="1"/>
  <c r="B19519" i="1"/>
  <c r="G19518" i="1"/>
  <c r="C19518" i="1"/>
  <c r="B19518" i="1"/>
  <c r="G19517" i="1"/>
  <c r="C19517" i="1"/>
  <c r="B19517" i="1"/>
  <c r="G19516" i="1"/>
  <c r="C19516" i="1"/>
  <c r="B19516" i="1"/>
  <c r="G19515" i="1"/>
  <c r="B19515" i="1"/>
  <c r="G19514" i="1"/>
  <c r="B19514" i="1"/>
  <c r="G19513" i="1"/>
  <c r="C19513" i="1"/>
  <c r="B19513" i="1"/>
  <c r="G19512" i="1"/>
  <c r="B19512" i="1"/>
  <c r="G19511" i="1"/>
  <c r="B19511" i="1"/>
  <c r="G19510" i="1"/>
  <c r="B19510" i="1"/>
  <c r="G19509" i="1"/>
  <c r="B19509" i="1"/>
  <c r="G19508" i="1"/>
  <c r="C19508" i="1"/>
  <c r="B19508" i="1"/>
  <c r="G19507" i="1"/>
  <c r="B19507" i="1"/>
  <c r="G19506" i="1"/>
  <c r="C19506" i="1"/>
  <c r="B19506" i="1"/>
  <c r="G19505" i="1"/>
  <c r="C19505" i="1"/>
  <c r="B19505" i="1"/>
  <c r="G19504" i="1"/>
  <c r="C19504" i="1"/>
  <c r="B19504" i="1"/>
  <c r="G19503" i="1"/>
  <c r="B19503" i="1"/>
  <c r="G19502" i="1"/>
  <c r="B19502" i="1"/>
  <c r="G19501" i="1"/>
  <c r="C19501" i="1"/>
  <c r="B19501" i="1"/>
  <c r="G19500" i="1"/>
  <c r="C19500" i="1"/>
  <c r="B19500" i="1"/>
  <c r="G19499" i="1"/>
  <c r="C19499" i="1"/>
  <c r="B19499" i="1"/>
  <c r="G19498" i="1"/>
  <c r="C19498" i="1"/>
  <c r="B19498" i="1"/>
  <c r="G19497" i="1"/>
  <c r="C19497" i="1"/>
  <c r="B19497" i="1"/>
  <c r="G19496" i="1"/>
  <c r="B19496" i="1"/>
  <c r="G19495" i="1"/>
  <c r="C19495" i="1"/>
  <c r="B19495" i="1"/>
  <c r="G19494" i="1"/>
  <c r="B19494" i="1"/>
  <c r="G19493" i="1"/>
  <c r="B19493" i="1"/>
  <c r="G19492" i="1"/>
  <c r="B19492" i="1"/>
  <c r="G19491" i="1"/>
  <c r="C19491" i="1"/>
  <c r="B19491" i="1"/>
  <c r="G19490" i="1"/>
  <c r="B19490" i="1"/>
  <c r="G19489" i="1"/>
  <c r="C19489" i="1"/>
  <c r="B19489" i="1"/>
  <c r="G19488" i="1"/>
  <c r="B19488" i="1"/>
  <c r="G19487" i="1"/>
  <c r="C19487" i="1"/>
  <c r="B19487" i="1"/>
  <c r="G19486" i="1"/>
  <c r="C19486" i="1"/>
  <c r="B19486" i="1"/>
  <c r="G19485" i="1"/>
  <c r="B19485" i="1"/>
  <c r="G19484" i="1"/>
  <c r="C19484" i="1"/>
  <c r="B19484" i="1"/>
  <c r="G19483" i="1"/>
  <c r="B19483" i="1"/>
  <c r="G19482" i="1"/>
  <c r="B19482" i="1"/>
  <c r="G19481" i="1"/>
  <c r="B19481" i="1"/>
  <c r="G19480" i="1"/>
  <c r="C19480" i="1"/>
  <c r="B19480" i="1"/>
  <c r="G19479" i="1"/>
  <c r="C19479" i="1"/>
  <c r="B19479" i="1"/>
  <c r="G19478" i="1"/>
  <c r="C19478" i="1"/>
  <c r="B19478" i="1"/>
  <c r="G19477" i="1"/>
  <c r="B19477" i="1"/>
  <c r="G19476" i="1"/>
  <c r="C19476" i="1"/>
  <c r="B19476" i="1"/>
  <c r="G19475" i="1"/>
  <c r="C19475" i="1"/>
  <c r="B19475" i="1"/>
  <c r="G19474" i="1"/>
  <c r="B19474" i="1"/>
  <c r="G19473" i="1"/>
  <c r="B19473" i="1"/>
  <c r="G19472" i="1"/>
  <c r="C19472" i="1"/>
  <c r="B19472" i="1"/>
  <c r="G19471" i="1"/>
  <c r="C19471" i="1"/>
  <c r="B19471" i="1"/>
  <c r="G19470" i="1"/>
  <c r="B19470" i="1"/>
  <c r="G19469" i="1"/>
  <c r="C19469" i="1"/>
  <c r="B19469" i="1"/>
  <c r="G19468" i="1"/>
  <c r="C19468" i="1"/>
  <c r="B19468" i="1"/>
  <c r="G19467" i="1"/>
  <c r="C19467" i="1"/>
  <c r="B19467" i="1"/>
  <c r="G19466" i="1"/>
  <c r="C19466" i="1"/>
  <c r="B19466" i="1"/>
  <c r="G19465" i="1"/>
  <c r="C19465" i="1"/>
  <c r="B19465" i="1"/>
  <c r="G19464" i="1"/>
  <c r="C19464" i="1"/>
  <c r="B19464" i="1"/>
  <c r="G19463" i="1"/>
  <c r="C19463" i="1"/>
  <c r="B19463" i="1"/>
  <c r="G19462" i="1"/>
  <c r="B19462" i="1"/>
  <c r="G19461" i="1"/>
  <c r="C19461" i="1"/>
  <c r="B19461" i="1"/>
  <c r="G19460" i="1"/>
  <c r="C19460" i="1"/>
  <c r="B19460" i="1"/>
  <c r="G19459" i="1"/>
  <c r="B19459" i="1"/>
  <c r="G19458" i="1"/>
  <c r="C19458" i="1"/>
  <c r="B19458" i="1"/>
  <c r="G19457" i="1"/>
  <c r="B19457" i="1"/>
  <c r="G19456" i="1"/>
  <c r="C19456" i="1"/>
  <c r="B19456" i="1"/>
  <c r="G19455" i="1"/>
  <c r="C19455" i="1"/>
  <c r="B19455" i="1"/>
  <c r="G19454" i="1"/>
  <c r="C19454" i="1"/>
  <c r="B19454" i="1"/>
  <c r="G19453" i="1"/>
  <c r="C19453" i="1"/>
  <c r="B19453" i="1"/>
  <c r="G19452" i="1"/>
  <c r="C19452" i="1"/>
  <c r="B19452" i="1"/>
  <c r="G19451" i="1"/>
  <c r="C19451" i="1"/>
  <c r="B19451" i="1"/>
  <c r="G19450" i="1"/>
  <c r="C19450" i="1"/>
  <c r="B19450" i="1"/>
  <c r="G19449" i="1"/>
  <c r="C19449" i="1"/>
  <c r="B19449" i="1"/>
  <c r="G19448" i="1"/>
  <c r="C19448" i="1"/>
  <c r="B19448" i="1"/>
  <c r="G19447" i="1"/>
  <c r="C19447" i="1"/>
  <c r="B19447" i="1"/>
  <c r="G19446" i="1"/>
  <c r="C19446" i="1"/>
  <c r="B19446" i="1"/>
  <c r="G19445" i="1"/>
  <c r="C19445" i="1"/>
  <c r="B19445" i="1"/>
  <c r="G19444" i="1"/>
  <c r="C19444" i="1"/>
  <c r="B19444" i="1"/>
  <c r="G19443" i="1"/>
  <c r="B19443" i="1"/>
  <c r="G19442" i="1"/>
  <c r="B19442" i="1"/>
  <c r="G19441" i="1"/>
  <c r="C19441" i="1"/>
  <c r="B19441" i="1"/>
  <c r="G19440" i="1"/>
  <c r="B19440" i="1"/>
  <c r="G19439" i="1"/>
  <c r="C19439" i="1"/>
  <c r="B19439" i="1"/>
  <c r="G19438" i="1"/>
  <c r="B19438" i="1"/>
  <c r="G19437" i="1"/>
  <c r="B19437" i="1"/>
  <c r="G19436" i="1"/>
  <c r="C19436" i="1"/>
  <c r="B19436" i="1"/>
  <c r="G19435" i="1"/>
  <c r="C19435" i="1"/>
  <c r="B19435" i="1"/>
  <c r="G19434" i="1"/>
  <c r="B19434" i="1"/>
  <c r="G19433" i="1"/>
  <c r="C19433" i="1"/>
  <c r="B19433" i="1"/>
  <c r="G19432" i="1"/>
  <c r="C19432" i="1"/>
  <c r="B19432" i="1"/>
  <c r="G19431" i="1"/>
  <c r="C19431" i="1"/>
  <c r="B19431" i="1"/>
  <c r="G19430" i="1"/>
  <c r="C19430" i="1"/>
  <c r="B19430" i="1"/>
  <c r="G19429" i="1"/>
  <c r="C19429" i="1"/>
  <c r="B19429" i="1"/>
  <c r="G19428" i="1"/>
  <c r="B19428" i="1"/>
  <c r="G19427" i="1"/>
  <c r="B19427" i="1"/>
  <c r="G19426" i="1"/>
  <c r="B19426" i="1"/>
  <c r="G19425" i="1"/>
  <c r="B19425" i="1"/>
  <c r="G19424" i="1"/>
  <c r="B19424" i="1"/>
  <c r="G19423" i="1"/>
  <c r="B19423" i="1"/>
  <c r="G19422" i="1"/>
  <c r="C19422" i="1"/>
  <c r="B19422" i="1"/>
  <c r="G19421" i="1"/>
  <c r="C19421" i="1"/>
  <c r="B19421" i="1"/>
  <c r="G19420" i="1"/>
  <c r="B19420" i="1"/>
  <c r="G19419" i="1"/>
  <c r="C19419" i="1"/>
  <c r="B19419" i="1"/>
  <c r="G19418" i="1"/>
  <c r="C19418" i="1"/>
  <c r="B19418" i="1"/>
  <c r="G19417" i="1"/>
  <c r="C19417" i="1"/>
  <c r="B19417" i="1"/>
  <c r="G19416" i="1"/>
  <c r="C19416" i="1"/>
  <c r="B19416" i="1"/>
  <c r="G19415" i="1"/>
  <c r="C19415" i="1"/>
  <c r="B19415" i="1"/>
  <c r="G19414" i="1"/>
  <c r="C19414" i="1"/>
  <c r="B19414" i="1"/>
  <c r="G19413" i="1"/>
  <c r="C19413" i="1"/>
  <c r="B19413" i="1"/>
  <c r="G19412" i="1"/>
  <c r="C19412" i="1"/>
  <c r="B19412" i="1"/>
  <c r="G19411" i="1"/>
  <c r="C19411" i="1"/>
  <c r="B19411" i="1"/>
  <c r="G19410" i="1"/>
  <c r="C19410" i="1"/>
  <c r="B19410" i="1"/>
  <c r="G19409" i="1"/>
  <c r="C19409" i="1"/>
  <c r="B19409" i="1"/>
  <c r="G19408" i="1"/>
  <c r="C19408" i="1"/>
  <c r="B19408" i="1"/>
  <c r="G19407" i="1"/>
  <c r="C19407" i="1"/>
  <c r="B19407" i="1"/>
  <c r="G19406" i="1"/>
  <c r="C19406" i="1"/>
  <c r="B19406" i="1"/>
  <c r="G19405" i="1"/>
  <c r="B19405" i="1"/>
  <c r="G19404" i="1"/>
  <c r="C19404" i="1"/>
  <c r="B19404" i="1"/>
  <c r="G19403" i="1"/>
  <c r="C19403" i="1"/>
  <c r="B19403" i="1"/>
  <c r="G19402" i="1"/>
  <c r="C19402" i="1"/>
  <c r="B19402" i="1"/>
  <c r="G19401" i="1"/>
  <c r="B19401" i="1"/>
  <c r="G19400" i="1"/>
  <c r="C19400" i="1"/>
  <c r="B19400" i="1"/>
  <c r="G19399" i="1"/>
  <c r="C19399" i="1"/>
  <c r="B19399" i="1"/>
  <c r="G19398" i="1"/>
  <c r="C19398" i="1"/>
  <c r="B19398" i="1"/>
  <c r="G19397" i="1"/>
  <c r="C19397" i="1"/>
  <c r="B19397" i="1"/>
  <c r="G19396" i="1"/>
  <c r="C19396" i="1"/>
  <c r="B19396" i="1"/>
  <c r="G19395" i="1"/>
  <c r="C19395" i="1"/>
  <c r="B19395" i="1"/>
  <c r="G19394" i="1"/>
  <c r="C19394" i="1"/>
  <c r="B19394" i="1"/>
  <c r="G19393" i="1"/>
  <c r="C19393" i="1"/>
  <c r="B19393" i="1"/>
  <c r="G19392" i="1"/>
  <c r="B19392" i="1"/>
  <c r="G19391" i="1"/>
  <c r="B19391" i="1"/>
  <c r="G19390" i="1"/>
  <c r="B19390" i="1"/>
  <c r="G19389" i="1"/>
  <c r="C19389" i="1"/>
  <c r="B19389" i="1"/>
  <c r="G19388" i="1"/>
  <c r="C19388" i="1"/>
  <c r="B19388" i="1"/>
  <c r="G19387" i="1"/>
  <c r="C19387" i="1"/>
  <c r="B19387" i="1"/>
  <c r="G19386" i="1"/>
  <c r="C19386" i="1"/>
  <c r="B19386" i="1"/>
  <c r="G19385" i="1"/>
  <c r="C19385" i="1"/>
  <c r="B19385" i="1"/>
  <c r="G19384" i="1"/>
  <c r="C19384" i="1"/>
  <c r="B19384" i="1"/>
  <c r="G19383" i="1"/>
  <c r="B19383" i="1"/>
  <c r="G19382" i="1"/>
  <c r="C19382" i="1"/>
  <c r="B19382" i="1"/>
  <c r="G19381" i="1"/>
  <c r="C19381" i="1"/>
  <c r="B19381" i="1"/>
  <c r="G19380" i="1"/>
  <c r="B19380" i="1"/>
  <c r="G19379" i="1"/>
  <c r="C19379" i="1"/>
  <c r="B19379" i="1"/>
  <c r="G19378" i="1"/>
  <c r="C19378" i="1"/>
  <c r="B19378" i="1"/>
  <c r="G19377" i="1"/>
  <c r="C19377" i="1"/>
  <c r="B19377" i="1"/>
  <c r="G19376" i="1"/>
  <c r="C19376" i="1"/>
  <c r="B19376" i="1"/>
  <c r="G19375" i="1"/>
  <c r="C19375" i="1"/>
  <c r="B19375" i="1"/>
  <c r="G19374" i="1"/>
  <c r="C19374" i="1"/>
  <c r="B19374" i="1"/>
  <c r="G19373" i="1"/>
  <c r="C19373" i="1"/>
  <c r="B19373" i="1"/>
  <c r="G19372" i="1"/>
  <c r="B19372" i="1"/>
  <c r="G19371" i="1"/>
  <c r="B19371" i="1"/>
  <c r="G19370" i="1"/>
  <c r="B19370" i="1"/>
  <c r="G19369" i="1"/>
  <c r="B19369" i="1"/>
  <c r="G19368" i="1"/>
  <c r="C19368" i="1"/>
  <c r="B19368" i="1"/>
  <c r="G19367" i="1"/>
  <c r="C19367" i="1"/>
  <c r="B19367" i="1"/>
  <c r="G19366" i="1"/>
  <c r="B19366" i="1"/>
  <c r="G19365" i="1"/>
  <c r="C19365" i="1"/>
  <c r="B19365" i="1"/>
  <c r="G19364" i="1"/>
  <c r="C19364" i="1"/>
  <c r="B19364" i="1"/>
  <c r="G19363" i="1"/>
  <c r="C19363" i="1"/>
  <c r="B19363" i="1"/>
  <c r="G19362" i="1"/>
  <c r="C19362" i="1"/>
  <c r="B19362" i="1"/>
  <c r="G19361" i="1"/>
  <c r="C19361" i="1"/>
  <c r="B19361" i="1"/>
  <c r="G19360" i="1"/>
  <c r="C19360" i="1"/>
  <c r="B19360" i="1"/>
  <c r="G19359" i="1"/>
  <c r="B19359" i="1"/>
  <c r="G19358" i="1"/>
  <c r="C19358" i="1"/>
  <c r="B19358" i="1"/>
  <c r="G19357" i="1"/>
  <c r="C19357" i="1"/>
  <c r="B19357" i="1"/>
  <c r="G19356" i="1"/>
  <c r="C19356" i="1"/>
  <c r="B19356" i="1"/>
  <c r="G19355" i="1"/>
  <c r="B19355" i="1"/>
  <c r="G19354" i="1"/>
  <c r="C19354" i="1"/>
  <c r="B19354" i="1"/>
  <c r="G19353" i="1"/>
  <c r="C19353" i="1"/>
  <c r="B19353" i="1"/>
  <c r="G19352" i="1"/>
  <c r="C19352" i="1"/>
  <c r="B19352" i="1"/>
  <c r="G19351" i="1"/>
  <c r="C19351" i="1"/>
  <c r="B19351" i="1"/>
  <c r="G19350" i="1"/>
  <c r="C19350" i="1"/>
  <c r="B19350" i="1"/>
  <c r="G19349" i="1"/>
  <c r="C19349" i="1"/>
  <c r="B19349" i="1"/>
  <c r="G19348" i="1"/>
  <c r="B19348" i="1"/>
  <c r="G19347" i="1"/>
  <c r="C19347" i="1"/>
  <c r="B19347" i="1"/>
  <c r="G19346" i="1"/>
  <c r="B19346" i="1"/>
  <c r="G19345" i="1"/>
  <c r="C19345" i="1"/>
  <c r="B19345" i="1"/>
  <c r="G19344" i="1"/>
  <c r="C19344" i="1"/>
  <c r="B19344" i="1"/>
  <c r="G19343" i="1"/>
  <c r="C19343" i="1"/>
  <c r="B19343" i="1"/>
  <c r="G19342" i="1"/>
  <c r="C19342" i="1"/>
  <c r="B19342" i="1"/>
  <c r="G19341" i="1"/>
  <c r="B19341" i="1"/>
  <c r="G19340" i="1"/>
  <c r="C19340" i="1"/>
  <c r="B19340" i="1"/>
  <c r="G19339" i="1"/>
  <c r="B19339" i="1"/>
  <c r="G19338" i="1"/>
  <c r="C19338" i="1"/>
  <c r="B19338" i="1"/>
  <c r="G19337" i="1"/>
  <c r="B19337" i="1"/>
  <c r="G19336" i="1"/>
  <c r="C19336" i="1"/>
  <c r="B19336" i="1"/>
  <c r="G19335" i="1"/>
  <c r="C19335" i="1"/>
  <c r="B19335" i="1"/>
  <c r="G19334" i="1"/>
  <c r="C19334" i="1"/>
  <c r="B19334" i="1"/>
  <c r="G19333" i="1"/>
  <c r="B19333" i="1"/>
  <c r="G19332" i="1"/>
  <c r="B19332" i="1"/>
  <c r="G19331" i="1"/>
  <c r="C19331" i="1"/>
  <c r="B19331" i="1"/>
  <c r="G19330" i="1"/>
  <c r="B19330" i="1"/>
  <c r="G19329" i="1"/>
  <c r="B19329" i="1"/>
  <c r="G19328" i="1"/>
  <c r="B19328" i="1"/>
  <c r="G19327" i="1"/>
  <c r="C19327" i="1"/>
  <c r="B19327" i="1"/>
  <c r="G19326" i="1"/>
  <c r="C19326" i="1"/>
  <c r="B19326" i="1"/>
  <c r="G19325" i="1"/>
  <c r="B19325" i="1"/>
  <c r="G19324" i="1"/>
  <c r="C19324" i="1"/>
  <c r="B19324" i="1"/>
  <c r="G19323" i="1"/>
  <c r="C19323" i="1"/>
  <c r="B19323" i="1"/>
  <c r="G19322" i="1"/>
  <c r="B19322" i="1"/>
  <c r="G19321" i="1"/>
  <c r="C19321" i="1"/>
  <c r="B19321" i="1"/>
  <c r="G19320" i="1"/>
  <c r="C19320" i="1"/>
  <c r="B19320" i="1"/>
  <c r="G19319" i="1"/>
  <c r="B19319" i="1"/>
  <c r="G19318" i="1"/>
  <c r="C19318" i="1"/>
  <c r="B19318" i="1"/>
  <c r="G19317" i="1"/>
  <c r="B19317" i="1"/>
  <c r="G19316" i="1"/>
  <c r="B19316" i="1"/>
  <c r="G19315" i="1"/>
  <c r="C19315" i="1"/>
  <c r="B19315" i="1"/>
  <c r="G19314" i="1"/>
  <c r="B19314" i="1"/>
  <c r="G19313" i="1"/>
  <c r="C19313" i="1"/>
  <c r="B19313" i="1"/>
  <c r="G19312" i="1"/>
  <c r="C19312" i="1"/>
  <c r="B19312" i="1"/>
  <c r="G19311" i="1"/>
  <c r="B19311" i="1"/>
  <c r="G19310" i="1"/>
  <c r="C19310" i="1"/>
  <c r="B19310" i="1"/>
  <c r="G19309" i="1"/>
  <c r="C19309" i="1"/>
  <c r="B19309" i="1"/>
  <c r="G19308" i="1"/>
  <c r="B19308" i="1"/>
  <c r="G19307" i="1"/>
  <c r="C19307" i="1"/>
  <c r="B19307" i="1"/>
  <c r="G19306" i="1"/>
  <c r="B19306" i="1"/>
  <c r="G19305" i="1"/>
  <c r="B19305" i="1"/>
  <c r="G19304" i="1"/>
  <c r="C19304" i="1"/>
  <c r="B19304" i="1"/>
  <c r="G19303" i="1"/>
  <c r="C19303" i="1"/>
  <c r="B19303" i="1"/>
  <c r="G19302" i="1"/>
  <c r="B19302" i="1"/>
  <c r="G19301" i="1"/>
  <c r="C19301" i="1"/>
  <c r="B19301" i="1"/>
  <c r="G19300" i="1"/>
  <c r="B19300" i="1"/>
  <c r="G19299" i="1"/>
  <c r="B19299" i="1"/>
  <c r="G19298" i="1"/>
  <c r="B19298" i="1"/>
  <c r="G19297" i="1"/>
  <c r="C19297" i="1"/>
  <c r="B19297" i="1"/>
  <c r="G19296" i="1"/>
  <c r="B19296" i="1"/>
  <c r="G19295" i="1"/>
  <c r="C19295" i="1"/>
  <c r="B19295" i="1"/>
  <c r="G19294" i="1"/>
  <c r="C19294" i="1"/>
  <c r="B19294" i="1"/>
  <c r="G19293" i="1"/>
  <c r="C19293" i="1"/>
  <c r="B19293" i="1"/>
  <c r="G19292" i="1"/>
  <c r="C19292" i="1"/>
  <c r="B19292" i="1"/>
  <c r="G19291" i="1"/>
  <c r="C19291" i="1"/>
  <c r="B19291" i="1"/>
  <c r="G19290" i="1"/>
  <c r="C19290" i="1"/>
  <c r="B19290" i="1"/>
  <c r="G19289" i="1"/>
  <c r="B19289" i="1"/>
  <c r="G19288" i="1"/>
  <c r="C19288" i="1"/>
  <c r="B19288" i="1"/>
  <c r="G19287" i="1"/>
  <c r="B19287" i="1"/>
  <c r="G19286" i="1"/>
  <c r="C19286" i="1"/>
  <c r="B19286" i="1"/>
  <c r="G19285" i="1"/>
  <c r="B19285" i="1"/>
  <c r="G19284" i="1"/>
  <c r="B19284" i="1"/>
  <c r="G19283" i="1"/>
  <c r="B19283" i="1"/>
  <c r="G19282" i="1"/>
  <c r="B19282" i="1"/>
  <c r="G19281" i="1"/>
  <c r="B19281" i="1"/>
  <c r="G19280" i="1"/>
  <c r="C19280" i="1"/>
  <c r="B19280" i="1"/>
  <c r="G19279" i="1"/>
  <c r="C19279" i="1"/>
  <c r="B19279" i="1"/>
  <c r="G19278" i="1"/>
  <c r="C19278" i="1"/>
  <c r="B19278" i="1"/>
  <c r="G19277" i="1"/>
  <c r="C19277" i="1"/>
  <c r="B19277" i="1"/>
  <c r="G19276" i="1"/>
  <c r="C19276" i="1"/>
  <c r="B19276" i="1"/>
  <c r="G19275" i="1"/>
  <c r="B19275" i="1"/>
  <c r="G19274" i="1"/>
  <c r="C19274" i="1"/>
  <c r="B19274" i="1"/>
  <c r="G19273" i="1"/>
  <c r="C19273" i="1"/>
  <c r="B19273" i="1"/>
  <c r="G19272" i="1"/>
  <c r="C19272" i="1"/>
  <c r="B19272" i="1"/>
  <c r="G19271" i="1"/>
  <c r="B19271" i="1"/>
  <c r="G19270" i="1"/>
  <c r="C19270" i="1"/>
  <c r="B19270" i="1"/>
  <c r="G19269" i="1"/>
  <c r="C19269" i="1"/>
  <c r="B19269" i="1"/>
  <c r="G19268" i="1"/>
  <c r="B19268" i="1"/>
  <c r="G19267" i="1"/>
  <c r="B19267" i="1"/>
  <c r="G19266" i="1"/>
  <c r="C19266" i="1"/>
  <c r="B19266" i="1"/>
  <c r="G19265" i="1"/>
  <c r="C19265" i="1"/>
  <c r="B19265" i="1"/>
  <c r="G19264" i="1"/>
  <c r="C19264" i="1"/>
  <c r="B19264" i="1"/>
  <c r="G19263" i="1"/>
  <c r="C19263" i="1"/>
  <c r="B19263" i="1"/>
  <c r="G19262" i="1"/>
  <c r="C19262" i="1"/>
  <c r="B19262" i="1"/>
  <c r="G19261" i="1"/>
  <c r="C19261" i="1"/>
  <c r="B19261" i="1"/>
  <c r="G19260" i="1"/>
  <c r="B19260" i="1"/>
  <c r="G19259" i="1"/>
  <c r="C19259" i="1"/>
  <c r="B19259" i="1"/>
  <c r="G19258" i="1"/>
  <c r="B19258" i="1"/>
  <c r="G19257" i="1"/>
  <c r="B19257" i="1"/>
  <c r="G19256" i="1"/>
  <c r="B19256" i="1"/>
  <c r="G19255" i="1"/>
  <c r="C19255" i="1"/>
  <c r="B19255" i="1"/>
  <c r="G19254" i="1"/>
  <c r="C19254" i="1"/>
  <c r="B19254" i="1"/>
  <c r="G19253" i="1"/>
  <c r="B19253" i="1"/>
  <c r="G19252" i="1"/>
  <c r="B19252" i="1"/>
  <c r="G19251" i="1"/>
  <c r="C19251" i="1"/>
  <c r="B19251" i="1"/>
  <c r="G19250" i="1"/>
  <c r="C19250" i="1"/>
  <c r="B19250" i="1"/>
  <c r="G19249" i="1"/>
  <c r="C19249" i="1"/>
  <c r="B19249" i="1"/>
  <c r="G19248" i="1"/>
  <c r="C19248" i="1"/>
  <c r="B19248" i="1"/>
  <c r="G19247" i="1"/>
  <c r="C19247" i="1"/>
  <c r="B19247" i="1"/>
  <c r="G19246" i="1"/>
  <c r="B19246" i="1"/>
  <c r="G19245" i="1"/>
  <c r="B19245" i="1"/>
  <c r="G19244" i="1"/>
  <c r="B19244" i="1"/>
  <c r="G19243" i="1"/>
  <c r="C19243" i="1"/>
  <c r="B19243" i="1"/>
  <c r="G19242" i="1"/>
  <c r="C19242" i="1"/>
  <c r="B19242" i="1"/>
  <c r="G19241" i="1"/>
  <c r="C19241" i="1"/>
  <c r="B19241" i="1"/>
  <c r="G19240" i="1"/>
  <c r="C19240" i="1"/>
  <c r="B19240" i="1"/>
  <c r="G19239" i="1"/>
  <c r="C19239" i="1"/>
  <c r="B19239" i="1"/>
  <c r="G19238" i="1"/>
  <c r="C19238" i="1"/>
  <c r="B19238" i="1"/>
  <c r="G19237" i="1"/>
  <c r="C19237" i="1"/>
  <c r="B19237" i="1"/>
  <c r="G19236" i="1"/>
  <c r="C19236" i="1"/>
  <c r="B19236" i="1"/>
  <c r="G19235" i="1"/>
  <c r="C19235" i="1"/>
  <c r="B19235" i="1"/>
  <c r="G19234" i="1"/>
  <c r="B19234" i="1"/>
  <c r="G19233" i="1"/>
  <c r="C19233" i="1"/>
  <c r="B19233" i="1"/>
  <c r="G19232" i="1"/>
  <c r="C19232" i="1"/>
  <c r="B19232" i="1"/>
  <c r="G19231" i="1"/>
  <c r="C19231" i="1"/>
  <c r="B19231" i="1"/>
  <c r="G19230" i="1"/>
  <c r="C19230" i="1"/>
  <c r="B19230" i="1"/>
  <c r="G19229" i="1"/>
  <c r="C19229" i="1"/>
  <c r="B19229" i="1"/>
  <c r="G19228" i="1"/>
  <c r="C19228" i="1"/>
  <c r="B19228" i="1"/>
  <c r="G19227" i="1"/>
  <c r="C19227" i="1"/>
  <c r="B19227" i="1"/>
  <c r="G19226" i="1"/>
  <c r="C19226" i="1"/>
  <c r="B19226" i="1"/>
  <c r="G19225" i="1"/>
  <c r="C19225" i="1"/>
  <c r="B19225" i="1"/>
  <c r="G19224" i="1"/>
  <c r="C19224" i="1"/>
  <c r="B19224" i="1"/>
  <c r="G19223" i="1"/>
  <c r="C19223" i="1"/>
  <c r="B19223" i="1"/>
  <c r="G19222" i="1"/>
  <c r="C19222" i="1"/>
  <c r="B19222" i="1"/>
  <c r="G19221" i="1"/>
  <c r="C19221" i="1"/>
  <c r="B19221" i="1"/>
  <c r="G19220" i="1"/>
  <c r="C19220" i="1"/>
  <c r="B19220" i="1"/>
  <c r="G19219" i="1"/>
  <c r="C19219" i="1"/>
  <c r="B19219" i="1"/>
  <c r="G19218" i="1"/>
  <c r="B19218" i="1"/>
  <c r="G19217" i="1"/>
  <c r="C19217" i="1"/>
  <c r="B19217" i="1"/>
  <c r="G19216" i="1"/>
  <c r="B19216" i="1"/>
  <c r="G19215" i="1"/>
  <c r="B19215" i="1"/>
  <c r="G19214" i="1"/>
  <c r="C19214" i="1"/>
  <c r="B19214" i="1"/>
  <c r="G19213" i="1"/>
  <c r="C19213" i="1"/>
  <c r="B19213" i="1"/>
  <c r="G19212" i="1"/>
  <c r="B19212" i="1"/>
  <c r="G19211" i="1"/>
  <c r="B19211" i="1"/>
  <c r="G19210" i="1"/>
  <c r="C19210" i="1"/>
  <c r="B19210" i="1"/>
  <c r="G19209" i="1"/>
  <c r="B19209" i="1"/>
  <c r="G19208" i="1"/>
  <c r="C19208" i="1"/>
  <c r="B19208" i="1"/>
  <c r="G19207" i="1"/>
  <c r="C19207" i="1"/>
  <c r="B19207" i="1"/>
  <c r="G19206" i="1"/>
  <c r="B19206" i="1"/>
  <c r="G19205" i="1"/>
  <c r="C19205" i="1"/>
  <c r="B19205" i="1"/>
  <c r="G19204" i="1"/>
  <c r="B19204" i="1"/>
  <c r="G19203" i="1"/>
  <c r="C19203" i="1"/>
  <c r="B19203" i="1"/>
  <c r="G19202" i="1"/>
  <c r="B19202" i="1"/>
  <c r="G19201" i="1"/>
  <c r="C19201" i="1"/>
  <c r="B19201" i="1"/>
  <c r="G19200" i="1"/>
  <c r="C19200" i="1"/>
  <c r="B19200" i="1"/>
  <c r="G19199" i="1"/>
  <c r="C19199" i="1"/>
  <c r="B19199" i="1"/>
  <c r="G19198" i="1"/>
  <c r="B19198" i="1"/>
  <c r="G19197" i="1"/>
  <c r="C19197" i="1"/>
  <c r="B19197" i="1"/>
  <c r="G19196" i="1"/>
  <c r="C19196" i="1"/>
  <c r="B19196" i="1"/>
  <c r="G19195" i="1"/>
  <c r="C19195" i="1"/>
  <c r="B19195" i="1"/>
  <c r="G19194" i="1"/>
  <c r="C19194" i="1"/>
  <c r="B19194" i="1"/>
  <c r="G19193" i="1"/>
  <c r="B19193" i="1"/>
  <c r="G19192" i="1"/>
  <c r="C19192" i="1"/>
  <c r="B19192" i="1"/>
  <c r="G19191" i="1"/>
  <c r="C19191" i="1"/>
  <c r="B19191" i="1"/>
  <c r="G19190" i="1"/>
  <c r="C19190" i="1"/>
  <c r="B19190" i="1"/>
  <c r="G19189" i="1"/>
  <c r="C19189" i="1"/>
  <c r="B19189" i="1"/>
  <c r="G19188" i="1"/>
  <c r="B19188" i="1"/>
  <c r="G19187" i="1"/>
  <c r="B19187" i="1"/>
  <c r="G19186" i="1"/>
  <c r="C19186" i="1"/>
  <c r="B19186" i="1"/>
  <c r="G19185" i="1"/>
  <c r="C19185" i="1"/>
  <c r="B19185" i="1"/>
  <c r="G19184" i="1"/>
  <c r="C19184" i="1"/>
  <c r="B19184" i="1"/>
  <c r="G19183" i="1"/>
  <c r="C19183" i="1"/>
  <c r="B19183" i="1"/>
  <c r="G19182" i="1"/>
  <c r="C19182" i="1"/>
  <c r="B19182" i="1"/>
  <c r="G19181" i="1"/>
  <c r="C19181" i="1"/>
  <c r="B19181" i="1"/>
  <c r="G19180" i="1"/>
  <c r="C19180" i="1"/>
  <c r="B19180" i="1"/>
  <c r="G19179" i="1"/>
  <c r="C19179" i="1"/>
  <c r="B19179" i="1"/>
  <c r="G19178" i="1"/>
  <c r="C19178" i="1"/>
  <c r="B19178" i="1"/>
  <c r="G19177" i="1"/>
  <c r="B19177" i="1"/>
  <c r="G19176" i="1"/>
  <c r="B19176" i="1"/>
  <c r="G19175" i="1"/>
  <c r="C19175" i="1"/>
  <c r="B19175" i="1"/>
  <c r="G19174" i="1"/>
  <c r="C19174" i="1"/>
  <c r="B19174" i="1"/>
  <c r="G19173" i="1"/>
  <c r="C19173" i="1"/>
  <c r="B19173" i="1"/>
  <c r="G19172" i="1"/>
  <c r="B19172" i="1"/>
  <c r="G19171" i="1"/>
  <c r="B19171" i="1"/>
  <c r="G19170" i="1"/>
  <c r="C19170" i="1"/>
  <c r="B19170" i="1"/>
  <c r="G19169" i="1"/>
  <c r="C19169" i="1"/>
  <c r="B19169" i="1"/>
  <c r="G19168" i="1"/>
  <c r="C19168" i="1"/>
  <c r="B19168" i="1"/>
  <c r="G19167" i="1"/>
  <c r="B19167" i="1"/>
  <c r="G19166" i="1"/>
  <c r="B19166" i="1"/>
  <c r="G19165" i="1"/>
  <c r="C19165" i="1"/>
  <c r="B19165" i="1"/>
  <c r="G19164" i="1"/>
  <c r="C19164" i="1"/>
  <c r="B19164" i="1"/>
  <c r="G19163" i="1"/>
  <c r="C19163" i="1"/>
  <c r="B19163" i="1"/>
  <c r="G19162" i="1"/>
  <c r="C19162" i="1"/>
  <c r="B19162" i="1"/>
  <c r="G19161" i="1"/>
  <c r="C19161" i="1"/>
  <c r="B19161" i="1"/>
  <c r="G19160" i="1"/>
  <c r="C19160" i="1"/>
  <c r="B19160" i="1"/>
  <c r="G19159" i="1"/>
  <c r="B19159" i="1"/>
  <c r="G19158" i="1"/>
  <c r="C19158" i="1"/>
  <c r="B19158" i="1"/>
  <c r="G19157" i="1"/>
  <c r="C19157" i="1"/>
  <c r="B19157" i="1"/>
  <c r="G19156" i="1"/>
  <c r="C19156" i="1"/>
  <c r="B19156" i="1"/>
  <c r="G19155" i="1"/>
  <c r="B19155" i="1"/>
  <c r="G19154" i="1"/>
  <c r="C19154" i="1"/>
  <c r="B19154" i="1"/>
  <c r="G19153" i="1"/>
  <c r="B19153" i="1"/>
  <c r="G19152" i="1"/>
  <c r="C19152" i="1"/>
  <c r="B19152" i="1"/>
  <c r="G19151" i="1"/>
  <c r="C19151" i="1"/>
  <c r="B19151" i="1"/>
  <c r="G19150" i="1"/>
  <c r="C19150" i="1"/>
  <c r="B19150" i="1"/>
  <c r="G19149" i="1"/>
  <c r="C19149" i="1"/>
  <c r="B19149" i="1"/>
  <c r="G19148" i="1"/>
  <c r="C19148" i="1"/>
  <c r="B19148" i="1"/>
  <c r="G19147" i="1"/>
  <c r="C19147" i="1"/>
  <c r="B19147" i="1"/>
  <c r="G19146" i="1"/>
  <c r="C19146" i="1"/>
  <c r="B19146" i="1"/>
  <c r="G19145" i="1"/>
  <c r="C19145" i="1"/>
  <c r="B19145" i="1"/>
  <c r="G19144" i="1"/>
  <c r="C19144" i="1"/>
  <c r="B19144" i="1"/>
  <c r="G19143" i="1"/>
  <c r="C19143" i="1"/>
  <c r="B19143" i="1"/>
  <c r="G19142" i="1"/>
  <c r="B19142" i="1"/>
  <c r="G19141" i="1"/>
  <c r="B19141" i="1"/>
  <c r="G19140" i="1"/>
  <c r="C19140" i="1"/>
  <c r="B19140" i="1"/>
  <c r="G19139" i="1"/>
  <c r="B19139" i="1"/>
  <c r="G19138" i="1"/>
  <c r="C19138" i="1"/>
  <c r="B19138" i="1"/>
  <c r="G19137" i="1"/>
  <c r="C19137" i="1"/>
  <c r="B19137" i="1"/>
  <c r="G19136" i="1"/>
  <c r="B19136" i="1"/>
  <c r="G19135" i="1"/>
  <c r="C19135" i="1"/>
  <c r="B19135" i="1"/>
  <c r="G19134" i="1"/>
  <c r="C19134" i="1"/>
  <c r="B19134" i="1"/>
  <c r="G19133" i="1"/>
  <c r="C19133" i="1"/>
  <c r="B19133" i="1"/>
  <c r="G19132" i="1"/>
  <c r="C19132" i="1"/>
  <c r="B19132" i="1"/>
  <c r="G19131" i="1"/>
  <c r="C19131" i="1"/>
  <c r="B19131" i="1"/>
  <c r="G19130" i="1"/>
  <c r="C19130" i="1"/>
  <c r="B19130" i="1"/>
  <c r="G19129" i="1"/>
  <c r="C19129" i="1"/>
  <c r="B19129" i="1"/>
  <c r="G19128" i="1"/>
  <c r="B19128" i="1"/>
  <c r="G19127" i="1"/>
  <c r="C19127" i="1"/>
  <c r="B19127" i="1"/>
  <c r="G19126" i="1"/>
  <c r="C19126" i="1"/>
  <c r="B19126" i="1"/>
  <c r="G19125" i="1"/>
  <c r="C19125" i="1"/>
  <c r="B19125" i="1"/>
  <c r="G19124" i="1"/>
  <c r="C19124" i="1"/>
  <c r="B19124" i="1"/>
  <c r="G19123" i="1"/>
  <c r="C19123" i="1"/>
  <c r="B19123" i="1"/>
  <c r="G19122" i="1"/>
  <c r="C19122" i="1"/>
  <c r="B19122" i="1"/>
  <c r="G19121" i="1"/>
  <c r="C19121" i="1"/>
  <c r="B19121" i="1"/>
  <c r="G19120" i="1"/>
  <c r="C19120" i="1"/>
  <c r="B19120" i="1"/>
  <c r="G19119" i="1"/>
  <c r="C19119" i="1"/>
  <c r="B19119" i="1"/>
  <c r="G19118" i="1"/>
  <c r="C19118" i="1"/>
  <c r="B19118" i="1"/>
  <c r="G19117" i="1"/>
  <c r="C19117" i="1"/>
  <c r="B19117" i="1"/>
  <c r="G19116" i="1"/>
  <c r="C19116" i="1"/>
  <c r="B19116" i="1"/>
  <c r="G19115" i="1"/>
  <c r="B19115" i="1"/>
  <c r="G19114" i="1"/>
  <c r="C19114" i="1"/>
  <c r="B19114" i="1"/>
  <c r="G19113" i="1"/>
  <c r="C19113" i="1"/>
  <c r="B19113" i="1"/>
  <c r="G19112" i="1"/>
  <c r="C19112" i="1"/>
  <c r="B19112" i="1"/>
  <c r="G19111" i="1"/>
  <c r="C19111" i="1"/>
  <c r="B19111" i="1"/>
  <c r="G19110" i="1"/>
  <c r="B19110" i="1"/>
  <c r="G19109" i="1"/>
  <c r="C19109" i="1"/>
  <c r="B19109" i="1"/>
  <c r="G19108" i="1"/>
  <c r="C19108" i="1"/>
  <c r="B19108" i="1"/>
  <c r="G19107" i="1"/>
  <c r="C19107" i="1"/>
  <c r="B19107" i="1"/>
  <c r="G19106" i="1"/>
  <c r="B19106" i="1"/>
  <c r="G19105" i="1"/>
  <c r="C19105" i="1"/>
  <c r="B19105" i="1"/>
  <c r="G19104" i="1"/>
  <c r="B19104" i="1"/>
  <c r="G19103" i="1"/>
  <c r="C19103" i="1"/>
  <c r="B19103" i="1"/>
  <c r="G19102" i="1"/>
  <c r="C19102" i="1"/>
  <c r="B19102" i="1"/>
  <c r="G19101" i="1"/>
  <c r="C19101" i="1"/>
  <c r="B19101" i="1"/>
  <c r="G19100" i="1"/>
  <c r="B19100" i="1"/>
  <c r="G19099" i="1"/>
  <c r="C19099" i="1"/>
  <c r="B19099" i="1"/>
  <c r="G19098" i="1"/>
  <c r="C19098" i="1"/>
  <c r="B19098" i="1"/>
  <c r="G19097" i="1"/>
  <c r="C19097" i="1"/>
  <c r="B19097" i="1"/>
  <c r="G19096" i="1"/>
  <c r="C19096" i="1"/>
  <c r="B19096" i="1"/>
  <c r="G19095" i="1"/>
  <c r="C19095" i="1"/>
  <c r="B19095" i="1"/>
  <c r="G19094" i="1"/>
  <c r="C19094" i="1"/>
  <c r="B19094" i="1"/>
  <c r="G19093" i="1"/>
  <c r="C19093" i="1"/>
  <c r="B19093" i="1"/>
  <c r="G19092" i="1"/>
  <c r="C19092" i="1"/>
  <c r="B19092" i="1"/>
  <c r="G19091" i="1"/>
  <c r="B19091" i="1"/>
  <c r="G19090" i="1"/>
  <c r="B19090" i="1"/>
  <c r="G19089" i="1"/>
  <c r="C19089" i="1"/>
  <c r="B19089" i="1"/>
  <c r="G19088" i="1"/>
  <c r="C19088" i="1"/>
  <c r="B19088" i="1"/>
  <c r="G19087" i="1"/>
  <c r="C19087" i="1"/>
  <c r="B19087" i="1"/>
  <c r="G19086" i="1"/>
  <c r="B19086" i="1"/>
  <c r="G19085" i="1"/>
  <c r="C19085" i="1"/>
  <c r="B19085" i="1"/>
  <c r="G19084" i="1"/>
  <c r="C19084" i="1"/>
  <c r="B19084" i="1"/>
  <c r="G19083" i="1"/>
  <c r="C19083" i="1"/>
  <c r="B19083" i="1"/>
  <c r="G19082" i="1"/>
  <c r="C19082" i="1"/>
  <c r="B19082" i="1"/>
  <c r="G19081" i="1"/>
  <c r="C19081" i="1"/>
  <c r="B19081" i="1"/>
  <c r="G19080" i="1"/>
  <c r="C19080" i="1"/>
  <c r="B19080" i="1"/>
  <c r="G19079" i="1"/>
  <c r="C19079" i="1"/>
  <c r="B19079" i="1"/>
  <c r="G19078" i="1"/>
  <c r="C19078" i="1"/>
  <c r="B19078" i="1"/>
  <c r="G19077" i="1"/>
  <c r="C19077" i="1"/>
  <c r="B19077" i="1"/>
  <c r="G19076" i="1"/>
  <c r="C19076" i="1"/>
  <c r="B19076" i="1"/>
  <c r="G19075" i="1"/>
  <c r="C19075" i="1"/>
  <c r="B19075" i="1"/>
  <c r="G19074" i="1"/>
  <c r="B19074" i="1"/>
  <c r="G19073" i="1"/>
  <c r="B19073" i="1"/>
  <c r="G19072" i="1"/>
  <c r="C19072" i="1"/>
  <c r="B19072" i="1"/>
  <c r="G19071" i="1"/>
  <c r="B19071" i="1"/>
  <c r="G19070" i="1"/>
  <c r="C19070" i="1"/>
  <c r="B19070" i="1"/>
  <c r="G19069" i="1"/>
  <c r="C19069" i="1"/>
  <c r="B19069" i="1"/>
  <c r="G19068" i="1"/>
  <c r="C19068" i="1"/>
  <c r="B19068" i="1"/>
  <c r="G19067" i="1"/>
  <c r="C19067" i="1"/>
  <c r="B19067" i="1"/>
  <c r="G19066" i="1"/>
  <c r="C19066" i="1"/>
  <c r="B19066" i="1"/>
  <c r="G19065" i="1"/>
  <c r="C19065" i="1"/>
  <c r="B19065" i="1"/>
  <c r="G19064" i="1"/>
  <c r="C19064" i="1"/>
  <c r="B19064" i="1"/>
  <c r="G19063" i="1"/>
  <c r="B19063" i="1"/>
  <c r="G19062" i="1"/>
  <c r="C19062" i="1"/>
  <c r="B19062" i="1"/>
  <c r="G19061" i="1"/>
  <c r="C19061" i="1"/>
  <c r="B19061" i="1"/>
  <c r="G19060" i="1"/>
  <c r="C19060" i="1"/>
  <c r="B19060" i="1"/>
  <c r="G19059" i="1"/>
  <c r="C19059" i="1"/>
  <c r="B19059" i="1"/>
  <c r="G19058" i="1"/>
  <c r="C19058" i="1"/>
  <c r="B19058" i="1"/>
  <c r="G19057" i="1"/>
  <c r="C19057" i="1"/>
  <c r="B19057" i="1"/>
  <c r="G19056" i="1"/>
  <c r="C19056" i="1"/>
  <c r="B19056" i="1"/>
  <c r="G19055" i="1"/>
  <c r="C19055" i="1"/>
  <c r="B19055" i="1"/>
  <c r="G19054" i="1"/>
  <c r="C19054" i="1"/>
  <c r="B19054" i="1"/>
  <c r="G19053" i="1"/>
  <c r="C19053" i="1"/>
  <c r="B19053" i="1"/>
  <c r="G19052" i="1"/>
  <c r="C19052" i="1"/>
  <c r="B19052" i="1"/>
  <c r="G19051" i="1"/>
  <c r="B19051" i="1"/>
  <c r="G19050" i="1"/>
  <c r="C19050" i="1"/>
  <c r="B19050" i="1"/>
  <c r="G19049" i="1"/>
  <c r="C19049" i="1"/>
  <c r="B19049" i="1"/>
  <c r="G19048" i="1"/>
  <c r="B19048" i="1"/>
  <c r="G19047" i="1"/>
  <c r="C19047" i="1"/>
  <c r="B19047" i="1"/>
  <c r="G19046" i="1"/>
  <c r="B19046" i="1"/>
  <c r="G19045" i="1"/>
  <c r="C19045" i="1"/>
  <c r="B19045" i="1"/>
  <c r="G19044" i="1"/>
  <c r="C19044" i="1"/>
  <c r="B19044" i="1"/>
  <c r="G19043" i="1"/>
  <c r="B19043" i="1"/>
  <c r="G19042" i="1"/>
  <c r="B19042" i="1"/>
  <c r="G19041" i="1"/>
  <c r="C19041" i="1"/>
  <c r="B19041" i="1"/>
  <c r="G19040" i="1"/>
  <c r="B19040" i="1"/>
  <c r="G19039" i="1"/>
  <c r="B19039" i="1"/>
  <c r="G19038" i="1"/>
  <c r="C19038" i="1"/>
  <c r="B19038" i="1"/>
  <c r="G19037" i="1"/>
  <c r="C19037" i="1"/>
  <c r="B19037" i="1"/>
  <c r="G19036" i="1"/>
  <c r="C19036" i="1"/>
  <c r="B19036" i="1"/>
  <c r="G19035" i="1"/>
  <c r="C19035" i="1"/>
  <c r="B19035" i="1"/>
  <c r="G19034" i="1"/>
  <c r="C19034" i="1"/>
  <c r="B19034" i="1"/>
  <c r="G19033" i="1"/>
  <c r="C19033" i="1"/>
  <c r="B19033" i="1"/>
  <c r="G19032" i="1"/>
  <c r="B19032" i="1"/>
  <c r="G19031" i="1"/>
  <c r="C19031" i="1"/>
  <c r="B19031" i="1"/>
  <c r="G19030" i="1"/>
  <c r="C19030" i="1"/>
  <c r="B19030" i="1"/>
  <c r="G19029" i="1"/>
  <c r="C19029" i="1"/>
  <c r="B19029" i="1"/>
  <c r="G19028" i="1"/>
  <c r="C19028" i="1"/>
  <c r="B19028" i="1"/>
  <c r="G19027" i="1"/>
  <c r="C19027" i="1"/>
  <c r="B19027" i="1"/>
  <c r="G19026" i="1"/>
  <c r="B19026" i="1"/>
  <c r="G19025" i="1"/>
  <c r="B19025" i="1"/>
  <c r="G19024" i="1"/>
  <c r="C19024" i="1"/>
  <c r="B19024" i="1"/>
  <c r="G19023" i="1"/>
  <c r="C19023" i="1"/>
  <c r="B19023" i="1"/>
  <c r="G19022" i="1"/>
  <c r="C19022" i="1"/>
  <c r="B19022" i="1"/>
  <c r="G19021" i="1"/>
  <c r="C19021" i="1"/>
  <c r="B19021" i="1"/>
  <c r="G19020" i="1"/>
  <c r="C19020" i="1"/>
  <c r="B19020" i="1"/>
  <c r="G19019" i="1"/>
  <c r="C19019" i="1"/>
  <c r="B19019" i="1"/>
  <c r="G19018" i="1"/>
  <c r="C19018" i="1"/>
  <c r="B19018" i="1"/>
  <c r="G19017" i="1"/>
  <c r="C19017" i="1"/>
  <c r="B19017" i="1"/>
  <c r="G19016" i="1"/>
  <c r="C19016" i="1"/>
  <c r="B19016" i="1"/>
  <c r="G19015" i="1"/>
  <c r="B19015" i="1"/>
  <c r="G19014" i="1"/>
  <c r="C19014" i="1"/>
  <c r="B19014" i="1"/>
  <c r="G19013" i="1"/>
  <c r="C19013" i="1"/>
  <c r="B19013" i="1"/>
  <c r="G19012" i="1"/>
  <c r="C19012" i="1"/>
  <c r="B19012" i="1"/>
  <c r="G19011" i="1"/>
  <c r="C19011" i="1"/>
  <c r="B19011" i="1"/>
  <c r="G19010" i="1"/>
  <c r="C19010" i="1"/>
  <c r="B19010" i="1"/>
  <c r="G19009" i="1"/>
  <c r="B19009" i="1"/>
  <c r="G19008" i="1"/>
  <c r="C19008" i="1"/>
  <c r="B19008" i="1"/>
  <c r="G19007" i="1"/>
  <c r="C19007" i="1"/>
  <c r="B19007" i="1"/>
  <c r="G19006" i="1"/>
  <c r="B19006" i="1"/>
  <c r="G19005" i="1"/>
  <c r="B19005" i="1"/>
  <c r="G19004" i="1"/>
  <c r="C19004" i="1"/>
  <c r="B19004" i="1"/>
  <c r="G19003" i="1"/>
  <c r="C19003" i="1"/>
  <c r="B19003" i="1"/>
  <c r="G19002" i="1"/>
  <c r="C19002" i="1"/>
  <c r="B19002" i="1"/>
  <c r="G19001" i="1"/>
  <c r="B19001" i="1"/>
  <c r="G19000" i="1"/>
  <c r="C19000" i="1"/>
  <c r="B19000" i="1"/>
  <c r="G18999" i="1"/>
  <c r="C18999" i="1"/>
  <c r="B18999" i="1"/>
  <c r="G18998" i="1"/>
  <c r="C18998" i="1"/>
  <c r="B18998" i="1"/>
  <c r="G18997" i="1"/>
  <c r="C18997" i="1"/>
  <c r="B18997" i="1"/>
  <c r="G18996" i="1"/>
  <c r="C18996" i="1"/>
  <c r="B18996" i="1"/>
  <c r="G18995" i="1"/>
  <c r="C18995" i="1"/>
  <c r="B18995" i="1"/>
  <c r="G18994" i="1"/>
  <c r="B18994" i="1"/>
  <c r="G18993" i="1"/>
  <c r="C18993" i="1"/>
  <c r="B18993" i="1"/>
  <c r="G18992" i="1"/>
  <c r="C18992" i="1"/>
  <c r="B18992" i="1"/>
  <c r="G18991" i="1"/>
  <c r="C18991" i="1"/>
  <c r="B18991" i="1"/>
  <c r="G18990" i="1"/>
  <c r="C18990" i="1"/>
  <c r="B18990" i="1"/>
  <c r="G18989" i="1"/>
  <c r="B18989" i="1"/>
  <c r="G18988" i="1"/>
  <c r="C18988" i="1"/>
  <c r="B18988" i="1"/>
  <c r="G18987" i="1"/>
  <c r="C18987" i="1"/>
  <c r="B18987" i="1"/>
  <c r="G18986" i="1"/>
  <c r="C18986" i="1"/>
  <c r="B18986" i="1"/>
  <c r="G18985" i="1"/>
  <c r="C18985" i="1"/>
  <c r="B18985" i="1"/>
  <c r="G18984" i="1"/>
  <c r="C18984" i="1"/>
  <c r="B18984" i="1"/>
  <c r="G18983" i="1"/>
  <c r="B18983" i="1"/>
  <c r="G18982" i="1"/>
  <c r="C18982" i="1"/>
  <c r="B18982" i="1"/>
  <c r="G18981" i="1"/>
  <c r="C18981" i="1"/>
  <c r="B18981" i="1"/>
  <c r="G18980" i="1"/>
  <c r="C18980" i="1"/>
  <c r="B18980" i="1"/>
  <c r="G18979" i="1"/>
  <c r="C18979" i="1"/>
  <c r="B18979" i="1"/>
  <c r="G18978" i="1"/>
  <c r="C18978" i="1"/>
  <c r="B18978" i="1"/>
  <c r="G18977" i="1"/>
  <c r="B18977" i="1"/>
  <c r="G18976" i="1"/>
  <c r="B18976" i="1"/>
  <c r="G18975" i="1"/>
  <c r="B18975" i="1"/>
  <c r="G18974" i="1"/>
  <c r="C18974" i="1"/>
  <c r="B18974" i="1"/>
  <c r="G18973" i="1"/>
  <c r="B18973" i="1"/>
  <c r="G18972" i="1"/>
  <c r="C18972" i="1"/>
  <c r="B18972" i="1"/>
  <c r="G18971" i="1"/>
  <c r="C18971" i="1"/>
  <c r="B18971" i="1"/>
  <c r="G18970" i="1"/>
  <c r="C18970" i="1"/>
  <c r="B18970" i="1"/>
  <c r="G18969" i="1"/>
  <c r="C18969" i="1"/>
  <c r="B18969" i="1"/>
  <c r="G18968" i="1"/>
  <c r="C18968" i="1"/>
  <c r="B18968" i="1"/>
  <c r="G18967" i="1"/>
  <c r="C18967" i="1"/>
  <c r="B18967" i="1"/>
  <c r="G18966" i="1"/>
  <c r="C18966" i="1"/>
  <c r="B18966" i="1"/>
  <c r="G18965" i="1"/>
  <c r="B18965" i="1"/>
  <c r="G18964" i="1"/>
  <c r="C18964" i="1"/>
  <c r="B18964" i="1"/>
  <c r="G18963" i="1"/>
  <c r="C18963" i="1"/>
  <c r="B18963" i="1"/>
  <c r="G18962" i="1"/>
  <c r="C18962" i="1"/>
  <c r="B18962" i="1"/>
  <c r="G18961" i="1"/>
  <c r="B18961" i="1"/>
  <c r="G18960" i="1"/>
  <c r="C18960" i="1"/>
  <c r="B18960" i="1"/>
  <c r="G18959" i="1"/>
  <c r="B18959" i="1"/>
  <c r="G18958" i="1"/>
  <c r="C18958" i="1"/>
  <c r="B18958" i="1"/>
  <c r="G18957" i="1"/>
  <c r="C18957" i="1"/>
  <c r="B18957" i="1"/>
  <c r="G18956" i="1"/>
  <c r="C18956" i="1"/>
  <c r="B18956" i="1"/>
  <c r="G18955" i="1"/>
  <c r="C18955" i="1"/>
  <c r="B18955" i="1"/>
  <c r="G18954" i="1"/>
  <c r="C18954" i="1"/>
  <c r="B18954" i="1"/>
  <c r="G18953" i="1"/>
  <c r="C18953" i="1"/>
  <c r="B18953" i="1"/>
  <c r="G18952" i="1"/>
  <c r="C18952" i="1"/>
  <c r="B18952" i="1"/>
  <c r="G18951" i="1"/>
  <c r="C18951" i="1"/>
  <c r="B18951" i="1"/>
  <c r="G18950" i="1"/>
  <c r="C18950" i="1"/>
  <c r="B18950" i="1"/>
  <c r="G18949" i="1"/>
  <c r="C18949" i="1"/>
  <c r="B18949" i="1"/>
  <c r="G18948" i="1"/>
  <c r="C18948" i="1"/>
  <c r="B18948" i="1"/>
  <c r="G18947" i="1"/>
  <c r="C18947" i="1"/>
  <c r="B18947" i="1"/>
  <c r="G18946" i="1"/>
  <c r="B18946" i="1"/>
  <c r="G18945" i="1"/>
  <c r="C18945" i="1"/>
  <c r="B18945" i="1"/>
  <c r="G18944" i="1"/>
  <c r="C18944" i="1"/>
  <c r="B18944" i="1"/>
  <c r="G18943" i="1"/>
  <c r="C18943" i="1"/>
  <c r="B18943" i="1"/>
  <c r="G18942" i="1"/>
  <c r="C18942" i="1"/>
  <c r="B18942" i="1"/>
  <c r="G18941" i="1"/>
  <c r="C18941" i="1"/>
  <c r="B18941" i="1"/>
  <c r="G18940" i="1"/>
  <c r="C18940" i="1"/>
  <c r="B18940" i="1"/>
  <c r="G18939" i="1"/>
  <c r="C18939" i="1"/>
  <c r="B18939" i="1"/>
  <c r="G18938" i="1"/>
  <c r="C18938" i="1"/>
  <c r="B18938" i="1"/>
  <c r="G18937" i="1"/>
  <c r="C18937" i="1"/>
  <c r="B18937" i="1"/>
  <c r="G18936" i="1"/>
  <c r="C18936" i="1"/>
  <c r="B18936" i="1"/>
  <c r="G18935" i="1"/>
  <c r="C18935" i="1"/>
  <c r="B18935" i="1"/>
  <c r="G18934" i="1"/>
  <c r="C18934" i="1"/>
  <c r="B18934" i="1"/>
  <c r="G18933" i="1"/>
  <c r="C18933" i="1"/>
  <c r="B18933" i="1"/>
  <c r="G18932" i="1"/>
  <c r="C18932" i="1"/>
  <c r="B18932" i="1"/>
  <c r="G18931" i="1"/>
  <c r="C18931" i="1"/>
  <c r="B18931" i="1"/>
  <c r="G18930" i="1"/>
  <c r="C18930" i="1"/>
  <c r="B18930" i="1"/>
  <c r="G18929" i="1"/>
  <c r="B18929" i="1"/>
  <c r="G18928" i="1"/>
  <c r="C18928" i="1"/>
  <c r="B18928" i="1"/>
  <c r="G18927" i="1"/>
  <c r="C18927" i="1"/>
  <c r="B18927" i="1"/>
  <c r="G18926" i="1"/>
  <c r="C18926" i="1"/>
  <c r="B18926" i="1"/>
  <c r="G18925" i="1"/>
  <c r="C18925" i="1"/>
  <c r="B18925" i="1"/>
  <c r="G18924" i="1"/>
  <c r="B18924" i="1"/>
  <c r="G18923" i="1"/>
  <c r="C18923" i="1"/>
  <c r="B18923" i="1"/>
  <c r="G18922" i="1"/>
  <c r="C18922" i="1"/>
  <c r="B18922" i="1"/>
  <c r="G18921" i="1"/>
  <c r="C18921" i="1"/>
  <c r="B18921" i="1"/>
  <c r="G18920" i="1"/>
  <c r="B18920" i="1"/>
  <c r="G18919" i="1"/>
  <c r="C18919" i="1"/>
  <c r="B18919" i="1"/>
  <c r="G18918" i="1"/>
  <c r="C18918" i="1"/>
  <c r="B18918" i="1"/>
  <c r="G18917" i="1"/>
  <c r="C18917" i="1"/>
  <c r="B18917" i="1"/>
  <c r="G18916" i="1"/>
  <c r="C18916" i="1"/>
  <c r="B18916" i="1"/>
  <c r="G18915" i="1"/>
  <c r="C18915" i="1"/>
  <c r="B18915" i="1"/>
  <c r="G18914" i="1"/>
  <c r="B18914" i="1"/>
  <c r="G18913" i="1"/>
  <c r="C18913" i="1"/>
  <c r="B18913" i="1"/>
  <c r="G18912" i="1"/>
  <c r="C18912" i="1"/>
  <c r="B18912" i="1"/>
  <c r="G18911" i="1"/>
  <c r="C18911" i="1"/>
  <c r="B18911" i="1"/>
  <c r="G18910" i="1"/>
  <c r="B18910" i="1"/>
  <c r="G18909" i="1"/>
  <c r="C18909" i="1"/>
  <c r="B18909" i="1"/>
  <c r="G18908" i="1"/>
  <c r="C18908" i="1"/>
  <c r="B18908" i="1"/>
  <c r="G18907" i="1"/>
  <c r="C18907" i="1"/>
  <c r="B18907" i="1"/>
  <c r="G18906" i="1"/>
  <c r="B18906" i="1"/>
  <c r="G18905" i="1"/>
  <c r="C18905" i="1"/>
  <c r="B18905" i="1"/>
  <c r="G18904" i="1"/>
  <c r="C18904" i="1"/>
  <c r="B18904" i="1"/>
  <c r="G18903" i="1"/>
  <c r="C18903" i="1"/>
  <c r="B18903" i="1"/>
  <c r="G18902" i="1"/>
  <c r="B18902" i="1"/>
  <c r="G18901" i="1"/>
  <c r="B18901" i="1"/>
  <c r="G18900" i="1"/>
  <c r="C18900" i="1"/>
  <c r="B18900" i="1"/>
  <c r="G18899" i="1"/>
  <c r="C18899" i="1"/>
  <c r="B18899" i="1"/>
  <c r="G18898" i="1"/>
  <c r="C18898" i="1"/>
  <c r="B18898" i="1"/>
  <c r="G18897" i="1"/>
  <c r="C18897" i="1"/>
  <c r="B18897" i="1"/>
  <c r="G18896" i="1"/>
  <c r="C18896" i="1"/>
  <c r="B18896" i="1"/>
  <c r="G18895" i="1"/>
  <c r="C18895" i="1"/>
  <c r="B18895" i="1"/>
  <c r="G18894" i="1"/>
  <c r="C18894" i="1"/>
  <c r="B18894" i="1"/>
  <c r="G18893" i="1"/>
  <c r="C18893" i="1"/>
  <c r="B18893" i="1"/>
  <c r="G18892" i="1"/>
  <c r="C18892" i="1"/>
  <c r="B18892" i="1"/>
  <c r="G18891" i="1"/>
  <c r="C18891" i="1"/>
  <c r="B18891" i="1"/>
  <c r="G18890" i="1"/>
  <c r="C18890" i="1"/>
  <c r="B18890" i="1"/>
  <c r="G18889" i="1"/>
  <c r="C18889" i="1"/>
  <c r="B18889" i="1"/>
  <c r="G18888" i="1"/>
  <c r="C18888" i="1"/>
  <c r="B18888" i="1"/>
  <c r="G18887" i="1"/>
  <c r="C18887" i="1"/>
  <c r="B18887" i="1"/>
  <c r="G18886" i="1"/>
  <c r="B18886" i="1"/>
  <c r="G18885" i="1"/>
  <c r="C18885" i="1"/>
  <c r="B18885" i="1"/>
  <c r="G18884" i="1"/>
  <c r="B18884" i="1"/>
  <c r="G18883" i="1"/>
  <c r="C18883" i="1"/>
  <c r="B18883" i="1"/>
  <c r="G18882" i="1"/>
  <c r="C18882" i="1"/>
  <c r="B18882" i="1"/>
  <c r="G18881" i="1"/>
  <c r="B18881" i="1"/>
  <c r="G18880" i="1"/>
  <c r="B18880" i="1"/>
  <c r="G18879" i="1"/>
  <c r="C18879" i="1"/>
  <c r="B18879" i="1"/>
  <c r="G18878" i="1"/>
  <c r="C18878" i="1"/>
  <c r="B18878" i="1"/>
  <c r="G18877" i="1"/>
  <c r="C18877" i="1"/>
  <c r="B18877" i="1"/>
  <c r="G18876" i="1"/>
  <c r="C18876" i="1"/>
  <c r="B18876" i="1"/>
  <c r="G18875" i="1"/>
  <c r="C18875" i="1"/>
  <c r="B18875" i="1"/>
  <c r="G18874" i="1"/>
  <c r="C18874" i="1"/>
  <c r="B18874" i="1"/>
  <c r="G18873" i="1"/>
  <c r="B18873" i="1"/>
  <c r="G18872" i="1"/>
  <c r="C18872" i="1"/>
  <c r="B18872" i="1"/>
  <c r="G18871" i="1"/>
  <c r="B18871" i="1"/>
  <c r="G18870" i="1"/>
  <c r="C18870" i="1"/>
  <c r="B18870" i="1"/>
  <c r="G18869" i="1"/>
  <c r="C18869" i="1"/>
  <c r="B18869" i="1"/>
  <c r="G18868" i="1"/>
  <c r="B18868" i="1"/>
  <c r="G18867" i="1"/>
  <c r="C18867" i="1"/>
  <c r="B18867" i="1"/>
  <c r="G18866" i="1"/>
  <c r="C18866" i="1"/>
  <c r="B18866" i="1"/>
  <c r="G18865" i="1"/>
  <c r="B18865" i="1"/>
  <c r="G18864" i="1"/>
  <c r="B18864" i="1"/>
  <c r="G18863" i="1"/>
  <c r="C18863" i="1"/>
  <c r="B18863" i="1"/>
  <c r="G18862" i="1"/>
  <c r="C18862" i="1"/>
  <c r="B18862" i="1"/>
  <c r="G18861" i="1"/>
  <c r="C18861" i="1"/>
  <c r="B18861" i="1"/>
  <c r="G18860" i="1"/>
  <c r="B18860" i="1"/>
  <c r="G18859" i="1"/>
  <c r="B18859" i="1"/>
  <c r="G18858" i="1"/>
  <c r="C18858" i="1"/>
  <c r="B18858" i="1"/>
  <c r="G18857" i="1"/>
  <c r="B18857" i="1"/>
  <c r="G18856" i="1"/>
  <c r="B18856" i="1"/>
  <c r="G18855" i="1"/>
  <c r="C18855" i="1"/>
  <c r="B18855" i="1"/>
  <c r="G18854" i="1"/>
  <c r="C18854" i="1"/>
  <c r="B18854" i="1"/>
  <c r="G18853" i="1"/>
  <c r="C18853" i="1"/>
  <c r="B18853" i="1"/>
  <c r="G18852" i="1"/>
  <c r="C18852" i="1"/>
  <c r="B18852" i="1"/>
  <c r="G18851" i="1"/>
  <c r="C18851" i="1"/>
  <c r="B18851" i="1"/>
  <c r="G18850" i="1"/>
  <c r="B18850" i="1"/>
  <c r="G18849" i="1"/>
  <c r="C18849" i="1"/>
  <c r="B18849" i="1"/>
  <c r="G18848" i="1"/>
  <c r="C18848" i="1"/>
  <c r="B18848" i="1"/>
  <c r="G18847" i="1"/>
  <c r="C18847" i="1"/>
  <c r="B18847" i="1"/>
  <c r="G18846" i="1"/>
  <c r="C18846" i="1"/>
  <c r="B18846" i="1"/>
  <c r="G18845" i="1"/>
  <c r="B18845" i="1"/>
  <c r="G18844" i="1"/>
  <c r="C18844" i="1"/>
  <c r="B18844" i="1"/>
  <c r="G18843" i="1"/>
  <c r="B18843" i="1"/>
  <c r="G18842" i="1"/>
  <c r="C18842" i="1"/>
  <c r="B18842" i="1"/>
  <c r="G18841" i="1"/>
  <c r="B18841" i="1"/>
  <c r="G18840" i="1"/>
  <c r="B18840" i="1"/>
  <c r="G18839" i="1"/>
  <c r="C18839" i="1"/>
  <c r="B18839" i="1"/>
  <c r="G18838" i="1"/>
  <c r="B18838" i="1"/>
  <c r="G18837" i="1"/>
  <c r="C18837" i="1"/>
  <c r="B18837" i="1"/>
  <c r="G18836" i="1"/>
  <c r="C18836" i="1"/>
  <c r="B18836" i="1"/>
  <c r="G18835" i="1"/>
  <c r="C18835" i="1"/>
  <c r="B18835" i="1"/>
  <c r="G18834" i="1"/>
  <c r="C18834" i="1"/>
  <c r="B18834" i="1"/>
  <c r="G18833" i="1"/>
  <c r="C18833" i="1"/>
  <c r="B18833" i="1"/>
  <c r="G18832" i="1"/>
  <c r="C18832" i="1"/>
  <c r="B18832" i="1"/>
  <c r="G18831" i="1"/>
  <c r="C18831" i="1"/>
  <c r="B18831" i="1"/>
  <c r="G18830" i="1"/>
  <c r="C18830" i="1"/>
  <c r="B18830" i="1"/>
  <c r="G18829" i="1"/>
  <c r="C18829" i="1"/>
  <c r="B18829" i="1"/>
  <c r="G18828" i="1"/>
  <c r="C18828" i="1"/>
  <c r="B18828" i="1"/>
  <c r="G18827" i="1"/>
  <c r="C18827" i="1"/>
  <c r="B18827" i="1"/>
  <c r="G18826" i="1"/>
  <c r="C18826" i="1"/>
  <c r="B18826" i="1"/>
  <c r="G18825" i="1"/>
  <c r="C18825" i="1"/>
  <c r="B18825" i="1"/>
  <c r="G18824" i="1"/>
  <c r="C18824" i="1"/>
  <c r="B18824" i="1"/>
  <c r="G18823" i="1"/>
  <c r="C18823" i="1"/>
  <c r="B18823" i="1"/>
  <c r="G18822" i="1"/>
  <c r="C18822" i="1"/>
  <c r="B18822" i="1"/>
  <c r="G18821" i="1"/>
  <c r="C18821" i="1"/>
  <c r="B18821" i="1"/>
  <c r="G18820" i="1"/>
  <c r="B18820" i="1"/>
  <c r="G18819" i="1"/>
  <c r="C18819" i="1"/>
  <c r="B18819" i="1"/>
  <c r="G18818" i="1"/>
  <c r="C18818" i="1"/>
  <c r="B18818" i="1"/>
  <c r="G18817" i="1"/>
  <c r="C18817" i="1"/>
  <c r="B18817" i="1"/>
  <c r="G18816" i="1"/>
  <c r="C18816" i="1"/>
  <c r="B18816" i="1"/>
  <c r="G18815" i="1"/>
  <c r="B18815" i="1"/>
  <c r="G18814" i="1"/>
  <c r="C18814" i="1"/>
  <c r="B18814" i="1"/>
  <c r="G18813" i="1"/>
  <c r="C18813" i="1"/>
  <c r="B18813" i="1"/>
  <c r="G18812" i="1"/>
  <c r="C18812" i="1"/>
  <c r="B18812" i="1"/>
  <c r="G18811" i="1"/>
  <c r="B18811" i="1"/>
  <c r="G18810" i="1"/>
  <c r="B18810" i="1"/>
  <c r="G18809" i="1"/>
  <c r="C18809" i="1"/>
  <c r="B18809" i="1"/>
  <c r="G18808" i="1"/>
  <c r="B18808" i="1"/>
  <c r="G18807" i="1"/>
  <c r="C18807" i="1"/>
  <c r="B18807" i="1"/>
  <c r="G18806" i="1"/>
  <c r="C18806" i="1"/>
  <c r="B18806" i="1"/>
  <c r="G18805" i="1"/>
  <c r="C18805" i="1"/>
  <c r="B18805" i="1"/>
  <c r="G18804" i="1"/>
  <c r="B18804" i="1"/>
  <c r="G18803" i="1"/>
  <c r="C18803" i="1"/>
  <c r="B18803" i="1"/>
  <c r="G18802" i="1"/>
  <c r="C18802" i="1"/>
  <c r="B18802" i="1"/>
  <c r="G18801" i="1"/>
  <c r="B18801" i="1"/>
  <c r="G18800" i="1"/>
  <c r="C18800" i="1"/>
  <c r="B18800" i="1"/>
  <c r="G18799" i="1"/>
  <c r="C18799" i="1"/>
  <c r="B18799" i="1"/>
  <c r="G18798" i="1"/>
  <c r="C18798" i="1"/>
  <c r="B18798" i="1"/>
  <c r="G18797" i="1"/>
  <c r="C18797" i="1"/>
  <c r="B18797" i="1"/>
  <c r="G18796" i="1"/>
  <c r="C18796" i="1"/>
  <c r="B18796" i="1"/>
  <c r="G18795" i="1"/>
  <c r="B18795" i="1"/>
  <c r="G18794" i="1"/>
  <c r="C18794" i="1"/>
  <c r="B18794" i="1"/>
  <c r="G18793" i="1"/>
  <c r="C18793" i="1"/>
  <c r="B18793" i="1"/>
  <c r="G18792" i="1"/>
  <c r="C18792" i="1"/>
  <c r="B18792" i="1"/>
  <c r="G18791" i="1"/>
  <c r="B18791" i="1"/>
  <c r="G18790" i="1"/>
  <c r="C18790" i="1"/>
  <c r="B18790" i="1"/>
  <c r="G18789" i="1"/>
  <c r="B18789" i="1"/>
  <c r="G18788" i="1"/>
  <c r="C18788" i="1"/>
  <c r="B18788" i="1"/>
  <c r="G18787" i="1"/>
  <c r="B18787" i="1"/>
  <c r="G18786" i="1"/>
  <c r="C18786" i="1"/>
  <c r="B18786" i="1"/>
  <c r="G18785" i="1"/>
  <c r="C18785" i="1"/>
  <c r="B18785" i="1"/>
  <c r="G18784" i="1"/>
  <c r="C18784" i="1"/>
  <c r="B18784" i="1"/>
  <c r="G18783" i="1"/>
  <c r="C18783" i="1"/>
  <c r="B18783" i="1"/>
  <c r="G18782" i="1"/>
  <c r="B18782" i="1"/>
  <c r="G18781" i="1"/>
  <c r="B18781" i="1"/>
  <c r="G18780" i="1"/>
  <c r="B18780" i="1"/>
  <c r="G18779" i="1"/>
  <c r="B18779" i="1"/>
  <c r="G18778" i="1"/>
  <c r="C18778" i="1"/>
  <c r="B18778" i="1"/>
  <c r="G18777" i="1"/>
  <c r="B18777" i="1"/>
  <c r="G18776" i="1"/>
  <c r="C18776" i="1"/>
  <c r="B18776" i="1"/>
  <c r="G18775" i="1"/>
  <c r="C18775" i="1"/>
  <c r="B18775" i="1"/>
  <c r="G18774" i="1"/>
  <c r="C18774" i="1"/>
  <c r="B18774" i="1"/>
  <c r="G18773" i="1"/>
  <c r="B18773" i="1"/>
  <c r="G18772" i="1"/>
  <c r="C18772" i="1"/>
  <c r="B18772" i="1"/>
  <c r="G18771" i="1"/>
  <c r="B18771" i="1"/>
  <c r="G18770" i="1"/>
  <c r="C18770" i="1"/>
  <c r="B18770" i="1"/>
  <c r="G18769" i="1"/>
  <c r="C18769" i="1"/>
  <c r="B18769" i="1"/>
  <c r="G18768" i="1"/>
  <c r="C18768" i="1"/>
  <c r="B18768" i="1"/>
  <c r="G18767" i="1"/>
  <c r="C18767" i="1"/>
  <c r="B18767" i="1"/>
  <c r="G18766" i="1"/>
  <c r="C18766" i="1"/>
  <c r="B18766" i="1"/>
  <c r="G18765" i="1"/>
  <c r="C18765" i="1"/>
  <c r="B18765" i="1"/>
  <c r="G18764" i="1"/>
  <c r="C18764" i="1"/>
  <c r="B18764" i="1"/>
  <c r="G18763" i="1"/>
  <c r="C18763" i="1"/>
  <c r="B18763" i="1"/>
  <c r="G18762" i="1"/>
  <c r="C18762" i="1"/>
  <c r="B18762" i="1"/>
  <c r="G18761" i="1"/>
  <c r="C18761" i="1"/>
  <c r="B18761" i="1"/>
  <c r="G18760" i="1"/>
  <c r="C18760" i="1"/>
  <c r="B18760" i="1"/>
  <c r="G18759" i="1"/>
  <c r="C18759" i="1"/>
  <c r="B18759" i="1"/>
  <c r="G18758" i="1"/>
  <c r="C18758" i="1"/>
  <c r="B18758" i="1"/>
  <c r="G18757" i="1"/>
  <c r="C18757" i="1"/>
  <c r="B18757" i="1"/>
  <c r="G18756" i="1"/>
  <c r="B18756" i="1"/>
  <c r="G18755" i="1"/>
  <c r="B18755" i="1"/>
  <c r="G18754" i="1"/>
  <c r="C18754" i="1"/>
  <c r="B18754" i="1"/>
  <c r="G18753" i="1"/>
  <c r="C18753" i="1"/>
  <c r="B18753" i="1"/>
  <c r="G18752" i="1"/>
  <c r="C18752" i="1"/>
  <c r="B18752" i="1"/>
  <c r="G18751" i="1"/>
  <c r="C18751" i="1"/>
  <c r="B18751" i="1"/>
  <c r="G18750" i="1"/>
  <c r="C18750" i="1"/>
  <c r="B18750" i="1"/>
  <c r="G18749" i="1"/>
  <c r="C18749" i="1"/>
  <c r="B18749" i="1"/>
  <c r="G18748" i="1"/>
  <c r="C18748" i="1"/>
  <c r="B18748" i="1"/>
  <c r="G18747" i="1"/>
  <c r="C18747" i="1"/>
  <c r="B18747" i="1"/>
  <c r="G18746" i="1"/>
  <c r="C18746" i="1"/>
  <c r="B18746" i="1"/>
  <c r="G18745" i="1"/>
  <c r="C18745" i="1"/>
  <c r="B18745" i="1"/>
  <c r="G18744" i="1"/>
  <c r="C18744" i="1"/>
  <c r="B18744" i="1"/>
  <c r="G18743" i="1"/>
  <c r="C18743" i="1"/>
  <c r="B18743" i="1"/>
  <c r="G18742" i="1"/>
  <c r="B18742" i="1"/>
  <c r="G18741" i="1"/>
  <c r="C18741" i="1"/>
  <c r="B18741" i="1"/>
  <c r="G18740" i="1"/>
  <c r="C18740" i="1"/>
  <c r="B18740" i="1"/>
  <c r="G18739" i="1"/>
  <c r="B18739" i="1"/>
  <c r="G18738" i="1"/>
  <c r="C18738" i="1"/>
  <c r="B18738" i="1"/>
  <c r="G18737" i="1"/>
  <c r="C18737" i="1"/>
  <c r="B18737" i="1"/>
  <c r="G18736" i="1"/>
  <c r="C18736" i="1"/>
  <c r="B18736" i="1"/>
  <c r="G18735" i="1"/>
  <c r="C18735" i="1"/>
  <c r="B18735" i="1"/>
  <c r="G18734" i="1"/>
  <c r="B18734" i="1"/>
  <c r="G18733" i="1"/>
  <c r="C18733" i="1"/>
  <c r="B18733" i="1"/>
  <c r="G18732" i="1"/>
  <c r="C18732" i="1"/>
  <c r="B18732" i="1"/>
  <c r="G18731" i="1"/>
  <c r="B18731" i="1"/>
  <c r="G18730" i="1"/>
  <c r="C18730" i="1"/>
  <c r="B18730" i="1"/>
  <c r="G18729" i="1"/>
  <c r="B18729" i="1"/>
  <c r="G18728" i="1"/>
  <c r="C18728" i="1"/>
  <c r="B18728" i="1"/>
  <c r="G18727" i="1"/>
  <c r="C18727" i="1"/>
  <c r="B18727" i="1"/>
  <c r="G18726" i="1"/>
  <c r="C18726" i="1"/>
  <c r="B18726" i="1"/>
  <c r="G18725" i="1"/>
  <c r="B18725" i="1"/>
  <c r="G18724" i="1"/>
  <c r="C18724" i="1"/>
  <c r="B18724" i="1"/>
  <c r="G18723" i="1"/>
  <c r="C18723" i="1"/>
  <c r="B18723" i="1"/>
  <c r="G18722" i="1"/>
  <c r="C18722" i="1"/>
  <c r="B18722" i="1"/>
  <c r="G18721" i="1"/>
  <c r="C18721" i="1"/>
  <c r="B18721" i="1"/>
  <c r="G18720" i="1"/>
  <c r="C18720" i="1"/>
  <c r="B18720" i="1"/>
  <c r="G18719" i="1"/>
  <c r="C18719" i="1"/>
  <c r="B18719" i="1"/>
  <c r="G18718" i="1"/>
  <c r="B18718" i="1"/>
  <c r="G18717" i="1"/>
  <c r="B18717" i="1"/>
  <c r="G18716" i="1"/>
  <c r="C18716" i="1"/>
  <c r="B18716" i="1"/>
  <c r="G18715" i="1"/>
  <c r="B18715" i="1"/>
  <c r="G18714" i="1"/>
  <c r="C18714" i="1"/>
  <c r="B18714" i="1"/>
  <c r="G18713" i="1"/>
  <c r="C18713" i="1"/>
  <c r="B18713" i="1"/>
  <c r="G18712" i="1"/>
  <c r="C18712" i="1"/>
  <c r="B18712" i="1"/>
  <c r="G18711" i="1"/>
  <c r="C18711" i="1"/>
  <c r="B18711" i="1"/>
  <c r="G18710" i="1"/>
  <c r="C18710" i="1"/>
  <c r="B18710" i="1"/>
  <c r="G18709" i="1"/>
  <c r="C18709" i="1"/>
  <c r="B18709" i="1"/>
  <c r="G18708" i="1"/>
  <c r="B18708" i="1"/>
  <c r="G18707" i="1"/>
  <c r="C18707" i="1"/>
  <c r="B18707" i="1"/>
  <c r="G18706" i="1"/>
  <c r="B18706" i="1"/>
  <c r="G18705" i="1"/>
  <c r="C18705" i="1"/>
  <c r="B18705" i="1"/>
  <c r="G18704" i="1"/>
  <c r="C18704" i="1"/>
  <c r="B18704" i="1"/>
  <c r="G18703" i="1"/>
  <c r="C18703" i="1"/>
  <c r="B18703" i="1"/>
  <c r="G18702" i="1"/>
  <c r="C18702" i="1"/>
  <c r="B18702" i="1"/>
  <c r="G18701" i="1"/>
  <c r="C18701" i="1"/>
  <c r="B18701" i="1"/>
  <c r="G18700" i="1"/>
  <c r="C18700" i="1"/>
  <c r="B18700" i="1"/>
  <c r="G18699" i="1"/>
  <c r="C18699" i="1"/>
  <c r="B18699" i="1"/>
  <c r="G18698" i="1"/>
  <c r="B18698" i="1"/>
  <c r="G18697" i="1"/>
  <c r="C18697" i="1"/>
  <c r="B18697" i="1"/>
  <c r="G18696" i="1"/>
  <c r="C18696" i="1"/>
  <c r="B18696" i="1"/>
  <c r="G18695" i="1"/>
  <c r="C18695" i="1"/>
  <c r="B18695" i="1"/>
  <c r="G18694" i="1"/>
  <c r="B18694" i="1"/>
  <c r="G18693" i="1"/>
  <c r="C18693" i="1"/>
  <c r="B18693" i="1"/>
  <c r="G18692" i="1"/>
  <c r="C18692" i="1"/>
  <c r="B18692" i="1"/>
  <c r="G18691" i="1"/>
  <c r="C18691" i="1"/>
  <c r="B18691" i="1"/>
  <c r="G18690" i="1"/>
  <c r="C18690" i="1"/>
  <c r="B18690" i="1"/>
  <c r="G18689" i="1"/>
  <c r="C18689" i="1"/>
  <c r="B18689" i="1"/>
  <c r="G18688" i="1"/>
  <c r="B18688" i="1"/>
  <c r="G18687" i="1"/>
  <c r="C18687" i="1"/>
  <c r="B18687" i="1"/>
  <c r="G18686" i="1"/>
  <c r="C18686" i="1"/>
  <c r="B18686" i="1"/>
  <c r="G18685" i="1"/>
  <c r="B18685" i="1"/>
  <c r="G18684" i="1"/>
  <c r="B18684" i="1"/>
  <c r="G18683" i="1"/>
  <c r="C18683" i="1"/>
  <c r="B18683" i="1"/>
  <c r="G18682" i="1"/>
  <c r="B18682" i="1"/>
  <c r="G18681" i="1"/>
  <c r="C18681" i="1"/>
  <c r="B18681" i="1"/>
  <c r="G18680" i="1"/>
  <c r="C18680" i="1"/>
  <c r="B18680" i="1"/>
  <c r="G18679" i="1"/>
  <c r="C18679" i="1"/>
  <c r="B18679" i="1"/>
  <c r="G18678" i="1"/>
  <c r="C18678" i="1"/>
  <c r="B18678" i="1"/>
  <c r="G18677" i="1"/>
  <c r="C18677" i="1"/>
  <c r="B18677" i="1"/>
  <c r="G18676" i="1"/>
  <c r="C18676" i="1"/>
  <c r="B18676" i="1"/>
  <c r="G18675" i="1"/>
  <c r="C18675" i="1"/>
  <c r="B18675" i="1"/>
  <c r="G18674" i="1"/>
  <c r="B18674" i="1"/>
  <c r="G18673" i="1"/>
  <c r="B18673" i="1"/>
  <c r="G18672" i="1"/>
  <c r="B18672" i="1"/>
  <c r="G18671" i="1"/>
  <c r="C18671" i="1"/>
  <c r="B18671" i="1"/>
  <c r="G18670" i="1"/>
  <c r="C18670" i="1"/>
  <c r="B18670" i="1"/>
  <c r="G18669" i="1"/>
  <c r="C18669" i="1"/>
  <c r="B18669" i="1"/>
  <c r="G18668" i="1"/>
  <c r="B18668" i="1"/>
  <c r="G18667" i="1"/>
  <c r="C18667" i="1"/>
  <c r="B18667" i="1"/>
  <c r="G18666" i="1"/>
  <c r="C18666" i="1"/>
  <c r="B18666" i="1"/>
  <c r="G18665" i="1"/>
  <c r="C18665" i="1"/>
  <c r="B18665" i="1"/>
  <c r="G18664" i="1"/>
  <c r="C18664" i="1"/>
  <c r="B18664" i="1"/>
  <c r="G18663" i="1"/>
  <c r="C18663" i="1"/>
  <c r="B18663" i="1"/>
  <c r="G18662" i="1"/>
  <c r="C18662" i="1"/>
  <c r="B18662" i="1"/>
  <c r="G18661" i="1"/>
  <c r="C18661" i="1"/>
  <c r="B18661" i="1"/>
  <c r="G18660" i="1"/>
  <c r="B18660" i="1"/>
  <c r="G18659" i="1"/>
  <c r="C18659" i="1"/>
  <c r="B18659" i="1"/>
  <c r="G18658" i="1"/>
  <c r="C18658" i="1"/>
  <c r="B18658" i="1"/>
  <c r="G18657" i="1"/>
  <c r="C18657" i="1"/>
  <c r="B18657" i="1"/>
  <c r="G18656" i="1"/>
  <c r="B18656" i="1"/>
  <c r="G18655" i="1"/>
  <c r="C18655" i="1"/>
  <c r="B18655" i="1"/>
  <c r="G18654" i="1"/>
  <c r="B18654" i="1"/>
  <c r="G18653" i="1"/>
  <c r="C18653" i="1"/>
  <c r="B18653" i="1"/>
  <c r="G18652" i="1"/>
  <c r="B18652" i="1"/>
  <c r="G18651" i="1"/>
  <c r="C18651" i="1"/>
  <c r="B18651" i="1"/>
  <c r="G18650" i="1"/>
  <c r="B18650" i="1"/>
  <c r="G18649" i="1"/>
  <c r="B18649" i="1"/>
  <c r="G18648" i="1"/>
  <c r="C18648" i="1"/>
  <c r="B18648" i="1"/>
  <c r="G18647" i="1"/>
  <c r="B18647" i="1"/>
  <c r="G18646" i="1"/>
  <c r="C18646" i="1"/>
  <c r="B18646" i="1"/>
  <c r="G18645" i="1"/>
  <c r="C18645" i="1"/>
  <c r="B18645" i="1"/>
  <c r="G18644" i="1"/>
  <c r="C18644" i="1"/>
  <c r="B18644" i="1"/>
  <c r="G18643" i="1"/>
  <c r="C18643" i="1"/>
  <c r="B18643" i="1"/>
  <c r="G18642" i="1"/>
  <c r="C18642" i="1"/>
  <c r="B18642" i="1"/>
  <c r="G18641" i="1"/>
  <c r="C18641" i="1"/>
  <c r="B18641" i="1"/>
  <c r="G18640" i="1"/>
  <c r="B18640" i="1"/>
  <c r="G18639" i="1"/>
  <c r="B18639" i="1"/>
  <c r="G18638" i="1"/>
  <c r="C18638" i="1"/>
  <c r="B18638" i="1"/>
  <c r="G18637" i="1"/>
  <c r="C18637" i="1"/>
  <c r="B18637" i="1"/>
  <c r="G18636" i="1"/>
  <c r="C18636" i="1"/>
  <c r="B18636" i="1"/>
  <c r="G18635" i="1"/>
  <c r="C18635" i="1"/>
  <c r="B18635" i="1"/>
  <c r="G18634" i="1"/>
  <c r="B18634" i="1"/>
  <c r="G18633" i="1"/>
  <c r="C18633" i="1"/>
  <c r="B18633" i="1"/>
  <c r="G18632" i="1"/>
  <c r="B18632" i="1"/>
  <c r="G18631" i="1"/>
  <c r="C18631" i="1"/>
  <c r="B18631" i="1"/>
  <c r="G18630" i="1"/>
  <c r="C18630" i="1"/>
  <c r="B18630" i="1"/>
  <c r="G18629" i="1"/>
  <c r="C18629" i="1"/>
  <c r="B18629" i="1"/>
  <c r="G18628" i="1"/>
  <c r="C18628" i="1"/>
  <c r="B18628" i="1"/>
  <c r="G18627" i="1"/>
  <c r="C18627" i="1"/>
  <c r="B18627" i="1"/>
  <c r="G18626" i="1"/>
  <c r="C18626" i="1"/>
  <c r="B18626" i="1"/>
  <c r="G18625" i="1"/>
  <c r="B18625" i="1"/>
  <c r="G18624" i="1"/>
  <c r="C18624" i="1"/>
  <c r="B18624" i="1"/>
  <c r="G18623" i="1"/>
  <c r="C18623" i="1"/>
  <c r="B18623" i="1"/>
  <c r="G18622" i="1"/>
  <c r="C18622" i="1"/>
  <c r="B18622" i="1"/>
  <c r="G18621" i="1"/>
  <c r="C18621" i="1"/>
  <c r="B18621" i="1"/>
  <c r="G18620" i="1"/>
  <c r="C18620" i="1"/>
  <c r="B18620" i="1"/>
  <c r="G18619" i="1"/>
  <c r="B18619" i="1"/>
  <c r="G18618" i="1"/>
  <c r="C18618" i="1"/>
  <c r="B18618" i="1"/>
  <c r="G18617" i="1"/>
  <c r="B18617" i="1"/>
  <c r="G18616" i="1"/>
  <c r="C18616" i="1"/>
  <c r="B18616" i="1"/>
  <c r="G18615" i="1"/>
  <c r="B18615" i="1"/>
  <c r="G18614" i="1"/>
  <c r="C18614" i="1"/>
  <c r="B18614" i="1"/>
  <c r="G18613" i="1"/>
  <c r="C18613" i="1"/>
  <c r="B18613" i="1"/>
  <c r="G18612" i="1"/>
  <c r="C18612" i="1"/>
  <c r="B18612" i="1"/>
  <c r="G18611" i="1"/>
  <c r="C18611" i="1"/>
  <c r="B18611" i="1"/>
  <c r="G18610" i="1"/>
  <c r="B18610" i="1"/>
  <c r="G18609" i="1"/>
  <c r="C18609" i="1"/>
  <c r="B18609" i="1"/>
  <c r="G18608" i="1"/>
  <c r="C18608" i="1"/>
  <c r="B18608" i="1"/>
  <c r="G18607" i="1"/>
  <c r="C18607" i="1"/>
  <c r="B18607" i="1"/>
  <c r="G18606" i="1"/>
  <c r="C18606" i="1"/>
  <c r="B18606" i="1"/>
  <c r="G18605" i="1"/>
  <c r="C18605" i="1"/>
  <c r="B18605" i="1"/>
  <c r="G18604" i="1"/>
  <c r="C18604" i="1"/>
  <c r="B18604" i="1"/>
  <c r="G18603" i="1"/>
  <c r="C18603" i="1"/>
  <c r="B18603" i="1"/>
  <c r="G18602" i="1"/>
  <c r="C18602" i="1"/>
  <c r="B18602" i="1"/>
  <c r="G18601" i="1"/>
  <c r="C18601" i="1"/>
  <c r="B18601" i="1"/>
  <c r="G18600" i="1"/>
  <c r="C18600" i="1"/>
  <c r="B18600" i="1"/>
  <c r="G18599" i="1"/>
  <c r="C18599" i="1"/>
  <c r="B18599" i="1"/>
  <c r="G18598" i="1"/>
  <c r="B18598" i="1"/>
  <c r="G18597" i="1"/>
  <c r="C18597" i="1"/>
  <c r="B18597" i="1"/>
  <c r="G18596" i="1"/>
  <c r="C18596" i="1"/>
  <c r="B18596" i="1"/>
  <c r="G18595" i="1"/>
  <c r="C18595" i="1"/>
  <c r="B18595" i="1"/>
  <c r="G18594" i="1"/>
  <c r="B18594" i="1"/>
  <c r="G18593" i="1"/>
  <c r="C18593" i="1"/>
  <c r="B18593" i="1"/>
  <c r="G18592" i="1"/>
  <c r="C18592" i="1"/>
  <c r="B18592" i="1"/>
  <c r="G18591" i="1"/>
  <c r="B18591" i="1"/>
  <c r="G18590" i="1"/>
  <c r="C18590" i="1"/>
  <c r="B18590" i="1"/>
  <c r="G18589" i="1"/>
  <c r="C18589" i="1"/>
  <c r="B18589" i="1"/>
  <c r="G18588" i="1"/>
  <c r="B18588" i="1"/>
  <c r="G18587" i="1"/>
  <c r="C18587" i="1"/>
  <c r="B18587" i="1"/>
  <c r="G18586" i="1"/>
  <c r="C18586" i="1"/>
  <c r="B18586" i="1"/>
  <c r="G18585" i="1"/>
  <c r="C18585" i="1"/>
  <c r="B18585" i="1"/>
  <c r="G18584" i="1"/>
  <c r="C18584" i="1"/>
  <c r="B18584" i="1"/>
  <c r="G18583" i="1"/>
  <c r="C18583" i="1"/>
  <c r="B18583" i="1"/>
  <c r="G18582" i="1"/>
  <c r="B18582" i="1"/>
  <c r="G18581" i="1"/>
  <c r="C18581" i="1"/>
  <c r="B18581" i="1"/>
  <c r="G18580" i="1"/>
  <c r="C18580" i="1"/>
  <c r="B18580" i="1"/>
  <c r="G18579" i="1"/>
  <c r="C18579" i="1"/>
  <c r="B18579" i="1"/>
  <c r="G18578" i="1"/>
  <c r="C18578" i="1"/>
  <c r="B18578" i="1"/>
  <c r="G18577" i="1"/>
  <c r="C18577" i="1"/>
  <c r="B18577" i="1"/>
  <c r="G18576" i="1"/>
  <c r="C18576" i="1"/>
  <c r="B18576" i="1"/>
  <c r="G18575" i="1"/>
  <c r="C18575" i="1"/>
  <c r="B18575" i="1"/>
  <c r="G18574" i="1"/>
  <c r="C18574" i="1"/>
  <c r="B18574" i="1"/>
  <c r="G18573" i="1"/>
  <c r="C18573" i="1"/>
  <c r="B18573" i="1"/>
  <c r="G18572" i="1"/>
  <c r="C18572" i="1"/>
  <c r="B18572" i="1"/>
  <c r="G18571" i="1"/>
  <c r="C18571" i="1"/>
  <c r="B18571" i="1"/>
  <c r="G18570" i="1"/>
  <c r="C18570" i="1"/>
  <c r="B18570" i="1"/>
  <c r="G18569" i="1"/>
  <c r="C18569" i="1"/>
  <c r="B18569" i="1"/>
  <c r="G18568" i="1"/>
  <c r="C18568" i="1"/>
  <c r="B18568" i="1"/>
  <c r="G18567" i="1"/>
  <c r="C18567" i="1"/>
  <c r="B18567" i="1"/>
  <c r="G18566" i="1"/>
  <c r="C18566" i="1"/>
  <c r="B18566" i="1"/>
  <c r="G18565" i="1"/>
  <c r="C18565" i="1"/>
  <c r="B18565" i="1"/>
  <c r="G18564" i="1"/>
  <c r="C18564" i="1"/>
  <c r="B18564" i="1"/>
  <c r="G18563" i="1"/>
  <c r="B18563" i="1"/>
  <c r="G18562" i="1"/>
  <c r="C18562" i="1"/>
  <c r="B18562" i="1"/>
  <c r="G18561" i="1"/>
  <c r="C18561" i="1"/>
  <c r="B18561" i="1"/>
  <c r="G18560" i="1"/>
  <c r="C18560" i="1"/>
  <c r="B18560" i="1"/>
  <c r="G18559" i="1"/>
  <c r="C18559" i="1"/>
  <c r="B18559" i="1"/>
  <c r="G18558" i="1"/>
  <c r="C18558" i="1"/>
  <c r="B18558" i="1"/>
  <c r="G18557" i="1"/>
  <c r="B18557" i="1"/>
  <c r="G18556" i="1"/>
  <c r="C18556" i="1"/>
  <c r="B18556" i="1"/>
  <c r="G18555" i="1"/>
  <c r="C18555" i="1"/>
  <c r="B18555" i="1"/>
  <c r="G18554" i="1"/>
  <c r="C18554" i="1"/>
  <c r="B18554" i="1"/>
  <c r="G18553" i="1"/>
  <c r="C18553" i="1"/>
  <c r="B18553" i="1"/>
  <c r="G18552" i="1"/>
  <c r="B18552" i="1"/>
  <c r="G18551" i="1"/>
  <c r="C18551" i="1"/>
  <c r="B18551" i="1"/>
  <c r="G18550" i="1"/>
  <c r="C18550" i="1"/>
  <c r="B18550" i="1"/>
  <c r="G18549" i="1"/>
  <c r="B18549" i="1"/>
  <c r="G18548" i="1"/>
  <c r="C18548" i="1"/>
  <c r="B18548" i="1"/>
  <c r="G18547" i="1"/>
  <c r="C18547" i="1"/>
  <c r="B18547" i="1"/>
  <c r="G18546" i="1"/>
  <c r="C18546" i="1"/>
  <c r="B18546" i="1"/>
  <c r="G18545" i="1"/>
  <c r="C18545" i="1"/>
  <c r="B18545" i="1"/>
  <c r="G18544" i="1"/>
  <c r="B18544" i="1"/>
  <c r="G18543" i="1"/>
  <c r="C18543" i="1"/>
  <c r="B18543" i="1"/>
  <c r="G18542" i="1"/>
  <c r="C18542" i="1"/>
  <c r="B18542" i="1"/>
  <c r="G18541" i="1"/>
  <c r="C18541" i="1"/>
  <c r="B18541" i="1"/>
  <c r="G18540" i="1"/>
  <c r="B18540" i="1"/>
  <c r="G18539" i="1"/>
  <c r="C18539" i="1"/>
  <c r="B18539" i="1"/>
  <c r="G18538" i="1"/>
  <c r="C18538" i="1"/>
  <c r="B18538" i="1"/>
  <c r="G18537" i="1"/>
  <c r="C18537" i="1"/>
  <c r="B18537" i="1"/>
  <c r="G18536" i="1"/>
  <c r="C18536" i="1"/>
  <c r="B18536" i="1"/>
  <c r="G18535" i="1"/>
  <c r="C18535" i="1"/>
  <c r="B18535" i="1"/>
  <c r="G18534" i="1"/>
  <c r="C18534" i="1"/>
  <c r="B18534" i="1"/>
  <c r="G18533" i="1"/>
  <c r="C18533" i="1"/>
  <c r="B18533" i="1"/>
  <c r="G18532" i="1"/>
  <c r="C18532" i="1"/>
  <c r="B18532" i="1"/>
  <c r="G18531" i="1"/>
  <c r="C18531" i="1"/>
  <c r="B18531" i="1"/>
  <c r="G18530" i="1"/>
  <c r="B18530" i="1"/>
  <c r="G18529" i="1"/>
  <c r="C18529" i="1"/>
  <c r="B18529" i="1"/>
  <c r="G18528" i="1"/>
  <c r="C18528" i="1"/>
  <c r="B18528" i="1"/>
  <c r="G18527" i="1"/>
  <c r="C18527" i="1"/>
  <c r="B18527" i="1"/>
  <c r="G18526" i="1"/>
  <c r="C18526" i="1"/>
  <c r="B18526" i="1"/>
  <c r="G18525" i="1"/>
  <c r="B18525" i="1"/>
  <c r="G18524" i="1"/>
  <c r="C18524" i="1"/>
  <c r="B18524" i="1"/>
  <c r="G18523" i="1"/>
  <c r="C18523" i="1"/>
  <c r="B18523" i="1"/>
  <c r="G18522" i="1"/>
  <c r="C18522" i="1"/>
  <c r="B18522" i="1"/>
  <c r="G18521" i="1"/>
  <c r="C18521" i="1"/>
  <c r="B18521" i="1"/>
  <c r="G18520" i="1"/>
  <c r="B18520" i="1"/>
  <c r="G18519" i="1"/>
  <c r="B18519" i="1"/>
  <c r="G18518" i="1"/>
  <c r="C18518" i="1"/>
  <c r="B18518" i="1"/>
  <c r="G18517" i="1"/>
  <c r="C18517" i="1"/>
  <c r="B18517" i="1"/>
  <c r="G18516" i="1"/>
  <c r="B18516" i="1"/>
  <c r="G18515" i="1"/>
  <c r="C18515" i="1"/>
  <c r="B18515" i="1"/>
  <c r="G18514" i="1"/>
  <c r="C18514" i="1"/>
  <c r="B18514" i="1"/>
  <c r="G18513" i="1"/>
  <c r="C18513" i="1"/>
  <c r="B18513" i="1"/>
  <c r="G18512" i="1"/>
  <c r="C18512" i="1"/>
  <c r="B18512" i="1"/>
  <c r="G18511" i="1"/>
  <c r="C18511" i="1"/>
  <c r="B18511" i="1"/>
  <c r="G18510" i="1"/>
  <c r="C18510" i="1"/>
  <c r="B18510" i="1"/>
  <c r="G18509" i="1"/>
  <c r="C18509" i="1"/>
  <c r="B18509" i="1"/>
  <c r="G18508" i="1"/>
  <c r="B18508" i="1"/>
  <c r="G18507" i="1"/>
  <c r="C18507" i="1"/>
  <c r="B18507" i="1"/>
  <c r="G18506" i="1"/>
  <c r="C18506" i="1"/>
  <c r="B18506" i="1"/>
  <c r="G18505" i="1"/>
  <c r="B18505" i="1"/>
  <c r="G18504" i="1"/>
  <c r="C18504" i="1"/>
  <c r="B18504" i="1"/>
  <c r="G18503" i="1"/>
  <c r="C18503" i="1"/>
  <c r="B18503" i="1"/>
  <c r="G18502" i="1"/>
  <c r="C18502" i="1"/>
  <c r="B18502" i="1"/>
  <c r="G18501" i="1"/>
  <c r="C18501" i="1"/>
  <c r="B18501" i="1"/>
  <c r="G18500" i="1"/>
  <c r="B18500" i="1"/>
  <c r="G18499" i="1"/>
  <c r="C18499" i="1"/>
  <c r="B18499" i="1"/>
  <c r="G18498" i="1"/>
  <c r="C18498" i="1"/>
  <c r="B18498" i="1"/>
  <c r="G18497" i="1"/>
  <c r="C18497" i="1"/>
  <c r="B18497" i="1"/>
  <c r="G18496" i="1"/>
  <c r="B18496" i="1"/>
  <c r="G18495" i="1"/>
  <c r="C18495" i="1"/>
  <c r="B18495" i="1"/>
  <c r="G18494" i="1"/>
  <c r="B18494" i="1"/>
  <c r="G18493" i="1"/>
  <c r="B18493" i="1"/>
  <c r="G18492" i="1"/>
  <c r="B18492" i="1"/>
  <c r="G18491" i="1"/>
  <c r="B18491" i="1"/>
  <c r="G18490" i="1"/>
  <c r="C18490" i="1"/>
  <c r="B18490" i="1"/>
  <c r="G18489" i="1"/>
  <c r="C18489" i="1"/>
  <c r="B18489" i="1"/>
  <c r="G18488" i="1"/>
  <c r="C18488" i="1"/>
  <c r="B18488" i="1"/>
  <c r="G18487" i="1"/>
  <c r="C18487" i="1"/>
  <c r="B18487" i="1"/>
  <c r="G18486" i="1"/>
  <c r="C18486" i="1"/>
  <c r="B18486" i="1"/>
  <c r="G18485" i="1"/>
  <c r="B18485" i="1"/>
  <c r="G18484" i="1"/>
  <c r="C18484" i="1"/>
  <c r="B18484" i="1"/>
  <c r="G18483" i="1"/>
  <c r="C18483" i="1"/>
  <c r="B18483" i="1"/>
  <c r="G18482" i="1"/>
  <c r="C18482" i="1"/>
  <c r="B18482" i="1"/>
  <c r="G18481" i="1"/>
  <c r="C18481" i="1"/>
  <c r="B18481" i="1"/>
  <c r="G18480" i="1"/>
  <c r="C18480" i="1"/>
  <c r="B18480" i="1"/>
  <c r="G18479" i="1"/>
  <c r="C18479" i="1"/>
  <c r="B18479" i="1"/>
  <c r="G18478" i="1"/>
  <c r="C18478" i="1"/>
  <c r="B18478" i="1"/>
  <c r="G18477" i="1"/>
  <c r="B18477" i="1"/>
  <c r="G18476" i="1"/>
  <c r="B18476" i="1"/>
  <c r="G18475" i="1"/>
  <c r="B18475" i="1"/>
  <c r="G18474" i="1"/>
  <c r="C18474" i="1"/>
  <c r="B18474" i="1"/>
  <c r="G18473" i="1"/>
  <c r="B18473" i="1"/>
  <c r="G18472" i="1"/>
  <c r="C18472" i="1"/>
  <c r="B18472" i="1"/>
  <c r="G18471" i="1"/>
  <c r="B18471" i="1"/>
  <c r="G18470" i="1"/>
  <c r="C18470" i="1"/>
  <c r="B18470" i="1"/>
  <c r="G18469" i="1"/>
  <c r="C18469" i="1"/>
  <c r="B18469" i="1"/>
  <c r="G18468" i="1"/>
  <c r="B18468" i="1"/>
  <c r="G18467" i="1"/>
  <c r="B18467" i="1"/>
  <c r="G18466" i="1"/>
  <c r="B18466" i="1"/>
  <c r="G18465" i="1"/>
  <c r="C18465" i="1"/>
  <c r="B18465" i="1"/>
  <c r="G18464" i="1"/>
  <c r="C18464" i="1"/>
  <c r="B18464" i="1"/>
  <c r="G18463" i="1"/>
  <c r="C18463" i="1"/>
  <c r="B18463" i="1"/>
  <c r="G18462" i="1"/>
  <c r="C18462" i="1"/>
  <c r="B18462" i="1"/>
  <c r="G18461" i="1"/>
  <c r="B18461" i="1"/>
  <c r="G18460" i="1"/>
  <c r="C18460" i="1"/>
  <c r="B18460" i="1"/>
  <c r="G18459" i="1"/>
  <c r="C18459" i="1"/>
  <c r="B18459" i="1"/>
  <c r="G18458" i="1"/>
  <c r="C18458" i="1"/>
  <c r="B18458" i="1"/>
  <c r="G18457" i="1"/>
  <c r="C18457" i="1"/>
  <c r="B18457" i="1"/>
  <c r="G18456" i="1"/>
  <c r="B18456" i="1"/>
  <c r="G18455" i="1"/>
  <c r="B18455" i="1"/>
  <c r="G18454" i="1"/>
  <c r="C18454" i="1"/>
  <c r="B18454" i="1"/>
  <c r="G18453" i="1"/>
  <c r="C18453" i="1"/>
  <c r="B18453" i="1"/>
  <c r="G18452" i="1"/>
  <c r="B18452" i="1"/>
  <c r="G18451" i="1"/>
  <c r="B18451" i="1"/>
  <c r="G18450" i="1"/>
  <c r="C18450" i="1"/>
  <c r="B18450" i="1"/>
  <c r="G18449" i="1"/>
  <c r="C18449" i="1"/>
  <c r="B18449" i="1"/>
  <c r="G18448" i="1"/>
  <c r="B18448" i="1"/>
  <c r="G18447" i="1"/>
  <c r="C18447" i="1"/>
  <c r="B18447" i="1"/>
  <c r="G18446" i="1"/>
  <c r="C18446" i="1"/>
  <c r="B18446" i="1"/>
  <c r="G18445" i="1"/>
  <c r="B18445" i="1"/>
  <c r="G18444" i="1"/>
  <c r="B18444" i="1"/>
  <c r="G18443" i="1"/>
  <c r="B18443" i="1"/>
  <c r="G18442" i="1"/>
  <c r="C18442" i="1"/>
  <c r="B18442" i="1"/>
  <c r="G18441" i="1"/>
  <c r="C18441" i="1"/>
  <c r="B18441" i="1"/>
  <c r="G18440" i="1"/>
  <c r="C18440" i="1"/>
  <c r="B18440" i="1"/>
  <c r="G18439" i="1"/>
  <c r="C18439" i="1"/>
  <c r="B18439" i="1"/>
  <c r="G18438" i="1"/>
  <c r="B18438" i="1"/>
  <c r="G18437" i="1"/>
  <c r="C18437" i="1"/>
  <c r="B18437" i="1"/>
  <c r="G18436" i="1"/>
  <c r="C18436" i="1"/>
  <c r="B18436" i="1"/>
  <c r="G18435" i="1"/>
  <c r="C18435" i="1"/>
  <c r="B18435" i="1"/>
  <c r="G18434" i="1"/>
  <c r="C18434" i="1"/>
  <c r="B18434" i="1"/>
  <c r="G18433" i="1"/>
  <c r="C18433" i="1"/>
  <c r="B18433" i="1"/>
  <c r="G18432" i="1"/>
  <c r="C18432" i="1"/>
  <c r="B18432" i="1"/>
  <c r="G18431" i="1"/>
  <c r="C18431" i="1"/>
  <c r="B18431" i="1"/>
  <c r="G18430" i="1"/>
  <c r="C18430" i="1"/>
  <c r="B18430" i="1"/>
  <c r="G18429" i="1"/>
  <c r="B18429" i="1"/>
  <c r="G18428" i="1"/>
  <c r="C18428" i="1"/>
  <c r="B18428" i="1"/>
  <c r="G18427" i="1"/>
  <c r="C18427" i="1"/>
  <c r="B18427" i="1"/>
  <c r="G18426" i="1"/>
  <c r="C18426" i="1"/>
  <c r="B18426" i="1"/>
  <c r="G18425" i="1"/>
  <c r="C18425" i="1"/>
  <c r="B18425" i="1"/>
  <c r="G18424" i="1"/>
  <c r="C18424" i="1"/>
  <c r="B18424" i="1"/>
  <c r="G18423" i="1"/>
  <c r="C18423" i="1"/>
  <c r="B18423" i="1"/>
  <c r="G18422" i="1"/>
  <c r="C18422" i="1"/>
  <c r="B18422" i="1"/>
  <c r="G18421" i="1"/>
  <c r="C18421" i="1"/>
  <c r="B18421" i="1"/>
  <c r="G18420" i="1"/>
  <c r="C18420" i="1"/>
  <c r="B18420" i="1"/>
  <c r="G18419" i="1"/>
  <c r="C18419" i="1"/>
  <c r="B18419" i="1"/>
  <c r="G18418" i="1"/>
  <c r="B18418" i="1"/>
  <c r="G18417" i="1"/>
  <c r="C18417" i="1"/>
  <c r="B18417" i="1"/>
  <c r="G18416" i="1"/>
  <c r="B18416" i="1"/>
  <c r="G18415" i="1"/>
  <c r="C18415" i="1"/>
  <c r="B18415" i="1"/>
  <c r="G18414" i="1"/>
  <c r="C18414" i="1"/>
  <c r="B18414" i="1"/>
  <c r="G18413" i="1"/>
  <c r="C18413" i="1"/>
  <c r="B18413" i="1"/>
  <c r="G18412" i="1"/>
  <c r="B18412" i="1"/>
  <c r="G18411" i="1"/>
  <c r="B18411" i="1"/>
  <c r="G18410" i="1"/>
  <c r="C18410" i="1"/>
  <c r="B18410" i="1"/>
  <c r="G18409" i="1"/>
  <c r="B18409" i="1"/>
  <c r="G18408" i="1"/>
  <c r="B18408" i="1"/>
  <c r="G18407" i="1"/>
  <c r="C18407" i="1"/>
  <c r="B18407" i="1"/>
  <c r="G18406" i="1"/>
  <c r="C18406" i="1"/>
  <c r="B18406" i="1"/>
  <c r="G18405" i="1"/>
  <c r="C18405" i="1"/>
  <c r="B18405" i="1"/>
  <c r="G18404" i="1"/>
  <c r="B18404" i="1"/>
  <c r="G18403" i="1"/>
  <c r="B18403" i="1"/>
  <c r="G18402" i="1"/>
  <c r="C18402" i="1"/>
  <c r="B18402" i="1"/>
  <c r="G18401" i="1"/>
  <c r="C18401" i="1"/>
  <c r="B18401" i="1"/>
  <c r="G18400" i="1"/>
  <c r="C18400" i="1"/>
  <c r="B18400" i="1"/>
  <c r="G18399" i="1"/>
  <c r="C18399" i="1"/>
  <c r="B18399" i="1"/>
  <c r="G18398" i="1"/>
  <c r="B18398" i="1"/>
  <c r="G18397" i="1"/>
  <c r="C18397" i="1"/>
  <c r="B18397" i="1"/>
  <c r="G18396" i="1"/>
  <c r="C18396" i="1"/>
  <c r="B18396" i="1"/>
  <c r="G18395" i="1"/>
  <c r="B18395" i="1"/>
  <c r="G18394" i="1"/>
  <c r="C18394" i="1"/>
  <c r="B18394" i="1"/>
  <c r="G18393" i="1"/>
  <c r="C18393" i="1"/>
  <c r="B18393" i="1"/>
  <c r="G18392" i="1"/>
  <c r="C18392" i="1"/>
  <c r="B18392" i="1"/>
  <c r="G18391" i="1"/>
  <c r="C18391" i="1"/>
  <c r="B18391" i="1"/>
  <c r="G18390" i="1"/>
  <c r="B18390" i="1"/>
  <c r="G18389" i="1"/>
  <c r="C18389" i="1"/>
  <c r="B18389" i="1"/>
  <c r="G18388" i="1"/>
  <c r="C18388" i="1"/>
  <c r="B18388" i="1"/>
  <c r="G18387" i="1"/>
  <c r="C18387" i="1"/>
  <c r="B18387" i="1"/>
  <c r="G18386" i="1"/>
  <c r="C18386" i="1"/>
  <c r="B18386" i="1"/>
  <c r="G18385" i="1"/>
  <c r="C18385" i="1"/>
  <c r="B18385" i="1"/>
  <c r="G18384" i="1"/>
  <c r="B18384" i="1"/>
  <c r="G18383" i="1"/>
  <c r="C18383" i="1"/>
  <c r="B18383" i="1"/>
  <c r="G18382" i="1"/>
  <c r="C18382" i="1"/>
  <c r="B18382" i="1"/>
  <c r="G18381" i="1"/>
  <c r="C18381" i="1"/>
  <c r="B18381" i="1"/>
  <c r="G18380" i="1"/>
  <c r="C18380" i="1"/>
  <c r="B18380" i="1"/>
  <c r="G18379" i="1"/>
  <c r="C18379" i="1"/>
  <c r="B18379" i="1"/>
  <c r="G18378" i="1"/>
  <c r="C18378" i="1"/>
  <c r="B18378" i="1"/>
  <c r="G18377" i="1"/>
  <c r="C18377" i="1"/>
  <c r="B18377" i="1"/>
  <c r="G18376" i="1"/>
  <c r="C18376" i="1"/>
  <c r="B18376" i="1"/>
  <c r="G18375" i="1"/>
  <c r="C18375" i="1"/>
  <c r="B18375" i="1"/>
  <c r="G18374" i="1"/>
  <c r="B18374" i="1"/>
  <c r="G18373" i="1"/>
  <c r="B18373" i="1"/>
  <c r="G18372" i="1"/>
  <c r="B18372" i="1"/>
  <c r="G18371" i="1"/>
  <c r="B18371" i="1"/>
  <c r="G18370" i="1"/>
  <c r="B18370" i="1"/>
  <c r="G18369" i="1"/>
  <c r="C18369" i="1"/>
  <c r="B18369" i="1"/>
  <c r="G18368" i="1"/>
  <c r="B18368" i="1"/>
  <c r="G18367" i="1"/>
  <c r="C18367" i="1"/>
  <c r="B18367" i="1"/>
  <c r="G18366" i="1"/>
  <c r="C18366" i="1"/>
  <c r="B18366" i="1"/>
  <c r="G18365" i="1"/>
  <c r="C18365" i="1"/>
  <c r="B18365" i="1"/>
  <c r="G18364" i="1"/>
  <c r="B18364" i="1"/>
  <c r="G18363" i="1"/>
  <c r="C18363" i="1"/>
  <c r="B18363" i="1"/>
  <c r="G18362" i="1"/>
  <c r="C18362" i="1"/>
  <c r="B18362" i="1"/>
  <c r="G18361" i="1"/>
  <c r="C18361" i="1"/>
  <c r="B18361" i="1"/>
  <c r="G18360" i="1"/>
  <c r="C18360" i="1"/>
  <c r="B18360" i="1"/>
  <c r="G18359" i="1"/>
  <c r="B18359" i="1"/>
  <c r="G18358" i="1"/>
  <c r="C18358" i="1"/>
  <c r="B18358" i="1"/>
  <c r="G18357" i="1"/>
  <c r="C18357" i="1"/>
  <c r="B18357" i="1"/>
  <c r="G18356" i="1"/>
  <c r="C18356" i="1"/>
  <c r="B18356" i="1"/>
  <c r="G18355" i="1"/>
  <c r="C18355" i="1"/>
  <c r="B18355" i="1"/>
  <c r="G18354" i="1"/>
  <c r="C18354" i="1"/>
  <c r="B18354" i="1"/>
  <c r="G18353" i="1"/>
  <c r="B18353" i="1"/>
  <c r="G18352" i="1"/>
  <c r="C18352" i="1"/>
  <c r="B18352" i="1"/>
  <c r="G18351" i="1"/>
  <c r="C18351" i="1"/>
  <c r="B18351" i="1"/>
  <c r="G18350" i="1"/>
  <c r="B18350" i="1"/>
  <c r="G18349" i="1"/>
  <c r="B18349" i="1"/>
  <c r="G18348" i="1"/>
  <c r="C18348" i="1"/>
  <c r="B18348" i="1"/>
  <c r="G18347" i="1"/>
  <c r="C18347" i="1"/>
  <c r="B18347" i="1"/>
  <c r="G18346" i="1"/>
  <c r="C18346" i="1"/>
  <c r="B18346" i="1"/>
  <c r="G18345" i="1"/>
  <c r="C18345" i="1"/>
  <c r="B18345" i="1"/>
  <c r="G18344" i="1"/>
  <c r="C18344" i="1"/>
  <c r="B18344" i="1"/>
  <c r="G18343" i="1"/>
  <c r="B18343" i="1"/>
  <c r="G18342" i="1"/>
  <c r="C18342" i="1"/>
  <c r="B18342" i="1"/>
  <c r="G18341" i="1"/>
  <c r="C18341" i="1"/>
  <c r="B18341" i="1"/>
  <c r="G18340" i="1"/>
  <c r="C18340" i="1"/>
  <c r="B18340" i="1"/>
  <c r="G18339" i="1"/>
  <c r="C18339" i="1"/>
  <c r="B18339" i="1"/>
  <c r="G18338" i="1"/>
  <c r="B18338" i="1"/>
  <c r="G18337" i="1"/>
  <c r="C18337" i="1"/>
  <c r="B18337" i="1"/>
  <c r="G18336" i="1"/>
  <c r="B18336" i="1"/>
  <c r="G18335" i="1"/>
  <c r="B18335" i="1"/>
  <c r="G18334" i="1"/>
  <c r="C18334" i="1"/>
  <c r="B18334" i="1"/>
  <c r="G18333" i="1"/>
  <c r="B18333" i="1"/>
  <c r="G18332" i="1"/>
  <c r="C18332" i="1"/>
  <c r="B18332" i="1"/>
  <c r="G18331" i="1"/>
  <c r="C18331" i="1"/>
  <c r="B18331" i="1"/>
  <c r="G18330" i="1"/>
  <c r="C18330" i="1"/>
  <c r="B18330" i="1"/>
  <c r="G18329" i="1"/>
  <c r="C18329" i="1"/>
  <c r="B18329" i="1"/>
  <c r="G18328" i="1"/>
  <c r="C18328" i="1"/>
  <c r="B18328" i="1"/>
  <c r="G18327" i="1"/>
  <c r="C18327" i="1"/>
  <c r="B18327" i="1"/>
  <c r="G18326" i="1"/>
  <c r="C18326" i="1"/>
  <c r="B18326" i="1"/>
  <c r="G18325" i="1"/>
  <c r="C18325" i="1"/>
  <c r="B18325" i="1"/>
  <c r="G18324" i="1"/>
  <c r="C18324" i="1"/>
  <c r="B18324" i="1"/>
  <c r="G18323" i="1"/>
  <c r="B18323" i="1"/>
  <c r="G18322" i="1"/>
  <c r="C18322" i="1"/>
  <c r="B18322" i="1"/>
  <c r="G18321" i="1"/>
  <c r="C18321" i="1"/>
  <c r="B18321" i="1"/>
  <c r="G18320" i="1"/>
  <c r="C18320" i="1"/>
  <c r="B18320" i="1"/>
  <c r="G18319" i="1"/>
  <c r="C18319" i="1"/>
  <c r="B18319" i="1"/>
  <c r="G18318" i="1"/>
  <c r="C18318" i="1"/>
  <c r="B18318" i="1"/>
  <c r="G18317" i="1"/>
  <c r="C18317" i="1"/>
  <c r="B18317" i="1"/>
  <c r="G18316" i="1"/>
  <c r="C18316" i="1"/>
  <c r="B18316" i="1"/>
  <c r="G18315" i="1"/>
  <c r="B18315" i="1"/>
  <c r="G18314" i="1"/>
  <c r="C18314" i="1"/>
  <c r="B18314" i="1"/>
  <c r="G18313" i="1"/>
  <c r="B18313" i="1"/>
  <c r="G18312" i="1"/>
  <c r="B18312" i="1"/>
  <c r="G18311" i="1"/>
  <c r="C18311" i="1"/>
  <c r="B18311" i="1"/>
  <c r="G18310" i="1"/>
  <c r="C18310" i="1"/>
  <c r="B18310" i="1"/>
  <c r="G18309" i="1"/>
  <c r="C18309" i="1"/>
  <c r="B18309" i="1"/>
  <c r="G18308" i="1"/>
  <c r="C18308" i="1"/>
  <c r="B18308" i="1"/>
  <c r="G18307" i="1"/>
  <c r="C18307" i="1"/>
  <c r="B18307" i="1"/>
  <c r="G18306" i="1"/>
  <c r="C18306" i="1"/>
  <c r="B18306" i="1"/>
  <c r="G18305" i="1"/>
  <c r="C18305" i="1"/>
  <c r="B18305" i="1"/>
  <c r="G18304" i="1"/>
  <c r="C18304" i="1"/>
  <c r="B18304" i="1"/>
  <c r="G18303" i="1"/>
  <c r="B18303" i="1"/>
  <c r="G18302" i="1"/>
  <c r="C18302" i="1"/>
  <c r="B18302" i="1"/>
  <c r="G18301" i="1"/>
  <c r="C18301" i="1"/>
  <c r="B18301" i="1"/>
  <c r="G18300" i="1"/>
  <c r="C18300" i="1"/>
  <c r="B18300" i="1"/>
  <c r="G18299" i="1"/>
  <c r="C18299" i="1"/>
  <c r="B18299" i="1"/>
  <c r="G18298" i="1"/>
  <c r="C18298" i="1"/>
  <c r="B18298" i="1"/>
  <c r="G18297" i="1"/>
  <c r="C18297" i="1"/>
  <c r="B18297" i="1"/>
  <c r="G18296" i="1"/>
  <c r="C18296" i="1"/>
  <c r="B18296" i="1"/>
  <c r="G18295" i="1"/>
  <c r="C18295" i="1"/>
  <c r="B18295" i="1"/>
  <c r="G18294" i="1"/>
  <c r="C18294" i="1"/>
  <c r="B18294" i="1"/>
  <c r="G18293" i="1"/>
  <c r="C18293" i="1"/>
  <c r="B18293" i="1"/>
  <c r="G18292" i="1"/>
  <c r="C18292" i="1"/>
  <c r="B18292" i="1"/>
  <c r="G18291" i="1"/>
  <c r="C18291" i="1"/>
  <c r="B18291" i="1"/>
  <c r="G18290" i="1"/>
  <c r="B18290" i="1"/>
  <c r="G18289" i="1"/>
  <c r="C18289" i="1"/>
  <c r="B18289" i="1"/>
  <c r="G18288" i="1"/>
  <c r="C18288" i="1"/>
  <c r="B18288" i="1"/>
  <c r="G18287" i="1"/>
  <c r="C18287" i="1"/>
  <c r="B18287" i="1"/>
  <c r="G18286" i="1"/>
  <c r="C18286" i="1"/>
  <c r="B18286" i="1"/>
  <c r="G18285" i="1"/>
  <c r="C18285" i="1"/>
  <c r="B18285" i="1"/>
  <c r="G18284" i="1"/>
  <c r="C18284" i="1"/>
  <c r="B18284" i="1"/>
  <c r="G18283" i="1"/>
  <c r="C18283" i="1"/>
  <c r="B18283" i="1"/>
  <c r="G18282" i="1"/>
  <c r="C18282" i="1"/>
  <c r="B18282" i="1"/>
  <c r="G18281" i="1"/>
  <c r="C18281" i="1"/>
  <c r="B18281" i="1"/>
  <c r="G18280" i="1"/>
  <c r="C18280" i="1"/>
  <c r="B18280" i="1"/>
  <c r="G18279" i="1"/>
  <c r="C18279" i="1"/>
  <c r="B18279" i="1"/>
  <c r="G18278" i="1"/>
  <c r="C18278" i="1"/>
  <c r="B18278" i="1"/>
  <c r="G18277" i="1"/>
  <c r="C18277" i="1"/>
  <c r="B18277" i="1"/>
  <c r="G18276" i="1"/>
  <c r="B18276" i="1"/>
  <c r="G18275" i="1"/>
  <c r="B18275" i="1"/>
  <c r="G18274" i="1"/>
  <c r="C18274" i="1"/>
  <c r="B18274" i="1"/>
  <c r="G18273" i="1"/>
  <c r="C18273" i="1"/>
  <c r="B18273" i="1"/>
  <c r="G18272" i="1"/>
  <c r="C18272" i="1"/>
  <c r="B18272" i="1"/>
  <c r="G18271" i="1"/>
  <c r="C18271" i="1"/>
  <c r="B18271" i="1"/>
  <c r="G18270" i="1"/>
  <c r="C18270" i="1"/>
  <c r="B18270" i="1"/>
  <c r="G18269" i="1"/>
  <c r="C18269" i="1"/>
  <c r="B18269" i="1"/>
  <c r="G18268" i="1"/>
  <c r="C18268" i="1"/>
  <c r="B18268" i="1"/>
  <c r="G18267" i="1"/>
  <c r="C18267" i="1"/>
  <c r="B18267" i="1"/>
  <c r="G18266" i="1"/>
  <c r="B18266" i="1"/>
  <c r="G18265" i="1"/>
  <c r="C18265" i="1"/>
  <c r="B18265" i="1"/>
  <c r="G18264" i="1"/>
  <c r="C18264" i="1"/>
  <c r="B18264" i="1"/>
  <c r="G18263" i="1"/>
  <c r="C18263" i="1"/>
  <c r="B18263" i="1"/>
  <c r="G18262" i="1"/>
  <c r="C18262" i="1"/>
  <c r="B18262" i="1"/>
  <c r="G18261" i="1"/>
  <c r="C18261" i="1"/>
  <c r="B18261" i="1"/>
  <c r="G18260" i="1"/>
  <c r="C18260" i="1"/>
  <c r="B18260" i="1"/>
  <c r="G18259" i="1"/>
  <c r="C18259" i="1"/>
  <c r="B18259" i="1"/>
  <c r="G18258" i="1"/>
  <c r="C18258" i="1"/>
  <c r="B18258" i="1"/>
  <c r="G18257" i="1"/>
  <c r="B18257" i="1"/>
  <c r="G18256" i="1"/>
  <c r="B18256" i="1"/>
  <c r="G18255" i="1"/>
  <c r="C18255" i="1"/>
  <c r="B18255" i="1"/>
  <c r="G18254" i="1"/>
  <c r="C18254" i="1"/>
  <c r="B18254" i="1"/>
  <c r="G18253" i="1"/>
  <c r="B18253" i="1"/>
  <c r="G18252" i="1"/>
  <c r="C18252" i="1"/>
  <c r="B18252" i="1"/>
  <c r="G18251" i="1"/>
  <c r="C18251" i="1"/>
  <c r="B18251" i="1"/>
  <c r="G18250" i="1"/>
  <c r="C18250" i="1"/>
  <c r="B18250" i="1"/>
  <c r="G18249" i="1"/>
  <c r="C18249" i="1"/>
  <c r="B18249" i="1"/>
  <c r="G18248" i="1"/>
  <c r="C18248" i="1"/>
  <c r="B18248" i="1"/>
  <c r="G18247" i="1"/>
  <c r="C18247" i="1"/>
  <c r="B18247" i="1"/>
  <c r="G18246" i="1"/>
  <c r="C18246" i="1"/>
  <c r="B18246" i="1"/>
  <c r="G18245" i="1"/>
  <c r="C18245" i="1"/>
  <c r="B18245" i="1"/>
  <c r="G18244" i="1"/>
  <c r="C18244" i="1"/>
  <c r="B18244" i="1"/>
  <c r="G18243" i="1"/>
  <c r="C18243" i="1"/>
  <c r="B18243" i="1"/>
  <c r="G18242" i="1"/>
  <c r="C18242" i="1"/>
  <c r="B18242" i="1"/>
  <c r="G18241" i="1"/>
  <c r="C18241" i="1"/>
  <c r="B18241" i="1"/>
  <c r="G18240" i="1"/>
  <c r="B18240" i="1"/>
  <c r="G18239" i="1"/>
  <c r="C18239" i="1"/>
  <c r="B18239" i="1"/>
  <c r="G18238" i="1"/>
  <c r="C18238" i="1"/>
  <c r="B18238" i="1"/>
  <c r="G18237" i="1"/>
  <c r="B18237" i="1"/>
  <c r="G18236" i="1"/>
  <c r="C18236" i="1"/>
  <c r="B18236" i="1"/>
  <c r="G18235" i="1"/>
  <c r="C18235" i="1"/>
  <c r="B18235" i="1"/>
  <c r="G18234" i="1"/>
  <c r="C18234" i="1"/>
  <c r="B18234" i="1"/>
  <c r="G18233" i="1"/>
  <c r="B18233" i="1"/>
  <c r="G18232" i="1"/>
  <c r="C18232" i="1"/>
  <c r="B18232" i="1"/>
  <c r="G18231" i="1"/>
  <c r="C18231" i="1"/>
  <c r="B18231" i="1"/>
  <c r="G18230" i="1"/>
  <c r="C18230" i="1"/>
  <c r="B18230" i="1"/>
  <c r="G18229" i="1"/>
  <c r="C18229" i="1"/>
  <c r="B18229" i="1"/>
  <c r="G18228" i="1"/>
  <c r="C18228" i="1"/>
  <c r="B18228" i="1"/>
  <c r="G18227" i="1"/>
  <c r="C18227" i="1"/>
  <c r="B18227" i="1"/>
  <c r="G18226" i="1"/>
  <c r="B18226" i="1"/>
  <c r="G18225" i="1"/>
  <c r="B18225" i="1"/>
  <c r="G18224" i="1"/>
  <c r="C18224" i="1"/>
  <c r="B18224" i="1"/>
  <c r="G18223" i="1"/>
  <c r="C18223" i="1"/>
  <c r="B18223" i="1"/>
  <c r="G18222" i="1"/>
  <c r="B18222" i="1"/>
  <c r="G18221" i="1"/>
  <c r="C18221" i="1"/>
  <c r="B18221" i="1"/>
  <c r="G18220" i="1"/>
  <c r="C18220" i="1"/>
  <c r="B18220" i="1"/>
  <c r="G18219" i="1"/>
  <c r="C18219" i="1"/>
  <c r="B18219" i="1"/>
  <c r="G18218" i="1"/>
  <c r="C18218" i="1"/>
  <c r="B18218" i="1"/>
  <c r="G18217" i="1"/>
  <c r="B18217" i="1"/>
  <c r="G18216" i="1"/>
  <c r="B18216" i="1"/>
  <c r="G18215" i="1"/>
  <c r="B18215" i="1"/>
  <c r="G18214" i="1"/>
  <c r="C18214" i="1"/>
  <c r="B18214" i="1"/>
  <c r="G18213" i="1"/>
  <c r="B18213" i="1"/>
  <c r="G18212" i="1"/>
  <c r="B18212" i="1"/>
  <c r="G18211" i="1"/>
  <c r="C18211" i="1"/>
  <c r="B18211" i="1"/>
  <c r="G18210" i="1"/>
  <c r="B18210" i="1"/>
  <c r="G18209" i="1"/>
  <c r="B18209" i="1"/>
  <c r="G18208" i="1"/>
  <c r="B18208" i="1"/>
  <c r="G18207" i="1"/>
  <c r="C18207" i="1"/>
  <c r="B18207" i="1"/>
  <c r="G18206" i="1"/>
  <c r="C18206" i="1"/>
  <c r="B18206" i="1"/>
  <c r="G18205" i="1"/>
  <c r="C18205" i="1"/>
  <c r="B18205" i="1"/>
  <c r="G18204" i="1"/>
  <c r="C18204" i="1"/>
  <c r="B18204" i="1"/>
  <c r="G18203" i="1"/>
  <c r="C18203" i="1"/>
  <c r="B18203" i="1"/>
  <c r="G18202" i="1"/>
  <c r="C18202" i="1"/>
  <c r="B18202" i="1"/>
  <c r="G18201" i="1"/>
  <c r="B18201" i="1"/>
  <c r="G18200" i="1"/>
  <c r="C18200" i="1"/>
  <c r="B18200" i="1"/>
  <c r="G18199" i="1"/>
  <c r="B18199" i="1"/>
  <c r="G18198" i="1"/>
  <c r="C18198" i="1"/>
  <c r="B18198" i="1"/>
  <c r="G18197" i="1"/>
  <c r="C18197" i="1"/>
  <c r="B18197" i="1"/>
  <c r="G18196" i="1"/>
  <c r="C18196" i="1"/>
  <c r="B18196" i="1"/>
  <c r="G18195" i="1"/>
  <c r="C18195" i="1"/>
  <c r="B18195" i="1"/>
  <c r="G18194" i="1"/>
  <c r="C18194" i="1"/>
  <c r="B18194" i="1"/>
  <c r="G18193" i="1"/>
  <c r="C18193" i="1"/>
  <c r="B18193" i="1"/>
  <c r="G18192" i="1"/>
  <c r="C18192" i="1"/>
  <c r="B18192" i="1"/>
  <c r="G18191" i="1"/>
  <c r="C18191" i="1"/>
  <c r="B18191" i="1"/>
  <c r="G18190" i="1"/>
  <c r="C18190" i="1"/>
  <c r="B18190" i="1"/>
  <c r="G18189" i="1"/>
  <c r="C18189" i="1"/>
  <c r="B18189" i="1"/>
  <c r="G18188" i="1"/>
  <c r="C18188" i="1"/>
  <c r="B18188" i="1"/>
  <c r="G18187" i="1"/>
  <c r="B18187" i="1"/>
  <c r="G18186" i="1"/>
  <c r="C18186" i="1"/>
  <c r="B18186" i="1"/>
  <c r="G18185" i="1"/>
  <c r="C18185" i="1"/>
  <c r="B18185" i="1"/>
  <c r="G18184" i="1"/>
  <c r="C18184" i="1"/>
  <c r="B18184" i="1"/>
  <c r="G18183" i="1"/>
  <c r="C18183" i="1"/>
  <c r="B18183" i="1"/>
  <c r="G18182" i="1"/>
  <c r="C18182" i="1"/>
  <c r="B18182" i="1"/>
  <c r="G18181" i="1"/>
  <c r="C18181" i="1"/>
  <c r="B18181" i="1"/>
  <c r="G18180" i="1"/>
  <c r="C18180" i="1"/>
  <c r="B18180" i="1"/>
  <c r="G18179" i="1"/>
  <c r="C18179" i="1"/>
  <c r="B18179" i="1"/>
  <c r="G18178" i="1"/>
  <c r="C18178" i="1"/>
  <c r="B18178" i="1"/>
  <c r="G18177" i="1"/>
  <c r="C18177" i="1"/>
  <c r="B18177" i="1"/>
  <c r="G18176" i="1"/>
  <c r="C18176" i="1"/>
  <c r="B18176" i="1"/>
  <c r="G18175" i="1"/>
  <c r="C18175" i="1"/>
  <c r="B18175" i="1"/>
  <c r="G18174" i="1"/>
  <c r="C18174" i="1"/>
  <c r="B18174" i="1"/>
  <c r="G18173" i="1"/>
  <c r="C18173" i="1"/>
  <c r="B18173" i="1"/>
  <c r="G18172" i="1"/>
  <c r="B18172" i="1"/>
  <c r="G18171" i="1"/>
  <c r="B18171" i="1"/>
  <c r="G18170" i="1"/>
  <c r="C18170" i="1"/>
  <c r="B18170" i="1"/>
  <c r="G18169" i="1"/>
  <c r="C18169" i="1"/>
  <c r="B18169" i="1"/>
  <c r="G18168" i="1"/>
  <c r="B18168" i="1"/>
  <c r="G18167" i="1"/>
  <c r="B18167" i="1"/>
  <c r="G18166" i="1"/>
  <c r="C18166" i="1"/>
  <c r="B18166" i="1"/>
  <c r="G18165" i="1"/>
  <c r="C18165" i="1"/>
  <c r="B18165" i="1"/>
  <c r="G18164" i="1"/>
  <c r="B18164" i="1"/>
  <c r="G18163" i="1"/>
  <c r="B18163" i="1"/>
  <c r="G18162" i="1"/>
  <c r="C18162" i="1"/>
  <c r="B18162" i="1"/>
  <c r="G18161" i="1"/>
  <c r="B18161" i="1"/>
  <c r="G18160" i="1"/>
  <c r="B18160" i="1"/>
  <c r="G18159" i="1"/>
  <c r="C18159" i="1"/>
  <c r="B18159" i="1"/>
  <c r="G18158" i="1"/>
  <c r="C18158" i="1"/>
  <c r="B18158" i="1"/>
  <c r="G18157" i="1"/>
  <c r="C18157" i="1"/>
  <c r="B18157" i="1"/>
  <c r="G18156" i="1"/>
  <c r="B18156" i="1"/>
  <c r="G18155" i="1"/>
  <c r="C18155" i="1"/>
  <c r="B18155" i="1"/>
  <c r="G18154" i="1"/>
  <c r="C18154" i="1"/>
  <c r="B18154" i="1"/>
  <c r="G18153" i="1"/>
  <c r="C18153" i="1"/>
  <c r="B18153" i="1"/>
  <c r="G18152" i="1"/>
  <c r="C18152" i="1"/>
  <c r="B18152" i="1"/>
  <c r="G18151" i="1"/>
  <c r="C18151" i="1"/>
  <c r="B18151" i="1"/>
  <c r="G18150" i="1"/>
  <c r="C18150" i="1"/>
  <c r="B18150" i="1"/>
  <c r="G18149" i="1"/>
  <c r="C18149" i="1"/>
  <c r="B18149" i="1"/>
  <c r="G18148" i="1"/>
  <c r="C18148" i="1"/>
  <c r="B18148" i="1"/>
  <c r="G18147" i="1"/>
  <c r="C18147" i="1"/>
  <c r="B18147" i="1"/>
  <c r="G18146" i="1"/>
  <c r="C18146" i="1"/>
  <c r="B18146" i="1"/>
  <c r="G18145" i="1"/>
  <c r="C18145" i="1"/>
  <c r="B18145" i="1"/>
  <c r="G18144" i="1"/>
  <c r="C18144" i="1"/>
  <c r="B18144" i="1"/>
  <c r="G18143" i="1"/>
  <c r="B18143" i="1"/>
  <c r="G18142" i="1"/>
  <c r="B18142" i="1"/>
  <c r="G18141" i="1"/>
  <c r="C18141" i="1"/>
  <c r="B18141" i="1"/>
  <c r="G18140" i="1"/>
  <c r="C18140" i="1"/>
  <c r="B18140" i="1"/>
  <c r="G18139" i="1"/>
  <c r="C18139" i="1"/>
  <c r="B18139" i="1"/>
  <c r="G18138" i="1"/>
  <c r="B18138" i="1"/>
  <c r="G18137" i="1"/>
  <c r="C18137" i="1"/>
  <c r="B18137" i="1"/>
  <c r="G18136" i="1"/>
  <c r="C18136" i="1"/>
  <c r="B18136" i="1"/>
  <c r="G18135" i="1"/>
  <c r="C18135" i="1"/>
  <c r="B18135" i="1"/>
  <c r="G18134" i="1"/>
  <c r="C18134" i="1"/>
  <c r="B18134" i="1"/>
  <c r="G18133" i="1"/>
  <c r="B18133" i="1"/>
  <c r="G18132" i="1"/>
  <c r="C18132" i="1"/>
  <c r="B18132" i="1"/>
  <c r="G18131" i="1"/>
  <c r="C18131" i="1"/>
  <c r="B18131" i="1"/>
  <c r="G18130" i="1"/>
  <c r="C18130" i="1"/>
  <c r="B18130" i="1"/>
  <c r="G18129" i="1"/>
  <c r="C18129" i="1"/>
  <c r="B18129" i="1"/>
  <c r="G18128" i="1"/>
  <c r="C18128" i="1"/>
  <c r="B18128" i="1"/>
  <c r="G18127" i="1"/>
  <c r="C18127" i="1"/>
  <c r="B18127" i="1"/>
  <c r="G18126" i="1"/>
  <c r="C18126" i="1"/>
  <c r="B18126" i="1"/>
  <c r="G18125" i="1"/>
  <c r="C18125" i="1"/>
  <c r="B18125" i="1"/>
  <c r="G18124" i="1"/>
  <c r="C18124" i="1"/>
  <c r="B18124" i="1"/>
  <c r="G18123" i="1"/>
  <c r="C18123" i="1"/>
  <c r="B18123" i="1"/>
  <c r="G18122" i="1"/>
  <c r="C18122" i="1"/>
  <c r="B18122" i="1"/>
  <c r="G18121" i="1"/>
  <c r="C18121" i="1"/>
  <c r="B18121" i="1"/>
  <c r="G18120" i="1"/>
  <c r="B18120" i="1"/>
  <c r="G18119" i="1"/>
  <c r="C18119" i="1"/>
  <c r="B18119" i="1"/>
  <c r="G18118" i="1"/>
  <c r="B18118" i="1"/>
  <c r="G18117" i="1"/>
  <c r="C18117" i="1"/>
  <c r="B18117" i="1"/>
  <c r="G18116" i="1"/>
  <c r="B18116" i="1"/>
  <c r="G18115" i="1"/>
  <c r="B18115" i="1"/>
  <c r="G18114" i="1"/>
  <c r="B18114" i="1"/>
  <c r="G18113" i="1"/>
  <c r="C18113" i="1"/>
  <c r="B18113" i="1"/>
  <c r="G18112" i="1"/>
  <c r="C18112" i="1"/>
  <c r="B18112" i="1"/>
  <c r="G18111" i="1"/>
  <c r="B18111" i="1"/>
  <c r="G18110" i="1"/>
  <c r="B18110" i="1"/>
  <c r="G18109" i="1"/>
  <c r="C18109" i="1"/>
  <c r="B18109" i="1"/>
  <c r="G18108" i="1"/>
  <c r="C18108" i="1"/>
  <c r="B18108" i="1"/>
  <c r="G18107" i="1"/>
  <c r="B18107" i="1"/>
  <c r="G18106" i="1"/>
  <c r="C18106" i="1"/>
  <c r="B18106" i="1"/>
  <c r="G18105" i="1"/>
  <c r="C18105" i="1"/>
  <c r="B18105" i="1"/>
  <c r="G18104" i="1"/>
  <c r="B18104" i="1"/>
  <c r="G18103" i="1"/>
  <c r="C18103" i="1"/>
  <c r="B18103" i="1"/>
  <c r="G18102" i="1"/>
  <c r="B18102" i="1"/>
  <c r="G18101" i="1"/>
  <c r="C18101" i="1"/>
  <c r="B18101" i="1"/>
  <c r="G18100" i="1"/>
  <c r="C18100" i="1"/>
  <c r="B18100" i="1"/>
  <c r="G18099" i="1"/>
  <c r="C18099" i="1"/>
  <c r="B18099" i="1"/>
  <c r="G18098" i="1"/>
  <c r="C18098" i="1"/>
  <c r="B18098" i="1"/>
  <c r="G18097" i="1"/>
  <c r="C18097" i="1"/>
  <c r="B18097" i="1"/>
  <c r="G18096" i="1"/>
  <c r="C18096" i="1"/>
  <c r="B18096" i="1"/>
  <c r="G18095" i="1"/>
  <c r="C18095" i="1"/>
  <c r="B18095" i="1"/>
  <c r="G18094" i="1"/>
  <c r="C18094" i="1"/>
  <c r="B18094" i="1"/>
  <c r="G18093" i="1"/>
  <c r="C18093" i="1"/>
  <c r="B18093" i="1"/>
  <c r="G18092" i="1"/>
  <c r="C18092" i="1"/>
  <c r="B18092" i="1"/>
  <c r="G18091" i="1"/>
  <c r="C18091" i="1"/>
  <c r="B18091" i="1"/>
  <c r="G18090" i="1"/>
  <c r="C18090" i="1"/>
  <c r="B18090" i="1"/>
  <c r="G18089" i="1"/>
  <c r="C18089" i="1"/>
  <c r="B18089" i="1"/>
  <c r="G18088" i="1"/>
  <c r="C18088" i="1"/>
  <c r="B18088" i="1"/>
  <c r="G18087" i="1"/>
  <c r="C18087" i="1"/>
  <c r="B18087" i="1"/>
  <c r="G18086" i="1"/>
  <c r="B18086" i="1"/>
  <c r="G18085" i="1"/>
  <c r="C18085" i="1"/>
  <c r="B18085" i="1"/>
  <c r="G18084" i="1"/>
  <c r="C18084" i="1"/>
  <c r="B18084" i="1"/>
  <c r="G18083" i="1"/>
  <c r="B18083" i="1"/>
  <c r="G18082" i="1"/>
  <c r="B18082" i="1"/>
  <c r="G18081" i="1"/>
  <c r="C18081" i="1"/>
  <c r="B18081" i="1"/>
  <c r="G18080" i="1"/>
  <c r="B18080" i="1"/>
  <c r="G18079" i="1"/>
  <c r="C18079" i="1"/>
  <c r="B18079" i="1"/>
  <c r="G18078" i="1"/>
  <c r="C18078" i="1"/>
  <c r="B18078" i="1"/>
  <c r="G18077" i="1"/>
  <c r="B18077" i="1"/>
  <c r="G18076" i="1"/>
  <c r="B18076" i="1"/>
  <c r="G18075" i="1"/>
  <c r="C18075" i="1"/>
  <c r="B18075" i="1"/>
  <c r="G18074" i="1"/>
  <c r="C18074" i="1"/>
  <c r="B18074" i="1"/>
  <c r="G18073" i="1"/>
  <c r="C18073" i="1"/>
  <c r="B18073" i="1"/>
  <c r="G18072" i="1"/>
  <c r="C18072" i="1"/>
  <c r="B18072" i="1"/>
  <c r="G18071" i="1"/>
  <c r="C18071" i="1"/>
  <c r="B18071" i="1"/>
  <c r="G18070" i="1"/>
  <c r="C18070" i="1"/>
  <c r="B18070" i="1"/>
  <c r="G18069" i="1"/>
  <c r="C18069" i="1"/>
  <c r="B18069" i="1"/>
  <c r="G18068" i="1"/>
  <c r="B18068" i="1"/>
  <c r="G18067" i="1"/>
  <c r="C18067" i="1"/>
  <c r="B18067" i="1"/>
  <c r="G18066" i="1"/>
  <c r="C18066" i="1"/>
  <c r="B18066" i="1"/>
  <c r="G18065" i="1"/>
  <c r="C18065" i="1"/>
  <c r="B18065" i="1"/>
  <c r="G18064" i="1"/>
  <c r="C18064" i="1"/>
  <c r="B18064" i="1"/>
  <c r="G18063" i="1"/>
  <c r="B18063" i="1"/>
  <c r="G18062" i="1"/>
  <c r="C18062" i="1"/>
  <c r="B18062" i="1"/>
  <c r="G18061" i="1"/>
  <c r="C18061" i="1"/>
  <c r="B18061" i="1"/>
  <c r="G18060" i="1"/>
  <c r="B18060" i="1"/>
  <c r="G18059" i="1"/>
  <c r="C18059" i="1"/>
  <c r="B18059" i="1"/>
  <c r="G18058" i="1"/>
  <c r="B18058" i="1"/>
  <c r="G18057" i="1"/>
  <c r="C18057" i="1"/>
  <c r="B18057" i="1"/>
  <c r="G18056" i="1"/>
  <c r="C18056" i="1"/>
  <c r="B18056" i="1"/>
  <c r="G18055" i="1"/>
  <c r="C18055" i="1"/>
  <c r="B18055" i="1"/>
  <c r="G18054" i="1"/>
  <c r="B18054" i="1"/>
  <c r="G18053" i="1"/>
  <c r="C18053" i="1"/>
  <c r="B18053" i="1"/>
  <c r="G18052" i="1"/>
  <c r="C18052" i="1"/>
  <c r="B18052" i="1"/>
  <c r="G18051" i="1"/>
  <c r="B18051" i="1"/>
  <c r="G18050" i="1"/>
  <c r="B18050" i="1"/>
  <c r="G18049" i="1"/>
  <c r="C18049" i="1"/>
  <c r="B18049" i="1"/>
  <c r="G18048" i="1"/>
  <c r="C18048" i="1"/>
  <c r="B18048" i="1"/>
  <c r="G18047" i="1"/>
  <c r="C18047" i="1"/>
  <c r="B18047" i="1"/>
  <c r="G18046" i="1"/>
  <c r="C18046" i="1"/>
  <c r="B18046" i="1"/>
  <c r="G18045" i="1"/>
  <c r="C18045" i="1"/>
  <c r="B18045" i="1"/>
  <c r="G18044" i="1"/>
  <c r="C18044" i="1"/>
  <c r="B18044" i="1"/>
  <c r="G18043" i="1"/>
  <c r="C18043" i="1"/>
  <c r="B18043" i="1"/>
  <c r="G18042" i="1"/>
  <c r="C18042" i="1"/>
  <c r="B18042" i="1"/>
  <c r="G18041" i="1"/>
  <c r="C18041" i="1"/>
  <c r="B18041" i="1"/>
  <c r="G18040" i="1"/>
  <c r="C18040" i="1"/>
  <c r="B18040" i="1"/>
  <c r="G18039" i="1"/>
  <c r="C18039" i="1"/>
  <c r="B18039" i="1"/>
  <c r="G18038" i="1"/>
  <c r="C18038" i="1"/>
  <c r="B18038" i="1"/>
  <c r="G18037" i="1"/>
  <c r="B18037" i="1"/>
  <c r="G18036" i="1"/>
  <c r="C18036" i="1"/>
  <c r="B18036" i="1"/>
  <c r="G18035" i="1"/>
  <c r="C18035" i="1"/>
  <c r="B18035" i="1"/>
  <c r="G18034" i="1"/>
  <c r="B18034" i="1"/>
  <c r="G18033" i="1"/>
  <c r="C18033" i="1"/>
  <c r="B18033" i="1"/>
  <c r="G18032" i="1"/>
  <c r="B18032" i="1"/>
  <c r="G18031" i="1"/>
  <c r="C18031" i="1"/>
  <c r="B18031" i="1"/>
  <c r="G18030" i="1"/>
  <c r="B18030" i="1"/>
  <c r="G18029" i="1"/>
  <c r="B18029" i="1"/>
  <c r="G18028" i="1"/>
  <c r="C18028" i="1"/>
  <c r="B18028" i="1"/>
  <c r="G18027" i="1"/>
  <c r="C18027" i="1"/>
  <c r="B18027" i="1"/>
  <c r="G18026" i="1"/>
  <c r="C18026" i="1"/>
  <c r="B18026" i="1"/>
  <c r="G18025" i="1"/>
  <c r="C18025" i="1"/>
  <c r="B18025" i="1"/>
  <c r="G18024" i="1"/>
  <c r="B18024" i="1"/>
  <c r="G18023" i="1"/>
  <c r="B18023" i="1"/>
  <c r="G18022" i="1"/>
  <c r="C18022" i="1"/>
  <c r="B18022" i="1"/>
  <c r="G18021" i="1"/>
  <c r="C18021" i="1"/>
  <c r="B18021" i="1"/>
  <c r="G18020" i="1"/>
  <c r="C18020" i="1"/>
  <c r="B18020" i="1"/>
  <c r="G18019" i="1"/>
  <c r="C18019" i="1"/>
  <c r="B18019" i="1"/>
  <c r="G18018" i="1"/>
  <c r="B18018" i="1"/>
  <c r="G18017" i="1"/>
  <c r="B18017" i="1"/>
  <c r="G18016" i="1"/>
  <c r="C18016" i="1"/>
  <c r="B18016" i="1"/>
  <c r="G18015" i="1"/>
  <c r="C18015" i="1"/>
  <c r="B18015" i="1"/>
  <c r="G18014" i="1"/>
  <c r="B18014" i="1"/>
  <c r="G18013" i="1"/>
  <c r="B18013" i="1"/>
  <c r="G18012" i="1"/>
  <c r="C18012" i="1"/>
  <c r="B18012" i="1"/>
  <c r="G18011" i="1"/>
  <c r="B18011" i="1"/>
  <c r="G18010" i="1"/>
  <c r="C18010" i="1"/>
  <c r="B18010" i="1"/>
  <c r="G18009" i="1"/>
  <c r="B18009" i="1"/>
  <c r="G18008" i="1"/>
  <c r="B18008" i="1"/>
  <c r="G18007" i="1"/>
  <c r="B18007" i="1"/>
  <c r="G18006" i="1"/>
  <c r="C18006" i="1"/>
  <c r="B18006" i="1"/>
  <c r="G18005" i="1"/>
  <c r="B18005" i="1"/>
  <c r="G18004" i="1"/>
  <c r="C18004" i="1"/>
  <c r="B18004" i="1"/>
  <c r="G18003" i="1"/>
  <c r="C18003" i="1"/>
  <c r="B18003" i="1"/>
  <c r="G18002" i="1"/>
  <c r="C18002" i="1"/>
  <c r="B18002" i="1"/>
  <c r="G18001" i="1"/>
  <c r="C18001" i="1"/>
  <c r="B18001" i="1"/>
  <c r="G18000" i="1"/>
  <c r="C18000" i="1"/>
  <c r="B18000" i="1"/>
  <c r="G17999" i="1"/>
  <c r="B17999" i="1"/>
  <c r="G17998" i="1"/>
  <c r="C17998" i="1"/>
  <c r="B17998" i="1"/>
  <c r="G17997" i="1"/>
  <c r="C17997" i="1"/>
  <c r="B17997" i="1"/>
  <c r="G17996" i="1"/>
  <c r="C17996" i="1"/>
  <c r="B17996" i="1"/>
  <c r="G17995" i="1"/>
  <c r="C17995" i="1"/>
  <c r="B17995" i="1"/>
  <c r="G17994" i="1"/>
  <c r="C17994" i="1"/>
  <c r="B17994" i="1"/>
  <c r="G17993" i="1"/>
  <c r="C17993" i="1"/>
  <c r="B17993" i="1"/>
  <c r="G17992" i="1"/>
  <c r="C17992" i="1"/>
  <c r="B17992" i="1"/>
  <c r="G17991" i="1"/>
  <c r="B17991" i="1"/>
  <c r="G17990" i="1"/>
  <c r="C17990" i="1"/>
  <c r="B17990" i="1"/>
  <c r="G17989" i="1"/>
  <c r="C17989" i="1"/>
  <c r="B17989" i="1"/>
  <c r="G17988" i="1"/>
  <c r="C17988" i="1"/>
  <c r="B17988" i="1"/>
  <c r="G17987" i="1"/>
  <c r="C17987" i="1"/>
  <c r="B17987" i="1"/>
  <c r="G17986" i="1"/>
  <c r="B17986" i="1"/>
  <c r="G17985" i="1"/>
  <c r="C17985" i="1"/>
  <c r="B17985" i="1"/>
  <c r="G17984" i="1"/>
  <c r="B17984" i="1"/>
  <c r="G17983" i="1"/>
  <c r="C17983" i="1"/>
  <c r="B17983" i="1"/>
  <c r="G17982" i="1"/>
  <c r="C17982" i="1"/>
  <c r="B17982" i="1"/>
  <c r="G17981" i="1"/>
  <c r="C17981" i="1"/>
  <c r="B17981" i="1"/>
  <c r="G17980" i="1"/>
  <c r="B17980" i="1"/>
  <c r="G17979" i="1"/>
  <c r="C17979" i="1"/>
  <c r="B17979" i="1"/>
  <c r="G17978" i="1"/>
  <c r="C17978" i="1"/>
  <c r="B17978" i="1"/>
  <c r="G17977" i="1"/>
  <c r="C17977" i="1"/>
  <c r="B17977" i="1"/>
  <c r="G17976" i="1"/>
  <c r="B17976" i="1"/>
  <c r="G17975" i="1"/>
  <c r="B17975" i="1"/>
  <c r="G17974" i="1"/>
  <c r="C17974" i="1"/>
  <c r="B17974" i="1"/>
  <c r="G17973" i="1"/>
  <c r="C17973" i="1"/>
  <c r="B17973" i="1"/>
  <c r="G17972" i="1"/>
  <c r="B17972" i="1"/>
  <c r="G17971" i="1"/>
  <c r="B17971" i="1"/>
  <c r="G17970" i="1"/>
  <c r="C17970" i="1"/>
  <c r="B17970" i="1"/>
  <c r="G17969" i="1"/>
  <c r="C17969" i="1"/>
  <c r="B17969" i="1"/>
  <c r="G17968" i="1"/>
  <c r="B17968" i="1"/>
  <c r="G17967" i="1"/>
  <c r="C17967" i="1"/>
  <c r="B17967" i="1"/>
  <c r="G17966" i="1"/>
  <c r="C17966" i="1"/>
  <c r="B17966" i="1"/>
  <c r="G17965" i="1"/>
  <c r="C17965" i="1"/>
  <c r="B17965" i="1"/>
  <c r="G17964" i="1"/>
  <c r="B17964" i="1"/>
  <c r="G17963" i="1"/>
  <c r="C17963" i="1"/>
  <c r="B17963" i="1"/>
  <c r="G17962" i="1"/>
  <c r="C17962" i="1"/>
  <c r="B17962" i="1"/>
  <c r="G17961" i="1"/>
  <c r="C17961" i="1"/>
  <c r="B17961" i="1"/>
  <c r="G17960" i="1"/>
  <c r="C17960" i="1"/>
  <c r="B17960" i="1"/>
  <c r="G17959" i="1"/>
  <c r="C17959" i="1"/>
  <c r="B17959" i="1"/>
  <c r="G17958" i="1"/>
  <c r="C17958" i="1"/>
  <c r="B17958" i="1"/>
  <c r="G17957" i="1"/>
  <c r="C17957" i="1"/>
  <c r="B17957" i="1"/>
  <c r="G17956" i="1"/>
  <c r="C17956" i="1"/>
  <c r="B17956" i="1"/>
  <c r="G17955" i="1"/>
  <c r="B17955" i="1"/>
  <c r="G17954" i="1"/>
  <c r="C17954" i="1"/>
  <c r="B17954" i="1"/>
  <c r="G17953" i="1"/>
  <c r="C17953" i="1"/>
  <c r="B17953" i="1"/>
  <c r="G17952" i="1"/>
  <c r="C17952" i="1"/>
  <c r="B17952" i="1"/>
  <c r="G17951" i="1"/>
  <c r="C17951" i="1"/>
  <c r="B17951" i="1"/>
  <c r="G17950" i="1"/>
  <c r="C17950" i="1"/>
  <c r="B17950" i="1"/>
  <c r="G17949" i="1"/>
  <c r="C17949" i="1"/>
  <c r="B17949" i="1"/>
  <c r="G17948" i="1"/>
  <c r="C17948" i="1"/>
  <c r="B17948" i="1"/>
  <c r="G17947" i="1"/>
  <c r="B17947" i="1"/>
  <c r="G17946" i="1"/>
  <c r="B17946" i="1"/>
  <c r="G17945" i="1"/>
  <c r="C17945" i="1"/>
  <c r="B17945" i="1"/>
  <c r="G17944" i="1"/>
  <c r="C17944" i="1"/>
  <c r="B17944" i="1"/>
  <c r="G17943" i="1"/>
  <c r="B17943" i="1"/>
  <c r="G17942" i="1"/>
  <c r="C17942" i="1"/>
  <c r="B17942" i="1"/>
  <c r="G17941" i="1"/>
  <c r="B17941" i="1"/>
  <c r="G17940" i="1"/>
  <c r="B17940" i="1"/>
  <c r="G17939" i="1"/>
  <c r="B17939" i="1"/>
  <c r="G17938" i="1"/>
  <c r="C17938" i="1"/>
  <c r="B17938" i="1"/>
  <c r="G17937" i="1"/>
  <c r="C17937" i="1"/>
  <c r="B17937" i="1"/>
  <c r="G17936" i="1"/>
  <c r="C17936" i="1"/>
  <c r="B17936" i="1"/>
  <c r="G17935" i="1"/>
  <c r="C17935" i="1"/>
  <c r="B17935" i="1"/>
  <c r="G17934" i="1"/>
  <c r="C17934" i="1"/>
  <c r="B17934" i="1"/>
  <c r="G17933" i="1"/>
  <c r="B17933" i="1"/>
  <c r="G17932" i="1"/>
  <c r="C17932" i="1"/>
  <c r="B17932" i="1"/>
  <c r="G17931" i="1"/>
  <c r="C17931" i="1"/>
  <c r="B17931" i="1"/>
  <c r="G17930" i="1"/>
  <c r="C17930" i="1"/>
  <c r="B17930" i="1"/>
  <c r="G17929" i="1"/>
  <c r="C17929" i="1"/>
  <c r="B17929" i="1"/>
  <c r="G17928" i="1"/>
  <c r="C17928" i="1"/>
  <c r="B17928" i="1"/>
  <c r="G17927" i="1"/>
  <c r="C17927" i="1"/>
  <c r="B17927" i="1"/>
  <c r="G17926" i="1"/>
  <c r="C17926" i="1"/>
  <c r="B17926" i="1"/>
  <c r="G17925" i="1"/>
  <c r="C17925" i="1"/>
  <c r="B17925" i="1"/>
  <c r="G17924" i="1"/>
  <c r="C17924" i="1"/>
  <c r="B17924" i="1"/>
  <c r="G17923" i="1"/>
  <c r="C17923" i="1"/>
  <c r="B17923" i="1"/>
  <c r="G17922" i="1"/>
  <c r="C17922" i="1"/>
  <c r="B17922" i="1"/>
  <c r="G17921" i="1"/>
  <c r="B17921" i="1"/>
  <c r="G17920" i="1"/>
  <c r="C17920" i="1"/>
  <c r="B17920" i="1"/>
  <c r="G17919" i="1"/>
  <c r="C17919" i="1"/>
  <c r="B17919" i="1"/>
  <c r="G17918" i="1"/>
  <c r="C17918" i="1"/>
  <c r="B17918" i="1"/>
  <c r="G17917" i="1"/>
  <c r="C17917" i="1"/>
  <c r="B17917" i="1"/>
  <c r="G17916" i="1"/>
  <c r="C17916" i="1"/>
  <c r="B17916" i="1"/>
  <c r="G17915" i="1"/>
  <c r="C17915" i="1"/>
  <c r="B17915" i="1"/>
  <c r="G17914" i="1"/>
  <c r="C17914" i="1"/>
  <c r="B17914" i="1"/>
  <c r="G17913" i="1"/>
  <c r="C17913" i="1"/>
  <c r="B17913" i="1"/>
  <c r="G17912" i="1"/>
  <c r="C17912" i="1"/>
  <c r="B17912" i="1"/>
  <c r="G17911" i="1"/>
  <c r="B17911" i="1"/>
  <c r="G17910" i="1"/>
  <c r="C17910" i="1"/>
  <c r="B17910" i="1"/>
  <c r="G17909" i="1"/>
  <c r="C17909" i="1"/>
  <c r="B17909" i="1"/>
  <c r="G17908" i="1"/>
  <c r="B17908" i="1"/>
  <c r="G17907" i="1"/>
  <c r="C17907" i="1"/>
  <c r="B17907" i="1"/>
  <c r="G17906" i="1"/>
  <c r="B17906" i="1"/>
  <c r="G17905" i="1"/>
  <c r="C17905" i="1"/>
  <c r="B17905" i="1"/>
  <c r="G17904" i="1"/>
  <c r="C17904" i="1"/>
  <c r="B17904" i="1"/>
  <c r="G17903" i="1"/>
  <c r="C17903" i="1"/>
  <c r="B17903" i="1"/>
  <c r="G17902" i="1"/>
  <c r="C17902" i="1"/>
  <c r="B17902" i="1"/>
  <c r="G17901" i="1"/>
  <c r="C17901" i="1"/>
  <c r="B17901" i="1"/>
  <c r="G17900" i="1"/>
  <c r="C17900" i="1"/>
  <c r="B17900" i="1"/>
  <c r="G17899" i="1"/>
  <c r="B17899" i="1"/>
  <c r="G17898" i="1"/>
  <c r="C17898" i="1"/>
  <c r="B17898" i="1"/>
  <c r="G17897" i="1"/>
  <c r="B17897" i="1"/>
  <c r="G17896" i="1"/>
  <c r="B17896" i="1"/>
  <c r="G17895" i="1"/>
  <c r="C17895" i="1"/>
  <c r="B17895" i="1"/>
  <c r="G17894" i="1"/>
  <c r="B17894" i="1"/>
  <c r="G17893" i="1"/>
  <c r="C17893" i="1"/>
  <c r="B17893" i="1"/>
  <c r="G17892" i="1"/>
  <c r="C17892" i="1"/>
  <c r="B17892" i="1"/>
  <c r="G17891" i="1"/>
  <c r="B17891" i="1"/>
  <c r="G17890" i="1"/>
  <c r="B17890" i="1"/>
  <c r="G17889" i="1"/>
  <c r="B17889" i="1"/>
  <c r="G17888" i="1"/>
  <c r="C17888" i="1"/>
  <c r="B17888" i="1"/>
  <c r="G17887" i="1"/>
  <c r="C17887" i="1"/>
  <c r="B17887" i="1"/>
  <c r="G17886" i="1"/>
  <c r="C17886" i="1"/>
  <c r="B17886" i="1"/>
  <c r="G17885" i="1"/>
  <c r="C17885" i="1"/>
  <c r="B17885" i="1"/>
  <c r="G17884" i="1"/>
  <c r="C17884" i="1"/>
  <c r="B17884" i="1"/>
  <c r="G17883" i="1"/>
  <c r="B17883" i="1"/>
  <c r="G17882" i="1"/>
  <c r="C17882" i="1"/>
  <c r="B17882" i="1"/>
  <c r="G17881" i="1"/>
  <c r="C17881" i="1"/>
  <c r="B17881" i="1"/>
  <c r="G17880" i="1"/>
  <c r="C17880" i="1"/>
  <c r="B17880" i="1"/>
  <c r="G17879" i="1"/>
  <c r="C17879" i="1"/>
  <c r="B17879" i="1"/>
  <c r="G17878" i="1"/>
  <c r="C17878" i="1"/>
  <c r="B17878" i="1"/>
  <c r="G17877" i="1"/>
  <c r="C17877" i="1"/>
  <c r="B17877" i="1"/>
  <c r="G17876" i="1"/>
  <c r="C17876" i="1"/>
  <c r="B17876" i="1"/>
  <c r="G17875" i="1"/>
  <c r="B17875" i="1"/>
  <c r="G17874" i="1"/>
  <c r="C17874" i="1"/>
  <c r="B17874" i="1"/>
  <c r="G17873" i="1"/>
  <c r="C17873" i="1"/>
  <c r="B17873" i="1"/>
  <c r="G17872" i="1"/>
  <c r="C17872" i="1"/>
  <c r="B17872" i="1"/>
  <c r="G17871" i="1"/>
  <c r="C17871" i="1"/>
  <c r="B17871" i="1"/>
  <c r="G17870" i="1"/>
  <c r="C17870" i="1"/>
  <c r="B17870" i="1"/>
  <c r="G17869" i="1"/>
  <c r="C17869" i="1"/>
  <c r="B17869" i="1"/>
  <c r="G17868" i="1"/>
  <c r="C17868" i="1"/>
  <c r="B17868" i="1"/>
  <c r="G17867" i="1"/>
  <c r="C17867" i="1"/>
  <c r="B17867" i="1"/>
  <c r="G17866" i="1"/>
  <c r="C17866" i="1"/>
  <c r="B17866" i="1"/>
  <c r="G17865" i="1"/>
  <c r="B17865" i="1"/>
  <c r="G17864" i="1"/>
  <c r="B17864" i="1"/>
  <c r="G17863" i="1"/>
  <c r="C17863" i="1"/>
  <c r="B17863" i="1"/>
  <c r="G17862" i="1"/>
  <c r="C17862" i="1"/>
  <c r="B17862" i="1"/>
  <c r="G17861" i="1"/>
  <c r="C17861" i="1"/>
  <c r="B17861" i="1"/>
  <c r="G17860" i="1"/>
  <c r="B17860" i="1"/>
  <c r="G17859" i="1"/>
  <c r="C17859" i="1"/>
  <c r="B17859" i="1"/>
  <c r="G17858" i="1"/>
  <c r="C17858" i="1"/>
  <c r="B17858" i="1"/>
  <c r="G17857" i="1"/>
  <c r="B17857" i="1"/>
  <c r="G17856" i="1"/>
  <c r="C17856" i="1"/>
  <c r="B17856" i="1"/>
  <c r="G17855" i="1"/>
  <c r="C17855" i="1"/>
  <c r="B17855" i="1"/>
  <c r="G17854" i="1"/>
  <c r="C17854" i="1"/>
  <c r="B17854" i="1"/>
  <c r="G17853" i="1"/>
  <c r="B17853" i="1"/>
  <c r="G17852" i="1"/>
  <c r="C17852" i="1"/>
  <c r="B17852" i="1"/>
  <c r="G17851" i="1"/>
  <c r="C17851" i="1"/>
  <c r="B17851" i="1"/>
  <c r="G17850" i="1"/>
  <c r="B17850" i="1"/>
  <c r="G17849" i="1"/>
  <c r="C17849" i="1"/>
  <c r="B17849" i="1"/>
  <c r="G17848" i="1"/>
  <c r="C17848" i="1"/>
  <c r="B17848" i="1"/>
  <c r="G17847" i="1"/>
  <c r="C17847" i="1"/>
  <c r="B17847" i="1"/>
  <c r="G17846" i="1"/>
  <c r="C17846" i="1"/>
  <c r="B17846" i="1"/>
  <c r="G17845" i="1"/>
  <c r="B17845" i="1"/>
  <c r="G17844" i="1"/>
  <c r="C17844" i="1"/>
  <c r="B17844" i="1"/>
  <c r="G17843" i="1"/>
  <c r="C17843" i="1"/>
  <c r="B17843" i="1"/>
  <c r="G17842" i="1"/>
  <c r="B17842" i="1"/>
  <c r="G17841" i="1"/>
  <c r="C17841" i="1"/>
  <c r="B17841" i="1"/>
  <c r="G17840" i="1"/>
  <c r="C17840" i="1"/>
  <c r="B17840" i="1"/>
  <c r="G17839" i="1"/>
  <c r="C17839" i="1"/>
  <c r="B17839" i="1"/>
  <c r="G17838" i="1"/>
  <c r="C17838" i="1"/>
  <c r="B17838" i="1"/>
  <c r="G17837" i="1"/>
  <c r="C17837" i="1"/>
  <c r="B17837" i="1"/>
  <c r="G17836" i="1"/>
  <c r="B17836" i="1"/>
  <c r="G17835" i="1"/>
  <c r="C17835" i="1"/>
  <c r="B17835" i="1"/>
  <c r="G17834" i="1"/>
  <c r="B17834" i="1"/>
  <c r="G17833" i="1"/>
  <c r="C17833" i="1"/>
  <c r="B17833" i="1"/>
  <c r="G17832" i="1"/>
  <c r="C17832" i="1"/>
  <c r="B17832" i="1"/>
  <c r="G17831" i="1"/>
  <c r="C17831" i="1"/>
  <c r="B17831" i="1"/>
  <c r="G17830" i="1"/>
  <c r="C17830" i="1"/>
  <c r="B17830" i="1"/>
  <c r="G17829" i="1"/>
  <c r="B17829" i="1"/>
  <c r="G17828" i="1"/>
  <c r="C17828" i="1"/>
  <c r="B17828" i="1"/>
  <c r="G17827" i="1"/>
  <c r="B17827" i="1"/>
  <c r="G17826" i="1"/>
  <c r="B17826" i="1"/>
  <c r="G17825" i="1"/>
  <c r="C17825" i="1"/>
  <c r="B17825" i="1"/>
  <c r="G17824" i="1"/>
  <c r="B17824" i="1"/>
  <c r="G17823" i="1"/>
  <c r="C17823" i="1"/>
  <c r="B17823" i="1"/>
  <c r="G17822" i="1"/>
  <c r="B17822" i="1"/>
  <c r="G17821" i="1"/>
  <c r="C17821" i="1"/>
  <c r="B17821" i="1"/>
  <c r="G17820" i="1"/>
  <c r="C17820" i="1"/>
  <c r="B17820" i="1"/>
  <c r="G17819" i="1"/>
  <c r="C17819" i="1"/>
  <c r="B17819" i="1"/>
  <c r="G17818" i="1"/>
  <c r="C17818" i="1"/>
  <c r="B17818" i="1"/>
  <c r="G17817" i="1"/>
  <c r="C17817" i="1"/>
  <c r="B17817" i="1"/>
  <c r="G17816" i="1"/>
  <c r="C17816" i="1"/>
  <c r="B17816" i="1"/>
  <c r="G17815" i="1"/>
  <c r="B17815" i="1"/>
  <c r="G17814" i="1"/>
  <c r="B17814" i="1"/>
  <c r="G17813" i="1"/>
  <c r="B17813" i="1"/>
  <c r="G17812" i="1"/>
  <c r="C17812" i="1"/>
  <c r="B17812" i="1"/>
  <c r="G17811" i="1"/>
  <c r="C17811" i="1"/>
  <c r="B17811" i="1"/>
  <c r="G17810" i="1"/>
  <c r="C17810" i="1"/>
  <c r="B17810" i="1"/>
  <c r="G17809" i="1"/>
  <c r="B17809" i="1"/>
  <c r="G17808" i="1"/>
  <c r="C17808" i="1"/>
  <c r="B17808" i="1"/>
  <c r="G17807" i="1"/>
  <c r="C17807" i="1"/>
  <c r="B17807" i="1"/>
  <c r="G17806" i="1"/>
  <c r="C17806" i="1"/>
  <c r="B17806" i="1"/>
  <c r="G17805" i="1"/>
  <c r="C17805" i="1"/>
  <c r="B17805" i="1"/>
  <c r="G17804" i="1"/>
  <c r="C17804" i="1"/>
  <c r="B17804" i="1"/>
  <c r="G17803" i="1"/>
  <c r="B17803" i="1"/>
  <c r="G17802" i="1"/>
  <c r="C17802" i="1"/>
  <c r="B17802" i="1"/>
  <c r="G17801" i="1"/>
  <c r="C17801" i="1"/>
  <c r="B17801" i="1"/>
  <c r="G17800" i="1"/>
  <c r="C17800" i="1"/>
  <c r="B17800" i="1"/>
  <c r="G17799" i="1"/>
  <c r="C17799" i="1"/>
  <c r="B17799" i="1"/>
  <c r="G17798" i="1"/>
  <c r="B17798" i="1"/>
  <c r="G17797" i="1"/>
  <c r="C17797" i="1"/>
  <c r="B17797" i="1"/>
  <c r="G17796" i="1"/>
  <c r="C17796" i="1"/>
  <c r="B17796" i="1"/>
  <c r="G17795" i="1"/>
  <c r="C17795" i="1"/>
  <c r="B17795" i="1"/>
  <c r="G17794" i="1"/>
  <c r="C17794" i="1"/>
  <c r="B17794" i="1"/>
  <c r="G17793" i="1"/>
  <c r="C17793" i="1"/>
  <c r="B17793" i="1"/>
  <c r="G17792" i="1"/>
  <c r="C17792" i="1"/>
  <c r="B17792" i="1"/>
  <c r="G17791" i="1"/>
  <c r="C17791" i="1"/>
  <c r="B17791" i="1"/>
  <c r="G17790" i="1"/>
  <c r="B17790" i="1"/>
  <c r="G17789" i="1"/>
  <c r="B17789" i="1"/>
  <c r="G17788" i="1"/>
  <c r="B17788" i="1"/>
  <c r="G17787" i="1"/>
  <c r="C17787" i="1"/>
  <c r="B17787" i="1"/>
  <c r="G17786" i="1"/>
  <c r="C17786" i="1"/>
  <c r="B17786" i="1"/>
  <c r="G17785" i="1"/>
  <c r="C17785" i="1"/>
  <c r="B17785" i="1"/>
  <c r="G17784" i="1"/>
  <c r="C17784" i="1"/>
  <c r="B17784" i="1"/>
  <c r="G17783" i="1"/>
  <c r="B17783" i="1"/>
  <c r="G17782" i="1"/>
  <c r="B17782" i="1"/>
  <c r="G17781" i="1"/>
  <c r="B17781" i="1"/>
  <c r="G17780" i="1"/>
  <c r="C17780" i="1"/>
  <c r="B17780" i="1"/>
  <c r="G17779" i="1"/>
  <c r="C17779" i="1"/>
  <c r="B17779" i="1"/>
  <c r="G17778" i="1"/>
  <c r="C17778" i="1"/>
  <c r="B17778" i="1"/>
  <c r="G17777" i="1"/>
  <c r="C17777" i="1"/>
  <c r="B17777" i="1"/>
  <c r="G17776" i="1"/>
  <c r="C17776" i="1"/>
  <c r="B17776" i="1"/>
  <c r="G17775" i="1"/>
  <c r="B17775" i="1"/>
  <c r="G17774" i="1"/>
  <c r="C17774" i="1"/>
  <c r="B17774" i="1"/>
  <c r="G17773" i="1"/>
  <c r="C17773" i="1"/>
  <c r="B17773" i="1"/>
  <c r="G17772" i="1"/>
  <c r="C17772" i="1"/>
  <c r="B17772" i="1"/>
  <c r="G17771" i="1"/>
  <c r="C17771" i="1"/>
  <c r="B17771" i="1"/>
  <c r="G17770" i="1"/>
  <c r="C17770" i="1"/>
  <c r="B17770" i="1"/>
  <c r="G17769" i="1"/>
  <c r="C17769" i="1"/>
  <c r="B17769" i="1"/>
  <c r="G17768" i="1"/>
  <c r="B17768" i="1"/>
  <c r="G17767" i="1"/>
  <c r="B17767" i="1"/>
  <c r="G17766" i="1"/>
  <c r="B17766" i="1"/>
  <c r="G17765" i="1"/>
  <c r="B17765" i="1"/>
  <c r="G17764" i="1"/>
  <c r="C17764" i="1"/>
  <c r="B17764" i="1"/>
  <c r="G17763" i="1"/>
  <c r="B17763" i="1"/>
  <c r="G17762" i="1"/>
  <c r="C17762" i="1"/>
  <c r="B17762" i="1"/>
  <c r="G17761" i="1"/>
  <c r="B17761" i="1"/>
  <c r="G17760" i="1"/>
  <c r="B17760" i="1"/>
  <c r="G17759" i="1"/>
  <c r="C17759" i="1"/>
  <c r="B17759" i="1"/>
  <c r="G17758" i="1"/>
  <c r="B17758" i="1"/>
  <c r="G17757" i="1"/>
  <c r="C17757" i="1"/>
  <c r="B17757" i="1"/>
  <c r="G17756" i="1"/>
  <c r="B17756" i="1"/>
  <c r="G17755" i="1"/>
  <c r="C17755" i="1"/>
  <c r="B17755" i="1"/>
  <c r="G17754" i="1"/>
  <c r="B17754" i="1"/>
  <c r="G17753" i="1"/>
  <c r="B17753" i="1"/>
  <c r="G17752" i="1"/>
  <c r="B17752" i="1"/>
  <c r="G17751" i="1"/>
  <c r="C17751" i="1"/>
  <c r="B17751" i="1"/>
  <c r="G17750" i="1"/>
  <c r="B17750" i="1"/>
  <c r="G17749" i="1"/>
  <c r="B17749" i="1"/>
  <c r="G17748" i="1"/>
  <c r="C17748" i="1"/>
  <c r="B17748" i="1"/>
  <c r="G17747" i="1"/>
  <c r="C17747" i="1"/>
  <c r="B17747" i="1"/>
  <c r="G17746" i="1"/>
  <c r="C17746" i="1"/>
  <c r="B17746" i="1"/>
  <c r="G17745" i="1"/>
  <c r="C17745" i="1"/>
  <c r="B17745" i="1"/>
  <c r="G17744" i="1"/>
  <c r="C17744" i="1"/>
  <c r="B17744" i="1"/>
  <c r="G17743" i="1"/>
  <c r="C17743" i="1"/>
  <c r="B17743" i="1"/>
  <c r="G17742" i="1"/>
  <c r="B17742" i="1"/>
  <c r="G17741" i="1"/>
  <c r="B17741" i="1"/>
  <c r="G17740" i="1"/>
  <c r="B17740" i="1"/>
  <c r="G17739" i="1"/>
  <c r="C17739" i="1"/>
  <c r="B17739" i="1"/>
  <c r="G17738" i="1"/>
  <c r="C17738" i="1"/>
  <c r="B17738" i="1"/>
  <c r="G17737" i="1"/>
  <c r="B17737" i="1"/>
  <c r="G17736" i="1"/>
  <c r="B17736" i="1"/>
  <c r="G17735" i="1"/>
  <c r="C17735" i="1"/>
  <c r="B17735" i="1"/>
  <c r="G17734" i="1"/>
  <c r="C17734" i="1"/>
  <c r="B17734" i="1"/>
  <c r="G17733" i="1"/>
  <c r="B17733" i="1"/>
  <c r="G17732" i="1"/>
  <c r="B17732" i="1"/>
  <c r="G17731" i="1"/>
  <c r="B17731" i="1"/>
  <c r="G17730" i="1"/>
  <c r="B17730" i="1"/>
  <c r="G17729" i="1"/>
  <c r="C17729" i="1"/>
  <c r="B17729" i="1"/>
  <c r="G17728" i="1"/>
  <c r="C17728" i="1"/>
  <c r="B17728" i="1"/>
  <c r="G17727" i="1"/>
  <c r="C17727" i="1"/>
  <c r="B17727" i="1"/>
  <c r="G17726" i="1"/>
  <c r="C17726" i="1"/>
  <c r="B17726" i="1"/>
  <c r="G17725" i="1"/>
  <c r="B17725" i="1"/>
  <c r="G17724" i="1"/>
  <c r="B17724" i="1"/>
  <c r="G17723" i="1"/>
  <c r="C17723" i="1"/>
  <c r="B17723" i="1"/>
  <c r="G17722" i="1"/>
  <c r="C17722" i="1"/>
  <c r="B17722" i="1"/>
  <c r="G17721" i="1"/>
  <c r="C17721" i="1"/>
  <c r="B17721" i="1"/>
  <c r="G17720" i="1"/>
  <c r="C17720" i="1"/>
  <c r="B17720" i="1"/>
  <c r="G17719" i="1"/>
  <c r="C17719" i="1"/>
  <c r="B17719" i="1"/>
  <c r="G17718" i="1"/>
  <c r="C17718" i="1"/>
  <c r="B17718" i="1"/>
  <c r="G17717" i="1"/>
  <c r="C17717" i="1"/>
  <c r="B17717" i="1"/>
  <c r="G17716" i="1"/>
  <c r="C17716" i="1"/>
  <c r="B17716" i="1"/>
  <c r="G17715" i="1"/>
  <c r="B17715" i="1"/>
  <c r="G17714" i="1"/>
  <c r="B17714" i="1"/>
  <c r="G17713" i="1"/>
  <c r="B17713" i="1"/>
  <c r="G17712" i="1"/>
  <c r="B17712" i="1"/>
  <c r="G17711" i="1"/>
  <c r="C17711" i="1"/>
  <c r="B17711" i="1"/>
  <c r="G17710" i="1"/>
  <c r="C17710" i="1"/>
  <c r="B17710" i="1"/>
  <c r="G17709" i="1"/>
  <c r="B17709" i="1"/>
  <c r="G17708" i="1"/>
  <c r="B17708" i="1"/>
  <c r="G17707" i="1"/>
  <c r="B17707" i="1"/>
  <c r="G17706" i="1"/>
  <c r="C17706" i="1"/>
  <c r="B17706" i="1"/>
  <c r="G17705" i="1"/>
  <c r="B17705" i="1"/>
  <c r="G17704" i="1"/>
  <c r="C17704" i="1"/>
  <c r="B17704" i="1"/>
  <c r="G17703" i="1"/>
  <c r="B17703" i="1"/>
  <c r="G17702" i="1"/>
  <c r="C17702" i="1"/>
  <c r="B17702" i="1"/>
  <c r="G17701" i="1"/>
  <c r="C17701" i="1"/>
  <c r="B17701" i="1"/>
  <c r="G17700" i="1"/>
  <c r="C17700" i="1"/>
  <c r="B17700" i="1"/>
  <c r="G17699" i="1"/>
  <c r="B17699" i="1"/>
  <c r="G17698" i="1"/>
  <c r="C17698" i="1"/>
  <c r="B17698" i="1"/>
  <c r="G17697" i="1"/>
  <c r="B17697" i="1"/>
  <c r="G17696" i="1"/>
  <c r="B17696" i="1"/>
  <c r="G17695" i="1"/>
  <c r="C17695" i="1"/>
  <c r="B17695" i="1"/>
  <c r="G17694" i="1"/>
  <c r="C17694" i="1"/>
  <c r="B17694" i="1"/>
  <c r="G17693" i="1"/>
  <c r="C17693" i="1"/>
  <c r="B17693" i="1"/>
  <c r="G17692" i="1"/>
  <c r="C17692" i="1"/>
  <c r="B17692" i="1"/>
  <c r="G17691" i="1"/>
  <c r="C17691" i="1"/>
  <c r="B17691" i="1"/>
  <c r="G17690" i="1"/>
  <c r="C17690" i="1"/>
  <c r="B17690" i="1"/>
  <c r="G17689" i="1"/>
  <c r="C17689" i="1"/>
  <c r="B17689" i="1"/>
  <c r="G17688" i="1"/>
  <c r="C17688" i="1"/>
  <c r="B17688" i="1"/>
  <c r="G17687" i="1"/>
  <c r="B17687" i="1"/>
  <c r="G17686" i="1"/>
  <c r="C17686" i="1"/>
  <c r="B17686" i="1"/>
  <c r="G17685" i="1"/>
  <c r="C17685" i="1"/>
  <c r="B17685" i="1"/>
  <c r="G17684" i="1"/>
  <c r="C17684" i="1"/>
  <c r="B17684" i="1"/>
  <c r="G17683" i="1"/>
  <c r="B17683" i="1"/>
  <c r="G17682" i="1"/>
  <c r="C17682" i="1"/>
  <c r="B17682" i="1"/>
  <c r="G17681" i="1"/>
  <c r="C17681" i="1"/>
  <c r="B17681" i="1"/>
  <c r="G17680" i="1"/>
  <c r="C17680" i="1"/>
  <c r="B17680" i="1"/>
  <c r="G17679" i="1"/>
  <c r="C17679" i="1"/>
  <c r="B17679" i="1"/>
  <c r="G17678" i="1"/>
  <c r="C17678" i="1"/>
  <c r="B17678" i="1"/>
  <c r="G17677" i="1"/>
  <c r="C17677" i="1"/>
  <c r="B17677" i="1"/>
  <c r="G17676" i="1"/>
  <c r="C17676" i="1"/>
  <c r="B17676" i="1"/>
  <c r="G17675" i="1"/>
  <c r="C17675" i="1"/>
  <c r="B17675" i="1"/>
  <c r="G17674" i="1"/>
  <c r="B17674" i="1"/>
  <c r="G17673" i="1"/>
  <c r="C17673" i="1"/>
  <c r="B17673" i="1"/>
  <c r="G17672" i="1"/>
  <c r="C17672" i="1"/>
  <c r="B17672" i="1"/>
  <c r="G17671" i="1"/>
  <c r="C17671" i="1"/>
  <c r="B17671" i="1"/>
  <c r="G17670" i="1"/>
  <c r="B17670" i="1"/>
  <c r="G17669" i="1"/>
  <c r="C17669" i="1"/>
  <c r="B17669" i="1"/>
  <c r="G17668" i="1"/>
  <c r="C17668" i="1"/>
  <c r="B17668" i="1"/>
  <c r="G17667" i="1"/>
  <c r="B17667" i="1"/>
  <c r="G17666" i="1"/>
  <c r="C17666" i="1"/>
  <c r="B17666" i="1"/>
  <c r="G17665" i="1"/>
  <c r="B17665" i="1"/>
  <c r="G17664" i="1"/>
  <c r="C17664" i="1"/>
  <c r="B17664" i="1"/>
  <c r="G17663" i="1"/>
  <c r="B17663" i="1"/>
  <c r="G17662" i="1"/>
  <c r="B17662" i="1"/>
  <c r="G17661" i="1"/>
  <c r="C17661" i="1"/>
  <c r="B17661" i="1"/>
  <c r="G17660" i="1"/>
  <c r="C17660" i="1"/>
  <c r="B17660" i="1"/>
  <c r="G17659" i="1"/>
  <c r="B17659" i="1"/>
  <c r="G17658" i="1"/>
  <c r="B17658" i="1"/>
  <c r="G17657" i="1"/>
  <c r="B17657" i="1"/>
  <c r="G17656" i="1"/>
  <c r="B17656" i="1"/>
  <c r="G17655" i="1"/>
  <c r="C17655" i="1"/>
  <c r="B17655" i="1"/>
  <c r="G17654" i="1"/>
  <c r="C17654" i="1"/>
  <c r="B17654" i="1"/>
  <c r="G17653" i="1"/>
  <c r="B17653" i="1"/>
  <c r="G17652" i="1"/>
  <c r="C17652" i="1"/>
  <c r="B17652" i="1"/>
  <c r="G17651" i="1"/>
  <c r="B17651" i="1"/>
  <c r="G17650" i="1"/>
  <c r="C17650" i="1"/>
  <c r="B17650" i="1"/>
  <c r="G17649" i="1"/>
  <c r="B17649" i="1"/>
  <c r="G17648" i="1"/>
  <c r="C17648" i="1"/>
  <c r="B17648" i="1"/>
  <c r="G17647" i="1"/>
  <c r="C17647" i="1"/>
  <c r="B17647" i="1"/>
  <c r="G17646" i="1"/>
  <c r="B17646" i="1"/>
  <c r="G17645" i="1"/>
  <c r="C17645" i="1"/>
  <c r="B17645" i="1"/>
  <c r="G17644" i="1"/>
  <c r="C17644" i="1"/>
  <c r="B17644" i="1"/>
  <c r="G17643" i="1"/>
  <c r="C17643" i="1"/>
  <c r="B17643" i="1"/>
  <c r="G17642" i="1"/>
  <c r="C17642" i="1"/>
  <c r="B17642" i="1"/>
  <c r="G17641" i="1"/>
  <c r="C17641" i="1"/>
  <c r="B17641" i="1"/>
  <c r="G17640" i="1"/>
  <c r="C17640" i="1"/>
  <c r="B17640" i="1"/>
  <c r="G17639" i="1"/>
  <c r="C17639" i="1"/>
  <c r="B17639" i="1"/>
  <c r="G17638" i="1"/>
  <c r="C17638" i="1"/>
  <c r="B17638" i="1"/>
  <c r="G17637" i="1"/>
  <c r="B17637" i="1"/>
  <c r="G17636" i="1"/>
  <c r="C17636" i="1"/>
  <c r="B17636" i="1"/>
  <c r="G17635" i="1"/>
  <c r="B17635" i="1"/>
  <c r="G17634" i="1"/>
  <c r="C17634" i="1"/>
  <c r="B17634" i="1"/>
  <c r="G17633" i="1"/>
  <c r="B17633" i="1"/>
  <c r="G17632" i="1"/>
  <c r="C17632" i="1"/>
  <c r="B17632" i="1"/>
  <c r="G17631" i="1"/>
  <c r="B17631" i="1"/>
  <c r="G17630" i="1"/>
  <c r="C17630" i="1"/>
  <c r="B17630" i="1"/>
  <c r="G17629" i="1"/>
  <c r="B17629" i="1"/>
  <c r="G17628" i="1"/>
  <c r="B17628" i="1"/>
  <c r="G17627" i="1"/>
  <c r="C17627" i="1"/>
  <c r="B17627" i="1"/>
  <c r="G17626" i="1"/>
  <c r="C17626" i="1"/>
  <c r="B17626" i="1"/>
  <c r="G17625" i="1"/>
  <c r="B17625" i="1"/>
  <c r="G17624" i="1"/>
  <c r="C17624" i="1"/>
  <c r="B17624" i="1"/>
  <c r="G17623" i="1"/>
  <c r="C17623" i="1"/>
  <c r="B17623" i="1"/>
  <c r="G17622" i="1"/>
  <c r="B17622" i="1"/>
  <c r="G17621" i="1"/>
  <c r="C17621" i="1"/>
  <c r="B17621" i="1"/>
  <c r="G17620" i="1"/>
  <c r="C17620" i="1"/>
  <c r="B17620" i="1"/>
  <c r="G17619" i="1"/>
  <c r="C17619" i="1"/>
  <c r="B17619" i="1"/>
  <c r="G17618" i="1"/>
  <c r="C17618" i="1"/>
  <c r="B17618" i="1"/>
  <c r="G17617" i="1"/>
  <c r="B17617" i="1"/>
  <c r="G17616" i="1"/>
  <c r="C17616" i="1"/>
  <c r="B17616" i="1"/>
  <c r="G17615" i="1"/>
  <c r="C17615" i="1"/>
  <c r="B17615" i="1"/>
  <c r="G17614" i="1"/>
  <c r="C17614" i="1"/>
  <c r="B17614" i="1"/>
  <c r="G17613" i="1"/>
  <c r="B17613" i="1"/>
  <c r="G17612" i="1"/>
  <c r="C17612" i="1"/>
  <c r="B17612" i="1"/>
  <c r="G17611" i="1"/>
  <c r="B17611" i="1"/>
  <c r="G17610" i="1"/>
  <c r="C17610" i="1"/>
  <c r="B17610" i="1"/>
  <c r="G17609" i="1"/>
  <c r="C17609" i="1"/>
  <c r="B17609" i="1"/>
  <c r="G17608" i="1"/>
  <c r="C17608" i="1"/>
  <c r="B17608" i="1"/>
  <c r="G17607" i="1"/>
  <c r="C17607" i="1"/>
  <c r="B17607" i="1"/>
  <c r="G17606" i="1"/>
  <c r="C17606" i="1"/>
  <c r="B17606" i="1"/>
  <c r="G17605" i="1"/>
  <c r="C17605" i="1"/>
  <c r="B17605" i="1"/>
  <c r="G17604" i="1"/>
  <c r="B17604" i="1"/>
  <c r="G17603" i="1"/>
  <c r="C17603" i="1"/>
  <c r="B17603" i="1"/>
  <c r="G17602" i="1"/>
  <c r="C17602" i="1"/>
  <c r="B17602" i="1"/>
  <c r="G17601" i="1"/>
  <c r="B17601" i="1"/>
  <c r="G17600" i="1"/>
  <c r="C17600" i="1"/>
  <c r="B17600" i="1"/>
  <c r="G17599" i="1"/>
  <c r="C17599" i="1"/>
  <c r="B17599" i="1"/>
  <c r="G17598" i="1"/>
  <c r="C17598" i="1"/>
  <c r="B17598" i="1"/>
  <c r="G17597" i="1"/>
  <c r="B17597" i="1"/>
  <c r="G17596" i="1"/>
  <c r="C17596" i="1"/>
  <c r="B17596" i="1"/>
  <c r="G17595" i="1"/>
  <c r="C17595" i="1"/>
  <c r="B17595" i="1"/>
  <c r="G17594" i="1"/>
  <c r="B17594" i="1"/>
  <c r="G17593" i="1"/>
  <c r="B17593" i="1"/>
  <c r="G17592" i="1"/>
  <c r="B17592" i="1"/>
  <c r="G17591" i="1"/>
  <c r="C17591" i="1"/>
  <c r="B17591" i="1"/>
  <c r="G17590" i="1"/>
  <c r="C17590" i="1"/>
  <c r="B17590" i="1"/>
  <c r="G17589" i="1"/>
  <c r="C17589" i="1"/>
  <c r="B17589" i="1"/>
  <c r="G17588" i="1"/>
  <c r="C17588" i="1"/>
  <c r="B17588" i="1"/>
  <c r="G17587" i="1"/>
  <c r="C17587" i="1"/>
  <c r="B17587" i="1"/>
  <c r="G17586" i="1"/>
  <c r="B17586" i="1"/>
  <c r="G17585" i="1"/>
  <c r="C17585" i="1"/>
  <c r="B17585" i="1"/>
  <c r="G17584" i="1"/>
  <c r="C17584" i="1"/>
  <c r="B17584" i="1"/>
  <c r="G17583" i="1"/>
  <c r="C17583" i="1"/>
  <c r="B17583" i="1"/>
  <c r="G17582" i="1"/>
  <c r="C17582" i="1"/>
  <c r="B17582" i="1"/>
  <c r="G17581" i="1"/>
  <c r="B17581" i="1"/>
  <c r="G17580" i="1"/>
  <c r="B17580" i="1"/>
  <c r="G17579" i="1"/>
  <c r="C17579" i="1"/>
  <c r="B17579" i="1"/>
  <c r="G17578" i="1"/>
  <c r="C17578" i="1"/>
  <c r="B17578" i="1"/>
  <c r="G17577" i="1"/>
  <c r="B17577" i="1"/>
  <c r="G17576" i="1"/>
  <c r="C17576" i="1"/>
  <c r="B17576" i="1"/>
  <c r="G17575" i="1"/>
  <c r="C17575" i="1"/>
  <c r="B17575" i="1"/>
  <c r="G17574" i="1"/>
  <c r="C17574" i="1"/>
  <c r="B17574" i="1"/>
  <c r="G17573" i="1"/>
  <c r="B17573" i="1"/>
  <c r="G17572" i="1"/>
  <c r="B17572" i="1"/>
  <c r="G17571" i="1"/>
  <c r="C17571" i="1"/>
  <c r="B17571" i="1"/>
  <c r="G17570" i="1"/>
  <c r="B17570" i="1"/>
  <c r="G17569" i="1"/>
  <c r="C17569" i="1"/>
  <c r="B17569" i="1"/>
  <c r="G17568" i="1"/>
  <c r="C17568" i="1"/>
  <c r="B17568" i="1"/>
  <c r="G17567" i="1"/>
  <c r="C17567" i="1"/>
  <c r="B17567" i="1"/>
  <c r="G17566" i="1"/>
  <c r="C17566" i="1"/>
  <c r="B17566" i="1"/>
  <c r="G17565" i="1"/>
  <c r="B17565" i="1"/>
  <c r="G17564" i="1"/>
  <c r="C17564" i="1"/>
  <c r="B17564" i="1"/>
  <c r="G17563" i="1"/>
  <c r="B17563" i="1"/>
  <c r="G17562" i="1"/>
  <c r="C17562" i="1"/>
  <c r="B17562" i="1"/>
  <c r="G17561" i="1"/>
  <c r="B17561" i="1"/>
  <c r="G17560" i="1"/>
  <c r="B17560" i="1"/>
  <c r="G17559" i="1"/>
  <c r="C17559" i="1"/>
  <c r="B17559" i="1"/>
  <c r="G17558" i="1"/>
  <c r="C17558" i="1"/>
  <c r="B17558" i="1"/>
  <c r="G17557" i="1"/>
  <c r="C17557" i="1"/>
  <c r="B17557" i="1"/>
  <c r="G17556" i="1"/>
  <c r="C17556" i="1"/>
  <c r="B17556" i="1"/>
  <c r="G17555" i="1"/>
  <c r="B17555" i="1"/>
  <c r="G17554" i="1"/>
  <c r="C17554" i="1"/>
  <c r="B17554" i="1"/>
  <c r="G17553" i="1"/>
  <c r="C17553" i="1"/>
  <c r="B17553" i="1"/>
  <c r="G17552" i="1"/>
  <c r="C17552" i="1"/>
  <c r="B17552" i="1"/>
  <c r="G17551" i="1"/>
  <c r="B17551" i="1"/>
  <c r="G17550" i="1"/>
  <c r="C17550" i="1"/>
  <c r="B17550" i="1"/>
  <c r="G17549" i="1"/>
  <c r="C17549" i="1"/>
  <c r="B17549" i="1"/>
  <c r="G17548" i="1"/>
  <c r="C17548" i="1"/>
  <c r="B17548" i="1"/>
  <c r="G17547" i="1"/>
  <c r="C17547" i="1"/>
  <c r="B17547" i="1"/>
  <c r="G17546" i="1"/>
  <c r="B17546" i="1"/>
  <c r="G17545" i="1"/>
  <c r="B17545" i="1"/>
  <c r="G17544" i="1"/>
  <c r="B17544" i="1"/>
  <c r="G17543" i="1"/>
  <c r="C17543" i="1"/>
  <c r="B17543" i="1"/>
  <c r="G17542" i="1"/>
  <c r="C17542" i="1"/>
  <c r="B17542" i="1"/>
  <c r="G17541" i="1"/>
  <c r="C17541" i="1"/>
  <c r="B17541" i="1"/>
  <c r="G17540" i="1"/>
  <c r="C17540" i="1"/>
  <c r="B17540" i="1"/>
  <c r="G17539" i="1"/>
  <c r="B17539" i="1"/>
  <c r="G17538" i="1"/>
  <c r="C17538" i="1"/>
  <c r="B17538" i="1"/>
  <c r="G17537" i="1"/>
  <c r="C17537" i="1"/>
  <c r="B17537" i="1"/>
  <c r="G17536" i="1"/>
  <c r="B17536" i="1"/>
  <c r="G17535" i="1"/>
  <c r="C17535" i="1"/>
  <c r="B17535" i="1"/>
  <c r="G17534" i="1"/>
  <c r="C17534" i="1"/>
  <c r="B17534" i="1"/>
  <c r="G17533" i="1"/>
  <c r="B17533" i="1"/>
  <c r="G17532" i="1"/>
  <c r="B17532" i="1"/>
  <c r="G17531" i="1"/>
  <c r="C17531" i="1"/>
  <c r="B17531" i="1"/>
  <c r="G17530" i="1"/>
  <c r="B17530" i="1"/>
  <c r="G17529" i="1"/>
  <c r="C17529" i="1"/>
  <c r="B17529" i="1"/>
  <c r="G17528" i="1"/>
  <c r="C17528" i="1"/>
  <c r="B17528" i="1"/>
  <c r="G17527" i="1"/>
  <c r="C17527" i="1"/>
  <c r="B17527" i="1"/>
  <c r="G17526" i="1"/>
  <c r="B17526" i="1"/>
  <c r="G17525" i="1"/>
  <c r="B17525" i="1"/>
  <c r="G17524" i="1"/>
  <c r="C17524" i="1"/>
  <c r="B17524" i="1"/>
  <c r="G17523" i="1"/>
  <c r="B17523" i="1"/>
  <c r="G17522" i="1"/>
  <c r="C17522" i="1"/>
  <c r="B17522" i="1"/>
  <c r="G17521" i="1"/>
  <c r="C17521" i="1"/>
  <c r="B17521" i="1"/>
  <c r="G17520" i="1"/>
  <c r="C17520" i="1"/>
  <c r="B17520" i="1"/>
  <c r="G17519" i="1"/>
  <c r="B17519" i="1"/>
  <c r="G17518" i="1"/>
  <c r="C17518" i="1"/>
  <c r="B17518" i="1"/>
  <c r="G17517" i="1"/>
  <c r="C17517" i="1"/>
  <c r="B17517" i="1"/>
  <c r="G17516" i="1"/>
  <c r="C17516" i="1"/>
  <c r="B17516" i="1"/>
  <c r="G17515" i="1"/>
  <c r="C17515" i="1"/>
  <c r="B17515" i="1"/>
  <c r="G17514" i="1"/>
  <c r="C17514" i="1"/>
  <c r="B17514" i="1"/>
  <c r="G17513" i="1"/>
  <c r="B17513" i="1"/>
  <c r="G17512" i="1"/>
  <c r="B17512" i="1"/>
  <c r="G17511" i="1"/>
  <c r="C17511" i="1"/>
  <c r="B17511" i="1"/>
  <c r="G17510" i="1"/>
  <c r="C17510" i="1"/>
  <c r="B17510" i="1"/>
  <c r="G17509" i="1"/>
  <c r="C17509" i="1"/>
  <c r="B17509" i="1"/>
  <c r="G17508" i="1"/>
  <c r="C17508" i="1"/>
  <c r="B17508" i="1"/>
  <c r="G17507" i="1"/>
  <c r="B17507" i="1"/>
  <c r="G17506" i="1"/>
  <c r="C17506" i="1"/>
  <c r="B17506" i="1"/>
  <c r="G17505" i="1"/>
  <c r="B17505" i="1"/>
  <c r="G17504" i="1"/>
  <c r="C17504" i="1"/>
  <c r="B17504" i="1"/>
  <c r="G17503" i="1"/>
  <c r="C17503" i="1"/>
  <c r="B17503" i="1"/>
  <c r="G17502" i="1"/>
  <c r="C17502" i="1"/>
  <c r="B17502" i="1"/>
  <c r="G17501" i="1"/>
  <c r="C17501" i="1"/>
  <c r="B17501" i="1"/>
  <c r="G17500" i="1"/>
  <c r="C17500" i="1"/>
  <c r="B17500" i="1"/>
  <c r="G17499" i="1"/>
  <c r="B17499" i="1"/>
  <c r="G17498" i="1"/>
  <c r="C17498" i="1"/>
  <c r="B17498" i="1"/>
  <c r="G17497" i="1"/>
  <c r="C17497" i="1"/>
  <c r="B17497" i="1"/>
  <c r="G17496" i="1"/>
  <c r="C17496" i="1"/>
  <c r="B17496" i="1"/>
  <c r="G17495" i="1"/>
  <c r="C17495" i="1"/>
  <c r="B17495" i="1"/>
  <c r="G17494" i="1"/>
  <c r="C17494" i="1"/>
  <c r="B17494" i="1"/>
  <c r="G17493" i="1"/>
  <c r="C17493" i="1"/>
  <c r="B17493" i="1"/>
  <c r="G17492" i="1"/>
  <c r="B17492" i="1"/>
  <c r="G17491" i="1"/>
  <c r="B17491" i="1"/>
  <c r="G17490" i="1"/>
  <c r="C17490" i="1"/>
  <c r="B17490" i="1"/>
  <c r="G17489" i="1"/>
  <c r="C17489" i="1"/>
  <c r="B17489" i="1"/>
  <c r="G17488" i="1"/>
  <c r="C17488" i="1"/>
  <c r="B17488" i="1"/>
  <c r="G17487" i="1"/>
  <c r="B17487" i="1"/>
  <c r="G17486" i="1"/>
  <c r="C17486" i="1"/>
  <c r="B17486" i="1"/>
  <c r="G17485" i="1"/>
  <c r="B17485" i="1"/>
  <c r="G17484" i="1"/>
  <c r="C17484" i="1"/>
  <c r="B17484" i="1"/>
  <c r="G17483" i="1"/>
  <c r="C17483" i="1"/>
  <c r="B17483" i="1"/>
  <c r="G17482" i="1"/>
  <c r="C17482" i="1"/>
  <c r="B17482" i="1"/>
  <c r="G17481" i="1"/>
  <c r="B17481" i="1"/>
  <c r="G17480" i="1"/>
  <c r="C17480" i="1"/>
  <c r="B17480" i="1"/>
  <c r="G17479" i="1"/>
  <c r="B17479" i="1"/>
  <c r="G17478" i="1"/>
  <c r="C17478" i="1"/>
  <c r="B17478" i="1"/>
  <c r="G17477" i="1"/>
  <c r="C17477" i="1"/>
  <c r="B17477" i="1"/>
  <c r="G17476" i="1"/>
  <c r="C17476" i="1"/>
  <c r="B17476" i="1"/>
  <c r="G17475" i="1"/>
  <c r="C17475" i="1"/>
  <c r="B17475" i="1"/>
  <c r="G17474" i="1"/>
  <c r="B17474" i="1"/>
  <c r="G17473" i="1"/>
  <c r="B17473" i="1"/>
  <c r="G17472" i="1"/>
  <c r="C17472" i="1"/>
  <c r="B17472" i="1"/>
  <c r="G17471" i="1"/>
  <c r="C17471" i="1"/>
  <c r="B17471" i="1"/>
  <c r="G17470" i="1"/>
  <c r="C17470" i="1"/>
  <c r="B17470" i="1"/>
  <c r="G17469" i="1"/>
  <c r="C17469" i="1"/>
  <c r="B17469" i="1"/>
  <c r="G17468" i="1"/>
  <c r="C17468" i="1"/>
  <c r="B17468" i="1"/>
  <c r="G17467" i="1"/>
  <c r="B17467" i="1"/>
  <c r="G17466" i="1"/>
  <c r="C17466" i="1"/>
  <c r="B17466" i="1"/>
  <c r="G17465" i="1"/>
  <c r="B17465" i="1"/>
  <c r="G17464" i="1"/>
  <c r="B17464" i="1"/>
  <c r="G17463" i="1"/>
  <c r="C17463" i="1"/>
  <c r="B17463" i="1"/>
  <c r="G17462" i="1"/>
  <c r="B17462" i="1"/>
  <c r="G17461" i="1"/>
  <c r="C17461" i="1"/>
  <c r="B17461" i="1"/>
  <c r="G17460" i="1"/>
  <c r="C17460" i="1"/>
  <c r="B17460" i="1"/>
  <c r="G17459" i="1"/>
  <c r="C17459" i="1"/>
  <c r="B17459" i="1"/>
  <c r="G17458" i="1"/>
  <c r="B17458" i="1"/>
  <c r="G17457" i="1"/>
  <c r="C17457" i="1"/>
  <c r="B17457" i="1"/>
  <c r="G17456" i="1"/>
  <c r="B17456" i="1"/>
  <c r="G17455" i="1"/>
  <c r="C17455" i="1"/>
  <c r="B17455" i="1"/>
  <c r="G17454" i="1"/>
  <c r="C17454" i="1"/>
  <c r="B17454" i="1"/>
  <c r="G17453" i="1"/>
  <c r="C17453" i="1"/>
  <c r="B17453" i="1"/>
  <c r="G17452" i="1"/>
  <c r="B17452" i="1"/>
  <c r="G17451" i="1"/>
  <c r="B17451" i="1"/>
  <c r="G17450" i="1"/>
  <c r="B17450" i="1"/>
  <c r="G17449" i="1"/>
  <c r="C17449" i="1"/>
  <c r="B17449" i="1"/>
  <c r="G17448" i="1"/>
  <c r="C17448" i="1"/>
  <c r="B17448" i="1"/>
  <c r="G17447" i="1"/>
  <c r="B17447" i="1"/>
  <c r="G17446" i="1"/>
  <c r="C17446" i="1"/>
  <c r="B17446" i="1"/>
  <c r="G17445" i="1"/>
  <c r="C17445" i="1"/>
  <c r="B17445" i="1"/>
  <c r="G17444" i="1"/>
  <c r="B17444" i="1"/>
  <c r="G17443" i="1"/>
  <c r="B17443" i="1"/>
  <c r="G17442" i="1"/>
  <c r="B17442" i="1"/>
  <c r="G17441" i="1"/>
  <c r="B17441" i="1"/>
  <c r="G17440" i="1"/>
  <c r="C17440" i="1"/>
  <c r="B17440" i="1"/>
  <c r="G17439" i="1"/>
  <c r="C17439" i="1"/>
  <c r="B17439" i="1"/>
  <c r="G17438" i="1"/>
  <c r="C17438" i="1"/>
  <c r="B17438" i="1"/>
  <c r="G17437" i="1"/>
  <c r="C17437" i="1"/>
  <c r="B17437" i="1"/>
  <c r="G17436" i="1"/>
  <c r="B17436" i="1"/>
  <c r="G17435" i="1"/>
  <c r="C17435" i="1"/>
  <c r="B17435" i="1"/>
  <c r="G17434" i="1"/>
  <c r="C17434" i="1"/>
  <c r="B17434" i="1"/>
  <c r="G17433" i="1"/>
  <c r="B17433" i="1"/>
  <c r="G17432" i="1"/>
  <c r="B17432" i="1"/>
  <c r="G17431" i="1"/>
  <c r="C17431" i="1"/>
  <c r="B17431" i="1"/>
  <c r="G17430" i="1"/>
  <c r="C17430" i="1"/>
  <c r="B17430" i="1"/>
  <c r="G17429" i="1"/>
  <c r="C17429" i="1"/>
  <c r="B17429" i="1"/>
  <c r="G17428" i="1"/>
  <c r="C17428" i="1"/>
  <c r="B17428" i="1"/>
  <c r="G17427" i="1"/>
  <c r="B17427" i="1"/>
  <c r="G17426" i="1"/>
  <c r="C17426" i="1"/>
  <c r="B17426" i="1"/>
  <c r="G17425" i="1"/>
  <c r="C17425" i="1"/>
  <c r="B17425" i="1"/>
  <c r="G17424" i="1"/>
  <c r="C17424" i="1"/>
  <c r="B17424" i="1"/>
  <c r="G17423" i="1"/>
  <c r="C17423" i="1"/>
  <c r="B17423" i="1"/>
  <c r="G17422" i="1"/>
  <c r="C17422" i="1"/>
  <c r="B17422" i="1"/>
  <c r="G17421" i="1"/>
  <c r="C17421" i="1"/>
  <c r="B17421" i="1"/>
  <c r="G17420" i="1"/>
  <c r="C17420" i="1"/>
  <c r="B17420" i="1"/>
  <c r="G17419" i="1"/>
  <c r="B17419" i="1"/>
  <c r="G17418" i="1"/>
  <c r="B17418" i="1"/>
  <c r="G17417" i="1"/>
  <c r="C17417" i="1"/>
  <c r="B17417" i="1"/>
  <c r="G17416" i="1"/>
  <c r="C17416" i="1"/>
  <c r="B17416" i="1"/>
  <c r="G17415" i="1"/>
  <c r="C17415" i="1"/>
  <c r="B17415" i="1"/>
  <c r="G17414" i="1"/>
  <c r="C17414" i="1"/>
  <c r="B17414" i="1"/>
  <c r="G17413" i="1"/>
  <c r="C17413" i="1"/>
  <c r="B17413" i="1"/>
  <c r="G17412" i="1"/>
  <c r="C17412" i="1"/>
  <c r="B17412" i="1"/>
  <c r="G17411" i="1"/>
  <c r="C17411" i="1"/>
  <c r="B17411" i="1"/>
  <c r="G17410" i="1"/>
  <c r="C17410" i="1"/>
  <c r="B17410" i="1"/>
  <c r="G17409" i="1"/>
  <c r="C17409" i="1"/>
  <c r="B17409" i="1"/>
  <c r="G17408" i="1"/>
  <c r="C17408" i="1"/>
  <c r="B17408" i="1"/>
  <c r="G17407" i="1"/>
  <c r="C17407" i="1"/>
  <c r="B17407" i="1"/>
  <c r="G17406" i="1"/>
  <c r="C17406" i="1"/>
  <c r="B17406" i="1"/>
  <c r="G17405" i="1"/>
  <c r="B17405" i="1"/>
  <c r="G17404" i="1"/>
  <c r="C17404" i="1"/>
  <c r="B17404" i="1"/>
  <c r="G17403" i="1"/>
  <c r="C17403" i="1"/>
  <c r="B17403" i="1"/>
  <c r="G17402" i="1"/>
  <c r="C17402" i="1"/>
  <c r="B17402" i="1"/>
  <c r="G17401" i="1"/>
  <c r="C17401" i="1"/>
  <c r="B17401" i="1"/>
  <c r="G17400" i="1"/>
  <c r="C17400" i="1"/>
  <c r="B17400" i="1"/>
  <c r="G17399" i="1"/>
  <c r="C17399" i="1"/>
  <c r="B17399" i="1"/>
  <c r="G17398" i="1"/>
  <c r="C17398" i="1"/>
  <c r="B17398" i="1"/>
  <c r="G17397" i="1"/>
  <c r="C17397" i="1"/>
  <c r="B17397" i="1"/>
  <c r="G17396" i="1"/>
  <c r="C17396" i="1"/>
  <c r="B17396" i="1"/>
  <c r="G17395" i="1"/>
  <c r="C17395" i="1"/>
  <c r="B17395" i="1"/>
  <c r="G17394" i="1"/>
  <c r="C17394" i="1"/>
  <c r="B17394" i="1"/>
  <c r="G17393" i="1"/>
  <c r="C17393" i="1"/>
  <c r="B17393" i="1"/>
  <c r="G17392" i="1"/>
  <c r="C17392" i="1"/>
  <c r="B17392" i="1"/>
  <c r="G17391" i="1"/>
  <c r="B17391" i="1"/>
  <c r="G17390" i="1"/>
  <c r="C17390" i="1"/>
  <c r="B17390" i="1"/>
  <c r="G17389" i="1"/>
  <c r="C17389" i="1"/>
  <c r="B17389" i="1"/>
  <c r="G17388" i="1"/>
  <c r="C17388" i="1"/>
  <c r="B17388" i="1"/>
  <c r="G17387" i="1"/>
  <c r="C17387" i="1"/>
  <c r="B17387" i="1"/>
  <c r="G17386" i="1"/>
  <c r="C17386" i="1"/>
  <c r="B17386" i="1"/>
  <c r="G17385" i="1"/>
  <c r="B17385" i="1"/>
  <c r="G17384" i="1"/>
  <c r="C17384" i="1"/>
  <c r="B17384" i="1"/>
  <c r="G17383" i="1"/>
  <c r="C17383" i="1"/>
  <c r="B17383" i="1"/>
  <c r="G17382" i="1"/>
  <c r="C17382" i="1"/>
  <c r="B17382" i="1"/>
  <c r="G17381" i="1"/>
  <c r="C17381" i="1"/>
  <c r="B17381" i="1"/>
  <c r="G17380" i="1"/>
  <c r="B17380" i="1"/>
  <c r="G17379" i="1"/>
  <c r="C17379" i="1"/>
  <c r="B17379" i="1"/>
  <c r="G17378" i="1"/>
  <c r="B17378" i="1"/>
  <c r="G17377" i="1"/>
  <c r="C17377" i="1"/>
  <c r="B17377" i="1"/>
  <c r="G17376" i="1"/>
  <c r="C17376" i="1"/>
  <c r="B17376" i="1"/>
  <c r="G17375" i="1"/>
  <c r="C17375" i="1"/>
  <c r="B17375" i="1"/>
  <c r="G17374" i="1"/>
  <c r="B17374" i="1"/>
  <c r="G17373" i="1"/>
  <c r="B17373" i="1"/>
  <c r="G17372" i="1"/>
  <c r="C17372" i="1"/>
  <c r="B17372" i="1"/>
  <c r="G17371" i="1"/>
  <c r="C17371" i="1"/>
  <c r="B17371" i="1"/>
  <c r="G17370" i="1"/>
  <c r="C17370" i="1"/>
  <c r="B17370" i="1"/>
  <c r="G17369" i="1"/>
  <c r="C17369" i="1"/>
  <c r="B17369" i="1"/>
  <c r="G17368" i="1"/>
  <c r="C17368" i="1"/>
  <c r="B17368" i="1"/>
  <c r="G17367" i="1"/>
  <c r="B17367" i="1"/>
  <c r="G17366" i="1"/>
  <c r="C17366" i="1"/>
  <c r="B17366" i="1"/>
  <c r="G17365" i="1"/>
  <c r="C17365" i="1"/>
  <c r="B17365" i="1"/>
  <c r="G17364" i="1"/>
  <c r="C17364" i="1"/>
  <c r="B17364" i="1"/>
  <c r="G17363" i="1"/>
  <c r="C17363" i="1"/>
  <c r="B17363" i="1"/>
  <c r="G17362" i="1"/>
  <c r="C17362" i="1"/>
  <c r="B17362" i="1"/>
  <c r="G17361" i="1"/>
  <c r="C17361" i="1"/>
  <c r="B17361" i="1"/>
  <c r="G17360" i="1"/>
  <c r="C17360" i="1"/>
  <c r="B17360" i="1"/>
  <c r="G17359" i="1"/>
  <c r="C17359" i="1"/>
  <c r="B17359" i="1"/>
  <c r="G17358" i="1"/>
  <c r="C17358" i="1"/>
  <c r="B17358" i="1"/>
  <c r="G17357" i="1"/>
  <c r="B17357" i="1"/>
  <c r="G17356" i="1"/>
  <c r="B17356" i="1"/>
  <c r="G17355" i="1"/>
  <c r="C17355" i="1"/>
  <c r="B17355" i="1"/>
  <c r="G17354" i="1"/>
  <c r="C17354" i="1"/>
  <c r="B17354" i="1"/>
  <c r="G17353" i="1"/>
  <c r="C17353" i="1"/>
  <c r="B17353" i="1"/>
  <c r="G17352" i="1"/>
  <c r="C17352" i="1"/>
  <c r="B17352" i="1"/>
  <c r="G17351" i="1"/>
  <c r="C17351" i="1"/>
  <c r="B17351" i="1"/>
  <c r="G17350" i="1"/>
  <c r="C17350" i="1"/>
  <c r="B17350" i="1"/>
  <c r="G17349" i="1"/>
  <c r="B17349" i="1"/>
  <c r="G17348" i="1"/>
  <c r="C17348" i="1"/>
  <c r="B17348" i="1"/>
  <c r="G17347" i="1"/>
  <c r="C17347" i="1"/>
  <c r="B17347" i="1"/>
  <c r="G17346" i="1"/>
  <c r="B17346" i="1"/>
  <c r="G17345" i="1"/>
  <c r="C17345" i="1"/>
  <c r="B17345" i="1"/>
  <c r="G17344" i="1"/>
  <c r="B17344" i="1"/>
  <c r="G17343" i="1"/>
  <c r="B17343" i="1"/>
  <c r="G17342" i="1"/>
  <c r="C17342" i="1"/>
  <c r="B17342" i="1"/>
  <c r="G17341" i="1"/>
  <c r="C17341" i="1"/>
  <c r="B17341" i="1"/>
  <c r="G17340" i="1"/>
  <c r="C17340" i="1"/>
  <c r="B17340" i="1"/>
  <c r="G17339" i="1"/>
  <c r="B17339" i="1"/>
  <c r="G17338" i="1"/>
  <c r="C17338" i="1"/>
  <c r="B17338" i="1"/>
  <c r="G17337" i="1"/>
  <c r="C17337" i="1"/>
  <c r="B17337" i="1"/>
  <c r="G17336" i="1"/>
  <c r="C17336" i="1"/>
  <c r="B17336" i="1"/>
  <c r="G17335" i="1"/>
  <c r="B17335" i="1"/>
  <c r="G17334" i="1"/>
  <c r="C17334" i="1"/>
  <c r="B17334" i="1"/>
  <c r="G17333" i="1"/>
  <c r="B17333" i="1"/>
  <c r="G17332" i="1"/>
  <c r="C17332" i="1"/>
  <c r="B17332" i="1"/>
  <c r="G17331" i="1"/>
  <c r="C17331" i="1"/>
  <c r="B17331" i="1"/>
  <c r="G17330" i="1"/>
  <c r="B17330" i="1"/>
  <c r="G17329" i="1"/>
  <c r="C17329" i="1"/>
  <c r="B17329" i="1"/>
  <c r="G17328" i="1"/>
  <c r="C17328" i="1"/>
  <c r="B17328" i="1"/>
  <c r="G17327" i="1"/>
  <c r="C17327" i="1"/>
  <c r="B17327" i="1"/>
  <c r="G17326" i="1"/>
  <c r="C17326" i="1"/>
  <c r="B17326" i="1"/>
  <c r="G17325" i="1"/>
  <c r="C17325" i="1"/>
  <c r="B17325" i="1"/>
  <c r="G17324" i="1"/>
  <c r="B17324" i="1"/>
  <c r="G17323" i="1"/>
  <c r="C17323" i="1"/>
  <c r="B17323" i="1"/>
  <c r="G17322" i="1"/>
  <c r="C17322" i="1"/>
  <c r="B17322" i="1"/>
  <c r="G17321" i="1"/>
  <c r="C17321" i="1"/>
  <c r="B17321" i="1"/>
  <c r="G17320" i="1"/>
  <c r="C17320" i="1"/>
  <c r="B17320" i="1"/>
  <c r="G17319" i="1"/>
  <c r="B17319" i="1"/>
  <c r="G17318" i="1"/>
  <c r="B17318" i="1"/>
  <c r="G17317" i="1"/>
  <c r="C17317" i="1"/>
  <c r="B17317" i="1"/>
  <c r="G17316" i="1"/>
  <c r="C17316" i="1"/>
  <c r="B17316" i="1"/>
  <c r="G17315" i="1"/>
  <c r="C17315" i="1"/>
  <c r="B17315" i="1"/>
  <c r="G17314" i="1"/>
  <c r="C17314" i="1"/>
  <c r="B17314" i="1"/>
  <c r="G17313" i="1"/>
  <c r="B17313" i="1"/>
  <c r="G17312" i="1"/>
  <c r="B17312" i="1"/>
  <c r="G17311" i="1"/>
  <c r="C17311" i="1"/>
  <c r="B17311" i="1"/>
  <c r="G17310" i="1"/>
  <c r="C17310" i="1"/>
  <c r="B17310" i="1"/>
  <c r="G17309" i="1"/>
  <c r="C17309" i="1"/>
  <c r="B17309" i="1"/>
  <c r="G17308" i="1"/>
  <c r="C17308" i="1"/>
  <c r="B17308" i="1"/>
  <c r="G17307" i="1"/>
  <c r="C17307" i="1"/>
  <c r="B17307" i="1"/>
  <c r="G17306" i="1"/>
  <c r="C17306" i="1"/>
  <c r="B17306" i="1"/>
  <c r="G17305" i="1"/>
  <c r="C17305" i="1"/>
  <c r="B17305" i="1"/>
  <c r="G17304" i="1"/>
  <c r="B17304" i="1"/>
  <c r="G17303" i="1"/>
  <c r="C17303" i="1"/>
  <c r="B17303" i="1"/>
  <c r="G17302" i="1"/>
  <c r="C17302" i="1"/>
  <c r="B17302" i="1"/>
  <c r="G17301" i="1"/>
  <c r="C17301" i="1"/>
  <c r="B17301" i="1"/>
  <c r="G17300" i="1"/>
  <c r="C17300" i="1"/>
  <c r="B17300" i="1"/>
  <c r="G17299" i="1"/>
  <c r="B17299" i="1"/>
  <c r="G17298" i="1"/>
  <c r="C17298" i="1"/>
  <c r="B17298" i="1"/>
  <c r="G17297" i="1"/>
  <c r="C17297" i="1"/>
  <c r="B17297" i="1"/>
  <c r="G17296" i="1"/>
  <c r="C17296" i="1"/>
  <c r="B17296" i="1"/>
  <c r="G17295" i="1"/>
  <c r="C17295" i="1"/>
  <c r="B17295" i="1"/>
  <c r="G17294" i="1"/>
  <c r="B17294" i="1"/>
  <c r="G17293" i="1"/>
  <c r="C17293" i="1"/>
  <c r="B17293" i="1"/>
  <c r="G17292" i="1"/>
  <c r="C17292" i="1"/>
  <c r="B17292" i="1"/>
  <c r="G17291" i="1"/>
  <c r="C17291" i="1"/>
  <c r="B17291" i="1"/>
  <c r="G17290" i="1"/>
  <c r="C17290" i="1"/>
  <c r="B17290" i="1"/>
  <c r="G17289" i="1"/>
  <c r="C17289" i="1"/>
  <c r="B17289" i="1"/>
  <c r="G17288" i="1"/>
  <c r="C17288" i="1"/>
  <c r="B17288" i="1"/>
  <c r="G17287" i="1"/>
  <c r="C17287" i="1"/>
  <c r="B17287" i="1"/>
  <c r="G17286" i="1"/>
  <c r="B17286" i="1"/>
  <c r="G17285" i="1"/>
  <c r="C17285" i="1"/>
  <c r="B17285" i="1"/>
  <c r="G17284" i="1"/>
  <c r="C17284" i="1"/>
  <c r="B17284" i="1"/>
  <c r="G17283" i="1"/>
  <c r="C17283" i="1"/>
  <c r="B17283" i="1"/>
  <c r="G17282" i="1"/>
  <c r="C17282" i="1"/>
  <c r="B17282" i="1"/>
  <c r="G17281" i="1"/>
  <c r="C17281" i="1"/>
  <c r="B17281" i="1"/>
  <c r="G17280" i="1"/>
  <c r="C17280" i="1"/>
  <c r="B17280" i="1"/>
  <c r="G17279" i="1"/>
  <c r="B17279" i="1"/>
  <c r="G17278" i="1"/>
  <c r="C17278" i="1"/>
  <c r="B17278" i="1"/>
  <c r="G17277" i="1"/>
  <c r="C17277" i="1"/>
  <c r="B17277" i="1"/>
  <c r="G17276" i="1"/>
  <c r="B17276" i="1"/>
  <c r="G17275" i="1"/>
  <c r="C17275" i="1"/>
  <c r="B17275" i="1"/>
  <c r="G17274" i="1"/>
  <c r="B17274" i="1"/>
  <c r="G17273" i="1"/>
  <c r="C17273" i="1"/>
  <c r="B17273" i="1"/>
  <c r="G17272" i="1"/>
  <c r="C17272" i="1"/>
  <c r="B17272" i="1"/>
  <c r="G17271" i="1"/>
  <c r="B17271" i="1"/>
  <c r="G17270" i="1"/>
  <c r="C17270" i="1"/>
  <c r="B17270" i="1"/>
  <c r="G17269" i="1"/>
  <c r="C17269" i="1"/>
  <c r="B17269" i="1"/>
  <c r="G17268" i="1"/>
  <c r="C17268" i="1"/>
  <c r="B17268" i="1"/>
  <c r="G17267" i="1"/>
  <c r="B17267" i="1"/>
  <c r="G17266" i="1"/>
  <c r="B17266" i="1"/>
  <c r="G17265" i="1"/>
  <c r="C17265" i="1"/>
  <c r="B17265" i="1"/>
  <c r="G17264" i="1"/>
  <c r="C17264" i="1"/>
  <c r="B17264" i="1"/>
  <c r="G17263" i="1"/>
  <c r="C17263" i="1"/>
  <c r="B17263" i="1"/>
  <c r="G17262" i="1"/>
  <c r="B17262" i="1"/>
  <c r="G17261" i="1"/>
  <c r="C17261" i="1"/>
  <c r="B17261" i="1"/>
  <c r="G17260" i="1"/>
  <c r="C17260" i="1"/>
  <c r="B17260" i="1"/>
  <c r="G17259" i="1"/>
  <c r="C17259" i="1"/>
  <c r="B17259" i="1"/>
  <c r="G17258" i="1"/>
  <c r="C17258" i="1"/>
  <c r="B17258" i="1"/>
  <c r="G17257" i="1"/>
  <c r="B17257" i="1"/>
  <c r="G17256" i="1"/>
  <c r="C17256" i="1"/>
  <c r="B17256" i="1"/>
  <c r="G17255" i="1"/>
  <c r="C17255" i="1"/>
  <c r="B17255" i="1"/>
  <c r="G17254" i="1"/>
  <c r="C17254" i="1"/>
  <c r="B17254" i="1"/>
  <c r="G17253" i="1"/>
  <c r="B17253" i="1"/>
  <c r="G17252" i="1"/>
  <c r="C17252" i="1"/>
  <c r="B17252" i="1"/>
  <c r="G17251" i="1"/>
  <c r="C17251" i="1"/>
  <c r="B17251" i="1"/>
  <c r="G17250" i="1"/>
  <c r="C17250" i="1"/>
  <c r="B17250" i="1"/>
  <c r="G17249" i="1"/>
  <c r="C17249" i="1"/>
  <c r="B17249" i="1"/>
  <c r="G17248" i="1"/>
  <c r="C17248" i="1"/>
  <c r="B17248" i="1"/>
  <c r="G17247" i="1"/>
  <c r="C17247" i="1"/>
  <c r="B17247" i="1"/>
  <c r="G17246" i="1"/>
  <c r="C17246" i="1"/>
  <c r="B17246" i="1"/>
  <c r="G17245" i="1"/>
  <c r="C17245" i="1"/>
  <c r="B17245" i="1"/>
  <c r="G17244" i="1"/>
  <c r="C17244" i="1"/>
  <c r="B17244" i="1"/>
  <c r="G17243" i="1"/>
  <c r="B17243" i="1"/>
  <c r="G17242" i="1"/>
  <c r="C17242" i="1"/>
  <c r="B17242" i="1"/>
  <c r="G17241" i="1"/>
  <c r="C17241" i="1"/>
  <c r="B17241" i="1"/>
  <c r="G17240" i="1"/>
  <c r="B17240" i="1"/>
  <c r="G17239" i="1"/>
  <c r="C17239" i="1"/>
  <c r="B17239" i="1"/>
  <c r="G17238" i="1"/>
  <c r="C17238" i="1"/>
  <c r="B17238" i="1"/>
  <c r="G17237" i="1"/>
  <c r="B17237" i="1"/>
  <c r="G17236" i="1"/>
  <c r="C17236" i="1"/>
  <c r="B17236" i="1"/>
  <c r="G17235" i="1"/>
  <c r="C17235" i="1"/>
  <c r="B17235" i="1"/>
  <c r="G17234" i="1"/>
  <c r="B17234" i="1"/>
  <c r="G17233" i="1"/>
  <c r="B17233" i="1"/>
  <c r="G17232" i="1"/>
  <c r="B17232" i="1"/>
  <c r="G17231" i="1"/>
  <c r="C17231" i="1"/>
  <c r="B17231" i="1"/>
  <c r="G17230" i="1"/>
  <c r="B17230" i="1"/>
  <c r="G17229" i="1"/>
  <c r="C17229" i="1"/>
  <c r="B17229" i="1"/>
  <c r="G17228" i="1"/>
  <c r="C17228" i="1"/>
  <c r="B17228" i="1"/>
  <c r="G17227" i="1"/>
  <c r="B17227" i="1"/>
  <c r="G17226" i="1"/>
  <c r="C17226" i="1"/>
  <c r="B17226" i="1"/>
  <c r="G17225" i="1"/>
  <c r="C17225" i="1"/>
  <c r="B17225" i="1"/>
  <c r="G17224" i="1"/>
  <c r="C17224" i="1"/>
  <c r="B17224" i="1"/>
  <c r="G17223" i="1"/>
  <c r="C17223" i="1"/>
  <c r="B17223" i="1"/>
  <c r="G17222" i="1"/>
  <c r="B17222" i="1"/>
  <c r="G17221" i="1"/>
  <c r="C17221" i="1"/>
  <c r="B17221" i="1"/>
  <c r="G17220" i="1"/>
  <c r="C17220" i="1"/>
  <c r="B17220" i="1"/>
  <c r="G17219" i="1"/>
  <c r="B17219" i="1"/>
  <c r="G17218" i="1"/>
  <c r="C17218" i="1"/>
  <c r="B17218" i="1"/>
  <c r="G17217" i="1"/>
  <c r="B17217" i="1"/>
  <c r="G17216" i="1"/>
  <c r="C17216" i="1"/>
  <c r="B17216" i="1"/>
  <c r="G17215" i="1"/>
  <c r="B17215" i="1"/>
  <c r="G17214" i="1"/>
  <c r="C17214" i="1"/>
  <c r="B17214" i="1"/>
  <c r="G17213" i="1"/>
  <c r="B17213" i="1"/>
  <c r="G17212" i="1"/>
  <c r="C17212" i="1"/>
  <c r="B17212" i="1"/>
  <c r="G17211" i="1"/>
  <c r="B17211" i="1"/>
  <c r="G17210" i="1"/>
  <c r="B17210" i="1"/>
  <c r="G17209" i="1"/>
  <c r="C17209" i="1"/>
  <c r="B17209" i="1"/>
  <c r="G17208" i="1"/>
  <c r="C17208" i="1"/>
  <c r="B17208" i="1"/>
  <c r="G17207" i="1"/>
  <c r="C17207" i="1"/>
  <c r="B17207" i="1"/>
  <c r="G17206" i="1"/>
  <c r="C17206" i="1"/>
  <c r="B17206" i="1"/>
  <c r="G17205" i="1"/>
  <c r="B17205" i="1"/>
  <c r="G17204" i="1"/>
  <c r="B17204" i="1"/>
  <c r="G17203" i="1"/>
  <c r="C17203" i="1"/>
  <c r="B17203" i="1"/>
  <c r="G17202" i="1"/>
  <c r="C17202" i="1"/>
  <c r="B17202" i="1"/>
  <c r="G17201" i="1"/>
  <c r="C17201" i="1"/>
  <c r="B17201" i="1"/>
  <c r="G17200" i="1"/>
  <c r="C17200" i="1"/>
  <c r="B17200" i="1"/>
  <c r="G17199" i="1"/>
  <c r="C17199" i="1"/>
  <c r="B17199" i="1"/>
  <c r="G17198" i="1"/>
  <c r="B17198" i="1"/>
  <c r="G17197" i="1"/>
  <c r="C17197" i="1"/>
  <c r="B17197" i="1"/>
  <c r="G17196" i="1"/>
  <c r="C17196" i="1"/>
  <c r="B17196" i="1"/>
  <c r="G17195" i="1"/>
  <c r="C17195" i="1"/>
  <c r="B17195" i="1"/>
  <c r="G17194" i="1"/>
  <c r="C17194" i="1"/>
  <c r="B17194" i="1"/>
  <c r="G17193" i="1"/>
  <c r="C17193" i="1"/>
  <c r="B17193" i="1"/>
  <c r="G17192" i="1"/>
  <c r="B17192" i="1"/>
  <c r="G17191" i="1"/>
  <c r="C17191" i="1"/>
  <c r="B17191" i="1"/>
  <c r="G17190" i="1"/>
  <c r="C17190" i="1"/>
  <c r="B17190" i="1"/>
  <c r="G17189" i="1"/>
  <c r="C17189" i="1"/>
  <c r="B17189" i="1"/>
  <c r="G17188" i="1"/>
  <c r="C17188" i="1"/>
  <c r="B17188" i="1"/>
  <c r="G17187" i="1"/>
  <c r="C17187" i="1"/>
  <c r="B17187" i="1"/>
  <c r="G17186" i="1"/>
  <c r="C17186" i="1"/>
  <c r="B17186" i="1"/>
  <c r="G17185" i="1"/>
  <c r="C17185" i="1"/>
  <c r="B17185" i="1"/>
  <c r="G17184" i="1"/>
  <c r="B17184" i="1"/>
  <c r="G17183" i="1"/>
  <c r="B17183" i="1"/>
  <c r="G17182" i="1"/>
  <c r="C17182" i="1"/>
  <c r="B17182" i="1"/>
  <c r="G17181" i="1"/>
  <c r="C17181" i="1"/>
  <c r="B17181" i="1"/>
  <c r="G17180" i="1"/>
  <c r="C17180" i="1"/>
  <c r="B17180" i="1"/>
  <c r="G17179" i="1"/>
  <c r="C17179" i="1"/>
  <c r="B17179" i="1"/>
  <c r="G17178" i="1"/>
  <c r="B17178" i="1"/>
  <c r="G17177" i="1"/>
  <c r="B17177" i="1"/>
  <c r="G17176" i="1"/>
  <c r="C17176" i="1"/>
  <c r="B17176" i="1"/>
  <c r="G17175" i="1"/>
  <c r="B17175" i="1"/>
  <c r="G17174" i="1"/>
  <c r="B17174" i="1"/>
  <c r="G17173" i="1"/>
  <c r="B17173" i="1"/>
  <c r="G17172" i="1"/>
  <c r="C17172" i="1"/>
  <c r="B17172" i="1"/>
  <c r="G17171" i="1"/>
  <c r="C17171" i="1"/>
  <c r="B17171" i="1"/>
  <c r="G17170" i="1"/>
  <c r="C17170" i="1"/>
  <c r="B17170" i="1"/>
  <c r="G17169" i="1"/>
  <c r="C17169" i="1"/>
  <c r="B17169" i="1"/>
  <c r="G17168" i="1"/>
  <c r="C17168" i="1"/>
  <c r="B17168" i="1"/>
  <c r="G17167" i="1"/>
  <c r="B17167" i="1"/>
  <c r="G17166" i="1"/>
  <c r="B17166" i="1"/>
  <c r="G17165" i="1"/>
  <c r="B17165" i="1"/>
  <c r="G17164" i="1"/>
  <c r="B17164" i="1"/>
  <c r="G17163" i="1"/>
  <c r="C17163" i="1"/>
  <c r="B17163" i="1"/>
  <c r="G17162" i="1"/>
  <c r="C17162" i="1"/>
  <c r="B17162" i="1"/>
  <c r="G17161" i="1"/>
  <c r="B17161" i="1"/>
  <c r="G17160" i="1"/>
  <c r="C17160" i="1"/>
  <c r="B17160" i="1"/>
  <c r="G17159" i="1"/>
  <c r="C17159" i="1"/>
  <c r="B17159" i="1"/>
  <c r="G17158" i="1"/>
  <c r="B17158" i="1"/>
  <c r="G17157" i="1"/>
  <c r="C17157" i="1"/>
  <c r="B17157" i="1"/>
  <c r="G17156" i="1"/>
  <c r="B17156" i="1"/>
  <c r="G17155" i="1"/>
  <c r="B17155" i="1"/>
  <c r="G17154" i="1"/>
  <c r="B17154" i="1"/>
  <c r="G17153" i="1"/>
  <c r="C17153" i="1"/>
  <c r="B17153" i="1"/>
  <c r="G17152" i="1"/>
  <c r="C17152" i="1"/>
  <c r="B17152" i="1"/>
  <c r="G17151" i="1"/>
  <c r="C17151" i="1"/>
  <c r="B17151" i="1"/>
  <c r="G17150" i="1"/>
  <c r="B17150" i="1"/>
  <c r="G17149" i="1"/>
  <c r="C17149" i="1"/>
  <c r="B17149" i="1"/>
  <c r="G17148" i="1"/>
  <c r="B17148" i="1"/>
  <c r="G17147" i="1"/>
  <c r="C17147" i="1"/>
  <c r="B17147" i="1"/>
  <c r="G17146" i="1"/>
  <c r="C17146" i="1"/>
  <c r="B17146" i="1"/>
  <c r="G17145" i="1"/>
  <c r="B17145" i="1"/>
  <c r="G17144" i="1"/>
  <c r="C17144" i="1"/>
  <c r="B17144" i="1"/>
  <c r="G17143" i="1"/>
  <c r="C17143" i="1"/>
  <c r="B17143" i="1"/>
  <c r="G17142" i="1"/>
  <c r="C17142" i="1"/>
  <c r="B17142" i="1"/>
  <c r="G17141" i="1"/>
  <c r="C17141" i="1"/>
  <c r="B17141" i="1"/>
  <c r="G17140" i="1"/>
  <c r="C17140" i="1"/>
  <c r="B17140" i="1"/>
  <c r="G17139" i="1"/>
  <c r="C17139" i="1"/>
  <c r="B17139" i="1"/>
  <c r="G17138" i="1"/>
  <c r="B17138" i="1"/>
  <c r="G17137" i="1"/>
  <c r="B17137" i="1"/>
  <c r="G17136" i="1"/>
  <c r="C17136" i="1"/>
  <c r="B17136" i="1"/>
  <c r="G17135" i="1"/>
  <c r="C17135" i="1"/>
  <c r="B17135" i="1"/>
  <c r="G17134" i="1"/>
  <c r="C17134" i="1"/>
  <c r="B17134" i="1"/>
  <c r="G17133" i="1"/>
  <c r="B17133" i="1"/>
  <c r="G17132" i="1"/>
  <c r="B17132" i="1"/>
  <c r="G17131" i="1"/>
  <c r="C17131" i="1"/>
  <c r="B17131" i="1"/>
  <c r="G17130" i="1"/>
  <c r="C17130" i="1"/>
  <c r="B17130" i="1"/>
  <c r="G17129" i="1"/>
  <c r="B17129" i="1"/>
  <c r="G17128" i="1"/>
  <c r="C17128" i="1"/>
  <c r="B17128" i="1"/>
  <c r="G17127" i="1"/>
  <c r="C17127" i="1"/>
  <c r="B17127" i="1"/>
  <c r="G17126" i="1"/>
  <c r="C17126" i="1"/>
  <c r="B17126" i="1"/>
  <c r="G17125" i="1"/>
  <c r="C17125" i="1"/>
  <c r="B17125" i="1"/>
  <c r="G17124" i="1"/>
  <c r="C17124" i="1"/>
  <c r="B17124" i="1"/>
  <c r="G17123" i="1"/>
  <c r="B17123" i="1"/>
  <c r="G17122" i="1"/>
  <c r="C17122" i="1"/>
  <c r="B17122" i="1"/>
  <c r="G17121" i="1"/>
  <c r="C17121" i="1"/>
  <c r="B17121" i="1"/>
  <c r="G17120" i="1"/>
  <c r="C17120" i="1"/>
  <c r="B17120" i="1"/>
  <c r="G17119" i="1"/>
  <c r="C17119" i="1"/>
  <c r="B17119" i="1"/>
  <c r="G17118" i="1"/>
  <c r="B17118" i="1"/>
  <c r="G17117" i="1"/>
  <c r="B17117" i="1"/>
  <c r="G17116" i="1"/>
  <c r="C17116" i="1"/>
  <c r="B17116" i="1"/>
  <c r="G17115" i="1"/>
  <c r="B17115" i="1"/>
  <c r="G17114" i="1"/>
  <c r="B17114" i="1"/>
  <c r="G17113" i="1"/>
  <c r="C17113" i="1"/>
  <c r="B17113" i="1"/>
  <c r="G17112" i="1"/>
  <c r="B17112" i="1"/>
  <c r="G17111" i="1"/>
  <c r="C17111" i="1"/>
  <c r="B17111" i="1"/>
  <c r="G17110" i="1"/>
  <c r="B17110" i="1"/>
  <c r="G17109" i="1"/>
  <c r="C17109" i="1"/>
  <c r="B17109" i="1"/>
  <c r="G17108" i="1"/>
  <c r="C17108" i="1"/>
  <c r="B17108" i="1"/>
  <c r="G17107" i="1"/>
  <c r="C17107" i="1"/>
  <c r="B17107" i="1"/>
  <c r="G17106" i="1"/>
  <c r="B17106" i="1"/>
  <c r="G17105" i="1"/>
  <c r="C17105" i="1"/>
  <c r="B17105" i="1"/>
  <c r="G17104" i="1"/>
  <c r="C17104" i="1"/>
  <c r="B17104" i="1"/>
  <c r="G17103" i="1"/>
  <c r="C17103" i="1"/>
  <c r="B17103" i="1"/>
  <c r="G17102" i="1"/>
  <c r="C17102" i="1"/>
  <c r="B17102" i="1"/>
  <c r="G17101" i="1"/>
  <c r="C17101" i="1"/>
  <c r="B17101" i="1"/>
  <c r="G17100" i="1"/>
  <c r="C17100" i="1"/>
  <c r="B17100" i="1"/>
  <c r="G17099" i="1"/>
  <c r="C17099" i="1"/>
  <c r="B17099" i="1"/>
  <c r="G17098" i="1"/>
  <c r="C17098" i="1"/>
  <c r="B17098" i="1"/>
  <c r="G17097" i="1"/>
  <c r="B17097" i="1"/>
  <c r="G17096" i="1"/>
  <c r="C17096" i="1"/>
  <c r="B17096" i="1"/>
  <c r="G17095" i="1"/>
  <c r="C17095" i="1"/>
  <c r="B17095" i="1"/>
  <c r="G17094" i="1"/>
  <c r="C17094" i="1"/>
  <c r="B17094" i="1"/>
  <c r="G17093" i="1"/>
  <c r="C17093" i="1"/>
  <c r="B17093" i="1"/>
  <c r="G17092" i="1"/>
  <c r="C17092" i="1"/>
  <c r="B17092" i="1"/>
  <c r="G17091" i="1"/>
  <c r="B17091" i="1"/>
  <c r="G17090" i="1"/>
  <c r="C17090" i="1"/>
  <c r="B17090" i="1"/>
  <c r="G17089" i="1"/>
  <c r="B17089" i="1"/>
  <c r="G17088" i="1"/>
  <c r="C17088" i="1"/>
  <c r="B17088" i="1"/>
  <c r="G17087" i="1"/>
  <c r="C17087" i="1"/>
  <c r="B17087" i="1"/>
  <c r="G17086" i="1"/>
  <c r="C17086" i="1"/>
  <c r="B17086" i="1"/>
  <c r="G17085" i="1"/>
  <c r="B17085" i="1"/>
  <c r="G17084" i="1"/>
  <c r="B17084" i="1"/>
  <c r="G17083" i="1"/>
  <c r="B17083" i="1"/>
  <c r="G17082" i="1"/>
  <c r="C17082" i="1"/>
  <c r="B17082" i="1"/>
  <c r="G17081" i="1"/>
  <c r="C17081" i="1"/>
  <c r="B17081" i="1"/>
  <c r="G17080" i="1"/>
  <c r="B17080" i="1"/>
  <c r="G17079" i="1"/>
  <c r="C17079" i="1"/>
  <c r="B17079" i="1"/>
  <c r="G17078" i="1"/>
  <c r="C17078" i="1"/>
  <c r="B17078" i="1"/>
  <c r="G17077" i="1"/>
  <c r="C17077" i="1"/>
  <c r="B17077" i="1"/>
  <c r="G17076" i="1"/>
  <c r="C17076" i="1"/>
  <c r="B17076" i="1"/>
  <c r="G17075" i="1"/>
  <c r="B17075" i="1"/>
  <c r="G17074" i="1"/>
  <c r="B17074" i="1"/>
  <c r="G17073" i="1"/>
  <c r="C17073" i="1"/>
  <c r="B17073" i="1"/>
  <c r="G17072" i="1"/>
  <c r="B17072" i="1"/>
  <c r="G17071" i="1"/>
  <c r="C17071" i="1"/>
  <c r="B17071" i="1"/>
  <c r="G17070" i="1"/>
  <c r="C17070" i="1"/>
  <c r="B17070" i="1"/>
  <c r="G17069" i="1"/>
  <c r="B17069" i="1"/>
  <c r="G17068" i="1"/>
  <c r="B17068" i="1"/>
  <c r="G17067" i="1"/>
  <c r="B17067" i="1"/>
  <c r="G17066" i="1"/>
  <c r="C17066" i="1"/>
  <c r="B17066" i="1"/>
  <c r="G17065" i="1"/>
  <c r="C17065" i="1"/>
  <c r="B17065" i="1"/>
  <c r="G17064" i="1"/>
  <c r="C17064" i="1"/>
  <c r="B17064" i="1"/>
  <c r="G17063" i="1"/>
  <c r="C17063" i="1"/>
  <c r="B17063" i="1"/>
  <c r="G17062" i="1"/>
  <c r="C17062" i="1"/>
  <c r="B17062" i="1"/>
  <c r="G17061" i="1"/>
  <c r="B17061" i="1"/>
  <c r="G17060" i="1"/>
  <c r="C17060" i="1"/>
  <c r="B17060" i="1"/>
  <c r="G17059" i="1"/>
  <c r="C17059" i="1"/>
  <c r="B17059" i="1"/>
  <c r="G17058" i="1"/>
  <c r="C17058" i="1"/>
  <c r="B17058" i="1"/>
  <c r="G17057" i="1"/>
  <c r="B17057" i="1"/>
  <c r="G17056" i="1"/>
  <c r="C17056" i="1"/>
  <c r="B17056" i="1"/>
  <c r="G17055" i="1"/>
  <c r="B17055" i="1"/>
  <c r="G17054" i="1"/>
  <c r="C17054" i="1"/>
  <c r="B17054" i="1"/>
  <c r="G17053" i="1"/>
  <c r="C17053" i="1"/>
  <c r="B17053" i="1"/>
  <c r="G17052" i="1"/>
  <c r="C17052" i="1"/>
  <c r="B17052" i="1"/>
  <c r="G17051" i="1"/>
  <c r="C17051" i="1"/>
  <c r="B17051" i="1"/>
  <c r="G17050" i="1"/>
  <c r="B17050" i="1"/>
  <c r="G17049" i="1"/>
  <c r="C17049" i="1"/>
  <c r="B17049" i="1"/>
  <c r="G17048" i="1"/>
  <c r="B17048" i="1"/>
  <c r="G17047" i="1"/>
  <c r="B17047" i="1"/>
  <c r="G17046" i="1"/>
  <c r="C17046" i="1"/>
  <c r="B17046" i="1"/>
  <c r="G17045" i="1"/>
  <c r="B17045" i="1"/>
  <c r="G17044" i="1"/>
  <c r="C17044" i="1"/>
  <c r="B17044" i="1"/>
  <c r="G17043" i="1"/>
  <c r="C17043" i="1"/>
  <c r="B17043" i="1"/>
  <c r="G17042" i="1"/>
  <c r="C17042" i="1"/>
  <c r="B17042" i="1"/>
  <c r="G17041" i="1"/>
  <c r="B17041" i="1"/>
  <c r="G17040" i="1"/>
  <c r="C17040" i="1"/>
  <c r="B17040" i="1"/>
  <c r="G17039" i="1"/>
  <c r="C17039" i="1"/>
  <c r="B17039" i="1"/>
  <c r="G17038" i="1"/>
  <c r="C17038" i="1"/>
  <c r="B17038" i="1"/>
  <c r="G17037" i="1"/>
  <c r="C17037" i="1"/>
  <c r="B17037" i="1"/>
  <c r="G17036" i="1"/>
  <c r="C17036" i="1"/>
  <c r="B17036" i="1"/>
  <c r="G17035" i="1"/>
  <c r="C17035" i="1"/>
  <c r="B17035" i="1"/>
  <c r="G17034" i="1"/>
  <c r="C17034" i="1"/>
  <c r="B17034" i="1"/>
  <c r="G17033" i="1"/>
  <c r="C17033" i="1"/>
  <c r="B17033" i="1"/>
  <c r="G17032" i="1"/>
  <c r="B17032" i="1"/>
  <c r="G17031" i="1"/>
  <c r="C17031" i="1"/>
  <c r="B17031" i="1"/>
  <c r="G17030" i="1"/>
  <c r="C17030" i="1"/>
  <c r="B17030" i="1"/>
  <c r="G17029" i="1"/>
  <c r="C17029" i="1"/>
  <c r="B17029" i="1"/>
  <c r="G17028" i="1"/>
  <c r="C17028" i="1"/>
  <c r="B17028" i="1"/>
  <c r="G17027" i="1"/>
  <c r="C17027" i="1"/>
  <c r="B17027" i="1"/>
  <c r="G17026" i="1"/>
  <c r="B17026" i="1"/>
  <c r="G17025" i="1"/>
  <c r="B17025" i="1"/>
  <c r="G17024" i="1"/>
  <c r="C17024" i="1"/>
  <c r="B17024" i="1"/>
  <c r="G17023" i="1"/>
  <c r="B17023" i="1"/>
  <c r="G17022" i="1"/>
  <c r="C17022" i="1"/>
  <c r="B17022" i="1"/>
  <c r="G17021" i="1"/>
  <c r="B17021" i="1"/>
  <c r="G17020" i="1"/>
  <c r="C17020" i="1"/>
  <c r="B17020" i="1"/>
  <c r="G17019" i="1"/>
  <c r="C17019" i="1"/>
  <c r="B17019" i="1"/>
  <c r="G17018" i="1"/>
  <c r="C17018" i="1"/>
  <c r="B17018" i="1"/>
  <c r="G17017" i="1"/>
  <c r="B17017" i="1"/>
  <c r="G17016" i="1"/>
  <c r="C17016" i="1"/>
  <c r="B17016" i="1"/>
  <c r="G17015" i="1"/>
  <c r="C17015" i="1"/>
  <c r="B17015" i="1"/>
  <c r="G17014" i="1"/>
  <c r="C17014" i="1"/>
  <c r="B17014" i="1"/>
  <c r="G17013" i="1"/>
  <c r="B17013" i="1"/>
  <c r="G17012" i="1"/>
  <c r="C17012" i="1"/>
  <c r="B17012" i="1"/>
  <c r="G17011" i="1"/>
  <c r="B17011" i="1"/>
  <c r="G17010" i="1"/>
  <c r="C17010" i="1"/>
  <c r="B17010" i="1"/>
  <c r="G17009" i="1"/>
  <c r="C17009" i="1"/>
  <c r="B17009" i="1"/>
  <c r="G17008" i="1"/>
  <c r="B17008" i="1"/>
  <c r="G17007" i="1"/>
  <c r="C17007" i="1"/>
  <c r="B17007" i="1"/>
  <c r="G17006" i="1"/>
  <c r="B17006" i="1"/>
  <c r="G17005" i="1"/>
  <c r="B17005" i="1"/>
  <c r="G17004" i="1"/>
  <c r="C17004" i="1"/>
  <c r="B17004" i="1"/>
  <c r="G17003" i="1"/>
  <c r="C17003" i="1"/>
  <c r="B17003" i="1"/>
  <c r="G17002" i="1"/>
  <c r="C17002" i="1"/>
  <c r="B17002" i="1"/>
  <c r="G17001" i="1"/>
  <c r="B17001" i="1"/>
  <c r="G17000" i="1"/>
  <c r="C17000" i="1"/>
  <c r="B17000" i="1"/>
  <c r="G16999" i="1"/>
  <c r="C16999" i="1"/>
  <c r="B16999" i="1"/>
  <c r="G16998" i="1"/>
  <c r="B16998" i="1"/>
  <c r="G16997" i="1"/>
  <c r="C16997" i="1"/>
  <c r="B16997" i="1"/>
  <c r="G16996" i="1"/>
  <c r="C16996" i="1"/>
  <c r="B16996" i="1"/>
  <c r="G16995" i="1"/>
  <c r="C16995" i="1"/>
  <c r="B16995" i="1"/>
  <c r="G16994" i="1"/>
  <c r="C16994" i="1"/>
  <c r="B16994" i="1"/>
  <c r="G16993" i="1"/>
  <c r="C16993" i="1"/>
  <c r="B16993" i="1"/>
  <c r="G16992" i="1"/>
  <c r="B16992" i="1"/>
  <c r="G16991" i="1"/>
  <c r="C16991" i="1"/>
  <c r="B16991" i="1"/>
  <c r="G16990" i="1"/>
  <c r="C16990" i="1"/>
  <c r="B16990" i="1"/>
  <c r="G16989" i="1"/>
  <c r="C16989" i="1"/>
  <c r="B16989" i="1"/>
  <c r="G16988" i="1"/>
  <c r="C16988" i="1"/>
  <c r="B16988" i="1"/>
  <c r="G16987" i="1"/>
  <c r="C16987" i="1"/>
  <c r="B16987" i="1"/>
  <c r="G16986" i="1"/>
  <c r="B16986" i="1"/>
  <c r="G16985" i="1"/>
  <c r="B16985" i="1"/>
  <c r="G16984" i="1"/>
  <c r="C16984" i="1"/>
  <c r="B16984" i="1"/>
  <c r="G16983" i="1"/>
  <c r="C16983" i="1"/>
  <c r="B16983" i="1"/>
  <c r="G16982" i="1"/>
  <c r="B16982" i="1"/>
  <c r="G16981" i="1"/>
  <c r="C16981" i="1"/>
  <c r="B16981" i="1"/>
  <c r="G16980" i="1"/>
  <c r="C16980" i="1"/>
  <c r="B16980" i="1"/>
  <c r="G16979" i="1"/>
  <c r="C16979" i="1"/>
  <c r="B16979" i="1"/>
  <c r="G16978" i="1"/>
  <c r="C16978" i="1"/>
  <c r="B16978" i="1"/>
  <c r="G16977" i="1"/>
  <c r="C16977" i="1"/>
  <c r="B16977" i="1"/>
  <c r="G16976" i="1"/>
  <c r="B16976" i="1"/>
  <c r="G16975" i="1"/>
  <c r="C16975" i="1"/>
  <c r="B16975" i="1"/>
  <c r="G16974" i="1"/>
  <c r="B16974" i="1"/>
  <c r="G16973" i="1"/>
  <c r="C16973" i="1"/>
  <c r="B16973" i="1"/>
  <c r="G16972" i="1"/>
  <c r="C16972" i="1"/>
  <c r="B16972" i="1"/>
  <c r="G16971" i="1"/>
  <c r="C16971" i="1"/>
  <c r="B16971" i="1"/>
  <c r="G16970" i="1"/>
  <c r="C16970" i="1"/>
  <c r="B16970" i="1"/>
  <c r="G16969" i="1"/>
  <c r="C16969" i="1"/>
  <c r="B16969" i="1"/>
  <c r="G16968" i="1"/>
  <c r="B16968" i="1"/>
  <c r="G16967" i="1"/>
  <c r="B16967" i="1"/>
  <c r="G16966" i="1"/>
  <c r="B16966" i="1"/>
  <c r="G16965" i="1"/>
  <c r="C16965" i="1"/>
  <c r="B16965" i="1"/>
  <c r="G16964" i="1"/>
  <c r="B16964" i="1"/>
  <c r="G16963" i="1"/>
  <c r="C16963" i="1"/>
  <c r="B16963" i="1"/>
  <c r="G16962" i="1"/>
  <c r="B16962" i="1"/>
  <c r="G16961" i="1"/>
  <c r="B16961" i="1"/>
  <c r="G16960" i="1"/>
  <c r="B16960" i="1"/>
  <c r="G16959" i="1"/>
  <c r="C16959" i="1"/>
  <c r="B16959" i="1"/>
  <c r="G16958" i="1"/>
  <c r="C16958" i="1"/>
  <c r="B16958" i="1"/>
  <c r="G16957" i="1"/>
  <c r="C16957" i="1"/>
  <c r="B16957" i="1"/>
  <c r="G16956" i="1"/>
  <c r="C16956" i="1"/>
  <c r="B16956" i="1"/>
  <c r="G16955" i="1"/>
  <c r="C16955" i="1"/>
  <c r="B16955" i="1"/>
  <c r="G16954" i="1"/>
  <c r="B16954" i="1"/>
  <c r="G16953" i="1"/>
  <c r="C16953" i="1"/>
  <c r="B16953" i="1"/>
  <c r="G16952" i="1"/>
  <c r="C16952" i="1"/>
  <c r="B16952" i="1"/>
  <c r="G16951" i="1"/>
  <c r="C16951" i="1"/>
  <c r="B16951" i="1"/>
  <c r="G16950" i="1"/>
  <c r="C16950" i="1"/>
  <c r="B16950" i="1"/>
  <c r="G16949" i="1"/>
  <c r="C16949" i="1"/>
  <c r="B16949" i="1"/>
  <c r="G16948" i="1"/>
  <c r="C16948" i="1"/>
  <c r="B16948" i="1"/>
  <c r="G16947" i="1"/>
  <c r="C16947" i="1"/>
  <c r="B16947" i="1"/>
  <c r="G16946" i="1"/>
  <c r="C16946" i="1"/>
  <c r="B16946" i="1"/>
  <c r="G16945" i="1"/>
  <c r="B16945" i="1"/>
  <c r="G16944" i="1"/>
  <c r="C16944" i="1"/>
  <c r="B16944" i="1"/>
  <c r="G16943" i="1"/>
  <c r="C16943" i="1"/>
  <c r="B16943" i="1"/>
  <c r="G16942" i="1"/>
  <c r="C16942" i="1"/>
  <c r="B16942" i="1"/>
  <c r="G16941" i="1"/>
  <c r="C16941" i="1"/>
  <c r="B16941" i="1"/>
  <c r="G16940" i="1"/>
  <c r="C16940" i="1"/>
  <c r="B16940" i="1"/>
  <c r="G16939" i="1"/>
  <c r="C16939" i="1"/>
  <c r="B16939" i="1"/>
  <c r="G16938" i="1"/>
  <c r="C16938" i="1"/>
  <c r="B16938" i="1"/>
  <c r="G16937" i="1"/>
  <c r="C16937" i="1"/>
  <c r="B16937" i="1"/>
  <c r="G16936" i="1"/>
  <c r="C16936" i="1"/>
  <c r="B16936" i="1"/>
  <c r="G16935" i="1"/>
  <c r="C16935" i="1"/>
  <c r="B16935" i="1"/>
  <c r="G16934" i="1"/>
  <c r="C16934" i="1"/>
  <c r="B16934" i="1"/>
  <c r="G16933" i="1"/>
  <c r="C16933" i="1"/>
  <c r="B16933" i="1"/>
  <c r="G16932" i="1"/>
  <c r="C16932" i="1"/>
  <c r="B16932" i="1"/>
  <c r="G16931" i="1"/>
  <c r="C16931" i="1"/>
  <c r="B16931" i="1"/>
  <c r="G16930" i="1"/>
  <c r="C16930" i="1"/>
  <c r="B16930" i="1"/>
  <c r="G16929" i="1"/>
  <c r="B16929" i="1"/>
  <c r="G16928" i="1"/>
  <c r="C16928" i="1"/>
  <c r="B16928" i="1"/>
  <c r="G16927" i="1"/>
  <c r="B16927" i="1"/>
  <c r="G16926" i="1"/>
  <c r="C16926" i="1"/>
  <c r="B16926" i="1"/>
  <c r="G16925" i="1"/>
  <c r="C16925" i="1"/>
  <c r="B16925" i="1"/>
  <c r="G16924" i="1"/>
  <c r="B16924" i="1"/>
  <c r="G16923" i="1"/>
  <c r="B16923" i="1"/>
  <c r="G16922" i="1"/>
  <c r="C16922" i="1"/>
  <c r="B16922" i="1"/>
  <c r="G16921" i="1"/>
  <c r="C16921" i="1"/>
  <c r="B16921" i="1"/>
  <c r="G16920" i="1"/>
  <c r="C16920" i="1"/>
  <c r="B16920" i="1"/>
  <c r="G16919" i="1"/>
  <c r="C16919" i="1"/>
  <c r="B16919" i="1"/>
  <c r="G16918" i="1"/>
  <c r="B16918" i="1"/>
  <c r="G16917" i="1"/>
  <c r="C16917" i="1"/>
  <c r="B16917" i="1"/>
  <c r="G16916" i="1"/>
  <c r="C16916" i="1"/>
  <c r="B16916" i="1"/>
  <c r="G16915" i="1"/>
  <c r="C16915" i="1"/>
  <c r="B16915" i="1"/>
  <c r="G16914" i="1"/>
  <c r="C16914" i="1"/>
  <c r="B16914" i="1"/>
  <c r="G16913" i="1"/>
  <c r="C16913" i="1"/>
  <c r="B16913" i="1"/>
  <c r="G16912" i="1"/>
  <c r="C16912" i="1"/>
  <c r="B16912" i="1"/>
  <c r="G16911" i="1"/>
  <c r="C16911" i="1"/>
  <c r="B16911" i="1"/>
  <c r="G16910" i="1"/>
  <c r="C16910" i="1"/>
  <c r="B16910" i="1"/>
  <c r="G16909" i="1"/>
  <c r="C16909" i="1"/>
  <c r="B16909" i="1"/>
  <c r="G16908" i="1"/>
  <c r="C16908" i="1"/>
  <c r="B16908" i="1"/>
  <c r="G16907" i="1"/>
  <c r="C16907" i="1"/>
  <c r="B16907" i="1"/>
  <c r="G16906" i="1"/>
  <c r="C16906" i="1"/>
  <c r="B16906" i="1"/>
  <c r="G16905" i="1"/>
  <c r="C16905" i="1"/>
  <c r="B16905" i="1"/>
  <c r="G16904" i="1"/>
  <c r="B16904" i="1"/>
  <c r="G16903" i="1"/>
  <c r="B16903" i="1"/>
  <c r="G16902" i="1"/>
  <c r="B16902" i="1"/>
  <c r="G16901" i="1"/>
  <c r="C16901" i="1"/>
  <c r="B16901" i="1"/>
  <c r="G16900" i="1"/>
  <c r="C16900" i="1"/>
  <c r="B16900" i="1"/>
  <c r="G16899" i="1"/>
  <c r="C16899" i="1"/>
  <c r="B16899" i="1"/>
  <c r="G16898" i="1"/>
  <c r="C16898" i="1"/>
  <c r="B16898" i="1"/>
  <c r="G16897" i="1"/>
  <c r="B16897" i="1"/>
  <c r="G16896" i="1"/>
  <c r="C16896" i="1"/>
  <c r="B16896" i="1"/>
  <c r="G16895" i="1"/>
  <c r="C16895" i="1"/>
  <c r="B16895" i="1"/>
  <c r="G16894" i="1"/>
  <c r="C16894" i="1"/>
  <c r="B16894" i="1"/>
  <c r="G16893" i="1"/>
  <c r="C16893" i="1"/>
  <c r="B16893" i="1"/>
  <c r="G16892" i="1"/>
  <c r="C16892" i="1"/>
  <c r="B16892" i="1"/>
  <c r="G16891" i="1"/>
  <c r="C16891" i="1"/>
  <c r="B16891" i="1"/>
  <c r="G16890" i="1"/>
  <c r="C16890" i="1"/>
  <c r="B16890" i="1"/>
  <c r="G16889" i="1"/>
  <c r="B16889" i="1"/>
  <c r="G16888" i="1"/>
  <c r="C16888" i="1"/>
  <c r="B16888" i="1"/>
  <c r="G16887" i="1"/>
  <c r="C16887" i="1"/>
  <c r="B16887" i="1"/>
  <c r="G16886" i="1"/>
  <c r="C16886" i="1"/>
  <c r="B16886" i="1"/>
  <c r="G16885" i="1"/>
  <c r="C16885" i="1"/>
  <c r="B16885" i="1"/>
  <c r="G16884" i="1"/>
  <c r="B16884" i="1"/>
  <c r="G16883" i="1"/>
  <c r="C16883" i="1"/>
  <c r="B16883" i="1"/>
  <c r="G16882" i="1"/>
  <c r="B16882" i="1"/>
  <c r="G16881" i="1"/>
  <c r="C16881" i="1"/>
  <c r="B16881" i="1"/>
  <c r="G16880" i="1"/>
  <c r="B16880" i="1"/>
  <c r="G16879" i="1"/>
  <c r="C16879" i="1"/>
  <c r="B16879" i="1"/>
  <c r="G16878" i="1"/>
  <c r="C16878" i="1"/>
  <c r="B16878" i="1"/>
  <c r="G16877" i="1"/>
  <c r="C16877" i="1"/>
  <c r="B16877" i="1"/>
  <c r="G16876" i="1"/>
  <c r="B16876" i="1"/>
  <c r="G16875" i="1"/>
  <c r="C16875" i="1"/>
  <c r="B16875" i="1"/>
  <c r="G16874" i="1"/>
  <c r="B16874" i="1"/>
  <c r="G16873" i="1"/>
  <c r="C16873" i="1"/>
  <c r="B16873" i="1"/>
  <c r="G16872" i="1"/>
  <c r="C16872" i="1"/>
  <c r="B16872" i="1"/>
  <c r="G16871" i="1"/>
  <c r="C16871" i="1"/>
  <c r="B16871" i="1"/>
  <c r="G16870" i="1"/>
  <c r="B16870" i="1"/>
  <c r="G16869" i="1"/>
  <c r="C16869" i="1"/>
  <c r="B16869" i="1"/>
  <c r="G16868" i="1"/>
  <c r="C16868" i="1"/>
  <c r="B16868" i="1"/>
  <c r="G16867" i="1"/>
  <c r="B16867" i="1"/>
  <c r="G16866" i="1"/>
  <c r="C16866" i="1"/>
  <c r="B16866" i="1"/>
  <c r="G16865" i="1"/>
  <c r="C16865" i="1"/>
  <c r="B16865" i="1"/>
  <c r="G16864" i="1"/>
  <c r="C16864" i="1"/>
  <c r="B16864" i="1"/>
  <c r="G16863" i="1"/>
  <c r="C16863" i="1"/>
  <c r="B16863" i="1"/>
  <c r="G16862" i="1"/>
  <c r="C16862" i="1"/>
  <c r="B16862" i="1"/>
  <c r="G16861" i="1"/>
  <c r="B16861" i="1"/>
  <c r="G16860" i="1"/>
  <c r="C16860" i="1"/>
  <c r="B16860" i="1"/>
  <c r="G16859" i="1"/>
  <c r="C16859" i="1"/>
  <c r="B16859" i="1"/>
  <c r="G16858" i="1"/>
  <c r="C16858" i="1"/>
  <c r="B16858" i="1"/>
  <c r="G16857" i="1"/>
  <c r="C16857" i="1"/>
  <c r="B16857" i="1"/>
  <c r="G16856" i="1"/>
  <c r="C16856" i="1"/>
  <c r="B16856" i="1"/>
  <c r="G16855" i="1"/>
  <c r="B16855" i="1"/>
  <c r="G16854" i="1"/>
  <c r="C16854" i="1"/>
  <c r="B16854" i="1"/>
  <c r="G16853" i="1"/>
  <c r="C16853" i="1"/>
  <c r="B16853" i="1"/>
  <c r="G16852" i="1"/>
  <c r="C16852" i="1"/>
  <c r="B16852" i="1"/>
  <c r="G16851" i="1"/>
  <c r="C16851" i="1"/>
  <c r="B16851" i="1"/>
  <c r="G16850" i="1"/>
  <c r="C16850" i="1"/>
  <c r="B16850" i="1"/>
  <c r="G16849" i="1"/>
  <c r="B16849" i="1"/>
  <c r="G16848" i="1"/>
  <c r="C16848" i="1"/>
  <c r="B16848" i="1"/>
  <c r="G16847" i="1"/>
  <c r="C16847" i="1"/>
  <c r="B16847" i="1"/>
  <c r="G16846" i="1"/>
  <c r="B16846" i="1"/>
  <c r="G16845" i="1"/>
  <c r="C16845" i="1"/>
  <c r="B16845" i="1"/>
  <c r="G16844" i="1"/>
  <c r="B16844" i="1"/>
  <c r="G16843" i="1"/>
  <c r="B16843" i="1"/>
  <c r="G16842" i="1"/>
  <c r="C16842" i="1"/>
  <c r="B16842" i="1"/>
  <c r="G16841" i="1"/>
  <c r="C16841" i="1"/>
  <c r="B16841" i="1"/>
  <c r="G16840" i="1"/>
  <c r="C16840" i="1"/>
  <c r="B16840" i="1"/>
  <c r="G16839" i="1"/>
  <c r="C16839" i="1"/>
  <c r="B16839" i="1"/>
  <c r="G16838" i="1"/>
  <c r="B16838" i="1"/>
  <c r="G16837" i="1"/>
  <c r="C16837" i="1"/>
  <c r="B16837" i="1"/>
  <c r="G16836" i="1"/>
  <c r="B16836" i="1"/>
  <c r="G16835" i="1"/>
  <c r="B16835" i="1"/>
  <c r="G16834" i="1"/>
  <c r="C16834" i="1"/>
  <c r="B16834" i="1"/>
  <c r="G16833" i="1"/>
  <c r="C16833" i="1"/>
  <c r="B16833" i="1"/>
  <c r="G16832" i="1"/>
  <c r="B16832" i="1"/>
  <c r="G16831" i="1"/>
  <c r="C16831" i="1"/>
  <c r="B16831" i="1"/>
  <c r="G16830" i="1"/>
  <c r="B16830" i="1"/>
  <c r="G16829" i="1"/>
  <c r="C16829" i="1"/>
  <c r="B16829" i="1"/>
  <c r="G16828" i="1"/>
  <c r="B16828" i="1"/>
  <c r="G16827" i="1"/>
  <c r="C16827" i="1"/>
  <c r="B16827" i="1"/>
  <c r="G16826" i="1"/>
  <c r="B16826" i="1"/>
  <c r="G16825" i="1"/>
  <c r="C16825" i="1"/>
  <c r="B16825" i="1"/>
  <c r="G16824" i="1"/>
  <c r="B16824" i="1"/>
  <c r="G16823" i="1"/>
  <c r="B16823" i="1"/>
  <c r="G16822" i="1"/>
  <c r="B16822" i="1"/>
  <c r="G16821" i="1"/>
  <c r="C16821" i="1"/>
  <c r="B16821" i="1"/>
  <c r="G16820" i="1"/>
  <c r="B16820" i="1"/>
  <c r="G16819" i="1"/>
  <c r="C16819" i="1"/>
  <c r="B16819" i="1"/>
  <c r="G16818" i="1"/>
  <c r="B16818" i="1"/>
  <c r="G16817" i="1"/>
  <c r="C16817" i="1"/>
  <c r="B16817" i="1"/>
  <c r="G16816" i="1"/>
  <c r="B16816" i="1"/>
  <c r="G16815" i="1"/>
  <c r="B16815" i="1"/>
  <c r="G16814" i="1"/>
  <c r="C16814" i="1"/>
  <c r="B16814" i="1"/>
  <c r="G16813" i="1"/>
  <c r="C16813" i="1"/>
  <c r="B16813" i="1"/>
  <c r="G16812" i="1"/>
  <c r="B16812" i="1"/>
  <c r="G16811" i="1"/>
  <c r="B16811" i="1"/>
  <c r="G16810" i="1"/>
  <c r="B16810" i="1"/>
  <c r="G16809" i="1"/>
  <c r="B16809" i="1"/>
  <c r="G16808" i="1"/>
  <c r="C16808" i="1"/>
  <c r="B16808" i="1"/>
  <c r="G16807" i="1"/>
  <c r="C16807" i="1"/>
  <c r="B16807" i="1"/>
  <c r="G16806" i="1"/>
  <c r="C16806" i="1"/>
  <c r="B16806" i="1"/>
  <c r="G16805" i="1"/>
  <c r="C16805" i="1"/>
  <c r="B16805" i="1"/>
  <c r="G16804" i="1"/>
  <c r="C16804" i="1"/>
  <c r="B16804" i="1"/>
  <c r="G16803" i="1"/>
  <c r="B16803" i="1"/>
  <c r="G16802" i="1"/>
  <c r="B16802" i="1"/>
  <c r="G16801" i="1"/>
  <c r="B16801" i="1"/>
  <c r="G16800" i="1"/>
  <c r="C16800" i="1"/>
  <c r="B16800" i="1"/>
  <c r="G16799" i="1"/>
  <c r="C16799" i="1"/>
  <c r="B16799" i="1"/>
  <c r="G16798" i="1"/>
  <c r="C16798" i="1"/>
  <c r="B16798" i="1"/>
  <c r="G16797" i="1"/>
  <c r="C16797" i="1"/>
  <c r="B16797" i="1"/>
  <c r="G16796" i="1"/>
  <c r="B16796" i="1"/>
  <c r="G16795" i="1"/>
  <c r="B16795" i="1"/>
  <c r="G16794" i="1"/>
  <c r="B16794" i="1"/>
  <c r="G16793" i="1"/>
  <c r="B16793" i="1"/>
  <c r="G16792" i="1"/>
  <c r="C16792" i="1"/>
  <c r="B16792" i="1"/>
  <c r="G16791" i="1"/>
  <c r="C16791" i="1"/>
  <c r="B16791" i="1"/>
  <c r="G16790" i="1"/>
  <c r="C16790" i="1"/>
  <c r="B16790" i="1"/>
  <c r="G16789" i="1"/>
  <c r="C16789" i="1"/>
  <c r="B16789" i="1"/>
  <c r="G16788" i="1"/>
  <c r="C16788" i="1"/>
  <c r="B16788" i="1"/>
  <c r="G16787" i="1"/>
  <c r="B16787" i="1"/>
  <c r="G16786" i="1"/>
  <c r="C16786" i="1"/>
  <c r="B16786" i="1"/>
  <c r="G16785" i="1"/>
  <c r="C16785" i="1"/>
  <c r="B16785" i="1"/>
  <c r="G16784" i="1"/>
  <c r="C16784" i="1"/>
  <c r="B16784" i="1"/>
  <c r="G16783" i="1"/>
  <c r="B16783" i="1"/>
  <c r="G16782" i="1"/>
  <c r="B16782" i="1"/>
  <c r="G16781" i="1"/>
  <c r="B16781" i="1"/>
  <c r="G16780" i="1"/>
  <c r="B16780" i="1"/>
  <c r="G16779" i="1"/>
  <c r="C16779" i="1"/>
  <c r="B16779" i="1"/>
  <c r="G16778" i="1"/>
  <c r="C16778" i="1"/>
  <c r="B16778" i="1"/>
  <c r="G16777" i="1"/>
  <c r="B16777" i="1"/>
  <c r="G16776" i="1"/>
  <c r="B16776" i="1"/>
  <c r="G16775" i="1"/>
  <c r="B16775" i="1"/>
  <c r="G16774" i="1"/>
  <c r="C16774" i="1"/>
  <c r="B16774" i="1"/>
  <c r="G16773" i="1"/>
  <c r="B16773" i="1"/>
  <c r="G16772" i="1"/>
  <c r="B16772" i="1"/>
  <c r="G16771" i="1"/>
  <c r="C16771" i="1"/>
  <c r="B16771" i="1"/>
  <c r="G16770" i="1"/>
  <c r="B16770" i="1"/>
  <c r="G16769" i="1"/>
  <c r="B16769" i="1"/>
  <c r="G16768" i="1"/>
  <c r="C16768" i="1"/>
  <c r="B16768" i="1"/>
  <c r="G16767" i="1"/>
  <c r="B16767" i="1"/>
  <c r="G16766" i="1"/>
  <c r="C16766" i="1"/>
  <c r="B16766" i="1"/>
  <c r="G16765" i="1"/>
  <c r="B16765" i="1"/>
  <c r="G16764" i="1"/>
  <c r="B16764" i="1"/>
  <c r="G16763" i="1"/>
  <c r="C16763" i="1"/>
  <c r="B16763" i="1"/>
  <c r="G16762" i="1"/>
  <c r="B16762" i="1"/>
  <c r="G16761" i="1"/>
  <c r="B16761" i="1"/>
  <c r="G16760" i="1"/>
  <c r="B16760" i="1"/>
  <c r="G16759" i="1"/>
  <c r="B16759" i="1"/>
  <c r="G16758" i="1"/>
  <c r="C16758" i="1"/>
  <c r="B16758" i="1"/>
  <c r="G16757" i="1"/>
  <c r="C16757" i="1"/>
  <c r="B16757" i="1"/>
  <c r="G16756" i="1"/>
  <c r="C16756" i="1"/>
  <c r="B16756" i="1"/>
  <c r="G16755" i="1"/>
  <c r="B16755" i="1"/>
  <c r="G16754" i="1"/>
  <c r="C16754" i="1"/>
  <c r="B16754" i="1"/>
  <c r="G16753" i="1"/>
  <c r="B16753" i="1"/>
  <c r="G16752" i="1"/>
  <c r="B16752" i="1"/>
  <c r="G16751" i="1"/>
  <c r="C16751" i="1"/>
  <c r="B16751" i="1"/>
  <c r="G16750" i="1"/>
  <c r="B16750" i="1"/>
  <c r="G16749" i="1"/>
  <c r="C16749" i="1"/>
  <c r="B16749" i="1"/>
  <c r="G16748" i="1"/>
  <c r="B16748" i="1"/>
  <c r="G16747" i="1"/>
  <c r="C16747" i="1"/>
  <c r="B16747" i="1"/>
  <c r="G16746" i="1"/>
  <c r="B16746" i="1"/>
  <c r="G16745" i="1"/>
  <c r="C16745" i="1"/>
  <c r="B16745" i="1"/>
  <c r="G16744" i="1"/>
  <c r="B16744" i="1"/>
  <c r="G16743" i="1"/>
  <c r="B16743" i="1"/>
  <c r="G16742" i="1"/>
  <c r="B16742" i="1"/>
  <c r="G16741" i="1"/>
  <c r="C16741" i="1"/>
  <c r="B16741" i="1"/>
  <c r="G16740" i="1"/>
  <c r="B16740" i="1"/>
  <c r="G16739" i="1"/>
  <c r="B16739" i="1"/>
  <c r="G16738" i="1"/>
  <c r="B16738" i="1"/>
  <c r="G16737" i="1"/>
  <c r="C16737" i="1"/>
  <c r="B16737" i="1"/>
  <c r="G16736" i="1"/>
  <c r="B16736" i="1"/>
  <c r="G16735" i="1"/>
  <c r="C16735" i="1"/>
  <c r="B16735" i="1"/>
  <c r="G16734" i="1"/>
  <c r="B16734" i="1"/>
  <c r="G16733" i="1"/>
  <c r="B16733" i="1"/>
  <c r="G16732" i="1"/>
  <c r="C16732" i="1"/>
  <c r="B16732" i="1"/>
  <c r="G16731" i="1"/>
  <c r="B16731" i="1"/>
  <c r="G16730" i="1"/>
  <c r="B16730" i="1"/>
  <c r="G16729" i="1"/>
  <c r="C16729" i="1"/>
  <c r="B16729" i="1"/>
  <c r="G16728" i="1"/>
  <c r="C16728" i="1"/>
  <c r="B16728" i="1"/>
  <c r="G16727" i="1"/>
  <c r="C16727" i="1"/>
  <c r="B16727" i="1"/>
  <c r="G16726" i="1"/>
  <c r="B16726" i="1"/>
  <c r="G16725" i="1"/>
  <c r="C16725" i="1"/>
  <c r="B16725" i="1"/>
  <c r="G16724" i="1"/>
  <c r="B16724" i="1"/>
  <c r="G16723" i="1"/>
  <c r="B16723" i="1"/>
  <c r="G16722" i="1"/>
  <c r="B16722" i="1"/>
  <c r="G16721" i="1"/>
  <c r="C16721" i="1"/>
  <c r="B16721" i="1"/>
  <c r="G16720" i="1"/>
  <c r="B16720" i="1"/>
  <c r="G16719" i="1"/>
  <c r="C16719" i="1"/>
  <c r="B16719" i="1"/>
  <c r="G16718" i="1"/>
  <c r="C16718" i="1"/>
  <c r="B16718" i="1"/>
  <c r="G16717" i="1"/>
  <c r="C16717" i="1"/>
  <c r="B16717" i="1"/>
  <c r="G16716" i="1"/>
  <c r="B16716" i="1"/>
  <c r="G16715" i="1"/>
  <c r="B16715" i="1"/>
  <c r="G16714" i="1"/>
  <c r="C16714" i="1"/>
  <c r="B16714" i="1"/>
  <c r="G16713" i="1"/>
  <c r="C16713" i="1"/>
  <c r="B16713" i="1"/>
  <c r="G16712" i="1"/>
  <c r="B16712" i="1"/>
  <c r="G16711" i="1"/>
  <c r="B16711" i="1"/>
  <c r="G16710" i="1"/>
  <c r="C16710" i="1"/>
  <c r="B16710" i="1"/>
  <c r="G16709" i="1"/>
  <c r="B16709" i="1"/>
  <c r="G16708" i="1"/>
  <c r="C16708" i="1"/>
  <c r="B16708" i="1"/>
  <c r="G16707" i="1"/>
  <c r="C16707" i="1"/>
  <c r="B16707" i="1"/>
  <c r="G16706" i="1"/>
  <c r="B16706" i="1"/>
  <c r="G16705" i="1"/>
  <c r="B16705" i="1"/>
  <c r="G16704" i="1"/>
  <c r="B16704" i="1"/>
  <c r="G16703" i="1"/>
  <c r="B16703" i="1"/>
  <c r="G16702" i="1"/>
  <c r="C16702" i="1"/>
  <c r="B16702" i="1"/>
  <c r="G16701" i="1"/>
  <c r="B16701" i="1"/>
  <c r="G16700" i="1"/>
  <c r="C16700" i="1"/>
  <c r="B16700" i="1"/>
  <c r="G16699" i="1"/>
  <c r="C16699" i="1"/>
  <c r="B16699" i="1"/>
  <c r="G16698" i="1"/>
  <c r="C16698" i="1"/>
  <c r="B16698" i="1"/>
  <c r="G16697" i="1"/>
  <c r="C16697" i="1"/>
  <c r="B16697" i="1"/>
  <c r="G16696" i="1"/>
  <c r="C16696" i="1"/>
  <c r="B16696" i="1"/>
  <c r="G16695" i="1"/>
  <c r="B16695" i="1"/>
  <c r="G16694" i="1"/>
  <c r="C16694" i="1"/>
  <c r="B16694" i="1"/>
  <c r="G16693" i="1"/>
  <c r="C16693" i="1"/>
  <c r="B16693" i="1"/>
  <c r="G16692" i="1"/>
  <c r="B16692" i="1"/>
  <c r="G16691" i="1"/>
  <c r="C16691" i="1"/>
  <c r="B16691" i="1"/>
  <c r="G16690" i="1"/>
  <c r="B16690" i="1"/>
  <c r="G16689" i="1"/>
  <c r="B16689" i="1"/>
  <c r="G16688" i="1"/>
  <c r="C16688" i="1"/>
  <c r="B16688" i="1"/>
  <c r="G16687" i="1"/>
  <c r="C16687" i="1"/>
  <c r="B16687" i="1"/>
  <c r="G16686" i="1"/>
  <c r="C16686" i="1"/>
  <c r="B16686" i="1"/>
  <c r="G16685" i="1"/>
  <c r="B16685" i="1"/>
  <c r="G16684" i="1"/>
  <c r="C16684" i="1"/>
  <c r="B16684" i="1"/>
  <c r="G16683" i="1"/>
  <c r="B16683" i="1"/>
  <c r="G16682" i="1"/>
  <c r="C16682" i="1"/>
  <c r="B16682" i="1"/>
  <c r="G16681" i="1"/>
  <c r="C16681" i="1"/>
  <c r="B16681" i="1"/>
  <c r="G16680" i="1"/>
  <c r="C16680" i="1"/>
  <c r="B16680" i="1"/>
  <c r="G16679" i="1"/>
  <c r="C16679" i="1"/>
  <c r="B16679" i="1"/>
  <c r="G16678" i="1"/>
  <c r="C16678" i="1"/>
  <c r="B16678" i="1"/>
  <c r="G16677" i="1"/>
  <c r="B16677" i="1"/>
  <c r="G16676" i="1"/>
  <c r="B16676" i="1"/>
  <c r="G16675" i="1"/>
  <c r="C16675" i="1"/>
  <c r="B16675" i="1"/>
  <c r="G16674" i="1"/>
  <c r="B16674" i="1"/>
  <c r="G16673" i="1"/>
  <c r="C16673" i="1"/>
  <c r="B16673" i="1"/>
  <c r="G16672" i="1"/>
  <c r="C16672" i="1"/>
  <c r="B16672" i="1"/>
  <c r="G16671" i="1"/>
  <c r="C16671" i="1"/>
  <c r="B16671" i="1"/>
  <c r="G16670" i="1"/>
  <c r="C16670" i="1"/>
  <c r="B16670" i="1"/>
  <c r="G16669" i="1"/>
  <c r="B16669" i="1"/>
  <c r="G16668" i="1"/>
  <c r="C16668" i="1"/>
  <c r="B16668" i="1"/>
  <c r="G16667" i="1"/>
  <c r="B16667" i="1"/>
  <c r="G16666" i="1"/>
  <c r="B16666" i="1"/>
  <c r="G16665" i="1"/>
  <c r="C16665" i="1"/>
  <c r="B16665" i="1"/>
  <c r="G16664" i="1"/>
  <c r="C16664" i="1"/>
  <c r="B16664" i="1"/>
  <c r="G16663" i="1"/>
  <c r="C16663" i="1"/>
  <c r="B16663" i="1"/>
  <c r="G16662" i="1"/>
  <c r="B16662" i="1"/>
  <c r="G16661" i="1"/>
  <c r="C16661" i="1"/>
  <c r="B16661" i="1"/>
  <c r="G16660" i="1"/>
  <c r="C16660" i="1"/>
  <c r="B16660" i="1"/>
  <c r="G16659" i="1"/>
  <c r="C16659" i="1"/>
  <c r="B16659" i="1"/>
  <c r="G16658" i="1"/>
  <c r="B16658" i="1"/>
  <c r="G16657" i="1"/>
  <c r="C16657" i="1"/>
  <c r="B16657" i="1"/>
  <c r="G16656" i="1"/>
  <c r="B16656" i="1"/>
  <c r="G16655" i="1"/>
  <c r="C16655" i="1"/>
  <c r="B16655" i="1"/>
  <c r="G16654" i="1"/>
  <c r="B16654" i="1"/>
  <c r="G16653" i="1"/>
  <c r="B16653" i="1"/>
  <c r="G16652" i="1"/>
  <c r="B16652" i="1"/>
  <c r="G16651" i="1"/>
  <c r="C16651" i="1"/>
  <c r="B16651" i="1"/>
  <c r="G16650" i="1"/>
  <c r="C16650" i="1"/>
  <c r="B16650" i="1"/>
  <c r="G16649" i="1"/>
  <c r="C16649" i="1"/>
  <c r="B16649" i="1"/>
  <c r="G16648" i="1"/>
  <c r="B16648" i="1"/>
  <c r="G16647" i="1"/>
  <c r="C16647" i="1"/>
  <c r="B16647" i="1"/>
  <c r="G16646" i="1"/>
  <c r="C16646" i="1"/>
  <c r="B16646" i="1"/>
  <c r="G16645" i="1"/>
  <c r="C16645" i="1"/>
  <c r="B16645" i="1"/>
  <c r="G16644" i="1"/>
  <c r="C16644" i="1"/>
  <c r="B16644" i="1"/>
  <c r="G16643" i="1"/>
  <c r="B16643" i="1"/>
  <c r="G16642" i="1"/>
  <c r="C16642" i="1"/>
  <c r="B16642" i="1"/>
  <c r="G16641" i="1"/>
  <c r="B16641" i="1"/>
  <c r="G16640" i="1"/>
  <c r="C16640" i="1"/>
  <c r="B16640" i="1"/>
  <c r="G16639" i="1"/>
  <c r="B16639" i="1"/>
  <c r="G16638" i="1"/>
  <c r="C16638" i="1"/>
  <c r="B16638" i="1"/>
  <c r="G16637" i="1"/>
  <c r="C16637" i="1"/>
  <c r="B16637" i="1"/>
  <c r="G16636" i="1"/>
  <c r="C16636" i="1"/>
  <c r="B16636" i="1"/>
  <c r="G16635" i="1"/>
  <c r="C16635" i="1"/>
  <c r="B16635" i="1"/>
  <c r="G16634" i="1"/>
  <c r="C16634" i="1"/>
  <c r="B16634" i="1"/>
  <c r="G16633" i="1"/>
  <c r="C16633" i="1"/>
  <c r="B16633" i="1"/>
  <c r="G16632" i="1"/>
  <c r="B16632" i="1"/>
  <c r="G16631" i="1"/>
  <c r="B16631" i="1"/>
  <c r="G16630" i="1"/>
  <c r="B16630" i="1"/>
  <c r="G16629" i="1"/>
  <c r="C16629" i="1"/>
  <c r="B16629" i="1"/>
  <c r="G16628" i="1"/>
  <c r="C16628" i="1"/>
  <c r="B16628" i="1"/>
  <c r="G16627" i="1"/>
  <c r="B16627" i="1"/>
  <c r="G16626" i="1"/>
  <c r="C16626" i="1"/>
  <c r="B16626" i="1"/>
  <c r="G16625" i="1"/>
  <c r="C16625" i="1"/>
  <c r="B16625" i="1"/>
  <c r="G16624" i="1"/>
  <c r="B16624" i="1"/>
  <c r="G16623" i="1"/>
  <c r="C16623" i="1"/>
  <c r="B16623" i="1"/>
  <c r="G16622" i="1"/>
  <c r="B16622" i="1"/>
  <c r="G16621" i="1"/>
  <c r="B16621" i="1"/>
  <c r="G16620" i="1"/>
  <c r="C16620" i="1"/>
  <c r="B16620" i="1"/>
  <c r="G16619" i="1"/>
  <c r="C16619" i="1"/>
  <c r="B16619" i="1"/>
  <c r="G16618" i="1"/>
  <c r="B16618" i="1"/>
  <c r="G16617" i="1"/>
  <c r="B16617" i="1"/>
  <c r="G16616" i="1"/>
  <c r="B16616" i="1"/>
  <c r="G16615" i="1"/>
  <c r="C16615" i="1"/>
  <c r="B16615" i="1"/>
  <c r="G16614" i="1"/>
  <c r="C16614" i="1"/>
  <c r="B16614" i="1"/>
  <c r="G16613" i="1"/>
  <c r="C16613" i="1"/>
  <c r="B16613" i="1"/>
  <c r="G16612" i="1"/>
  <c r="B16612" i="1"/>
  <c r="G16611" i="1"/>
  <c r="B16611" i="1"/>
  <c r="G16610" i="1"/>
  <c r="C16610" i="1"/>
  <c r="B16610" i="1"/>
  <c r="G16609" i="1"/>
  <c r="B16609" i="1"/>
  <c r="G16608" i="1"/>
  <c r="C16608" i="1"/>
  <c r="B16608" i="1"/>
  <c r="G16607" i="1"/>
  <c r="C16607" i="1"/>
  <c r="B16607" i="1"/>
  <c r="G16606" i="1"/>
  <c r="C16606" i="1"/>
  <c r="B16606" i="1"/>
  <c r="G16605" i="1"/>
  <c r="B16605" i="1"/>
  <c r="G16604" i="1"/>
  <c r="C16604" i="1"/>
  <c r="B16604" i="1"/>
  <c r="G16603" i="1"/>
  <c r="B16603" i="1"/>
  <c r="G16602" i="1"/>
  <c r="C16602" i="1"/>
  <c r="B16602" i="1"/>
  <c r="G16601" i="1"/>
  <c r="B16601" i="1"/>
  <c r="G16600" i="1"/>
  <c r="C16600" i="1"/>
  <c r="B16600" i="1"/>
  <c r="G16599" i="1"/>
  <c r="C16599" i="1"/>
  <c r="B16599" i="1"/>
  <c r="G16598" i="1"/>
  <c r="C16598" i="1"/>
  <c r="B16598" i="1"/>
  <c r="G16597" i="1"/>
  <c r="C16597" i="1"/>
  <c r="B16597" i="1"/>
  <c r="G16596" i="1"/>
  <c r="B16596" i="1"/>
  <c r="G16595" i="1"/>
  <c r="C16595" i="1"/>
  <c r="B16595" i="1"/>
  <c r="G16594" i="1"/>
  <c r="C16594" i="1"/>
  <c r="B16594" i="1"/>
  <c r="G16593" i="1"/>
  <c r="C16593" i="1"/>
  <c r="B16593" i="1"/>
  <c r="G16592" i="1"/>
  <c r="B16592" i="1"/>
  <c r="G16591" i="1"/>
  <c r="B16591" i="1"/>
  <c r="G16590" i="1"/>
  <c r="B16590" i="1"/>
  <c r="G16589" i="1"/>
  <c r="C16589" i="1"/>
  <c r="B16589" i="1"/>
  <c r="G16588" i="1"/>
  <c r="C16588" i="1"/>
  <c r="B16588" i="1"/>
  <c r="G16587" i="1"/>
  <c r="C16587" i="1"/>
  <c r="B16587" i="1"/>
  <c r="G16586" i="1"/>
  <c r="B16586" i="1"/>
  <c r="G16585" i="1"/>
  <c r="C16585" i="1"/>
  <c r="B16585" i="1"/>
  <c r="G16584" i="1"/>
  <c r="B16584" i="1"/>
  <c r="G16583" i="1"/>
  <c r="C16583" i="1"/>
  <c r="B16583" i="1"/>
  <c r="G16582" i="1"/>
  <c r="C16582" i="1"/>
  <c r="B16582" i="1"/>
  <c r="G16581" i="1"/>
  <c r="B16581" i="1"/>
  <c r="G16580" i="1"/>
  <c r="C16580" i="1"/>
  <c r="B16580" i="1"/>
  <c r="G16579" i="1"/>
  <c r="C16579" i="1"/>
  <c r="B16579" i="1"/>
  <c r="G16578" i="1"/>
  <c r="C16578" i="1"/>
  <c r="B16578" i="1"/>
  <c r="G16577" i="1"/>
  <c r="C16577" i="1"/>
  <c r="B16577" i="1"/>
  <c r="G16576" i="1"/>
  <c r="C16576" i="1"/>
  <c r="B16576" i="1"/>
  <c r="G16575" i="1"/>
  <c r="C16575" i="1"/>
  <c r="B16575" i="1"/>
  <c r="G16574" i="1"/>
  <c r="B16574" i="1"/>
  <c r="G16573" i="1"/>
  <c r="C16573" i="1"/>
  <c r="B16573" i="1"/>
  <c r="G16572" i="1"/>
  <c r="C16572" i="1"/>
  <c r="B16572" i="1"/>
  <c r="G16571" i="1"/>
  <c r="C16571" i="1"/>
  <c r="B16571" i="1"/>
  <c r="G16570" i="1"/>
  <c r="C16570" i="1"/>
  <c r="B16570" i="1"/>
  <c r="G16569" i="1"/>
  <c r="C16569" i="1"/>
  <c r="B16569" i="1"/>
  <c r="G16568" i="1"/>
  <c r="C16568" i="1"/>
  <c r="B16568" i="1"/>
  <c r="G16567" i="1"/>
  <c r="C16567" i="1"/>
  <c r="B16567" i="1"/>
  <c r="G16566" i="1"/>
  <c r="C16566" i="1"/>
  <c r="B16566" i="1"/>
  <c r="G16565" i="1"/>
  <c r="C16565" i="1"/>
  <c r="B16565" i="1"/>
  <c r="G16564" i="1"/>
  <c r="B16564" i="1"/>
  <c r="G16563" i="1"/>
  <c r="C16563" i="1"/>
  <c r="B16563" i="1"/>
  <c r="G16562" i="1"/>
  <c r="B16562" i="1"/>
  <c r="G16561" i="1"/>
  <c r="C16561" i="1"/>
  <c r="B16561" i="1"/>
  <c r="G16560" i="1"/>
  <c r="C16560" i="1"/>
  <c r="B16560" i="1"/>
  <c r="G16559" i="1"/>
  <c r="B16559" i="1"/>
  <c r="G16558" i="1"/>
  <c r="C16558" i="1"/>
  <c r="B16558" i="1"/>
  <c r="G16557" i="1"/>
  <c r="C16557" i="1"/>
  <c r="B16557" i="1"/>
  <c r="G16556" i="1"/>
  <c r="B16556" i="1"/>
  <c r="G16555" i="1"/>
  <c r="B16555" i="1"/>
  <c r="G16554" i="1"/>
  <c r="C16554" i="1"/>
  <c r="B16554" i="1"/>
  <c r="G16553" i="1"/>
  <c r="C16553" i="1"/>
  <c r="B16553" i="1"/>
  <c r="G16552" i="1"/>
  <c r="B16552" i="1"/>
  <c r="G16551" i="1"/>
  <c r="C16551" i="1"/>
  <c r="B16551" i="1"/>
  <c r="G16550" i="1"/>
  <c r="C16550" i="1"/>
  <c r="B16550" i="1"/>
  <c r="G16549" i="1"/>
  <c r="C16549" i="1"/>
  <c r="B16549" i="1"/>
  <c r="G16548" i="1"/>
  <c r="C16548" i="1"/>
  <c r="B16548" i="1"/>
  <c r="G16547" i="1"/>
  <c r="B16547" i="1"/>
  <c r="G16546" i="1"/>
  <c r="B16546" i="1"/>
  <c r="G16545" i="1"/>
  <c r="C16545" i="1"/>
  <c r="B16545" i="1"/>
  <c r="G16544" i="1"/>
  <c r="C16544" i="1"/>
  <c r="B16544" i="1"/>
  <c r="G16543" i="1"/>
  <c r="B16543" i="1"/>
  <c r="G16542" i="1"/>
  <c r="B16542" i="1"/>
  <c r="G16541" i="1"/>
  <c r="B16541" i="1"/>
  <c r="G16540" i="1"/>
  <c r="B16540" i="1"/>
  <c r="G16539" i="1"/>
  <c r="C16539" i="1"/>
  <c r="B16539" i="1"/>
  <c r="G16538" i="1"/>
  <c r="B16538" i="1"/>
  <c r="G16537" i="1"/>
  <c r="B16537" i="1"/>
  <c r="G16536" i="1"/>
  <c r="C16536" i="1"/>
  <c r="B16536" i="1"/>
  <c r="G16535" i="1"/>
  <c r="B16535" i="1"/>
  <c r="G16534" i="1"/>
  <c r="B16534" i="1"/>
  <c r="G16533" i="1"/>
  <c r="C16533" i="1"/>
  <c r="B16533" i="1"/>
  <c r="G16532" i="1"/>
  <c r="C16532" i="1"/>
  <c r="B16532" i="1"/>
  <c r="G16531" i="1"/>
  <c r="B16531" i="1"/>
  <c r="G16530" i="1"/>
  <c r="B16530" i="1"/>
  <c r="G16529" i="1"/>
  <c r="C16529" i="1"/>
  <c r="B16529" i="1"/>
  <c r="G16528" i="1"/>
  <c r="C16528" i="1"/>
  <c r="B16528" i="1"/>
  <c r="G16527" i="1"/>
  <c r="B16527" i="1"/>
  <c r="G16526" i="1"/>
  <c r="C16526" i="1"/>
  <c r="B16526" i="1"/>
  <c r="G16525" i="1"/>
  <c r="C16525" i="1"/>
  <c r="B16525" i="1"/>
  <c r="G16524" i="1"/>
  <c r="C16524" i="1"/>
  <c r="B16524" i="1"/>
  <c r="G16523" i="1"/>
  <c r="B16523" i="1"/>
  <c r="G16522" i="1"/>
  <c r="C16522" i="1"/>
  <c r="B16522" i="1"/>
  <c r="G16521" i="1"/>
  <c r="C16521" i="1"/>
  <c r="B16521" i="1"/>
  <c r="G16520" i="1"/>
  <c r="B16520" i="1"/>
  <c r="G16519" i="1"/>
  <c r="B16519" i="1"/>
  <c r="G16518" i="1"/>
  <c r="C16518" i="1"/>
  <c r="B16518" i="1"/>
  <c r="G16517" i="1"/>
  <c r="C16517" i="1"/>
  <c r="B16517" i="1"/>
  <c r="G16516" i="1"/>
  <c r="C16516" i="1"/>
  <c r="B16516" i="1"/>
  <c r="G16515" i="1"/>
  <c r="C16515" i="1"/>
  <c r="B16515" i="1"/>
  <c r="G16514" i="1"/>
  <c r="C16514" i="1"/>
  <c r="B16514" i="1"/>
  <c r="G16513" i="1"/>
  <c r="C16513" i="1"/>
  <c r="B16513" i="1"/>
  <c r="G16512" i="1"/>
  <c r="C16512" i="1"/>
  <c r="B16512" i="1"/>
  <c r="G16511" i="1"/>
  <c r="C16511" i="1"/>
  <c r="B16511" i="1"/>
  <c r="G16510" i="1"/>
  <c r="B16510" i="1"/>
  <c r="G16509" i="1"/>
  <c r="C16509" i="1"/>
  <c r="B16509" i="1"/>
  <c r="G16508" i="1"/>
  <c r="B16508" i="1"/>
  <c r="G16507" i="1"/>
  <c r="B16507" i="1"/>
  <c r="G16506" i="1"/>
  <c r="C16506" i="1"/>
  <c r="B16506" i="1"/>
  <c r="G16505" i="1"/>
  <c r="C16505" i="1"/>
  <c r="B16505" i="1"/>
  <c r="G16504" i="1"/>
  <c r="C16504" i="1"/>
  <c r="B16504" i="1"/>
  <c r="G16503" i="1"/>
  <c r="B16503" i="1"/>
  <c r="G16502" i="1"/>
  <c r="C16502" i="1"/>
  <c r="B16502" i="1"/>
  <c r="G16501" i="1"/>
  <c r="C16501" i="1"/>
  <c r="B16501" i="1"/>
  <c r="G16500" i="1"/>
  <c r="C16500" i="1"/>
  <c r="B16500" i="1"/>
  <c r="G16499" i="1"/>
  <c r="B16499" i="1"/>
  <c r="G16498" i="1"/>
  <c r="C16498" i="1"/>
  <c r="B16498" i="1"/>
  <c r="G16497" i="1"/>
  <c r="C16497" i="1"/>
  <c r="B16497" i="1"/>
  <c r="G16496" i="1"/>
  <c r="C16496" i="1"/>
  <c r="B16496" i="1"/>
  <c r="G16495" i="1"/>
  <c r="C16495" i="1"/>
  <c r="B16495" i="1"/>
  <c r="G16494" i="1"/>
  <c r="C16494" i="1"/>
  <c r="B16494" i="1"/>
  <c r="G16493" i="1"/>
  <c r="C16493" i="1"/>
  <c r="B16493" i="1"/>
  <c r="G16492" i="1"/>
  <c r="C16492" i="1"/>
  <c r="B16492" i="1"/>
  <c r="G16491" i="1"/>
  <c r="C16491" i="1"/>
  <c r="B16491" i="1"/>
  <c r="G16490" i="1"/>
  <c r="C16490" i="1"/>
  <c r="B16490" i="1"/>
  <c r="G16489" i="1"/>
  <c r="C16489" i="1"/>
  <c r="B16489" i="1"/>
  <c r="G16488" i="1"/>
  <c r="B16488" i="1"/>
  <c r="G16487" i="1"/>
  <c r="C16487" i="1"/>
  <c r="B16487" i="1"/>
  <c r="G16486" i="1"/>
  <c r="C16486" i="1"/>
  <c r="B16486" i="1"/>
  <c r="G16485" i="1"/>
  <c r="C16485" i="1"/>
  <c r="B16485" i="1"/>
  <c r="G16484" i="1"/>
  <c r="C16484" i="1"/>
  <c r="B16484" i="1"/>
  <c r="G16483" i="1"/>
  <c r="B16483" i="1"/>
  <c r="G16482" i="1"/>
  <c r="C16482" i="1"/>
  <c r="B16482" i="1"/>
  <c r="G16481" i="1"/>
  <c r="C16481" i="1"/>
  <c r="B16481" i="1"/>
  <c r="G16480" i="1"/>
  <c r="C16480" i="1"/>
  <c r="B16480" i="1"/>
  <c r="G16479" i="1"/>
  <c r="B16479" i="1"/>
  <c r="G16478" i="1"/>
  <c r="C16478" i="1"/>
  <c r="B16478" i="1"/>
  <c r="G16477" i="1"/>
  <c r="C16477" i="1"/>
  <c r="B16477" i="1"/>
  <c r="G16476" i="1"/>
  <c r="C16476" i="1"/>
  <c r="B16476" i="1"/>
  <c r="G16475" i="1"/>
  <c r="B16475" i="1"/>
  <c r="G16474" i="1"/>
  <c r="C16474" i="1"/>
  <c r="B16474" i="1"/>
  <c r="G16473" i="1"/>
  <c r="B16473" i="1"/>
  <c r="G16472" i="1"/>
  <c r="B16472" i="1"/>
  <c r="G16471" i="1"/>
  <c r="C16471" i="1"/>
  <c r="B16471" i="1"/>
  <c r="G16470" i="1"/>
  <c r="C16470" i="1"/>
  <c r="B16470" i="1"/>
  <c r="G16469" i="1"/>
  <c r="C16469" i="1"/>
  <c r="B16469" i="1"/>
  <c r="G16468" i="1"/>
  <c r="C16468" i="1"/>
  <c r="B16468" i="1"/>
  <c r="G16467" i="1"/>
  <c r="B16467" i="1"/>
  <c r="G16466" i="1"/>
  <c r="C16466" i="1"/>
  <c r="B16466" i="1"/>
  <c r="G16465" i="1"/>
  <c r="C16465" i="1"/>
  <c r="B16465" i="1"/>
  <c r="G16464" i="1"/>
  <c r="C16464" i="1"/>
  <c r="B16464" i="1"/>
  <c r="G16463" i="1"/>
  <c r="B16463" i="1"/>
  <c r="G16462" i="1"/>
  <c r="B16462" i="1"/>
  <c r="G16461" i="1"/>
  <c r="C16461" i="1"/>
  <c r="B16461" i="1"/>
  <c r="G16460" i="1"/>
  <c r="C16460" i="1"/>
  <c r="B16460" i="1"/>
  <c r="G16459" i="1"/>
  <c r="C16459" i="1"/>
  <c r="B16459" i="1"/>
  <c r="G16458" i="1"/>
  <c r="B16458" i="1"/>
  <c r="G16457" i="1"/>
  <c r="C16457" i="1"/>
  <c r="B16457" i="1"/>
  <c r="G16456" i="1"/>
  <c r="C16456" i="1"/>
  <c r="B16456" i="1"/>
  <c r="G16455" i="1"/>
  <c r="C16455" i="1"/>
  <c r="B16455" i="1"/>
  <c r="G16454" i="1"/>
  <c r="C16454" i="1"/>
  <c r="B16454" i="1"/>
  <c r="G16453" i="1"/>
  <c r="B16453" i="1"/>
  <c r="G16452" i="1"/>
  <c r="C16452" i="1"/>
  <c r="B16452" i="1"/>
  <c r="G16451" i="1"/>
  <c r="C16451" i="1"/>
  <c r="B16451" i="1"/>
  <c r="G16450" i="1"/>
  <c r="C16450" i="1"/>
  <c r="B16450" i="1"/>
  <c r="G16449" i="1"/>
  <c r="C16449" i="1"/>
  <c r="B16449" i="1"/>
  <c r="G16448" i="1"/>
  <c r="C16448" i="1"/>
  <c r="B16448" i="1"/>
  <c r="G16447" i="1"/>
  <c r="B16447" i="1"/>
  <c r="G16446" i="1"/>
  <c r="C16446" i="1"/>
  <c r="B16446" i="1"/>
  <c r="G16445" i="1"/>
  <c r="B16445" i="1"/>
  <c r="G16444" i="1"/>
  <c r="C16444" i="1"/>
  <c r="B16444" i="1"/>
  <c r="G16443" i="1"/>
  <c r="B16443" i="1"/>
  <c r="G16442" i="1"/>
  <c r="B16442" i="1"/>
  <c r="G16441" i="1"/>
  <c r="C16441" i="1"/>
  <c r="B16441" i="1"/>
  <c r="G16440" i="1"/>
  <c r="C16440" i="1"/>
  <c r="B16440" i="1"/>
  <c r="G16439" i="1"/>
  <c r="C16439" i="1"/>
  <c r="B16439" i="1"/>
  <c r="G16438" i="1"/>
  <c r="C16438" i="1"/>
  <c r="B16438" i="1"/>
  <c r="G16437" i="1"/>
  <c r="B16437" i="1"/>
  <c r="G16436" i="1"/>
  <c r="C16436" i="1"/>
  <c r="B16436" i="1"/>
  <c r="G16435" i="1"/>
  <c r="B16435" i="1"/>
  <c r="G16434" i="1"/>
  <c r="C16434" i="1"/>
  <c r="B16434" i="1"/>
  <c r="G16433" i="1"/>
  <c r="C16433" i="1"/>
  <c r="B16433" i="1"/>
  <c r="G16432" i="1"/>
  <c r="C16432" i="1"/>
  <c r="B16432" i="1"/>
  <c r="G16431" i="1"/>
  <c r="B16431" i="1"/>
  <c r="G16430" i="1"/>
  <c r="C16430" i="1"/>
  <c r="B16430" i="1"/>
  <c r="G16429" i="1"/>
  <c r="B16429" i="1"/>
  <c r="G16428" i="1"/>
  <c r="B16428" i="1"/>
  <c r="G16427" i="1"/>
  <c r="B16427" i="1"/>
  <c r="G16426" i="1"/>
  <c r="C16426" i="1"/>
  <c r="B16426" i="1"/>
  <c r="G16425" i="1"/>
  <c r="C16425" i="1"/>
  <c r="B16425" i="1"/>
  <c r="G16424" i="1"/>
  <c r="C16424" i="1"/>
  <c r="B16424" i="1"/>
  <c r="G16423" i="1"/>
  <c r="C16423" i="1"/>
  <c r="B16423" i="1"/>
  <c r="G16422" i="1"/>
  <c r="B16422" i="1"/>
  <c r="G16421" i="1"/>
  <c r="B16421" i="1"/>
  <c r="G16420" i="1"/>
  <c r="C16420" i="1"/>
  <c r="B16420" i="1"/>
  <c r="G16419" i="1"/>
  <c r="B16419" i="1"/>
  <c r="G16418" i="1"/>
  <c r="C16418" i="1"/>
  <c r="B16418" i="1"/>
  <c r="G16417" i="1"/>
  <c r="B16417" i="1"/>
  <c r="G16416" i="1"/>
  <c r="C16416" i="1"/>
  <c r="B16416" i="1"/>
  <c r="G16415" i="1"/>
  <c r="C16415" i="1"/>
  <c r="B16415" i="1"/>
  <c r="G16414" i="1"/>
  <c r="C16414" i="1"/>
  <c r="B16414" i="1"/>
  <c r="G16413" i="1"/>
  <c r="B16413" i="1"/>
  <c r="G16412" i="1"/>
  <c r="C16412" i="1"/>
  <c r="B16412" i="1"/>
  <c r="G16411" i="1"/>
  <c r="B16411" i="1"/>
  <c r="G16410" i="1"/>
  <c r="B16410" i="1"/>
  <c r="G16409" i="1"/>
  <c r="B16409" i="1"/>
  <c r="G16408" i="1"/>
  <c r="C16408" i="1"/>
  <c r="B16408" i="1"/>
  <c r="G16407" i="1"/>
  <c r="B16407" i="1"/>
  <c r="G16406" i="1"/>
  <c r="B16406" i="1"/>
  <c r="G16405" i="1"/>
  <c r="B16405" i="1"/>
  <c r="G16404" i="1"/>
  <c r="C16404" i="1"/>
  <c r="B16404" i="1"/>
  <c r="G16403" i="1"/>
  <c r="C16403" i="1"/>
  <c r="B16403" i="1"/>
  <c r="G16402" i="1"/>
  <c r="C16402" i="1"/>
  <c r="B16402" i="1"/>
  <c r="G16401" i="1"/>
  <c r="B16401" i="1"/>
  <c r="G16400" i="1"/>
  <c r="B16400" i="1"/>
  <c r="G16399" i="1"/>
  <c r="B16399" i="1"/>
  <c r="G16398" i="1"/>
  <c r="C16398" i="1"/>
  <c r="B16398" i="1"/>
  <c r="G16397" i="1"/>
  <c r="C16397" i="1"/>
  <c r="B16397" i="1"/>
  <c r="G16396" i="1"/>
  <c r="B16396" i="1"/>
  <c r="G16395" i="1"/>
  <c r="C16395" i="1"/>
  <c r="B16395" i="1"/>
  <c r="G16394" i="1"/>
  <c r="B16394" i="1"/>
  <c r="G16393" i="1"/>
  <c r="C16393" i="1"/>
  <c r="B16393" i="1"/>
  <c r="G16392" i="1"/>
  <c r="B16392" i="1"/>
  <c r="G16391" i="1"/>
  <c r="C16391" i="1"/>
  <c r="B16391" i="1"/>
  <c r="G16390" i="1"/>
  <c r="B16390" i="1"/>
  <c r="G16389" i="1"/>
  <c r="B16389" i="1"/>
  <c r="G16388" i="1"/>
  <c r="C16388" i="1"/>
  <c r="B16388" i="1"/>
  <c r="G16387" i="1"/>
  <c r="C16387" i="1"/>
  <c r="B16387" i="1"/>
  <c r="G16386" i="1"/>
  <c r="C16386" i="1"/>
  <c r="B16386" i="1"/>
  <c r="G16385" i="1"/>
  <c r="C16385" i="1"/>
  <c r="B16385" i="1"/>
  <c r="G16384" i="1"/>
  <c r="B16384" i="1"/>
  <c r="G16383" i="1"/>
  <c r="B16383" i="1"/>
  <c r="G16382" i="1"/>
  <c r="C16382" i="1"/>
  <c r="B16382" i="1"/>
  <c r="G16381" i="1"/>
  <c r="B16381" i="1"/>
  <c r="G16380" i="1"/>
  <c r="C16380" i="1"/>
  <c r="B16380" i="1"/>
  <c r="G16379" i="1"/>
  <c r="C16379" i="1"/>
  <c r="B16379" i="1"/>
  <c r="G16378" i="1"/>
  <c r="C16378" i="1"/>
  <c r="B16378" i="1"/>
  <c r="G16377" i="1"/>
  <c r="C16377" i="1"/>
  <c r="B16377" i="1"/>
  <c r="G16376" i="1"/>
  <c r="C16376" i="1"/>
  <c r="B16376" i="1"/>
  <c r="G16375" i="1"/>
  <c r="C16375" i="1"/>
  <c r="B16375" i="1"/>
  <c r="G16374" i="1"/>
  <c r="C16374" i="1"/>
  <c r="B16374" i="1"/>
  <c r="G16373" i="1"/>
  <c r="C16373" i="1"/>
  <c r="B16373" i="1"/>
  <c r="G16372" i="1"/>
  <c r="C16372" i="1"/>
  <c r="B16372" i="1"/>
  <c r="G16371" i="1"/>
  <c r="B16371" i="1"/>
  <c r="G16370" i="1"/>
  <c r="C16370" i="1"/>
  <c r="B16370" i="1"/>
  <c r="G16369" i="1"/>
  <c r="C16369" i="1"/>
  <c r="B16369" i="1"/>
  <c r="G16368" i="1"/>
  <c r="C16368" i="1"/>
  <c r="B16368" i="1"/>
  <c r="G16367" i="1"/>
  <c r="B16367" i="1"/>
  <c r="G16366" i="1"/>
  <c r="C16366" i="1"/>
  <c r="B16366" i="1"/>
  <c r="G16365" i="1"/>
  <c r="B16365" i="1"/>
  <c r="G16364" i="1"/>
  <c r="C16364" i="1"/>
  <c r="B16364" i="1"/>
  <c r="G16363" i="1"/>
  <c r="B16363" i="1"/>
  <c r="G16362" i="1"/>
  <c r="C16362" i="1"/>
  <c r="B16362" i="1"/>
  <c r="G16361" i="1"/>
  <c r="B16361" i="1"/>
  <c r="G16360" i="1"/>
  <c r="C16360" i="1"/>
  <c r="B16360" i="1"/>
  <c r="G16359" i="1"/>
  <c r="C16359" i="1"/>
  <c r="B16359" i="1"/>
  <c r="G16358" i="1"/>
  <c r="B16358" i="1"/>
  <c r="G16357" i="1"/>
  <c r="B16357" i="1"/>
  <c r="G16356" i="1"/>
  <c r="C16356" i="1"/>
  <c r="B16356" i="1"/>
  <c r="G16355" i="1"/>
  <c r="C16355" i="1"/>
  <c r="B16355" i="1"/>
  <c r="G16354" i="1"/>
  <c r="B16354" i="1"/>
  <c r="G16353" i="1"/>
  <c r="B16353" i="1"/>
  <c r="G16352" i="1"/>
  <c r="C16352" i="1"/>
  <c r="B16352" i="1"/>
  <c r="G16351" i="1"/>
  <c r="C16351" i="1"/>
  <c r="B16351" i="1"/>
  <c r="G16350" i="1"/>
  <c r="C16350" i="1"/>
  <c r="B16350" i="1"/>
  <c r="G16349" i="1"/>
  <c r="C16349" i="1"/>
  <c r="B16349" i="1"/>
  <c r="G16348" i="1"/>
  <c r="C16348" i="1"/>
  <c r="B16348" i="1"/>
  <c r="G16347" i="1"/>
  <c r="C16347" i="1"/>
  <c r="B16347" i="1"/>
  <c r="G16346" i="1"/>
  <c r="C16346" i="1"/>
  <c r="B16346" i="1"/>
  <c r="G16345" i="1"/>
  <c r="C16345" i="1"/>
  <c r="B16345" i="1"/>
  <c r="G16344" i="1"/>
  <c r="B16344" i="1"/>
  <c r="G16343" i="1"/>
  <c r="C16343" i="1"/>
  <c r="B16343" i="1"/>
  <c r="G16342" i="1"/>
  <c r="B16342" i="1"/>
  <c r="G16341" i="1"/>
  <c r="C16341" i="1"/>
  <c r="B16341" i="1"/>
  <c r="G16340" i="1"/>
  <c r="C16340" i="1"/>
  <c r="B16340" i="1"/>
  <c r="G16339" i="1"/>
  <c r="C16339" i="1"/>
  <c r="B16339" i="1"/>
  <c r="G16338" i="1"/>
  <c r="C16338" i="1"/>
  <c r="B16338" i="1"/>
  <c r="G16337" i="1"/>
  <c r="B16337" i="1"/>
  <c r="G16336" i="1"/>
  <c r="C16336" i="1"/>
  <c r="B16336" i="1"/>
  <c r="G16335" i="1"/>
  <c r="B16335" i="1"/>
  <c r="G16334" i="1"/>
  <c r="B16334" i="1"/>
  <c r="G16333" i="1"/>
  <c r="B16333" i="1"/>
  <c r="G16332" i="1"/>
  <c r="B16332" i="1"/>
  <c r="G16331" i="1"/>
  <c r="C16331" i="1"/>
  <c r="B16331" i="1"/>
  <c r="G16330" i="1"/>
  <c r="B16330" i="1"/>
  <c r="G16329" i="1"/>
  <c r="C16329" i="1"/>
  <c r="B16329" i="1"/>
  <c r="G16328" i="1"/>
  <c r="C16328" i="1"/>
  <c r="B16328" i="1"/>
  <c r="G16327" i="1"/>
  <c r="C16327" i="1"/>
  <c r="B16327" i="1"/>
  <c r="G16326" i="1"/>
  <c r="C16326" i="1"/>
  <c r="B16326" i="1"/>
  <c r="G16325" i="1"/>
  <c r="C16325" i="1"/>
  <c r="B16325" i="1"/>
  <c r="G16324" i="1"/>
  <c r="C16324" i="1"/>
  <c r="B16324" i="1"/>
  <c r="G16323" i="1"/>
  <c r="B16323" i="1"/>
  <c r="G16322" i="1"/>
  <c r="C16322" i="1"/>
  <c r="B16322" i="1"/>
  <c r="G16321" i="1"/>
  <c r="C16321" i="1"/>
  <c r="B16321" i="1"/>
  <c r="G16320" i="1"/>
  <c r="C16320" i="1"/>
  <c r="B16320" i="1"/>
  <c r="G16319" i="1"/>
  <c r="C16319" i="1"/>
  <c r="B16319" i="1"/>
  <c r="G16318" i="1"/>
  <c r="C16318" i="1"/>
  <c r="B16318" i="1"/>
  <c r="G16317" i="1"/>
  <c r="B16317" i="1"/>
  <c r="G16316" i="1"/>
  <c r="C16316" i="1"/>
  <c r="B16316" i="1"/>
  <c r="G16315" i="1"/>
  <c r="C16315" i="1"/>
  <c r="B16315" i="1"/>
  <c r="G16314" i="1"/>
  <c r="C16314" i="1"/>
  <c r="B16314" i="1"/>
  <c r="G16313" i="1"/>
  <c r="B16313" i="1"/>
  <c r="G16312" i="1"/>
  <c r="B16312" i="1"/>
  <c r="G16311" i="1"/>
  <c r="B16311" i="1"/>
  <c r="G16310" i="1"/>
  <c r="C16310" i="1"/>
  <c r="B16310" i="1"/>
  <c r="G16309" i="1"/>
  <c r="C16309" i="1"/>
  <c r="B16309" i="1"/>
  <c r="G16308" i="1"/>
  <c r="B16308" i="1"/>
  <c r="G16307" i="1"/>
  <c r="B16307" i="1"/>
  <c r="G16306" i="1"/>
  <c r="C16306" i="1"/>
  <c r="B16306" i="1"/>
  <c r="G16305" i="1"/>
  <c r="C16305" i="1"/>
  <c r="B16305" i="1"/>
  <c r="G16304" i="1"/>
  <c r="C16304" i="1"/>
  <c r="B16304" i="1"/>
  <c r="G16303" i="1"/>
  <c r="B16303" i="1"/>
  <c r="G16302" i="1"/>
  <c r="C16302" i="1"/>
  <c r="B16302" i="1"/>
  <c r="G16301" i="1"/>
  <c r="C16301" i="1"/>
  <c r="B16301" i="1"/>
  <c r="G16300" i="1"/>
  <c r="C16300" i="1"/>
  <c r="B16300" i="1"/>
  <c r="G16299" i="1"/>
  <c r="C16299" i="1"/>
  <c r="B16299" i="1"/>
  <c r="G16298" i="1"/>
  <c r="B16298" i="1"/>
  <c r="G16297" i="1"/>
  <c r="C16297" i="1"/>
  <c r="B16297" i="1"/>
  <c r="G16296" i="1"/>
  <c r="B16296" i="1"/>
  <c r="G16295" i="1"/>
  <c r="C16295" i="1"/>
  <c r="B16295" i="1"/>
  <c r="G16294" i="1"/>
  <c r="B16294" i="1"/>
  <c r="G16293" i="1"/>
  <c r="B16293" i="1"/>
  <c r="G16292" i="1"/>
  <c r="B16292" i="1"/>
  <c r="G16291" i="1"/>
  <c r="C16291" i="1"/>
  <c r="B16291" i="1"/>
  <c r="G16290" i="1"/>
  <c r="B16290" i="1"/>
  <c r="G16289" i="1"/>
  <c r="C16289" i="1"/>
  <c r="B16289" i="1"/>
  <c r="G16288" i="1"/>
  <c r="C16288" i="1"/>
  <c r="B16288" i="1"/>
  <c r="G16287" i="1"/>
  <c r="B16287" i="1"/>
  <c r="G16286" i="1"/>
  <c r="C16286" i="1"/>
  <c r="B16286" i="1"/>
  <c r="G16285" i="1"/>
  <c r="C16285" i="1"/>
  <c r="B16285" i="1"/>
  <c r="G16284" i="1"/>
  <c r="C16284" i="1"/>
  <c r="B16284" i="1"/>
  <c r="G16283" i="1"/>
  <c r="C16283" i="1"/>
  <c r="B16283" i="1"/>
  <c r="G16282" i="1"/>
  <c r="B16282" i="1"/>
  <c r="G16281" i="1"/>
  <c r="B16281" i="1"/>
  <c r="G16280" i="1"/>
  <c r="B16280" i="1"/>
  <c r="G16279" i="1"/>
  <c r="C16279" i="1"/>
  <c r="B16279" i="1"/>
  <c r="G16278" i="1"/>
  <c r="C16278" i="1"/>
  <c r="B16278" i="1"/>
  <c r="G16277" i="1"/>
  <c r="C16277" i="1"/>
  <c r="B16277" i="1"/>
  <c r="G16276" i="1"/>
  <c r="C16276" i="1"/>
  <c r="B16276" i="1"/>
  <c r="G16275" i="1"/>
  <c r="B16275" i="1"/>
  <c r="G16274" i="1"/>
  <c r="C16274" i="1"/>
  <c r="B16274" i="1"/>
  <c r="G16273" i="1"/>
  <c r="C16273" i="1"/>
  <c r="B16273" i="1"/>
  <c r="G16272" i="1"/>
  <c r="C16272" i="1"/>
  <c r="B16272" i="1"/>
  <c r="G16271" i="1"/>
  <c r="C16271" i="1"/>
  <c r="B16271" i="1"/>
  <c r="G16270" i="1"/>
  <c r="C16270" i="1"/>
  <c r="B16270" i="1"/>
  <c r="G16269" i="1"/>
  <c r="C16269" i="1"/>
  <c r="B16269" i="1"/>
  <c r="G16268" i="1"/>
  <c r="C16268" i="1"/>
  <c r="B16268" i="1"/>
  <c r="G16267" i="1"/>
  <c r="C16267" i="1"/>
  <c r="B16267" i="1"/>
  <c r="G16266" i="1"/>
  <c r="C16266" i="1"/>
  <c r="B16266" i="1"/>
  <c r="G16265" i="1"/>
  <c r="C16265" i="1"/>
  <c r="B16265" i="1"/>
  <c r="G16264" i="1"/>
  <c r="C16264" i="1"/>
  <c r="B16264" i="1"/>
  <c r="G16263" i="1"/>
  <c r="C16263" i="1"/>
  <c r="B16263" i="1"/>
  <c r="G16262" i="1"/>
  <c r="C16262" i="1"/>
  <c r="B16262" i="1"/>
  <c r="G16261" i="1"/>
  <c r="B16261" i="1"/>
  <c r="G16260" i="1"/>
  <c r="C16260" i="1"/>
  <c r="B16260" i="1"/>
  <c r="G16259" i="1"/>
  <c r="C16259" i="1"/>
  <c r="B16259" i="1"/>
  <c r="G16258" i="1"/>
  <c r="C16258" i="1"/>
  <c r="B16258" i="1"/>
  <c r="G16257" i="1"/>
  <c r="B16257" i="1"/>
  <c r="G16256" i="1"/>
  <c r="C16256" i="1"/>
  <c r="B16256" i="1"/>
  <c r="G16255" i="1"/>
  <c r="C16255" i="1"/>
  <c r="B16255" i="1"/>
  <c r="G16254" i="1"/>
  <c r="B16254" i="1"/>
  <c r="G16253" i="1"/>
  <c r="C16253" i="1"/>
  <c r="B16253" i="1"/>
  <c r="G16252" i="1"/>
  <c r="B16252" i="1"/>
  <c r="G16251" i="1"/>
  <c r="C16251" i="1"/>
  <c r="B16251" i="1"/>
  <c r="G16250" i="1"/>
  <c r="B16250" i="1"/>
  <c r="G16249" i="1"/>
  <c r="C16249" i="1"/>
  <c r="B16249" i="1"/>
  <c r="G16248" i="1"/>
  <c r="B16248" i="1"/>
  <c r="G16247" i="1"/>
  <c r="C16247" i="1"/>
  <c r="B16247" i="1"/>
  <c r="G16246" i="1"/>
  <c r="C16246" i="1"/>
  <c r="B16246" i="1"/>
  <c r="G16245" i="1"/>
  <c r="C16245" i="1"/>
  <c r="B16245" i="1"/>
  <c r="G16244" i="1"/>
  <c r="B16244" i="1"/>
  <c r="G16243" i="1"/>
  <c r="B16243" i="1"/>
  <c r="G16242" i="1"/>
  <c r="C16242" i="1"/>
  <c r="B16242" i="1"/>
  <c r="G16241" i="1"/>
  <c r="C16241" i="1"/>
  <c r="B16241" i="1"/>
  <c r="G16240" i="1"/>
  <c r="C16240" i="1"/>
  <c r="B16240" i="1"/>
  <c r="G16239" i="1"/>
  <c r="C16239" i="1"/>
  <c r="B16239" i="1"/>
  <c r="G16238" i="1"/>
  <c r="B16238" i="1"/>
  <c r="G16237" i="1"/>
  <c r="C16237" i="1"/>
  <c r="B16237" i="1"/>
  <c r="G16236" i="1"/>
  <c r="C16236" i="1"/>
  <c r="B16236" i="1"/>
  <c r="G16235" i="1"/>
  <c r="B16235" i="1"/>
  <c r="G16234" i="1"/>
  <c r="C16234" i="1"/>
  <c r="B16234" i="1"/>
  <c r="G16233" i="1"/>
  <c r="C16233" i="1"/>
  <c r="B16233" i="1"/>
  <c r="G16232" i="1"/>
  <c r="C16232" i="1"/>
  <c r="B16232" i="1"/>
  <c r="G16231" i="1"/>
  <c r="C16231" i="1"/>
  <c r="B16231" i="1"/>
  <c r="G16230" i="1"/>
  <c r="B16230" i="1"/>
  <c r="G16229" i="1"/>
  <c r="C16229" i="1"/>
  <c r="B16229" i="1"/>
  <c r="G16228" i="1"/>
  <c r="C16228" i="1"/>
  <c r="B16228" i="1"/>
  <c r="G16227" i="1"/>
  <c r="B16227" i="1"/>
  <c r="G16226" i="1"/>
  <c r="B16226" i="1"/>
  <c r="G16225" i="1"/>
  <c r="C16225" i="1"/>
  <c r="B16225" i="1"/>
  <c r="G16224" i="1"/>
  <c r="B16224" i="1"/>
  <c r="G16223" i="1"/>
  <c r="C16223" i="1"/>
  <c r="B16223" i="1"/>
  <c r="G16222" i="1"/>
  <c r="B16222" i="1"/>
  <c r="G16221" i="1"/>
  <c r="C16221" i="1"/>
  <c r="B16221" i="1"/>
  <c r="G16220" i="1"/>
  <c r="C16220" i="1"/>
  <c r="B16220" i="1"/>
  <c r="G16219" i="1"/>
  <c r="B16219" i="1"/>
  <c r="G16218" i="1"/>
  <c r="C16218" i="1"/>
  <c r="B16218" i="1"/>
  <c r="G16217" i="1"/>
  <c r="C16217" i="1"/>
  <c r="B16217" i="1"/>
  <c r="G16216" i="1"/>
  <c r="B16216" i="1"/>
  <c r="G16215" i="1"/>
  <c r="B16215" i="1"/>
  <c r="G16214" i="1"/>
  <c r="C16214" i="1"/>
  <c r="B16214" i="1"/>
  <c r="G16213" i="1"/>
  <c r="B16213" i="1"/>
  <c r="G16212" i="1"/>
  <c r="C16212" i="1"/>
  <c r="B16212" i="1"/>
  <c r="G16211" i="1"/>
  <c r="C16211" i="1"/>
  <c r="B16211" i="1"/>
  <c r="G16210" i="1"/>
  <c r="B16210" i="1"/>
  <c r="G16209" i="1"/>
  <c r="C16209" i="1"/>
  <c r="B16209" i="1"/>
  <c r="G16208" i="1"/>
  <c r="B16208" i="1"/>
  <c r="G16207" i="1"/>
  <c r="C16207" i="1"/>
  <c r="B16207" i="1"/>
  <c r="G16206" i="1"/>
  <c r="B16206" i="1"/>
  <c r="G16205" i="1"/>
  <c r="C16205" i="1"/>
  <c r="B16205" i="1"/>
  <c r="G16204" i="1"/>
  <c r="B16204" i="1"/>
  <c r="G16203" i="1"/>
  <c r="C16203" i="1"/>
  <c r="B16203" i="1"/>
  <c r="G16202" i="1"/>
  <c r="C16202" i="1"/>
  <c r="B16202" i="1"/>
  <c r="G16201" i="1"/>
  <c r="C16201" i="1"/>
  <c r="B16201" i="1"/>
  <c r="G16200" i="1"/>
  <c r="C16200" i="1"/>
  <c r="B16200" i="1"/>
  <c r="G16199" i="1"/>
  <c r="B16199" i="1"/>
  <c r="G16198" i="1"/>
  <c r="B16198" i="1"/>
  <c r="G16197" i="1"/>
  <c r="C16197" i="1"/>
  <c r="B16197" i="1"/>
  <c r="G16196" i="1"/>
  <c r="C16196" i="1"/>
  <c r="B16196" i="1"/>
  <c r="G16195" i="1"/>
  <c r="C16195" i="1"/>
  <c r="B16195" i="1"/>
  <c r="G16194" i="1"/>
  <c r="C16194" i="1"/>
  <c r="B16194" i="1"/>
  <c r="G16193" i="1"/>
  <c r="C16193" i="1"/>
  <c r="B16193" i="1"/>
  <c r="G16192" i="1"/>
  <c r="C16192" i="1"/>
  <c r="B16192" i="1"/>
  <c r="G16191" i="1"/>
  <c r="B16191" i="1"/>
  <c r="G16190" i="1"/>
  <c r="B16190" i="1"/>
  <c r="G16189" i="1"/>
  <c r="B16189" i="1"/>
  <c r="G16188" i="1"/>
  <c r="B16188" i="1"/>
  <c r="G16187" i="1"/>
  <c r="B16187" i="1"/>
  <c r="G16186" i="1"/>
  <c r="C16186" i="1"/>
  <c r="B16186" i="1"/>
  <c r="G16185" i="1"/>
  <c r="C16185" i="1"/>
  <c r="B16185" i="1"/>
  <c r="G16184" i="1"/>
  <c r="B16184" i="1"/>
  <c r="G16183" i="1"/>
  <c r="B16183" i="1"/>
  <c r="G16182" i="1"/>
  <c r="B16182" i="1"/>
  <c r="G16181" i="1"/>
  <c r="C16181" i="1"/>
  <c r="B16181" i="1"/>
  <c r="G16180" i="1"/>
  <c r="C16180" i="1"/>
  <c r="B16180" i="1"/>
  <c r="G16179" i="1"/>
  <c r="C16179" i="1"/>
  <c r="B16179" i="1"/>
  <c r="G16178" i="1"/>
  <c r="C16178" i="1"/>
  <c r="B16178" i="1"/>
  <c r="G16177" i="1"/>
  <c r="B16177" i="1"/>
  <c r="G16176" i="1"/>
  <c r="B16176" i="1"/>
  <c r="G16175" i="1"/>
  <c r="B16175" i="1"/>
  <c r="G16174" i="1"/>
  <c r="C16174" i="1"/>
  <c r="B16174" i="1"/>
  <c r="G16173" i="1"/>
  <c r="B16173" i="1"/>
  <c r="G16172" i="1"/>
  <c r="C16172" i="1"/>
  <c r="B16172" i="1"/>
  <c r="G16171" i="1"/>
  <c r="C16171" i="1"/>
  <c r="B16171" i="1"/>
  <c r="G16170" i="1"/>
  <c r="C16170" i="1"/>
  <c r="B16170" i="1"/>
  <c r="G16169" i="1"/>
  <c r="C16169" i="1"/>
  <c r="B16169" i="1"/>
  <c r="G16168" i="1"/>
  <c r="C16168" i="1"/>
  <c r="B16168" i="1"/>
  <c r="G16167" i="1"/>
  <c r="C16167" i="1"/>
  <c r="B16167" i="1"/>
  <c r="G16166" i="1"/>
  <c r="C16166" i="1"/>
  <c r="B16166" i="1"/>
  <c r="G16165" i="1"/>
  <c r="C16165" i="1"/>
  <c r="B16165" i="1"/>
  <c r="G16164" i="1"/>
  <c r="B16164" i="1"/>
  <c r="G16163" i="1"/>
  <c r="C16163" i="1"/>
  <c r="B16163" i="1"/>
  <c r="G16162" i="1"/>
  <c r="C16162" i="1"/>
  <c r="B16162" i="1"/>
  <c r="G16161" i="1"/>
  <c r="C16161" i="1"/>
  <c r="B16161" i="1"/>
  <c r="G16160" i="1"/>
  <c r="C16160" i="1"/>
  <c r="B16160" i="1"/>
  <c r="G16159" i="1"/>
  <c r="C16159" i="1"/>
  <c r="B16159" i="1"/>
  <c r="G16158" i="1"/>
  <c r="C16158" i="1"/>
  <c r="B16158" i="1"/>
  <c r="G16157" i="1"/>
  <c r="C16157" i="1"/>
  <c r="B16157" i="1"/>
  <c r="G16156" i="1"/>
  <c r="C16156" i="1"/>
  <c r="B16156" i="1"/>
  <c r="G16155" i="1"/>
  <c r="B16155" i="1"/>
  <c r="G16154" i="1"/>
  <c r="B16154" i="1"/>
  <c r="G16153" i="1"/>
  <c r="C16153" i="1"/>
  <c r="B16153" i="1"/>
  <c r="G16152" i="1"/>
  <c r="C16152" i="1"/>
  <c r="B16152" i="1"/>
  <c r="G16151" i="1"/>
  <c r="B16151" i="1"/>
  <c r="G16150" i="1"/>
  <c r="B16150" i="1"/>
  <c r="G16149" i="1"/>
  <c r="C16149" i="1"/>
  <c r="B16149" i="1"/>
  <c r="G16148" i="1"/>
  <c r="C16148" i="1"/>
  <c r="B16148" i="1"/>
  <c r="G16147" i="1"/>
  <c r="C16147" i="1"/>
  <c r="B16147" i="1"/>
  <c r="G16146" i="1"/>
  <c r="B16146" i="1"/>
  <c r="G16145" i="1"/>
  <c r="B16145" i="1"/>
  <c r="G16144" i="1"/>
  <c r="C16144" i="1"/>
  <c r="B16144" i="1"/>
  <c r="G16143" i="1"/>
  <c r="C16143" i="1"/>
  <c r="B16143" i="1"/>
  <c r="G16142" i="1"/>
  <c r="C16142" i="1"/>
  <c r="B16142" i="1"/>
  <c r="G16141" i="1"/>
  <c r="B16141" i="1"/>
  <c r="G16140" i="1"/>
  <c r="C16140" i="1"/>
  <c r="B16140" i="1"/>
  <c r="G16139" i="1"/>
  <c r="C16139" i="1"/>
  <c r="B16139" i="1"/>
  <c r="G16138" i="1"/>
  <c r="C16138" i="1"/>
  <c r="B16138" i="1"/>
  <c r="G16137" i="1"/>
  <c r="B16137" i="1"/>
  <c r="G16136" i="1"/>
  <c r="C16136" i="1"/>
  <c r="B16136" i="1"/>
  <c r="G16135" i="1"/>
  <c r="C16135" i="1"/>
  <c r="B16135" i="1"/>
  <c r="G16134" i="1"/>
  <c r="C16134" i="1"/>
  <c r="B16134" i="1"/>
  <c r="G16133" i="1"/>
  <c r="C16133" i="1"/>
  <c r="B16133" i="1"/>
  <c r="G16132" i="1"/>
  <c r="C16132" i="1"/>
  <c r="B16132" i="1"/>
  <c r="G16131" i="1"/>
  <c r="B16131" i="1"/>
  <c r="G16130" i="1"/>
  <c r="C16130" i="1"/>
  <c r="B16130" i="1"/>
  <c r="G16129" i="1"/>
  <c r="C16129" i="1"/>
  <c r="B16129" i="1"/>
  <c r="G16128" i="1"/>
  <c r="C16128" i="1"/>
  <c r="B16128" i="1"/>
  <c r="G16127" i="1"/>
  <c r="C16127" i="1"/>
  <c r="B16127" i="1"/>
  <c r="G16126" i="1"/>
  <c r="C16126" i="1"/>
  <c r="B16126" i="1"/>
  <c r="G16125" i="1"/>
  <c r="C16125" i="1"/>
  <c r="B16125" i="1"/>
  <c r="G16124" i="1"/>
  <c r="C16124" i="1"/>
  <c r="B16124" i="1"/>
  <c r="G16123" i="1"/>
  <c r="B16123" i="1"/>
  <c r="G16122" i="1"/>
  <c r="B16122" i="1"/>
  <c r="G16121" i="1"/>
  <c r="B16121" i="1"/>
  <c r="G16120" i="1"/>
  <c r="C16120" i="1"/>
  <c r="B16120" i="1"/>
  <c r="G16119" i="1"/>
  <c r="C16119" i="1"/>
  <c r="B16119" i="1"/>
  <c r="G16118" i="1"/>
  <c r="C16118" i="1"/>
  <c r="B16118" i="1"/>
  <c r="G16117" i="1"/>
  <c r="C16117" i="1"/>
  <c r="B16117" i="1"/>
  <c r="G16116" i="1"/>
  <c r="C16116" i="1"/>
  <c r="B16116" i="1"/>
  <c r="G16115" i="1"/>
  <c r="C16115" i="1"/>
  <c r="B16115" i="1"/>
  <c r="G16114" i="1"/>
  <c r="C16114" i="1"/>
  <c r="B16114" i="1"/>
  <c r="G16113" i="1"/>
  <c r="B16113" i="1"/>
  <c r="G16112" i="1"/>
  <c r="C16112" i="1"/>
  <c r="B16112" i="1"/>
  <c r="G16111" i="1"/>
  <c r="C16111" i="1"/>
  <c r="B16111" i="1"/>
  <c r="G16110" i="1"/>
  <c r="C16110" i="1"/>
  <c r="B16110" i="1"/>
  <c r="G16109" i="1"/>
  <c r="B16109" i="1"/>
  <c r="G16108" i="1"/>
  <c r="C16108" i="1"/>
  <c r="B16108" i="1"/>
  <c r="G16107" i="1"/>
  <c r="B16107" i="1"/>
  <c r="G16106" i="1"/>
  <c r="C16106" i="1"/>
  <c r="B16106" i="1"/>
  <c r="G16105" i="1"/>
  <c r="B16105" i="1"/>
  <c r="G16104" i="1"/>
  <c r="C16104" i="1"/>
  <c r="B16104" i="1"/>
  <c r="G16103" i="1"/>
  <c r="C16103" i="1"/>
  <c r="B16103" i="1"/>
  <c r="G16102" i="1"/>
  <c r="C16102" i="1"/>
  <c r="B16102" i="1"/>
  <c r="G16101" i="1"/>
  <c r="C16101" i="1"/>
  <c r="B16101" i="1"/>
  <c r="G16100" i="1"/>
  <c r="C16100" i="1"/>
  <c r="B16100" i="1"/>
  <c r="G16099" i="1"/>
  <c r="C16099" i="1"/>
  <c r="B16099" i="1"/>
  <c r="G16098" i="1"/>
  <c r="B16098" i="1"/>
  <c r="G16097" i="1"/>
  <c r="C16097" i="1"/>
  <c r="B16097" i="1"/>
  <c r="G16096" i="1"/>
  <c r="C16096" i="1"/>
  <c r="B16096" i="1"/>
  <c r="G16095" i="1"/>
  <c r="B16095" i="1"/>
  <c r="G16094" i="1"/>
  <c r="C16094" i="1"/>
  <c r="B16094" i="1"/>
  <c r="G16093" i="1"/>
  <c r="C16093" i="1"/>
  <c r="B16093" i="1"/>
  <c r="G16092" i="1"/>
  <c r="C16092" i="1"/>
  <c r="B16092" i="1"/>
  <c r="G16091" i="1"/>
  <c r="C16091" i="1"/>
  <c r="B16091" i="1"/>
  <c r="G16090" i="1"/>
  <c r="C16090" i="1"/>
  <c r="B16090" i="1"/>
  <c r="G16089" i="1"/>
  <c r="C16089" i="1"/>
  <c r="B16089" i="1"/>
  <c r="G16088" i="1"/>
  <c r="C16088" i="1"/>
  <c r="B16088" i="1"/>
  <c r="G16087" i="1"/>
  <c r="C16087" i="1"/>
  <c r="B16087" i="1"/>
  <c r="G16086" i="1"/>
  <c r="B16086" i="1"/>
  <c r="G16085" i="1"/>
  <c r="C16085" i="1"/>
  <c r="B16085" i="1"/>
  <c r="G16084" i="1"/>
  <c r="C16084" i="1"/>
  <c r="B16084" i="1"/>
  <c r="G16083" i="1"/>
  <c r="C16083" i="1"/>
  <c r="B16083" i="1"/>
  <c r="G16082" i="1"/>
  <c r="C16082" i="1"/>
  <c r="B16082" i="1"/>
  <c r="G16081" i="1"/>
  <c r="C16081" i="1"/>
  <c r="B16081" i="1"/>
  <c r="G16080" i="1"/>
  <c r="B16080" i="1"/>
  <c r="G16079" i="1"/>
  <c r="C16079" i="1"/>
  <c r="B16079" i="1"/>
  <c r="G16078" i="1"/>
  <c r="C16078" i="1"/>
  <c r="B16078" i="1"/>
  <c r="G16077" i="1"/>
  <c r="C16077" i="1"/>
  <c r="B16077" i="1"/>
  <c r="G16076" i="1"/>
  <c r="B16076" i="1"/>
  <c r="G16075" i="1"/>
  <c r="C16075" i="1"/>
  <c r="B16075" i="1"/>
  <c r="G16074" i="1"/>
  <c r="C16074" i="1"/>
  <c r="B16074" i="1"/>
  <c r="G16073" i="1"/>
  <c r="C16073" i="1"/>
  <c r="B16073" i="1"/>
  <c r="G16072" i="1"/>
  <c r="C16072" i="1"/>
  <c r="B16072" i="1"/>
  <c r="G16071" i="1"/>
  <c r="B16071" i="1"/>
  <c r="G16070" i="1"/>
  <c r="B16070" i="1"/>
  <c r="G16069" i="1"/>
  <c r="C16069" i="1"/>
  <c r="B16069" i="1"/>
  <c r="G16068" i="1"/>
  <c r="C16068" i="1"/>
  <c r="B16068" i="1"/>
  <c r="G16067" i="1"/>
  <c r="C16067" i="1"/>
  <c r="B16067" i="1"/>
  <c r="G16066" i="1"/>
  <c r="C16066" i="1"/>
  <c r="B16066" i="1"/>
  <c r="G16065" i="1"/>
  <c r="C16065" i="1"/>
  <c r="B16065" i="1"/>
  <c r="G16064" i="1"/>
  <c r="C16064" i="1"/>
  <c r="B16064" i="1"/>
  <c r="G16063" i="1"/>
  <c r="C16063" i="1"/>
  <c r="B16063" i="1"/>
  <c r="G16062" i="1"/>
  <c r="B16062" i="1"/>
  <c r="G16061" i="1"/>
  <c r="C16061" i="1"/>
  <c r="B16061" i="1"/>
  <c r="G16060" i="1"/>
  <c r="C16060" i="1"/>
  <c r="B16060" i="1"/>
  <c r="G16059" i="1"/>
  <c r="C16059" i="1"/>
  <c r="B16059" i="1"/>
  <c r="G16058" i="1"/>
  <c r="C16058" i="1"/>
  <c r="B16058" i="1"/>
  <c r="G16057" i="1"/>
  <c r="B16057" i="1"/>
  <c r="G16056" i="1"/>
  <c r="B16056" i="1"/>
  <c r="G16055" i="1"/>
  <c r="B16055" i="1"/>
  <c r="G16054" i="1"/>
  <c r="C16054" i="1"/>
  <c r="B16054" i="1"/>
  <c r="G16053" i="1"/>
  <c r="C16053" i="1"/>
  <c r="B16053" i="1"/>
  <c r="G16052" i="1"/>
  <c r="B16052" i="1"/>
  <c r="G16051" i="1"/>
  <c r="C16051" i="1"/>
  <c r="B16051" i="1"/>
  <c r="G16050" i="1"/>
  <c r="C16050" i="1"/>
  <c r="B16050" i="1"/>
  <c r="G16049" i="1"/>
  <c r="C16049" i="1"/>
  <c r="B16049" i="1"/>
  <c r="G16048" i="1"/>
  <c r="B16048" i="1"/>
  <c r="G16047" i="1"/>
  <c r="C16047" i="1"/>
  <c r="B16047" i="1"/>
  <c r="G16046" i="1"/>
  <c r="B16046" i="1"/>
  <c r="G16045" i="1"/>
  <c r="B16045" i="1"/>
  <c r="G16044" i="1"/>
  <c r="C16044" i="1"/>
  <c r="B16044" i="1"/>
  <c r="G16043" i="1"/>
  <c r="C16043" i="1"/>
  <c r="B16043" i="1"/>
  <c r="G16042" i="1"/>
  <c r="B16042" i="1"/>
  <c r="G16041" i="1"/>
  <c r="C16041" i="1"/>
  <c r="B16041" i="1"/>
  <c r="G16040" i="1"/>
  <c r="C16040" i="1"/>
  <c r="B16040" i="1"/>
  <c r="G16039" i="1"/>
  <c r="B16039" i="1"/>
  <c r="G16038" i="1"/>
  <c r="C16038" i="1"/>
  <c r="B16038" i="1"/>
  <c r="G16037" i="1"/>
  <c r="C16037" i="1"/>
  <c r="B16037" i="1"/>
  <c r="G16036" i="1"/>
  <c r="C16036" i="1"/>
  <c r="B16036" i="1"/>
  <c r="G16035" i="1"/>
  <c r="C16035" i="1"/>
  <c r="B16035" i="1"/>
  <c r="G16034" i="1"/>
  <c r="C16034" i="1"/>
  <c r="B16034" i="1"/>
  <c r="G16033" i="1"/>
  <c r="C16033" i="1"/>
  <c r="B16033" i="1"/>
  <c r="G16032" i="1"/>
  <c r="C16032" i="1"/>
  <c r="B16032" i="1"/>
  <c r="G16031" i="1"/>
  <c r="C16031" i="1"/>
  <c r="B16031" i="1"/>
  <c r="G16030" i="1"/>
  <c r="B16030" i="1"/>
  <c r="G16029" i="1"/>
  <c r="B16029" i="1"/>
  <c r="G16028" i="1"/>
  <c r="C16028" i="1"/>
  <c r="B16028" i="1"/>
  <c r="G16027" i="1"/>
  <c r="C16027" i="1"/>
  <c r="B16027" i="1"/>
  <c r="G16026" i="1"/>
  <c r="C16026" i="1"/>
  <c r="B16026" i="1"/>
  <c r="G16025" i="1"/>
  <c r="C16025" i="1"/>
  <c r="B16025" i="1"/>
  <c r="G16024" i="1"/>
  <c r="B16024" i="1"/>
  <c r="G16023" i="1"/>
  <c r="C16023" i="1"/>
  <c r="B16023" i="1"/>
  <c r="G16022" i="1"/>
  <c r="B16022" i="1"/>
  <c r="G16021" i="1"/>
  <c r="C16021" i="1"/>
  <c r="B16021" i="1"/>
  <c r="G16020" i="1"/>
  <c r="C16020" i="1"/>
  <c r="B16020" i="1"/>
  <c r="G16019" i="1"/>
  <c r="C16019" i="1"/>
  <c r="B16019" i="1"/>
  <c r="G16018" i="1"/>
  <c r="C16018" i="1"/>
  <c r="B16018" i="1"/>
  <c r="G16017" i="1"/>
  <c r="C16017" i="1"/>
  <c r="B16017" i="1"/>
  <c r="G16016" i="1"/>
  <c r="B16016" i="1"/>
  <c r="G16015" i="1"/>
  <c r="C16015" i="1"/>
  <c r="B16015" i="1"/>
  <c r="G16014" i="1"/>
  <c r="C16014" i="1"/>
  <c r="B16014" i="1"/>
  <c r="G16013" i="1"/>
  <c r="C16013" i="1"/>
  <c r="B16013" i="1"/>
  <c r="G16012" i="1"/>
  <c r="C16012" i="1"/>
  <c r="B16012" i="1"/>
  <c r="G16011" i="1"/>
  <c r="B16011" i="1"/>
  <c r="G16010" i="1"/>
  <c r="C16010" i="1"/>
  <c r="B16010" i="1"/>
  <c r="G16009" i="1"/>
  <c r="C16009" i="1"/>
  <c r="B16009" i="1"/>
  <c r="G16008" i="1"/>
  <c r="B16008" i="1"/>
  <c r="G16007" i="1"/>
  <c r="C16007" i="1"/>
  <c r="B16007" i="1"/>
  <c r="G16006" i="1"/>
  <c r="C16006" i="1"/>
  <c r="B16006" i="1"/>
  <c r="G16005" i="1"/>
  <c r="B16005" i="1"/>
  <c r="G16004" i="1"/>
  <c r="C16004" i="1"/>
  <c r="B16004" i="1"/>
  <c r="G16003" i="1"/>
  <c r="B16003" i="1"/>
  <c r="G16002" i="1"/>
  <c r="C16002" i="1"/>
  <c r="B16002" i="1"/>
  <c r="G16001" i="1"/>
  <c r="C16001" i="1"/>
  <c r="B16001" i="1"/>
  <c r="G16000" i="1"/>
  <c r="C16000" i="1"/>
  <c r="B16000" i="1"/>
  <c r="G15999" i="1"/>
  <c r="B15999" i="1"/>
  <c r="G15998" i="1"/>
  <c r="B15998" i="1"/>
  <c r="G15997" i="1"/>
  <c r="C15997" i="1"/>
  <c r="B15997" i="1"/>
  <c r="G15996" i="1"/>
  <c r="C15996" i="1"/>
  <c r="B15996" i="1"/>
  <c r="G15995" i="1"/>
  <c r="C15995" i="1"/>
  <c r="B15995" i="1"/>
  <c r="G15994" i="1"/>
  <c r="C15994" i="1"/>
  <c r="B15994" i="1"/>
  <c r="G15993" i="1"/>
  <c r="B15993" i="1"/>
  <c r="G15992" i="1"/>
  <c r="B15992" i="1"/>
  <c r="G15991" i="1"/>
  <c r="C15991" i="1"/>
  <c r="B15991" i="1"/>
  <c r="G15990" i="1"/>
  <c r="C15990" i="1"/>
  <c r="B15990" i="1"/>
  <c r="G15989" i="1"/>
  <c r="C15989" i="1"/>
  <c r="B15989" i="1"/>
  <c r="G15988" i="1"/>
  <c r="C15988" i="1"/>
  <c r="B15988" i="1"/>
  <c r="G15987" i="1"/>
  <c r="C15987" i="1"/>
  <c r="B15987" i="1"/>
  <c r="G15986" i="1"/>
  <c r="C15986" i="1"/>
  <c r="B15986" i="1"/>
  <c r="G15985" i="1"/>
  <c r="B15985" i="1"/>
  <c r="G15984" i="1"/>
  <c r="C15984" i="1"/>
  <c r="B15984" i="1"/>
  <c r="G15983" i="1"/>
  <c r="C15983" i="1"/>
  <c r="B15983" i="1"/>
  <c r="G15982" i="1"/>
  <c r="C15982" i="1"/>
  <c r="B15982" i="1"/>
  <c r="G15981" i="1"/>
  <c r="C15981" i="1"/>
  <c r="B15981" i="1"/>
  <c r="G15980" i="1"/>
  <c r="C15980" i="1"/>
  <c r="B15980" i="1"/>
  <c r="G15979" i="1"/>
  <c r="C15979" i="1"/>
  <c r="B15979" i="1"/>
  <c r="G15978" i="1"/>
  <c r="B15978" i="1"/>
  <c r="G15977" i="1"/>
  <c r="B15977" i="1"/>
  <c r="G15976" i="1"/>
  <c r="C15976" i="1"/>
  <c r="B15976" i="1"/>
  <c r="G15975" i="1"/>
  <c r="B15975" i="1"/>
  <c r="G15974" i="1"/>
  <c r="B15974" i="1"/>
  <c r="G15973" i="1"/>
  <c r="C15973" i="1"/>
  <c r="B15973" i="1"/>
  <c r="G15972" i="1"/>
  <c r="B15972" i="1"/>
  <c r="G15971" i="1"/>
  <c r="C15971" i="1"/>
  <c r="B15971" i="1"/>
  <c r="G15970" i="1"/>
  <c r="C15970" i="1"/>
  <c r="B15970" i="1"/>
  <c r="G15969" i="1"/>
  <c r="C15969" i="1"/>
  <c r="B15969" i="1"/>
  <c r="G15968" i="1"/>
  <c r="B15968" i="1"/>
  <c r="G15967" i="1"/>
  <c r="C15967" i="1"/>
  <c r="B15967" i="1"/>
  <c r="G15966" i="1"/>
  <c r="C15966" i="1"/>
  <c r="B15966" i="1"/>
  <c r="G15965" i="1"/>
  <c r="B15965" i="1"/>
  <c r="G15964" i="1"/>
  <c r="B15964" i="1"/>
  <c r="G15963" i="1"/>
  <c r="C15963" i="1"/>
  <c r="B15963" i="1"/>
  <c r="G15962" i="1"/>
  <c r="C15962" i="1"/>
  <c r="B15962" i="1"/>
  <c r="G15961" i="1"/>
  <c r="B15961" i="1"/>
  <c r="G15960" i="1"/>
  <c r="C15960" i="1"/>
  <c r="B15960" i="1"/>
  <c r="G15959" i="1"/>
  <c r="B15959" i="1"/>
  <c r="G15958" i="1"/>
  <c r="C15958" i="1"/>
  <c r="B15958" i="1"/>
  <c r="G15957" i="1"/>
  <c r="C15957" i="1"/>
  <c r="B15957" i="1"/>
  <c r="G15956" i="1"/>
  <c r="C15956" i="1"/>
  <c r="B15956" i="1"/>
  <c r="G15955" i="1"/>
  <c r="C15955" i="1"/>
  <c r="B15955" i="1"/>
  <c r="G15954" i="1"/>
  <c r="C15954" i="1"/>
  <c r="B15954" i="1"/>
  <c r="G15953" i="1"/>
  <c r="C15953" i="1"/>
  <c r="B15953" i="1"/>
  <c r="G15952" i="1"/>
  <c r="B15952" i="1"/>
  <c r="G15951" i="1"/>
  <c r="C15951" i="1"/>
  <c r="B15951" i="1"/>
  <c r="G15950" i="1"/>
  <c r="B15950" i="1"/>
  <c r="G15949" i="1"/>
  <c r="C15949" i="1"/>
  <c r="B15949" i="1"/>
  <c r="G15948" i="1"/>
  <c r="C15948" i="1"/>
  <c r="B15948" i="1"/>
  <c r="G15947" i="1"/>
  <c r="C15947" i="1"/>
  <c r="B15947" i="1"/>
  <c r="G15946" i="1"/>
  <c r="C15946" i="1"/>
  <c r="B15946" i="1"/>
  <c r="G15945" i="1"/>
  <c r="B15945" i="1"/>
  <c r="G15944" i="1"/>
  <c r="C15944" i="1"/>
  <c r="B15944" i="1"/>
  <c r="G15943" i="1"/>
  <c r="C15943" i="1"/>
  <c r="B15943" i="1"/>
  <c r="G15942" i="1"/>
  <c r="C15942" i="1"/>
  <c r="B15942" i="1"/>
  <c r="G15941" i="1"/>
  <c r="B15941" i="1"/>
  <c r="G15940" i="1"/>
  <c r="B15940" i="1"/>
  <c r="G15939" i="1"/>
  <c r="C15939" i="1"/>
  <c r="B15939" i="1"/>
  <c r="G15938" i="1"/>
  <c r="C15938" i="1"/>
  <c r="B15938" i="1"/>
  <c r="G15937" i="1"/>
  <c r="C15937" i="1"/>
  <c r="B15937" i="1"/>
  <c r="G15936" i="1"/>
  <c r="C15936" i="1"/>
  <c r="B15936" i="1"/>
  <c r="G15935" i="1"/>
  <c r="B15935" i="1"/>
  <c r="G15934" i="1"/>
  <c r="C15934" i="1"/>
  <c r="B15934" i="1"/>
  <c r="G15933" i="1"/>
  <c r="B15933" i="1"/>
  <c r="G15932" i="1"/>
  <c r="B15932" i="1"/>
  <c r="G15931" i="1"/>
  <c r="C15931" i="1"/>
  <c r="B15931" i="1"/>
  <c r="G15930" i="1"/>
  <c r="C15930" i="1"/>
  <c r="B15930" i="1"/>
  <c r="G15929" i="1"/>
  <c r="C15929" i="1"/>
  <c r="B15929" i="1"/>
  <c r="G15928" i="1"/>
  <c r="C15928" i="1"/>
  <c r="B15928" i="1"/>
  <c r="G15927" i="1"/>
  <c r="C15927" i="1"/>
  <c r="B15927" i="1"/>
  <c r="G15926" i="1"/>
  <c r="B15926" i="1"/>
  <c r="G15925" i="1"/>
  <c r="B15925" i="1"/>
  <c r="G15924" i="1"/>
  <c r="B15924" i="1"/>
  <c r="G15923" i="1"/>
  <c r="C15923" i="1"/>
  <c r="B15923" i="1"/>
  <c r="G15922" i="1"/>
  <c r="C15922" i="1"/>
  <c r="B15922" i="1"/>
  <c r="G15921" i="1"/>
  <c r="C15921" i="1"/>
  <c r="B15921" i="1"/>
  <c r="G15920" i="1"/>
  <c r="C15920" i="1"/>
  <c r="B15920" i="1"/>
  <c r="G15919" i="1"/>
  <c r="C15919" i="1"/>
  <c r="B15919" i="1"/>
  <c r="G15918" i="1"/>
  <c r="C15918" i="1"/>
  <c r="B15918" i="1"/>
  <c r="G15917" i="1"/>
  <c r="C15917" i="1"/>
  <c r="B15917" i="1"/>
  <c r="G15916" i="1"/>
  <c r="C15916" i="1"/>
  <c r="B15916" i="1"/>
  <c r="G15915" i="1"/>
  <c r="C15915" i="1"/>
  <c r="B15915" i="1"/>
  <c r="G15914" i="1"/>
  <c r="C15914" i="1"/>
  <c r="B15914" i="1"/>
  <c r="G15913" i="1"/>
  <c r="C15913" i="1"/>
  <c r="B15913" i="1"/>
  <c r="G15912" i="1"/>
  <c r="B15912" i="1"/>
  <c r="G15911" i="1"/>
  <c r="C15911" i="1"/>
  <c r="B15911" i="1"/>
  <c r="G15910" i="1"/>
  <c r="B15910" i="1"/>
  <c r="G15909" i="1"/>
  <c r="B15909" i="1"/>
  <c r="G15908" i="1"/>
  <c r="B15908" i="1"/>
  <c r="G15907" i="1"/>
  <c r="C15907" i="1"/>
  <c r="B15907" i="1"/>
  <c r="G15906" i="1"/>
  <c r="B15906" i="1"/>
  <c r="G15905" i="1"/>
  <c r="C15905" i="1"/>
  <c r="B15905" i="1"/>
  <c r="G15904" i="1"/>
  <c r="C15904" i="1"/>
  <c r="B15904" i="1"/>
  <c r="G15903" i="1"/>
  <c r="B15903" i="1"/>
  <c r="G15902" i="1"/>
  <c r="B15902" i="1"/>
  <c r="G15901" i="1"/>
  <c r="C15901" i="1"/>
  <c r="B15901" i="1"/>
  <c r="G15900" i="1"/>
  <c r="B15900" i="1"/>
  <c r="G15899" i="1"/>
  <c r="C15899" i="1"/>
  <c r="B15899" i="1"/>
  <c r="G15898" i="1"/>
  <c r="C15898" i="1"/>
  <c r="B15898" i="1"/>
  <c r="G15897" i="1"/>
  <c r="C15897" i="1"/>
  <c r="B15897" i="1"/>
  <c r="G15896" i="1"/>
  <c r="C15896" i="1"/>
  <c r="B15896" i="1"/>
  <c r="G15895" i="1"/>
  <c r="C15895" i="1"/>
  <c r="B15895" i="1"/>
  <c r="G15894" i="1"/>
  <c r="C15894" i="1"/>
  <c r="B15894" i="1"/>
  <c r="G15893" i="1"/>
  <c r="C15893" i="1"/>
  <c r="B15893" i="1"/>
  <c r="G15892" i="1"/>
  <c r="C15892" i="1"/>
  <c r="B15892" i="1"/>
  <c r="G15891" i="1"/>
  <c r="C15891" i="1"/>
  <c r="B15891" i="1"/>
  <c r="G15890" i="1"/>
  <c r="C15890" i="1"/>
  <c r="B15890" i="1"/>
  <c r="G15889" i="1"/>
  <c r="C15889" i="1"/>
  <c r="B15889" i="1"/>
  <c r="G15888" i="1"/>
  <c r="C15888" i="1"/>
  <c r="B15888" i="1"/>
  <c r="G15887" i="1"/>
  <c r="C15887" i="1"/>
  <c r="B15887" i="1"/>
  <c r="G15886" i="1"/>
  <c r="C15886" i="1"/>
  <c r="B15886" i="1"/>
  <c r="G15885" i="1"/>
  <c r="C15885" i="1"/>
  <c r="B15885" i="1"/>
  <c r="G15884" i="1"/>
  <c r="C15884" i="1"/>
  <c r="B15884" i="1"/>
  <c r="G15883" i="1"/>
  <c r="B15883" i="1"/>
  <c r="G15882" i="1"/>
  <c r="C15882" i="1"/>
  <c r="B15882" i="1"/>
  <c r="G15881" i="1"/>
  <c r="C15881" i="1"/>
  <c r="B15881" i="1"/>
  <c r="G15880" i="1"/>
  <c r="C15880" i="1"/>
  <c r="B15880" i="1"/>
  <c r="G15879" i="1"/>
  <c r="C15879" i="1"/>
  <c r="B15879" i="1"/>
  <c r="G15878" i="1"/>
  <c r="B15878" i="1"/>
  <c r="G15877" i="1"/>
  <c r="C15877" i="1"/>
  <c r="B15877" i="1"/>
  <c r="G15876" i="1"/>
  <c r="C15876" i="1"/>
  <c r="B15876" i="1"/>
  <c r="G15875" i="1"/>
  <c r="B15875" i="1"/>
  <c r="G15874" i="1"/>
  <c r="C15874" i="1"/>
  <c r="B15874" i="1"/>
  <c r="G15873" i="1"/>
  <c r="C15873" i="1"/>
  <c r="B15873" i="1"/>
  <c r="G15872" i="1"/>
  <c r="C15872" i="1"/>
  <c r="B15872" i="1"/>
  <c r="G15871" i="1"/>
  <c r="B15871" i="1"/>
  <c r="G15870" i="1"/>
  <c r="C15870" i="1"/>
  <c r="B15870" i="1"/>
  <c r="G15869" i="1"/>
  <c r="B15869" i="1"/>
  <c r="G15868" i="1"/>
  <c r="B15868" i="1"/>
  <c r="G15867" i="1"/>
  <c r="B15867" i="1"/>
  <c r="G15866" i="1"/>
  <c r="B15866" i="1"/>
  <c r="G15865" i="1"/>
  <c r="C15865" i="1"/>
  <c r="B15865" i="1"/>
  <c r="G15864" i="1"/>
  <c r="C15864" i="1"/>
  <c r="B15864" i="1"/>
  <c r="G15863" i="1"/>
  <c r="C15863" i="1"/>
  <c r="B15863" i="1"/>
  <c r="G15862" i="1"/>
  <c r="C15862" i="1"/>
  <c r="B15862" i="1"/>
  <c r="G15861" i="1"/>
  <c r="C15861" i="1"/>
  <c r="B15861" i="1"/>
  <c r="G15860" i="1"/>
  <c r="C15860" i="1"/>
  <c r="B15860" i="1"/>
  <c r="G15859" i="1"/>
  <c r="C15859" i="1"/>
  <c r="B15859" i="1"/>
  <c r="G15858" i="1"/>
  <c r="C15858" i="1"/>
  <c r="B15858" i="1"/>
  <c r="G15857" i="1"/>
  <c r="B15857" i="1"/>
  <c r="G15856" i="1"/>
  <c r="C15856" i="1"/>
  <c r="B15856" i="1"/>
  <c r="G15855" i="1"/>
  <c r="B15855" i="1"/>
  <c r="G15854" i="1"/>
  <c r="C15854" i="1"/>
  <c r="B15854" i="1"/>
  <c r="G15853" i="1"/>
  <c r="B15853" i="1"/>
  <c r="G15852" i="1"/>
  <c r="C15852" i="1"/>
  <c r="B15852" i="1"/>
  <c r="G15851" i="1"/>
  <c r="C15851" i="1"/>
  <c r="B15851" i="1"/>
  <c r="G15850" i="1"/>
  <c r="C15850" i="1"/>
  <c r="B15850" i="1"/>
  <c r="G15849" i="1"/>
  <c r="B15849" i="1"/>
  <c r="G15848" i="1"/>
  <c r="C15848" i="1"/>
  <c r="B15848" i="1"/>
  <c r="G15847" i="1"/>
  <c r="B15847" i="1"/>
  <c r="G15846" i="1"/>
  <c r="C15846" i="1"/>
  <c r="B15846" i="1"/>
  <c r="G15845" i="1"/>
  <c r="C15845" i="1"/>
  <c r="B15845" i="1"/>
  <c r="G15844" i="1"/>
  <c r="C15844" i="1"/>
  <c r="B15844" i="1"/>
  <c r="G15843" i="1"/>
  <c r="B15843" i="1"/>
  <c r="G15842" i="1"/>
  <c r="C15842" i="1"/>
  <c r="B15842" i="1"/>
  <c r="G15841" i="1"/>
  <c r="C15841" i="1"/>
  <c r="B15841" i="1"/>
  <c r="G15840" i="1"/>
  <c r="C15840" i="1"/>
  <c r="B15840" i="1"/>
  <c r="G15839" i="1"/>
  <c r="B15839" i="1"/>
  <c r="G15838" i="1"/>
  <c r="C15838" i="1"/>
  <c r="B15838" i="1"/>
  <c r="G15837" i="1"/>
  <c r="C15837" i="1"/>
  <c r="B15837" i="1"/>
  <c r="G15836" i="1"/>
  <c r="C15836" i="1"/>
  <c r="B15836" i="1"/>
  <c r="G15835" i="1"/>
  <c r="B15835" i="1"/>
  <c r="G15834" i="1"/>
  <c r="B15834" i="1"/>
  <c r="G15833" i="1"/>
  <c r="C15833" i="1"/>
  <c r="B15833" i="1"/>
  <c r="G15832" i="1"/>
  <c r="C15832" i="1"/>
  <c r="B15832" i="1"/>
  <c r="G15831" i="1"/>
  <c r="B15831" i="1"/>
  <c r="G15830" i="1"/>
  <c r="C15830" i="1"/>
  <c r="B15830" i="1"/>
  <c r="G15829" i="1"/>
  <c r="C15829" i="1"/>
  <c r="B15829" i="1"/>
  <c r="G15828" i="1"/>
  <c r="C15828" i="1"/>
  <c r="B15828" i="1"/>
  <c r="G15827" i="1"/>
  <c r="C15827" i="1"/>
  <c r="B15827" i="1"/>
  <c r="G15826" i="1"/>
  <c r="C15826" i="1"/>
  <c r="B15826" i="1"/>
  <c r="G15825" i="1"/>
  <c r="B15825" i="1"/>
  <c r="G15824" i="1"/>
  <c r="C15824" i="1"/>
  <c r="B15824" i="1"/>
  <c r="G15823" i="1"/>
  <c r="C15823" i="1"/>
  <c r="B15823" i="1"/>
  <c r="G15822" i="1"/>
  <c r="C15822" i="1"/>
  <c r="B15822" i="1"/>
  <c r="G15821" i="1"/>
  <c r="C15821" i="1"/>
  <c r="B15821" i="1"/>
  <c r="G15820" i="1"/>
  <c r="C15820" i="1"/>
  <c r="B15820" i="1"/>
  <c r="G15819" i="1"/>
  <c r="C15819" i="1"/>
  <c r="B15819" i="1"/>
  <c r="G15818" i="1"/>
  <c r="B15818" i="1"/>
  <c r="G15817" i="1"/>
  <c r="C15817" i="1"/>
  <c r="B15817" i="1"/>
  <c r="G15816" i="1"/>
  <c r="C15816" i="1"/>
  <c r="B15816" i="1"/>
  <c r="G15815" i="1"/>
  <c r="C15815" i="1"/>
  <c r="B15815" i="1"/>
  <c r="G15814" i="1"/>
  <c r="B15814" i="1"/>
  <c r="G15813" i="1"/>
  <c r="C15813" i="1"/>
  <c r="B15813" i="1"/>
  <c r="G15812" i="1"/>
  <c r="C15812" i="1"/>
  <c r="B15812" i="1"/>
  <c r="G15811" i="1"/>
  <c r="C15811" i="1"/>
  <c r="B15811" i="1"/>
  <c r="G15810" i="1"/>
  <c r="B15810" i="1"/>
  <c r="G15809" i="1"/>
  <c r="B15809" i="1"/>
  <c r="G15808" i="1"/>
  <c r="C15808" i="1"/>
  <c r="B15808" i="1"/>
  <c r="G15807" i="1"/>
  <c r="C15807" i="1"/>
  <c r="B15807" i="1"/>
  <c r="G15806" i="1"/>
  <c r="B15806" i="1"/>
  <c r="G15805" i="1"/>
  <c r="C15805" i="1"/>
  <c r="B15805" i="1"/>
  <c r="G15804" i="1"/>
  <c r="B15804" i="1"/>
  <c r="G15803" i="1"/>
  <c r="C15803" i="1"/>
  <c r="B15803" i="1"/>
  <c r="G15802" i="1"/>
  <c r="B15802" i="1"/>
  <c r="G15801" i="1"/>
  <c r="C15801" i="1"/>
  <c r="B15801" i="1"/>
  <c r="G15800" i="1"/>
  <c r="C15800" i="1"/>
  <c r="B15800" i="1"/>
  <c r="G15799" i="1"/>
  <c r="C15799" i="1"/>
  <c r="B15799" i="1"/>
  <c r="G15798" i="1"/>
  <c r="C15798" i="1"/>
  <c r="B15798" i="1"/>
  <c r="G15797" i="1"/>
  <c r="C15797" i="1"/>
  <c r="B15797" i="1"/>
  <c r="G15796" i="1"/>
  <c r="C15796" i="1"/>
  <c r="B15796" i="1"/>
  <c r="G15795" i="1"/>
  <c r="C15795" i="1"/>
  <c r="B15795" i="1"/>
  <c r="G15794" i="1"/>
  <c r="C15794" i="1"/>
  <c r="B15794" i="1"/>
  <c r="G15793" i="1"/>
  <c r="C15793" i="1"/>
  <c r="B15793" i="1"/>
  <c r="G15792" i="1"/>
  <c r="C15792" i="1"/>
  <c r="B15792" i="1"/>
  <c r="G15791" i="1"/>
  <c r="C15791" i="1"/>
  <c r="B15791" i="1"/>
  <c r="G15790" i="1"/>
  <c r="C15790" i="1"/>
  <c r="B15790" i="1"/>
  <c r="G15789" i="1"/>
  <c r="C15789" i="1"/>
  <c r="B15789" i="1"/>
  <c r="G15788" i="1"/>
  <c r="B15788" i="1"/>
  <c r="G15787" i="1"/>
  <c r="C15787" i="1"/>
  <c r="B15787" i="1"/>
  <c r="G15786" i="1"/>
  <c r="C15786" i="1"/>
  <c r="B15786" i="1"/>
  <c r="G15785" i="1"/>
  <c r="C15785" i="1"/>
  <c r="B15785" i="1"/>
  <c r="G15784" i="1"/>
  <c r="C15784" i="1"/>
  <c r="B15784" i="1"/>
  <c r="G15783" i="1"/>
  <c r="B15783" i="1"/>
  <c r="G15782" i="1"/>
  <c r="B15782" i="1"/>
  <c r="G15781" i="1"/>
  <c r="C15781" i="1"/>
  <c r="B15781" i="1"/>
  <c r="G15780" i="1"/>
  <c r="B15780" i="1"/>
  <c r="G15779" i="1"/>
  <c r="B15779" i="1"/>
  <c r="G15778" i="1"/>
  <c r="C15778" i="1"/>
  <c r="B15778" i="1"/>
  <c r="G15777" i="1"/>
  <c r="B15777" i="1"/>
  <c r="G15776" i="1"/>
  <c r="C15776" i="1"/>
  <c r="B15776" i="1"/>
  <c r="G15775" i="1"/>
  <c r="C15775" i="1"/>
  <c r="B15775" i="1"/>
  <c r="G15774" i="1"/>
  <c r="B15774" i="1"/>
  <c r="G15773" i="1"/>
  <c r="C15773" i="1"/>
  <c r="B15773" i="1"/>
  <c r="G15772" i="1"/>
  <c r="C15772" i="1"/>
  <c r="B15772" i="1"/>
  <c r="G15771" i="1"/>
  <c r="C15771" i="1"/>
  <c r="B15771" i="1"/>
  <c r="G15770" i="1"/>
  <c r="C15770" i="1"/>
  <c r="B15770" i="1"/>
  <c r="G15769" i="1"/>
  <c r="C15769" i="1"/>
  <c r="B15769" i="1"/>
  <c r="G15768" i="1"/>
  <c r="C15768" i="1"/>
  <c r="B15768" i="1"/>
  <c r="G15767" i="1"/>
  <c r="C15767" i="1"/>
  <c r="B15767" i="1"/>
  <c r="G15766" i="1"/>
  <c r="C15766" i="1"/>
  <c r="B15766" i="1"/>
  <c r="G15765" i="1"/>
  <c r="B15765" i="1"/>
  <c r="G15764" i="1"/>
  <c r="C15764" i="1"/>
  <c r="B15764" i="1"/>
  <c r="G15763" i="1"/>
  <c r="C15763" i="1"/>
  <c r="B15763" i="1"/>
  <c r="G15762" i="1"/>
  <c r="C15762" i="1"/>
  <c r="B15762" i="1"/>
  <c r="G15761" i="1"/>
  <c r="C15761" i="1"/>
  <c r="B15761" i="1"/>
  <c r="G15760" i="1"/>
  <c r="C15760" i="1"/>
  <c r="B15760" i="1"/>
  <c r="G15759" i="1"/>
  <c r="C15759" i="1"/>
  <c r="B15759" i="1"/>
  <c r="G15758" i="1"/>
  <c r="C15758" i="1"/>
  <c r="B15758" i="1"/>
  <c r="G15757" i="1"/>
  <c r="B15757" i="1"/>
  <c r="G15756" i="1"/>
  <c r="C15756" i="1"/>
  <c r="B15756" i="1"/>
  <c r="G15755" i="1"/>
  <c r="C15755" i="1"/>
  <c r="B15755" i="1"/>
  <c r="G15754" i="1"/>
  <c r="C15754" i="1"/>
  <c r="B15754" i="1"/>
  <c r="G15753" i="1"/>
  <c r="C15753" i="1"/>
  <c r="B15753" i="1"/>
  <c r="G15752" i="1"/>
  <c r="B15752" i="1"/>
  <c r="G15751" i="1"/>
  <c r="B15751" i="1"/>
  <c r="G15750" i="1"/>
  <c r="C15750" i="1"/>
  <c r="B15750" i="1"/>
  <c r="G15749" i="1"/>
  <c r="B15749" i="1"/>
  <c r="G15748" i="1"/>
  <c r="B15748" i="1"/>
  <c r="G15747" i="1"/>
  <c r="B15747" i="1"/>
  <c r="G15746" i="1"/>
  <c r="C15746" i="1"/>
  <c r="B15746" i="1"/>
  <c r="G15745" i="1"/>
  <c r="C15745" i="1"/>
  <c r="B15745" i="1"/>
  <c r="G15744" i="1"/>
  <c r="C15744" i="1"/>
  <c r="B15744" i="1"/>
  <c r="G15743" i="1"/>
  <c r="C15743" i="1"/>
  <c r="B15743" i="1"/>
  <c r="G15742" i="1"/>
  <c r="C15742" i="1"/>
  <c r="B15742" i="1"/>
  <c r="G15741" i="1"/>
  <c r="C15741" i="1"/>
  <c r="B15741" i="1"/>
  <c r="G15740" i="1"/>
  <c r="C15740" i="1"/>
  <c r="B15740" i="1"/>
  <c r="G15739" i="1"/>
  <c r="B15739" i="1"/>
  <c r="G15738" i="1"/>
  <c r="C15738" i="1"/>
  <c r="B15738" i="1"/>
  <c r="G15737" i="1"/>
  <c r="B15737" i="1"/>
  <c r="G15736" i="1"/>
  <c r="C15736" i="1"/>
  <c r="B15736" i="1"/>
  <c r="G15735" i="1"/>
  <c r="C15735" i="1"/>
  <c r="B15735" i="1"/>
  <c r="G15734" i="1"/>
  <c r="C15734" i="1"/>
  <c r="B15734" i="1"/>
  <c r="G15733" i="1"/>
  <c r="C15733" i="1"/>
  <c r="B15733" i="1"/>
  <c r="G15732" i="1"/>
  <c r="C15732" i="1"/>
  <c r="B15732" i="1"/>
  <c r="G15731" i="1"/>
  <c r="C15731" i="1"/>
  <c r="B15731" i="1"/>
  <c r="G15730" i="1"/>
  <c r="C15730" i="1"/>
  <c r="B15730" i="1"/>
  <c r="G15729" i="1"/>
  <c r="C15729" i="1"/>
  <c r="B15729" i="1"/>
  <c r="G15728" i="1"/>
  <c r="C15728" i="1"/>
  <c r="B15728" i="1"/>
  <c r="G15727" i="1"/>
  <c r="C15727" i="1"/>
  <c r="B15727" i="1"/>
  <c r="G15726" i="1"/>
  <c r="C15726" i="1"/>
  <c r="B15726" i="1"/>
  <c r="G15725" i="1"/>
  <c r="C15725" i="1"/>
  <c r="B15725" i="1"/>
  <c r="G15724" i="1"/>
  <c r="B15724" i="1"/>
  <c r="G15723" i="1"/>
  <c r="C15723" i="1"/>
  <c r="B15723" i="1"/>
  <c r="G15722" i="1"/>
  <c r="C15722" i="1"/>
  <c r="B15722" i="1"/>
  <c r="G15721" i="1"/>
  <c r="C15721" i="1"/>
  <c r="B15721" i="1"/>
  <c r="G15720" i="1"/>
  <c r="C15720" i="1"/>
  <c r="B15720" i="1"/>
  <c r="G15719" i="1"/>
  <c r="B15719" i="1"/>
  <c r="G15718" i="1"/>
  <c r="C15718" i="1"/>
  <c r="B15718" i="1"/>
  <c r="G15717" i="1"/>
  <c r="C15717" i="1"/>
  <c r="B15717" i="1"/>
  <c r="G15716" i="1"/>
  <c r="C15716" i="1"/>
  <c r="B15716" i="1"/>
  <c r="G15715" i="1"/>
  <c r="B15715" i="1"/>
  <c r="G15714" i="1"/>
  <c r="C15714" i="1"/>
  <c r="B15714" i="1"/>
  <c r="G15713" i="1"/>
  <c r="B15713" i="1"/>
  <c r="G15712" i="1"/>
  <c r="C15712" i="1"/>
  <c r="B15712" i="1"/>
  <c r="G15711" i="1"/>
  <c r="C15711" i="1"/>
  <c r="B15711" i="1"/>
  <c r="G15710" i="1"/>
  <c r="C15710" i="1"/>
  <c r="B15710" i="1"/>
  <c r="G15709" i="1"/>
  <c r="B15709" i="1"/>
  <c r="G15708" i="1"/>
  <c r="C15708" i="1"/>
  <c r="B15708" i="1"/>
  <c r="G15707" i="1"/>
  <c r="C15707" i="1"/>
  <c r="B15707" i="1"/>
  <c r="G15706" i="1"/>
  <c r="B15706" i="1"/>
  <c r="G15705" i="1"/>
  <c r="C15705" i="1"/>
  <c r="B15705" i="1"/>
  <c r="G15704" i="1"/>
  <c r="C15704" i="1"/>
  <c r="B15704" i="1"/>
  <c r="G15703" i="1"/>
  <c r="B15703" i="1"/>
  <c r="G15702" i="1"/>
  <c r="B15702" i="1"/>
  <c r="G15701" i="1"/>
  <c r="C15701" i="1"/>
  <c r="B15701" i="1"/>
  <c r="G15700" i="1"/>
  <c r="C15700" i="1"/>
  <c r="B15700" i="1"/>
  <c r="G15699" i="1"/>
  <c r="C15699" i="1"/>
  <c r="B15699" i="1"/>
  <c r="G15698" i="1"/>
  <c r="C15698" i="1"/>
  <c r="B15698" i="1"/>
  <c r="G15697" i="1"/>
  <c r="C15697" i="1"/>
  <c r="B15697" i="1"/>
  <c r="G15696" i="1"/>
  <c r="B15696" i="1"/>
  <c r="G15695" i="1"/>
  <c r="C15695" i="1"/>
  <c r="B15695" i="1"/>
  <c r="G15694" i="1"/>
  <c r="C15694" i="1"/>
  <c r="B15694" i="1"/>
  <c r="G15693" i="1"/>
  <c r="B15693" i="1"/>
  <c r="G15692" i="1"/>
  <c r="B15692" i="1"/>
  <c r="G15691" i="1"/>
  <c r="C15691" i="1"/>
  <c r="B15691" i="1"/>
  <c r="G15690" i="1"/>
  <c r="B15690" i="1"/>
  <c r="G15689" i="1"/>
  <c r="C15689" i="1"/>
  <c r="B15689" i="1"/>
  <c r="G15688" i="1"/>
  <c r="B15688" i="1"/>
  <c r="G15687" i="1"/>
  <c r="C15687" i="1"/>
  <c r="B15687" i="1"/>
  <c r="G15686" i="1"/>
  <c r="C15686" i="1"/>
  <c r="B15686" i="1"/>
  <c r="G15685" i="1"/>
  <c r="C15685" i="1"/>
  <c r="B15685" i="1"/>
  <c r="G15684" i="1"/>
  <c r="B15684" i="1"/>
  <c r="G15683" i="1"/>
  <c r="B15683" i="1"/>
  <c r="G15682" i="1"/>
  <c r="C15682" i="1"/>
  <c r="B15682" i="1"/>
  <c r="G15681" i="1"/>
  <c r="C15681" i="1"/>
  <c r="B15681" i="1"/>
  <c r="G15680" i="1"/>
  <c r="B15680" i="1"/>
  <c r="G15679" i="1"/>
  <c r="C15679" i="1"/>
  <c r="B15679" i="1"/>
  <c r="G15678" i="1"/>
  <c r="B15678" i="1"/>
  <c r="G15677" i="1"/>
  <c r="C15677" i="1"/>
  <c r="B15677" i="1"/>
  <c r="G15676" i="1"/>
  <c r="B15676" i="1"/>
  <c r="G15675" i="1"/>
  <c r="C15675" i="1"/>
  <c r="B15675" i="1"/>
  <c r="G15674" i="1"/>
  <c r="B15674" i="1"/>
  <c r="G15673" i="1"/>
  <c r="C15673" i="1"/>
  <c r="B15673" i="1"/>
  <c r="G15672" i="1"/>
  <c r="C15672" i="1"/>
  <c r="B15672" i="1"/>
  <c r="G15671" i="1"/>
  <c r="C15671" i="1"/>
  <c r="B15671" i="1"/>
  <c r="G15670" i="1"/>
  <c r="C15670" i="1"/>
  <c r="B15670" i="1"/>
  <c r="G15669" i="1"/>
  <c r="B15669" i="1"/>
  <c r="G15668" i="1"/>
  <c r="C15668" i="1"/>
  <c r="B15668" i="1"/>
  <c r="G15667" i="1"/>
  <c r="C15667" i="1"/>
  <c r="B15667" i="1"/>
  <c r="G15666" i="1"/>
  <c r="B15666" i="1"/>
  <c r="G15665" i="1"/>
  <c r="C15665" i="1"/>
  <c r="B15665" i="1"/>
  <c r="G15664" i="1"/>
  <c r="C15664" i="1"/>
  <c r="B15664" i="1"/>
  <c r="G15663" i="1"/>
  <c r="C15663" i="1"/>
  <c r="B15663" i="1"/>
  <c r="G15662" i="1"/>
  <c r="C15662" i="1"/>
  <c r="B15662" i="1"/>
  <c r="G15661" i="1"/>
  <c r="C15661" i="1"/>
  <c r="B15661" i="1"/>
  <c r="G15660" i="1"/>
  <c r="C15660" i="1"/>
  <c r="B15660" i="1"/>
  <c r="G15659" i="1"/>
  <c r="C15659" i="1"/>
  <c r="B15659" i="1"/>
  <c r="G15658" i="1"/>
  <c r="C15658" i="1"/>
  <c r="B15658" i="1"/>
  <c r="G15657" i="1"/>
  <c r="C15657" i="1"/>
  <c r="B15657" i="1"/>
  <c r="G15656" i="1"/>
  <c r="C15656" i="1"/>
  <c r="B15656" i="1"/>
  <c r="G15655" i="1"/>
  <c r="B15655" i="1"/>
  <c r="G15654" i="1"/>
  <c r="C15654" i="1"/>
  <c r="B15654" i="1"/>
  <c r="G15653" i="1"/>
  <c r="C15653" i="1"/>
  <c r="B15653" i="1"/>
  <c r="G15652" i="1"/>
  <c r="C15652" i="1"/>
  <c r="B15652" i="1"/>
  <c r="G15651" i="1"/>
  <c r="C15651" i="1"/>
  <c r="B15651" i="1"/>
  <c r="G15650" i="1"/>
  <c r="C15650" i="1"/>
  <c r="B15650" i="1"/>
  <c r="G15649" i="1"/>
  <c r="C15649" i="1"/>
  <c r="B15649" i="1"/>
  <c r="G15648" i="1"/>
  <c r="C15648" i="1"/>
  <c r="B15648" i="1"/>
  <c r="G15647" i="1"/>
  <c r="B15647" i="1"/>
  <c r="G15646" i="1"/>
  <c r="B15646" i="1"/>
  <c r="G15645" i="1"/>
  <c r="C15645" i="1"/>
  <c r="B15645" i="1"/>
  <c r="G15644" i="1"/>
  <c r="C15644" i="1"/>
  <c r="B15644" i="1"/>
  <c r="G15643" i="1"/>
  <c r="B15643" i="1"/>
  <c r="G15642" i="1"/>
  <c r="B15642" i="1"/>
  <c r="G15641" i="1"/>
  <c r="B15641" i="1"/>
  <c r="G15640" i="1"/>
  <c r="C15640" i="1"/>
  <c r="B15640" i="1"/>
  <c r="G15639" i="1"/>
  <c r="B15639" i="1"/>
  <c r="G15638" i="1"/>
  <c r="C15638" i="1"/>
  <c r="B15638" i="1"/>
  <c r="G15637" i="1"/>
  <c r="C15637" i="1"/>
  <c r="B15637" i="1"/>
  <c r="G15636" i="1"/>
  <c r="C15636" i="1"/>
  <c r="B15636" i="1"/>
  <c r="G15635" i="1"/>
  <c r="C15635" i="1"/>
  <c r="B15635" i="1"/>
  <c r="G15634" i="1"/>
  <c r="C15634" i="1"/>
  <c r="B15634" i="1"/>
  <c r="G15633" i="1"/>
  <c r="C15633" i="1"/>
  <c r="B15633" i="1"/>
  <c r="G15632" i="1"/>
  <c r="C15632" i="1"/>
  <c r="B15632" i="1"/>
  <c r="G15631" i="1"/>
  <c r="B15631" i="1"/>
  <c r="G15630" i="1"/>
  <c r="C15630" i="1"/>
  <c r="B15630" i="1"/>
  <c r="G15629" i="1"/>
  <c r="C15629" i="1"/>
  <c r="B15629" i="1"/>
  <c r="G15628" i="1"/>
  <c r="C15628" i="1"/>
  <c r="B15628" i="1"/>
  <c r="G15627" i="1"/>
  <c r="C15627" i="1"/>
  <c r="B15627" i="1"/>
  <c r="G15626" i="1"/>
  <c r="C15626" i="1"/>
  <c r="B15626" i="1"/>
  <c r="G15625" i="1"/>
  <c r="B15625" i="1"/>
  <c r="G15624" i="1"/>
  <c r="C15624" i="1"/>
  <c r="B15624" i="1"/>
  <c r="G15623" i="1"/>
  <c r="B15623" i="1"/>
  <c r="G15622" i="1"/>
  <c r="B15622" i="1"/>
  <c r="G15621" i="1"/>
  <c r="C15621" i="1"/>
  <c r="B15621" i="1"/>
  <c r="G15620" i="1"/>
  <c r="C15620" i="1"/>
  <c r="B15620" i="1"/>
  <c r="G15619" i="1"/>
  <c r="C15619" i="1"/>
  <c r="B15619" i="1"/>
  <c r="G15618" i="1"/>
  <c r="B15618" i="1"/>
  <c r="G15617" i="1"/>
  <c r="B15617" i="1"/>
  <c r="G15616" i="1"/>
  <c r="C15616" i="1"/>
  <c r="B15616" i="1"/>
  <c r="G15615" i="1"/>
  <c r="C15615" i="1"/>
  <c r="B15615" i="1"/>
  <c r="G15614" i="1"/>
  <c r="C15614" i="1"/>
  <c r="B15614" i="1"/>
  <c r="G15613" i="1"/>
  <c r="B15613" i="1"/>
  <c r="G15612" i="1"/>
  <c r="C15612" i="1"/>
  <c r="B15612" i="1"/>
  <c r="G15611" i="1"/>
  <c r="C15611" i="1"/>
  <c r="B15611" i="1"/>
  <c r="G15610" i="1"/>
  <c r="C15610" i="1"/>
  <c r="B15610" i="1"/>
  <c r="G15609" i="1"/>
  <c r="C15609" i="1"/>
  <c r="B15609" i="1"/>
  <c r="G15608" i="1"/>
  <c r="C15608" i="1"/>
  <c r="B15608" i="1"/>
  <c r="G15607" i="1"/>
  <c r="C15607" i="1"/>
  <c r="B15607" i="1"/>
  <c r="G15606" i="1"/>
  <c r="C15606" i="1"/>
  <c r="B15606" i="1"/>
  <c r="G15605" i="1"/>
  <c r="C15605" i="1"/>
  <c r="B15605" i="1"/>
  <c r="G15604" i="1"/>
  <c r="B15604" i="1"/>
  <c r="G15603" i="1"/>
  <c r="C15603" i="1"/>
  <c r="B15603" i="1"/>
  <c r="G15602" i="1"/>
  <c r="B15602" i="1"/>
  <c r="G15601" i="1"/>
  <c r="C15601" i="1"/>
  <c r="B15601" i="1"/>
  <c r="G15600" i="1"/>
  <c r="B15600" i="1"/>
  <c r="G15599" i="1"/>
  <c r="C15599" i="1"/>
  <c r="B15599" i="1"/>
  <c r="G15598" i="1"/>
  <c r="B15598" i="1"/>
  <c r="G15597" i="1"/>
  <c r="C15597" i="1"/>
  <c r="B15597" i="1"/>
  <c r="G15596" i="1"/>
  <c r="C15596" i="1"/>
  <c r="B15596" i="1"/>
  <c r="G15595" i="1"/>
  <c r="C15595" i="1"/>
  <c r="B15595" i="1"/>
  <c r="G15594" i="1"/>
  <c r="C15594" i="1"/>
  <c r="B15594" i="1"/>
  <c r="G15593" i="1"/>
  <c r="B15593" i="1"/>
  <c r="G15592" i="1"/>
  <c r="B15592" i="1"/>
  <c r="G15591" i="1"/>
  <c r="B15591" i="1"/>
  <c r="G15590" i="1"/>
  <c r="C15590" i="1"/>
  <c r="B15590" i="1"/>
  <c r="G15589" i="1"/>
  <c r="C15589" i="1"/>
  <c r="B15589" i="1"/>
  <c r="G15588" i="1"/>
  <c r="C15588" i="1"/>
  <c r="B15588" i="1"/>
  <c r="G15587" i="1"/>
  <c r="C15587" i="1"/>
  <c r="B15587" i="1"/>
  <c r="G15586" i="1"/>
  <c r="B15586" i="1"/>
  <c r="G15585" i="1"/>
  <c r="C15585" i="1"/>
  <c r="B15585" i="1"/>
  <c r="G15584" i="1"/>
  <c r="C15584" i="1"/>
  <c r="B15584" i="1"/>
  <c r="G15583" i="1"/>
  <c r="B15583" i="1"/>
  <c r="G15582" i="1"/>
  <c r="C15582" i="1"/>
  <c r="B15582" i="1"/>
  <c r="G15581" i="1"/>
  <c r="C15581" i="1"/>
  <c r="B15581" i="1"/>
  <c r="G15580" i="1"/>
  <c r="B15580" i="1"/>
  <c r="G15579" i="1"/>
  <c r="B15579" i="1"/>
  <c r="G15578" i="1"/>
  <c r="B15578" i="1"/>
  <c r="G15577" i="1"/>
  <c r="C15577" i="1"/>
  <c r="B15577" i="1"/>
  <c r="G15576" i="1"/>
  <c r="B15576" i="1"/>
  <c r="G15575" i="1"/>
  <c r="C15575" i="1"/>
  <c r="B15575" i="1"/>
  <c r="G15574" i="1"/>
  <c r="C15574" i="1"/>
  <c r="B15574" i="1"/>
  <c r="G15573" i="1"/>
  <c r="C15573" i="1"/>
  <c r="B15573" i="1"/>
  <c r="G15572" i="1"/>
  <c r="C15572" i="1"/>
  <c r="B15572" i="1"/>
  <c r="G15571" i="1"/>
  <c r="B15571" i="1"/>
  <c r="G15570" i="1"/>
  <c r="C15570" i="1"/>
  <c r="B15570" i="1"/>
  <c r="G15569" i="1"/>
  <c r="C15569" i="1"/>
  <c r="B15569" i="1"/>
  <c r="G15568" i="1"/>
  <c r="C15568" i="1"/>
  <c r="B15568" i="1"/>
  <c r="G15567" i="1"/>
  <c r="C15567" i="1"/>
  <c r="B15567" i="1"/>
  <c r="G15566" i="1"/>
  <c r="B15566" i="1"/>
  <c r="G15565" i="1"/>
  <c r="C15565" i="1"/>
  <c r="B15565" i="1"/>
  <c r="G15564" i="1"/>
  <c r="C15564" i="1"/>
  <c r="B15564" i="1"/>
  <c r="G15563" i="1"/>
  <c r="B15563" i="1"/>
  <c r="G15562" i="1"/>
  <c r="C15562" i="1"/>
  <c r="B15562" i="1"/>
  <c r="G15561" i="1"/>
  <c r="C15561" i="1"/>
  <c r="B15561" i="1"/>
  <c r="G15560" i="1"/>
  <c r="C15560" i="1"/>
  <c r="B15560" i="1"/>
  <c r="G15559" i="1"/>
  <c r="C15559" i="1"/>
  <c r="B15559" i="1"/>
  <c r="G15558" i="1"/>
  <c r="C15558" i="1"/>
  <c r="B15558" i="1"/>
  <c r="G15557" i="1"/>
  <c r="C15557" i="1"/>
  <c r="B15557" i="1"/>
  <c r="G15556" i="1"/>
  <c r="C15556" i="1"/>
  <c r="B15556" i="1"/>
  <c r="G15555" i="1"/>
  <c r="B15555" i="1"/>
  <c r="G15554" i="1"/>
  <c r="C15554" i="1"/>
  <c r="B15554" i="1"/>
  <c r="G15553" i="1"/>
  <c r="C15553" i="1"/>
  <c r="B15553" i="1"/>
  <c r="G15552" i="1"/>
  <c r="C15552" i="1"/>
  <c r="B15552" i="1"/>
  <c r="G15551" i="1"/>
  <c r="C15551" i="1"/>
  <c r="B15551" i="1"/>
  <c r="G15550" i="1"/>
  <c r="B15550" i="1"/>
  <c r="G15549" i="1"/>
  <c r="C15549" i="1"/>
  <c r="B15549" i="1"/>
  <c r="G15548" i="1"/>
  <c r="B15548" i="1"/>
  <c r="G15547" i="1"/>
  <c r="C15547" i="1"/>
  <c r="B15547" i="1"/>
  <c r="G15546" i="1"/>
  <c r="B15546" i="1"/>
  <c r="G15545" i="1"/>
  <c r="C15545" i="1"/>
  <c r="B15545" i="1"/>
  <c r="G15544" i="1"/>
  <c r="C15544" i="1"/>
  <c r="B15544" i="1"/>
  <c r="G15543" i="1"/>
  <c r="C15543" i="1"/>
  <c r="B15543" i="1"/>
  <c r="G15542" i="1"/>
  <c r="C15542" i="1"/>
  <c r="B15542" i="1"/>
  <c r="G15541" i="1"/>
  <c r="C15541" i="1"/>
  <c r="B15541" i="1"/>
  <c r="G15540" i="1"/>
  <c r="C15540" i="1"/>
  <c r="B15540" i="1"/>
  <c r="G15539" i="1"/>
  <c r="C15539" i="1"/>
  <c r="B15539" i="1"/>
  <c r="G15538" i="1"/>
  <c r="C15538" i="1"/>
  <c r="B15538" i="1"/>
  <c r="G15537" i="1"/>
  <c r="C15537" i="1"/>
  <c r="B15537" i="1"/>
  <c r="G15536" i="1"/>
  <c r="C15536" i="1"/>
  <c r="B15536" i="1"/>
  <c r="G15535" i="1"/>
  <c r="C15535" i="1"/>
  <c r="B15535" i="1"/>
  <c r="G15534" i="1"/>
  <c r="C15534" i="1"/>
  <c r="B15534" i="1"/>
  <c r="G15533" i="1"/>
  <c r="C15533" i="1"/>
  <c r="B15533" i="1"/>
  <c r="G15532" i="1"/>
  <c r="C15532" i="1"/>
  <c r="B15532" i="1"/>
  <c r="G15531" i="1"/>
  <c r="B15531" i="1"/>
  <c r="G15530" i="1"/>
  <c r="C15530" i="1"/>
  <c r="B15530" i="1"/>
  <c r="G15529" i="1"/>
  <c r="B15529" i="1"/>
  <c r="G15528" i="1"/>
  <c r="C15528" i="1"/>
  <c r="B15528" i="1"/>
  <c r="G15527" i="1"/>
  <c r="B15527" i="1"/>
  <c r="G15526" i="1"/>
  <c r="C15526" i="1"/>
  <c r="B15526" i="1"/>
  <c r="G15525" i="1"/>
  <c r="B15525" i="1"/>
  <c r="G15524" i="1"/>
  <c r="C15524" i="1"/>
  <c r="B15524" i="1"/>
  <c r="G15523" i="1"/>
  <c r="C15523" i="1"/>
  <c r="B15523" i="1"/>
  <c r="G15522" i="1"/>
  <c r="C15522" i="1"/>
  <c r="B15522" i="1"/>
  <c r="G15521" i="1"/>
  <c r="B15521" i="1"/>
  <c r="G15520" i="1"/>
  <c r="B15520" i="1"/>
  <c r="G15519" i="1"/>
  <c r="C15519" i="1"/>
  <c r="B15519" i="1"/>
  <c r="G15518" i="1"/>
  <c r="C15518" i="1"/>
  <c r="B15518" i="1"/>
  <c r="G15517" i="1"/>
  <c r="C15517" i="1"/>
  <c r="B15517" i="1"/>
  <c r="G15516" i="1"/>
  <c r="C15516" i="1"/>
  <c r="B15516" i="1"/>
  <c r="G15515" i="1"/>
  <c r="C15515" i="1"/>
  <c r="B15515" i="1"/>
  <c r="G15514" i="1"/>
  <c r="C15514" i="1"/>
  <c r="B15514" i="1"/>
  <c r="G15513" i="1"/>
  <c r="C15513" i="1"/>
  <c r="B15513" i="1"/>
  <c r="G15512" i="1"/>
  <c r="B15512" i="1"/>
  <c r="G15511" i="1"/>
  <c r="C15511" i="1"/>
  <c r="B15511" i="1"/>
  <c r="G15510" i="1"/>
  <c r="B15510" i="1"/>
  <c r="G15509" i="1"/>
  <c r="B15509" i="1"/>
  <c r="G15508" i="1"/>
  <c r="B15508" i="1"/>
  <c r="G15507" i="1"/>
  <c r="C15507" i="1"/>
  <c r="B15507" i="1"/>
  <c r="G15506" i="1"/>
  <c r="C15506" i="1"/>
  <c r="B15506" i="1"/>
  <c r="G15505" i="1"/>
  <c r="B15505" i="1"/>
  <c r="G15504" i="1"/>
  <c r="C15504" i="1"/>
  <c r="B15504" i="1"/>
  <c r="G15503" i="1"/>
  <c r="C15503" i="1"/>
  <c r="B15503" i="1"/>
  <c r="G15502" i="1"/>
  <c r="C15502" i="1"/>
  <c r="B15502" i="1"/>
  <c r="G15501" i="1"/>
  <c r="C15501" i="1"/>
  <c r="B15501" i="1"/>
  <c r="G15500" i="1"/>
  <c r="B15500" i="1"/>
  <c r="G15499" i="1"/>
  <c r="C15499" i="1"/>
  <c r="B15499" i="1"/>
  <c r="G15498" i="1"/>
  <c r="C15498" i="1"/>
  <c r="B15498" i="1"/>
  <c r="G15497" i="1"/>
  <c r="C15497" i="1"/>
  <c r="B15497" i="1"/>
  <c r="G15496" i="1"/>
  <c r="B15496" i="1"/>
  <c r="G15495" i="1"/>
  <c r="C15495" i="1"/>
  <c r="B15495" i="1"/>
  <c r="G15494" i="1"/>
  <c r="C15494" i="1"/>
  <c r="B15494" i="1"/>
  <c r="G15493" i="1"/>
  <c r="B15493" i="1"/>
  <c r="G15492" i="1"/>
  <c r="C15492" i="1"/>
  <c r="B15492" i="1"/>
  <c r="G15491" i="1"/>
  <c r="C15491" i="1"/>
  <c r="B15491" i="1"/>
  <c r="G15490" i="1"/>
  <c r="C15490" i="1"/>
  <c r="B15490" i="1"/>
  <c r="G15489" i="1"/>
  <c r="B15489" i="1"/>
  <c r="G15488" i="1"/>
  <c r="C15488" i="1"/>
  <c r="B15488" i="1"/>
  <c r="G15487" i="1"/>
  <c r="B15487" i="1"/>
  <c r="G15486" i="1"/>
  <c r="C15486" i="1"/>
  <c r="B15486" i="1"/>
  <c r="G15485" i="1"/>
  <c r="C15485" i="1"/>
  <c r="B15485" i="1"/>
  <c r="G15484" i="1"/>
  <c r="C15484" i="1"/>
  <c r="B15484" i="1"/>
  <c r="G15483" i="1"/>
  <c r="C15483" i="1"/>
  <c r="B15483" i="1"/>
  <c r="G15482" i="1"/>
  <c r="C15482" i="1"/>
  <c r="B15482" i="1"/>
  <c r="G15481" i="1"/>
  <c r="C15481" i="1"/>
  <c r="B15481" i="1"/>
  <c r="G15480" i="1"/>
  <c r="C15480" i="1"/>
  <c r="B15480" i="1"/>
  <c r="G15479" i="1"/>
  <c r="C15479" i="1"/>
  <c r="B15479" i="1"/>
  <c r="G15478" i="1"/>
  <c r="B15478" i="1"/>
  <c r="G15477" i="1"/>
  <c r="C15477" i="1"/>
  <c r="B15477" i="1"/>
  <c r="G15476" i="1"/>
  <c r="C15476" i="1"/>
  <c r="B15476" i="1"/>
  <c r="G15475" i="1"/>
  <c r="B15475" i="1"/>
  <c r="G15474" i="1"/>
  <c r="C15474" i="1"/>
  <c r="B15474" i="1"/>
  <c r="G15473" i="1"/>
  <c r="C15473" i="1"/>
  <c r="B15473" i="1"/>
  <c r="G15472" i="1"/>
  <c r="C15472" i="1"/>
  <c r="B15472" i="1"/>
  <c r="G15471" i="1"/>
  <c r="B15471" i="1"/>
  <c r="G15470" i="1"/>
  <c r="C15470" i="1"/>
  <c r="B15470" i="1"/>
  <c r="G15469" i="1"/>
  <c r="B15469" i="1"/>
  <c r="G15468" i="1"/>
  <c r="C15468" i="1"/>
  <c r="B15468" i="1"/>
  <c r="G15467" i="1"/>
  <c r="B15467" i="1"/>
  <c r="G15466" i="1"/>
  <c r="B15466" i="1"/>
  <c r="G15465" i="1"/>
  <c r="B15465" i="1"/>
  <c r="G15464" i="1"/>
  <c r="C15464" i="1"/>
  <c r="B15464" i="1"/>
  <c r="G15463" i="1"/>
  <c r="C15463" i="1"/>
  <c r="B15463" i="1"/>
  <c r="G15462" i="1"/>
  <c r="B15462" i="1"/>
  <c r="G15461" i="1"/>
  <c r="C15461" i="1"/>
  <c r="B15461" i="1"/>
  <c r="G15460" i="1"/>
  <c r="B15460" i="1"/>
  <c r="G15459" i="1"/>
  <c r="C15459" i="1"/>
  <c r="B15459" i="1"/>
  <c r="G15458" i="1"/>
  <c r="B15458" i="1"/>
  <c r="G15457" i="1"/>
  <c r="B15457" i="1"/>
  <c r="G15456" i="1"/>
  <c r="C15456" i="1"/>
  <c r="B15456" i="1"/>
  <c r="G15455" i="1"/>
  <c r="B15455" i="1"/>
  <c r="G15454" i="1"/>
  <c r="C15454" i="1"/>
  <c r="B15454" i="1"/>
  <c r="G15453" i="1"/>
  <c r="C15453" i="1"/>
  <c r="B15453" i="1"/>
  <c r="G15452" i="1"/>
  <c r="C15452" i="1"/>
  <c r="B15452" i="1"/>
  <c r="G15451" i="1"/>
  <c r="C15451" i="1"/>
  <c r="B15451" i="1"/>
  <c r="G15450" i="1"/>
  <c r="C15450" i="1"/>
  <c r="B15450" i="1"/>
  <c r="G15449" i="1"/>
  <c r="B15449" i="1"/>
  <c r="G15448" i="1"/>
  <c r="C15448" i="1"/>
  <c r="B15448" i="1"/>
  <c r="G15447" i="1"/>
  <c r="C15447" i="1"/>
  <c r="B15447" i="1"/>
  <c r="G15446" i="1"/>
  <c r="C15446" i="1"/>
  <c r="B15446" i="1"/>
  <c r="G15445" i="1"/>
  <c r="B15445" i="1"/>
  <c r="G15444" i="1"/>
  <c r="C15444" i="1"/>
  <c r="B15444" i="1"/>
  <c r="G15443" i="1"/>
  <c r="B15443" i="1"/>
  <c r="G15442" i="1"/>
  <c r="B15442" i="1"/>
  <c r="G15441" i="1"/>
  <c r="C15441" i="1"/>
  <c r="B15441" i="1"/>
  <c r="G15440" i="1"/>
  <c r="C15440" i="1"/>
  <c r="B15440" i="1"/>
  <c r="G15439" i="1"/>
  <c r="C15439" i="1"/>
  <c r="B15439" i="1"/>
  <c r="G15438" i="1"/>
  <c r="C15438" i="1"/>
  <c r="B15438" i="1"/>
  <c r="G15437" i="1"/>
  <c r="C15437" i="1"/>
  <c r="B15437" i="1"/>
  <c r="G15436" i="1"/>
  <c r="C15436" i="1"/>
  <c r="B15436" i="1"/>
  <c r="G15435" i="1"/>
  <c r="B15435" i="1"/>
  <c r="G15434" i="1"/>
  <c r="B15434" i="1"/>
  <c r="G15433" i="1"/>
  <c r="C15433" i="1"/>
  <c r="B15433" i="1"/>
  <c r="G15432" i="1"/>
  <c r="C15432" i="1"/>
  <c r="B15432" i="1"/>
  <c r="G15431" i="1"/>
  <c r="C15431" i="1"/>
  <c r="B15431" i="1"/>
  <c r="G15430" i="1"/>
  <c r="C15430" i="1"/>
  <c r="B15430" i="1"/>
  <c r="G15429" i="1"/>
  <c r="C15429" i="1"/>
  <c r="B15429" i="1"/>
  <c r="G15428" i="1"/>
  <c r="B15428" i="1"/>
  <c r="G15427" i="1"/>
  <c r="C15427" i="1"/>
  <c r="B15427" i="1"/>
  <c r="G15426" i="1"/>
  <c r="B15426" i="1"/>
  <c r="G15425" i="1"/>
  <c r="C15425" i="1"/>
  <c r="B15425" i="1"/>
  <c r="G15424" i="1"/>
  <c r="C15424" i="1"/>
  <c r="B15424" i="1"/>
  <c r="G15423" i="1"/>
  <c r="C15423" i="1"/>
  <c r="B15423" i="1"/>
  <c r="G15422" i="1"/>
  <c r="C15422" i="1"/>
  <c r="B15422" i="1"/>
  <c r="G15421" i="1"/>
  <c r="C15421" i="1"/>
  <c r="B15421" i="1"/>
  <c r="G15420" i="1"/>
  <c r="C15420" i="1"/>
  <c r="B15420" i="1"/>
  <c r="G15419" i="1"/>
  <c r="C15419" i="1"/>
  <c r="B15419" i="1"/>
  <c r="G15418" i="1"/>
  <c r="C15418" i="1"/>
  <c r="B15418" i="1"/>
  <c r="G15417" i="1"/>
  <c r="C15417" i="1"/>
  <c r="B15417" i="1"/>
  <c r="G15416" i="1"/>
  <c r="C15416" i="1"/>
  <c r="B15416" i="1"/>
  <c r="G15415" i="1"/>
  <c r="C15415" i="1"/>
  <c r="B15415" i="1"/>
  <c r="G15414" i="1"/>
  <c r="C15414" i="1"/>
  <c r="B15414" i="1"/>
  <c r="G15413" i="1"/>
  <c r="C15413" i="1"/>
  <c r="B15413" i="1"/>
  <c r="G15412" i="1"/>
  <c r="C15412" i="1"/>
  <c r="B15412" i="1"/>
  <c r="G15411" i="1"/>
  <c r="C15411" i="1"/>
  <c r="B15411" i="1"/>
  <c r="G15410" i="1"/>
  <c r="C15410" i="1"/>
  <c r="B15410" i="1"/>
  <c r="G15409" i="1"/>
  <c r="B15409" i="1"/>
  <c r="G15408" i="1"/>
  <c r="C15408" i="1"/>
  <c r="B15408" i="1"/>
  <c r="G15407" i="1"/>
  <c r="C15407" i="1"/>
  <c r="B15407" i="1"/>
  <c r="G15406" i="1"/>
  <c r="C15406" i="1"/>
  <c r="B15406" i="1"/>
  <c r="G15405" i="1"/>
  <c r="C15405" i="1"/>
  <c r="B15405" i="1"/>
  <c r="G15404" i="1"/>
  <c r="C15404" i="1"/>
  <c r="B15404" i="1"/>
  <c r="G15403" i="1"/>
  <c r="C15403" i="1"/>
  <c r="B15403" i="1"/>
  <c r="G15402" i="1"/>
  <c r="C15402" i="1"/>
  <c r="B15402" i="1"/>
  <c r="G15401" i="1"/>
  <c r="C15401" i="1"/>
  <c r="B15401" i="1"/>
  <c r="G15400" i="1"/>
  <c r="C15400" i="1"/>
  <c r="B15400" i="1"/>
  <c r="G15399" i="1"/>
  <c r="C15399" i="1"/>
  <c r="B15399" i="1"/>
  <c r="G15398" i="1"/>
  <c r="C15398" i="1"/>
  <c r="B15398" i="1"/>
  <c r="G15397" i="1"/>
  <c r="C15397" i="1"/>
  <c r="B15397" i="1"/>
  <c r="G15396" i="1"/>
  <c r="C15396" i="1"/>
  <c r="B15396" i="1"/>
  <c r="G15395" i="1"/>
  <c r="C15395" i="1"/>
  <c r="B15395" i="1"/>
  <c r="G15394" i="1"/>
  <c r="C15394" i="1"/>
  <c r="B15394" i="1"/>
  <c r="G15393" i="1"/>
  <c r="C15393" i="1"/>
  <c r="B15393" i="1"/>
  <c r="G15392" i="1"/>
  <c r="C15392" i="1"/>
  <c r="B15392" i="1"/>
  <c r="G15391" i="1"/>
  <c r="B15391" i="1"/>
  <c r="G15390" i="1"/>
  <c r="C15390" i="1"/>
  <c r="B15390" i="1"/>
  <c r="G15389" i="1"/>
  <c r="B15389" i="1"/>
  <c r="G15388" i="1"/>
  <c r="C15388" i="1"/>
  <c r="B15388" i="1"/>
  <c r="G15387" i="1"/>
  <c r="C15387" i="1"/>
  <c r="B15387" i="1"/>
  <c r="G15386" i="1"/>
  <c r="C15386" i="1"/>
  <c r="B15386" i="1"/>
  <c r="G15385" i="1"/>
  <c r="C15385" i="1"/>
  <c r="B15385" i="1"/>
  <c r="G15384" i="1"/>
  <c r="C15384" i="1"/>
  <c r="B15384" i="1"/>
  <c r="G15383" i="1"/>
  <c r="C15383" i="1"/>
  <c r="B15383" i="1"/>
  <c r="G15382" i="1"/>
  <c r="C15382" i="1"/>
  <c r="B15382" i="1"/>
  <c r="G15381" i="1"/>
  <c r="C15381" i="1"/>
  <c r="B15381" i="1"/>
  <c r="G15380" i="1"/>
  <c r="B15380" i="1"/>
  <c r="G15379" i="1"/>
  <c r="C15379" i="1"/>
  <c r="B15379" i="1"/>
  <c r="G15378" i="1"/>
  <c r="B15378" i="1"/>
  <c r="G15377" i="1"/>
  <c r="C15377" i="1"/>
  <c r="B15377" i="1"/>
  <c r="G15376" i="1"/>
  <c r="C15376" i="1"/>
  <c r="B15376" i="1"/>
  <c r="G15375" i="1"/>
  <c r="C15375" i="1"/>
  <c r="B15375" i="1"/>
  <c r="G15374" i="1"/>
  <c r="C15374" i="1"/>
  <c r="B15374" i="1"/>
  <c r="G15373" i="1"/>
  <c r="C15373" i="1"/>
  <c r="B15373" i="1"/>
  <c r="G15372" i="1"/>
  <c r="C15372" i="1"/>
  <c r="B15372" i="1"/>
  <c r="G15371" i="1"/>
  <c r="C15371" i="1"/>
  <c r="B15371" i="1"/>
  <c r="G15370" i="1"/>
  <c r="C15370" i="1"/>
  <c r="B15370" i="1"/>
  <c r="G15369" i="1"/>
  <c r="C15369" i="1"/>
  <c r="B15369" i="1"/>
  <c r="G15368" i="1"/>
  <c r="C15368" i="1"/>
  <c r="B15368" i="1"/>
  <c r="G15367" i="1"/>
  <c r="C15367" i="1"/>
  <c r="B15367" i="1"/>
  <c r="G15366" i="1"/>
  <c r="C15366" i="1"/>
  <c r="B15366" i="1"/>
  <c r="G15365" i="1"/>
  <c r="B15365" i="1"/>
  <c r="G15364" i="1"/>
  <c r="C15364" i="1"/>
  <c r="B15364" i="1"/>
  <c r="G15363" i="1"/>
  <c r="B15363" i="1"/>
  <c r="G15362" i="1"/>
  <c r="C15362" i="1"/>
  <c r="B15362" i="1"/>
  <c r="G15361" i="1"/>
  <c r="C15361" i="1"/>
  <c r="B15361" i="1"/>
  <c r="G15360" i="1"/>
  <c r="C15360" i="1"/>
  <c r="B15360" i="1"/>
  <c r="G15359" i="1"/>
  <c r="C15359" i="1"/>
  <c r="B15359" i="1"/>
  <c r="G15358" i="1"/>
  <c r="B15358" i="1"/>
  <c r="G15357" i="1"/>
  <c r="B15357" i="1"/>
  <c r="G15356" i="1"/>
  <c r="C15356" i="1"/>
  <c r="B15356" i="1"/>
  <c r="G15355" i="1"/>
  <c r="B15355" i="1"/>
  <c r="G15354" i="1"/>
  <c r="C15354" i="1"/>
  <c r="B15354" i="1"/>
  <c r="G15353" i="1"/>
  <c r="C15353" i="1"/>
  <c r="B15353" i="1"/>
  <c r="G15352" i="1"/>
  <c r="C15352" i="1"/>
  <c r="B15352" i="1"/>
  <c r="G15351" i="1"/>
  <c r="C15351" i="1"/>
  <c r="B15351" i="1"/>
  <c r="G15350" i="1"/>
  <c r="C15350" i="1"/>
  <c r="B15350" i="1"/>
  <c r="G15349" i="1"/>
  <c r="C15349" i="1"/>
  <c r="B15349" i="1"/>
  <c r="G15348" i="1"/>
  <c r="C15348" i="1"/>
  <c r="B15348" i="1"/>
  <c r="G15347" i="1"/>
  <c r="C15347" i="1"/>
  <c r="B15347" i="1"/>
  <c r="G15346" i="1"/>
  <c r="C15346" i="1"/>
  <c r="B15346" i="1"/>
  <c r="G15345" i="1"/>
  <c r="C15345" i="1"/>
  <c r="B15345" i="1"/>
  <c r="G15344" i="1"/>
  <c r="C15344" i="1"/>
  <c r="B15344" i="1"/>
  <c r="G15343" i="1"/>
  <c r="B15343" i="1"/>
  <c r="G15342" i="1"/>
  <c r="C15342" i="1"/>
  <c r="B15342" i="1"/>
  <c r="G15341" i="1"/>
  <c r="B15341" i="1"/>
  <c r="G15340" i="1"/>
  <c r="C15340" i="1"/>
  <c r="B15340" i="1"/>
  <c r="G15339" i="1"/>
  <c r="C15339" i="1"/>
  <c r="B15339" i="1"/>
  <c r="G15338" i="1"/>
  <c r="C15338" i="1"/>
  <c r="B15338" i="1"/>
  <c r="G15337" i="1"/>
  <c r="C15337" i="1"/>
  <c r="B15337" i="1"/>
  <c r="G15336" i="1"/>
  <c r="B15336" i="1"/>
  <c r="G15335" i="1"/>
  <c r="C15335" i="1"/>
  <c r="B15335" i="1"/>
  <c r="G15334" i="1"/>
  <c r="C15334" i="1"/>
  <c r="B15334" i="1"/>
  <c r="G15333" i="1"/>
  <c r="C15333" i="1"/>
  <c r="B15333" i="1"/>
  <c r="G15332" i="1"/>
  <c r="C15332" i="1"/>
  <c r="B15332" i="1"/>
  <c r="G15331" i="1"/>
  <c r="B15331" i="1"/>
  <c r="G15330" i="1"/>
  <c r="C15330" i="1"/>
  <c r="B15330" i="1"/>
  <c r="G15329" i="1"/>
  <c r="C15329" i="1"/>
  <c r="B15329" i="1"/>
  <c r="G15328" i="1"/>
  <c r="C15328" i="1"/>
  <c r="B15328" i="1"/>
  <c r="G15327" i="1"/>
  <c r="B15327" i="1"/>
  <c r="G15326" i="1"/>
  <c r="B15326" i="1"/>
  <c r="G15325" i="1"/>
  <c r="B15325" i="1"/>
  <c r="G15324" i="1"/>
  <c r="C15324" i="1"/>
  <c r="B15324" i="1"/>
  <c r="G15323" i="1"/>
  <c r="C15323" i="1"/>
  <c r="B15323" i="1"/>
  <c r="G15322" i="1"/>
  <c r="C15322" i="1"/>
  <c r="B15322" i="1"/>
  <c r="G15321" i="1"/>
  <c r="C15321" i="1"/>
  <c r="B15321" i="1"/>
  <c r="G15320" i="1"/>
  <c r="C15320" i="1"/>
  <c r="B15320" i="1"/>
  <c r="G15319" i="1"/>
  <c r="B15319" i="1"/>
  <c r="G15318" i="1"/>
  <c r="C15318" i="1"/>
  <c r="B15318" i="1"/>
  <c r="G15317" i="1"/>
  <c r="C15317" i="1"/>
  <c r="B15317" i="1"/>
  <c r="G15316" i="1"/>
  <c r="C15316" i="1"/>
  <c r="B15316" i="1"/>
  <c r="G15315" i="1"/>
  <c r="C15315" i="1"/>
  <c r="B15315" i="1"/>
  <c r="G15314" i="1"/>
  <c r="C15314" i="1"/>
  <c r="B15314" i="1"/>
  <c r="G15313" i="1"/>
  <c r="C15313" i="1"/>
  <c r="B15313" i="1"/>
  <c r="G15312" i="1"/>
  <c r="B15312" i="1"/>
  <c r="G15311" i="1"/>
  <c r="C15311" i="1"/>
  <c r="B15311" i="1"/>
  <c r="G15310" i="1"/>
  <c r="C15310" i="1"/>
  <c r="B15310" i="1"/>
  <c r="G15309" i="1"/>
  <c r="C15309" i="1"/>
  <c r="B15309" i="1"/>
  <c r="G15308" i="1"/>
  <c r="C15308" i="1"/>
  <c r="B15308" i="1"/>
  <c r="G15307" i="1"/>
  <c r="B15307" i="1"/>
  <c r="G15306" i="1"/>
  <c r="B15306" i="1"/>
  <c r="G15305" i="1"/>
  <c r="C15305" i="1"/>
  <c r="B15305" i="1"/>
  <c r="G15304" i="1"/>
  <c r="C15304" i="1"/>
  <c r="B15304" i="1"/>
  <c r="G15303" i="1"/>
  <c r="C15303" i="1"/>
  <c r="B15303" i="1"/>
  <c r="G15302" i="1"/>
  <c r="C15302" i="1"/>
  <c r="B15302" i="1"/>
  <c r="G15301" i="1"/>
  <c r="B15301" i="1"/>
  <c r="G15300" i="1"/>
  <c r="C15300" i="1"/>
  <c r="B15300" i="1"/>
  <c r="G15299" i="1"/>
  <c r="B15299" i="1"/>
  <c r="G15298" i="1"/>
  <c r="B15298" i="1"/>
  <c r="G15297" i="1"/>
  <c r="B15297" i="1"/>
  <c r="G15296" i="1"/>
  <c r="C15296" i="1"/>
  <c r="B15296" i="1"/>
  <c r="G15295" i="1"/>
  <c r="B15295" i="1"/>
  <c r="G15294" i="1"/>
  <c r="C15294" i="1"/>
  <c r="B15294" i="1"/>
  <c r="G15293" i="1"/>
  <c r="B15293" i="1"/>
  <c r="G15292" i="1"/>
  <c r="C15292" i="1"/>
  <c r="B15292" i="1"/>
  <c r="G15291" i="1"/>
  <c r="B15291" i="1"/>
  <c r="G15290" i="1"/>
  <c r="B15290" i="1"/>
  <c r="G15289" i="1"/>
  <c r="C15289" i="1"/>
  <c r="B15289" i="1"/>
  <c r="G15288" i="1"/>
  <c r="B15288" i="1"/>
  <c r="G15287" i="1"/>
  <c r="C15287" i="1"/>
  <c r="B15287" i="1"/>
  <c r="G15286" i="1"/>
  <c r="B15286" i="1"/>
  <c r="G15285" i="1"/>
  <c r="C15285" i="1"/>
  <c r="B15285" i="1"/>
  <c r="G15284" i="1"/>
  <c r="C15284" i="1"/>
  <c r="B15284" i="1"/>
  <c r="G15283" i="1"/>
  <c r="C15283" i="1"/>
  <c r="B15283" i="1"/>
  <c r="G15282" i="1"/>
  <c r="C15282" i="1"/>
  <c r="B15282" i="1"/>
  <c r="G15281" i="1"/>
  <c r="B15281" i="1"/>
  <c r="G15280" i="1"/>
  <c r="C15280" i="1"/>
  <c r="B15280" i="1"/>
  <c r="G15279" i="1"/>
  <c r="C15279" i="1"/>
  <c r="B15279" i="1"/>
  <c r="G15278" i="1"/>
  <c r="B15278" i="1"/>
  <c r="G15277" i="1"/>
  <c r="C15277" i="1"/>
  <c r="B15277" i="1"/>
  <c r="G15276" i="1"/>
  <c r="C15276" i="1"/>
  <c r="B15276" i="1"/>
  <c r="G15275" i="1"/>
  <c r="C15275" i="1"/>
  <c r="B15275" i="1"/>
  <c r="G15274" i="1"/>
  <c r="C15274" i="1"/>
  <c r="B15274" i="1"/>
  <c r="G15273" i="1"/>
  <c r="C15273" i="1"/>
  <c r="B15273" i="1"/>
  <c r="G15272" i="1"/>
  <c r="C15272" i="1"/>
  <c r="B15272" i="1"/>
  <c r="G15271" i="1"/>
  <c r="B15271" i="1"/>
  <c r="G15270" i="1"/>
  <c r="B15270" i="1"/>
  <c r="G15269" i="1"/>
  <c r="B15269" i="1"/>
  <c r="G15268" i="1"/>
  <c r="C15268" i="1"/>
  <c r="B15268" i="1"/>
  <c r="G15267" i="1"/>
  <c r="C15267" i="1"/>
  <c r="B15267" i="1"/>
  <c r="G15266" i="1"/>
  <c r="C15266" i="1"/>
  <c r="B15266" i="1"/>
  <c r="G15265" i="1"/>
  <c r="C15265" i="1"/>
  <c r="B15265" i="1"/>
  <c r="G15264" i="1"/>
  <c r="B15264" i="1"/>
  <c r="G15263" i="1"/>
  <c r="C15263" i="1"/>
  <c r="B15263" i="1"/>
  <c r="G15262" i="1"/>
  <c r="C15262" i="1"/>
  <c r="B15262" i="1"/>
  <c r="G15261" i="1"/>
  <c r="C15261" i="1"/>
  <c r="B15261" i="1"/>
  <c r="G15260" i="1"/>
  <c r="C15260" i="1"/>
  <c r="B15260" i="1"/>
  <c r="G15259" i="1"/>
  <c r="C15259" i="1"/>
  <c r="B15259" i="1"/>
  <c r="G15258" i="1"/>
  <c r="C15258" i="1"/>
  <c r="B15258" i="1"/>
  <c r="G15257" i="1"/>
  <c r="C15257" i="1"/>
  <c r="B15257" i="1"/>
  <c r="G15256" i="1"/>
  <c r="C15256" i="1"/>
  <c r="B15256" i="1"/>
  <c r="G15255" i="1"/>
  <c r="C15255" i="1"/>
  <c r="B15255" i="1"/>
  <c r="G15254" i="1"/>
  <c r="C15254" i="1"/>
  <c r="B15254" i="1"/>
  <c r="G15253" i="1"/>
  <c r="C15253" i="1"/>
  <c r="B15253" i="1"/>
  <c r="G15252" i="1"/>
  <c r="C15252" i="1"/>
  <c r="B15252" i="1"/>
  <c r="G15251" i="1"/>
  <c r="C15251" i="1"/>
  <c r="B15251" i="1"/>
  <c r="G15250" i="1"/>
  <c r="C15250" i="1"/>
  <c r="B15250" i="1"/>
  <c r="G15249" i="1"/>
  <c r="C15249" i="1"/>
  <c r="B15249" i="1"/>
  <c r="G15248" i="1"/>
  <c r="C15248" i="1"/>
  <c r="B15248" i="1"/>
  <c r="G15247" i="1"/>
  <c r="C15247" i="1"/>
  <c r="B15247" i="1"/>
  <c r="G15246" i="1"/>
  <c r="C15246" i="1"/>
  <c r="B15246" i="1"/>
  <c r="G15245" i="1"/>
  <c r="B15245" i="1"/>
  <c r="G15244" i="1"/>
  <c r="C15244" i="1"/>
  <c r="B15244" i="1"/>
  <c r="G15243" i="1"/>
  <c r="C15243" i="1"/>
  <c r="B15243" i="1"/>
  <c r="G15242" i="1"/>
  <c r="C15242" i="1"/>
  <c r="B15242" i="1"/>
  <c r="G15241" i="1"/>
  <c r="C15241" i="1"/>
  <c r="B15241" i="1"/>
  <c r="G15240" i="1"/>
  <c r="B15240" i="1"/>
  <c r="G15239" i="1"/>
  <c r="B15239" i="1"/>
  <c r="G15238" i="1"/>
  <c r="C15238" i="1"/>
  <c r="B15238" i="1"/>
  <c r="G15237" i="1"/>
  <c r="C15237" i="1"/>
  <c r="B15237" i="1"/>
  <c r="G15236" i="1"/>
  <c r="C15236" i="1"/>
  <c r="B15236" i="1"/>
  <c r="G15235" i="1"/>
  <c r="C15235" i="1"/>
  <c r="B15235" i="1"/>
  <c r="G15234" i="1"/>
  <c r="B15234" i="1"/>
  <c r="G15233" i="1"/>
  <c r="C15233" i="1"/>
  <c r="B15233" i="1"/>
  <c r="G15232" i="1"/>
  <c r="B15232" i="1"/>
  <c r="G15231" i="1"/>
  <c r="C15231" i="1"/>
  <c r="B15231" i="1"/>
  <c r="G15230" i="1"/>
  <c r="C15230" i="1"/>
  <c r="B15230" i="1"/>
  <c r="G15229" i="1"/>
  <c r="C15229" i="1"/>
  <c r="B15229" i="1"/>
  <c r="G15228" i="1"/>
  <c r="C15228" i="1"/>
  <c r="B15228" i="1"/>
  <c r="G15227" i="1"/>
  <c r="C15227" i="1"/>
  <c r="B15227" i="1"/>
  <c r="G15226" i="1"/>
  <c r="C15226" i="1"/>
  <c r="B15226" i="1"/>
  <c r="G15225" i="1"/>
  <c r="C15225" i="1"/>
  <c r="B15225" i="1"/>
  <c r="G15224" i="1"/>
  <c r="C15224" i="1"/>
  <c r="B15224" i="1"/>
  <c r="G15223" i="1"/>
  <c r="C15223" i="1"/>
  <c r="B15223" i="1"/>
  <c r="G15222" i="1"/>
  <c r="B15222" i="1"/>
  <c r="G15221" i="1"/>
  <c r="C15221" i="1"/>
  <c r="B15221" i="1"/>
  <c r="G15220" i="1"/>
  <c r="C15220" i="1"/>
  <c r="B15220" i="1"/>
  <c r="G15219" i="1"/>
  <c r="C15219" i="1"/>
  <c r="B15219" i="1"/>
  <c r="G15218" i="1"/>
  <c r="B15218" i="1"/>
  <c r="G15217" i="1"/>
  <c r="C15217" i="1"/>
  <c r="B15217" i="1"/>
  <c r="G15216" i="1"/>
  <c r="C15216" i="1"/>
  <c r="B15216" i="1"/>
  <c r="G15215" i="1"/>
  <c r="B15215" i="1"/>
  <c r="G15214" i="1"/>
  <c r="C15214" i="1"/>
  <c r="B15214" i="1"/>
  <c r="G15213" i="1"/>
  <c r="C15213" i="1"/>
  <c r="B15213" i="1"/>
  <c r="G15212" i="1"/>
  <c r="C15212" i="1"/>
  <c r="B15212" i="1"/>
  <c r="G15211" i="1"/>
  <c r="C15211" i="1"/>
  <c r="B15211" i="1"/>
  <c r="G15210" i="1"/>
  <c r="C15210" i="1"/>
  <c r="B15210" i="1"/>
  <c r="G15209" i="1"/>
  <c r="C15209" i="1"/>
  <c r="B15209" i="1"/>
  <c r="G15208" i="1"/>
  <c r="C15208" i="1"/>
  <c r="B15208" i="1"/>
  <c r="G15207" i="1"/>
  <c r="C15207" i="1"/>
  <c r="B15207" i="1"/>
  <c r="G15206" i="1"/>
  <c r="C15206" i="1"/>
  <c r="B15206" i="1"/>
  <c r="G15205" i="1"/>
  <c r="C15205" i="1"/>
  <c r="B15205" i="1"/>
  <c r="G15204" i="1"/>
  <c r="C15204" i="1"/>
  <c r="B15204" i="1"/>
  <c r="G15203" i="1"/>
  <c r="C15203" i="1"/>
  <c r="B15203" i="1"/>
  <c r="G15202" i="1"/>
  <c r="B15202" i="1"/>
  <c r="G15201" i="1"/>
  <c r="B15201" i="1"/>
  <c r="G15200" i="1"/>
  <c r="B15200" i="1"/>
  <c r="G15199" i="1"/>
  <c r="C15199" i="1"/>
  <c r="B15199" i="1"/>
  <c r="G15198" i="1"/>
  <c r="B15198" i="1"/>
  <c r="G15197" i="1"/>
  <c r="C15197" i="1"/>
  <c r="B15197" i="1"/>
  <c r="G15196" i="1"/>
  <c r="B15196" i="1"/>
  <c r="G15195" i="1"/>
  <c r="B15195" i="1"/>
  <c r="G15194" i="1"/>
  <c r="C15194" i="1"/>
  <c r="B15194" i="1"/>
  <c r="G15193" i="1"/>
  <c r="B15193" i="1"/>
  <c r="G15192" i="1"/>
  <c r="C15192" i="1"/>
  <c r="B15192" i="1"/>
  <c r="G15191" i="1"/>
  <c r="C15191" i="1"/>
  <c r="B15191" i="1"/>
  <c r="G15190" i="1"/>
  <c r="C15190" i="1"/>
  <c r="B15190" i="1"/>
  <c r="G15189" i="1"/>
  <c r="B15189" i="1"/>
  <c r="G15188" i="1"/>
  <c r="C15188" i="1"/>
  <c r="B15188" i="1"/>
  <c r="G15187" i="1"/>
  <c r="C15187" i="1"/>
  <c r="B15187" i="1"/>
  <c r="G15186" i="1"/>
  <c r="B15186" i="1"/>
  <c r="G15185" i="1"/>
  <c r="C15185" i="1"/>
  <c r="B15185" i="1"/>
  <c r="G15184" i="1"/>
  <c r="B15184" i="1"/>
  <c r="G15183" i="1"/>
  <c r="B15183" i="1"/>
  <c r="G15182" i="1"/>
  <c r="C15182" i="1"/>
  <c r="B15182" i="1"/>
  <c r="G15181" i="1"/>
  <c r="B15181" i="1"/>
  <c r="G15180" i="1"/>
  <c r="C15180" i="1"/>
  <c r="B15180" i="1"/>
  <c r="G15179" i="1"/>
  <c r="C15179" i="1"/>
  <c r="B15179" i="1"/>
  <c r="G15178" i="1"/>
  <c r="C15178" i="1"/>
  <c r="B15178" i="1"/>
  <c r="G15177" i="1"/>
  <c r="C15177" i="1"/>
  <c r="B15177" i="1"/>
  <c r="G15176" i="1"/>
  <c r="C15176" i="1"/>
  <c r="B15176" i="1"/>
  <c r="G15175" i="1"/>
  <c r="B15175" i="1"/>
  <c r="G15174" i="1"/>
  <c r="B15174" i="1"/>
  <c r="G15173" i="1"/>
  <c r="C15173" i="1"/>
  <c r="B15173" i="1"/>
  <c r="G15172" i="1"/>
  <c r="C15172" i="1"/>
  <c r="B15172" i="1"/>
  <c r="G15171" i="1"/>
  <c r="C15171" i="1"/>
  <c r="B15171" i="1"/>
  <c r="G15170" i="1"/>
  <c r="C15170" i="1"/>
  <c r="B15170" i="1"/>
  <c r="G15169" i="1"/>
  <c r="C15169" i="1"/>
  <c r="B15169" i="1"/>
  <c r="G15168" i="1"/>
  <c r="C15168" i="1"/>
  <c r="B15168" i="1"/>
  <c r="G15167" i="1"/>
  <c r="B15167" i="1"/>
  <c r="G15166" i="1"/>
  <c r="B15166" i="1"/>
  <c r="G15165" i="1"/>
  <c r="C15165" i="1"/>
  <c r="B15165" i="1"/>
  <c r="G15164" i="1"/>
  <c r="C15164" i="1"/>
  <c r="B15164" i="1"/>
  <c r="G15163" i="1"/>
  <c r="B15163" i="1"/>
  <c r="G15162" i="1"/>
  <c r="C15162" i="1"/>
  <c r="B15162" i="1"/>
  <c r="G15161" i="1"/>
  <c r="C15161" i="1"/>
  <c r="B15161" i="1"/>
  <c r="G15160" i="1"/>
  <c r="C15160" i="1"/>
  <c r="B15160" i="1"/>
  <c r="G15159" i="1"/>
  <c r="C15159" i="1"/>
  <c r="B15159" i="1"/>
  <c r="G15158" i="1"/>
  <c r="C15158" i="1"/>
  <c r="B15158" i="1"/>
  <c r="G15157" i="1"/>
  <c r="C15157" i="1"/>
  <c r="B15157" i="1"/>
  <c r="G15156" i="1"/>
  <c r="C15156" i="1"/>
  <c r="B15156" i="1"/>
  <c r="G15155" i="1"/>
  <c r="B15155" i="1"/>
  <c r="G15154" i="1"/>
  <c r="C15154" i="1"/>
  <c r="B15154" i="1"/>
  <c r="G15153" i="1"/>
  <c r="B15153" i="1"/>
  <c r="G15152" i="1"/>
  <c r="C15152" i="1"/>
  <c r="B15152" i="1"/>
  <c r="G15151" i="1"/>
  <c r="C15151" i="1"/>
  <c r="B15151" i="1"/>
  <c r="G15150" i="1"/>
  <c r="C15150" i="1"/>
  <c r="B15150" i="1"/>
  <c r="G15149" i="1"/>
  <c r="B15149" i="1"/>
  <c r="G15148" i="1"/>
  <c r="C15148" i="1"/>
  <c r="B15148" i="1"/>
  <c r="G15147" i="1"/>
  <c r="C15147" i="1"/>
  <c r="B15147" i="1"/>
  <c r="G15146" i="1"/>
  <c r="C15146" i="1"/>
  <c r="B15146" i="1"/>
  <c r="G15145" i="1"/>
  <c r="C15145" i="1"/>
  <c r="B15145" i="1"/>
  <c r="G15144" i="1"/>
  <c r="C15144" i="1"/>
  <c r="B15144" i="1"/>
  <c r="G15143" i="1"/>
  <c r="C15143" i="1"/>
  <c r="B15143" i="1"/>
  <c r="G15142" i="1"/>
  <c r="B15142" i="1"/>
  <c r="G15141" i="1"/>
  <c r="B15141" i="1"/>
  <c r="G15140" i="1"/>
  <c r="B15140" i="1"/>
  <c r="G15139" i="1"/>
  <c r="B15139" i="1"/>
  <c r="G15138" i="1"/>
  <c r="C15138" i="1"/>
  <c r="B15138" i="1"/>
  <c r="G15137" i="1"/>
  <c r="C15137" i="1"/>
  <c r="B15137" i="1"/>
  <c r="G15136" i="1"/>
  <c r="C15136" i="1"/>
  <c r="B15136" i="1"/>
  <c r="G15135" i="1"/>
  <c r="B15135" i="1"/>
  <c r="G15134" i="1"/>
  <c r="C15134" i="1"/>
  <c r="B15134" i="1"/>
  <c r="G15133" i="1"/>
  <c r="C15133" i="1"/>
  <c r="B15133" i="1"/>
  <c r="G15132" i="1"/>
  <c r="C15132" i="1"/>
  <c r="B15132" i="1"/>
  <c r="G15131" i="1"/>
  <c r="C15131" i="1"/>
  <c r="B15131" i="1"/>
  <c r="G15130" i="1"/>
  <c r="B15130" i="1"/>
  <c r="G15129" i="1"/>
  <c r="C15129" i="1"/>
  <c r="B15129" i="1"/>
  <c r="G15128" i="1"/>
  <c r="B15128" i="1"/>
  <c r="G15127" i="1"/>
  <c r="C15127" i="1"/>
  <c r="B15127" i="1"/>
  <c r="G15126" i="1"/>
  <c r="C15126" i="1"/>
  <c r="B15126" i="1"/>
  <c r="G15125" i="1"/>
  <c r="B15125" i="1"/>
  <c r="G15124" i="1"/>
  <c r="C15124" i="1"/>
  <c r="B15124" i="1"/>
  <c r="G15123" i="1"/>
  <c r="B15123" i="1"/>
  <c r="G15122" i="1"/>
  <c r="C15122" i="1"/>
  <c r="B15122" i="1"/>
  <c r="G15121" i="1"/>
  <c r="C15121" i="1"/>
  <c r="B15121" i="1"/>
  <c r="G15120" i="1"/>
  <c r="C15120" i="1"/>
  <c r="B15120" i="1"/>
  <c r="G15119" i="1"/>
  <c r="C15119" i="1"/>
  <c r="B15119" i="1"/>
  <c r="G15118" i="1"/>
  <c r="C15118" i="1"/>
  <c r="B15118" i="1"/>
  <c r="G15117" i="1"/>
  <c r="C15117" i="1"/>
  <c r="B15117" i="1"/>
  <c r="G15116" i="1"/>
  <c r="B15116" i="1"/>
  <c r="G15115" i="1"/>
  <c r="C15115" i="1"/>
  <c r="B15115" i="1"/>
  <c r="G15114" i="1"/>
  <c r="C15114" i="1"/>
  <c r="B15114" i="1"/>
  <c r="G15113" i="1"/>
  <c r="B15113" i="1"/>
  <c r="G15112" i="1"/>
  <c r="C15112" i="1"/>
  <c r="B15112" i="1"/>
  <c r="G15111" i="1"/>
  <c r="C15111" i="1"/>
  <c r="B15111" i="1"/>
  <c r="G15110" i="1"/>
  <c r="B15110" i="1"/>
  <c r="G15109" i="1"/>
  <c r="C15109" i="1"/>
  <c r="B15109" i="1"/>
  <c r="G15108" i="1"/>
  <c r="C15108" i="1"/>
  <c r="B15108" i="1"/>
  <c r="G15107" i="1"/>
  <c r="B15107" i="1"/>
  <c r="G15106" i="1"/>
  <c r="C15106" i="1"/>
  <c r="B15106" i="1"/>
  <c r="G15105" i="1"/>
  <c r="C15105" i="1"/>
  <c r="B15105" i="1"/>
  <c r="G15104" i="1"/>
  <c r="C15104" i="1"/>
  <c r="B15104" i="1"/>
  <c r="G15103" i="1"/>
  <c r="C15103" i="1"/>
  <c r="B15103" i="1"/>
  <c r="G15102" i="1"/>
  <c r="C15102" i="1"/>
  <c r="B15102" i="1"/>
  <c r="G15101" i="1"/>
  <c r="C15101" i="1"/>
  <c r="B15101" i="1"/>
  <c r="G15100" i="1"/>
  <c r="B15100" i="1"/>
  <c r="G15099" i="1"/>
  <c r="C15099" i="1"/>
  <c r="B15099" i="1"/>
  <c r="G15098" i="1"/>
  <c r="C15098" i="1"/>
  <c r="B15098" i="1"/>
  <c r="G15097" i="1"/>
  <c r="C15097" i="1"/>
  <c r="B15097" i="1"/>
  <c r="G15096" i="1"/>
  <c r="C15096" i="1"/>
  <c r="B15096" i="1"/>
  <c r="G15095" i="1"/>
  <c r="C15095" i="1"/>
  <c r="B15095" i="1"/>
  <c r="G15094" i="1"/>
  <c r="C15094" i="1"/>
  <c r="B15094" i="1"/>
  <c r="G15093" i="1"/>
  <c r="B15093" i="1"/>
  <c r="G15092" i="1"/>
  <c r="C15092" i="1"/>
  <c r="B15092" i="1"/>
  <c r="G15091" i="1"/>
  <c r="C15091" i="1"/>
  <c r="B15091" i="1"/>
  <c r="G15090" i="1"/>
  <c r="B15090" i="1"/>
  <c r="G15089" i="1"/>
  <c r="C15089" i="1"/>
  <c r="B15089" i="1"/>
  <c r="G15088" i="1"/>
  <c r="C15088" i="1"/>
  <c r="B15088" i="1"/>
  <c r="G15087" i="1"/>
  <c r="B15087" i="1"/>
  <c r="G15086" i="1"/>
  <c r="C15086" i="1"/>
  <c r="B15086" i="1"/>
  <c r="G15085" i="1"/>
  <c r="C15085" i="1"/>
  <c r="B15085" i="1"/>
  <c r="G15084" i="1"/>
  <c r="C15084" i="1"/>
  <c r="B15084" i="1"/>
  <c r="G15083" i="1"/>
  <c r="B15083" i="1"/>
  <c r="G15082" i="1"/>
  <c r="B15082" i="1"/>
  <c r="G15081" i="1"/>
  <c r="C15081" i="1"/>
  <c r="B15081" i="1"/>
  <c r="G15080" i="1"/>
  <c r="B15080" i="1"/>
  <c r="G15079" i="1"/>
  <c r="C15079" i="1"/>
  <c r="B15079" i="1"/>
  <c r="G15078" i="1"/>
  <c r="C15078" i="1"/>
  <c r="B15078" i="1"/>
  <c r="G15077" i="1"/>
  <c r="C15077" i="1"/>
  <c r="B15077" i="1"/>
  <c r="G15076" i="1"/>
  <c r="B15076" i="1"/>
  <c r="G15075" i="1"/>
  <c r="B15075" i="1"/>
  <c r="G15074" i="1"/>
  <c r="C15074" i="1"/>
  <c r="B15074" i="1"/>
  <c r="G15073" i="1"/>
  <c r="C15073" i="1"/>
  <c r="B15073" i="1"/>
  <c r="G15072" i="1"/>
  <c r="C15072" i="1"/>
  <c r="B15072" i="1"/>
  <c r="G15071" i="1"/>
  <c r="B15071" i="1"/>
  <c r="G15070" i="1"/>
  <c r="C15070" i="1"/>
  <c r="B15070" i="1"/>
  <c r="G15069" i="1"/>
  <c r="C15069" i="1"/>
  <c r="B15069" i="1"/>
  <c r="G15068" i="1"/>
  <c r="C15068" i="1"/>
  <c r="B15068" i="1"/>
  <c r="G15067" i="1"/>
  <c r="B15067" i="1"/>
  <c r="G15066" i="1"/>
  <c r="C15066" i="1"/>
  <c r="B15066" i="1"/>
  <c r="G15065" i="1"/>
  <c r="C15065" i="1"/>
  <c r="B15065" i="1"/>
  <c r="G15064" i="1"/>
  <c r="C15064" i="1"/>
  <c r="B15064" i="1"/>
  <c r="G15063" i="1"/>
  <c r="C15063" i="1"/>
  <c r="B15063" i="1"/>
  <c r="G15062" i="1"/>
  <c r="C15062" i="1"/>
  <c r="B15062" i="1"/>
  <c r="G15061" i="1"/>
  <c r="C15061" i="1"/>
  <c r="B15061" i="1"/>
  <c r="G15060" i="1"/>
  <c r="C15060" i="1"/>
  <c r="B15060" i="1"/>
  <c r="G15059" i="1"/>
  <c r="C15059" i="1"/>
  <c r="B15059" i="1"/>
  <c r="G15058" i="1"/>
  <c r="C15058" i="1"/>
  <c r="B15058" i="1"/>
  <c r="G15057" i="1"/>
  <c r="C15057" i="1"/>
  <c r="B15057" i="1"/>
  <c r="G15056" i="1"/>
  <c r="C15056" i="1"/>
  <c r="B15056" i="1"/>
  <c r="G15055" i="1"/>
  <c r="C15055" i="1"/>
  <c r="B15055" i="1"/>
  <c r="G15054" i="1"/>
  <c r="C15054" i="1"/>
  <c r="B15054" i="1"/>
  <c r="G15053" i="1"/>
  <c r="C15053" i="1"/>
  <c r="B15053" i="1"/>
  <c r="G15052" i="1"/>
  <c r="C15052" i="1"/>
  <c r="B15052" i="1"/>
  <c r="G15051" i="1"/>
  <c r="C15051" i="1"/>
  <c r="B15051" i="1"/>
  <c r="G15050" i="1"/>
  <c r="C15050" i="1"/>
  <c r="B15050" i="1"/>
  <c r="G15049" i="1"/>
  <c r="C15049" i="1"/>
  <c r="B15049" i="1"/>
  <c r="G15048" i="1"/>
  <c r="C15048" i="1"/>
  <c r="B15048" i="1"/>
  <c r="G15047" i="1"/>
  <c r="C15047" i="1"/>
  <c r="B15047" i="1"/>
  <c r="G15046" i="1"/>
  <c r="C15046" i="1"/>
  <c r="B15046" i="1"/>
  <c r="G15045" i="1"/>
  <c r="B15045" i="1"/>
  <c r="G15044" i="1"/>
  <c r="C15044" i="1"/>
  <c r="B15044" i="1"/>
  <c r="G15043" i="1"/>
  <c r="C15043" i="1"/>
  <c r="B15043" i="1"/>
  <c r="G15042" i="1"/>
  <c r="C15042" i="1"/>
  <c r="B15042" i="1"/>
  <c r="G15041" i="1"/>
  <c r="C15041" i="1"/>
  <c r="B15041" i="1"/>
  <c r="G15040" i="1"/>
  <c r="C15040" i="1"/>
  <c r="B15040" i="1"/>
  <c r="G15039" i="1"/>
  <c r="B15039" i="1"/>
  <c r="G15038" i="1"/>
  <c r="B15038" i="1"/>
  <c r="G15037" i="1"/>
  <c r="C15037" i="1"/>
  <c r="B15037" i="1"/>
  <c r="G15036" i="1"/>
  <c r="C15036" i="1"/>
  <c r="B15036" i="1"/>
  <c r="G15035" i="1"/>
  <c r="C15035" i="1"/>
  <c r="B15035" i="1"/>
  <c r="G15034" i="1"/>
  <c r="C15034" i="1"/>
  <c r="B15034" i="1"/>
  <c r="G15033" i="1"/>
  <c r="B15033" i="1"/>
  <c r="G15032" i="1"/>
  <c r="B15032" i="1"/>
  <c r="G15031" i="1"/>
  <c r="C15031" i="1"/>
  <c r="B15031" i="1"/>
  <c r="G15030" i="1"/>
  <c r="C15030" i="1"/>
  <c r="B15030" i="1"/>
  <c r="G15029" i="1"/>
  <c r="C15029" i="1"/>
  <c r="B15029" i="1"/>
  <c r="G15028" i="1"/>
  <c r="B15028" i="1"/>
  <c r="G15027" i="1"/>
  <c r="B15027" i="1"/>
  <c r="G15026" i="1"/>
  <c r="C15026" i="1"/>
  <c r="B15026" i="1"/>
  <c r="G15025" i="1"/>
  <c r="C15025" i="1"/>
  <c r="B15025" i="1"/>
  <c r="G15024" i="1"/>
  <c r="C15024" i="1"/>
  <c r="B15024" i="1"/>
  <c r="G15023" i="1"/>
  <c r="B15023" i="1"/>
  <c r="G15022" i="1"/>
  <c r="C15022" i="1"/>
  <c r="B15022" i="1"/>
  <c r="G15021" i="1"/>
  <c r="C15021" i="1"/>
  <c r="B15021" i="1"/>
  <c r="G15020" i="1"/>
  <c r="C15020" i="1"/>
  <c r="B15020" i="1"/>
  <c r="G15019" i="1"/>
  <c r="C15019" i="1"/>
  <c r="B15019" i="1"/>
  <c r="G15018" i="1"/>
  <c r="B15018" i="1"/>
  <c r="G15017" i="1"/>
  <c r="C15017" i="1"/>
  <c r="B15017" i="1"/>
  <c r="G15016" i="1"/>
  <c r="C15016" i="1"/>
  <c r="B15016" i="1"/>
  <c r="G15015" i="1"/>
  <c r="C15015" i="1"/>
  <c r="B15015" i="1"/>
  <c r="G15014" i="1"/>
  <c r="C15014" i="1"/>
  <c r="B15014" i="1"/>
  <c r="G15013" i="1"/>
  <c r="C15013" i="1"/>
  <c r="B15013" i="1"/>
  <c r="G15012" i="1"/>
  <c r="B15012" i="1"/>
  <c r="G15011" i="1"/>
  <c r="C15011" i="1"/>
  <c r="B15011" i="1"/>
  <c r="G15010" i="1"/>
  <c r="C15010" i="1"/>
  <c r="B15010" i="1"/>
  <c r="G15009" i="1"/>
  <c r="B15009" i="1"/>
  <c r="G15008" i="1"/>
  <c r="C15008" i="1"/>
  <c r="B15008" i="1"/>
  <c r="G15007" i="1"/>
  <c r="C15007" i="1"/>
  <c r="B15007" i="1"/>
  <c r="G15006" i="1"/>
  <c r="C15006" i="1"/>
  <c r="B15006" i="1"/>
  <c r="G15005" i="1"/>
  <c r="B15005" i="1"/>
  <c r="G15004" i="1"/>
  <c r="C15004" i="1"/>
  <c r="B15004" i="1"/>
  <c r="G15003" i="1"/>
  <c r="B15003" i="1"/>
  <c r="G15002" i="1"/>
  <c r="B15002" i="1"/>
  <c r="G15001" i="1"/>
  <c r="B15001" i="1"/>
  <c r="G15000" i="1"/>
  <c r="C15000" i="1"/>
  <c r="B15000" i="1"/>
  <c r="G14999" i="1"/>
  <c r="B14999" i="1"/>
  <c r="G14998" i="1"/>
  <c r="C14998" i="1"/>
  <c r="B14998" i="1"/>
  <c r="G14997" i="1"/>
  <c r="C14997" i="1"/>
  <c r="B14997" i="1"/>
  <c r="G14996" i="1"/>
  <c r="B14996" i="1"/>
  <c r="G14995" i="1"/>
  <c r="C14995" i="1"/>
  <c r="B14995" i="1"/>
  <c r="G14994" i="1"/>
  <c r="C14994" i="1"/>
  <c r="B14994" i="1"/>
  <c r="G14993" i="1"/>
  <c r="C14993" i="1"/>
  <c r="B14993" i="1"/>
  <c r="G14992" i="1"/>
  <c r="C14992" i="1"/>
  <c r="B14992" i="1"/>
  <c r="G14991" i="1"/>
  <c r="C14991" i="1"/>
  <c r="B14991" i="1"/>
  <c r="G14990" i="1"/>
  <c r="C14990" i="1"/>
  <c r="B14990" i="1"/>
  <c r="G14989" i="1"/>
  <c r="C14989" i="1"/>
  <c r="B14989" i="1"/>
  <c r="G14988" i="1"/>
  <c r="C14988" i="1"/>
  <c r="B14988" i="1"/>
  <c r="G14987" i="1"/>
  <c r="C14987" i="1"/>
  <c r="B14987" i="1"/>
  <c r="G14986" i="1"/>
  <c r="C14986" i="1"/>
  <c r="B14986" i="1"/>
  <c r="G14985" i="1"/>
  <c r="B14985" i="1"/>
  <c r="G14984" i="1"/>
  <c r="B14984" i="1"/>
  <c r="G14983" i="1"/>
  <c r="C14983" i="1"/>
  <c r="B14983" i="1"/>
  <c r="G14982" i="1"/>
  <c r="C14982" i="1"/>
  <c r="B14982" i="1"/>
  <c r="G14981" i="1"/>
  <c r="B14981" i="1"/>
  <c r="G14980" i="1"/>
  <c r="C14980" i="1"/>
  <c r="B14980" i="1"/>
  <c r="G14979" i="1"/>
  <c r="B14979" i="1"/>
  <c r="G14978" i="1"/>
  <c r="C14978" i="1"/>
  <c r="B14978" i="1"/>
  <c r="G14977" i="1"/>
  <c r="C14977" i="1"/>
  <c r="B14977" i="1"/>
  <c r="G14976" i="1"/>
  <c r="B14976" i="1"/>
  <c r="G14975" i="1"/>
  <c r="C14975" i="1"/>
  <c r="B14975" i="1"/>
  <c r="G14974" i="1"/>
  <c r="B14974" i="1"/>
  <c r="G14973" i="1"/>
  <c r="B14973" i="1"/>
  <c r="G14972" i="1"/>
  <c r="B14972" i="1"/>
  <c r="G14971" i="1"/>
  <c r="B14971" i="1"/>
  <c r="G14970" i="1"/>
  <c r="B14970" i="1"/>
  <c r="G14969" i="1"/>
  <c r="C14969" i="1"/>
  <c r="B14969" i="1"/>
  <c r="G14968" i="1"/>
  <c r="C14968" i="1"/>
  <c r="B14968" i="1"/>
  <c r="G14967" i="1"/>
  <c r="C14967" i="1"/>
  <c r="B14967" i="1"/>
  <c r="G14966" i="1"/>
  <c r="B14966" i="1"/>
  <c r="G14965" i="1"/>
  <c r="C14965" i="1"/>
  <c r="B14965" i="1"/>
  <c r="G14964" i="1"/>
  <c r="C14964" i="1"/>
  <c r="B14964" i="1"/>
  <c r="G14963" i="1"/>
  <c r="B14963" i="1"/>
  <c r="G14962" i="1"/>
  <c r="C14962" i="1"/>
  <c r="B14962" i="1"/>
  <c r="G14961" i="1"/>
  <c r="C14961" i="1"/>
  <c r="B14961" i="1"/>
  <c r="G14960" i="1"/>
  <c r="C14960" i="1"/>
  <c r="B14960" i="1"/>
  <c r="G14959" i="1"/>
  <c r="B14959" i="1"/>
  <c r="G14958" i="1"/>
  <c r="C14958" i="1"/>
  <c r="B14958" i="1"/>
  <c r="G14957" i="1"/>
  <c r="C14957" i="1"/>
  <c r="B14957" i="1"/>
  <c r="G14956" i="1"/>
  <c r="C14956" i="1"/>
  <c r="B14956" i="1"/>
  <c r="G14955" i="1"/>
  <c r="B14955" i="1"/>
  <c r="G14954" i="1"/>
  <c r="C14954" i="1"/>
  <c r="B14954" i="1"/>
  <c r="G14953" i="1"/>
  <c r="B14953" i="1"/>
  <c r="G14952" i="1"/>
  <c r="C14952" i="1"/>
  <c r="B14952" i="1"/>
  <c r="G14951" i="1"/>
  <c r="B14951" i="1"/>
  <c r="G14950" i="1"/>
  <c r="B14950" i="1"/>
  <c r="G14949" i="1"/>
  <c r="C14949" i="1"/>
  <c r="B14949" i="1"/>
  <c r="G14948" i="1"/>
  <c r="C14948" i="1"/>
  <c r="B14948" i="1"/>
  <c r="G14947" i="1"/>
  <c r="C14947" i="1"/>
  <c r="B14947" i="1"/>
  <c r="G14946" i="1"/>
  <c r="C14946" i="1"/>
  <c r="B14946" i="1"/>
  <c r="G14945" i="1"/>
  <c r="B14945" i="1"/>
  <c r="G14944" i="1"/>
  <c r="C14944" i="1"/>
  <c r="B14944" i="1"/>
  <c r="G14943" i="1"/>
  <c r="C14943" i="1"/>
  <c r="B14943" i="1"/>
  <c r="G14942" i="1"/>
  <c r="B14942" i="1"/>
  <c r="G14941" i="1"/>
  <c r="C14941" i="1"/>
  <c r="B14941" i="1"/>
  <c r="G14940" i="1"/>
  <c r="C14940" i="1"/>
  <c r="B14940" i="1"/>
  <c r="G14939" i="1"/>
  <c r="C14939" i="1"/>
  <c r="B14939" i="1"/>
  <c r="G14938" i="1"/>
  <c r="C14938" i="1"/>
  <c r="B14938" i="1"/>
  <c r="G14937" i="1"/>
  <c r="C14937" i="1"/>
  <c r="B14937" i="1"/>
  <c r="G14936" i="1"/>
  <c r="C14936" i="1"/>
  <c r="B14936" i="1"/>
  <c r="G14935" i="1"/>
  <c r="C14935" i="1"/>
  <c r="B14935" i="1"/>
  <c r="G14934" i="1"/>
  <c r="C14934" i="1"/>
  <c r="B14934" i="1"/>
  <c r="G14933" i="1"/>
  <c r="C14933" i="1"/>
  <c r="B14933" i="1"/>
  <c r="G14932" i="1"/>
  <c r="C14932" i="1"/>
  <c r="B14932" i="1"/>
  <c r="G14931" i="1"/>
  <c r="C14931" i="1"/>
  <c r="B14931" i="1"/>
  <c r="G14930" i="1"/>
  <c r="C14930" i="1"/>
  <c r="B14930" i="1"/>
  <c r="G14929" i="1"/>
  <c r="C14929" i="1"/>
  <c r="B14929" i="1"/>
  <c r="G14928" i="1"/>
  <c r="C14928" i="1"/>
  <c r="B14928" i="1"/>
  <c r="G14927" i="1"/>
  <c r="C14927" i="1"/>
  <c r="B14927" i="1"/>
  <c r="G14926" i="1"/>
  <c r="C14926" i="1"/>
  <c r="B14926" i="1"/>
  <c r="G14925" i="1"/>
  <c r="C14925" i="1"/>
  <c r="B14925" i="1"/>
  <c r="G14924" i="1"/>
  <c r="C14924" i="1"/>
  <c r="B14924" i="1"/>
  <c r="G14923" i="1"/>
  <c r="C14923" i="1"/>
  <c r="B14923" i="1"/>
  <c r="G14922" i="1"/>
  <c r="C14922" i="1"/>
  <c r="B14922" i="1"/>
  <c r="G14921" i="1"/>
  <c r="B14921" i="1"/>
  <c r="G14920" i="1"/>
  <c r="B14920" i="1"/>
  <c r="G14919" i="1"/>
  <c r="C14919" i="1"/>
  <c r="B14919" i="1"/>
  <c r="G14918" i="1"/>
  <c r="B14918" i="1"/>
  <c r="G14917" i="1"/>
  <c r="B14917" i="1"/>
  <c r="G14916" i="1"/>
  <c r="C14916" i="1"/>
  <c r="B14916" i="1"/>
  <c r="G14915" i="1"/>
  <c r="C14915" i="1"/>
  <c r="B14915" i="1"/>
  <c r="G14914" i="1"/>
  <c r="C14914" i="1"/>
  <c r="B14914" i="1"/>
  <c r="G14913" i="1"/>
  <c r="C14913" i="1"/>
  <c r="B14913" i="1"/>
  <c r="G14912" i="1"/>
  <c r="C14912" i="1"/>
  <c r="B14912" i="1"/>
  <c r="G14911" i="1"/>
  <c r="B14911" i="1"/>
  <c r="G14910" i="1"/>
  <c r="C14910" i="1"/>
  <c r="B14910" i="1"/>
  <c r="G14909" i="1"/>
  <c r="C14909" i="1"/>
  <c r="B14909" i="1"/>
  <c r="G14908" i="1"/>
  <c r="C14908" i="1"/>
  <c r="B14908" i="1"/>
  <c r="G14907" i="1"/>
  <c r="C14907" i="1"/>
  <c r="B14907" i="1"/>
  <c r="G14906" i="1"/>
  <c r="B14906" i="1"/>
  <c r="G14905" i="1"/>
  <c r="C14905" i="1"/>
  <c r="B14905" i="1"/>
  <c r="G14904" i="1"/>
  <c r="B14904" i="1"/>
  <c r="G14903" i="1"/>
  <c r="C14903" i="1"/>
  <c r="B14903" i="1"/>
  <c r="G14902" i="1"/>
  <c r="B14902" i="1"/>
  <c r="G14901" i="1"/>
  <c r="C14901" i="1"/>
  <c r="B14901" i="1"/>
  <c r="G14900" i="1"/>
  <c r="B14900" i="1"/>
  <c r="G14899" i="1"/>
  <c r="C14899" i="1"/>
  <c r="B14899" i="1"/>
  <c r="G14898" i="1"/>
  <c r="C14898" i="1"/>
  <c r="B14898" i="1"/>
  <c r="G14897" i="1"/>
  <c r="C14897" i="1"/>
  <c r="B14897" i="1"/>
  <c r="G14896" i="1"/>
  <c r="B14896" i="1"/>
  <c r="G14895" i="1"/>
  <c r="B14895" i="1"/>
  <c r="G14894" i="1"/>
  <c r="C14894" i="1"/>
  <c r="B14894" i="1"/>
  <c r="G14893" i="1"/>
  <c r="C14893" i="1"/>
  <c r="B14893" i="1"/>
  <c r="G14892" i="1"/>
  <c r="C14892" i="1"/>
  <c r="B14892" i="1"/>
  <c r="G14891" i="1"/>
  <c r="B14891" i="1"/>
  <c r="G14890" i="1"/>
  <c r="B14890" i="1"/>
  <c r="G14889" i="1"/>
  <c r="C14889" i="1"/>
  <c r="B14889" i="1"/>
  <c r="G14888" i="1"/>
  <c r="C14888" i="1"/>
  <c r="B14888" i="1"/>
  <c r="G14887" i="1"/>
  <c r="B14887" i="1"/>
  <c r="G14886" i="1"/>
  <c r="B14886" i="1"/>
  <c r="G14885" i="1"/>
  <c r="C14885" i="1"/>
  <c r="B14885" i="1"/>
  <c r="G14884" i="1"/>
  <c r="B14884" i="1"/>
  <c r="G14883" i="1"/>
  <c r="C14883" i="1"/>
  <c r="B14883" i="1"/>
  <c r="G14882" i="1"/>
  <c r="C14882" i="1"/>
  <c r="B14882" i="1"/>
  <c r="G14881" i="1"/>
  <c r="C14881" i="1"/>
  <c r="B14881" i="1"/>
  <c r="G14880" i="1"/>
  <c r="C14880" i="1"/>
  <c r="B14880" i="1"/>
  <c r="G14879" i="1"/>
  <c r="B14879" i="1"/>
  <c r="G14878" i="1"/>
  <c r="B14878" i="1"/>
  <c r="G14877" i="1"/>
  <c r="B14877" i="1"/>
  <c r="G14876" i="1"/>
  <c r="C14876" i="1"/>
  <c r="B14876" i="1"/>
  <c r="G14875" i="1"/>
  <c r="B14875" i="1"/>
  <c r="G14874" i="1"/>
  <c r="B14874" i="1"/>
  <c r="G14873" i="1"/>
  <c r="C14873" i="1"/>
  <c r="B14873" i="1"/>
  <c r="G14872" i="1"/>
  <c r="B14872" i="1"/>
  <c r="G14871" i="1"/>
  <c r="C14871" i="1"/>
  <c r="B14871" i="1"/>
  <c r="G14870" i="1"/>
  <c r="B14870" i="1"/>
  <c r="G14869" i="1"/>
  <c r="C14869" i="1"/>
  <c r="B14869" i="1"/>
  <c r="G14868" i="1"/>
  <c r="B14868" i="1"/>
  <c r="G14867" i="1"/>
  <c r="C14867" i="1"/>
  <c r="B14867" i="1"/>
  <c r="G14866" i="1"/>
  <c r="B14866" i="1"/>
  <c r="G14865" i="1"/>
  <c r="C14865" i="1"/>
  <c r="B14865" i="1"/>
  <c r="G14864" i="1"/>
  <c r="C14864" i="1"/>
  <c r="B14864" i="1"/>
  <c r="G14863" i="1"/>
  <c r="C14863" i="1"/>
  <c r="B14863" i="1"/>
  <c r="G14862" i="1"/>
  <c r="C14862" i="1"/>
  <c r="B14862" i="1"/>
  <c r="G14861" i="1"/>
  <c r="C14861" i="1"/>
  <c r="B14861" i="1"/>
  <c r="G14860" i="1"/>
  <c r="C14860" i="1"/>
  <c r="B14860" i="1"/>
  <c r="G14859" i="1"/>
  <c r="C14859" i="1"/>
  <c r="B14859" i="1"/>
  <c r="G14858" i="1"/>
  <c r="C14858" i="1"/>
  <c r="B14858" i="1"/>
  <c r="G14857" i="1"/>
  <c r="B14857" i="1"/>
  <c r="G14856" i="1"/>
  <c r="C14856" i="1"/>
  <c r="B14856" i="1"/>
  <c r="G14855" i="1"/>
  <c r="C14855" i="1"/>
  <c r="B14855" i="1"/>
  <c r="G14854" i="1"/>
  <c r="C14854" i="1"/>
  <c r="B14854" i="1"/>
  <c r="G14853" i="1"/>
  <c r="C14853" i="1"/>
  <c r="B14853" i="1"/>
  <c r="G14852" i="1"/>
  <c r="B14852" i="1"/>
  <c r="G14851" i="1"/>
  <c r="C14851" i="1"/>
  <c r="B14851" i="1"/>
  <c r="G14850" i="1"/>
  <c r="C14850" i="1"/>
  <c r="B14850" i="1"/>
  <c r="G14849" i="1"/>
  <c r="C14849" i="1"/>
  <c r="B14849" i="1"/>
  <c r="G14848" i="1"/>
  <c r="B14848" i="1"/>
  <c r="G14847" i="1"/>
  <c r="C14847" i="1"/>
  <c r="B14847" i="1"/>
  <c r="G14846" i="1"/>
  <c r="C14846" i="1"/>
  <c r="B14846" i="1"/>
  <c r="G14845" i="1"/>
  <c r="C14845" i="1"/>
  <c r="B14845" i="1"/>
  <c r="G14844" i="1"/>
  <c r="C14844" i="1"/>
  <c r="B14844" i="1"/>
  <c r="G14843" i="1"/>
  <c r="C14843" i="1"/>
  <c r="B14843" i="1"/>
  <c r="G14842" i="1"/>
  <c r="B14842" i="1"/>
  <c r="G14841" i="1"/>
  <c r="B14841" i="1"/>
  <c r="G14840" i="1"/>
  <c r="B14840" i="1"/>
  <c r="G14839" i="1"/>
  <c r="B14839" i="1"/>
  <c r="G14838" i="1"/>
  <c r="C14838" i="1"/>
  <c r="B14838" i="1"/>
  <c r="G14837" i="1"/>
  <c r="C14837" i="1"/>
  <c r="B14837" i="1"/>
  <c r="G14836" i="1"/>
  <c r="B14836" i="1"/>
  <c r="G14835" i="1"/>
  <c r="B14835" i="1"/>
  <c r="G14834" i="1"/>
  <c r="B14834" i="1"/>
  <c r="G14833" i="1"/>
  <c r="B14833" i="1"/>
  <c r="G14832" i="1"/>
  <c r="B14832" i="1"/>
  <c r="G14831" i="1"/>
  <c r="C14831" i="1"/>
  <c r="B14831" i="1"/>
  <c r="G14830" i="1"/>
  <c r="C14830" i="1"/>
  <c r="B14830" i="1"/>
  <c r="G14829" i="1"/>
  <c r="C14829" i="1"/>
  <c r="B14829" i="1"/>
  <c r="G14828" i="1"/>
  <c r="C14828" i="1"/>
  <c r="B14828" i="1"/>
  <c r="G14827" i="1"/>
  <c r="C14827" i="1"/>
  <c r="B14827" i="1"/>
  <c r="G14826" i="1"/>
  <c r="B14826" i="1"/>
  <c r="G14825" i="1"/>
  <c r="C14825" i="1"/>
  <c r="B14825" i="1"/>
  <c r="G14824" i="1"/>
  <c r="C14824" i="1"/>
  <c r="B14824" i="1"/>
  <c r="G14823" i="1"/>
  <c r="B14823" i="1"/>
  <c r="G14822" i="1"/>
  <c r="B14822" i="1"/>
  <c r="G14821" i="1"/>
  <c r="C14821" i="1"/>
  <c r="B14821" i="1"/>
  <c r="G14820" i="1"/>
  <c r="C14820" i="1"/>
  <c r="B14820" i="1"/>
  <c r="G14819" i="1"/>
  <c r="C14819" i="1"/>
  <c r="B14819" i="1"/>
  <c r="G14818" i="1"/>
  <c r="C14818" i="1"/>
  <c r="B14818" i="1"/>
  <c r="G14817" i="1"/>
  <c r="C14817" i="1"/>
  <c r="B14817" i="1"/>
  <c r="G14816" i="1"/>
  <c r="C14816" i="1"/>
  <c r="B14816" i="1"/>
  <c r="G14815" i="1"/>
  <c r="B14815" i="1"/>
  <c r="G14814" i="1"/>
  <c r="C14814" i="1"/>
  <c r="B14814" i="1"/>
  <c r="G14813" i="1"/>
  <c r="C14813" i="1"/>
  <c r="B14813" i="1"/>
  <c r="G14812" i="1"/>
  <c r="C14812" i="1"/>
  <c r="B14812" i="1"/>
  <c r="G14811" i="1"/>
  <c r="B14811" i="1"/>
  <c r="G14810" i="1"/>
  <c r="C14810" i="1"/>
  <c r="B14810" i="1"/>
  <c r="G14809" i="1"/>
  <c r="B14809" i="1"/>
  <c r="G14808" i="1"/>
  <c r="C14808" i="1"/>
  <c r="B14808" i="1"/>
  <c r="G14807" i="1"/>
  <c r="C14807" i="1"/>
  <c r="B14807" i="1"/>
  <c r="G14806" i="1"/>
  <c r="C14806" i="1"/>
  <c r="B14806" i="1"/>
  <c r="G14805" i="1"/>
  <c r="C14805" i="1"/>
  <c r="B14805" i="1"/>
  <c r="G14804" i="1"/>
  <c r="C14804" i="1"/>
  <c r="B14804" i="1"/>
  <c r="G14803" i="1"/>
  <c r="B14803" i="1"/>
  <c r="G14802" i="1"/>
  <c r="C14802" i="1"/>
  <c r="B14802" i="1"/>
  <c r="G14801" i="1"/>
  <c r="C14801" i="1"/>
  <c r="B14801" i="1"/>
  <c r="G14800" i="1"/>
  <c r="C14800" i="1"/>
  <c r="B14800" i="1"/>
  <c r="G14799" i="1"/>
  <c r="C14799" i="1"/>
  <c r="B14799" i="1"/>
  <c r="G14798" i="1"/>
  <c r="B14798" i="1"/>
  <c r="G14797" i="1"/>
  <c r="C14797" i="1"/>
  <c r="B14797" i="1"/>
  <c r="G14796" i="1"/>
  <c r="C14796" i="1"/>
  <c r="B14796" i="1"/>
  <c r="G14795" i="1"/>
  <c r="C14795" i="1"/>
  <c r="B14795" i="1"/>
  <c r="G14794" i="1"/>
  <c r="C14794" i="1"/>
  <c r="B14794" i="1"/>
  <c r="G14793" i="1"/>
  <c r="C14793" i="1"/>
  <c r="B14793" i="1"/>
  <c r="G14792" i="1"/>
  <c r="C14792" i="1"/>
  <c r="B14792" i="1"/>
  <c r="G14791" i="1"/>
  <c r="B14791" i="1"/>
  <c r="G14790" i="1"/>
  <c r="C14790" i="1"/>
  <c r="B14790" i="1"/>
  <c r="G14789" i="1"/>
  <c r="B14789" i="1"/>
  <c r="G14788" i="1"/>
  <c r="C14788" i="1"/>
  <c r="B14788" i="1"/>
  <c r="G14787" i="1"/>
  <c r="C14787" i="1"/>
  <c r="B14787" i="1"/>
  <c r="G14786" i="1"/>
  <c r="C14786" i="1"/>
  <c r="B14786" i="1"/>
  <c r="G14785" i="1"/>
  <c r="C14785" i="1"/>
  <c r="B14785" i="1"/>
  <c r="G14784" i="1"/>
  <c r="B14784" i="1"/>
  <c r="G14783" i="1"/>
  <c r="B14783" i="1"/>
  <c r="G14782" i="1"/>
  <c r="C14782" i="1"/>
  <c r="B14782" i="1"/>
  <c r="G14781" i="1"/>
  <c r="C14781" i="1"/>
  <c r="B14781" i="1"/>
  <c r="G14780" i="1"/>
  <c r="C14780" i="1"/>
  <c r="B14780" i="1"/>
  <c r="G14779" i="1"/>
  <c r="C14779" i="1"/>
  <c r="B14779" i="1"/>
  <c r="G14778" i="1"/>
  <c r="B14778" i="1"/>
  <c r="G14777" i="1"/>
  <c r="C14777" i="1"/>
  <c r="B14777" i="1"/>
  <c r="G14776" i="1"/>
  <c r="C14776" i="1"/>
  <c r="B14776" i="1"/>
  <c r="G14775" i="1"/>
  <c r="C14775" i="1"/>
  <c r="B14775" i="1"/>
  <c r="G14774" i="1"/>
  <c r="C14774" i="1"/>
  <c r="B14774" i="1"/>
  <c r="G14773" i="1"/>
  <c r="C14773" i="1"/>
  <c r="B14773" i="1"/>
  <c r="G14772" i="1"/>
  <c r="C14772" i="1"/>
  <c r="B14772" i="1"/>
  <c r="G14771" i="1"/>
  <c r="C14771" i="1"/>
  <c r="B14771" i="1"/>
  <c r="G14770" i="1"/>
  <c r="B14770" i="1"/>
  <c r="G14769" i="1"/>
  <c r="B14769" i="1"/>
  <c r="G14768" i="1"/>
  <c r="C14768" i="1"/>
  <c r="B14768" i="1"/>
  <c r="G14767" i="1"/>
  <c r="C14767" i="1"/>
  <c r="B14767" i="1"/>
  <c r="G14766" i="1"/>
  <c r="C14766" i="1"/>
  <c r="B14766" i="1"/>
  <c r="G14765" i="1"/>
  <c r="C14765" i="1"/>
  <c r="B14765" i="1"/>
  <c r="G14764" i="1"/>
  <c r="C14764" i="1"/>
  <c r="B14764" i="1"/>
  <c r="G14763" i="1"/>
  <c r="C14763" i="1"/>
  <c r="B14763" i="1"/>
  <c r="G14762" i="1"/>
  <c r="B14762" i="1"/>
  <c r="G14761" i="1"/>
  <c r="C14761" i="1"/>
  <c r="B14761" i="1"/>
  <c r="G14760" i="1"/>
  <c r="C14760" i="1"/>
  <c r="B14760" i="1"/>
  <c r="G14759" i="1"/>
  <c r="B14759" i="1"/>
  <c r="G14758" i="1"/>
  <c r="C14758" i="1"/>
  <c r="B14758" i="1"/>
  <c r="G14757" i="1"/>
  <c r="C14757" i="1"/>
  <c r="B14757" i="1"/>
  <c r="G14756" i="1"/>
  <c r="B14756" i="1"/>
  <c r="G14755" i="1"/>
  <c r="B14755" i="1"/>
  <c r="G14754" i="1"/>
  <c r="C14754" i="1"/>
  <c r="B14754" i="1"/>
  <c r="G14753" i="1"/>
  <c r="C14753" i="1"/>
  <c r="B14753" i="1"/>
  <c r="G14752" i="1"/>
  <c r="C14752" i="1"/>
  <c r="B14752" i="1"/>
  <c r="G14751" i="1"/>
  <c r="B14751" i="1"/>
  <c r="G14750" i="1"/>
  <c r="B14750" i="1"/>
  <c r="G14749" i="1"/>
  <c r="B14749" i="1"/>
  <c r="G14748" i="1"/>
  <c r="B14748" i="1"/>
  <c r="G14747" i="1"/>
  <c r="B14747" i="1"/>
  <c r="G14746" i="1"/>
  <c r="C14746" i="1"/>
  <c r="B14746" i="1"/>
  <c r="G14745" i="1"/>
  <c r="C14745" i="1"/>
  <c r="B14745" i="1"/>
  <c r="G14744" i="1"/>
  <c r="B14744" i="1"/>
  <c r="G14743" i="1"/>
  <c r="C14743" i="1"/>
  <c r="B14743" i="1"/>
  <c r="G14742" i="1"/>
  <c r="C14742" i="1"/>
  <c r="B14742" i="1"/>
  <c r="G14741" i="1"/>
  <c r="B14741" i="1"/>
  <c r="G14740" i="1"/>
  <c r="B14740" i="1"/>
  <c r="G14739" i="1"/>
  <c r="C14739" i="1"/>
  <c r="B14739" i="1"/>
  <c r="G14738" i="1"/>
  <c r="C14738" i="1"/>
  <c r="B14738" i="1"/>
  <c r="G14737" i="1"/>
  <c r="B14737" i="1"/>
  <c r="G14736" i="1"/>
  <c r="B14736" i="1"/>
  <c r="G14735" i="1"/>
  <c r="C14735" i="1"/>
  <c r="B14735" i="1"/>
  <c r="G14734" i="1"/>
  <c r="C14734" i="1"/>
  <c r="B14734" i="1"/>
  <c r="G14733" i="1"/>
  <c r="C14733" i="1"/>
  <c r="B14733" i="1"/>
  <c r="G14732" i="1"/>
  <c r="C14732" i="1"/>
  <c r="B14732" i="1"/>
  <c r="G14731" i="1"/>
  <c r="C14731" i="1"/>
  <c r="B14731" i="1"/>
  <c r="G14730" i="1"/>
  <c r="C14730" i="1"/>
  <c r="B14730" i="1"/>
  <c r="G14729" i="1"/>
  <c r="C14729" i="1"/>
  <c r="B14729" i="1"/>
  <c r="G14728" i="1"/>
  <c r="C14728" i="1"/>
  <c r="B14728" i="1"/>
  <c r="G14727" i="1"/>
  <c r="B14727" i="1"/>
  <c r="G14726" i="1"/>
  <c r="C14726" i="1"/>
  <c r="B14726" i="1"/>
  <c r="G14725" i="1"/>
  <c r="C14725" i="1"/>
  <c r="B14725" i="1"/>
  <c r="G14724" i="1"/>
  <c r="C14724" i="1"/>
  <c r="B14724" i="1"/>
  <c r="G14723" i="1"/>
  <c r="C14723" i="1"/>
  <c r="B14723" i="1"/>
  <c r="G14722" i="1"/>
  <c r="C14722" i="1"/>
  <c r="B14722" i="1"/>
  <c r="G14721" i="1"/>
  <c r="B14721" i="1"/>
  <c r="G14720" i="1"/>
  <c r="C14720" i="1"/>
  <c r="B14720" i="1"/>
  <c r="G14719" i="1"/>
  <c r="C14719" i="1"/>
  <c r="B14719" i="1"/>
  <c r="G14718" i="1"/>
  <c r="C14718" i="1"/>
  <c r="B14718" i="1"/>
  <c r="G14717" i="1"/>
  <c r="C14717" i="1"/>
  <c r="B14717" i="1"/>
  <c r="G14716" i="1"/>
  <c r="C14716" i="1"/>
  <c r="B14716" i="1"/>
  <c r="G14715" i="1"/>
  <c r="C14715" i="1"/>
  <c r="B14715" i="1"/>
  <c r="G14714" i="1"/>
  <c r="B14714" i="1"/>
  <c r="G14713" i="1"/>
  <c r="B14713" i="1"/>
  <c r="G14712" i="1"/>
  <c r="B14712" i="1"/>
  <c r="G14711" i="1"/>
  <c r="C14711" i="1"/>
  <c r="B14711" i="1"/>
  <c r="G14710" i="1"/>
  <c r="C14710" i="1"/>
  <c r="B14710" i="1"/>
  <c r="G14709" i="1"/>
  <c r="C14709" i="1"/>
  <c r="B14709" i="1"/>
  <c r="G14708" i="1"/>
  <c r="B14708" i="1"/>
  <c r="G14707" i="1"/>
  <c r="B14707" i="1"/>
  <c r="G14706" i="1"/>
  <c r="C14706" i="1"/>
  <c r="B14706" i="1"/>
  <c r="G14705" i="1"/>
  <c r="C14705" i="1"/>
  <c r="B14705" i="1"/>
  <c r="G14704" i="1"/>
  <c r="C14704" i="1"/>
  <c r="B14704" i="1"/>
  <c r="G14703" i="1"/>
  <c r="C14703" i="1"/>
  <c r="B14703" i="1"/>
  <c r="G14702" i="1"/>
  <c r="B14702" i="1"/>
  <c r="G14701" i="1"/>
  <c r="C14701" i="1"/>
  <c r="B14701" i="1"/>
  <c r="G14700" i="1"/>
  <c r="C14700" i="1"/>
  <c r="B14700" i="1"/>
  <c r="G14699" i="1"/>
  <c r="C14699" i="1"/>
  <c r="B14699" i="1"/>
  <c r="G14698" i="1"/>
  <c r="C14698" i="1"/>
  <c r="B14698" i="1"/>
  <c r="G14697" i="1"/>
  <c r="C14697" i="1"/>
  <c r="B14697" i="1"/>
  <c r="G14696" i="1"/>
  <c r="C14696" i="1"/>
  <c r="B14696" i="1"/>
  <c r="G14695" i="1"/>
  <c r="C14695" i="1"/>
  <c r="B14695" i="1"/>
  <c r="G14694" i="1"/>
  <c r="C14694" i="1"/>
  <c r="B14694" i="1"/>
  <c r="G14693" i="1"/>
  <c r="B14693" i="1"/>
  <c r="G14692" i="1"/>
  <c r="B14692" i="1"/>
  <c r="G14691" i="1"/>
  <c r="C14691" i="1"/>
  <c r="B14691" i="1"/>
  <c r="G14690" i="1"/>
  <c r="C14690" i="1"/>
  <c r="B14690" i="1"/>
  <c r="G14689" i="1"/>
  <c r="B14689" i="1"/>
  <c r="G14688" i="1"/>
  <c r="C14688" i="1"/>
  <c r="B14688" i="1"/>
  <c r="G14687" i="1"/>
  <c r="B14687" i="1"/>
  <c r="G14686" i="1"/>
  <c r="C14686" i="1"/>
  <c r="B14686" i="1"/>
  <c r="G14685" i="1"/>
  <c r="C14685" i="1"/>
  <c r="B14685" i="1"/>
  <c r="G14684" i="1"/>
  <c r="C14684" i="1"/>
  <c r="B14684" i="1"/>
  <c r="G14683" i="1"/>
  <c r="B14683" i="1"/>
  <c r="G14682" i="1"/>
  <c r="C14682" i="1"/>
  <c r="B14682" i="1"/>
  <c r="G14681" i="1"/>
  <c r="B14681" i="1"/>
  <c r="G14680" i="1"/>
  <c r="B14680" i="1"/>
  <c r="G14679" i="1"/>
  <c r="C14679" i="1"/>
  <c r="B14679" i="1"/>
  <c r="G14678" i="1"/>
  <c r="B14678" i="1"/>
  <c r="G14677" i="1"/>
  <c r="B14677" i="1"/>
  <c r="G14676" i="1"/>
  <c r="C14676" i="1"/>
  <c r="B14676" i="1"/>
  <c r="G14675" i="1"/>
  <c r="C14675" i="1"/>
  <c r="B14675" i="1"/>
  <c r="G14674" i="1"/>
  <c r="C14674" i="1"/>
  <c r="B14674" i="1"/>
  <c r="G14673" i="1"/>
  <c r="C14673" i="1"/>
  <c r="B14673" i="1"/>
  <c r="G14672" i="1"/>
  <c r="C14672" i="1"/>
  <c r="B14672" i="1"/>
  <c r="G14671" i="1"/>
  <c r="C14671" i="1"/>
  <c r="B14671" i="1"/>
  <c r="G14670" i="1"/>
  <c r="C14670" i="1"/>
  <c r="B14670" i="1"/>
  <c r="G14669" i="1"/>
  <c r="C14669" i="1"/>
  <c r="B14669" i="1"/>
  <c r="G14668" i="1"/>
  <c r="C14668" i="1"/>
  <c r="B14668" i="1"/>
  <c r="G14667" i="1"/>
  <c r="C14667" i="1"/>
  <c r="B14667" i="1"/>
  <c r="G14666" i="1"/>
  <c r="B14666" i="1"/>
  <c r="G14665" i="1"/>
  <c r="B14665" i="1"/>
  <c r="G14664" i="1"/>
  <c r="C14664" i="1"/>
  <c r="B14664" i="1"/>
  <c r="G14663" i="1"/>
  <c r="C14663" i="1"/>
  <c r="B14663" i="1"/>
  <c r="G14662" i="1"/>
  <c r="C14662" i="1"/>
  <c r="B14662" i="1"/>
  <c r="G14661" i="1"/>
  <c r="B14661" i="1"/>
  <c r="G14660" i="1"/>
  <c r="C14660" i="1"/>
  <c r="B14660" i="1"/>
  <c r="G14659" i="1"/>
  <c r="C14659" i="1"/>
  <c r="B14659" i="1"/>
  <c r="G14658" i="1"/>
  <c r="C14658" i="1"/>
  <c r="B14658" i="1"/>
  <c r="G14657" i="1"/>
  <c r="B14657" i="1"/>
  <c r="G14656" i="1"/>
  <c r="B14656" i="1"/>
  <c r="G14655" i="1"/>
  <c r="C14655" i="1"/>
  <c r="B14655" i="1"/>
  <c r="G14654" i="1"/>
  <c r="C14654" i="1"/>
  <c r="B14654" i="1"/>
  <c r="G14653" i="1"/>
  <c r="C14653" i="1"/>
  <c r="B14653" i="1"/>
  <c r="G14652" i="1"/>
  <c r="B14652" i="1"/>
  <c r="G14651" i="1"/>
  <c r="C14651" i="1"/>
  <c r="B14651" i="1"/>
  <c r="G14650" i="1"/>
  <c r="C14650" i="1"/>
  <c r="B14650" i="1"/>
  <c r="G14649" i="1"/>
  <c r="C14649" i="1"/>
  <c r="B14649" i="1"/>
  <c r="G14648" i="1"/>
  <c r="B14648" i="1"/>
  <c r="G14647" i="1"/>
  <c r="C14647" i="1"/>
  <c r="B14647" i="1"/>
  <c r="G14646" i="1"/>
  <c r="B14646" i="1"/>
  <c r="G14645" i="1"/>
  <c r="C14645" i="1"/>
  <c r="B14645" i="1"/>
  <c r="G14644" i="1"/>
  <c r="C14644" i="1"/>
  <c r="B14644" i="1"/>
  <c r="G14643" i="1"/>
  <c r="B14643" i="1"/>
  <c r="G14642" i="1"/>
  <c r="B14642" i="1"/>
  <c r="G14641" i="1"/>
  <c r="C14641" i="1"/>
  <c r="B14641" i="1"/>
  <c r="G14640" i="1"/>
  <c r="C14640" i="1"/>
  <c r="B14640" i="1"/>
  <c r="G14639" i="1"/>
  <c r="C14639" i="1"/>
  <c r="B14639" i="1"/>
  <c r="G14638" i="1"/>
  <c r="C14638" i="1"/>
  <c r="B14638" i="1"/>
  <c r="G14637" i="1"/>
  <c r="C14637" i="1"/>
  <c r="B14637" i="1"/>
  <c r="G14636" i="1"/>
  <c r="C14636" i="1"/>
  <c r="B14636" i="1"/>
  <c r="G14635" i="1"/>
  <c r="C14635" i="1"/>
  <c r="B14635" i="1"/>
  <c r="G14634" i="1"/>
  <c r="C14634" i="1"/>
  <c r="B14634" i="1"/>
  <c r="G14633" i="1"/>
  <c r="C14633" i="1"/>
  <c r="B14633" i="1"/>
  <c r="G14632" i="1"/>
  <c r="C14632" i="1"/>
  <c r="B14632" i="1"/>
  <c r="G14631" i="1"/>
  <c r="C14631" i="1"/>
  <c r="B14631" i="1"/>
  <c r="G14630" i="1"/>
  <c r="C14630" i="1"/>
  <c r="B14630" i="1"/>
  <c r="G14629" i="1"/>
  <c r="C14629" i="1"/>
  <c r="B14629" i="1"/>
  <c r="G14628" i="1"/>
  <c r="C14628" i="1"/>
  <c r="B14628" i="1"/>
  <c r="G14627" i="1"/>
  <c r="B14627" i="1"/>
  <c r="G14626" i="1"/>
  <c r="C14626" i="1"/>
  <c r="B14626" i="1"/>
  <c r="G14625" i="1"/>
  <c r="C14625" i="1"/>
  <c r="B14625" i="1"/>
  <c r="G14624" i="1"/>
  <c r="C14624" i="1"/>
  <c r="B14624" i="1"/>
  <c r="G14623" i="1"/>
  <c r="C14623" i="1"/>
  <c r="B14623" i="1"/>
  <c r="G14622" i="1"/>
  <c r="B14622" i="1"/>
  <c r="G14621" i="1"/>
  <c r="B14621" i="1"/>
  <c r="G14620" i="1"/>
  <c r="C14620" i="1"/>
  <c r="B14620" i="1"/>
  <c r="G14619" i="1"/>
  <c r="C14619" i="1"/>
  <c r="B14619" i="1"/>
  <c r="G14618" i="1"/>
  <c r="C14618" i="1"/>
  <c r="B14618" i="1"/>
  <c r="G14617" i="1"/>
  <c r="C14617" i="1"/>
  <c r="B14617" i="1"/>
  <c r="G14616" i="1"/>
  <c r="C14616" i="1"/>
  <c r="B14616" i="1"/>
  <c r="G14615" i="1"/>
  <c r="B14615" i="1"/>
  <c r="G14614" i="1"/>
  <c r="C14614" i="1"/>
  <c r="B14614" i="1"/>
  <c r="G14613" i="1"/>
  <c r="C14613" i="1"/>
  <c r="B14613" i="1"/>
  <c r="G14612" i="1"/>
  <c r="C14612" i="1"/>
  <c r="B14612" i="1"/>
  <c r="G14611" i="1"/>
  <c r="C14611" i="1"/>
  <c r="B14611" i="1"/>
  <c r="G14610" i="1"/>
  <c r="C14610" i="1"/>
  <c r="B14610" i="1"/>
  <c r="G14609" i="1"/>
  <c r="B14609" i="1"/>
  <c r="G14608" i="1"/>
  <c r="C14608" i="1"/>
  <c r="B14608" i="1"/>
  <c r="G14607" i="1"/>
  <c r="B14607" i="1"/>
  <c r="G14606" i="1"/>
  <c r="B14606" i="1"/>
  <c r="G14605" i="1"/>
  <c r="C14605" i="1"/>
  <c r="B14605" i="1"/>
  <c r="G14604" i="1"/>
  <c r="C14604" i="1"/>
  <c r="B14604" i="1"/>
  <c r="G14603" i="1"/>
  <c r="C14603" i="1"/>
  <c r="B14603" i="1"/>
  <c r="G14602" i="1"/>
  <c r="B14602" i="1"/>
  <c r="G14601" i="1"/>
  <c r="B14601" i="1"/>
  <c r="G14600" i="1"/>
  <c r="B14600" i="1"/>
  <c r="G14599" i="1"/>
  <c r="B14599" i="1"/>
  <c r="G14598" i="1"/>
  <c r="B14598" i="1"/>
  <c r="G14597" i="1"/>
  <c r="C14597" i="1"/>
  <c r="B14597" i="1"/>
  <c r="G14596" i="1"/>
  <c r="B14596" i="1"/>
  <c r="G14595" i="1"/>
  <c r="B14595" i="1"/>
  <c r="G14594" i="1"/>
  <c r="C14594" i="1"/>
  <c r="B14594" i="1"/>
  <c r="G14593" i="1"/>
  <c r="C14593" i="1"/>
  <c r="B14593" i="1"/>
  <c r="G14592" i="1"/>
  <c r="C14592" i="1"/>
  <c r="B14592" i="1"/>
  <c r="G14591" i="1"/>
  <c r="C14591" i="1"/>
  <c r="B14591" i="1"/>
  <c r="G14590" i="1"/>
  <c r="C14590" i="1"/>
  <c r="B14590" i="1"/>
  <c r="G14589" i="1"/>
  <c r="B14589" i="1"/>
  <c r="G14588" i="1"/>
  <c r="C14588" i="1"/>
  <c r="B14588" i="1"/>
  <c r="G14587" i="1"/>
  <c r="C14587" i="1"/>
  <c r="B14587" i="1"/>
  <c r="G14586" i="1"/>
  <c r="C14586" i="1"/>
  <c r="B14586" i="1"/>
  <c r="G14585" i="1"/>
  <c r="C14585" i="1"/>
  <c r="B14585" i="1"/>
  <c r="G14584" i="1"/>
  <c r="C14584" i="1"/>
  <c r="B14584" i="1"/>
  <c r="G14583" i="1"/>
  <c r="C14583" i="1"/>
  <c r="B14583" i="1"/>
  <c r="G14582" i="1"/>
  <c r="C14582" i="1"/>
  <c r="B14582" i="1"/>
  <c r="G14581" i="1"/>
  <c r="C14581" i="1"/>
  <c r="B14581" i="1"/>
  <c r="G14580" i="1"/>
  <c r="B14580" i="1"/>
  <c r="G14579" i="1"/>
  <c r="C14579" i="1"/>
  <c r="B14579" i="1"/>
  <c r="G14578" i="1"/>
  <c r="B14578" i="1"/>
  <c r="G14577" i="1"/>
  <c r="B14577" i="1"/>
  <c r="G14576" i="1"/>
  <c r="B14576" i="1"/>
  <c r="G14575" i="1"/>
  <c r="C14575" i="1"/>
  <c r="B14575" i="1"/>
  <c r="G14574" i="1"/>
  <c r="C14574" i="1"/>
  <c r="B14574" i="1"/>
  <c r="G14573" i="1"/>
  <c r="C14573" i="1"/>
  <c r="B14573" i="1"/>
  <c r="G14572" i="1"/>
  <c r="B14572" i="1"/>
  <c r="G14571" i="1"/>
  <c r="C14571" i="1"/>
  <c r="B14571" i="1"/>
  <c r="G14570" i="1"/>
  <c r="C14570" i="1"/>
  <c r="B14570" i="1"/>
  <c r="G14569" i="1"/>
  <c r="C14569" i="1"/>
  <c r="B14569" i="1"/>
  <c r="G14568" i="1"/>
  <c r="C14568" i="1"/>
  <c r="B14568" i="1"/>
  <c r="G14567" i="1"/>
  <c r="B14567" i="1"/>
  <c r="G14566" i="1"/>
  <c r="B14566" i="1"/>
  <c r="G14565" i="1"/>
  <c r="C14565" i="1"/>
  <c r="B14565" i="1"/>
  <c r="G14564" i="1"/>
  <c r="B14564" i="1"/>
  <c r="G14563" i="1"/>
  <c r="B14563" i="1"/>
  <c r="G14562" i="1"/>
  <c r="C14562" i="1"/>
  <c r="B14562" i="1"/>
  <c r="G14561" i="1"/>
  <c r="C14561" i="1"/>
  <c r="B14561" i="1"/>
  <c r="G14560" i="1"/>
  <c r="C14560" i="1"/>
  <c r="B14560" i="1"/>
  <c r="G14559" i="1"/>
  <c r="C14559" i="1"/>
  <c r="B14559" i="1"/>
  <c r="G14558" i="1"/>
  <c r="C14558" i="1"/>
  <c r="B14558" i="1"/>
  <c r="G14557" i="1"/>
  <c r="C14557" i="1"/>
  <c r="B14557" i="1"/>
  <c r="G14556" i="1"/>
  <c r="C14556" i="1"/>
  <c r="B14556" i="1"/>
  <c r="G14555" i="1"/>
  <c r="B14555" i="1"/>
  <c r="G14554" i="1"/>
  <c r="B14554" i="1"/>
  <c r="G14553" i="1"/>
  <c r="B14553" i="1"/>
  <c r="G14552" i="1"/>
  <c r="C14552" i="1"/>
  <c r="B14552" i="1"/>
  <c r="G14551" i="1"/>
  <c r="C14551" i="1"/>
  <c r="B14551" i="1"/>
  <c r="G14550" i="1"/>
  <c r="B14550" i="1"/>
  <c r="G14549" i="1"/>
  <c r="B14549" i="1"/>
  <c r="G14548" i="1"/>
  <c r="C14548" i="1"/>
  <c r="B14548" i="1"/>
  <c r="G14547" i="1"/>
  <c r="C14547" i="1"/>
  <c r="B14547" i="1"/>
  <c r="G14546" i="1"/>
  <c r="C14546" i="1"/>
  <c r="B14546" i="1"/>
  <c r="G14545" i="1"/>
  <c r="B14545" i="1"/>
  <c r="G14544" i="1"/>
  <c r="C14544" i="1"/>
  <c r="B14544" i="1"/>
  <c r="G14543" i="1"/>
  <c r="C14543" i="1"/>
  <c r="B14543" i="1"/>
  <c r="G14542" i="1"/>
  <c r="B14542" i="1"/>
  <c r="G14541" i="1"/>
  <c r="C14541" i="1"/>
  <c r="B14541" i="1"/>
  <c r="G14540" i="1"/>
  <c r="C14540" i="1"/>
  <c r="B14540" i="1"/>
  <c r="G14539" i="1"/>
  <c r="C14539" i="1"/>
  <c r="B14539" i="1"/>
  <c r="G14538" i="1"/>
  <c r="C14538" i="1"/>
  <c r="B14538" i="1"/>
  <c r="G14537" i="1"/>
  <c r="B14537" i="1"/>
  <c r="G14536" i="1"/>
  <c r="C14536" i="1"/>
  <c r="B14536" i="1"/>
  <c r="G14535" i="1"/>
  <c r="C14535" i="1"/>
  <c r="B14535" i="1"/>
  <c r="G14534" i="1"/>
  <c r="B14534" i="1"/>
  <c r="G14533" i="1"/>
  <c r="C14533" i="1"/>
  <c r="B14533" i="1"/>
  <c r="G14532" i="1"/>
  <c r="C14532" i="1"/>
  <c r="B14532" i="1"/>
  <c r="G14531" i="1"/>
  <c r="C14531" i="1"/>
  <c r="B14531" i="1"/>
  <c r="G14530" i="1"/>
  <c r="C14530" i="1"/>
  <c r="B14530" i="1"/>
  <c r="G14529" i="1"/>
  <c r="C14529" i="1"/>
  <c r="B14529" i="1"/>
  <c r="G14528" i="1"/>
  <c r="C14528" i="1"/>
  <c r="B14528" i="1"/>
  <c r="G14527" i="1"/>
  <c r="C14527" i="1"/>
  <c r="B14527" i="1"/>
  <c r="G14526" i="1"/>
  <c r="C14526" i="1"/>
  <c r="B14526" i="1"/>
  <c r="G14525" i="1"/>
  <c r="B14525" i="1"/>
  <c r="G14524" i="1"/>
  <c r="B14524" i="1"/>
  <c r="G14523" i="1"/>
  <c r="C14523" i="1"/>
  <c r="B14523" i="1"/>
  <c r="G14522" i="1"/>
  <c r="B14522" i="1"/>
  <c r="G14521" i="1"/>
  <c r="C14521" i="1"/>
  <c r="B14521" i="1"/>
  <c r="G14520" i="1"/>
  <c r="C14520" i="1"/>
  <c r="B14520" i="1"/>
  <c r="G14519" i="1"/>
  <c r="C14519" i="1"/>
  <c r="B14519" i="1"/>
  <c r="G14518" i="1"/>
  <c r="C14518" i="1"/>
  <c r="B14518" i="1"/>
  <c r="G14517" i="1"/>
  <c r="B14517" i="1"/>
  <c r="G14516" i="1"/>
  <c r="B14516" i="1"/>
  <c r="G14515" i="1"/>
  <c r="C14515" i="1"/>
  <c r="B14515" i="1"/>
  <c r="G14514" i="1"/>
  <c r="C14514" i="1"/>
  <c r="B14514" i="1"/>
  <c r="G14513" i="1"/>
  <c r="C14513" i="1"/>
  <c r="B14513" i="1"/>
  <c r="G14512" i="1"/>
  <c r="C14512" i="1"/>
  <c r="B14512" i="1"/>
  <c r="G14511" i="1"/>
  <c r="C14511" i="1"/>
  <c r="B14511" i="1"/>
  <c r="G14510" i="1"/>
  <c r="C14510" i="1"/>
  <c r="B14510" i="1"/>
  <c r="G14509" i="1"/>
  <c r="C14509" i="1"/>
  <c r="B14509" i="1"/>
  <c r="G14508" i="1"/>
  <c r="B14508" i="1"/>
  <c r="G14507" i="1"/>
  <c r="B14507" i="1"/>
  <c r="G14506" i="1"/>
  <c r="C14506" i="1"/>
  <c r="B14506" i="1"/>
  <c r="G14505" i="1"/>
  <c r="B14505" i="1"/>
  <c r="G14504" i="1"/>
  <c r="B14504" i="1"/>
  <c r="G14503" i="1"/>
  <c r="B14503" i="1"/>
  <c r="G14502" i="1"/>
  <c r="C14502" i="1"/>
  <c r="B14502" i="1"/>
  <c r="G14501" i="1"/>
  <c r="C14501" i="1"/>
  <c r="B14501" i="1"/>
  <c r="G14500" i="1"/>
  <c r="C14500" i="1"/>
  <c r="B14500" i="1"/>
  <c r="G14499" i="1"/>
  <c r="B14499" i="1"/>
  <c r="G14498" i="1"/>
  <c r="B14498" i="1"/>
  <c r="G14497" i="1"/>
  <c r="C14497" i="1"/>
  <c r="B14497" i="1"/>
  <c r="G14496" i="1"/>
  <c r="C14496" i="1"/>
  <c r="B14496" i="1"/>
  <c r="G14495" i="1"/>
  <c r="B14495" i="1"/>
  <c r="G14494" i="1"/>
  <c r="C14494" i="1"/>
  <c r="B14494" i="1"/>
  <c r="G14493" i="1"/>
  <c r="C14493" i="1"/>
  <c r="B14493" i="1"/>
  <c r="G14492" i="1"/>
  <c r="C14492" i="1"/>
  <c r="B14492" i="1"/>
  <c r="G14491" i="1"/>
  <c r="B14491" i="1"/>
  <c r="G14490" i="1"/>
  <c r="C14490" i="1"/>
  <c r="B14490" i="1"/>
  <c r="G14489" i="1"/>
  <c r="B14489" i="1"/>
  <c r="G14488" i="1"/>
  <c r="C14488" i="1"/>
  <c r="B14488" i="1"/>
  <c r="G14487" i="1"/>
  <c r="B14487" i="1"/>
  <c r="G14486" i="1"/>
  <c r="B14486" i="1"/>
  <c r="G14485" i="1"/>
  <c r="B14485" i="1"/>
  <c r="G14484" i="1"/>
  <c r="B14484" i="1"/>
  <c r="G14483" i="1"/>
  <c r="C14483" i="1"/>
  <c r="B14483" i="1"/>
  <c r="G14482" i="1"/>
  <c r="C14482" i="1"/>
  <c r="B14482" i="1"/>
  <c r="G14481" i="1"/>
  <c r="C14481" i="1"/>
  <c r="B14481" i="1"/>
  <c r="G14480" i="1"/>
  <c r="B14480" i="1"/>
  <c r="G14479" i="1"/>
  <c r="B14479" i="1"/>
  <c r="G14478" i="1"/>
  <c r="C14478" i="1"/>
  <c r="B14478" i="1"/>
  <c r="G14477" i="1"/>
  <c r="C14477" i="1"/>
  <c r="B14477" i="1"/>
  <c r="G14476" i="1"/>
  <c r="C14476" i="1"/>
  <c r="B14476" i="1"/>
  <c r="G14475" i="1"/>
  <c r="B14475" i="1"/>
  <c r="G14474" i="1"/>
  <c r="B14474" i="1"/>
  <c r="G14473" i="1"/>
  <c r="C14473" i="1"/>
  <c r="B14473" i="1"/>
  <c r="G14472" i="1"/>
  <c r="B14472" i="1"/>
  <c r="G14471" i="1"/>
  <c r="B14471" i="1"/>
  <c r="G14470" i="1"/>
  <c r="C14470" i="1"/>
  <c r="B14470" i="1"/>
  <c r="G14469" i="1"/>
  <c r="C14469" i="1"/>
  <c r="B14469" i="1"/>
  <c r="G14468" i="1"/>
  <c r="C14468" i="1"/>
  <c r="B14468" i="1"/>
  <c r="G14467" i="1"/>
  <c r="C14467" i="1"/>
  <c r="B14467" i="1"/>
  <c r="G14466" i="1"/>
  <c r="C14466" i="1"/>
  <c r="B14466" i="1"/>
  <c r="G14465" i="1"/>
  <c r="B14465" i="1"/>
  <c r="G14464" i="1"/>
  <c r="C14464" i="1"/>
  <c r="B14464" i="1"/>
  <c r="G14463" i="1"/>
  <c r="B14463" i="1"/>
  <c r="G14462" i="1"/>
  <c r="C14462" i="1"/>
  <c r="B14462" i="1"/>
  <c r="G14461" i="1"/>
  <c r="C14461" i="1"/>
  <c r="B14461" i="1"/>
  <c r="G14460" i="1"/>
  <c r="C14460" i="1"/>
  <c r="B14460" i="1"/>
  <c r="G14459" i="1"/>
  <c r="B14459" i="1"/>
  <c r="G14458" i="1"/>
  <c r="C14458" i="1"/>
  <c r="B14458" i="1"/>
  <c r="G14457" i="1"/>
  <c r="B14457" i="1"/>
  <c r="G14456" i="1"/>
  <c r="C14456" i="1"/>
  <c r="B14456" i="1"/>
  <c r="G14455" i="1"/>
  <c r="C14455" i="1"/>
  <c r="B14455" i="1"/>
  <c r="G14454" i="1"/>
  <c r="C14454" i="1"/>
  <c r="B14454" i="1"/>
  <c r="G14453" i="1"/>
  <c r="B14453" i="1"/>
  <c r="G14452" i="1"/>
  <c r="B14452" i="1"/>
  <c r="G14451" i="1"/>
  <c r="C14451" i="1"/>
  <c r="B14451" i="1"/>
  <c r="G14450" i="1"/>
  <c r="B14450" i="1"/>
  <c r="G14449" i="1"/>
  <c r="C14449" i="1"/>
  <c r="B14449" i="1"/>
  <c r="G14448" i="1"/>
  <c r="B14448" i="1"/>
  <c r="G14447" i="1"/>
  <c r="B14447" i="1"/>
  <c r="G14446" i="1"/>
  <c r="C14446" i="1"/>
  <c r="B14446" i="1"/>
  <c r="G14445" i="1"/>
  <c r="C14445" i="1"/>
  <c r="B14445" i="1"/>
  <c r="G14444" i="1"/>
  <c r="C14444" i="1"/>
  <c r="B14444" i="1"/>
  <c r="G14443" i="1"/>
  <c r="C14443" i="1"/>
  <c r="B14443" i="1"/>
  <c r="G14442" i="1"/>
  <c r="B14442" i="1"/>
  <c r="G14441" i="1"/>
  <c r="C14441" i="1"/>
  <c r="B14441" i="1"/>
  <c r="G14440" i="1"/>
  <c r="B14440" i="1"/>
  <c r="G14439" i="1"/>
  <c r="B14439" i="1"/>
  <c r="G14438" i="1"/>
  <c r="C14438" i="1"/>
  <c r="B14438" i="1"/>
  <c r="G14437" i="1"/>
  <c r="B14437" i="1"/>
  <c r="G14436" i="1"/>
  <c r="B14436" i="1"/>
  <c r="G14435" i="1"/>
  <c r="C14435" i="1"/>
  <c r="B14435" i="1"/>
  <c r="G14434" i="1"/>
  <c r="B14434" i="1"/>
  <c r="G14433" i="1"/>
  <c r="C14433" i="1"/>
  <c r="B14433" i="1"/>
  <c r="G14432" i="1"/>
  <c r="C14432" i="1"/>
  <c r="B14432" i="1"/>
  <c r="G14431" i="1"/>
  <c r="B14431" i="1"/>
  <c r="G14430" i="1"/>
  <c r="B14430" i="1"/>
  <c r="G14429" i="1"/>
  <c r="C14429" i="1"/>
  <c r="B14429" i="1"/>
  <c r="G14428" i="1"/>
  <c r="C14428" i="1"/>
  <c r="B14428" i="1"/>
  <c r="G14427" i="1"/>
  <c r="B14427" i="1"/>
  <c r="G14426" i="1"/>
  <c r="C14426" i="1"/>
  <c r="B14426" i="1"/>
  <c r="G14425" i="1"/>
  <c r="C14425" i="1"/>
  <c r="B14425" i="1"/>
  <c r="G14424" i="1"/>
  <c r="B14424" i="1"/>
  <c r="G14423" i="1"/>
  <c r="C14423" i="1"/>
  <c r="B14423" i="1"/>
  <c r="G14422" i="1"/>
  <c r="B14422" i="1"/>
  <c r="G14421" i="1"/>
  <c r="C14421" i="1"/>
  <c r="B14421" i="1"/>
  <c r="G14420" i="1"/>
  <c r="C14420" i="1"/>
  <c r="B14420" i="1"/>
  <c r="G14419" i="1"/>
  <c r="C14419" i="1"/>
  <c r="B14419" i="1"/>
  <c r="G14418" i="1"/>
  <c r="B14418" i="1"/>
  <c r="G14417" i="1"/>
  <c r="B14417" i="1"/>
  <c r="G14416" i="1"/>
  <c r="C14416" i="1"/>
  <c r="B14416" i="1"/>
  <c r="G14415" i="1"/>
  <c r="B14415" i="1"/>
  <c r="G14414" i="1"/>
  <c r="C14414" i="1"/>
  <c r="B14414" i="1"/>
  <c r="G14413" i="1"/>
  <c r="C14413" i="1"/>
  <c r="B14413" i="1"/>
  <c r="G14412" i="1"/>
  <c r="C14412" i="1"/>
  <c r="B14412" i="1"/>
  <c r="G14411" i="1"/>
  <c r="B14411" i="1"/>
  <c r="G14410" i="1"/>
  <c r="C14410" i="1"/>
  <c r="B14410" i="1"/>
  <c r="G14409" i="1"/>
  <c r="B14409" i="1"/>
  <c r="G14408" i="1"/>
  <c r="B14408" i="1"/>
  <c r="G14407" i="1"/>
  <c r="C14407" i="1"/>
  <c r="B14407" i="1"/>
  <c r="G14406" i="1"/>
  <c r="C14406" i="1"/>
  <c r="B14406" i="1"/>
  <c r="G14405" i="1"/>
  <c r="C14405" i="1"/>
  <c r="B14405" i="1"/>
  <c r="G14404" i="1"/>
  <c r="C14404" i="1"/>
  <c r="B14404" i="1"/>
  <c r="G14403" i="1"/>
  <c r="C14403" i="1"/>
  <c r="B14403" i="1"/>
  <c r="G14402" i="1"/>
  <c r="C14402" i="1"/>
  <c r="B14402" i="1"/>
  <c r="G14401" i="1"/>
  <c r="C14401" i="1"/>
  <c r="B14401" i="1"/>
  <c r="G14400" i="1"/>
  <c r="C14400" i="1"/>
  <c r="B14400" i="1"/>
  <c r="G14399" i="1"/>
  <c r="B14399" i="1"/>
  <c r="G14398" i="1"/>
  <c r="B14398" i="1"/>
  <c r="G14397" i="1"/>
  <c r="C14397" i="1"/>
  <c r="B14397" i="1"/>
  <c r="G14396" i="1"/>
  <c r="B14396" i="1"/>
  <c r="G14395" i="1"/>
  <c r="C14395" i="1"/>
  <c r="B14395" i="1"/>
  <c r="G14394" i="1"/>
  <c r="B14394" i="1"/>
  <c r="G14393" i="1"/>
  <c r="C14393" i="1"/>
  <c r="B14393" i="1"/>
  <c r="G14392" i="1"/>
  <c r="B14392" i="1"/>
  <c r="G14391" i="1"/>
  <c r="C14391" i="1"/>
  <c r="B14391" i="1"/>
  <c r="G14390" i="1"/>
  <c r="B14390" i="1"/>
  <c r="G14389" i="1"/>
  <c r="C14389" i="1"/>
  <c r="B14389" i="1"/>
  <c r="G14388" i="1"/>
  <c r="C14388" i="1"/>
  <c r="B14388" i="1"/>
  <c r="G14387" i="1"/>
  <c r="C14387" i="1"/>
  <c r="B14387" i="1"/>
  <c r="G14386" i="1"/>
  <c r="C14386" i="1"/>
  <c r="B14386" i="1"/>
  <c r="G14385" i="1"/>
  <c r="C14385" i="1"/>
  <c r="B14385" i="1"/>
  <c r="G14384" i="1"/>
  <c r="C14384" i="1"/>
  <c r="B14384" i="1"/>
  <c r="G14383" i="1"/>
  <c r="B14383" i="1"/>
  <c r="G14382" i="1"/>
  <c r="C14382" i="1"/>
  <c r="B14382" i="1"/>
  <c r="G14381" i="1"/>
  <c r="B14381" i="1"/>
  <c r="G14380" i="1"/>
  <c r="C14380" i="1"/>
  <c r="B14380" i="1"/>
  <c r="G14379" i="1"/>
  <c r="C14379" i="1"/>
  <c r="B14379" i="1"/>
  <c r="G14378" i="1"/>
  <c r="C14378" i="1"/>
  <c r="B14378" i="1"/>
  <c r="G14377" i="1"/>
  <c r="C14377" i="1"/>
  <c r="B14377" i="1"/>
  <c r="G14376" i="1"/>
  <c r="C14376" i="1"/>
  <c r="B14376" i="1"/>
  <c r="G14375" i="1"/>
  <c r="C14375" i="1"/>
  <c r="B14375" i="1"/>
  <c r="G14374" i="1"/>
  <c r="C14374" i="1"/>
  <c r="B14374" i="1"/>
  <c r="G14373" i="1"/>
  <c r="B14373" i="1"/>
  <c r="G14372" i="1"/>
  <c r="B14372" i="1"/>
  <c r="G14371" i="1"/>
  <c r="C14371" i="1"/>
  <c r="B14371" i="1"/>
  <c r="G14370" i="1"/>
  <c r="C14370" i="1"/>
  <c r="B14370" i="1"/>
  <c r="G14369" i="1"/>
  <c r="B14369" i="1"/>
  <c r="G14368" i="1"/>
  <c r="B14368" i="1"/>
  <c r="G14367" i="1"/>
  <c r="B14367" i="1"/>
  <c r="G14366" i="1"/>
  <c r="B14366" i="1"/>
  <c r="G14365" i="1"/>
  <c r="C14365" i="1"/>
  <c r="B14365" i="1"/>
  <c r="G14364" i="1"/>
  <c r="B14364" i="1"/>
  <c r="G14363" i="1"/>
  <c r="C14363" i="1"/>
  <c r="B14363" i="1"/>
  <c r="G14362" i="1"/>
  <c r="C14362" i="1"/>
  <c r="B14362" i="1"/>
  <c r="G14361" i="1"/>
  <c r="C14361" i="1"/>
  <c r="B14361" i="1"/>
  <c r="G14360" i="1"/>
  <c r="C14360" i="1"/>
  <c r="B14360" i="1"/>
  <c r="G14359" i="1"/>
  <c r="C14359" i="1"/>
  <c r="B14359" i="1"/>
  <c r="G14358" i="1"/>
  <c r="C14358" i="1"/>
  <c r="B14358" i="1"/>
  <c r="G14357" i="1"/>
  <c r="C14357" i="1"/>
  <c r="B14357" i="1"/>
  <c r="G14356" i="1"/>
  <c r="B14356" i="1"/>
  <c r="G14355" i="1"/>
  <c r="B14355" i="1"/>
  <c r="G14354" i="1"/>
  <c r="C14354" i="1"/>
  <c r="B14354" i="1"/>
  <c r="G14353" i="1"/>
  <c r="C14353" i="1"/>
  <c r="B14353" i="1"/>
  <c r="G14352" i="1"/>
  <c r="C14352" i="1"/>
  <c r="B14352" i="1"/>
  <c r="G14351" i="1"/>
  <c r="C14351" i="1"/>
  <c r="B14351" i="1"/>
  <c r="G14350" i="1"/>
  <c r="B14350" i="1"/>
  <c r="G14349" i="1"/>
  <c r="C14349" i="1"/>
  <c r="B14349" i="1"/>
  <c r="G14348" i="1"/>
  <c r="C14348" i="1"/>
  <c r="B14348" i="1"/>
  <c r="G14347" i="1"/>
  <c r="C14347" i="1"/>
  <c r="B14347" i="1"/>
  <c r="G14346" i="1"/>
  <c r="C14346" i="1"/>
  <c r="B14346" i="1"/>
  <c r="G14345" i="1"/>
  <c r="C14345" i="1"/>
  <c r="B14345" i="1"/>
  <c r="G14344" i="1"/>
  <c r="C14344" i="1"/>
  <c r="B14344" i="1"/>
  <c r="G14343" i="1"/>
  <c r="B14343" i="1"/>
  <c r="G14342" i="1"/>
  <c r="C14342" i="1"/>
  <c r="B14342" i="1"/>
  <c r="G14341" i="1"/>
  <c r="C14341" i="1"/>
  <c r="B14341" i="1"/>
  <c r="G14340" i="1"/>
  <c r="B14340" i="1"/>
  <c r="G14339" i="1"/>
  <c r="B14339" i="1"/>
  <c r="G14338" i="1"/>
  <c r="B14338" i="1"/>
  <c r="G14337" i="1"/>
  <c r="C14337" i="1"/>
  <c r="B14337" i="1"/>
  <c r="G14336" i="1"/>
  <c r="B14336" i="1"/>
  <c r="G14335" i="1"/>
  <c r="C14335" i="1"/>
  <c r="B14335" i="1"/>
  <c r="G14334" i="1"/>
  <c r="C14334" i="1"/>
  <c r="B14334" i="1"/>
  <c r="G14333" i="1"/>
  <c r="C14333" i="1"/>
  <c r="B14333" i="1"/>
  <c r="G14332" i="1"/>
  <c r="C14332" i="1"/>
  <c r="B14332" i="1"/>
  <c r="G14331" i="1"/>
  <c r="C14331" i="1"/>
  <c r="B14331" i="1"/>
  <c r="G14330" i="1"/>
  <c r="C14330" i="1"/>
  <c r="B14330" i="1"/>
  <c r="G14329" i="1"/>
  <c r="C14329" i="1"/>
  <c r="B14329" i="1"/>
  <c r="G14328" i="1"/>
  <c r="B14328" i="1"/>
  <c r="G14327" i="1"/>
  <c r="C14327" i="1"/>
  <c r="B14327" i="1"/>
  <c r="G14326" i="1"/>
  <c r="C14326" i="1"/>
  <c r="B14326" i="1"/>
  <c r="G14325" i="1"/>
  <c r="B14325" i="1"/>
  <c r="G14324" i="1"/>
  <c r="C14324" i="1"/>
  <c r="B14324" i="1"/>
  <c r="G14323" i="1"/>
  <c r="C14323" i="1"/>
  <c r="B14323" i="1"/>
  <c r="G14322" i="1"/>
  <c r="B14322" i="1"/>
  <c r="G14321" i="1"/>
  <c r="C14321" i="1"/>
  <c r="B14321" i="1"/>
  <c r="G14320" i="1"/>
  <c r="B14320" i="1"/>
  <c r="G14319" i="1"/>
  <c r="C14319" i="1"/>
  <c r="B14319" i="1"/>
  <c r="G14318" i="1"/>
  <c r="C14318" i="1"/>
  <c r="B14318" i="1"/>
  <c r="G14317" i="1"/>
  <c r="C14317" i="1"/>
  <c r="B14317" i="1"/>
  <c r="G14316" i="1"/>
  <c r="C14316" i="1"/>
  <c r="B14316" i="1"/>
  <c r="G14315" i="1"/>
  <c r="C14315" i="1"/>
  <c r="B14315" i="1"/>
  <c r="G14314" i="1"/>
  <c r="B14314" i="1"/>
  <c r="G14313" i="1"/>
  <c r="B14313" i="1"/>
  <c r="G14312" i="1"/>
  <c r="C14312" i="1"/>
  <c r="B14312" i="1"/>
  <c r="G14311" i="1"/>
  <c r="B14311" i="1"/>
  <c r="G14310" i="1"/>
  <c r="B14310" i="1"/>
  <c r="G14309" i="1"/>
  <c r="B14309" i="1"/>
  <c r="G14308" i="1"/>
  <c r="C14308" i="1"/>
  <c r="B14308" i="1"/>
  <c r="G14307" i="1"/>
  <c r="C14307" i="1"/>
  <c r="B14307" i="1"/>
  <c r="G14306" i="1"/>
  <c r="C14306" i="1"/>
  <c r="B14306" i="1"/>
  <c r="G14305" i="1"/>
  <c r="C14305" i="1"/>
  <c r="B14305" i="1"/>
  <c r="G14304" i="1"/>
  <c r="C14304" i="1"/>
  <c r="B14304" i="1"/>
  <c r="G14303" i="1"/>
  <c r="C14303" i="1"/>
  <c r="B14303" i="1"/>
  <c r="G14302" i="1"/>
  <c r="B14302" i="1"/>
  <c r="G14301" i="1"/>
  <c r="C14301" i="1"/>
  <c r="B14301" i="1"/>
  <c r="G14300" i="1"/>
  <c r="B14300" i="1"/>
  <c r="G14299" i="1"/>
  <c r="C14299" i="1"/>
  <c r="B14299" i="1"/>
  <c r="G14298" i="1"/>
  <c r="C14298" i="1"/>
  <c r="B14298" i="1"/>
  <c r="G14297" i="1"/>
  <c r="C14297" i="1"/>
  <c r="B14297" i="1"/>
  <c r="G14296" i="1"/>
  <c r="C14296" i="1"/>
  <c r="B14296" i="1"/>
  <c r="G14295" i="1"/>
  <c r="C14295" i="1"/>
  <c r="B14295" i="1"/>
  <c r="G14294" i="1"/>
  <c r="B14294" i="1"/>
  <c r="G14293" i="1"/>
  <c r="B14293" i="1"/>
  <c r="G14292" i="1"/>
  <c r="B14292" i="1"/>
  <c r="G14291" i="1"/>
  <c r="C14291" i="1"/>
  <c r="B14291" i="1"/>
  <c r="G14290" i="1"/>
  <c r="C14290" i="1"/>
  <c r="B14290" i="1"/>
  <c r="G14289" i="1"/>
  <c r="C14289" i="1"/>
  <c r="B14289" i="1"/>
  <c r="G14288" i="1"/>
  <c r="B14288" i="1"/>
  <c r="G14287" i="1"/>
  <c r="C14287" i="1"/>
  <c r="B14287" i="1"/>
  <c r="G14286" i="1"/>
  <c r="C14286" i="1"/>
  <c r="B14286" i="1"/>
  <c r="G14285" i="1"/>
  <c r="C14285" i="1"/>
  <c r="B14285" i="1"/>
  <c r="G14284" i="1"/>
  <c r="B14284" i="1"/>
  <c r="G14283" i="1"/>
  <c r="B14283" i="1"/>
  <c r="G14282" i="1"/>
  <c r="C14282" i="1"/>
  <c r="B14282" i="1"/>
  <c r="G14281" i="1"/>
  <c r="C14281" i="1"/>
  <c r="B14281" i="1"/>
  <c r="G14280" i="1"/>
  <c r="B14280" i="1"/>
  <c r="G14279" i="1"/>
  <c r="C14279" i="1"/>
  <c r="B14279" i="1"/>
  <c r="G14278" i="1"/>
  <c r="C14278" i="1"/>
  <c r="B14278" i="1"/>
  <c r="G14277" i="1"/>
  <c r="C14277" i="1"/>
  <c r="B14277" i="1"/>
  <c r="G14276" i="1"/>
  <c r="B14276" i="1"/>
  <c r="G14275" i="1"/>
  <c r="C14275" i="1"/>
  <c r="B14275" i="1"/>
  <c r="G14274" i="1"/>
  <c r="C14274" i="1"/>
  <c r="B14274" i="1"/>
  <c r="G14273" i="1"/>
  <c r="B14273" i="1"/>
  <c r="G14272" i="1"/>
  <c r="B14272" i="1"/>
  <c r="G14271" i="1"/>
  <c r="B14271" i="1"/>
  <c r="G14270" i="1"/>
  <c r="C14270" i="1"/>
  <c r="B14270" i="1"/>
  <c r="G14269" i="1"/>
  <c r="C14269" i="1"/>
  <c r="B14269" i="1"/>
  <c r="G14268" i="1"/>
  <c r="C14268" i="1"/>
  <c r="B14268" i="1"/>
  <c r="G14267" i="1"/>
  <c r="B14267" i="1"/>
  <c r="G14266" i="1"/>
  <c r="C14266" i="1"/>
  <c r="B14266" i="1"/>
  <c r="G14265" i="1"/>
  <c r="C14265" i="1"/>
  <c r="B14265" i="1"/>
  <c r="G14264" i="1"/>
  <c r="B14264" i="1"/>
  <c r="G14263" i="1"/>
  <c r="C14263" i="1"/>
  <c r="B14263" i="1"/>
  <c r="G14262" i="1"/>
  <c r="B14262" i="1"/>
  <c r="G14261" i="1"/>
  <c r="C14261" i="1"/>
  <c r="B14261" i="1"/>
  <c r="G14260" i="1"/>
  <c r="C14260" i="1"/>
  <c r="B14260" i="1"/>
  <c r="G14259" i="1"/>
  <c r="C14259" i="1"/>
  <c r="B14259" i="1"/>
  <c r="G14258" i="1"/>
  <c r="B14258" i="1"/>
  <c r="G14257" i="1"/>
  <c r="B14257" i="1"/>
  <c r="G14256" i="1"/>
  <c r="B14256" i="1"/>
  <c r="G14255" i="1"/>
  <c r="C14255" i="1"/>
  <c r="B14255" i="1"/>
  <c r="G14254" i="1"/>
  <c r="C14254" i="1"/>
  <c r="B14254" i="1"/>
  <c r="G14253" i="1"/>
  <c r="C14253" i="1"/>
  <c r="B14253" i="1"/>
  <c r="G14252" i="1"/>
  <c r="C14252" i="1"/>
  <c r="B14252" i="1"/>
  <c r="G14251" i="1"/>
  <c r="C14251" i="1"/>
  <c r="B14251" i="1"/>
  <c r="G14250" i="1"/>
  <c r="C14250" i="1"/>
  <c r="B14250" i="1"/>
  <c r="G14249" i="1"/>
  <c r="B14249" i="1"/>
  <c r="G14248" i="1"/>
  <c r="C14248" i="1"/>
  <c r="B14248" i="1"/>
  <c r="G14247" i="1"/>
  <c r="C14247" i="1"/>
  <c r="B14247" i="1"/>
  <c r="G14246" i="1"/>
  <c r="B14246" i="1"/>
  <c r="G14245" i="1"/>
  <c r="C14245" i="1"/>
  <c r="B14245" i="1"/>
  <c r="G14244" i="1"/>
  <c r="B14244" i="1"/>
  <c r="G14243" i="1"/>
  <c r="B14243" i="1"/>
  <c r="G14242" i="1"/>
  <c r="B14242" i="1"/>
  <c r="G14241" i="1"/>
  <c r="B14241" i="1"/>
  <c r="G14240" i="1"/>
  <c r="C14240" i="1"/>
  <c r="B14240" i="1"/>
  <c r="G14239" i="1"/>
  <c r="B14239" i="1"/>
  <c r="G14238" i="1"/>
  <c r="C14238" i="1"/>
  <c r="B14238" i="1"/>
  <c r="G14237" i="1"/>
  <c r="C14237" i="1"/>
  <c r="B14237" i="1"/>
  <c r="G14236" i="1"/>
  <c r="C14236" i="1"/>
  <c r="B14236" i="1"/>
  <c r="G14235" i="1"/>
  <c r="B14235" i="1"/>
  <c r="G14234" i="1"/>
  <c r="B14234" i="1"/>
  <c r="G14233" i="1"/>
  <c r="C14233" i="1"/>
  <c r="B14233" i="1"/>
  <c r="G14232" i="1"/>
  <c r="C14232" i="1"/>
  <c r="B14232" i="1"/>
  <c r="G14231" i="1"/>
  <c r="B14231" i="1"/>
  <c r="G14230" i="1"/>
  <c r="C14230" i="1"/>
  <c r="B14230" i="1"/>
  <c r="G14229" i="1"/>
  <c r="C14229" i="1"/>
  <c r="B14229" i="1"/>
  <c r="G14228" i="1"/>
  <c r="C14228" i="1"/>
  <c r="B14228" i="1"/>
  <c r="G14227" i="1"/>
  <c r="C14227" i="1"/>
  <c r="B14227" i="1"/>
  <c r="G14226" i="1"/>
  <c r="C14226" i="1"/>
  <c r="B14226" i="1"/>
  <c r="G14225" i="1"/>
  <c r="B14225" i="1"/>
  <c r="G14224" i="1"/>
  <c r="C14224" i="1"/>
  <c r="B14224" i="1"/>
  <c r="G14223" i="1"/>
  <c r="C14223" i="1"/>
  <c r="B14223" i="1"/>
  <c r="G14222" i="1"/>
  <c r="B14222" i="1"/>
  <c r="G14221" i="1"/>
  <c r="C14221" i="1"/>
  <c r="B14221" i="1"/>
  <c r="G14220" i="1"/>
  <c r="B14220" i="1"/>
  <c r="G14219" i="1"/>
  <c r="C14219" i="1"/>
  <c r="B14219" i="1"/>
  <c r="G14218" i="1"/>
  <c r="C14218" i="1"/>
  <c r="B14218" i="1"/>
  <c r="G14217" i="1"/>
  <c r="C14217" i="1"/>
  <c r="B14217" i="1"/>
  <c r="G14216" i="1"/>
  <c r="C14216" i="1"/>
  <c r="B14216" i="1"/>
  <c r="G14215" i="1"/>
  <c r="C14215" i="1"/>
  <c r="B14215" i="1"/>
  <c r="G14214" i="1"/>
  <c r="C14214" i="1"/>
  <c r="B14214" i="1"/>
  <c r="G14213" i="1"/>
  <c r="C14213" i="1"/>
  <c r="B14213" i="1"/>
  <c r="G14212" i="1"/>
  <c r="C14212" i="1"/>
  <c r="B14212" i="1"/>
  <c r="G14211" i="1"/>
  <c r="C14211" i="1"/>
  <c r="B14211" i="1"/>
  <c r="G14210" i="1"/>
  <c r="C14210" i="1"/>
  <c r="B14210" i="1"/>
  <c r="G14209" i="1"/>
  <c r="B14209" i="1"/>
  <c r="G14208" i="1"/>
  <c r="B14208" i="1"/>
  <c r="G14207" i="1"/>
  <c r="C14207" i="1"/>
  <c r="B14207" i="1"/>
  <c r="G14206" i="1"/>
  <c r="B14206" i="1"/>
  <c r="G14205" i="1"/>
  <c r="C14205" i="1"/>
  <c r="B14205" i="1"/>
  <c r="G14204" i="1"/>
  <c r="C14204" i="1"/>
  <c r="B14204" i="1"/>
  <c r="G14203" i="1"/>
  <c r="B14203" i="1"/>
  <c r="G14202" i="1"/>
  <c r="B14202" i="1"/>
  <c r="G14201" i="1"/>
  <c r="B14201" i="1"/>
  <c r="G14200" i="1"/>
  <c r="C14200" i="1"/>
  <c r="B14200" i="1"/>
  <c r="G14199" i="1"/>
  <c r="C14199" i="1"/>
  <c r="B14199" i="1"/>
  <c r="G14198" i="1"/>
  <c r="C14198" i="1"/>
  <c r="B14198" i="1"/>
  <c r="G14197" i="1"/>
  <c r="C14197" i="1"/>
  <c r="B14197" i="1"/>
  <c r="G14196" i="1"/>
  <c r="C14196" i="1"/>
  <c r="B14196" i="1"/>
  <c r="G14195" i="1"/>
  <c r="C14195" i="1"/>
  <c r="B14195" i="1"/>
  <c r="G14194" i="1"/>
  <c r="C14194" i="1"/>
  <c r="B14194" i="1"/>
  <c r="G14193" i="1"/>
  <c r="C14193" i="1"/>
  <c r="B14193" i="1"/>
  <c r="G14192" i="1"/>
  <c r="C14192" i="1"/>
  <c r="B14192" i="1"/>
  <c r="G14191" i="1"/>
  <c r="C14191" i="1"/>
  <c r="B14191" i="1"/>
  <c r="G14190" i="1"/>
  <c r="C14190" i="1"/>
  <c r="B14190" i="1"/>
  <c r="G14189" i="1"/>
  <c r="C14189" i="1"/>
  <c r="B14189" i="1"/>
  <c r="G14188" i="1"/>
  <c r="B14188" i="1"/>
  <c r="G14187" i="1"/>
  <c r="C14187" i="1"/>
  <c r="B14187" i="1"/>
  <c r="G14186" i="1"/>
  <c r="B14186" i="1"/>
  <c r="G14185" i="1"/>
  <c r="C14185" i="1"/>
  <c r="B14185" i="1"/>
  <c r="G14184" i="1"/>
  <c r="C14184" i="1"/>
  <c r="B14184" i="1"/>
  <c r="G14183" i="1"/>
  <c r="B14183" i="1"/>
  <c r="G14182" i="1"/>
  <c r="C14182" i="1"/>
  <c r="B14182" i="1"/>
  <c r="G14181" i="1"/>
  <c r="C14181" i="1"/>
  <c r="B14181" i="1"/>
  <c r="G14180" i="1"/>
  <c r="B14180" i="1"/>
  <c r="G14179" i="1"/>
  <c r="B14179" i="1"/>
  <c r="G14178" i="1"/>
  <c r="B14178" i="1"/>
  <c r="G14177" i="1"/>
  <c r="C14177" i="1"/>
  <c r="B14177" i="1"/>
  <c r="G14176" i="1"/>
  <c r="C14176" i="1"/>
  <c r="B14176" i="1"/>
  <c r="G14175" i="1"/>
  <c r="B14175" i="1"/>
  <c r="G14174" i="1"/>
  <c r="C14174" i="1"/>
  <c r="B14174" i="1"/>
  <c r="G14173" i="1"/>
  <c r="B14173" i="1"/>
  <c r="G14172" i="1"/>
  <c r="C14172" i="1"/>
  <c r="B14172" i="1"/>
  <c r="G14171" i="1"/>
  <c r="C14171" i="1"/>
  <c r="B14171" i="1"/>
  <c r="G14170" i="1"/>
  <c r="C14170" i="1"/>
  <c r="B14170" i="1"/>
  <c r="G14169" i="1"/>
  <c r="B14169" i="1"/>
  <c r="G14168" i="1"/>
  <c r="C14168" i="1"/>
  <c r="B14168" i="1"/>
  <c r="G14167" i="1"/>
  <c r="C14167" i="1"/>
  <c r="B14167" i="1"/>
  <c r="G14166" i="1"/>
  <c r="B14166" i="1"/>
  <c r="G14165" i="1"/>
  <c r="C14165" i="1"/>
  <c r="B14165" i="1"/>
  <c r="G14164" i="1"/>
  <c r="C14164" i="1"/>
  <c r="B14164" i="1"/>
  <c r="G14163" i="1"/>
  <c r="C14163" i="1"/>
  <c r="B14163" i="1"/>
  <c r="G14162" i="1"/>
  <c r="C14162" i="1"/>
  <c r="B14162" i="1"/>
  <c r="G14161" i="1"/>
  <c r="B14161" i="1"/>
  <c r="G14160" i="1"/>
  <c r="C14160" i="1"/>
  <c r="B14160" i="1"/>
  <c r="G14159" i="1"/>
  <c r="C14159" i="1"/>
  <c r="B14159" i="1"/>
  <c r="G14158" i="1"/>
  <c r="C14158" i="1"/>
  <c r="B14158" i="1"/>
  <c r="G14157" i="1"/>
  <c r="C14157" i="1"/>
  <c r="B14157" i="1"/>
  <c r="G14156" i="1"/>
  <c r="C14156" i="1"/>
  <c r="B14156" i="1"/>
  <c r="G14155" i="1"/>
  <c r="C14155" i="1"/>
  <c r="B14155" i="1"/>
  <c r="G14154" i="1"/>
  <c r="C14154" i="1"/>
  <c r="B14154" i="1"/>
  <c r="G14153" i="1"/>
  <c r="B14153" i="1"/>
  <c r="G14152" i="1"/>
  <c r="C14152" i="1"/>
  <c r="B14152" i="1"/>
  <c r="G14151" i="1"/>
  <c r="B14151" i="1"/>
  <c r="G14150" i="1"/>
  <c r="C14150" i="1"/>
  <c r="B14150" i="1"/>
  <c r="G14149" i="1"/>
  <c r="C14149" i="1"/>
  <c r="B14149" i="1"/>
  <c r="G14148" i="1"/>
  <c r="B14148" i="1"/>
  <c r="G14147" i="1"/>
  <c r="B14147" i="1"/>
  <c r="G14146" i="1"/>
  <c r="C14146" i="1"/>
  <c r="B14146" i="1"/>
  <c r="G14145" i="1"/>
  <c r="B14145" i="1"/>
  <c r="G14144" i="1"/>
  <c r="C14144" i="1"/>
  <c r="B14144" i="1"/>
  <c r="G14143" i="1"/>
  <c r="B14143" i="1"/>
  <c r="G14142" i="1"/>
  <c r="C14142" i="1"/>
  <c r="B14142" i="1"/>
  <c r="G14141" i="1"/>
  <c r="C14141" i="1"/>
  <c r="B14141" i="1"/>
  <c r="G14140" i="1"/>
  <c r="B14140" i="1"/>
  <c r="G14139" i="1"/>
  <c r="C14139" i="1"/>
  <c r="B14139" i="1"/>
  <c r="G14138" i="1"/>
  <c r="C14138" i="1"/>
  <c r="B14138" i="1"/>
  <c r="G14137" i="1"/>
  <c r="C14137" i="1"/>
  <c r="B14137" i="1"/>
  <c r="G14136" i="1"/>
  <c r="C14136" i="1"/>
  <c r="B14136" i="1"/>
  <c r="G14135" i="1"/>
  <c r="C14135" i="1"/>
  <c r="B14135" i="1"/>
  <c r="G14134" i="1"/>
  <c r="B14134" i="1"/>
  <c r="G14133" i="1"/>
  <c r="B14133" i="1"/>
  <c r="G14132" i="1"/>
  <c r="B14132" i="1"/>
  <c r="G14131" i="1"/>
  <c r="C14131" i="1"/>
  <c r="B14131" i="1"/>
  <c r="G14130" i="1"/>
  <c r="C14130" i="1"/>
  <c r="B14130" i="1"/>
  <c r="G14129" i="1"/>
  <c r="B14129" i="1"/>
  <c r="G14128" i="1"/>
  <c r="C14128" i="1"/>
  <c r="B14128" i="1"/>
  <c r="G14127" i="1"/>
  <c r="B14127" i="1"/>
  <c r="G14126" i="1"/>
  <c r="C14126" i="1"/>
  <c r="B14126" i="1"/>
  <c r="G14125" i="1"/>
  <c r="C14125" i="1"/>
  <c r="B14125" i="1"/>
  <c r="G14124" i="1"/>
  <c r="B14124" i="1"/>
  <c r="G14123" i="1"/>
  <c r="B14123" i="1"/>
  <c r="G14122" i="1"/>
  <c r="B14122" i="1"/>
  <c r="G14121" i="1"/>
  <c r="B14121" i="1"/>
  <c r="G14120" i="1"/>
  <c r="B14120" i="1"/>
  <c r="G14119" i="1"/>
  <c r="C14119" i="1"/>
  <c r="B14119" i="1"/>
  <c r="G14118" i="1"/>
  <c r="C14118" i="1"/>
  <c r="B14118" i="1"/>
  <c r="G14117" i="1"/>
  <c r="B14117" i="1"/>
  <c r="G14116" i="1"/>
  <c r="C14116" i="1"/>
  <c r="B14116" i="1"/>
  <c r="G14115" i="1"/>
  <c r="C14115" i="1"/>
  <c r="B14115" i="1"/>
  <c r="G14114" i="1"/>
  <c r="C14114" i="1"/>
  <c r="B14114" i="1"/>
  <c r="G14113" i="1"/>
  <c r="C14113" i="1"/>
  <c r="B14113" i="1"/>
  <c r="G14112" i="1"/>
  <c r="C14112" i="1"/>
  <c r="B14112" i="1"/>
  <c r="G14111" i="1"/>
  <c r="B14111" i="1"/>
  <c r="G14110" i="1"/>
  <c r="B14110" i="1"/>
  <c r="G14109" i="1"/>
  <c r="C14109" i="1"/>
  <c r="B14109" i="1"/>
  <c r="G14108" i="1"/>
  <c r="B14108" i="1"/>
  <c r="G14107" i="1"/>
  <c r="B14107" i="1"/>
  <c r="G14106" i="1"/>
  <c r="C14106" i="1"/>
  <c r="B14106" i="1"/>
  <c r="G14105" i="1"/>
  <c r="C14105" i="1"/>
  <c r="B14105" i="1"/>
  <c r="G14104" i="1"/>
  <c r="C14104" i="1"/>
  <c r="B14104" i="1"/>
  <c r="G14103" i="1"/>
  <c r="C14103" i="1"/>
  <c r="B14103" i="1"/>
  <c r="G14102" i="1"/>
  <c r="C14102" i="1"/>
  <c r="B14102" i="1"/>
  <c r="G14101" i="1"/>
  <c r="C14101" i="1"/>
  <c r="B14101" i="1"/>
  <c r="G14100" i="1"/>
  <c r="C14100" i="1"/>
  <c r="B14100" i="1"/>
  <c r="G14099" i="1"/>
  <c r="C14099" i="1"/>
  <c r="B14099" i="1"/>
  <c r="G14098" i="1"/>
  <c r="C14098" i="1"/>
  <c r="B14098" i="1"/>
  <c r="G14097" i="1"/>
  <c r="C14097" i="1"/>
  <c r="B14097" i="1"/>
  <c r="G14096" i="1"/>
  <c r="C14096" i="1"/>
  <c r="B14096" i="1"/>
  <c r="G14095" i="1"/>
  <c r="C14095" i="1"/>
  <c r="B14095" i="1"/>
  <c r="G14094" i="1"/>
  <c r="C14094" i="1"/>
  <c r="B14094" i="1"/>
  <c r="G14093" i="1"/>
  <c r="C14093" i="1"/>
  <c r="B14093" i="1"/>
  <c r="G14092" i="1"/>
  <c r="B14092" i="1"/>
  <c r="G14091" i="1"/>
  <c r="C14091" i="1"/>
  <c r="B14091" i="1"/>
  <c r="G14090" i="1"/>
  <c r="C14090" i="1"/>
  <c r="B14090" i="1"/>
  <c r="G14089" i="1"/>
  <c r="B14089" i="1"/>
  <c r="G14088" i="1"/>
  <c r="C14088" i="1"/>
  <c r="B14088" i="1"/>
  <c r="G14087" i="1"/>
  <c r="C14087" i="1"/>
  <c r="B14087" i="1"/>
  <c r="G14086" i="1"/>
  <c r="B14086" i="1"/>
  <c r="G14085" i="1"/>
  <c r="B14085" i="1"/>
  <c r="G14084" i="1"/>
  <c r="B14084" i="1"/>
  <c r="G14083" i="1"/>
  <c r="C14083" i="1"/>
  <c r="B14083" i="1"/>
  <c r="G14082" i="1"/>
  <c r="C14082" i="1"/>
  <c r="B14082" i="1"/>
  <c r="G14081" i="1"/>
  <c r="C14081" i="1"/>
  <c r="B14081" i="1"/>
  <c r="G14080" i="1"/>
  <c r="C14080" i="1"/>
  <c r="B14080" i="1"/>
  <c r="G14079" i="1"/>
  <c r="B14079" i="1"/>
  <c r="G14078" i="1"/>
  <c r="B14078" i="1"/>
  <c r="G14077" i="1"/>
  <c r="C14077" i="1"/>
  <c r="B14077" i="1"/>
  <c r="G14076" i="1"/>
  <c r="B14076" i="1"/>
  <c r="G14075" i="1"/>
  <c r="C14075" i="1"/>
  <c r="B14075" i="1"/>
  <c r="G14074" i="1"/>
  <c r="C14074" i="1"/>
  <c r="B14074" i="1"/>
  <c r="G14073" i="1"/>
  <c r="C14073" i="1"/>
  <c r="B14073" i="1"/>
  <c r="G14072" i="1"/>
  <c r="C14072" i="1"/>
  <c r="B14072" i="1"/>
  <c r="G14071" i="1"/>
  <c r="C14071" i="1"/>
  <c r="B14071" i="1"/>
  <c r="G14070" i="1"/>
  <c r="B14070" i="1"/>
  <c r="G14069" i="1"/>
  <c r="B14069" i="1"/>
  <c r="G14068" i="1"/>
  <c r="B14068" i="1"/>
  <c r="G14067" i="1"/>
  <c r="C14067" i="1"/>
  <c r="B14067" i="1"/>
  <c r="G14066" i="1"/>
  <c r="C14066" i="1"/>
  <c r="B14066" i="1"/>
  <c r="G14065" i="1"/>
  <c r="C14065" i="1"/>
  <c r="B14065" i="1"/>
  <c r="G14064" i="1"/>
  <c r="B14064" i="1"/>
  <c r="G14063" i="1"/>
  <c r="C14063" i="1"/>
  <c r="B14063" i="1"/>
  <c r="G14062" i="1"/>
  <c r="C14062" i="1"/>
  <c r="B14062" i="1"/>
  <c r="G14061" i="1"/>
  <c r="C14061" i="1"/>
  <c r="B14061" i="1"/>
  <c r="G14060" i="1"/>
  <c r="C14060" i="1"/>
  <c r="B14060" i="1"/>
  <c r="G14059" i="1"/>
  <c r="C14059" i="1"/>
  <c r="B14059" i="1"/>
  <c r="G14058" i="1"/>
  <c r="C14058" i="1"/>
  <c r="B14058" i="1"/>
  <c r="G14057" i="1"/>
  <c r="C14057" i="1"/>
  <c r="B14057" i="1"/>
  <c r="G14056" i="1"/>
  <c r="C14056" i="1"/>
  <c r="B14056" i="1"/>
  <c r="G14055" i="1"/>
  <c r="C14055" i="1"/>
  <c r="B14055" i="1"/>
  <c r="G14054" i="1"/>
  <c r="C14054" i="1"/>
  <c r="B14054" i="1"/>
  <c r="G14053" i="1"/>
  <c r="C14053" i="1"/>
  <c r="B14053" i="1"/>
  <c r="G14052" i="1"/>
  <c r="C14052" i="1"/>
  <c r="B14052" i="1"/>
  <c r="G14051" i="1"/>
  <c r="C14051" i="1"/>
  <c r="B14051" i="1"/>
  <c r="G14050" i="1"/>
  <c r="B14050" i="1"/>
  <c r="G14049" i="1"/>
  <c r="C14049" i="1"/>
  <c r="B14049" i="1"/>
  <c r="G14048" i="1"/>
  <c r="C14048" i="1"/>
  <c r="B14048" i="1"/>
  <c r="G14047" i="1"/>
  <c r="C14047" i="1"/>
  <c r="B14047" i="1"/>
  <c r="G14046" i="1"/>
  <c r="B14046" i="1"/>
  <c r="G14045" i="1"/>
  <c r="C14045" i="1"/>
  <c r="B14045" i="1"/>
  <c r="G14044" i="1"/>
  <c r="C14044" i="1"/>
  <c r="B14044" i="1"/>
  <c r="G14043" i="1"/>
  <c r="B14043" i="1"/>
  <c r="G14042" i="1"/>
  <c r="C14042" i="1"/>
  <c r="B14042" i="1"/>
  <c r="G14041" i="1"/>
  <c r="C14041" i="1"/>
  <c r="B14041" i="1"/>
  <c r="G14040" i="1"/>
  <c r="C14040" i="1"/>
  <c r="B14040" i="1"/>
  <c r="G14039" i="1"/>
  <c r="B14039" i="1"/>
  <c r="G14038" i="1"/>
  <c r="B14038" i="1"/>
  <c r="G14037" i="1"/>
  <c r="C14037" i="1"/>
  <c r="B14037" i="1"/>
  <c r="G14036" i="1"/>
  <c r="B14036" i="1"/>
  <c r="G14035" i="1"/>
  <c r="B14035" i="1"/>
  <c r="G14034" i="1"/>
  <c r="C14034" i="1"/>
  <c r="B14034" i="1"/>
  <c r="G14033" i="1"/>
  <c r="C14033" i="1"/>
  <c r="B14033" i="1"/>
  <c r="G14032" i="1"/>
  <c r="B14032" i="1"/>
  <c r="G14031" i="1"/>
  <c r="C14031" i="1"/>
  <c r="B14031" i="1"/>
  <c r="G14030" i="1"/>
  <c r="C14030" i="1"/>
  <c r="B14030" i="1"/>
  <c r="G14029" i="1"/>
  <c r="C14029" i="1"/>
  <c r="B14029" i="1"/>
  <c r="G14028" i="1"/>
  <c r="C14028" i="1"/>
  <c r="B14028" i="1"/>
  <c r="G14027" i="1"/>
  <c r="C14027" i="1"/>
  <c r="B14027" i="1"/>
  <c r="G14026" i="1"/>
  <c r="C14026" i="1"/>
  <c r="B14026" i="1"/>
  <c r="G14025" i="1"/>
  <c r="C14025" i="1"/>
  <c r="B14025" i="1"/>
  <c r="G14024" i="1"/>
  <c r="B14024" i="1"/>
  <c r="G14023" i="1"/>
  <c r="B14023" i="1"/>
  <c r="G14022" i="1"/>
  <c r="C14022" i="1"/>
  <c r="B14022" i="1"/>
  <c r="G14021" i="1"/>
  <c r="C14021" i="1"/>
  <c r="B14021" i="1"/>
  <c r="G14020" i="1"/>
  <c r="C14020" i="1"/>
  <c r="B14020" i="1"/>
  <c r="G14019" i="1"/>
  <c r="C14019" i="1"/>
  <c r="B14019" i="1"/>
  <c r="G14018" i="1"/>
  <c r="B14018" i="1"/>
  <c r="G14017" i="1"/>
  <c r="C14017" i="1"/>
  <c r="B14017" i="1"/>
  <c r="G14016" i="1"/>
  <c r="B14016" i="1"/>
  <c r="G14015" i="1"/>
  <c r="B14015" i="1"/>
  <c r="G14014" i="1"/>
  <c r="B14014" i="1"/>
  <c r="G14013" i="1"/>
  <c r="C14013" i="1"/>
  <c r="B14013" i="1"/>
  <c r="G14012" i="1"/>
  <c r="C14012" i="1"/>
  <c r="B14012" i="1"/>
  <c r="G14011" i="1"/>
  <c r="C14011" i="1"/>
  <c r="B14011" i="1"/>
  <c r="G14010" i="1"/>
  <c r="B14010" i="1"/>
  <c r="G14009" i="1"/>
  <c r="B14009" i="1"/>
  <c r="G14008" i="1"/>
  <c r="C14008" i="1"/>
  <c r="B14008" i="1"/>
  <c r="G14007" i="1"/>
  <c r="C14007" i="1"/>
  <c r="B14007" i="1"/>
  <c r="G14006" i="1"/>
  <c r="C14006" i="1"/>
  <c r="B14006" i="1"/>
  <c r="G14005" i="1"/>
  <c r="C14005" i="1"/>
  <c r="B14005" i="1"/>
  <c r="G14004" i="1"/>
  <c r="C14004" i="1"/>
  <c r="B14004" i="1"/>
  <c r="G14003" i="1"/>
  <c r="B14003" i="1"/>
  <c r="G14002" i="1"/>
  <c r="B14002" i="1"/>
  <c r="G14001" i="1"/>
  <c r="C14001" i="1"/>
  <c r="B14001" i="1"/>
  <c r="G14000" i="1"/>
  <c r="B14000" i="1"/>
  <c r="G13999" i="1"/>
  <c r="C13999" i="1"/>
  <c r="B13999" i="1"/>
  <c r="G13998" i="1"/>
  <c r="C13998" i="1"/>
  <c r="B13998" i="1"/>
  <c r="G13997" i="1"/>
  <c r="C13997" i="1"/>
  <c r="B13997" i="1"/>
  <c r="G13996" i="1"/>
  <c r="C13996" i="1"/>
  <c r="B13996" i="1"/>
  <c r="G13995" i="1"/>
  <c r="B13995" i="1"/>
  <c r="G13994" i="1"/>
  <c r="C13994" i="1"/>
  <c r="B13994" i="1"/>
  <c r="G13993" i="1"/>
  <c r="C13993" i="1"/>
  <c r="B13993" i="1"/>
  <c r="G13992" i="1"/>
  <c r="B13992" i="1"/>
  <c r="G13991" i="1"/>
  <c r="B13991" i="1"/>
  <c r="G13990" i="1"/>
  <c r="C13990" i="1"/>
  <c r="B13990" i="1"/>
  <c r="G13989" i="1"/>
  <c r="B13989" i="1"/>
  <c r="G13988" i="1"/>
  <c r="B13988" i="1"/>
  <c r="G13987" i="1"/>
  <c r="C13987" i="1"/>
  <c r="B13987" i="1"/>
  <c r="G13986" i="1"/>
  <c r="C13986" i="1"/>
  <c r="B13986" i="1"/>
  <c r="G13985" i="1"/>
  <c r="B13985" i="1"/>
  <c r="G13984" i="1"/>
  <c r="B13984" i="1"/>
  <c r="G13983" i="1"/>
  <c r="B13983" i="1"/>
  <c r="G13982" i="1"/>
  <c r="C13982" i="1"/>
  <c r="B13982" i="1"/>
  <c r="G13981" i="1"/>
  <c r="B13981" i="1"/>
  <c r="G13980" i="1"/>
  <c r="B13980" i="1"/>
  <c r="G13979" i="1"/>
  <c r="C13979" i="1"/>
  <c r="B13979" i="1"/>
  <c r="G13978" i="1"/>
  <c r="C13978" i="1"/>
  <c r="B13978" i="1"/>
  <c r="G13977" i="1"/>
  <c r="C13977" i="1"/>
  <c r="B13977" i="1"/>
  <c r="G13976" i="1"/>
  <c r="C13976" i="1"/>
  <c r="B13976" i="1"/>
  <c r="G13975" i="1"/>
  <c r="C13975" i="1"/>
  <c r="B13975" i="1"/>
  <c r="G13974" i="1"/>
  <c r="C13974" i="1"/>
  <c r="B13974" i="1"/>
  <c r="G13973" i="1"/>
  <c r="C13973" i="1"/>
  <c r="B13973" i="1"/>
  <c r="G13972" i="1"/>
  <c r="C13972" i="1"/>
  <c r="B13972" i="1"/>
  <c r="G13971" i="1"/>
  <c r="B13971" i="1"/>
  <c r="G13970" i="1"/>
  <c r="C13970" i="1"/>
  <c r="B13970" i="1"/>
  <c r="G13969" i="1"/>
  <c r="C13969" i="1"/>
  <c r="B13969" i="1"/>
  <c r="G13968" i="1"/>
  <c r="C13968" i="1"/>
  <c r="B13968" i="1"/>
  <c r="G13967" i="1"/>
  <c r="B13967" i="1"/>
  <c r="G13966" i="1"/>
  <c r="C13966" i="1"/>
  <c r="B13966" i="1"/>
  <c r="G13965" i="1"/>
  <c r="B13965" i="1"/>
  <c r="G13964" i="1"/>
  <c r="B13964" i="1"/>
  <c r="G13963" i="1"/>
  <c r="C13963" i="1"/>
  <c r="B13963" i="1"/>
  <c r="G13962" i="1"/>
  <c r="C13962" i="1"/>
  <c r="B13962" i="1"/>
  <c r="G13961" i="1"/>
  <c r="C13961" i="1"/>
  <c r="B13961" i="1"/>
  <c r="G13960" i="1"/>
  <c r="B13960" i="1"/>
  <c r="G13959" i="1"/>
  <c r="C13959" i="1"/>
  <c r="B13959" i="1"/>
  <c r="G13958" i="1"/>
  <c r="B13958" i="1"/>
  <c r="G13957" i="1"/>
  <c r="C13957" i="1"/>
  <c r="B13957" i="1"/>
  <c r="G13956" i="1"/>
  <c r="B13956" i="1"/>
  <c r="G13955" i="1"/>
  <c r="C13955" i="1"/>
  <c r="B13955" i="1"/>
  <c r="G13954" i="1"/>
  <c r="C13954" i="1"/>
  <c r="B13954" i="1"/>
  <c r="G13953" i="1"/>
  <c r="B13953" i="1"/>
  <c r="G13952" i="1"/>
  <c r="C13952" i="1"/>
  <c r="B13952" i="1"/>
  <c r="G13951" i="1"/>
  <c r="B13951" i="1"/>
  <c r="G13950" i="1"/>
  <c r="C13950" i="1"/>
  <c r="B13950" i="1"/>
  <c r="G13949" i="1"/>
  <c r="C13949" i="1"/>
  <c r="B13949" i="1"/>
  <c r="G13948" i="1"/>
  <c r="C13948" i="1"/>
  <c r="B13948" i="1"/>
  <c r="G13947" i="1"/>
  <c r="B13947" i="1"/>
  <c r="G13946" i="1"/>
  <c r="C13946" i="1"/>
  <c r="B13946" i="1"/>
  <c r="G13945" i="1"/>
  <c r="C13945" i="1"/>
  <c r="B13945" i="1"/>
  <c r="G13944" i="1"/>
  <c r="C13944" i="1"/>
  <c r="B13944" i="1"/>
  <c r="G13943" i="1"/>
  <c r="C13943" i="1"/>
  <c r="B13943" i="1"/>
  <c r="G13942" i="1"/>
  <c r="C13942" i="1"/>
  <c r="B13942" i="1"/>
  <c r="G13941" i="1"/>
  <c r="C13941" i="1"/>
  <c r="B13941" i="1"/>
  <c r="G13940" i="1"/>
  <c r="B13940" i="1"/>
  <c r="G13939" i="1"/>
  <c r="B13939" i="1"/>
  <c r="G13938" i="1"/>
  <c r="B13938" i="1"/>
  <c r="G13937" i="1"/>
  <c r="C13937" i="1"/>
  <c r="B13937" i="1"/>
  <c r="G13936" i="1"/>
  <c r="C13936" i="1"/>
  <c r="B13936" i="1"/>
  <c r="G13935" i="1"/>
  <c r="C13935" i="1"/>
  <c r="B13935" i="1"/>
  <c r="G13934" i="1"/>
  <c r="B13934" i="1"/>
  <c r="G13933" i="1"/>
  <c r="C13933" i="1"/>
  <c r="B13933" i="1"/>
  <c r="G13932" i="1"/>
  <c r="C13932" i="1"/>
  <c r="B13932" i="1"/>
  <c r="G13931" i="1"/>
  <c r="C13931" i="1"/>
  <c r="B13931" i="1"/>
  <c r="G13930" i="1"/>
  <c r="C13930" i="1"/>
  <c r="B13930" i="1"/>
  <c r="G13929" i="1"/>
  <c r="C13929" i="1"/>
  <c r="B13929" i="1"/>
  <c r="G13928" i="1"/>
  <c r="C13928" i="1"/>
  <c r="B13928" i="1"/>
  <c r="G13927" i="1"/>
  <c r="C13927" i="1"/>
  <c r="B13927" i="1"/>
  <c r="G13926" i="1"/>
  <c r="C13926" i="1"/>
  <c r="B13926" i="1"/>
  <c r="G13925" i="1"/>
  <c r="C13925" i="1"/>
  <c r="B13925" i="1"/>
  <c r="G13924" i="1"/>
  <c r="B13924" i="1"/>
  <c r="G13923" i="1"/>
  <c r="C13923" i="1"/>
  <c r="B13923" i="1"/>
  <c r="G13922" i="1"/>
  <c r="C13922" i="1"/>
  <c r="B13922" i="1"/>
  <c r="G13921" i="1"/>
  <c r="B13921" i="1"/>
  <c r="G13920" i="1"/>
  <c r="C13920" i="1"/>
  <c r="B13920" i="1"/>
  <c r="G13919" i="1"/>
  <c r="C13919" i="1"/>
  <c r="B13919" i="1"/>
  <c r="G13918" i="1"/>
  <c r="B13918" i="1"/>
  <c r="G13917" i="1"/>
  <c r="B13917" i="1"/>
  <c r="G13916" i="1"/>
  <c r="C13916" i="1"/>
  <c r="B13916" i="1"/>
  <c r="G13915" i="1"/>
  <c r="B13915" i="1"/>
  <c r="G13914" i="1"/>
  <c r="C13914" i="1"/>
  <c r="B13914" i="1"/>
  <c r="G13913" i="1"/>
  <c r="C13913" i="1"/>
  <c r="B13913" i="1"/>
  <c r="G13912" i="1"/>
  <c r="B13912" i="1"/>
  <c r="G13911" i="1"/>
  <c r="C13911" i="1"/>
  <c r="B13911" i="1"/>
  <c r="G13910" i="1"/>
  <c r="C13910" i="1"/>
  <c r="B13910" i="1"/>
  <c r="G13909" i="1"/>
  <c r="C13909" i="1"/>
  <c r="B13909" i="1"/>
  <c r="G13908" i="1"/>
  <c r="C13908" i="1"/>
  <c r="B13908" i="1"/>
  <c r="G13907" i="1"/>
  <c r="C13907" i="1"/>
  <c r="B13907" i="1"/>
  <c r="G13906" i="1"/>
  <c r="C13906" i="1"/>
  <c r="B13906" i="1"/>
  <c r="G13905" i="1"/>
  <c r="B13905" i="1"/>
  <c r="G13904" i="1"/>
  <c r="C13904" i="1"/>
  <c r="B13904" i="1"/>
  <c r="G13903" i="1"/>
  <c r="B13903" i="1"/>
  <c r="G13902" i="1"/>
  <c r="C13902" i="1"/>
  <c r="B13902" i="1"/>
  <c r="G13901" i="1"/>
  <c r="C13901" i="1"/>
  <c r="B13901" i="1"/>
  <c r="G13900" i="1"/>
  <c r="B13900" i="1"/>
  <c r="G13899" i="1"/>
  <c r="C13899" i="1"/>
  <c r="B13899" i="1"/>
  <c r="G13898" i="1"/>
  <c r="C13898" i="1"/>
  <c r="B13898" i="1"/>
  <c r="G13897" i="1"/>
  <c r="C13897" i="1"/>
  <c r="B13897" i="1"/>
  <c r="G13896" i="1"/>
  <c r="C13896" i="1"/>
  <c r="B13896" i="1"/>
  <c r="G13895" i="1"/>
  <c r="C13895" i="1"/>
  <c r="B13895" i="1"/>
  <c r="G13894" i="1"/>
  <c r="C13894" i="1"/>
  <c r="B13894" i="1"/>
  <c r="G13893" i="1"/>
  <c r="B13893" i="1"/>
  <c r="G13892" i="1"/>
  <c r="C13892" i="1"/>
  <c r="B13892" i="1"/>
  <c r="G13891" i="1"/>
  <c r="B13891" i="1"/>
  <c r="G13890" i="1"/>
  <c r="C13890" i="1"/>
  <c r="B13890" i="1"/>
  <c r="G13889" i="1"/>
  <c r="C13889" i="1"/>
  <c r="B13889" i="1"/>
  <c r="G13888" i="1"/>
  <c r="C13888" i="1"/>
  <c r="B13888" i="1"/>
  <c r="G13887" i="1"/>
  <c r="B13887" i="1"/>
  <c r="G13886" i="1"/>
  <c r="B13886" i="1"/>
  <c r="G13885" i="1"/>
  <c r="B13885" i="1"/>
  <c r="G13884" i="1"/>
  <c r="B13884" i="1"/>
  <c r="G13883" i="1"/>
  <c r="C13883" i="1"/>
  <c r="B13883" i="1"/>
  <c r="G13882" i="1"/>
  <c r="C13882" i="1"/>
  <c r="B13882" i="1"/>
  <c r="G13881" i="1"/>
  <c r="C13881" i="1"/>
  <c r="B13881" i="1"/>
  <c r="G13880" i="1"/>
  <c r="B13880" i="1"/>
  <c r="G13879" i="1"/>
  <c r="C13879" i="1"/>
  <c r="B13879" i="1"/>
  <c r="G13878" i="1"/>
  <c r="C13878" i="1"/>
  <c r="B13878" i="1"/>
  <c r="G13877" i="1"/>
  <c r="C13877" i="1"/>
  <c r="B13877" i="1"/>
  <c r="G13876" i="1"/>
  <c r="C13876" i="1"/>
  <c r="B13876" i="1"/>
  <c r="G13875" i="1"/>
  <c r="B13875" i="1"/>
  <c r="G13874" i="1"/>
  <c r="C13874" i="1"/>
  <c r="B13874" i="1"/>
  <c r="G13873" i="1"/>
  <c r="B13873" i="1"/>
  <c r="G13872" i="1"/>
  <c r="B13872" i="1"/>
  <c r="G13871" i="1"/>
  <c r="C13871" i="1"/>
  <c r="B13871" i="1"/>
  <c r="G13870" i="1"/>
  <c r="C13870" i="1"/>
  <c r="B13870" i="1"/>
  <c r="G13869" i="1"/>
  <c r="C13869" i="1"/>
  <c r="B13869" i="1"/>
  <c r="G13868" i="1"/>
  <c r="B13868" i="1"/>
  <c r="G13867" i="1"/>
  <c r="C13867" i="1"/>
  <c r="B13867" i="1"/>
  <c r="G13866" i="1"/>
  <c r="C13866" i="1"/>
  <c r="B13866" i="1"/>
  <c r="G13865" i="1"/>
  <c r="C13865" i="1"/>
  <c r="B13865" i="1"/>
  <c r="G13864" i="1"/>
  <c r="C13864" i="1"/>
  <c r="B13864" i="1"/>
  <c r="G13863" i="1"/>
  <c r="C13863" i="1"/>
  <c r="B13863" i="1"/>
  <c r="G13862" i="1"/>
  <c r="C13862" i="1"/>
  <c r="B13862" i="1"/>
  <c r="G13861" i="1"/>
  <c r="C13861" i="1"/>
  <c r="B13861" i="1"/>
  <c r="G13860" i="1"/>
  <c r="B13860" i="1"/>
  <c r="G13859" i="1"/>
  <c r="B13859" i="1"/>
  <c r="G13858" i="1"/>
  <c r="C13858" i="1"/>
  <c r="B13858" i="1"/>
  <c r="G13857" i="1"/>
  <c r="B13857" i="1"/>
  <c r="G13856" i="1"/>
  <c r="C13856" i="1"/>
  <c r="B13856" i="1"/>
  <c r="G13855" i="1"/>
  <c r="C13855" i="1"/>
  <c r="B13855" i="1"/>
  <c r="G13854" i="1"/>
  <c r="C13854" i="1"/>
  <c r="B13854" i="1"/>
  <c r="G13853" i="1"/>
  <c r="B13853" i="1"/>
  <c r="G13852" i="1"/>
  <c r="C13852" i="1"/>
  <c r="B13852" i="1"/>
  <c r="G13851" i="1"/>
  <c r="C13851" i="1"/>
  <c r="B13851" i="1"/>
  <c r="G13850" i="1"/>
  <c r="C13850" i="1"/>
  <c r="B13850" i="1"/>
  <c r="G13849" i="1"/>
  <c r="C13849" i="1"/>
  <c r="B13849" i="1"/>
  <c r="G13848" i="1"/>
  <c r="C13848" i="1"/>
  <c r="B13848" i="1"/>
  <c r="G13847" i="1"/>
  <c r="C13847" i="1"/>
  <c r="B13847" i="1"/>
  <c r="G13846" i="1"/>
  <c r="C13846" i="1"/>
  <c r="B13846" i="1"/>
  <c r="G13845" i="1"/>
  <c r="C13845" i="1"/>
  <c r="B13845" i="1"/>
  <c r="G13844" i="1"/>
  <c r="C13844" i="1"/>
  <c r="B13844" i="1"/>
  <c r="G13843" i="1"/>
  <c r="C13843" i="1"/>
  <c r="B13843" i="1"/>
  <c r="G13842" i="1"/>
  <c r="C13842" i="1"/>
  <c r="B13842" i="1"/>
  <c r="G13841" i="1"/>
  <c r="C13841" i="1"/>
  <c r="B13841" i="1"/>
  <c r="G13840" i="1"/>
  <c r="C13840" i="1"/>
  <c r="B13840" i="1"/>
  <c r="G13839" i="1"/>
  <c r="C13839" i="1"/>
  <c r="B13839" i="1"/>
  <c r="G13838" i="1"/>
  <c r="B13838" i="1"/>
  <c r="G13837" i="1"/>
  <c r="B13837" i="1"/>
  <c r="G13836" i="1"/>
  <c r="C13836" i="1"/>
  <c r="B13836" i="1"/>
  <c r="G13835" i="1"/>
  <c r="C13835" i="1"/>
  <c r="B13835" i="1"/>
  <c r="G13834" i="1"/>
  <c r="C13834" i="1"/>
  <c r="B13834" i="1"/>
  <c r="G13833" i="1"/>
  <c r="B13833" i="1"/>
  <c r="G13832" i="1"/>
  <c r="C13832" i="1"/>
  <c r="B13832" i="1"/>
  <c r="G13831" i="1"/>
  <c r="C13831" i="1"/>
  <c r="B13831" i="1"/>
  <c r="G13830" i="1"/>
  <c r="B13830" i="1"/>
  <c r="G13829" i="1"/>
  <c r="B13829" i="1"/>
  <c r="G13828" i="1"/>
  <c r="C13828" i="1"/>
  <c r="B13828" i="1"/>
  <c r="G13827" i="1"/>
  <c r="B13827" i="1"/>
  <c r="G13826" i="1"/>
  <c r="C13826" i="1"/>
  <c r="B13826" i="1"/>
  <c r="G13825" i="1"/>
  <c r="C13825" i="1"/>
  <c r="B13825" i="1"/>
  <c r="G13824" i="1"/>
  <c r="B13824" i="1"/>
  <c r="G13823" i="1"/>
  <c r="C13823" i="1"/>
  <c r="B13823" i="1"/>
  <c r="G13822" i="1"/>
  <c r="B13822" i="1"/>
  <c r="G13821" i="1"/>
  <c r="C13821" i="1"/>
  <c r="B13821" i="1"/>
  <c r="G13820" i="1"/>
  <c r="C13820" i="1"/>
  <c r="B13820" i="1"/>
  <c r="G13819" i="1"/>
  <c r="B13819" i="1"/>
  <c r="G13818" i="1"/>
  <c r="C13818" i="1"/>
  <c r="B13818" i="1"/>
  <c r="G13817" i="1"/>
  <c r="B13817" i="1"/>
  <c r="G13816" i="1"/>
  <c r="C13816" i="1"/>
  <c r="B13816" i="1"/>
  <c r="G13815" i="1"/>
  <c r="C13815" i="1"/>
  <c r="B13815" i="1"/>
  <c r="G13814" i="1"/>
  <c r="C13814" i="1"/>
  <c r="B13814" i="1"/>
  <c r="G13813" i="1"/>
  <c r="C13813" i="1"/>
  <c r="B13813" i="1"/>
  <c r="G13812" i="1"/>
  <c r="C13812" i="1"/>
  <c r="B13812" i="1"/>
  <c r="G13811" i="1"/>
  <c r="C13811" i="1"/>
  <c r="B13811" i="1"/>
  <c r="G13810" i="1"/>
  <c r="C13810" i="1"/>
  <c r="B13810" i="1"/>
  <c r="G13809" i="1"/>
  <c r="C13809" i="1"/>
  <c r="B13809" i="1"/>
  <c r="G13808" i="1"/>
  <c r="C13808" i="1"/>
  <c r="B13808" i="1"/>
  <c r="G13807" i="1"/>
  <c r="C13807" i="1"/>
  <c r="B13807" i="1"/>
  <c r="G13806" i="1"/>
  <c r="C13806" i="1"/>
  <c r="B13806" i="1"/>
  <c r="G13805" i="1"/>
  <c r="C13805" i="1"/>
  <c r="B13805" i="1"/>
  <c r="G13804" i="1"/>
  <c r="B13804" i="1"/>
  <c r="G13803" i="1"/>
  <c r="C13803" i="1"/>
  <c r="B13803" i="1"/>
  <c r="G13802" i="1"/>
  <c r="C13802" i="1"/>
  <c r="B13802" i="1"/>
  <c r="G13801" i="1"/>
  <c r="C13801" i="1"/>
  <c r="B13801" i="1"/>
  <c r="G13800" i="1"/>
  <c r="C13800" i="1"/>
  <c r="B13800" i="1"/>
  <c r="G13799" i="1"/>
  <c r="C13799" i="1"/>
  <c r="B13799" i="1"/>
  <c r="G13798" i="1"/>
  <c r="C13798" i="1"/>
  <c r="B13798" i="1"/>
  <c r="G13797" i="1"/>
  <c r="B13797" i="1"/>
  <c r="G13796" i="1"/>
  <c r="C13796" i="1"/>
  <c r="B13796" i="1"/>
  <c r="G13795" i="1"/>
  <c r="B13795" i="1"/>
  <c r="G13794" i="1"/>
  <c r="C13794" i="1"/>
  <c r="B13794" i="1"/>
  <c r="G13793" i="1"/>
  <c r="C13793" i="1"/>
  <c r="B13793" i="1"/>
  <c r="G13792" i="1"/>
  <c r="C13792" i="1"/>
  <c r="B13792" i="1"/>
  <c r="G13791" i="1"/>
  <c r="B13791" i="1"/>
  <c r="G13790" i="1"/>
  <c r="B13790" i="1"/>
  <c r="G13789" i="1"/>
  <c r="C13789" i="1"/>
  <c r="B13789" i="1"/>
  <c r="G13788" i="1"/>
  <c r="B13788" i="1"/>
  <c r="G13787" i="1"/>
  <c r="C13787" i="1"/>
  <c r="B13787" i="1"/>
  <c r="G13786" i="1"/>
  <c r="B13786" i="1"/>
  <c r="G13785" i="1"/>
  <c r="C13785" i="1"/>
  <c r="B13785" i="1"/>
  <c r="G13784" i="1"/>
  <c r="C13784" i="1"/>
  <c r="B13784" i="1"/>
  <c r="G13783" i="1"/>
  <c r="C13783" i="1"/>
  <c r="B13783" i="1"/>
  <c r="G13782" i="1"/>
  <c r="C13782" i="1"/>
  <c r="B13782" i="1"/>
  <c r="G13781" i="1"/>
  <c r="B13781" i="1"/>
  <c r="G13780" i="1"/>
  <c r="C13780" i="1"/>
  <c r="B13780" i="1"/>
  <c r="G13779" i="1"/>
  <c r="C13779" i="1"/>
  <c r="B13779" i="1"/>
  <c r="G13778" i="1"/>
  <c r="C13778" i="1"/>
  <c r="B13778" i="1"/>
  <c r="G13777" i="1"/>
  <c r="B13777" i="1"/>
  <c r="G13776" i="1"/>
  <c r="C13776" i="1"/>
  <c r="B13776" i="1"/>
  <c r="G13775" i="1"/>
  <c r="C13775" i="1"/>
  <c r="B13775" i="1"/>
  <c r="G13774" i="1"/>
  <c r="C13774" i="1"/>
  <c r="B13774" i="1"/>
  <c r="G13773" i="1"/>
  <c r="C13773" i="1"/>
  <c r="B13773" i="1"/>
  <c r="G13772" i="1"/>
  <c r="C13772" i="1"/>
  <c r="B13772" i="1"/>
  <c r="G13771" i="1"/>
  <c r="C13771" i="1"/>
  <c r="B13771" i="1"/>
  <c r="G13770" i="1"/>
  <c r="B13770" i="1"/>
  <c r="G13769" i="1"/>
  <c r="C13769" i="1"/>
  <c r="B13769" i="1"/>
  <c r="G13768" i="1"/>
  <c r="C13768" i="1"/>
  <c r="B13768" i="1"/>
  <c r="G13767" i="1"/>
  <c r="C13767" i="1"/>
  <c r="B13767" i="1"/>
  <c r="G13766" i="1"/>
  <c r="C13766" i="1"/>
  <c r="B13766" i="1"/>
  <c r="G13765" i="1"/>
  <c r="C13765" i="1"/>
  <c r="B13765" i="1"/>
  <c r="G13764" i="1"/>
  <c r="C13764" i="1"/>
  <c r="B13764" i="1"/>
  <c r="G13763" i="1"/>
  <c r="C13763" i="1"/>
  <c r="B13763" i="1"/>
  <c r="G13762" i="1"/>
  <c r="C13762" i="1"/>
  <c r="B13762" i="1"/>
  <c r="G13761" i="1"/>
  <c r="B13761" i="1"/>
  <c r="G13760" i="1"/>
  <c r="B13760" i="1"/>
  <c r="G13759" i="1"/>
  <c r="C13759" i="1"/>
  <c r="B13759" i="1"/>
  <c r="G13758" i="1"/>
  <c r="C13758" i="1"/>
  <c r="B13758" i="1"/>
  <c r="G13757" i="1"/>
  <c r="B13757" i="1"/>
  <c r="G13756" i="1"/>
  <c r="C13756" i="1"/>
  <c r="B13756" i="1"/>
  <c r="G13755" i="1"/>
  <c r="C13755" i="1"/>
  <c r="B13755" i="1"/>
  <c r="G13754" i="1"/>
  <c r="C13754" i="1"/>
  <c r="B13754" i="1"/>
  <c r="G13753" i="1"/>
  <c r="C13753" i="1"/>
  <c r="B13753" i="1"/>
  <c r="G13752" i="1"/>
  <c r="C13752" i="1"/>
  <c r="B13752" i="1"/>
  <c r="G13751" i="1"/>
  <c r="C13751" i="1"/>
  <c r="B13751" i="1"/>
  <c r="G13750" i="1"/>
  <c r="C13750" i="1"/>
  <c r="B13750" i="1"/>
  <c r="G13749" i="1"/>
  <c r="C13749" i="1"/>
  <c r="B13749" i="1"/>
  <c r="G13748" i="1"/>
  <c r="C13748" i="1"/>
  <c r="B13748" i="1"/>
  <c r="G13747" i="1"/>
  <c r="C13747" i="1"/>
  <c r="B13747" i="1"/>
  <c r="G13746" i="1"/>
  <c r="C13746" i="1"/>
  <c r="B13746" i="1"/>
  <c r="G13745" i="1"/>
  <c r="C13745" i="1"/>
  <c r="B13745" i="1"/>
  <c r="G13744" i="1"/>
  <c r="C13744" i="1"/>
  <c r="B13744" i="1"/>
  <c r="G13743" i="1"/>
  <c r="B13743" i="1"/>
  <c r="G13742" i="1"/>
  <c r="C13742" i="1"/>
  <c r="B13742" i="1"/>
  <c r="G13741" i="1"/>
  <c r="C13741" i="1"/>
  <c r="B13741" i="1"/>
  <c r="G13740" i="1"/>
  <c r="C13740" i="1"/>
  <c r="B13740" i="1"/>
  <c r="G13739" i="1"/>
  <c r="C13739" i="1"/>
  <c r="B13739" i="1"/>
  <c r="G13738" i="1"/>
  <c r="C13738" i="1"/>
  <c r="B13738" i="1"/>
  <c r="G13737" i="1"/>
  <c r="C13737" i="1"/>
  <c r="B13737" i="1"/>
  <c r="G13736" i="1"/>
  <c r="C13736" i="1"/>
  <c r="B13736" i="1"/>
  <c r="G13735" i="1"/>
  <c r="C13735" i="1"/>
  <c r="B13735" i="1"/>
  <c r="G13734" i="1"/>
  <c r="C13734" i="1"/>
  <c r="B13734" i="1"/>
  <c r="G13733" i="1"/>
  <c r="B13733" i="1"/>
  <c r="G13732" i="1"/>
  <c r="C13732" i="1"/>
  <c r="B13732" i="1"/>
  <c r="G13731" i="1"/>
  <c r="C13731" i="1"/>
  <c r="B13731" i="1"/>
  <c r="G13730" i="1"/>
  <c r="B13730" i="1"/>
  <c r="G13729" i="1"/>
  <c r="C13729" i="1"/>
  <c r="B13729" i="1"/>
  <c r="G13728" i="1"/>
  <c r="B13728" i="1"/>
  <c r="G13727" i="1"/>
  <c r="C13727" i="1"/>
  <c r="B13727" i="1"/>
  <c r="G13726" i="1"/>
  <c r="B13726" i="1"/>
  <c r="G13725" i="1"/>
  <c r="B13725" i="1"/>
  <c r="G13724" i="1"/>
  <c r="C13724" i="1"/>
  <c r="B13724" i="1"/>
  <c r="G13723" i="1"/>
  <c r="C13723" i="1"/>
  <c r="B13723" i="1"/>
  <c r="G13722" i="1"/>
  <c r="B13722" i="1"/>
  <c r="G13721" i="1"/>
  <c r="C13721" i="1"/>
  <c r="B13721" i="1"/>
  <c r="G13720" i="1"/>
  <c r="C13720" i="1"/>
  <c r="B13720" i="1"/>
  <c r="G13719" i="1"/>
  <c r="B13719" i="1"/>
  <c r="G13718" i="1"/>
  <c r="B13718" i="1"/>
  <c r="G13717" i="1"/>
  <c r="C13717" i="1"/>
  <c r="B13717" i="1"/>
  <c r="G13716" i="1"/>
  <c r="C13716" i="1"/>
  <c r="B13716" i="1"/>
  <c r="G13715" i="1"/>
  <c r="C13715" i="1"/>
  <c r="B13715" i="1"/>
  <c r="G13714" i="1"/>
  <c r="C13714" i="1"/>
  <c r="B13714" i="1"/>
  <c r="G13713" i="1"/>
  <c r="B13713" i="1"/>
  <c r="G13712" i="1"/>
  <c r="C13712" i="1"/>
  <c r="B13712" i="1"/>
  <c r="G13711" i="1"/>
  <c r="C13711" i="1"/>
  <c r="B13711" i="1"/>
  <c r="G13710" i="1"/>
  <c r="C13710" i="1"/>
  <c r="B13710" i="1"/>
  <c r="G13709" i="1"/>
  <c r="C13709" i="1"/>
  <c r="B13709" i="1"/>
  <c r="G13708" i="1"/>
  <c r="C13708" i="1"/>
  <c r="B13708" i="1"/>
  <c r="G13707" i="1"/>
  <c r="C13707" i="1"/>
  <c r="B13707" i="1"/>
  <c r="G13706" i="1"/>
  <c r="B13706" i="1"/>
  <c r="G13705" i="1"/>
  <c r="C13705" i="1"/>
  <c r="B13705" i="1"/>
  <c r="G13704" i="1"/>
  <c r="C13704" i="1"/>
  <c r="B13704" i="1"/>
  <c r="G13703" i="1"/>
  <c r="C13703" i="1"/>
  <c r="B13703" i="1"/>
  <c r="G13702" i="1"/>
  <c r="C13702" i="1"/>
  <c r="B13702" i="1"/>
  <c r="G13701" i="1"/>
  <c r="C13701" i="1"/>
  <c r="B13701" i="1"/>
  <c r="G13700" i="1"/>
  <c r="C13700" i="1"/>
  <c r="B13700" i="1"/>
  <c r="G13699" i="1"/>
  <c r="C13699" i="1"/>
  <c r="B13699" i="1"/>
  <c r="G13698" i="1"/>
  <c r="C13698" i="1"/>
  <c r="B13698" i="1"/>
  <c r="G13697" i="1"/>
  <c r="C13697" i="1"/>
  <c r="B13697" i="1"/>
  <c r="G13696" i="1"/>
  <c r="C13696" i="1"/>
  <c r="B13696" i="1"/>
  <c r="G13695" i="1"/>
  <c r="C13695" i="1"/>
  <c r="B13695" i="1"/>
  <c r="G13694" i="1"/>
  <c r="C13694" i="1"/>
  <c r="B13694" i="1"/>
  <c r="G13693" i="1"/>
  <c r="C13693" i="1"/>
  <c r="B13693" i="1"/>
  <c r="G13692" i="1"/>
  <c r="B13692" i="1"/>
  <c r="G13691" i="1"/>
  <c r="C13691" i="1"/>
  <c r="B13691" i="1"/>
  <c r="G13690" i="1"/>
  <c r="C13690" i="1"/>
  <c r="B13690" i="1"/>
  <c r="G13689" i="1"/>
  <c r="C13689" i="1"/>
  <c r="B13689" i="1"/>
  <c r="G13688" i="1"/>
  <c r="C13688" i="1"/>
  <c r="B13688" i="1"/>
  <c r="G13687" i="1"/>
  <c r="B13687" i="1"/>
  <c r="G13686" i="1"/>
  <c r="C13686" i="1"/>
  <c r="B13686" i="1"/>
  <c r="G13685" i="1"/>
  <c r="B13685" i="1"/>
  <c r="G13684" i="1"/>
  <c r="C13684" i="1"/>
  <c r="B13684" i="1"/>
  <c r="G13683" i="1"/>
  <c r="C13683" i="1"/>
  <c r="B13683" i="1"/>
  <c r="G13682" i="1"/>
  <c r="C13682" i="1"/>
  <c r="B13682" i="1"/>
  <c r="G13681" i="1"/>
  <c r="C13681" i="1"/>
  <c r="B13681" i="1"/>
  <c r="G13680" i="1"/>
  <c r="C13680" i="1"/>
  <c r="B13680" i="1"/>
  <c r="G13679" i="1"/>
  <c r="B13679" i="1"/>
  <c r="G13678" i="1"/>
  <c r="C13678" i="1"/>
  <c r="B13678" i="1"/>
  <c r="G13677" i="1"/>
  <c r="C13677" i="1"/>
  <c r="B13677" i="1"/>
  <c r="G13676" i="1"/>
  <c r="C13676" i="1"/>
  <c r="B13676" i="1"/>
  <c r="G13675" i="1"/>
  <c r="C13675" i="1"/>
  <c r="B13675" i="1"/>
  <c r="G13674" i="1"/>
  <c r="C13674" i="1"/>
  <c r="B13674" i="1"/>
  <c r="G13673" i="1"/>
  <c r="C13673" i="1"/>
  <c r="B13673" i="1"/>
  <c r="G13672" i="1"/>
  <c r="B13672" i="1"/>
  <c r="G13671" i="1"/>
  <c r="B13671" i="1"/>
  <c r="G13670" i="1"/>
  <c r="C13670" i="1"/>
  <c r="B13670" i="1"/>
  <c r="G13669" i="1"/>
  <c r="C13669" i="1"/>
  <c r="B13669" i="1"/>
  <c r="G13668" i="1"/>
  <c r="C13668" i="1"/>
  <c r="B13668" i="1"/>
  <c r="G13667" i="1"/>
  <c r="C13667" i="1"/>
  <c r="B13667" i="1"/>
  <c r="G13666" i="1"/>
  <c r="C13666" i="1"/>
  <c r="B13666" i="1"/>
  <c r="G13665" i="1"/>
  <c r="C13665" i="1"/>
  <c r="B13665" i="1"/>
  <c r="G13664" i="1"/>
  <c r="B13664" i="1"/>
  <c r="G13663" i="1"/>
  <c r="C13663" i="1"/>
  <c r="B13663" i="1"/>
  <c r="G13662" i="1"/>
  <c r="B13662" i="1"/>
  <c r="G13661" i="1"/>
  <c r="C13661" i="1"/>
  <c r="B13661" i="1"/>
  <c r="G13660" i="1"/>
  <c r="C13660" i="1"/>
  <c r="B13660" i="1"/>
  <c r="G13659" i="1"/>
  <c r="C13659" i="1"/>
  <c r="B13659" i="1"/>
  <c r="G13658" i="1"/>
  <c r="C13658" i="1"/>
  <c r="B13658" i="1"/>
  <c r="G13657" i="1"/>
  <c r="C13657" i="1"/>
  <c r="B13657" i="1"/>
  <c r="G13656" i="1"/>
  <c r="C13656" i="1"/>
  <c r="B13656" i="1"/>
  <c r="G13655" i="1"/>
  <c r="B13655" i="1"/>
  <c r="G13654" i="1"/>
  <c r="C13654" i="1"/>
  <c r="B13654" i="1"/>
  <c r="G13653" i="1"/>
  <c r="B13653" i="1"/>
  <c r="G13652" i="1"/>
  <c r="B13652" i="1"/>
  <c r="G13651" i="1"/>
  <c r="B13651" i="1"/>
  <c r="G13650" i="1"/>
  <c r="C13650" i="1"/>
  <c r="B13650" i="1"/>
  <c r="G13649" i="1"/>
  <c r="C13649" i="1"/>
  <c r="B13649" i="1"/>
  <c r="G13648" i="1"/>
  <c r="C13648" i="1"/>
  <c r="B13648" i="1"/>
  <c r="G13647" i="1"/>
  <c r="C13647" i="1"/>
  <c r="B13647" i="1"/>
  <c r="G13646" i="1"/>
  <c r="C13646" i="1"/>
  <c r="B13646" i="1"/>
  <c r="G13645" i="1"/>
  <c r="C13645" i="1"/>
  <c r="B13645" i="1"/>
  <c r="G13644" i="1"/>
  <c r="C13644" i="1"/>
  <c r="B13644" i="1"/>
  <c r="G13643" i="1"/>
  <c r="C13643" i="1"/>
  <c r="B13643" i="1"/>
  <c r="G13642" i="1"/>
  <c r="B13642" i="1"/>
  <c r="G13641" i="1"/>
  <c r="C13641" i="1"/>
  <c r="B13641" i="1"/>
  <c r="G13640" i="1"/>
  <c r="C13640" i="1"/>
  <c r="B13640" i="1"/>
  <c r="G13639" i="1"/>
  <c r="B13639" i="1"/>
  <c r="G13638" i="1"/>
  <c r="C13638" i="1"/>
  <c r="B13638" i="1"/>
  <c r="G13637" i="1"/>
  <c r="B13637" i="1"/>
  <c r="G13636" i="1"/>
  <c r="C13636" i="1"/>
  <c r="B13636" i="1"/>
  <c r="G13635" i="1"/>
  <c r="C13635" i="1"/>
  <c r="B13635" i="1"/>
  <c r="G13634" i="1"/>
  <c r="C13634" i="1"/>
  <c r="B13634" i="1"/>
  <c r="G13633" i="1"/>
  <c r="C13633" i="1"/>
  <c r="B13633" i="1"/>
  <c r="G13632" i="1"/>
  <c r="C13632" i="1"/>
  <c r="B13632" i="1"/>
  <c r="G13631" i="1"/>
  <c r="C13631" i="1"/>
  <c r="B13631" i="1"/>
  <c r="G13630" i="1"/>
  <c r="C13630" i="1"/>
  <c r="B13630" i="1"/>
  <c r="G13629" i="1"/>
  <c r="B13629" i="1"/>
  <c r="G13628" i="1"/>
  <c r="B13628" i="1"/>
  <c r="G13627" i="1"/>
  <c r="B13627" i="1"/>
  <c r="G13626" i="1"/>
  <c r="C13626" i="1"/>
  <c r="B13626" i="1"/>
  <c r="G13625" i="1"/>
  <c r="B13625" i="1"/>
  <c r="G13624" i="1"/>
  <c r="C13624" i="1"/>
  <c r="B13624" i="1"/>
  <c r="G13623" i="1"/>
  <c r="C13623" i="1"/>
  <c r="B13623" i="1"/>
  <c r="G13622" i="1"/>
  <c r="C13622" i="1"/>
  <c r="B13622" i="1"/>
  <c r="G13621" i="1"/>
  <c r="C13621" i="1"/>
  <c r="B13621" i="1"/>
  <c r="G13620" i="1"/>
  <c r="C13620" i="1"/>
  <c r="B13620" i="1"/>
  <c r="G13619" i="1"/>
  <c r="B13619" i="1"/>
  <c r="G13618" i="1"/>
  <c r="C13618" i="1"/>
  <c r="B13618" i="1"/>
  <c r="G13617" i="1"/>
  <c r="C13617" i="1"/>
  <c r="B13617" i="1"/>
  <c r="G13616" i="1"/>
  <c r="C13616" i="1"/>
  <c r="B13616" i="1"/>
  <c r="G13615" i="1"/>
  <c r="B13615" i="1"/>
  <c r="G13614" i="1"/>
  <c r="B13614" i="1"/>
  <c r="G13613" i="1"/>
  <c r="C13613" i="1"/>
  <c r="B13613" i="1"/>
  <c r="G13612" i="1"/>
  <c r="B13612" i="1"/>
  <c r="G13611" i="1"/>
  <c r="C13611" i="1"/>
  <c r="B13611" i="1"/>
  <c r="G13610" i="1"/>
  <c r="B13610" i="1"/>
  <c r="G13609" i="1"/>
  <c r="C13609" i="1"/>
  <c r="B13609" i="1"/>
  <c r="G13608" i="1"/>
  <c r="C13608" i="1"/>
  <c r="B13608" i="1"/>
  <c r="G13607" i="1"/>
  <c r="C13607" i="1"/>
  <c r="B13607" i="1"/>
  <c r="G13606" i="1"/>
  <c r="C13606" i="1"/>
  <c r="B13606" i="1"/>
  <c r="G13605" i="1"/>
  <c r="C13605" i="1"/>
  <c r="B13605" i="1"/>
  <c r="G13604" i="1"/>
  <c r="B13604" i="1"/>
  <c r="G13603" i="1"/>
  <c r="C13603" i="1"/>
  <c r="B13603" i="1"/>
  <c r="G13602" i="1"/>
  <c r="C13602" i="1"/>
  <c r="B13602" i="1"/>
  <c r="G13601" i="1"/>
  <c r="C13601" i="1"/>
  <c r="B13601" i="1"/>
  <c r="G13600" i="1"/>
  <c r="C13600" i="1"/>
  <c r="B13600" i="1"/>
  <c r="G13599" i="1"/>
  <c r="C13599" i="1"/>
  <c r="B13599" i="1"/>
  <c r="G13598" i="1"/>
  <c r="C13598" i="1"/>
  <c r="B13598" i="1"/>
  <c r="G13597" i="1"/>
  <c r="B13597" i="1"/>
  <c r="G13596" i="1"/>
  <c r="B13596" i="1"/>
  <c r="G13595" i="1"/>
  <c r="C13595" i="1"/>
  <c r="B13595" i="1"/>
  <c r="G13594" i="1"/>
  <c r="C13594" i="1"/>
  <c r="B13594" i="1"/>
  <c r="G13593" i="1"/>
  <c r="C13593" i="1"/>
  <c r="B13593" i="1"/>
  <c r="G13592" i="1"/>
  <c r="C13592" i="1"/>
  <c r="B13592" i="1"/>
  <c r="G13591" i="1"/>
  <c r="C13591" i="1"/>
  <c r="B13591" i="1"/>
  <c r="G13590" i="1"/>
  <c r="B13590" i="1"/>
  <c r="G13589" i="1"/>
  <c r="C13589" i="1"/>
  <c r="B13589" i="1"/>
  <c r="G13588" i="1"/>
  <c r="B13588" i="1"/>
  <c r="G13587" i="1"/>
  <c r="B13587" i="1"/>
  <c r="G13586" i="1"/>
  <c r="B13586" i="1"/>
  <c r="G13585" i="1"/>
  <c r="C13585" i="1"/>
  <c r="B13585" i="1"/>
  <c r="G13584" i="1"/>
  <c r="B13584" i="1"/>
  <c r="G13583" i="1"/>
  <c r="C13583" i="1"/>
  <c r="B13583" i="1"/>
  <c r="G13582" i="1"/>
  <c r="C13582" i="1"/>
  <c r="B13582" i="1"/>
  <c r="G13581" i="1"/>
  <c r="C13581" i="1"/>
  <c r="B13581" i="1"/>
  <c r="G13580" i="1"/>
  <c r="C13580" i="1"/>
  <c r="B13580" i="1"/>
  <c r="G13579" i="1"/>
  <c r="C13579" i="1"/>
  <c r="B13579" i="1"/>
  <c r="G13578" i="1"/>
  <c r="B13578" i="1"/>
  <c r="G13577" i="1"/>
  <c r="C13577" i="1"/>
  <c r="B13577" i="1"/>
  <c r="G13576" i="1"/>
  <c r="C13576" i="1"/>
  <c r="B13576" i="1"/>
  <c r="G13575" i="1"/>
  <c r="C13575" i="1"/>
  <c r="B13575" i="1"/>
  <c r="G13574" i="1"/>
  <c r="B13574" i="1"/>
  <c r="G13573" i="1"/>
  <c r="C13573" i="1"/>
  <c r="B13573" i="1"/>
  <c r="G13572" i="1"/>
  <c r="C13572" i="1"/>
  <c r="B13572" i="1"/>
  <c r="G13571" i="1"/>
  <c r="C13571" i="1"/>
  <c r="B13571" i="1"/>
  <c r="G13570" i="1"/>
  <c r="C13570" i="1"/>
  <c r="B13570" i="1"/>
  <c r="G13569" i="1"/>
  <c r="C13569" i="1"/>
  <c r="B13569" i="1"/>
  <c r="G13568" i="1"/>
  <c r="C13568" i="1"/>
  <c r="B13568" i="1"/>
  <c r="G13567" i="1"/>
  <c r="B13567" i="1"/>
  <c r="G13566" i="1"/>
  <c r="C13566" i="1"/>
  <c r="B13566" i="1"/>
  <c r="G13565" i="1"/>
  <c r="C13565" i="1"/>
  <c r="B13565" i="1"/>
  <c r="G13564" i="1"/>
  <c r="C13564" i="1"/>
  <c r="B13564" i="1"/>
  <c r="G13563" i="1"/>
  <c r="C13563" i="1"/>
  <c r="B13563" i="1"/>
  <c r="G13562" i="1"/>
  <c r="C13562" i="1"/>
  <c r="B13562" i="1"/>
  <c r="G13561" i="1"/>
  <c r="C13561" i="1"/>
  <c r="B13561" i="1"/>
  <c r="G13560" i="1"/>
  <c r="C13560" i="1"/>
  <c r="B13560" i="1"/>
  <c r="G13559" i="1"/>
  <c r="C13559" i="1"/>
  <c r="B13559" i="1"/>
  <c r="G13558" i="1"/>
  <c r="C13558" i="1"/>
  <c r="B13558" i="1"/>
  <c r="G13557" i="1"/>
  <c r="B13557" i="1"/>
  <c r="G13556" i="1"/>
  <c r="C13556" i="1"/>
  <c r="B13556" i="1"/>
  <c r="G13555" i="1"/>
  <c r="C13555" i="1"/>
  <c r="B13555" i="1"/>
  <c r="G13554" i="1"/>
  <c r="C13554" i="1"/>
  <c r="B13554" i="1"/>
  <c r="G13553" i="1"/>
  <c r="B13553" i="1"/>
  <c r="G13552" i="1"/>
  <c r="C13552" i="1"/>
  <c r="B13552" i="1"/>
  <c r="G13551" i="1"/>
  <c r="C13551" i="1"/>
  <c r="B13551" i="1"/>
  <c r="G13550" i="1"/>
  <c r="C13550" i="1"/>
  <c r="B13550" i="1"/>
  <c r="G13549" i="1"/>
  <c r="C13549" i="1"/>
  <c r="B13549" i="1"/>
  <c r="G13548" i="1"/>
  <c r="C13548" i="1"/>
  <c r="B13548" i="1"/>
  <c r="G13547" i="1"/>
  <c r="C13547" i="1"/>
  <c r="B13547" i="1"/>
  <c r="G13546" i="1"/>
  <c r="B13546" i="1"/>
  <c r="G13545" i="1"/>
  <c r="C13545" i="1"/>
  <c r="B13545" i="1"/>
  <c r="G13544" i="1"/>
  <c r="B13544" i="1"/>
  <c r="G13543" i="1"/>
  <c r="B13543" i="1"/>
  <c r="G13542" i="1"/>
  <c r="B13542" i="1"/>
  <c r="G13541" i="1"/>
  <c r="C13541" i="1"/>
  <c r="B13541" i="1"/>
  <c r="G13540" i="1"/>
  <c r="C13540" i="1"/>
  <c r="B13540" i="1"/>
  <c r="G13539" i="1"/>
  <c r="C13539" i="1"/>
  <c r="B13539" i="1"/>
  <c r="G13538" i="1"/>
  <c r="B13538" i="1"/>
  <c r="G13537" i="1"/>
  <c r="C13537" i="1"/>
  <c r="B13537" i="1"/>
  <c r="G13536" i="1"/>
  <c r="C13536" i="1"/>
  <c r="B13536" i="1"/>
  <c r="G13535" i="1"/>
  <c r="C13535" i="1"/>
  <c r="B13535" i="1"/>
  <c r="G13534" i="1"/>
  <c r="C13534" i="1"/>
  <c r="B13534" i="1"/>
  <c r="G13533" i="1"/>
  <c r="C13533" i="1"/>
  <c r="B13533" i="1"/>
  <c r="G13532" i="1"/>
  <c r="C13532" i="1"/>
  <c r="B13532" i="1"/>
  <c r="G13531" i="1"/>
  <c r="B13531" i="1"/>
  <c r="G13530" i="1"/>
  <c r="C13530" i="1"/>
  <c r="B13530" i="1"/>
  <c r="G13529" i="1"/>
  <c r="C13529" i="1"/>
  <c r="B13529" i="1"/>
  <c r="G13528" i="1"/>
  <c r="C13528" i="1"/>
  <c r="B13528" i="1"/>
  <c r="G13527" i="1"/>
  <c r="C13527" i="1"/>
  <c r="B13527" i="1"/>
  <c r="G13526" i="1"/>
  <c r="C13526" i="1"/>
  <c r="B13526" i="1"/>
  <c r="G13525" i="1"/>
  <c r="B13525" i="1"/>
  <c r="G13524" i="1"/>
  <c r="B13524" i="1"/>
  <c r="G13523" i="1"/>
  <c r="B13523" i="1"/>
  <c r="G13522" i="1"/>
  <c r="B13522" i="1"/>
  <c r="G13521" i="1"/>
  <c r="B13521" i="1"/>
  <c r="G13520" i="1"/>
  <c r="B13520" i="1"/>
  <c r="G13519" i="1"/>
  <c r="C13519" i="1"/>
  <c r="B13519" i="1"/>
  <c r="G13518" i="1"/>
  <c r="C13518" i="1"/>
  <c r="B13518" i="1"/>
  <c r="G13517" i="1"/>
  <c r="B13517" i="1"/>
  <c r="G13516" i="1"/>
  <c r="C13516" i="1"/>
  <c r="B13516" i="1"/>
  <c r="G13515" i="1"/>
  <c r="C13515" i="1"/>
  <c r="B13515" i="1"/>
  <c r="G13514" i="1"/>
  <c r="C13514" i="1"/>
  <c r="B13514" i="1"/>
  <c r="G13513" i="1"/>
  <c r="C13513" i="1"/>
  <c r="B13513" i="1"/>
  <c r="G13512" i="1"/>
  <c r="C13512" i="1"/>
  <c r="B13512" i="1"/>
  <c r="G13511" i="1"/>
  <c r="C13511" i="1"/>
  <c r="B13511" i="1"/>
  <c r="G13510" i="1"/>
  <c r="C13510" i="1"/>
  <c r="B13510" i="1"/>
  <c r="G13509" i="1"/>
  <c r="B13509" i="1"/>
  <c r="G13508" i="1"/>
  <c r="C13508" i="1"/>
  <c r="B13508" i="1"/>
  <c r="G13507" i="1"/>
  <c r="B13507" i="1"/>
  <c r="G13506" i="1"/>
  <c r="C13506" i="1"/>
  <c r="B13506" i="1"/>
  <c r="G13505" i="1"/>
  <c r="B13505" i="1"/>
  <c r="G13504" i="1"/>
  <c r="C13504" i="1"/>
  <c r="B13504" i="1"/>
  <c r="G13503" i="1"/>
  <c r="C13503" i="1"/>
  <c r="B13503" i="1"/>
  <c r="G13502" i="1"/>
  <c r="B13502" i="1"/>
  <c r="G13501" i="1"/>
  <c r="C13501" i="1"/>
  <c r="B13501" i="1"/>
  <c r="G13500" i="1"/>
  <c r="B13500" i="1"/>
  <c r="G13499" i="1"/>
  <c r="C13499" i="1"/>
  <c r="B13499" i="1"/>
  <c r="G13498" i="1"/>
  <c r="C13498" i="1"/>
  <c r="B13498" i="1"/>
  <c r="G13497" i="1"/>
  <c r="C13497" i="1"/>
  <c r="B13497" i="1"/>
  <c r="G13496" i="1"/>
  <c r="C13496" i="1"/>
  <c r="B13496" i="1"/>
  <c r="G13495" i="1"/>
  <c r="B13495" i="1"/>
  <c r="G13494" i="1"/>
  <c r="C13494" i="1"/>
  <c r="B13494" i="1"/>
  <c r="G13493" i="1"/>
  <c r="C13493" i="1"/>
  <c r="B13493" i="1"/>
  <c r="G13492" i="1"/>
  <c r="B13492" i="1"/>
  <c r="G13491" i="1"/>
  <c r="C13491" i="1"/>
  <c r="B13491" i="1"/>
  <c r="G13490" i="1"/>
  <c r="B13490" i="1"/>
  <c r="G13489" i="1"/>
  <c r="C13489" i="1"/>
  <c r="B13489" i="1"/>
  <c r="G13488" i="1"/>
  <c r="B13488" i="1"/>
  <c r="G13487" i="1"/>
  <c r="B13487" i="1"/>
  <c r="G13486" i="1"/>
  <c r="C13486" i="1"/>
  <c r="B13486" i="1"/>
  <c r="G13485" i="1"/>
  <c r="B13485" i="1"/>
  <c r="G13484" i="1"/>
  <c r="C13484" i="1"/>
  <c r="B13484" i="1"/>
  <c r="G13483" i="1"/>
  <c r="B13483" i="1"/>
  <c r="G13482" i="1"/>
  <c r="C13482" i="1"/>
  <c r="B13482" i="1"/>
  <c r="G13481" i="1"/>
  <c r="C13481" i="1"/>
  <c r="B13481" i="1"/>
  <c r="G13480" i="1"/>
  <c r="C13480" i="1"/>
  <c r="B13480" i="1"/>
  <c r="G13479" i="1"/>
  <c r="C13479" i="1"/>
  <c r="B13479" i="1"/>
  <c r="G13478" i="1"/>
  <c r="C13478" i="1"/>
  <c r="B13478" i="1"/>
  <c r="G13477" i="1"/>
  <c r="C13477" i="1"/>
  <c r="B13477" i="1"/>
  <c r="G13476" i="1"/>
  <c r="B13476" i="1"/>
  <c r="G13475" i="1"/>
  <c r="C13475" i="1"/>
  <c r="B13475" i="1"/>
  <c r="G13474" i="1"/>
  <c r="B13474" i="1"/>
  <c r="G13473" i="1"/>
  <c r="C13473" i="1"/>
  <c r="B13473" i="1"/>
  <c r="G13472" i="1"/>
  <c r="C13472" i="1"/>
  <c r="B13472" i="1"/>
  <c r="G13471" i="1"/>
  <c r="C13471" i="1"/>
  <c r="B13471" i="1"/>
  <c r="G13470" i="1"/>
  <c r="B13470" i="1"/>
  <c r="G13469" i="1"/>
  <c r="B13469" i="1"/>
  <c r="G13468" i="1"/>
  <c r="B13468" i="1"/>
  <c r="G13467" i="1"/>
  <c r="B13467" i="1"/>
  <c r="G13466" i="1"/>
  <c r="C13466" i="1"/>
  <c r="B13466" i="1"/>
  <c r="G13465" i="1"/>
  <c r="C13465" i="1"/>
  <c r="B13465" i="1"/>
  <c r="G13464" i="1"/>
  <c r="B13464" i="1"/>
  <c r="G13463" i="1"/>
  <c r="B13463" i="1"/>
  <c r="G13462" i="1"/>
  <c r="C13462" i="1"/>
  <c r="B13462" i="1"/>
  <c r="G13461" i="1"/>
  <c r="C13461" i="1"/>
  <c r="B13461" i="1"/>
  <c r="G13460" i="1"/>
  <c r="B13460" i="1"/>
  <c r="G13459" i="1"/>
  <c r="C13459" i="1"/>
  <c r="B13459" i="1"/>
  <c r="G13458" i="1"/>
  <c r="C13458" i="1"/>
  <c r="B13458" i="1"/>
  <c r="G13457" i="1"/>
  <c r="C13457" i="1"/>
  <c r="B13457" i="1"/>
  <c r="G13456" i="1"/>
  <c r="B13456" i="1"/>
  <c r="G13455" i="1"/>
  <c r="C13455" i="1"/>
  <c r="B13455" i="1"/>
  <c r="G13454" i="1"/>
  <c r="B13454" i="1"/>
  <c r="G13453" i="1"/>
  <c r="B13453" i="1"/>
  <c r="G13452" i="1"/>
  <c r="C13452" i="1"/>
  <c r="B13452" i="1"/>
  <c r="G13451" i="1"/>
  <c r="B13451" i="1"/>
  <c r="G13450" i="1"/>
  <c r="C13450" i="1"/>
  <c r="B13450" i="1"/>
  <c r="G13449" i="1"/>
  <c r="B13449" i="1"/>
  <c r="G13448" i="1"/>
  <c r="C13448" i="1"/>
  <c r="B13448" i="1"/>
  <c r="G13447" i="1"/>
  <c r="C13447" i="1"/>
  <c r="B13447" i="1"/>
  <c r="G13446" i="1"/>
  <c r="C13446" i="1"/>
  <c r="B13446" i="1"/>
  <c r="G13445" i="1"/>
  <c r="C13445" i="1"/>
  <c r="B13445" i="1"/>
  <c r="G13444" i="1"/>
  <c r="B13444" i="1"/>
  <c r="G13443" i="1"/>
  <c r="C13443" i="1"/>
  <c r="B13443" i="1"/>
  <c r="G13442" i="1"/>
  <c r="C13442" i="1"/>
  <c r="B13442" i="1"/>
  <c r="G13441" i="1"/>
  <c r="B13441" i="1"/>
  <c r="G13440" i="1"/>
  <c r="C13440" i="1"/>
  <c r="B13440" i="1"/>
  <c r="G13439" i="1"/>
  <c r="C13439" i="1"/>
  <c r="B13439" i="1"/>
  <c r="G13438" i="1"/>
  <c r="B13438" i="1"/>
  <c r="G13437" i="1"/>
  <c r="C13437" i="1"/>
  <c r="B13437" i="1"/>
  <c r="G13436" i="1"/>
  <c r="C13436" i="1"/>
  <c r="B13436" i="1"/>
  <c r="G13435" i="1"/>
  <c r="C13435" i="1"/>
  <c r="B13435" i="1"/>
  <c r="G13434" i="1"/>
  <c r="C13434" i="1"/>
  <c r="B13434" i="1"/>
  <c r="G13433" i="1"/>
  <c r="B13433" i="1"/>
  <c r="G13432" i="1"/>
  <c r="C13432" i="1"/>
  <c r="B13432" i="1"/>
  <c r="G13431" i="1"/>
  <c r="C13431" i="1"/>
  <c r="B13431" i="1"/>
  <c r="G13430" i="1"/>
  <c r="B13430" i="1"/>
  <c r="G13429" i="1"/>
  <c r="B13429" i="1"/>
  <c r="G13428" i="1"/>
  <c r="B13428" i="1"/>
  <c r="G13427" i="1"/>
  <c r="B13427" i="1"/>
  <c r="G13426" i="1"/>
  <c r="C13426" i="1"/>
  <c r="B13426" i="1"/>
  <c r="G13425" i="1"/>
  <c r="C13425" i="1"/>
  <c r="B13425" i="1"/>
  <c r="G13424" i="1"/>
  <c r="C13424" i="1"/>
  <c r="B13424" i="1"/>
  <c r="G13423" i="1"/>
  <c r="C13423" i="1"/>
  <c r="B13423" i="1"/>
  <c r="G13422" i="1"/>
  <c r="B13422" i="1"/>
  <c r="G13421" i="1"/>
  <c r="C13421" i="1"/>
  <c r="B13421" i="1"/>
  <c r="G13420" i="1"/>
  <c r="C13420" i="1"/>
  <c r="B13420" i="1"/>
  <c r="G13419" i="1"/>
  <c r="C13419" i="1"/>
  <c r="B13419" i="1"/>
  <c r="G13418" i="1"/>
  <c r="B13418" i="1"/>
  <c r="G13417" i="1"/>
  <c r="C13417" i="1"/>
  <c r="B13417" i="1"/>
  <c r="G13416" i="1"/>
  <c r="C13416" i="1"/>
  <c r="B13416" i="1"/>
  <c r="G13415" i="1"/>
  <c r="C13415" i="1"/>
  <c r="B13415" i="1"/>
  <c r="G13414" i="1"/>
  <c r="B13414" i="1"/>
  <c r="G13413" i="1"/>
  <c r="C13413" i="1"/>
  <c r="B13413" i="1"/>
  <c r="G13412" i="1"/>
  <c r="C13412" i="1"/>
  <c r="B13412" i="1"/>
  <c r="G13411" i="1"/>
  <c r="B13411" i="1"/>
  <c r="G13410" i="1"/>
  <c r="C13410" i="1"/>
  <c r="B13410" i="1"/>
  <c r="G13409" i="1"/>
  <c r="C13409" i="1"/>
  <c r="B13409" i="1"/>
  <c r="G13408" i="1"/>
  <c r="C13408" i="1"/>
  <c r="B13408" i="1"/>
  <c r="G13407" i="1"/>
  <c r="C13407" i="1"/>
  <c r="B13407" i="1"/>
  <c r="G13406" i="1"/>
  <c r="C13406" i="1"/>
  <c r="B13406" i="1"/>
  <c r="G13405" i="1"/>
  <c r="B13405" i="1"/>
  <c r="G13404" i="1"/>
  <c r="C13404" i="1"/>
  <c r="B13404" i="1"/>
  <c r="G13403" i="1"/>
  <c r="C13403" i="1"/>
  <c r="B13403" i="1"/>
  <c r="G13402" i="1"/>
  <c r="C13402" i="1"/>
  <c r="B13402" i="1"/>
  <c r="G13401" i="1"/>
  <c r="C13401" i="1"/>
  <c r="B13401" i="1"/>
  <c r="G13400" i="1"/>
  <c r="C13400" i="1"/>
  <c r="B13400" i="1"/>
  <c r="G13399" i="1"/>
  <c r="B13399" i="1"/>
  <c r="G13398" i="1"/>
  <c r="C13398" i="1"/>
  <c r="B13398" i="1"/>
  <c r="G13397" i="1"/>
  <c r="C13397" i="1"/>
  <c r="B13397" i="1"/>
  <c r="G13396" i="1"/>
  <c r="C13396" i="1"/>
  <c r="B13396" i="1"/>
  <c r="G13395" i="1"/>
  <c r="C13395" i="1"/>
  <c r="B13395" i="1"/>
  <c r="G13394" i="1"/>
  <c r="B13394" i="1"/>
  <c r="G13393" i="1"/>
  <c r="B13393" i="1"/>
  <c r="G13392" i="1"/>
  <c r="B13392" i="1"/>
  <c r="G13391" i="1"/>
  <c r="C13391" i="1"/>
  <c r="B13391" i="1"/>
  <c r="G13390" i="1"/>
  <c r="B13390" i="1"/>
  <c r="G13389" i="1"/>
  <c r="B13389" i="1"/>
  <c r="G13388" i="1"/>
  <c r="C13388" i="1"/>
  <c r="B13388" i="1"/>
  <c r="G13387" i="1"/>
  <c r="B13387" i="1"/>
  <c r="G13386" i="1"/>
  <c r="C13386" i="1"/>
  <c r="B13386" i="1"/>
  <c r="G13385" i="1"/>
  <c r="C13385" i="1"/>
  <c r="B13385" i="1"/>
  <c r="G13384" i="1"/>
  <c r="C13384" i="1"/>
  <c r="B13384" i="1"/>
  <c r="G13383" i="1"/>
  <c r="B13383" i="1"/>
  <c r="G13382" i="1"/>
  <c r="C13382" i="1"/>
  <c r="B13382" i="1"/>
  <c r="G13381" i="1"/>
  <c r="C13381" i="1"/>
  <c r="B13381" i="1"/>
  <c r="G13380" i="1"/>
  <c r="C13380" i="1"/>
  <c r="B13380" i="1"/>
  <c r="G13379" i="1"/>
  <c r="C13379" i="1"/>
  <c r="B13379" i="1"/>
  <c r="G13378" i="1"/>
  <c r="B13378" i="1"/>
  <c r="G13377" i="1"/>
  <c r="C13377" i="1"/>
  <c r="B13377" i="1"/>
  <c r="G13376" i="1"/>
  <c r="C13376" i="1"/>
  <c r="B13376" i="1"/>
  <c r="G13375" i="1"/>
  <c r="C13375" i="1"/>
  <c r="B13375" i="1"/>
  <c r="G13374" i="1"/>
  <c r="C13374" i="1"/>
  <c r="B13374" i="1"/>
  <c r="G13373" i="1"/>
  <c r="C13373" i="1"/>
  <c r="B13373" i="1"/>
  <c r="G13372" i="1"/>
  <c r="C13372" i="1"/>
  <c r="B13372" i="1"/>
  <c r="G13371" i="1"/>
  <c r="C13371" i="1"/>
  <c r="B13371" i="1"/>
  <c r="G13370" i="1"/>
  <c r="B13370" i="1"/>
  <c r="G13369" i="1"/>
  <c r="C13369" i="1"/>
  <c r="B13369" i="1"/>
  <c r="G13368" i="1"/>
  <c r="C13368" i="1"/>
  <c r="B13368" i="1"/>
  <c r="G13367" i="1"/>
  <c r="C13367" i="1"/>
  <c r="B13367" i="1"/>
  <c r="G13366" i="1"/>
  <c r="C13366" i="1"/>
  <c r="B13366" i="1"/>
  <c r="G13365" i="1"/>
  <c r="C13365" i="1"/>
  <c r="B13365" i="1"/>
  <c r="G13364" i="1"/>
  <c r="C13364" i="1"/>
  <c r="B13364" i="1"/>
  <c r="G13363" i="1"/>
  <c r="C13363" i="1"/>
  <c r="B13363" i="1"/>
  <c r="G13362" i="1"/>
  <c r="C13362" i="1"/>
  <c r="B13362" i="1"/>
  <c r="G13361" i="1"/>
  <c r="B13361" i="1"/>
  <c r="G13360" i="1"/>
  <c r="C13360" i="1"/>
  <c r="B13360" i="1"/>
  <c r="G13359" i="1"/>
  <c r="C13359" i="1"/>
  <c r="B13359" i="1"/>
  <c r="G13358" i="1"/>
  <c r="C13358" i="1"/>
  <c r="B13358" i="1"/>
  <c r="G13357" i="1"/>
  <c r="C13357" i="1"/>
  <c r="B13357" i="1"/>
  <c r="G13356" i="1"/>
  <c r="C13356" i="1"/>
  <c r="B13356" i="1"/>
  <c r="G13355" i="1"/>
  <c r="C13355" i="1"/>
  <c r="B13355" i="1"/>
  <c r="G13354" i="1"/>
  <c r="C13354" i="1"/>
  <c r="B13354" i="1"/>
  <c r="G13353" i="1"/>
  <c r="C13353" i="1"/>
  <c r="B13353" i="1"/>
  <c r="G13352" i="1"/>
  <c r="B13352" i="1"/>
  <c r="G13351" i="1"/>
  <c r="B13351" i="1"/>
  <c r="G13350" i="1"/>
  <c r="B13350" i="1"/>
  <c r="G13349" i="1"/>
  <c r="C13349" i="1"/>
  <c r="B13349" i="1"/>
  <c r="G13348" i="1"/>
  <c r="C13348" i="1"/>
  <c r="B13348" i="1"/>
  <c r="G13347" i="1"/>
  <c r="C13347" i="1"/>
  <c r="B13347" i="1"/>
  <c r="G13346" i="1"/>
  <c r="C13346" i="1"/>
  <c r="B13346" i="1"/>
  <c r="G13345" i="1"/>
  <c r="B13345" i="1"/>
  <c r="G13344" i="1"/>
  <c r="B13344" i="1"/>
  <c r="G13343" i="1"/>
  <c r="B13343" i="1"/>
  <c r="G13342" i="1"/>
  <c r="C13342" i="1"/>
  <c r="B13342" i="1"/>
  <c r="G13341" i="1"/>
  <c r="C13341" i="1"/>
  <c r="B13341" i="1"/>
  <c r="G13340" i="1"/>
  <c r="B13340" i="1"/>
  <c r="G13339" i="1"/>
  <c r="B13339" i="1"/>
  <c r="G13338" i="1"/>
  <c r="B13338" i="1"/>
  <c r="G13337" i="1"/>
  <c r="C13337" i="1"/>
  <c r="B13337" i="1"/>
  <c r="G13336" i="1"/>
  <c r="B13336" i="1"/>
  <c r="G13335" i="1"/>
  <c r="C13335" i="1"/>
  <c r="B13335" i="1"/>
  <c r="G13334" i="1"/>
  <c r="C13334" i="1"/>
  <c r="B13334" i="1"/>
  <c r="G13333" i="1"/>
  <c r="C13333" i="1"/>
  <c r="B13333" i="1"/>
  <c r="G13332" i="1"/>
  <c r="C13332" i="1"/>
  <c r="B13332" i="1"/>
  <c r="G13331" i="1"/>
  <c r="C13331" i="1"/>
  <c r="B13331" i="1"/>
  <c r="G13330" i="1"/>
  <c r="C13330" i="1"/>
  <c r="B13330" i="1"/>
  <c r="G13329" i="1"/>
  <c r="C13329" i="1"/>
  <c r="B13329" i="1"/>
  <c r="G13328" i="1"/>
  <c r="C13328" i="1"/>
  <c r="B13328" i="1"/>
  <c r="G13327" i="1"/>
  <c r="B13327" i="1"/>
  <c r="G13326" i="1"/>
  <c r="B13326" i="1"/>
  <c r="G13325" i="1"/>
  <c r="C13325" i="1"/>
  <c r="B13325" i="1"/>
  <c r="G13324" i="1"/>
  <c r="B13324" i="1"/>
  <c r="G13323" i="1"/>
  <c r="B13323" i="1"/>
  <c r="G13322" i="1"/>
  <c r="B13322" i="1"/>
  <c r="G13321" i="1"/>
  <c r="B13321" i="1"/>
  <c r="G13320" i="1"/>
  <c r="C13320" i="1"/>
  <c r="B13320" i="1"/>
  <c r="G13319" i="1"/>
  <c r="C13319" i="1"/>
  <c r="B13319" i="1"/>
  <c r="G13318" i="1"/>
  <c r="C13318" i="1"/>
  <c r="B13318" i="1"/>
  <c r="G13317" i="1"/>
  <c r="B13317" i="1"/>
  <c r="G13316" i="1"/>
  <c r="C13316" i="1"/>
  <c r="B13316" i="1"/>
  <c r="G13315" i="1"/>
  <c r="C13315" i="1"/>
  <c r="B13315" i="1"/>
  <c r="G13314" i="1"/>
  <c r="C13314" i="1"/>
  <c r="B13314" i="1"/>
  <c r="G13313" i="1"/>
  <c r="C13313" i="1"/>
  <c r="B13313" i="1"/>
  <c r="G13312" i="1"/>
  <c r="C13312" i="1"/>
  <c r="B13312" i="1"/>
  <c r="G13311" i="1"/>
  <c r="B13311" i="1"/>
  <c r="G13310" i="1"/>
  <c r="B13310" i="1"/>
  <c r="G13309" i="1"/>
  <c r="C13309" i="1"/>
  <c r="B13309" i="1"/>
  <c r="G13308" i="1"/>
  <c r="C13308" i="1"/>
  <c r="B13308" i="1"/>
  <c r="G13307" i="1"/>
  <c r="C13307" i="1"/>
  <c r="B13307" i="1"/>
  <c r="G13306" i="1"/>
  <c r="B13306" i="1"/>
  <c r="G13305" i="1"/>
  <c r="C13305" i="1"/>
  <c r="B13305" i="1"/>
  <c r="G13304" i="1"/>
  <c r="B13304" i="1"/>
  <c r="G13303" i="1"/>
  <c r="C13303" i="1"/>
  <c r="B13303" i="1"/>
  <c r="G13302" i="1"/>
  <c r="C13302" i="1"/>
  <c r="B13302" i="1"/>
  <c r="G13301" i="1"/>
  <c r="B13301" i="1"/>
  <c r="G13300" i="1"/>
  <c r="C13300" i="1"/>
  <c r="B13300" i="1"/>
  <c r="G13299" i="1"/>
  <c r="C13299" i="1"/>
  <c r="B13299" i="1"/>
  <c r="G13298" i="1"/>
  <c r="C13298" i="1"/>
  <c r="B13298" i="1"/>
  <c r="G13297" i="1"/>
  <c r="B13297" i="1"/>
  <c r="G13296" i="1"/>
  <c r="C13296" i="1"/>
  <c r="B13296" i="1"/>
  <c r="G13295" i="1"/>
  <c r="C13295" i="1"/>
  <c r="B13295" i="1"/>
  <c r="G13294" i="1"/>
  <c r="C13294" i="1"/>
  <c r="B13294" i="1"/>
  <c r="G13293" i="1"/>
  <c r="C13293" i="1"/>
  <c r="B13293" i="1"/>
  <c r="G13292" i="1"/>
  <c r="C13292" i="1"/>
  <c r="B13292" i="1"/>
  <c r="G13291" i="1"/>
  <c r="B13291" i="1"/>
  <c r="G13290" i="1"/>
  <c r="B13290" i="1"/>
  <c r="G13289" i="1"/>
  <c r="B13289" i="1"/>
  <c r="G13288" i="1"/>
  <c r="C13288" i="1"/>
  <c r="B13288" i="1"/>
  <c r="G13287" i="1"/>
  <c r="B13287" i="1"/>
  <c r="G13286" i="1"/>
  <c r="C13286" i="1"/>
  <c r="B13286" i="1"/>
  <c r="G13285" i="1"/>
  <c r="C13285" i="1"/>
  <c r="B13285" i="1"/>
  <c r="G13284" i="1"/>
  <c r="B13284" i="1"/>
  <c r="G13283" i="1"/>
  <c r="C13283" i="1"/>
  <c r="B13283" i="1"/>
  <c r="G13282" i="1"/>
  <c r="C13282" i="1"/>
  <c r="B13282" i="1"/>
  <c r="G13281" i="1"/>
  <c r="C13281" i="1"/>
  <c r="B13281" i="1"/>
  <c r="G13280" i="1"/>
  <c r="C13280" i="1"/>
  <c r="B13280" i="1"/>
  <c r="G13279" i="1"/>
  <c r="C13279" i="1"/>
  <c r="B13279" i="1"/>
  <c r="G13278" i="1"/>
  <c r="B13278" i="1"/>
  <c r="G13277" i="1"/>
  <c r="B13277" i="1"/>
  <c r="G13276" i="1"/>
  <c r="C13276" i="1"/>
  <c r="B13276" i="1"/>
  <c r="G13275" i="1"/>
  <c r="C13275" i="1"/>
  <c r="B13275" i="1"/>
  <c r="G13274" i="1"/>
  <c r="C13274" i="1"/>
  <c r="B13274" i="1"/>
  <c r="G13273" i="1"/>
  <c r="B13273" i="1"/>
  <c r="G13272" i="1"/>
  <c r="B13272" i="1"/>
  <c r="G13271" i="1"/>
  <c r="C13271" i="1"/>
  <c r="B13271" i="1"/>
  <c r="G13270" i="1"/>
  <c r="C13270" i="1"/>
  <c r="B13270" i="1"/>
  <c r="G13269" i="1"/>
  <c r="B13269" i="1"/>
  <c r="G13268" i="1"/>
  <c r="C13268" i="1"/>
  <c r="B13268" i="1"/>
  <c r="G13267" i="1"/>
  <c r="C13267" i="1"/>
  <c r="B13267" i="1"/>
  <c r="G13266" i="1"/>
  <c r="C13266" i="1"/>
  <c r="B13266" i="1"/>
  <c r="G13265" i="1"/>
  <c r="C13265" i="1"/>
  <c r="B13265" i="1"/>
  <c r="G13264" i="1"/>
  <c r="C13264" i="1"/>
  <c r="B13264" i="1"/>
  <c r="G13263" i="1"/>
  <c r="C13263" i="1"/>
  <c r="B13263" i="1"/>
  <c r="G13262" i="1"/>
  <c r="C13262" i="1"/>
  <c r="B13262" i="1"/>
  <c r="G13261" i="1"/>
  <c r="B13261" i="1"/>
  <c r="G13260" i="1"/>
  <c r="C13260" i="1"/>
  <c r="B13260" i="1"/>
  <c r="G13259" i="1"/>
  <c r="C13259" i="1"/>
  <c r="B13259" i="1"/>
  <c r="G13258" i="1"/>
  <c r="C13258" i="1"/>
  <c r="B13258" i="1"/>
  <c r="G13257" i="1"/>
  <c r="C13257" i="1"/>
  <c r="B13257" i="1"/>
  <c r="G13256" i="1"/>
  <c r="C13256" i="1"/>
  <c r="B13256" i="1"/>
  <c r="G13255" i="1"/>
  <c r="B13255" i="1"/>
  <c r="G13254" i="1"/>
  <c r="C13254" i="1"/>
  <c r="B13254" i="1"/>
  <c r="G13253" i="1"/>
  <c r="C13253" i="1"/>
  <c r="B13253" i="1"/>
  <c r="G13252" i="1"/>
  <c r="B13252" i="1"/>
  <c r="G13251" i="1"/>
  <c r="B13251" i="1"/>
  <c r="G13250" i="1"/>
  <c r="B13250" i="1"/>
  <c r="G13249" i="1"/>
  <c r="C13249" i="1"/>
  <c r="B13249" i="1"/>
  <c r="G13248" i="1"/>
  <c r="C13248" i="1"/>
  <c r="B13248" i="1"/>
  <c r="G13247" i="1"/>
  <c r="B13247" i="1"/>
  <c r="G13246" i="1"/>
  <c r="C13246" i="1"/>
  <c r="B13246" i="1"/>
  <c r="G13245" i="1"/>
  <c r="C13245" i="1"/>
  <c r="B13245" i="1"/>
  <c r="G13244" i="1"/>
  <c r="C13244" i="1"/>
  <c r="B13244" i="1"/>
  <c r="G13243" i="1"/>
  <c r="B13243" i="1"/>
  <c r="G13242" i="1"/>
  <c r="C13242" i="1"/>
  <c r="B13242" i="1"/>
  <c r="G13241" i="1"/>
  <c r="B13241" i="1"/>
  <c r="G13240" i="1"/>
  <c r="B13240" i="1"/>
  <c r="G13239" i="1"/>
  <c r="C13239" i="1"/>
  <c r="B13239" i="1"/>
  <c r="G13238" i="1"/>
  <c r="B13238" i="1"/>
  <c r="G13237" i="1"/>
  <c r="B13237" i="1"/>
  <c r="G13236" i="1"/>
  <c r="B13236" i="1"/>
  <c r="G13235" i="1"/>
  <c r="C13235" i="1"/>
  <c r="B13235" i="1"/>
  <c r="G13234" i="1"/>
  <c r="B13234" i="1"/>
  <c r="G13233" i="1"/>
  <c r="B13233" i="1"/>
  <c r="G13232" i="1"/>
  <c r="B13232" i="1"/>
  <c r="G13231" i="1"/>
  <c r="B13231" i="1"/>
  <c r="G13230" i="1"/>
  <c r="C13230" i="1"/>
  <c r="B13230" i="1"/>
  <c r="G13229" i="1"/>
  <c r="C13229" i="1"/>
  <c r="B13229" i="1"/>
  <c r="G13228" i="1"/>
  <c r="C13228" i="1"/>
  <c r="B13228" i="1"/>
  <c r="G13227" i="1"/>
  <c r="B13227" i="1"/>
  <c r="G13226" i="1"/>
  <c r="C13226" i="1"/>
  <c r="B13226" i="1"/>
  <c r="G13225" i="1"/>
  <c r="C13225" i="1"/>
  <c r="B13225" i="1"/>
  <c r="G13224" i="1"/>
  <c r="B13224" i="1"/>
  <c r="G13223" i="1"/>
  <c r="C13223" i="1"/>
  <c r="B13223" i="1"/>
  <c r="G13222" i="1"/>
  <c r="B13222" i="1"/>
  <c r="G13221" i="1"/>
  <c r="C13221" i="1"/>
  <c r="B13221" i="1"/>
  <c r="G13220" i="1"/>
  <c r="B13220" i="1"/>
  <c r="G13219" i="1"/>
  <c r="C13219" i="1"/>
  <c r="B13219" i="1"/>
  <c r="G13218" i="1"/>
  <c r="C13218" i="1"/>
  <c r="B13218" i="1"/>
  <c r="G13217" i="1"/>
  <c r="B13217" i="1"/>
  <c r="G13216" i="1"/>
  <c r="C13216" i="1"/>
  <c r="B13216" i="1"/>
  <c r="G13215" i="1"/>
  <c r="C13215" i="1"/>
  <c r="B13215" i="1"/>
  <c r="G13214" i="1"/>
  <c r="C13214" i="1"/>
  <c r="B13214" i="1"/>
  <c r="G13213" i="1"/>
  <c r="B13213" i="1"/>
  <c r="G13212" i="1"/>
  <c r="C13212" i="1"/>
  <c r="B13212" i="1"/>
  <c r="G13211" i="1"/>
  <c r="C13211" i="1"/>
  <c r="B13211" i="1"/>
  <c r="G13210" i="1"/>
  <c r="C13210" i="1"/>
  <c r="B13210" i="1"/>
  <c r="G13209" i="1"/>
  <c r="B13209" i="1"/>
  <c r="G13208" i="1"/>
  <c r="C13208" i="1"/>
  <c r="B13208" i="1"/>
  <c r="G13207" i="1"/>
  <c r="B13207" i="1"/>
  <c r="G13206" i="1"/>
  <c r="C13206" i="1"/>
  <c r="B13206" i="1"/>
  <c r="G13205" i="1"/>
  <c r="C13205" i="1"/>
  <c r="B13205" i="1"/>
  <c r="G13204" i="1"/>
  <c r="C13204" i="1"/>
  <c r="B13204" i="1"/>
  <c r="G13203" i="1"/>
  <c r="C13203" i="1"/>
  <c r="B13203" i="1"/>
  <c r="G13202" i="1"/>
  <c r="B13202" i="1"/>
  <c r="G13201" i="1"/>
  <c r="C13201" i="1"/>
  <c r="B13201" i="1"/>
  <c r="G13200" i="1"/>
  <c r="B13200" i="1"/>
  <c r="G13199" i="1"/>
  <c r="C13199" i="1"/>
  <c r="B13199" i="1"/>
  <c r="G13198" i="1"/>
  <c r="B13198" i="1"/>
  <c r="G13197" i="1"/>
  <c r="C13197" i="1"/>
  <c r="B13197" i="1"/>
  <c r="G13196" i="1"/>
  <c r="C13196" i="1"/>
  <c r="B13196" i="1"/>
  <c r="G13195" i="1"/>
  <c r="C13195" i="1"/>
  <c r="B13195" i="1"/>
  <c r="G13194" i="1"/>
  <c r="C13194" i="1"/>
  <c r="B13194" i="1"/>
  <c r="G13193" i="1"/>
  <c r="B13193" i="1"/>
  <c r="G13192" i="1"/>
  <c r="C13192" i="1"/>
  <c r="B13192" i="1"/>
  <c r="G13191" i="1"/>
  <c r="B13191" i="1"/>
  <c r="G13190" i="1"/>
  <c r="B13190" i="1"/>
  <c r="G13189" i="1"/>
  <c r="C13189" i="1"/>
  <c r="B13189" i="1"/>
  <c r="G13188" i="1"/>
  <c r="C13188" i="1"/>
  <c r="B13188" i="1"/>
  <c r="G13187" i="1"/>
  <c r="B13187" i="1"/>
  <c r="G13186" i="1"/>
  <c r="C13186" i="1"/>
  <c r="B13186" i="1"/>
  <c r="G13185" i="1"/>
  <c r="B13185" i="1"/>
  <c r="G13184" i="1"/>
  <c r="C13184" i="1"/>
  <c r="B13184" i="1"/>
  <c r="G13183" i="1"/>
  <c r="C13183" i="1"/>
  <c r="B13183" i="1"/>
  <c r="G13182" i="1"/>
  <c r="C13182" i="1"/>
  <c r="B13182" i="1"/>
  <c r="G13181" i="1"/>
  <c r="C13181" i="1"/>
  <c r="B13181" i="1"/>
  <c r="G13180" i="1"/>
  <c r="C13180" i="1"/>
  <c r="B13180" i="1"/>
  <c r="G13179" i="1"/>
  <c r="C13179" i="1"/>
  <c r="B13179" i="1"/>
  <c r="G13178" i="1"/>
  <c r="C13178" i="1"/>
  <c r="B13178" i="1"/>
  <c r="G13177" i="1"/>
  <c r="B13177" i="1"/>
  <c r="G13176" i="1"/>
  <c r="B13176" i="1"/>
  <c r="G13175" i="1"/>
  <c r="C13175" i="1"/>
  <c r="B13175" i="1"/>
  <c r="G13174" i="1"/>
  <c r="B13174" i="1"/>
  <c r="G13173" i="1"/>
  <c r="C13173" i="1"/>
  <c r="B13173" i="1"/>
  <c r="G13172" i="1"/>
  <c r="C13172" i="1"/>
  <c r="B13172" i="1"/>
  <c r="G13171" i="1"/>
  <c r="C13171" i="1"/>
  <c r="B13171" i="1"/>
  <c r="G13170" i="1"/>
  <c r="B13170" i="1"/>
  <c r="G13169" i="1"/>
  <c r="B13169" i="1"/>
  <c r="G13168" i="1"/>
  <c r="C13168" i="1"/>
  <c r="B13168" i="1"/>
  <c r="G13167" i="1"/>
  <c r="C13167" i="1"/>
  <c r="B13167" i="1"/>
  <c r="G13166" i="1"/>
  <c r="B13166" i="1"/>
  <c r="G13165" i="1"/>
  <c r="C13165" i="1"/>
  <c r="B13165" i="1"/>
  <c r="G13164" i="1"/>
  <c r="C13164" i="1"/>
  <c r="B13164" i="1"/>
  <c r="G13163" i="1"/>
  <c r="C13163" i="1"/>
  <c r="B13163" i="1"/>
  <c r="G13162" i="1"/>
  <c r="C13162" i="1"/>
  <c r="B13162" i="1"/>
  <c r="G13161" i="1"/>
  <c r="B13161" i="1"/>
  <c r="G13160" i="1"/>
  <c r="B13160" i="1"/>
  <c r="G13159" i="1"/>
  <c r="C13159" i="1"/>
  <c r="B13159" i="1"/>
  <c r="G13158" i="1"/>
  <c r="C13158" i="1"/>
  <c r="B13158" i="1"/>
  <c r="G13157" i="1"/>
  <c r="C13157" i="1"/>
  <c r="B13157" i="1"/>
  <c r="G13156" i="1"/>
  <c r="B13156" i="1"/>
  <c r="G13155" i="1"/>
  <c r="C13155" i="1"/>
  <c r="B13155" i="1"/>
  <c r="G13154" i="1"/>
  <c r="B13154" i="1"/>
  <c r="G13153" i="1"/>
  <c r="C13153" i="1"/>
  <c r="B13153" i="1"/>
  <c r="G13152" i="1"/>
  <c r="C13152" i="1"/>
  <c r="B13152" i="1"/>
  <c r="G13151" i="1"/>
  <c r="B13151" i="1"/>
  <c r="G13150" i="1"/>
  <c r="B13150" i="1"/>
  <c r="G13149" i="1"/>
  <c r="C13149" i="1"/>
  <c r="B13149" i="1"/>
  <c r="G13148" i="1"/>
  <c r="C13148" i="1"/>
  <c r="B13148" i="1"/>
  <c r="G13147" i="1"/>
  <c r="C13147" i="1"/>
  <c r="B13147" i="1"/>
  <c r="G13146" i="1"/>
  <c r="C13146" i="1"/>
  <c r="B13146" i="1"/>
  <c r="G13145" i="1"/>
  <c r="B13145" i="1"/>
  <c r="G13144" i="1"/>
  <c r="C13144" i="1"/>
  <c r="B13144" i="1"/>
  <c r="G13143" i="1"/>
  <c r="C13143" i="1"/>
  <c r="B13143" i="1"/>
  <c r="G13142" i="1"/>
  <c r="C13142" i="1"/>
  <c r="B13142" i="1"/>
  <c r="G13141" i="1"/>
  <c r="C13141" i="1"/>
  <c r="B13141" i="1"/>
  <c r="G13140" i="1"/>
  <c r="B13140" i="1"/>
  <c r="G13139" i="1"/>
  <c r="C13139" i="1"/>
  <c r="B13139" i="1"/>
  <c r="G13138" i="1"/>
  <c r="C13138" i="1"/>
  <c r="B13138" i="1"/>
  <c r="G13137" i="1"/>
  <c r="C13137" i="1"/>
  <c r="B13137" i="1"/>
  <c r="G13136" i="1"/>
  <c r="C13136" i="1"/>
  <c r="B13136" i="1"/>
  <c r="G13135" i="1"/>
  <c r="C13135" i="1"/>
  <c r="B13135" i="1"/>
  <c r="G13134" i="1"/>
  <c r="B13134" i="1"/>
  <c r="G13133" i="1"/>
  <c r="B13133" i="1"/>
  <c r="G13132" i="1"/>
  <c r="C13132" i="1"/>
  <c r="B13132" i="1"/>
  <c r="G13131" i="1"/>
  <c r="C13131" i="1"/>
  <c r="B13131" i="1"/>
  <c r="G13130" i="1"/>
  <c r="B13130" i="1"/>
  <c r="G13129" i="1"/>
  <c r="C13129" i="1"/>
  <c r="B13129" i="1"/>
  <c r="G13128" i="1"/>
  <c r="C13128" i="1"/>
  <c r="B13128" i="1"/>
  <c r="G13127" i="1"/>
  <c r="B13127" i="1"/>
  <c r="G13126" i="1"/>
  <c r="C13126" i="1"/>
  <c r="B13126" i="1"/>
  <c r="G13125" i="1"/>
  <c r="B13125" i="1"/>
  <c r="G13124" i="1"/>
  <c r="B13124" i="1"/>
  <c r="G13123" i="1"/>
  <c r="B13123" i="1"/>
  <c r="G13122" i="1"/>
  <c r="C13122" i="1"/>
  <c r="B13122" i="1"/>
  <c r="G13121" i="1"/>
  <c r="B13121" i="1"/>
  <c r="G13120" i="1"/>
  <c r="B13120" i="1"/>
  <c r="G13119" i="1"/>
  <c r="C13119" i="1"/>
  <c r="B13119" i="1"/>
  <c r="G13118" i="1"/>
  <c r="B13118" i="1"/>
  <c r="G13117" i="1"/>
  <c r="C13117" i="1"/>
  <c r="B13117" i="1"/>
  <c r="G13116" i="1"/>
  <c r="B13116" i="1"/>
  <c r="G13115" i="1"/>
  <c r="C13115" i="1"/>
  <c r="B13115" i="1"/>
  <c r="G13114" i="1"/>
  <c r="C13114" i="1"/>
  <c r="B13114" i="1"/>
  <c r="G13113" i="1"/>
  <c r="C13113" i="1"/>
  <c r="B13113" i="1"/>
  <c r="G13112" i="1"/>
  <c r="B13112" i="1"/>
  <c r="G13111" i="1"/>
  <c r="C13111" i="1"/>
  <c r="B13111" i="1"/>
  <c r="G13110" i="1"/>
  <c r="B13110" i="1"/>
  <c r="G13109" i="1"/>
  <c r="C13109" i="1"/>
  <c r="B13109" i="1"/>
  <c r="G13108" i="1"/>
  <c r="C13108" i="1"/>
  <c r="B13108" i="1"/>
  <c r="G13107" i="1"/>
  <c r="B13107" i="1"/>
  <c r="G13106" i="1"/>
  <c r="C13106" i="1"/>
  <c r="B13106" i="1"/>
  <c r="G13105" i="1"/>
  <c r="B13105" i="1"/>
  <c r="G13104" i="1"/>
  <c r="B13104" i="1"/>
  <c r="G13103" i="1"/>
  <c r="B13103" i="1"/>
  <c r="G13102" i="1"/>
  <c r="C13102" i="1"/>
  <c r="B13102" i="1"/>
  <c r="G13101" i="1"/>
  <c r="B13101" i="1"/>
  <c r="G13100" i="1"/>
  <c r="B13100" i="1"/>
  <c r="G13099" i="1"/>
  <c r="C13099" i="1"/>
  <c r="B13099" i="1"/>
  <c r="G13098" i="1"/>
  <c r="B13098" i="1"/>
  <c r="G13097" i="1"/>
  <c r="B13097" i="1"/>
  <c r="G13096" i="1"/>
  <c r="C13096" i="1"/>
  <c r="B13096" i="1"/>
  <c r="G13095" i="1"/>
  <c r="B13095" i="1"/>
  <c r="G13094" i="1"/>
  <c r="C13094" i="1"/>
  <c r="B13094" i="1"/>
  <c r="G13093" i="1"/>
  <c r="C13093" i="1"/>
  <c r="B13093" i="1"/>
  <c r="G13092" i="1"/>
  <c r="C13092" i="1"/>
  <c r="B13092" i="1"/>
  <c r="G13091" i="1"/>
  <c r="B13091" i="1"/>
  <c r="G13090" i="1"/>
  <c r="C13090" i="1"/>
  <c r="B13090" i="1"/>
  <c r="G13089" i="1"/>
  <c r="C13089" i="1"/>
  <c r="B13089" i="1"/>
  <c r="G13088" i="1"/>
  <c r="B13088" i="1"/>
  <c r="G13087" i="1"/>
  <c r="C13087" i="1"/>
  <c r="B13087" i="1"/>
  <c r="G13086" i="1"/>
  <c r="C13086" i="1"/>
  <c r="B13086" i="1"/>
  <c r="G13085" i="1"/>
  <c r="C13085" i="1"/>
  <c r="B13085" i="1"/>
  <c r="G13084" i="1"/>
  <c r="B13084" i="1"/>
  <c r="G13083" i="1"/>
  <c r="B13083" i="1"/>
  <c r="G13082" i="1"/>
  <c r="B13082" i="1"/>
  <c r="G13081" i="1"/>
  <c r="B13081" i="1"/>
  <c r="G13080" i="1"/>
  <c r="C13080" i="1"/>
  <c r="B13080" i="1"/>
  <c r="G13079" i="1"/>
  <c r="C13079" i="1"/>
  <c r="B13079" i="1"/>
  <c r="G13078" i="1"/>
  <c r="B13078" i="1"/>
  <c r="G13077" i="1"/>
  <c r="B13077" i="1"/>
  <c r="G13076" i="1"/>
  <c r="C13076" i="1"/>
  <c r="B13076" i="1"/>
  <c r="G13075" i="1"/>
  <c r="C13075" i="1"/>
  <c r="B13075" i="1"/>
  <c r="G13074" i="1"/>
  <c r="C13074" i="1"/>
  <c r="B13074" i="1"/>
  <c r="G13073" i="1"/>
  <c r="B13073" i="1"/>
  <c r="G13072" i="1"/>
  <c r="C13072" i="1"/>
  <c r="B13072" i="1"/>
  <c r="G13071" i="1"/>
  <c r="C13071" i="1"/>
  <c r="B13071" i="1"/>
  <c r="G13070" i="1"/>
  <c r="C13070" i="1"/>
  <c r="B13070" i="1"/>
  <c r="G13069" i="1"/>
  <c r="C13069" i="1"/>
  <c r="B13069" i="1"/>
  <c r="G13068" i="1"/>
  <c r="C13068" i="1"/>
  <c r="B13068" i="1"/>
  <c r="G13067" i="1"/>
  <c r="C13067" i="1"/>
  <c r="B13067" i="1"/>
  <c r="G13066" i="1"/>
  <c r="C13066" i="1"/>
  <c r="B13066" i="1"/>
  <c r="G13065" i="1"/>
  <c r="C13065" i="1"/>
  <c r="B13065" i="1"/>
  <c r="G13064" i="1"/>
  <c r="B13064" i="1"/>
  <c r="G13063" i="1"/>
  <c r="B13063" i="1"/>
  <c r="G13062" i="1"/>
  <c r="C13062" i="1"/>
  <c r="B13062" i="1"/>
  <c r="G13061" i="1"/>
  <c r="C13061" i="1"/>
  <c r="B13061" i="1"/>
  <c r="G13060" i="1"/>
  <c r="C13060" i="1"/>
  <c r="B13060" i="1"/>
  <c r="G13059" i="1"/>
  <c r="C13059" i="1"/>
  <c r="B13059" i="1"/>
  <c r="G13058" i="1"/>
  <c r="B13058" i="1"/>
  <c r="G13057" i="1"/>
  <c r="C13057" i="1"/>
  <c r="B13057" i="1"/>
  <c r="G13056" i="1"/>
  <c r="B13056" i="1"/>
  <c r="G13055" i="1"/>
  <c r="C13055" i="1"/>
  <c r="B13055" i="1"/>
  <c r="G13054" i="1"/>
  <c r="C13054" i="1"/>
  <c r="B13054" i="1"/>
  <c r="G13053" i="1"/>
  <c r="C13053" i="1"/>
  <c r="B13053" i="1"/>
  <c r="G13052" i="1"/>
  <c r="B13052" i="1"/>
  <c r="G13051" i="1"/>
  <c r="C13051" i="1"/>
  <c r="B13051" i="1"/>
  <c r="G13050" i="1"/>
  <c r="B13050" i="1"/>
  <c r="G13049" i="1"/>
  <c r="C13049" i="1"/>
  <c r="B13049" i="1"/>
  <c r="G13048" i="1"/>
  <c r="C13048" i="1"/>
  <c r="B13048" i="1"/>
  <c r="G13047" i="1"/>
  <c r="B13047" i="1"/>
  <c r="G13046" i="1"/>
  <c r="C13046" i="1"/>
  <c r="B13046" i="1"/>
  <c r="G13045" i="1"/>
  <c r="C13045" i="1"/>
  <c r="B13045" i="1"/>
  <c r="G13044" i="1"/>
  <c r="B13044" i="1"/>
  <c r="G13043" i="1"/>
  <c r="C13043" i="1"/>
  <c r="B13043" i="1"/>
  <c r="G13042" i="1"/>
  <c r="B13042" i="1"/>
  <c r="G13041" i="1"/>
  <c r="C13041" i="1"/>
  <c r="B13041" i="1"/>
  <c r="G13040" i="1"/>
  <c r="B13040" i="1"/>
  <c r="G13039" i="1"/>
  <c r="C13039" i="1"/>
  <c r="B13039" i="1"/>
  <c r="G13038" i="1"/>
  <c r="C13038" i="1"/>
  <c r="B13038" i="1"/>
  <c r="G13037" i="1"/>
  <c r="B13037" i="1"/>
  <c r="G13036" i="1"/>
  <c r="C13036" i="1"/>
  <c r="B13036" i="1"/>
  <c r="G13035" i="1"/>
  <c r="C13035" i="1"/>
  <c r="B13035" i="1"/>
  <c r="G13034" i="1"/>
  <c r="C13034" i="1"/>
  <c r="B13034" i="1"/>
  <c r="G13033" i="1"/>
  <c r="C13033" i="1"/>
  <c r="B13033" i="1"/>
  <c r="G13032" i="1"/>
  <c r="C13032" i="1"/>
  <c r="B13032" i="1"/>
  <c r="G13031" i="1"/>
  <c r="C13031" i="1"/>
  <c r="B13031" i="1"/>
  <c r="G13030" i="1"/>
  <c r="C13030" i="1"/>
  <c r="B13030" i="1"/>
  <c r="G13029" i="1"/>
  <c r="C13029" i="1"/>
  <c r="B13029" i="1"/>
  <c r="G13028" i="1"/>
  <c r="B13028" i="1"/>
  <c r="G13027" i="1"/>
  <c r="C13027" i="1"/>
  <c r="B13027" i="1"/>
  <c r="G13026" i="1"/>
  <c r="C13026" i="1"/>
  <c r="B13026" i="1"/>
  <c r="G13025" i="1"/>
  <c r="C13025" i="1"/>
  <c r="B13025" i="1"/>
  <c r="G13024" i="1"/>
  <c r="B13024" i="1"/>
  <c r="G13023" i="1"/>
  <c r="C13023" i="1"/>
  <c r="B13023" i="1"/>
  <c r="G13022" i="1"/>
  <c r="C13022" i="1"/>
  <c r="B13022" i="1"/>
  <c r="G13021" i="1"/>
  <c r="C13021" i="1"/>
  <c r="B13021" i="1"/>
  <c r="G13020" i="1"/>
  <c r="C13020" i="1"/>
  <c r="B13020" i="1"/>
  <c r="G13019" i="1"/>
  <c r="C13019" i="1"/>
  <c r="B13019" i="1"/>
  <c r="G13018" i="1"/>
  <c r="B13018" i="1"/>
  <c r="G13017" i="1"/>
  <c r="B13017" i="1"/>
  <c r="G13016" i="1"/>
  <c r="C13016" i="1"/>
  <c r="B13016" i="1"/>
  <c r="G13015" i="1"/>
  <c r="C13015" i="1"/>
  <c r="B13015" i="1"/>
  <c r="G13014" i="1"/>
  <c r="B13014" i="1"/>
  <c r="G13013" i="1"/>
  <c r="B13013" i="1"/>
  <c r="G13012" i="1"/>
  <c r="B13012" i="1"/>
  <c r="G13011" i="1"/>
  <c r="B13011" i="1"/>
  <c r="G13010" i="1"/>
  <c r="C13010" i="1"/>
  <c r="B13010" i="1"/>
  <c r="G13009" i="1"/>
  <c r="C13009" i="1"/>
  <c r="B13009" i="1"/>
  <c r="G13008" i="1"/>
  <c r="B13008" i="1"/>
  <c r="G13007" i="1"/>
  <c r="C13007" i="1"/>
  <c r="B13007" i="1"/>
  <c r="G13006" i="1"/>
  <c r="C13006" i="1"/>
  <c r="B13006" i="1"/>
  <c r="G13005" i="1"/>
  <c r="B13005" i="1"/>
  <c r="G13004" i="1"/>
  <c r="C13004" i="1"/>
  <c r="B13004" i="1"/>
  <c r="G13003" i="1"/>
  <c r="C13003" i="1"/>
  <c r="B13003" i="1"/>
  <c r="G13002" i="1"/>
  <c r="B13002" i="1"/>
  <c r="G13001" i="1"/>
  <c r="C13001" i="1"/>
  <c r="B13001" i="1"/>
  <c r="G13000" i="1"/>
  <c r="B13000" i="1"/>
  <c r="G12999" i="1"/>
  <c r="C12999" i="1"/>
  <c r="B12999" i="1"/>
  <c r="G12998" i="1"/>
  <c r="C12998" i="1"/>
  <c r="B12998" i="1"/>
  <c r="G12997" i="1"/>
  <c r="C12997" i="1"/>
  <c r="B12997" i="1"/>
  <c r="G12996" i="1"/>
  <c r="C12996" i="1"/>
  <c r="B12996" i="1"/>
  <c r="G12995" i="1"/>
  <c r="C12995" i="1"/>
  <c r="B12995" i="1"/>
  <c r="G12994" i="1"/>
  <c r="C12994" i="1"/>
  <c r="B12994" i="1"/>
  <c r="G12993" i="1"/>
  <c r="C12993" i="1"/>
  <c r="B12993" i="1"/>
  <c r="G12992" i="1"/>
  <c r="C12992" i="1"/>
  <c r="B12992" i="1"/>
  <c r="G12991" i="1"/>
  <c r="C12991" i="1"/>
  <c r="B12991" i="1"/>
  <c r="G12990" i="1"/>
  <c r="C12990" i="1"/>
  <c r="B12990" i="1"/>
  <c r="G12989" i="1"/>
  <c r="C12989" i="1"/>
  <c r="B12989" i="1"/>
  <c r="G12988" i="1"/>
  <c r="C12988" i="1"/>
  <c r="B12988" i="1"/>
  <c r="G12987" i="1"/>
  <c r="C12987" i="1"/>
  <c r="B12987" i="1"/>
  <c r="G12986" i="1"/>
  <c r="C12986" i="1"/>
  <c r="B12986" i="1"/>
  <c r="G12985" i="1"/>
  <c r="B12985" i="1"/>
  <c r="G12984" i="1"/>
  <c r="C12984" i="1"/>
  <c r="B12984" i="1"/>
  <c r="G12983" i="1"/>
  <c r="B12983" i="1"/>
  <c r="G12982" i="1"/>
  <c r="B12982" i="1"/>
  <c r="G12981" i="1"/>
  <c r="C12981" i="1"/>
  <c r="B12981" i="1"/>
  <c r="G12980" i="1"/>
  <c r="B12980" i="1"/>
  <c r="G12979" i="1"/>
  <c r="B12979" i="1"/>
  <c r="G12978" i="1"/>
  <c r="B12978" i="1"/>
  <c r="G12977" i="1"/>
  <c r="C12977" i="1"/>
  <c r="B12977" i="1"/>
  <c r="G12976" i="1"/>
  <c r="C12976" i="1"/>
  <c r="B12976" i="1"/>
  <c r="G12975" i="1"/>
  <c r="C12975" i="1"/>
  <c r="B12975" i="1"/>
  <c r="G12974" i="1"/>
  <c r="C12974" i="1"/>
  <c r="B12974" i="1"/>
  <c r="G12973" i="1"/>
  <c r="B12973" i="1"/>
  <c r="G12972" i="1"/>
  <c r="B12972" i="1"/>
  <c r="G12971" i="1"/>
  <c r="B12971" i="1"/>
  <c r="G12970" i="1"/>
  <c r="B12970" i="1"/>
  <c r="G12969" i="1"/>
  <c r="C12969" i="1"/>
  <c r="B12969" i="1"/>
  <c r="G12968" i="1"/>
  <c r="C12968" i="1"/>
  <c r="B12968" i="1"/>
  <c r="G12967" i="1"/>
  <c r="B12967" i="1"/>
  <c r="G12966" i="1"/>
  <c r="C12966" i="1"/>
  <c r="B12966" i="1"/>
  <c r="G12965" i="1"/>
  <c r="B12965" i="1"/>
  <c r="G12964" i="1"/>
  <c r="C12964" i="1"/>
  <c r="B12964" i="1"/>
  <c r="G12963" i="1"/>
  <c r="C12963" i="1"/>
  <c r="B12963" i="1"/>
  <c r="G12962" i="1"/>
  <c r="C12962" i="1"/>
  <c r="B12962" i="1"/>
  <c r="G12961" i="1"/>
  <c r="C12961" i="1"/>
  <c r="B12961" i="1"/>
  <c r="G12960" i="1"/>
  <c r="C12960" i="1"/>
  <c r="B12960" i="1"/>
  <c r="G12959" i="1"/>
  <c r="C12959" i="1"/>
  <c r="B12959" i="1"/>
  <c r="G12958" i="1"/>
  <c r="C12958" i="1"/>
  <c r="B12958" i="1"/>
  <c r="G12957" i="1"/>
  <c r="B12957" i="1"/>
  <c r="G12956" i="1"/>
  <c r="C12956" i="1"/>
  <c r="B12956" i="1"/>
  <c r="G12955" i="1"/>
  <c r="C12955" i="1"/>
  <c r="B12955" i="1"/>
  <c r="G12954" i="1"/>
  <c r="C12954" i="1"/>
  <c r="B12954" i="1"/>
  <c r="G12953" i="1"/>
  <c r="C12953" i="1"/>
  <c r="B12953" i="1"/>
  <c r="G12952" i="1"/>
  <c r="C12952" i="1"/>
  <c r="B12952" i="1"/>
  <c r="G12951" i="1"/>
  <c r="C12951" i="1"/>
  <c r="B12951" i="1"/>
  <c r="G12950" i="1"/>
  <c r="C12950" i="1"/>
  <c r="B12950" i="1"/>
  <c r="G12949" i="1"/>
  <c r="C12949" i="1"/>
  <c r="B12949" i="1"/>
  <c r="G12948" i="1"/>
  <c r="C12948" i="1"/>
  <c r="B12948" i="1"/>
  <c r="G12947" i="1"/>
  <c r="C12947" i="1"/>
  <c r="B12947" i="1"/>
  <c r="G12946" i="1"/>
  <c r="C12946" i="1"/>
  <c r="B12946" i="1"/>
  <c r="G12945" i="1"/>
  <c r="B12945" i="1"/>
  <c r="G12944" i="1"/>
  <c r="C12944" i="1"/>
  <c r="B12944" i="1"/>
  <c r="G12943" i="1"/>
  <c r="B12943" i="1"/>
  <c r="G12942" i="1"/>
  <c r="C12942" i="1"/>
  <c r="B12942" i="1"/>
  <c r="G12941" i="1"/>
  <c r="C12941" i="1"/>
  <c r="B12941" i="1"/>
  <c r="G12940" i="1"/>
  <c r="C12940" i="1"/>
  <c r="B12940" i="1"/>
  <c r="G12939" i="1"/>
  <c r="C12939" i="1"/>
  <c r="B12939" i="1"/>
  <c r="G12938" i="1"/>
  <c r="C12938" i="1"/>
  <c r="B12938" i="1"/>
  <c r="G12937" i="1"/>
  <c r="C12937" i="1"/>
  <c r="B12937" i="1"/>
  <c r="G12936" i="1"/>
  <c r="B12936" i="1"/>
  <c r="G12935" i="1"/>
  <c r="B12935" i="1"/>
  <c r="G12934" i="1"/>
  <c r="C12934" i="1"/>
  <c r="B12934" i="1"/>
  <c r="G12933" i="1"/>
  <c r="C12933" i="1"/>
  <c r="B12933" i="1"/>
  <c r="G12932" i="1"/>
  <c r="C12932" i="1"/>
  <c r="B12932" i="1"/>
  <c r="G12931" i="1"/>
  <c r="C12931" i="1"/>
  <c r="B12931" i="1"/>
  <c r="G12930" i="1"/>
  <c r="C12930" i="1"/>
  <c r="B12930" i="1"/>
  <c r="G12929" i="1"/>
  <c r="C12929" i="1"/>
  <c r="B12929" i="1"/>
  <c r="G12928" i="1"/>
  <c r="C12928" i="1"/>
  <c r="B12928" i="1"/>
  <c r="G12927" i="1"/>
  <c r="B12927" i="1"/>
  <c r="G12926" i="1"/>
  <c r="C12926" i="1"/>
  <c r="B12926" i="1"/>
  <c r="G12925" i="1"/>
  <c r="C12925" i="1"/>
  <c r="B12925" i="1"/>
  <c r="G12924" i="1"/>
  <c r="C12924" i="1"/>
  <c r="B12924" i="1"/>
  <c r="G12923" i="1"/>
  <c r="B12923" i="1"/>
  <c r="G12922" i="1"/>
  <c r="C12922" i="1"/>
  <c r="B12922" i="1"/>
  <c r="G12921" i="1"/>
  <c r="C12921" i="1"/>
  <c r="B12921" i="1"/>
  <c r="G12920" i="1"/>
  <c r="C12920" i="1"/>
  <c r="B12920" i="1"/>
  <c r="G12919" i="1"/>
  <c r="C12919" i="1"/>
  <c r="B12919" i="1"/>
  <c r="G12918" i="1"/>
  <c r="B12918" i="1"/>
  <c r="G12917" i="1"/>
  <c r="C12917" i="1"/>
  <c r="B12917" i="1"/>
  <c r="G12916" i="1"/>
  <c r="C12916" i="1"/>
  <c r="B12916" i="1"/>
  <c r="G12915" i="1"/>
  <c r="C12915" i="1"/>
  <c r="B12915" i="1"/>
  <c r="G12914" i="1"/>
  <c r="B12914" i="1"/>
  <c r="G12913" i="1"/>
  <c r="C12913" i="1"/>
  <c r="B12913" i="1"/>
  <c r="G12912" i="1"/>
  <c r="C12912" i="1"/>
  <c r="B12912" i="1"/>
  <c r="G12911" i="1"/>
  <c r="C12911" i="1"/>
  <c r="B12911" i="1"/>
  <c r="G12910" i="1"/>
  <c r="C12910" i="1"/>
  <c r="B12910" i="1"/>
  <c r="G12909" i="1"/>
  <c r="C12909" i="1"/>
  <c r="B12909" i="1"/>
  <c r="G12908" i="1"/>
  <c r="B12908" i="1"/>
  <c r="G12907" i="1"/>
  <c r="B12907" i="1"/>
  <c r="G12906" i="1"/>
  <c r="C12906" i="1"/>
  <c r="B12906" i="1"/>
  <c r="G12905" i="1"/>
  <c r="C12905" i="1"/>
  <c r="B12905" i="1"/>
  <c r="G12904" i="1"/>
  <c r="C12904" i="1"/>
  <c r="B12904" i="1"/>
  <c r="G12903" i="1"/>
  <c r="C12903" i="1"/>
  <c r="B12903" i="1"/>
  <c r="G12902" i="1"/>
  <c r="C12902" i="1"/>
  <c r="B12902" i="1"/>
  <c r="G12901" i="1"/>
  <c r="C12901" i="1"/>
  <c r="B12901" i="1"/>
  <c r="G12900" i="1"/>
  <c r="C12900" i="1"/>
  <c r="B12900" i="1"/>
  <c r="G12899" i="1"/>
  <c r="B12899" i="1"/>
  <c r="G12898" i="1"/>
  <c r="C12898" i="1"/>
  <c r="B12898" i="1"/>
  <c r="G12897" i="1"/>
  <c r="C12897" i="1"/>
  <c r="B12897" i="1"/>
  <c r="G12896" i="1"/>
  <c r="C12896" i="1"/>
  <c r="B12896" i="1"/>
  <c r="G12895" i="1"/>
  <c r="C12895" i="1"/>
  <c r="B12895" i="1"/>
  <c r="G12894" i="1"/>
  <c r="B12894" i="1"/>
  <c r="G12893" i="1"/>
  <c r="B12893" i="1"/>
  <c r="G12892" i="1"/>
  <c r="B12892" i="1"/>
  <c r="G12891" i="1"/>
  <c r="C12891" i="1"/>
  <c r="B12891" i="1"/>
  <c r="G12890" i="1"/>
  <c r="C12890" i="1"/>
  <c r="B12890" i="1"/>
  <c r="G12889" i="1"/>
  <c r="C12889" i="1"/>
  <c r="B12889" i="1"/>
  <c r="G12888" i="1"/>
  <c r="C12888" i="1"/>
  <c r="B12888" i="1"/>
  <c r="G12887" i="1"/>
  <c r="B12887" i="1"/>
  <c r="G12886" i="1"/>
  <c r="C12886" i="1"/>
  <c r="B12886" i="1"/>
  <c r="G12885" i="1"/>
  <c r="B12885" i="1"/>
  <c r="G12884" i="1"/>
  <c r="C12884" i="1"/>
  <c r="B12884" i="1"/>
  <c r="G12883" i="1"/>
  <c r="C12883" i="1"/>
  <c r="B12883" i="1"/>
  <c r="G12882" i="1"/>
  <c r="C12882" i="1"/>
  <c r="B12882" i="1"/>
  <c r="G12881" i="1"/>
  <c r="C12881" i="1"/>
  <c r="B12881" i="1"/>
  <c r="G12880" i="1"/>
  <c r="C12880" i="1"/>
  <c r="B12880" i="1"/>
  <c r="G12879" i="1"/>
  <c r="C12879" i="1"/>
  <c r="B12879" i="1"/>
  <c r="G12878" i="1"/>
  <c r="C12878" i="1"/>
  <c r="B12878" i="1"/>
  <c r="G12877" i="1"/>
  <c r="C12877" i="1"/>
  <c r="B12877" i="1"/>
  <c r="G12876" i="1"/>
  <c r="C12876" i="1"/>
  <c r="B12876" i="1"/>
  <c r="G12875" i="1"/>
  <c r="C12875" i="1"/>
  <c r="B12875" i="1"/>
  <c r="G12874" i="1"/>
  <c r="B12874" i="1"/>
  <c r="G12873" i="1"/>
  <c r="B12873" i="1"/>
  <c r="G12872" i="1"/>
  <c r="C12872" i="1"/>
  <c r="B12872" i="1"/>
  <c r="G12871" i="1"/>
  <c r="C12871" i="1"/>
  <c r="B12871" i="1"/>
  <c r="G12870" i="1"/>
  <c r="C12870" i="1"/>
  <c r="B12870" i="1"/>
  <c r="G12869" i="1"/>
  <c r="B12869" i="1"/>
  <c r="G12868" i="1"/>
  <c r="C12868" i="1"/>
  <c r="B12868" i="1"/>
  <c r="G12867" i="1"/>
  <c r="B12867" i="1"/>
  <c r="G12866" i="1"/>
  <c r="C12866" i="1"/>
  <c r="B12866" i="1"/>
  <c r="G12865" i="1"/>
  <c r="C12865" i="1"/>
  <c r="B12865" i="1"/>
  <c r="G12864" i="1"/>
  <c r="C12864" i="1"/>
  <c r="B12864" i="1"/>
  <c r="G12863" i="1"/>
  <c r="C12863" i="1"/>
  <c r="B12863" i="1"/>
  <c r="G12862" i="1"/>
  <c r="C12862" i="1"/>
  <c r="B12862" i="1"/>
  <c r="G12861" i="1"/>
  <c r="C12861" i="1"/>
  <c r="B12861" i="1"/>
  <c r="G12860" i="1"/>
  <c r="C12860" i="1"/>
  <c r="B12860" i="1"/>
  <c r="G12859" i="1"/>
  <c r="C12859" i="1"/>
  <c r="B12859" i="1"/>
  <c r="G12858" i="1"/>
  <c r="C12858" i="1"/>
  <c r="B12858" i="1"/>
  <c r="G12857" i="1"/>
  <c r="B12857" i="1"/>
  <c r="G12856" i="1"/>
  <c r="C12856" i="1"/>
  <c r="B12856" i="1"/>
  <c r="G12855" i="1"/>
  <c r="B12855" i="1"/>
  <c r="G12854" i="1"/>
  <c r="C12854" i="1"/>
  <c r="B12854" i="1"/>
  <c r="G12853" i="1"/>
  <c r="B12853" i="1"/>
  <c r="G12852" i="1"/>
  <c r="C12852" i="1"/>
  <c r="B12852" i="1"/>
  <c r="G12851" i="1"/>
  <c r="C12851" i="1"/>
  <c r="B12851" i="1"/>
  <c r="G12850" i="1"/>
  <c r="B12850" i="1"/>
  <c r="G12849" i="1"/>
  <c r="C12849" i="1"/>
  <c r="B12849" i="1"/>
  <c r="G12848" i="1"/>
  <c r="C12848" i="1"/>
  <c r="B12848" i="1"/>
  <c r="G12847" i="1"/>
  <c r="B12847" i="1"/>
  <c r="G12846" i="1"/>
  <c r="B12846" i="1"/>
  <c r="G12845" i="1"/>
  <c r="C12845" i="1"/>
  <c r="B12845" i="1"/>
  <c r="G12844" i="1"/>
  <c r="C12844" i="1"/>
  <c r="B12844" i="1"/>
  <c r="G12843" i="1"/>
  <c r="B12843" i="1"/>
  <c r="G12842" i="1"/>
  <c r="C12842" i="1"/>
  <c r="B12842" i="1"/>
  <c r="G12841" i="1"/>
  <c r="C12841" i="1"/>
  <c r="B12841" i="1"/>
  <c r="G12840" i="1"/>
  <c r="C12840" i="1"/>
  <c r="B12840" i="1"/>
  <c r="G12839" i="1"/>
  <c r="C12839" i="1"/>
  <c r="B12839" i="1"/>
  <c r="G12838" i="1"/>
  <c r="C12838" i="1"/>
  <c r="B12838" i="1"/>
  <c r="G12837" i="1"/>
  <c r="C12837" i="1"/>
  <c r="B12837" i="1"/>
  <c r="G12836" i="1"/>
  <c r="B12836" i="1"/>
  <c r="G12835" i="1"/>
  <c r="C12835" i="1"/>
  <c r="B12835" i="1"/>
  <c r="G12834" i="1"/>
  <c r="C12834" i="1"/>
  <c r="B12834" i="1"/>
  <c r="G12833" i="1"/>
  <c r="C12833" i="1"/>
  <c r="B12833" i="1"/>
  <c r="G12832" i="1"/>
  <c r="C12832" i="1"/>
  <c r="B12832" i="1"/>
  <c r="G12831" i="1"/>
  <c r="C12831" i="1"/>
  <c r="B12831" i="1"/>
  <c r="G12830" i="1"/>
  <c r="C12830" i="1"/>
  <c r="B12830" i="1"/>
  <c r="G12829" i="1"/>
  <c r="C12829" i="1"/>
  <c r="B12829" i="1"/>
  <c r="G12828" i="1"/>
  <c r="C12828" i="1"/>
  <c r="B12828" i="1"/>
  <c r="G12827" i="1"/>
  <c r="B12827" i="1"/>
  <c r="G12826" i="1"/>
  <c r="B12826" i="1"/>
  <c r="G12825" i="1"/>
  <c r="C12825" i="1"/>
  <c r="B12825" i="1"/>
  <c r="G12824" i="1"/>
  <c r="C12824" i="1"/>
  <c r="B12824" i="1"/>
  <c r="G12823" i="1"/>
  <c r="C12823" i="1"/>
  <c r="B12823" i="1"/>
  <c r="G12822" i="1"/>
  <c r="C12822" i="1"/>
  <c r="B12822" i="1"/>
  <c r="G12821" i="1"/>
  <c r="C12821" i="1"/>
  <c r="B12821" i="1"/>
  <c r="G12820" i="1"/>
  <c r="C12820" i="1"/>
  <c r="B12820" i="1"/>
  <c r="G12819" i="1"/>
  <c r="C12819" i="1"/>
  <c r="B12819" i="1"/>
  <c r="G12818" i="1"/>
  <c r="B12818" i="1"/>
  <c r="G12817" i="1"/>
  <c r="B12817" i="1"/>
  <c r="G12816" i="1"/>
  <c r="C12816" i="1"/>
  <c r="B12816" i="1"/>
  <c r="G12815" i="1"/>
  <c r="C12815" i="1"/>
  <c r="B12815" i="1"/>
  <c r="G12814" i="1"/>
  <c r="C12814" i="1"/>
  <c r="B12814" i="1"/>
  <c r="G12813" i="1"/>
  <c r="C12813" i="1"/>
  <c r="B12813" i="1"/>
  <c r="G12812" i="1"/>
  <c r="C12812" i="1"/>
  <c r="B12812" i="1"/>
  <c r="G12811" i="1"/>
  <c r="C12811" i="1"/>
  <c r="B12811" i="1"/>
  <c r="G12810" i="1"/>
  <c r="B12810" i="1"/>
  <c r="G12809" i="1"/>
  <c r="B12809" i="1"/>
  <c r="G12808" i="1"/>
  <c r="C12808" i="1"/>
  <c r="B12808" i="1"/>
  <c r="G12807" i="1"/>
  <c r="C12807" i="1"/>
  <c r="B12807" i="1"/>
  <c r="G12806" i="1"/>
  <c r="C12806" i="1"/>
  <c r="B12806" i="1"/>
  <c r="G12805" i="1"/>
  <c r="C12805" i="1"/>
  <c r="B12805" i="1"/>
  <c r="G12804" i="1"/>
  <c r="C12804" i="1"/>
  <c r="B12804" i="1"/>
  <c r="G12803" i="1"/>
  <c r="C12803" i="1"/>
  <c r="B12803" i="1"/>
  <c r="G12802" i="1"/>
  <c r="C12802" i="1"/>
  <c r="B12802" i="1"/>
  <c r="G12801" i="1"/>
  <c r="C12801" i="1"/>
  <c r="B12801" i="1"/>
  <c r="G12800" i="1"/>
  <c r="C12800" i="1"/>
  <c r="B12800" i="1"/>
  <c r="G12799" i="1"/>
  <c r="B12799" i="1"/>
  <c r="G12798" i="1"/>
  <c r="C12798" i="1"/>
  <c r="B12798" i="1"/>
  <c r="G12797" i="1"/>
  <c r="C12797" i="1"/>
  <c r="B12797" i="1"/>
  <c r="G12796" i="1"/>
  <c r="C12796" i="1"/>
  <c r="B12796" i="1"/>
  <c r="G12795" i="1"/>
  <c r="C12795" i="1"/>
  <c r="B12795" i="1"/>
  <c r="G12794" i="1"/>
  <c r="B12794" i="1"/>
  <c r="G12793" i="1"/>
  <c r="C12793" i="1"/>
  <c r="B12793" i="1"/>
  <c r="G12792" i="1"/>
  <c r="B12792" i="1"/>
  <c r="G12791" i="1"/>
  <c r="C12791" i="1"/>
  <c r="B12791" i="1"/>
  <c r="G12790" i="1"/>
  <c r="C12790" i="1"/>
  <c r="B12790" i="1"/>
  <c r="G12789" i="1"/>
  <c r="C12789" i="1"/>
  <c r="B12789" i="1"/>
  <c r="G12788" i="1"/>
  <c r="C12788" i="1"/>
  <c r="B12788" i="1"/>
  <c r="G12787" i="1"/>
  <c r="B12787" i="1"/>
  <c r="G12786" i="1"/>
  <c r="B12786" i="1"/>
  <c r="G12785" i="1"/>
  <c r="C12785" i="1"/>
  <c r="B12785" i="1"/>
  <c r="G12784" i="1"/>
  <c r="B12784" i="1"/>
  <c r="G12783" i="1"/>
  <c r="C12783" i="1"/>
  <c r="B12783" i="1"/>
  <c r="G12782" i="1"/>
  <c r="C12782" i="1"/>
  <c r="B12782" i="1"/>
  <c r="G12781" i="1"/>
  <c r="C12781" i="1"/>
  <c r="B12781" i="1"/>
  <c r="G12780" i="1"/>
  <c r="C12780" i="1"/>
  <c r="B12780" i="1"/>
  <c r="G12779" i="1"/>
  <c r="C12779" i="1"/>
  <c r="B12779" i="1"/>
  <c r="G12778" i="1"/>
  <c r="C12778" i="1"/>
  <c r="B12778" i="1"/>
  <c r="G12777" i="1"/>
  <c r="B12777" i="1"/>
  <c r="G12776" i="1"/>
  <c r="B12776" i="1"/>
  <c r="G12775" i="1"/>
  <c r="C12775" i="1"/>
  <c r="B12775" i="1"/>
  <c r="G12774" i="1"/>
  <c r="C12774" i="1"/>
  <c r="B12774" i="1"/>
  <c r="G12773" i="1"/>
  <c r="C12773" i="1"/>
  <c r="B12773" i="1"/>
  <c r="G12772" i="1"/>
  <c r="C12772" i="1"/>
  <c r="B12772" i="1"/>
  <c r="G12771" i="1"/>
  <c r="B12771" i="1"/>
  <c r="G12770" i="1"/>
  <c r="B12770" i="1"/>
  <c r="G12769" i="1"/>
  <c r="C12769" i="1"/>
  <c r="B12769" i="1"/>
  <c r="G12768" i="1"/>
  <c r="C12768" i="1"/>
  <c r="B12768" i="1"/>
  <c r="G12767" i="1"/>
  <c r="C12767" i="1"/>
  <c r="B12767" i="1"/>
  <c r="G12766" i="1"/>
  <c r="B12766" i="1"/>
  <c r="G12765" i="1"/>
  <c r="C12765" i="1"/>
  <c r="B12765" i="1"/>
  <c r="G12764" i="1"/>
  <c r="C12764" i="1"/>
  <c r="B12764" i="1"/>
  <c r="G12763" i="1"/>
  <c r="B12763" i="1"/>
  <c r="G12762" i="1"/>
  <c r="C12762" i="1"/>
  <c r="B12762" i="1"/>
  <c r="G12761" i="1"/>
  <c r="C12761" i="1"/>
  <c r="B12761" i="1"/>
  <c r="G12760" i="1"/>
  <c r="C12760" i="1"/>
  <c r="B12760" i="1"/>
  <c r="G12759" i="1"/>
  <c r="B12759" i="1"/>
  <c r="G12758" i="1"/>
  <c r="B12758" i="1"/>
  <c r="G12757" i="1"/>
  <c r="C12757" i="1"/>
  <c r="B12757" i="1"/>
  <c r="G12756" i="1"/>
  <c r="C12756" i="1"/>
  <c r="B12756" i="1"/>
  <c r="G12755" i="1"/>
  <c r="C12755" i="1"/>
  <c r="B12755" i="1"/>
  <c r="G12754" i="1"/>
  <c r="B12754" i="1"/>
  <c r="G12753" i="1"/>
  <c r="B12753" i="1"/>
  <c r="G12752" i="1"/>
  <c r="C12752" i="1"/>
  <c r="B12752" i="1"/>
  <c r="G12751" i="1"/>
  <c r="C12751" i="1"/>
  <c r="B12751" i="1"/>
  <c r="G12750" i="1"/>
  <c r="C12750" i="1"/>
  <c r="B12750" i="1"/>
  <c r="G12749" i="1"/>
  <c r="C12749" i="1"/>
  <c r="B12749" i="1"/>
  <c r="G12748" i="1"/>
  <c r="B12748" i="1"/>
  <c r="G12747" i="1"/>
  <c r="C12747" i="1"/>
  <c r="B12747" i="1"/>
  <c r="G12746" i="1"/>
  <c r="C12746" i="1"/>
  <c r="B12746" i="1"/>
  <c r="G12745" i="1"/>
  <c r="C12745" i="1"/>
  <c r="B12745" i="1"/>
  <c r="G12744" i="1"/>
  <c r="C12744" i="1"/>
  <c r="B12744" i="1"/>
  <c r="G12743" i="1"/>
  <c r="C12743" i="1"/>
  <c r="B12743" i="1"/>
  <c r="G12742" i="1"/>
  <c r="B12742" i="1"/>
  <c r="G12741" i="1"/>
  <c r="C12741" i="1"/>
  <c r="B12741" i="1"/>
  <c r="G12740" i="1"/>
  <c r="B12740" i="1"/>
  <c r="G12739" i="1"/>
  <c r="C12739" i="1"/>
  <c r="B12739" i="1"/>
  <c r="G12738" i="1"/>
  <c r="C12738" i="1"/>
  <c r="B12738" i="1"/>
  <c r="G12737" i="1"/>
  <c r="B12737" i="1"/>
  <c r="G12736" i="1"/>
  <c r="C12736" i="1"/>
  <c r="B12736" i="1"/>
  <c r="G12735" i="1"/>
  <c r="C12735" i="1"/>
  <c r="B12735" i="1"/>
  <c r="G12734" i="1"/>
  <c r="C12734" i="1"/>
  <c r="B12734" i="1"/>
  <c r="G12733" i="1"/>
  <c r="C12733" i="1"/>
  <c r="B12733" i="1"/>
  <c r="G12732" i="1"/>
  <c r="B12732" i="1"/>
  <c r="G12731" i="1"/>
  <c r="C12731" i="1"/>
  <c r="B12731" i="1"/>
  <c r="G12730" i="1"/>
  <c r="C12730" i="1"/>
  <c r="B12730" i="1"/>
  <c r="G12729" i="1"/>
  <c r="C12729" i="1"/>
  <c r="B12729" i="1"/>
  <c r="G12728" i="1"/>
  <c r="C12728" i="1"/>
  <c r="B12728" i="1"/>
  <c r="G12727" i="1"/>
  <c r="C12727" i="1"/>
  <c r="B12727" i="1"/>
  <c r="G12726" i="1"/>
  <c r="C12726" i="1"/>
  <c r="B12726" i="1"/>
  <c r="G12725" i="1"/>
  <c r="C12725" i="1"/>
  <c r="B12725" i="1"/>
  <c r="G12724" i="1"/>
  <c r="C12724" i="1"/>
  <c r="B12724" i="1"/>
  <c r="G12723" i="1"/>
  <c r="B12723" i="1"/>
  <c r="G12722" i="1"/>
  <c r="C12722" i="1"/>
  <c r="B12722" i="1"/>
  <c r="G12721" i="1"/>
  <c r="C12721" i="1"/>
  <c r="B12721" i="1"/>
  <c r="G12720" i="1"/>
  <c r="C12720" i="1"/>
  <c r="B12720" i="1"/>
  <c r="G12719" i="1"/>
  <c r="B12719" i="1"/>
  <c r="G12718" i="1"/>
  <c r="C12718" i="1"/>
  <c r="B12718" i="1"/>
  <c r="G12717" i="1"/>
  <c r="C12717" i="1"/>
  <c r="B12717" i="1"/>
  <c r="G12716" i="1"/>
  <c r="C12716" i="1"/>
  <c r="B12716" i="1"/>
  <c r="G12715" i="1"/>
  <c r="C12715" i="1"/>
  <c r="B12715" i="1"/>
  <c r="G12714" i="1"/>
  <c r="C12714" i="1"/>
  <c r="B12714" i="1"/>
  <c r="G12713" i="1"/>
  <c r="C12713" i="1"/>
  <c r="B12713" i="1"/>
  <c r="G12712" i="1"/>
  <c r="B12712" i="1"/>
  <c r="G12711" i="1"/>
  <c r="C12711" i="1"/>
  <c r="B12711" i="1"/>
  <c r="G12710" i="1"/>
  <c r="C12710" i="1"/>
  <c r="B12710" i="1"/>
  <c r="G12709" i="1"/>
  <c r="C12709" i="1"/>
  <c r="B12709" i="1"/>
  <c r="G12708" i="1"/>
  <c r="C12708" i="1"/>
  <c r="B12708" i="1"/>
  <c r="G12707" i="1"/>
  <c r="C12707" i="1"/>
  <c r="B12707" i="1"/>
  <c r="G12706" i="1"/>
  <c r="C12706" i="1"/>
  <c r="B12706" i="1"/>
  <c r="G12705" i="1"/>
  <c r="C12705" i="1"/>
  <c r="B12705" i="1"/>
  <c r="G12704" i="1"/>
  <c r="C12704" i="1"/>
  <c r="B12704" i="1"/>
  <c r="G12703" i="1"/>
  <c r="B12703" i="1"/>
  <c r="G12702" i="1"/>
  <c r="B12702" i="1"/>
  <c r="G12701" i="1"/>
  <c r="C12701" i="1"/>
  <c r="B12701" i="1"/>
  <c r="G12700" i="1"/>
  <c r="B12700" i="1"/>
  <c r="G12699" i="1"/>
  <c r="C12699" i="1"/>
  <c r="B12699" i="1"/>
  <c r="G12698" i="1"/>
  <c r="C12698" i="1"/>
  <c r="B12698" i="1"/>
  <c r="G12697" i="1"/>
  <c r="C12697" i="1"/>
  <c r="B12697" i="1"/>
  <c r="G12696" i="1"/>
  <c r="C12696" i="1"/>
  <c r="B12696" i="1"/>
  <c r="G12695" i="1"/>
  <c r="B12695" i="1"/>
  <c r="G12694" i="1"/>
  <c r="C12694" i="1"/>
  <c r="B12694" i="1"/>
  <c r="G12693" i="1"/>
  <c r="C12693" i="1"/>
  <c r="B12693" i="1"/>
  <c r="G12692" i="1"/>
  <c r="C12692" i="1"/>
  <c r="B12692" i="1"/>
  <c r="G12691" i="1"/>
  <c r="B12691" i="1"/>
  <c r="G12690" i="1"/>
  <c r="C12690" i="1"/>
  <c r="B12690" i="1"/>
  <c r="G12689" i="1"/>
  <c r="B12689" i="1"/>
  <c r="G12688" i="1"/>
  <c r="C12688" i="1"/>
  <c r="B12688" i="1"/>
  <c r="G12687" i="1"/>
  <c r="C12687" i="1"/>
  <c r="B12687" i="1"/>
  <c r="G12686" i="1"/>
  <c r="C12686" i="1"/>
  <c r="B12686" i="1"/>
  <c r="G12685" i="1"/>
  <c r="B12685" i="1"/>
  <c r="G12684" i="1"/>
  <c r="B12684" i="1"/>
  <c r="G12683" i="1"/>
  <c r="C12683" i="1"/>
  <c r="B12683" i="1"/>
  <c r="G12682" i="1"/>
  <c r="C12682" i="1"/>
  <c r="B12682" i="1"/>
  <c r="G12681" i="1"/>
  <c r="C12681" i="1"/>
  <c r="B12681" i="1"/>
  <c r="G12680" i="1"/>
  <c r="C12680" i="1"/>
  <c r="B12680" i="1"/>
  <c r="G12679" i="1"/>
  <c r="C12679" i="1"/>
  <c r="B12679" i="1"/>
  <c r="G12678" i="1"/>
  <c r="B12678" i="1"/>
  <c r="G12677" i="1"/>
  <c r="C12677" i="1"/>
  <c r="B12677" i="1"/>
  <c r="G12676" i="1"/>
  <c r="B12676" i="1"/>
  <c r="G12675" i="1"/>
  <c r="C12675" i="1"/>
  <c r="B12675" i="1"/>
  <c r="G12674" i="1"/>
  <c r="B12674" i="1"/>
  <c r="G12673" i="1"/>
  <c r="B12673" i="1"/>
  <c r="G12672" i="1"/>
  <c r="C12672" i="1"/>
  <c r="B12672" i="1"/>
  <c r="G12671" i="1"/>
  <c r="C12671" i="1"/>
  <c r="B12671" i="1"/>
  <c r="G12670" i="1"/>
  <c r="C12670" i="1"/>
  <c r="B12670" i="1"/>
  <c r="G12669" i="1"/>
  <c r="C12669" i="1"/>
  <c r="B12669" i="1"/>
  <c r="G12668" i="1"/>
  <c r="B12668" i="1"/>
  <c r="G12667" i="1"/>
  <c r="C12667" i="1"/>
  <c r="B12667" i="1"/>
  <c r="G12666" i="1"/>
  <c r="C12666" i="1"/>
  <c r="B12666" i="1"/>
  <c r="G12665" i="1"/>
  <c r="C12665" i="1"/>
  <c r="B12665" i="1"/>
  <c r="G12664" i="1"/>
  <c r="C12664" i="1"/>
  <c r="B12664" i="1"/>
  <c r="G12663" i="1"/>
  <c r="C12663" i="1"/>
  <c r="B12663" i="1"/>
  <c r="G12662" i="1"/>
  <c r="C12662" i="1"/>
  <c r="B12662" i="1"/>
  <c r="G12661" i="1"/>
  <c r="B12661" i="1"/>
  <c r="G12660" i="1"/>
  <c r="C12660" i="1"/>
  <c r="B12660" i="1"/>
  <c r="G12659" i="1"/>
  <c r="C12659" i="1"/>
  <c r="B12659" i="1"/>
  <c r="G12658" i="1"/>
  <c r="C12658" i="1"/>
  <c r="B12658" i="1"/>
  <c r="G12657" i="1"/>
  <c r="C12657" i="1"/>
  <c r="B12657" i="1"/>
  <c r="G12656" i="1"/>
  <c r="B12656" i="1"/>
  <c r="G12655" i="1"/>
  <c r="C12655" i="1"/>
  <c r="B12655" i="1"/>
  <c r="G12654" i="1"/>
  <c r="C12654" i="1"/>
  <c r="B12654" i="1"/>
  <c r="G12653" i="1"/>
  <c r="B12653" i="1"/>
  <c r="G12652" i="1"/>
  <c r="C12652" i="1"/>
  <c r="B12652" i="1"/>
  <c r="G12651" i="1"/>
  <c r="C12651" i="1"/>
  <c r="B12651" i="1"/>
  <c r="G12650" i="1"/>
  <c r="C12650" i="1"/>
  <c r="B12650" i="1"/>
  <c r="G12649" i="1"/>
  <c r="B12649" i="1"/>
  <c r="G12648" i="1"/>
  <c r="B12648" i="1"/>
  <c r="G12647" i="1"/>
  <c r="B12647" i="1"/>
  <c r="G12646" i="1"/>
  <c r="C12646" i="1"/>
  <c r="B12646" i="1"/>
  <c r="G12645" i="1"/>
  <c r="C12645" i="1"/>
  <c r="B12645" i="1"/>
  <c r="G12644" i="1"/>
  <c r="B12644" i="1"/>
  <c r="G12643" i="1"/>
  <c r="B12643" i="1"/>
  <c r="G12642" i="1"/>
  <c r="B12642" i="1"/>
  <c r="G12641" i="1"/>
  <c r="C12641" i="1"/>
  <c r="B12641" i="1"/>
  <c r="G12640" i="1"/>
  <c r="B12640" i="1"/>
  <c r="G12639" i="1"/>
  <c r="C12639" i="1"/>
  <c r="B12639" i="1"/>
  <c r="G12638" i="1"/>
  <c r="C12638" i="1"/>
  <c r="B12638" i="1"/>
  <c r="G12637" i="1"/>
  <c r="B12637" i="1"/>
  <c r="G12636" i="1"/>
  <c r="B12636" i="1"/>
  <c r="G12635" i="1"/>
  <c r="C12635" i="1"/>
  <c r="B12635" i="1"/>
  <c r="G12634" i="1"/>
  <c r="B12634" i="1"/>
  <c r="G12633" i="1"/>
  <c r="C12633" i="1"/>
  <c r="B12633" i="1"/>
  <c r="G12632" i="1"/>
  <c r="C12632" i="1"/>
  <c r="B12632" i="1"/>
  <c r="G12631" i="1"/>
  <c r="C12631" i="1"/>
  <c r="B12631" i="1"/>
  <c r="G12630" i="1"/>
  <c r="C12630" i="1"/>
  <c r="B12630" i="1"/>
  <c r="G12629" i="1"/>
  <c r="C12629" i="1"/>
  <c r="B12629" i="1"/>
  <c r="G12628" i="1"/>
  <c r="C12628" i="1"/>
  <c r="B12628" i="1"/>
  <c r="G12627" i="1"/>
  <c r="C12627" i="1"/>
  <c r="B12627" i="1"/>
  <c r="G12626" i="1"/>
  <c r="C12626" i="1"/>
  <c r="B12626" i="1"/>
  <c r="G12625" i="1"/>
  <c r="C12625" i="1"/>
  <c r="B12625" i="1"/>
  <c r="G12624" i="1"/>
  <c r="B12624" i="1"/>
  <c r="G12623" i="1"/>
  <c r="C12623" i="1"/>
  <c r="B12623" i="1"/>
  <c r="G12622" i="1"/>
  <c r="C12622" i="1"/>
  <c r="B12622" i="1"/>
  <c r="G12621" i="1"/>
  <c r="B12621" i="1"/>
  <c r="G12620" i="1"/>
  <c r="C12620" i="1"/>
  <c r="B12620" i="1"/>
  <c r="G12619" i="1"/>
  <c r="C12619" i="1"/>
  <c r="B12619" i="1"/>
  <c r="G12618" i="1"/>
  <c r="B12618" i="1"/>
  <c r="G12617" i="1"/>
  <c r="C12617" i="1"/>
  <c r="B12617" i="1"/>
  <c r="G12616" i="1"/>
  <c r="B12616" i="1"/>
  <c r="G12615" i="1"/>
  <c r="C12615" i="1"/>
  <c r="B12615" i="1"/>
  <c r="G12614" i="1"/>
  <c r="B12614" i="1"/>
  <c r="G12613" i="1"/>
  <c r="C12613" i="1"/>
  <c r="B12613" i="1"/>
  <c r="G12612" i="1"/>
  <c r="C12612" i="1"/>
  <c r="B12612" i="1"/>
  <c r="G12611" i="1"/>
  <c r="C12611" i="1"/>
  <c r="B12611" i="1"/>
  <c r="G12610" i="1"/>
  <c r="C12610" i="1"/>
  <c r="B12610" i="1"/>
  <c r="G12609" i="1"/>
  <c r="B12609" i="1"/>
  <c r="G12608" i="1"/>
  <c r="C12608" i="1"/>
  <c r="B12608" i="1"/>
  <c r="G12607" i="1"/>
  <c r="C12607" i="1"/>
  <c r="B12607" i="1"/>
  <c r="G12606" i="1"/>
  <c r="C12606" i="1"/>
  <c r="B12606" i="1"/>
  <c r="G12605" i="1"/>
  <c r="B12605" i="1"/>
  <c r="G12604" i="1"/>
  <c r="B12604" i="1"/>
  <c r="G12603" i="1"/>
  <c r="C12603" i="1"/>
  <c r="B12603" i="1"/>
  <c r="G12602" i="1"/>
  <c r="B12602" i="1"/>
  <c r="G12601" i="1"/>
  <c r="B12601" i="1"/>
  <c r="G12600" i="1"/>
  <c r="C12600" i="1"/>
  <c r="B12600" i="1"/>
  <c r="G12599" i="1"/>
  <c r="C12599" i="1"/>
  <c r="B12599" i="1"/>
  <c r="G12598" i="1"/>
  <c r="C12598" i="1"/>
  <c r="B12598" i="1"/>
  <c r="G12597" i="1"/>
  <c r="C12597" i="1"/>
  <c r="B12597" i="1"/>
  <c r="G12596" i="1"/>
  <c r="B12596" i="1"/>
  <c r="G12595" i="1"/>
  <c r="C12595" i="1"/>
  <c r="B12595" i="1"/>
  <c r="G12594" i="1"/>
  <c r="B12594" i="1"/>
  <c r="G12593" i="1"/>
  <c r="C12593" i="1"/>
  <c r="B12593" i="1"/>
  <c r="G12592" i="1"/>
  <c r="C12592" i="1"/>
  <c r="B12592" i="1"/>
  <c r="G12591" i="1"/>
  <c r="C12591" i="1"/>
  <c r="B12591" i="1"/>
  <c r="G12590" i="1"/>
  <c r="C12590" i="1"/>
  <c r="B12590" i="1"/>
  <c r="G12589" i="1"/>
  <c r="B12589" i="1"/>
  <c r="G12588" i="1"/>
  <c r="B12588" i="1"/>
  <c r="G12587" i="1"/>
  <c r="B12587" i="1"/>
  <c r="G12586" i="1"/>
  <c r="C12586" i="1"/>
  <c r="B12586" i="1"/>
  <c r="G12585" i="1"/>
  <c r="C12585" i="1"/>
  <c r="B12585" i="1"/>
  <c r="G12584" i="1"/>
  <c r="C12584" i="1"/>
  <c r="B12584" i="1"/>
  <c r="G12583" i="1"/>
  <c r="B12583" i="1"/>
  <c r="G12582" i="1"/>
  <c r="C12582" i="1"/>
  <c r="B12582" i="1"/>
  <c r="G12581" i="1"/>
  <c r="C12581" i="1"/>
  <c r="B12581" i="1"/>
  <c r="G12580" i="1"/>
  <c r="B12580" i="1"/>
  <c r="G12579" i="1"/>
  <c r="B12579" i="1"/>
  <c r="G12578" i="1"/>
  <c r="C12578" i="1"/>
  <c r="B12578" i="1"/>
  <c r="G12577" i="1"/>
  <c r="C12577" i="1"/>
  <c r="B12577" i="1"/>
  <c r="G12576" i="1"/>
  <c r="B12576" i="1"/>
  <c r="G12575" i="1"/>
  <c r="C12575" i="1"/>
  <c r="B12575" i="1"/>
  <c r="G12574" i="1"/>
  <c r="C12574" i="1"/>
  <c r="B12574" i="1"/>
  <c r="G12573" i="1"/>
  <c r="C12573" i="1"/>
  <c r="B12573" i="1"/>
  <c r="G12572" i="1"/>
  <c r="C12572" i="1"/>
  <c r="B12572" i="1"/>
  <c r="G12571" i="1"/>
  <c r="C12571" i="1"/>
  <c r="B12571" i="1"/>
  <c r="G12570" i="1"/>
  <c r="C12570" i="1"/>
  <c r="B12570" i="1"/>
  <c r="G12569" i="1"/>
  <c r="C12569" i="1"/>
  <c r="B12569" i="1"/>
  <c r="G12568" i="1"/>
  <c r="C12568" i="1"/>
  <c r="B12568" i="1"/>
  <c r="G12567" i="1"/>
  <c r="C12567" i="1"/>
  <c r="B12567" i="1"/>
  <c r="G12566" i="1"/>
  <c r="B12566" i="1"/>
  <c r="G12565" i="1"/>
  <c r="C12565" i="1"/>
  <c r="B12565" i="1"/>
  <c r="G12564" i="1"/>
  <c r="C12564" i="1"/>
  <c r="B12564" i="1"/>
  <c r="G12563" i="1"/>
  <c r="C12563" i="1"/>
  <c r="B12563" i="1"/>
  <c r="G12562" i="1"/>
  <c r="C12562" i="1"/>
  <c r="B12562" i="1"/>
  <c r="G12561" i="1"/>
  <c r="B12561" i="1"/>
  <c r="G12560" i="1"/>
  <c r="C12560" i="1"/>
  <c r="B12560" i="1"/>
  <c r="G12559" i="1"/>
  <c r="B12559" i="1"/>
  <c r="G12558" i="1"/>
  <c r="C12558" i="1"/>
  <c r="B12558" i="1"/>
  <c r="G12557" i="1"/>
  <c r="B12557" i="1"/>
  <c r="G12556" i="1"/>
  <c r="B12556" i="1"/>
  <c r="G12555" i="1"/>
  <c r="C12555" i="1"/>
  <c r="B12555" i="1"/>
  <c r="G12554" i="1"/>
  <c r="B12554" i="1"/>
  <c r="G12553" i="1"/>
  <c r="C12553" i="1"/>
  <c r="B12553" i="1"/>
  <c r="G12552" i="1"/>
  <c r="C12552" i="1"/>
  <c r="B12552" i="1"/>
  <c r="G12551" i="1"/>
  <c r="B12551" i="1"/>
  <c r="G12550" i="1"/>
  <c r="C12550" i="1"/>
  <c r="B12550" i="1"/>
  <c r="G12549" i="1"/>
  <c r="C12549" i="1"/>
  <c r="B12549" i="1"/>
  <c r="G12548" i="1"/>
  <c r="C12548" i="1"/>
  <c r="B12548" i="1"/>
  <c r="G12547" i="1"/>
  <c r="C12547" i="1"/>
  <c r="B12547" i="1"/>
  <c r="G12546" i="1"/>
  <c r="C12546" i="1"/>
  <c r="B12546" i="1"/>
  <c r="G12545" i="1"/>
  <c r="C12545" i="1"/>
  <c r="B12545" i="1"/>
  <c r="G12544" i="1"/>
  <c r="C12544" i="1"/>
  <c r="B12544" i="1"/>
  <c r="G12543" i="1"/>
  <c r="B12543" i="1"/>
  <c r="G12542" i="1"/>
  <c r="B12542" i="1"/>
  <c r="G12541" i="1"/>
  <c r="C12541" i="1"/>
  <c r="B12541" i="1"/>
  <c r="G12540" i="1"/>
  <c r="C12540" i="1"/>
  <c r="B12540" i="1"/>
  <c r="G12539" i="1"/>
  <c r="B12539" i="1"/>
  <c r="G12538" i="1"/>
  <c r="C12538" i="1"/>
  <c r="B12538" i="1"/>
  <c r="G12537" i="1"/>
  <c r="B12537" i="1"/>
  <c r="G12536" i="1"/>
  <c r="B12536" i="1"/>
  <c r="G12535" i="1"/>
  <c r="B12535" i="1"/>
  <c r="G12534" i="1"/>
  <c r="C12534" i="1"/>
  <c r="B12534" i="1"/>
  <c r="G12533" i="1"/>
  <c r="B12533" i="1"/>
  <c r="G12532" i="1"/>
  <c r="C12532" i="1"/>
  <c r="B12532" i="1"/>
  <c r="G12531" i="1"/>
  <c r="B12531" i="1"/>
  <c r="G12530" i="1"/>
  <c r="B12530" i="1"/>
  <c r="G12529" i="1"/>
  <c r="C12529" i="1"/>
  <c r="B12529" i="1"/>
  <c r="G12528" i="1"/>
  <c r="B12528" i="1"/>
  <c r="G12527" i="1"/>
  <c r="B12527" i="1"/>
  <c r="G12526" i="1"/>
  <c r="B12526" i="1"/>
  <c r="G12525" i="1"/>
  <c r="C12525" i="1"/>
  <c r="B12525" i="1"/>
  <c r="G12524" i="1"/>
  <c r="B12524" i="1"/>
  <c r="G12523" i="1"/>
  <c r="C12523" i="1"/>
  <c r="B12523" i="1"/>
  <c r="G12522" i="1"/>
  <c r="B12522" i="1"/>
  <c r="G12521" i="1"/>
  <c r="B12521" i="1"/>
  <c r="G12520" i="1"/>
  <c r="C12520" i="1"/>
  <c r="B12520" i="1"/>
  <c r="G12519" i="1"/>
  <c r="C12519" i="1"/>
  <c r="B12519" i="1"/>
  <c r="G12518" i="1"/>
  <c r="B12518" i="1"/>
  <c r="G12517" i="1"/>
  <c r="B12517" i="1"/>
  <c r="G12516" i="1"/>
  <c r="B12516" i="1"/>
  <c r="G12515" i="1"/>
  <c r="B12515" i="1"/>
  <c r="G12514" i="1"/>
  <c r="B12514" i="1"/>
  <c r="G12513" i="1"/>
  <c r="B12513" i="1"/>
  <c r="G12512" i="1"/>
  <c r="B12512" i="1"/>
  <c r="G12511" i="1"/>
  <c r="B12511" i="1"/>
  <c r="G12510" i="1"/>
  <c r="B12510" i="1"/>
  <c r="G12509" i="1"/>
  <c r="C12509" i="1"/>
  <c r="B12509" i="1"/>
  <c r="G12508" i="1"/>
  <c r="C12508" i="1"/>
  <c r="B12508" i="1"/>
  <c r="G12507" i="1"/>
  <c r="B12507" i="1"/>
  <c r="G12506" i="1"/>
  <c r="B12506" i="1"/>
  <c r="G12505" i="1"/>
  <c r="C12505" i="1"/>
  <c r="B12505" i="1"/>
  <c r="G12504" i="1"/>
  <c r="B12504" i="1"/>
  <c r="G12503" i="1"/>
  <c r="B12503" i="1"/>
  <c r="G12502" i="1"/>
  <c r="C12502" i="1"/>
  <c r="B12502" i="1"/>
  <c r="G12501" i="1"/>
  <c r="C12501" i="1"/>
  <c r="B12501" i="1"/>
  <c r="G12500" i="1"/>
  <c r="B12500" i="1"/>
  <c r="G12499" i="1"/>
  <c r="B12499" i="1"/>
  <c r="G12498" i="1"/>
  <c r="B12498" i="1"/>
  <c r="G12497" i="1"/>
  <c r="C12497" i="1"/>
  <c r="B12497" i="1"/>
  <c r="G12496" i="1"/>
  <c r="B12496" i="1"/>
  <c r="G12495" i="1"/>
  <c r="B12495" i="1"/>
  <c r="G12494" i="1"/>
  <c r="B12494" i="1"/>
  <c r="G12493" i="1"/>
  <c r="C12493" i="1"/>
  <c r="B12493" i="1"/>
  <c r="G12492" i="1"/>
  <c r="B12492" i="1"/>
  <c r="G12491" i="1"/>
  <c r="B12491" i="1"/>
  <c r="G12490" i="1"/>
  <c r="C12490" i="1"/>
  <c r="B12490" i="1"/>
  <c r="G12489" i="1"/>
  <c r="B12489" i="1"/>
  <c r="G12488" i="1"/>
  <c r="B12488" i="1"/>
  <c r="G12487" i="1"/>
  <c r="C12487" i="1"/>
  <c r="B12487" i="1"/>
  <c r="G12486" i="1"/>
  <c r="B12486" i="1"/>
  <c r="G12485" i="1"/>
  <c r="B12485" i="1"/>
  <c r="G12484" i="1"/>
  <c r="B12484" i="1"/>
  <c r="G12483" i="1"/>
  <c r="B12483" i="1"/>
  <c r="G12482" i="1"/>
  <c r="C12482" i="1"/>
  <c r="B12482" i="1"/>
  <c r="G12481" i="1"/>
  <c r="B12481" i="1"/>
  <c r="G12480" i="1"/>
  <c r="B12480" i="1"/>
  <c r="G12479" i="1"/>
  <c r="C12479" i="1"/>
  <c r="B12479" i="1"/>
  <c r="G12478" i="1"/>
  <c r="B12478" i="1"/>
  <c r="G12477" i="1"/>
  <c r="C12477" i="1"/>
  <c r="B12477" i="1"/>
  <c r="G12476" i="1"/>
  <c r="B12476" i="1"/>
  <c r="G12475" i="1"/>
  <c r="C12475" i="1"/>
  <c r="B12475" i="1"/>
  <c r="G12474" i="1"/>
  <c r="B12474" i="1"/>
  <c r="G12473" i="1"/>
  <c r="B12473" i="1"/>
  <c r="G12472" i="1"/>
  <c r="C12472" i="1"/>
  <c r="B12472" i="1"/>
  <c r="G12471" i="1"/>
  <c r="C12471" i="1"/>
  <c r="B12471" i="1"/>
  <c r="G12470" i="1"/>
  <c r="B12470" i="1"/>
  <c r="G12469" i="1"/>
  <c r="B12469" i="1"/>
  <c r="G12468" i="1"/>
  <c r="B12468" i="1"/>
  <c r="G12467" i="1"/>
  <c r="B12467" i="1"/>
  <c r="G12466" i="1"/>
  <c r="C12466" i="1"/>
  <c r="B12466" i="1"/>
  <c r="G12465" i="1"/>
  <c r="B12465" i="1"/>
  <c r="G12464" i="1"/>
  <c r="B12464" i="1"/>
  <c r="G12463" i="1"/>
  <c r="C12463" i="1"/>
  <c r="B12463" i="1"/>
  <c r="G12462" i="1"/>
  <c r="B12462" i="1"/>
  <c r="G12461" i="1"/>
  <c r="C12461" i="1"/>
  <c r="B12461" i="1"/>
  <c r="G12460" i="1"/>
  <c r="B12460" i="1"/>
  <c r="G12459" i="1"/>
  <c r="C12459" i="1"/>
  <c r="B12459" i="1"/>
  <c r="G12458" i="1"/>
  <c r="C12458" i="1"/>
  <c r="B12458" i="1"/>
  <c r="G12457" i="1"/>
  <c r="B12457" i="1"/>
  <c r="G12456" i="1"/>
  <c r="B12456" i="1"/>
  <c r="G12455" i="1"/>
  <c r="C12455" i="1"/>
  <c r="B12455" i="1"/>
  <c r="G12454" i="1"/>
  <c r="C12454" i="1"/>
  <c r="B12454" i="1"/>
  <c r="G12453" i="1"/>
  <c r="C12453" i="1"/>
  <c r="B12453" i="1"/>
  <c r="G12452" i="1"/>
  <c r="C12452" i="1"/>
  <c r="B12452" i="1"/>
  <c r="G12451" i="1"/>
  <c r="C12451" i="1"/>
  <c r="B12451" i="1"/>
  <c r="G12450" i="1"/>
  <c r="C12450" i="1"/>
  <c r="B12450" i="1"/>
  <c r="G12449" i="1"/>
  <c r="C12449" i="1"/>
  <c r="B12449" i="1"/>
  <c r="G12448" i="1"/>
  <c r="C12448" i="1"/>
  <c r="B12448" i="1"/>
  <c r="G12447" i="1"/>
  <c r="C12447" i="1"/>
  <c r="B12447" i="1"/>
  <c r="G12446" i="1"/>
  <c r="B12446" i="1"/>
  <c r="G12445" i="1"/>
  <c r="C12445" i="1"/>
  <c r="B12445" i="1"/>
  <c r="G12444" i="1"/>
  <c r="C12444" i="1"/>
  <c r="B12444" i="1"/>
  <c r="G12443" i="1"/>
  <c r="B12443" i="1"/>
  <c r="G12442" i="1"/>
  <c r="C12442" i="1"/>
  <c r="B12442" i="1"/>
  <c r="G12441" i="1"/>
  <c r="C12441" i="1"/>
  <c r="B12441" i="1"/>
  <c r="G12440" i="1"/>
  <c r="C12440" i="1"/>
  <c r="B12440" i="1"/>
  <c r="G12439" i="1"/>
  <c r="B12439" i="1"/>
  <c r="G12438" i="1"/>
  <c r="B12438" i="1"/>
  <c r="G12437" i="1"/>
  <c r="B12437" i="1"/>
  <c r="G12436" i="1"/>
  <c r="C12436" i="1"/>
  <c r="B12436" i="1"/>
  <c r="G12435" i="1"/>
  <c r="B12435" i="1"/>
  <c r="G12434" i="1"/>
  <c r="C12434" i="1"/>
  <c r="B12434" i="1"/>
  <c r="G12433" i="1"/>
  <c r="C12433" i="1"/>
  <c r="B12433" i="1"/>
  <c r="G12432" i="1"/>
  <c r="C12432" i="1"/>
  <c r="B12432" i="1"/>
  <c r="G12431" i="1"/>
  <c r="B12431" i="1"/>
  <c r="G12430" i="1"/>
  <c r="C12430" i="1"/>
  <c r="B12430" i="1"/>
  <c r="G12429" i="1"/>
  <c r="C12429" i="1"/>
  <c r="B12429" i="1"/>
  <c r="G12428" i="1"/>
  <c r="C12428" i="1"/>
  <c r="B12428" i="1"/>
  <c r="G12427" i="1"/>
  <c r="C12427" i="1"/>
  <c r="B12427" i="1"/>
  <c r="G12426" i="1"/>
  <c r="B12426" i="1"/>
  <c r="G12425" i="1"/>
  <c r="C12425" i="1"/>
  <c r="B12425" i="1"/>
  <c r="G12424" i="1"/>
  <c r="C12424" i="1"/>
  <c r="B12424" i="1"/>
  <c r="G12423" i="1"/>
  <c r="B12423" i="1"/>
  <c r="G12422" i="1"/>
  <c r="C12422" i="1"/>
  <c r="B12422" i="1"/>
  <c r="G12421" i="1"/>
  <c r="B12421" i="1"/>
  <c r="G12420" i="1"/>
  <c r="C12420" i="1"/>
  <c r="B12420" i="1"/>
  <c r="G12419" i="1"/>
  <c r="B12419" i="1"/>
  <c r="G12418" i="1"/>
  <c r="C12418" i="1"/>
  <c r="B12418" i="1"/>
  <c r="G12417" i="1"/>
  <c r="C12417" i="1"/>
  <c r="B12417" i="1"/>
  <c r="G12416" i="1"/>
  <c r="B12416" i="1"/>
  <c r="G12415" i="1"/>
  <c r="C12415" i="1"/>
  <c r="B12415" i="1"/>
  <c r="G12414" i="1"/>
  <c r="B12414" i="1"/>
  <c r="G12413" i="1"/>
  <c r="C12413" i="1"/>
  <c r="B12413" i="1"/>
  <c r="G12412" i="1"/>
  <c r="B12412" i="1"/>
  <c r="G12411" i="1"/>
  <c r="C12411" i="1"/>
  <c r="B12411" i="1"/>
  <c r="G12410" i="1"/>
  <c r="C12410" i="1"/>
  <c r="B12410" i="1"/>
  <c r="G12409" i="1"/>
  <c r="C12409" i="1"/>
  <c r="B12409" i="1"/>
  <c r="G12408" i="1"/>
  <c r="B12408" i="1"/>
  <c r="G12407" i="1"/>
  <c r="B12407" i="1"/>
  <c r="G12406" i="1"/>
  <c r="C12406" i="1"/>
  <c r="B12406" i="1"/>
  <c r="G12405" i="1"/>
  <c r="B12405" i="1"/>
  <c r="G12404" i="1"/>
  <c r="C12404" i="1"/>
  <c r="B12404" i="1"/>
  <c r="G12403" i="1"/>
  <c r="C12403" i="1"/>
  <c r="B12403" i="1"/>
  <c r="G12402" i="1"/>
  <c r="C12402" i="1"/>
  <c r="B12402" i="1"/>
  <c r="G12401" i="1"/>
  <c r="C12401" i="1"/>
  <c r="B12401" i="1"/>
  <c r="G12400" i="1"/>
  <c r="C12400" i="1"/>
  <c r="B12400" i="1"/>
  <c r="G12399" i="1"/>
  <c r="B12399" i="1"/>
  <c r="G12398" i="1"/>
  <c r="C12398" i="1"/>
  <c r="B12398" i="1"/>
  <c r="G12397" i="1"/>
  <c r="B12397" i="1"/>
  <c r="G12396" i="1"/>
  <c r="B12396" i="1"/>
  <c r="G12395" i="1"/>
  <c r="B12395" i="1"/>
  <c r="G12394" i="1"/>
  <c r="C12394" i="1"/>
  <c r="B12394" i="1"/>
  <c r="G12393" i="1"/>
  <c r="C12393" i="1"/>
  <c r="B12393" i="1"/>
  <c r="G12392" i="1"/>
  <c r="B12392" i="1"/>
  <c r="G12391" i="1"/>
  <c r="B12391" i="1"/>
  <c r="G12390" i="1"/>
  <c r="B12390" i="1"/>
  <c r="G12389" i="1"/>
  <c r="B12389" i="1"/>
  <c r="G12388" i="1"/>
  <c r="B12388" i="1"/>
  <c r="G12387" i="1"/>
  <c r="C12387" i="1"/>
  <c r="B12387" i="1"/>
  <c r="G12386" i="1"/>
  <c r="C12386" i="1"/>
  <c r="B12386" i="1"/>
  <c r="G12385" i="1"/>
  <c r="C12385" i="1"/>
  <c r="B12385" i="1"/>
  <c r="G12384" i="1"/>
  <c r="C12384" i="1"/>
  <c r="B12384" i="1"/>
  <c r="G12383" i="1"/>
  <c r="C12383" i="1"/>
  <c r="B12383" i="1"/>
  <c r="G12382" i="1"/>
  <c r="C12382" i="1"/>
  <c r="B12382" i="1"/>
  <c r="G12381" i="1"/>
  <c r="C12381" i="1"/>
  <c r="B12381" i="1"/>
  <c r="G12380" i="1"/>
  <c r="C12380" i="1"/>
  <c r="B12380" i="1"/>
  <c r="G12379" i="1"/>
  <c r="B12379" i="1"/>
  <c r="G12378" i="1"/>
  <c r="C12378" i="1"/>
  <c r="B12378" i="1"/>
  <c r="G12377" i="1"/>
  <c r="C12377" i="1"/>
  <c r="B12377" i="1"/>
  <c r="G12376" i="1"/>
  <c r="C12376" i="1"/>
  <c r="B12376" i="1"/>
  <c r="G12375" i="1"/>
  <c r="C12375" i="1"/>
  <c r="B12375" i="1"/>
  <c r="G12374" i="1"/>
  <c r="C12374" i="1"/>
  <c r="B12374" i="1"/>
  <c r="G12373" i="1"/>
  <c r="C12373" i="1"/>
  <c r="B12373" i="1"/>
  <c r="G12372" i="1"/>
  <c r="C12372" i="1"/>
  <c r="B12372" i="1"/>
  <c r="G12371" i="1"/>
  <c r="C12371" i="1"/>
  <c r="B12371" i="1"/>
  <c r="G12370" i="1"/>
  <c r="B12370" i="1"/>
  <c r="G12369" i="1"/>
  <c r="C12369" i="1"/>
  <c r="B12369" i="1"/>
  <c r="G12368" i="1"/>
  <c r="C12368" i="1"/>
  <c r="B12368" i="1"/>
  <c r="G12367" i="1"/>
  <c r="C12367" i="1"/>
  <c r="B12367" i="1"/>
  <c r="G12366" i="1"/>
  <c r="C12366" i="1"/>
  <c r="B12366" i="1"/>
  <c r="G12365" i="1"/>
  <c r="B12365" i="1"/>
  <c r="G12364" i="1"/>
  <c r="C12364" i="1"/>
  <c r="B12364" i="1"/>
  <c r="G12363" i="1"/>
  <c r="C12363" i="1"/>
  <c r="B12363" i="1"/>
  <c r="G12362" i="1"/>
  <c r="C12362" i="1"/>
  <c r="B12362" i="1"/>
  <c r="G12361" i="1"/>
  <c r="C12361" i="1"/>
  <c r="B12361" i="1"/>
  <c r="G12360" i="1"/>
  <c r="C12360" i="1"/>
  <c r="B12360" i="1"/>
  <c r="G12359" i="1"/>
  <c r="C12359" i="1"/>
  <c r="B12359" i="1"/>
  <c r="G12358" i="1"/>
  <c r="B12358" i="1"/>
  <c r="G12357" i="1"/>
  <c r="B12357" i="1"/>
  <c r="G12356" i="1"/>
  <c r="B12356" i="1"/>
  <c r="G12355" i="1"/>
  <c r="C12355" i="1"/>
  <c r="B12355" i="1"/>
  <c r="G12354" i="1"/>
  <c r="B12354" i="1"/>
  <c r="G12353" i="1"/>
  <c r="C12353" i="1"/>
  <c r="B12353" i="1"/>
  <c r="G12352" i="1"/>
  <c r="C12352" i="1"/>
  <c r="B12352" i="1"/>
  <c r="G12351" i="1"/>
  <c r="B12351" i="1"/>
  <c r="G12350" i="1"/>
  <c r="C12350" i="1"/>
  <c r="B12350" i="1"/>
  <c r="G12349" i="1"/>
  <c r="C12349" i="1"/>
  <c r="B12349" i="1"/>
  <c r="G12348" i="1"/>
  <c r="C12348" i="1"/>
  <c r="B12348" i="1"/>
  <c r="G12347" i="1"/>
  <c r="C12347" i="1"/>
  <c r="B12347" i="1"/>
  <c r="G12346" i="1"/>
  <c r="C12346" i="1"/>
  <c r="B12346" i="1"/>
  <c r="G12345" i="1"/>
  <c r="C12345" i="1"/>
  <c r="B12345" i="1"/>
  <c r="G12344" i="1"/>
  <c r="B12344" i="1"/>
  <c r="G12343" i="1"/>
  <c r="C12343" i="1"/>
  <c r="B12343" i="1"/>
  <c r="G12342" i="1"/>
  <c r="C12342" i="1"/>
  <c r="B12342" i="1"/>
  <c r="G12341" i="1"/>
  <c r="C12341" i="1"/>
  <c r="B12341" i="1"/>
  <c r="G12340" i="1"/>
  <c r="C12340" i="1"/>
  <c r="B12340" i="1"/>
  <c r="G12339" i="1"/>
  <c r="C12339" i="1"/>
  <c r="B12339" i="1"/>
  <c r="G12338" i="1"/>
  <c r="C12338" i="1"/>
  <c r="B12338" i="1"/>
  <c r="G12337" i="1"/>
  <c r="C12337" i="1"/>
  <c r="B12337" i="1"/>
  <c r="G12336" i="1"/>
  <c r="C12336" i="1"/>
  <c r="B12336" i="1"/>
  <c r="G12335" i="1"/>
  <c r="C12335" i="1"/>
  <c r="B12335" i="1"/>
  <c r="G12334" i="1"/>
  <c r="C12334" i="1"/>
  <c r="B12334" i="1"/>
  <c r="G12333" i="1"/>
  <c r="C12333" i="1"/>
  <c r="B12333" i="1"/>
  <c r="G12332" i="1"/>
  <c r="C12332" i="1"/>
  <c r="B12332" i="1"/>
  <c r="G12331" i="1"/>
  <c r="C12331" i="1"/>
  <c r="B12331" i="1"/>
  <c r="G12330" i="1"/>
  <c r="C12330" i="1"/>
  <c r="B12330" i="1"/>
  <c r="G12329" i="1"/>
  <c r="C12329" i="1"/>
  <c r="B12329" i="1"/>
  <c r="G12328" i="1"/>
  <c r="B12328" i="1"/>
  <c r="G12327" i="1"/>
  <c r="B12327" i="1"/>
  <c r="G12326" i="1"/>
  <c r="C12326" i="1"/>
  <c r="B12326" i="1"/>
  <c r="G12325" i="1"/>
  <c r="B12325" i="1"/>
  <c r="G12324" i="1"/>
  <c r="C12324" i="1"/>
  <c r="B12324" i="1"/>
  <c r="G12323" i="1"/>
  <c r="C12323" i="1"/>
  <c r="B12323" i="1"/>
  <c r="G12322" i="1"/>
  <c r="C12322" i="1"/>
  <c r="B12322" i="1"/>
  <c r="G12321" i="1"/>
  <c r="C12321" i="1"/>
  <c r="B12321" i="1"/>
  <c r="G12320" i="1"/>
  <c r="C12320" i="1"/>
  <c r="B12320" i="1"/>
  <c r="G12319" i="1"/>
  <c r="B12319" i="1"/>
  <c r="G12318" i="1"/>
  <c r="C12318" i="1"/>
  <c r="B12318" i="1"/>
  <c r="G12317" i="1"/>
  <c r="B12317" i="1"/>
  <c r="G12316" i="1"/>
  <c r="C12316" i="1"/>
  <c r="B12316" i="1"/>
  <c r="G12315" i="1"/>
  <c r="B12315" i="1"/>
  <c r="G12314" i="1"/>
  <c r="C12314" i="1"/>
  <c r="B12314" i="1"/>
  <c r="G12313" i="1"/>
  <c r="B12313" i="1"/>
  <c r="G12312" i="1"/>
  <c r="B12312" i="1"/>
  <c r="G12311" i="1"/>
  <c r="C12311" i="1"/>
  <c r="B12311" i="1"/>
  <c r="G12310" i="1"/>
  <c r="C12310" i="1"/>
  <c r="B12310" i="1"/>
  <c r="G12309" i="1"/>
  <c r="C12309" i="1"/>
  <c r="B12309" i="1"/>
  <c r="G12308" i="1"/>
  <c r="C12308" i="1"/>
  <c r="B12308" i="1"/>
  <c r="G12307" i="1"/>
  <c r="C12307" i="1"/>
  <c r="B12307" i="1"/>
  <c r="G12306" i="1"/>
  <c r="C12306" i="1"/>
  <c r="B12306" i="1"/>
  <c r="G12305" i="1"/>
  <c r="B12305" i="1"/>
  <c r="G12304" i="1"/>
  <c r="B12304" i="1"/>
  <c r="G12303" i="1"/>
  <c r="C12303" i="1"/>
  <c r="B12303" i="1"/>
  <c r="G12302" i="1"/>
  <c r="C12302" i="1"/>
  <c r="B12302" i="1"/>
  <c r="G12301" i="1"/>
  <c r="C12301" i="1"/>
  <c r="B12301" i="1"/>
  <c r="G12300" i="1"/>
  <c r="C12300" i="1"/>
  <c r="B12300" i="1"/>
  <c r="G12299" i="1"/>
  <c r="C12299" i="1"/>
  <c r="B12299" i="1"/>
  <c r="G12298" i="1"/>
  <c r="C12298" i="1"/>
  <c r="B12298" i="1"/>
  <c r="G12297" i="1"/>
  <c r="C12297" i="1"/>
  <c r="B12297" i="1"/>
  <c r="G12296" i="1"/>
  <c r="B12296" i="1"/>
  <c r="G12295" i="1"/>
  <c r="C12295" i="1"/>
  <c r="B12295" i="1"/>
  <c r="G12294" i="1"/>
  <c r="C12294" i="1"/>
  <c r="B12294" i="1"/>
  <c r="G12293" i="1"/>
  <c r="C12293" i="1"/>
  <c r="B12293" i="1"/>
  <c r="G12292" i="1"/>
  <c r="C12292" i="1"/>
  <c r="B12292" i="1"/>
  <c r="G12291" i="1"/>
  <c r="C12291" i="1"/>
  <c r="B12291" i="1"/>
  <c r="G12290" i="1"/>
  <c r="C12290" i="1"/>
  <c r="B12290" i="1"/>
  <c r="G12289" i="1"/>
  <c r="C12289" i="1"/>
  <c r="B12289" i="1"/>
  <c r="G12288" i="1"/>
  <c r="B12288" i="1"/>
  <c r="G12287" i="1"/>
  <c r="B12287" i="1"/>
  <c r="G12286" i="1"/>
  <c r="C12286" i="1"/>
  <c r="B12286" i="1"/>
  <c r="G12285" i="1"/>
  <c r="B12285" i="1"/>
  <c r="G12284" i="1"/>
  <c r="C12284" i="1"/>
  <c r="B12284" i="1"/>
  <c r="G12283" i="1"/>
  <c r="C12283" i="1"/>
  <c r="B12283" i="1"/>
  <c r="G12282" i="1"/>
  <c r="C12282" i="1"/>
  <c r="B12282" i="1"/>
  <c r="G12281" i="1"/>
  <c r="C12281" i="1"/>
  <c r="B12281" i="1"/>
  <c r="G12280" i="1"/>
  <c r="C12280" i="1"/>
  <c r="B12280" i="1"/>
  <c r="G12279" i="1"/>
  <c r="C12279" i="1"/>
  <c r="B12279" i="1"/>
  <c r="G12278" i="1"/>
  <c r="B12278" i="1"/>
  <c r="G12277" i="1"/>
  <c r="B12277" i="1"/>
  <c r="G12276" i="1"/>
  <c r="C12276" i="1"/>
  <c r="B12276" i="1"/>
  <c r="G12275" i="1"/>
  <c r="B12275" i="1"/>
  <c r="G12274" i="1"/>
  <c r="B12274" i="1"/>
  <c r="G12273" i="1"/>
  <c r="B12273" i="1"/>
  <c r="G12272" i="1"/>
  <c r="C12272" i="1"/>
  <c r="B12272" i="1"/>
  <c r="G12271" i="1"/>
  <c r="C12271" i="1"/>
  <c r="B12271" i="1"/>
  <c r="G12270" i="1"/>
  <c r="C12270" i="1"/>
  <c r="B12270" i="1"/>
  <c r="G12269" i="1"/>
  <c r="C12269" i="1"/>
  <c r="B12269" i="1"/>
  <c r="G12268" i="1"/>
  <c r="B12268" i="1"/>
  <c r="G12267" i="1"/>
  <c r="C12267" i="1"/>
  <c r="B12267" i="1"/>
  <c r="G12266" i="1"/>
  <c r="C12266" i="1"/>
  <c r="B12266" i="1"/>
  <c r="G12265" i="1"/>
  <c r="C12265" i="1"/>
  <c r="B12265" i="1"/>
  <c r="G12264" i="1"/>
  <c r="C12264" i="1"/>
  <c r="B12264" i="1"/>
  <c r="G12263" i="1"/>
  <c r="B12263" i="1"/>
  <c r="G12262" i="1"/>
  <c r="C12262" i="1"/>
  <c r="B12262" i="1"/>
  <c r="G12261" i="1"/>
  <c r="C12261" i="1"/>
  <c r="B12261" i="1"/>
  <c r="G12260" i="1"/>
  <c r="C12260" i="1"/>
  <c r="B12260" i="1"/>
  <c r="G12259" i="1"/>
  <c r="C12259" i="1"/>
  <c r="B12259" i="1"/>
  <c r="G12258" i="1"/>
  <c r="C12258" i="1"/>
  <c r="B12258" i="1"/>
  <c r="G12257" i="1"/>
  <c r="B12257" i="1"/>
  <c r="G12256" i="1"/>
  <c r="C12256" i="1"/>
  <c r="B12256" i="1"/>
  <c r="G12255" i="1"/>
  <c r="C12255" i="1"/>
  <c r="B12255" i="1"/>
  <c r="G12254" i="1"/>
  <c r="B12254" i="1"/>
  <c r="G12253" i="1"/>
  <c r="C12253" i="1"/>
  <c r="B12253" i="1"/>
  <c r="G12252" i="1"/>
  <c r="C12252" i="1"/>
  <c r="B12252" i="1"/>
  <c r="G12251" i="1"/>
  <c r="C12251" i="1"/>
  <c r="B12251" i="1"/>
  <c r="G12250" i="1"/>
  <c r="C12250" i="1"/>
  <c r="B12250" i="1"/>
  <c r="G12249" i="1"/>
  <c r="C12249" i="1"/>
  <c r="B12249" i="1"/>
  <c r="G12248" i="1"/>
  <c r="C12248" i="1"/>
  <c r="B12248" i="1"/>
  <c r="G12247" i="1"/>
  <c r="C12247" i="1"/>
  <c r="B12247" i="1"/>
  <c r="G12246" i="1"/>
  <c r="C12246" i="1"/>
  <c r="B12246" i="1"/>
  <c r="G12245" i="1"/>
  <c r="C12245" i="1"/>
  <c r="B12245" i="1"/>
  <c r="G12244" i="1"/>
  <c r="C12244" i="1"/>
  <c r="B12244" i="1"/>
  <c r="G12243" i="1"/>
  <c r="B12243" i="1"/>
  <c r="G12242" i="1"/>
  <c r="C12242" i="1"/>
  <c r="B12242" i="1"/>
  <c r="G12241" i="1"/>
  <c r="C12241" i="1"/>
  <c r="B12241" i="1"/>
  <c r="G12240" i="1"/>
  <c r="C12240" i="1"/>
  <c r="B12240" i="1"/>
  <c r="G12239" i="1"/>
  <c r="B12239" i="1"/>
  <c r="G12238" i="1"/>
  <c r="C12238" i="1"/>
  <c r="B12238" i="1"/>
  <c r="G12237" i="1"/>
  <c r="C12237" i="1"/>
  <c r="B12237" i="1"/>
  <c r="G12236" i="1"/>
  <c r="C12236" i="1"/>
  <c r="B12236" i="1"/>
  <c r="G12235" i="1"/>
  <c r="C12235" i="1"/>
  <c r="B12235" i="1"/>
  <c r="G12234" i="1"/>
  <c r="C12234" i="1"/>
  <c r="B12234" i="1"/>
  <c r="G12233" i="1"/>
  <c r="C12233" i="1"/>
  <c r="B12233" i="1"/>
  <c r="G12232" i="1"/>
  <c r="B12232" i="1"/>
  <c r="G12231" i="1"/>
  <c r="B12231" i="1"/>
  <c r="G12230" i="1"/>
  <c r="C12230" i="1"/>
  <c r="B12230" i="1"/>
  <c r="G12229" i="1"/>
  <c r="C12229" i="1"/>
  <c r="B12229" i="1"/>
  <c r="G12228" i="1"/>
  <c r="C12228" i="1"/>
  <c r="B12228" i="1"/>
  <c r="G12227" i="1"/>
  <c r="C12227" i="1"/>
  <c r="B12227" i="1"/>
  <c r="G12226" i="1"/>
  <c r="C12226" i="1"/>
  <c r="B12226" i="1"/>
  <c r="G12225" i="1"/>
  <c r="C12225" i="1"/>
  <c r="B12225" i="1"/>
  <c r="G12224" i="1"/>
  <c r="B12224" i="1"/>
  <c r="G12223" i="1"/>
  <c r="C12223" i="1"/>
  <c r="B12223" i="1"/>
  <c r="G12222" i="1"/>
  <c r="C12222" i="1"/>
  <c r="B12222" i="1"/>
  <c r="G12221" i="1"/>
  <c r="C12221" i="1"/>
  <c r="B12221" i="1"/>
  <c r="G12220" i="1"/>
  <c r="C12220" i="1"/>
  <c r="B12220" i="1"/>
  <c r="G12219" i="1"/>
  <c r="B12219" i="1"/>
  <c r="G12218" i="1"/>
  <c r="C12218" i="1"/>
  <c r="B12218" i="1"/>
  <c r="G12217" i="1"/>
  <c r="B12217" i="1"/>
  <c r="G12216" i="1"/>
  <c r="B12216" i="1"/>
  <c r="G12215" i="1"/>
  <c r="C12215" i="1"/>
  <c r="B12215" i="1"/>
  <c r="G12214" i="1"/>
  <c r="B12214" i="1"/>
  <c r="G12213" i="1"/>
  <c r="C12213" i="1"/>
  <c r="B12213" i="1"/>
  <c r="G12212" i="1"/>
  <c r="C12212" i="1"/>
  <c r="B12212" i="1"/>
  <c r="G12211" i="1"/>
  <c r="C12211" i="1"/>
  <c r="B12211" i="1"/>
  <c r="G12210" i="1"/>
  <c r="B12210" i="1"/>
  <c r="G12209" i="1"/>
  <c r="C12209" i="1"/>
  <c r="B12209" i="1"/>
  <c r="G12208" i="1"/>
  <c r="C12208" i="1"/>
  <c r="B12208" i="1"/>
  <c r="G12207" i="1"/>
  <c r="B12207" i="1"/>
  <c r="G12206" i="1"/>
  <c r="C12206" i="1"/>
  <c r="B12206" i="1"/>
  <c r="G12205" i="1"/>
  <c r="B12205" i="1"/>
  <c r="G12204" i="1"/>
  <c r="C12204" i="1"/>
  <c r="B12204" i="1"/>
  <c r="G12203" i="1"/>
  <c r="C12203" i="1"/>
  <c r="B12203" i="1"/>
  <c r="G12202" i="1"/>
  <c r="C12202" i="1"/>
  <c r="B12202" i="1"/>
  <c r="G12201" i="1"/>
  <c r="C12201" i="1"/>
  <c r="B12201" i="1"/>
  <c r="G12200" i="1"/>
  <c r="B12200" i="1"/>
  <c r="G12199" i="1"/>
  <c r="C12199" i="1"/>
  <c r="B12199" i="1"/>
  <c r="G12198" i="1"/>
  <c r="B12198" i="1"/>
  <c r="G12197" i="1"/>
  <c r="C12197" i="1"/>
  <c r="B12197" i="1"/>
  <c r="G12196" i="1"/>
  <c r="C12196" i="1"/>
  <c r="B12196" i="1"/>
  <c r="G12195" i="1"/>
  <c r="C12195" i="1"/>
  <c r="B12195" i="1"/>
  <c r="G12194" i="1"/>
  <c r="C12194" i="1"/>
  <c r="B12194" i="1"/>
  <c r="G12193" i="1"/>
  <c r="C12193" i="1"/>
  <c r="B12193" i="1"/>
  <c r="G12192" i="1"/>
  <c r="C12192" i="1"/>
  <c r="B12192" i="1"/>
  <c r="G12191" i="1"/>
  <c r="B12191" i="1"/>
  <c r="G12190" i="1"/>
  <c r="B12190" i="1"/>
  <c r="G12189" i="1"/>
  <c r="C12189" i="1"/>
  <c r="B12189" i="1"/>
  <c r="G12188" i="1"/>
  <c r="C12188" i="1"/>
  <c r="B12188" i="1"/>
  <c r="G12187" i="1"/>
  <c r="C12187" i="1"/>
  <c r="B12187" i="1"/>
  <c r="G12186" i="1"/>
  <c r="C12186" i="1"/>
  <c r="B12186" i="1"/>
  <c r="G12185" i="1"/>
  <c r="C12185" i="1"/>
  <c r="B12185" i="1"/>
  <c r="G12184" i="1"/>
  <c r="C12184" i="1"/>
  <c r="B12184" i="1"/>
  <c r="G12183" i="1"/>
  <c r="C12183" i="1"/>
  <c r="B12183" i="1"/>
  <c r="G12182" i="1"/>
  <c r="B12182" i="1"/>
  <c r="G12181" i="1"/>
  <c r="B12181" i="1"/>
  <c r="G12180" i="1"/>
  <c r="C12180" i="1"/>
  <c r="B12180" i="1"/>
  <c r="G12179" i="1"/>
  <c r="C12179" i="1"/>
  <c r="B12179" i="1"/>
  <c r="G12178" i="1"/>
  <c r="C12178" i="1"/>
  <c r="B12178" i="1"/>
  <c r="G12177" i="1"/>
  <c r="C12177" i="1"/>
  <c r="B12177" i="1"/>
  <c r="G12176" i="1"/>
  <c r="C12176" i="1"/>
  <c r="B12176" i="1"/>
  <c r="G12175" i="1"/>
  <c r="B12175" i="1"/>
  <c r="G12174" i="1"/>
  <c r="B12174" i="1"/>
  <c r="G12173" i="1"/>
  <c r="C12173" i="1"/>
  <c r="B12173" i="1"/>
  <c r="G12172" i="1"/>
  <c r="C12172" i="1"/>
  <c r="B12172" i="1"/>
  <c r="G12171" i="1"/>
  <c r="C12171" i="1"/>
  <c r="B12171" i="1"/>
  <c r="G12170" i="1"/>
  <c r="B12170" i="1"/>
  <c r="G12169" i="1"/>
  <c r="B12169" i="1"/>
  <c r="G12168" i="1"/>
  <c r="B12168" i="1"/>
  <c r="G12167" i="1"/>
  <c r="C12167" i="1"/>
  <c r="B12167" i="1"/>
  <c r="G12166" i="1"/>
  <c r="C12166" i="1"/>
  <c r="B12166" i="1"/>
  <c r="G12165" i="1"/>
  <c r="C12165" i="1"/>
  <c r="B12165" i="1"/>
  <c r="G12164" i="1"/>
  <c r="B12164" i="1"/>
  <c r="G12163" i="1"/>
  <c r="C12163" i="1"/>
  <c r="B12163" i="1"/>
  <c r="G12162" i="1"/>
  <c r="C12162" i="1"/>
  <c r="B12162" i="1"/>
  <c r="G12161" i="1"/>
  <c r="B12161" i="1"/>
  <c r="G12160" i="1"/>
  <c r="C12160" i="1"/>
  <c r="B12160" i="1"/>
  <c r="G12159" i="1"/>
  <c r="B12159" i="1"/>
  <c r="G12158" i="1"/>
  <c r="B12158" i="1"/>
  <c r="G12157" i="1"/>
  <c r="B12157" i="1"/>
  <c r="G12156" i="1"/>
  <c r="C12156" i="1"/>
  <c r="B12156" i="1"/>
  <c r="G12155" i="1"/>
  <c r="C12155" i="1"/>
  <c r="B12155" i="1"/>
  <c r="G12154" i="1"/>
  <c r="C12154" i="1"/>
  <c r="B12154" i="1"/>
  <c r="G12153" i="1"/>
  <c r="B12153" i="1"/>
  <c r="G12152" i="1"/>
  <c r="C12152" i="1"/>
  <c r="B12152" i="1"/>
  <c r="G12151" i="1"/>
  <c r="C12151" i="1"/>
  <c r="B12151" i="1"/>
  <c r="G12150" i="1"/>
  <c r="B12150" i="1"/>
  <c r="G12149" i="1"/>
  <c r="B12149" i="1"/>
  <c r="G12148" i="1"/>
  <c r="B12148" i="1"/>
  <c r="G12147" i="1"/>
  <c r="C12147" i="1"/>
  <c r="B12147" i="1"/>
  <c r="G12146" i="1"/>
  <c r="B12146" i="1"/>
  <c r="G12145" i="1"/>
  <c r="C12145" i="1"/>
  <c r="B12145" i="1"/>
  <c r="G12144" i="1"/>
  <c r="C12144" i="1"/>
  <c r="B12144" i="1"/>
  <c r="G12143" i="1"/>
  <c r="C12143" i="1"/>
  <c r="B12143" i="1"/>
  <c r="G12142" i="1"/>
  <c r="B12142" i="1"/>
  <c r="G12141" i="1"/>
  <c r="C12141" i="1"/>
  <c r="B12141" i="1"/>
  <c r="G12140" i="1"/>
  <c r="C12140" i="1"/>
  <c r="B12140" i="1"/>
  <c r="G12139" i="1"/>
  <c r="C12139" i="1"/>
  <c r="B12139" i="1"/>
  <c r="G12138" i="1"/>
  <c r="C12138" i="1"/>
  <c r="B12138" i="1"/>
  <c r="G12137" i="1"/>
  <c r="C12137" i="1"/>
  <c r="B12137" i="1"/>
  <c r="G12136" i="1"/>
  <c r="C12136" i="1"/>
  <c r="B12136" i="1"/>
  <c r="G12135" i="1"/>
  <c r="B12135" i="1"/>
  <c r="G12134" i="1"/>
  <c r="C12134" i="1"/>
  <c r="B12134" i="1"/>
  <c r="G12133" i="1"/>
  <c r="C12133" i="1"/>
  <c r="B12133" i="1"/>
  <c r="G12132" i="1"/>
  <c r="C12132" i="1"/>
  <c r="B12132" i="1"/>
  <c r="G12131" i="1"/>
  <c r="B12131" i="1"/>
  <c r="G12130" i="1"/>
  <c r="C12130" i="1"/>
  <c r="B12130" i="1"/>
  <c r="G12129" i="1"/>
  <c r="C12129" i="1"/>
  <c r="B12129" i="1"/>
  <c r="G12128" i="1"/>
  <c r="C12128" i="1"/>
  <c r="B12128" i="1"/>
  <c r="G12127" i="1"/>
  <c r="C12127" i="1"/>
  <c r="B12127" i="1"/>
  <c r="G12126" i="1"/>
  <c r="C12126" i="1"/>
  <c r="B12126" i="1"/>
  <c r="G12125" i="1"/>
  <c r="C12125" i="1"/>
  <c r="B12125" i="1"/>
  <c r="G12124" i="1"/>
  <c r="C12124" i="1"/>
  <c r="B12124" i="1"/>
  <c r="G12123" i="1"/>
  <c r="C12123" i="1"/>
  <c r="B12123" i="1"/>
  <c r="G12122" i="1"/>
  <c r="C12122" i="1"/>
  <c r="B12122" i="1"/>
  <c r="G12121" i="1"/>
  <c r="B12121" i="1"/>
  <c r="G12120" i="1"/>
  <c r="C12120" i="1"/>
  <c r="B12120" i="1"/>
  <c r="G12119" i="1"/>
  <c r="B12119" i="1"/>
  <c r="G12118" i="1"/>
  <c r="C12118" i="1"/>
  <c r="B12118" i="1"/>
  <c r="G12117" i="1"/>
  <c r="B12117" i="1"/>
  <c r="G12116" i="1"/>
  <c r="B12116" i="1"/>
  <c r="G12115" i="1"/>
  <c r="C12115" i="1"/>
  <c r="B12115" i="1"/>
  <c r="G12114" i="1"/>
  <c r="C12114" i="1"/>
  <c r="B12114" i="1"/>
  <c r="G12113" i="1"/>
  <c r="C12113" i="1"/>
  <c r="B12113" i="1"/>
  <c r="G12112" i="1"/>
  <c r="B12112" i="1"/>
  <c r="G12111" i="1"/>
  <c r="C12111" i="1"/>
  <c r="B12111" i="1"/>
  <c r="G12110" i="1"/>
  <c r="C12110" i="1"/>
  <c r="B12110" i="1"/>
  <c r="G12109" i="1"/>
  <c r="C12109" i="1"/>
  <c r="B12109" i="1"/>
  <c r="G12108" i="1"/>
  <c r="C12108" i="1"/>
  <c r="B12108" i="1"/>
  <c r="G12107" i="1"/>
  <c r="C12107" i="1"/>
  <c r="B12107" i="1"/>
  <c r="G12106" i="1"/>
  <c r="C12106" i="1"/>
  <c r="B12106" i="1"/>
  <c r="G12105" i="1"/>
  <c r="B12105" i="1"/>
  <c r="G12104" i="1"/>
  <c r="C12104" i="1"/>
  <c r="B12104" i="1"/>
  <c r="G12103" i="1"/>
  <c r="C12103" i="1"/>
  <c r="B12103" i="1"/>
  <c r="G12102" i="1"/>
  <c r="C12102" i="1"/>
  <c r="B12102" i="1"/>
  <c r="G12101" i="1"/>
  <c r="B12101" i="1"/>
  <c r="G12100" i="1"/>
  <c r="B12100" i="1"/>
  <c r="G12099" i="1"/>
  <c r="C12099" i="1"/>
  <c r="B12099" i="1"/>
  <c r="G12098" i="1"/>
  <c r="B12098" i="1"/>
  <c r="G12097" i="1"/>
  <c r="B12097" i="1"/>
  <c r="G12096" i="1"/>
  <c r="C12096" i="1"/>
  <c r="B12096" i="1"/>
  <c r="G12095" i="1"/>
  <c r="C12095" i="1"/>
  <c r="B12095" i="1"/>
  <c r="G12094" i="1"/>
  <c r="C12094" i="1"/>
  <c r="B12094" i="1"/>
  <c r="G12093" i="1"/>
  <c r="C12093" i="1"/>
  <c r="B12093" i="1"/>
  <c r="G12092" i="1"/>
  <c r="C12092" i="1"/>
  <c r="B12092" i="1"/>
  <c r="G12091" i="1"/>
  <c r="C12091" i="1"/>
  <c r="B12091" i="1"/>
  <c r="G12090" i="1"/>
  <c r="C12090" i="1"/>
  <c r="B12090" i="1"/>
  <c r="G12089" i="1"/>
  <c r="C12089" i="1"/>
  <c r="B12089" i="1"/>
  <c r="G12088" i="1"/>
  <c r="C12088" i="1"/>
  <c r="B12088" i="1"/>
  <c r="G12087" i="1"/>
  <c r="B12087" i="1"/>
  <c r="G12086" i="1"/>
  <c r="C12086" i="1"/>
  <c r="B12086" i="1"/>
  <c r="G12085" i="1"/>
  <c r="B12085" i="1"/>
  <c r="G12084" i="1"/>
  <c r="B12084" i="1"/>
  <c r="G12083" i="1"/>
  <c r="C12083" i="1"/>
  <c r="B12083" i="1"/>
  <c r="G12082" i="1"/>
  <c r="C12082" i="1"/>
  <c r="B12082" i="1"/>
  <c r="G12081" i="1"/>
  <c r="B12081" i="1"/>
  <c r="G12080" i="1"/>
  <c r="B12080" i="1"/>
  <c r="G12079" i="1"/>
  <c r="C12079" i="1"/>
  <c r="B12079" i="1"/>
  <c r="G12078" i="1"/>
  <c r="C12078" i="1"/>
  <c r="B12078" i="1"/>
  <c r="G12077" i="1"/>
  <c r="B12077" i="1"/>
  <c r="G12076" i="1"/>
  <c r="C12076" i="1"/>
  <c r="B12076" i="1"/>
  <c r="G12075" i="1"/>
  <c r="C12075" i="1"/>
  <c r="B12075" i="1"/>
  <c r="G12074" i="1"/>
  <c r="C12074" i="1"/>
  <c r="B12074" i="1"/>
  <c r="G12073" i="1"/>
  <c r="C12073" i="1"/>
  <c r="B12073" i="1"/>
  <c r="G12072" i="1"/>
  <c r="C12072" i="1"/>
  <c r="B12072" i="1"/>
  <c r="G12071" i="1"/>
  <c r="B12071" i="1"/>
  <c r="G12070" i="1"/>
  <c r="B12070" i="1"/>
  <c r="G12069" i="1"/>
  <c r="C12069" i="1"/>
  <c r="B12069" i="1"/>
  <c r="G12068" i="1"/>
  <c r="C12068" i="1"/>
  <c r="B12068" i="1"/>
  <c r="G12067" i="1"/>
  <c r="C12067" i="1"/>
  <c r="B12067" i="1"/>
  <c r="G12066" i="1"/>
  <c r="C12066" i="1"/>
  <c r="B12066" i="1"/>
  <c r="G12065" i="1"/>
  <c r="C12065" i="1"/>
  <c r="B12065" i="1"/>
  <c r="G12064" i="1"/>
  <c r="C12064" i="1"/>
  <c r="B12064" i="1"/>
  <c r="G12063" i="1"/>
  <c r="C12063" i="1"/>
  <c r="B12063" i="1"/>
  <c r="G12062" i="1"/>
  <c r="C12062" i="1"/>
  <c r="B12062" i="1"/>
  <c r="G12061" i="1"/>
  <c r="B12061" i="1"/>
  <c r="G12060" i="1"/>
  <c r="C12060" i="1"/>
  <c r="B12060" i="1"/>
  <c r="G12059" i="1"/>
  <c r="C12059" i="1"/>
  <c r="B12059" i="1"/>
  <c r="G12058" i="1"/>
  <c r="C12058" i="1"/>
  <c r="B12058" i="1"/>
  <c r="G12057" i="1"/>
  <c r="C12057" i="1"/>
  <c r="B12057" i="1"/>
  <c r="G12056" i="1"/>
  <c r="B12056" i="1"/>
  <c r="G12055" i="1"/>
  <c r="C12055" i="1"/>
  <c r="B12055" i="1"/>
  <c r="G12054" i="1"/>
  <c r="B12054" i="1"/>
  <c r="G12053" i="1"/>
  <c r="B12053" i="1"/>
  <c r="G12052" i="1"/>
  <c r="C12052" i="1"/>
  <c r="B12052" i="1"/>
  <c r="G12051" i="1"/>
  <c r="C12051" i="1"/>
  <c r="B12051" i="1"/>
  <c r="G12050" i="1"/>
  <c r="B12050" i="1"/>
  <c r="G12049" i="1"/>
  <c r="C12049" i="1"/>
  <c r="B12049" i="1"/>
  <c r="G12048" i="1"/>
  <c r="B12048" i="1"/>
  <c r="G12047" i="1"/>
  <c r="C12047" i="1"/>
  <c r="B12047" i="1"/>
  <c r="G12046" i="1"/>
  <c r="B12046" i="1"/>
  <c r="G12045" i="1"/>
  <c r="C12045" i="1"/>
  <c r="B12045" i="1"/>
  <c r="G12044" i="1"/>
  <c r="C12044" i="1"/>
  <c r="B12044" i="1"/>
  <c r="G12043" i="1"/>
  <c r="B12043" i="1"/>
  <c r="G12042" i="1"/>
  <c r="B12042" i="1"/>
  <c r="G12041" i="1"/>
  <c r="C12041" i="1"/>
  <c r="B12041" i="1"/>
  <c r="G12040" i="1"/>
  <c r="C12040" i="1"/>
  <c r="B12040" i="1"/>
  <c r="G12039" i="1"/>
  <c r="C12039" i="1"/>
  <c r="B12039" i="1"/>
  <c r="G12038" i="1"/>
  <c r="B12038" i="1"/>
  <c r="G12037" i="1"/>
  <c r="C12037" i="1"/>
  <c r="B12037" i="1"/>
  <c r="G12036" i="1"/>
  <c r="C12036" i="1"/>
  <c r="B12036" i="1"/>
  <c r="G12035" i="1"/>
  <c r="C12035" i="1"/>
  <c r="B12035" i="1"/>
  <c r="G12034" i="1"/>
  <c r="C12034" i="1"/>
  <c r="B12034" i="1"/>
  <c r="G12033" i="1"/>
  <c r="B12033" i="1"/>
  <c r="G12032" i="1"/>
  <c r="C12032" i="1"/>
  <c r="B12032" i="1"/>
  <c r="G12031" i="1"/>
  <c r="C12031" i="1"/>
  <c r="B12031" i="1"/>
  <c r="G12030" i="1"/>
  <c r="B12030" i="1"/>
  <c r="G12029" i="1"/>
  <c r="C12029" i="1"/>
  <c r="B12029" i="1"/>
  <c r="G12028" i="1"/>
  <c r="C12028" i="1"/>
  <c r="B12028" i="1"/>
  <c r="G12027" i="1"/>
  <c r="C12027" i="1"/>
  <c r="B12027" i="1"/>
  <c r="G12026" i="1"/>
  <c r="C12026" i="1"/>
  <c r="B12026" i="1"/>
  <c r="G12025" i="1"/>
  <c r="C12025" i="1"/>
  <c r="B12025" i="1"/>
  <c r="G12024" i="1"/>
  <c r="C12024" i="1"/>
  <c r="B12024" i="1"/>
  <c r="G12023" i="1"/>
  <c r="C12023" i="1"/>
  <c r="B12023" i="1"/>
  <c r="G12022" i="1"/>
  <c r="B12022" i="1"/>
  <c r="G12021" i="1"/>
  <c r="C12021" i="1"/>
  <c r="B12021" i="1"/>
  <c r="G12020" i="1"/>
  <c r="C12020" i="1"/>
  <c r="B12020" i="1"/>
  <c r="G12019" i="1"/>
  <c r="C12019" i="1"/>
  <c r="B12019" i="1"/>
  <c r="G12018" i="1"/>
  <c r="C12018" i="1"/>
  <c r="B12018" i="1"/>
  <c r="G12017" i="1"/>
  <c r="B12017" i="1"/>
  <c r="G12016" i="1"/>
  <c r="C12016" i="1"/>
  <c r="B12016" i="1"/>
  <c r="G12015" i="1"/>
  <c r="C12015" i="1"/>
  <c r="B12015" i="1"/>
  <c r="G12014" i="1"/>
  <c r="B12014" i="1"/>
  <c r="G12013" i="1"/>
  <c r="C12013" i="1"/>
  <c r="B12013" i="1"/>
  <c r="G12012" i="1"/>
  <c r="B12012" i="1"/>
  <c r="G12011" i="1"/>
  <c r="C12011" i="1"/>
  <c r="B12011" i="1"/>
  <c r="G12010" i="1"/>
  <c r="B12010" i="1"/>
  <c r="G12009" i="1"/>
  <c r="C12009" i="1"/>
  <c r="B12009" i="1"/>
  <c r="G12008" i="1"/>
  <c r="C12008" i="1"/>
  <c r="B12008" i="1"/>
  <c r="G12007" i="1"/>
  <c r="C12007" i="1"/>
  <c r="B12007" i="1"/>
  <c r="G12006" i="1"/>
  <c r="C12006" i="1"/>
  <c r="B12006" i="1"/>
  <c r="G12005" i="1"/>
  <c r="C12005" i="1"/>
  <c r="B12005" i="1"/>
  <c r="G12004" i="1"/>
  <c r="C12004" i="1"/>
  <c r="B12004" i="1"/>
  <c r="G12003" i="1"/>
  <c r="C12003" i="1"/>
  <c r="B12003" i="1"/>
  <c r="G12002" i="1"/>
  <c r="C12002" i="1"/>
  <c r="B12002" i="1"/>
  <c r="G12001" i="1"/>
  <c r="C12001" i="1"/>
  <c r="B12001" i="1"/>
  <c r="G12000" i="1"/>
  <c r="C12000" i="1"/>
  <c r="B12000" i="1"/>
  <c r="G11999" i="1"/>
  <c r="B11999" i="1"/>
  <c r="G11998" i="1"/>
  <c r="C11998" i="1"/>
  <c r="B11998" i="1"/>
  <c r="G11997" i="1"/>
  <c r="C11997" i="1"/>
  <c r="B11997" i="1"/>
  <c r="G11996" i="1"/>
  <c r="B11996" i="1"/>
  <c r="G11995" i="1"/>
  <c r="C11995" i="1"/>
  <c r="B11995" i="1"/>
  <c r="G11994" i="1"/>
  <c r="B11994" i="1"/>
  <c r="G11993" i="1"/>
  <c r="B11993" i="1"/>
  <c r="G11992" i="1"/>
  <c r="B11992" i="1"/>
  <c r="G11991" i="1"/>
  <c r="B11991" i="1"/>
  <c r="G11990" i="1"/>
  <c r="C11990" i="1"/>
  <c r="B11990" i="1"/>
  <c r="G11989" i="1"/>
  <c r="B11989" i="1"/>
  <c r="G11988" i="1"/>
  <c r="C11988" i="1"/>
  <c r="B11988" i="1"/>
  <c r="G11987" i="1"/>
  <c r="C11987" i="1"/>
  <c r="B11987" i="1"/>
  <c r="G11986" i="1"/>
  <c r="C11986" i="1"/>
  <c r="B11986" i="1"/>
  <c r="G11985" i="1"/>
  <c r="C11985" i="1"/>
  <c r="B11985" i="1"/>
  <c r="G11984" i="1"/>
  <c r="C11984" i="1"/>
  <c r="B11984" i="1"/>
  <c r="G11983" i="1"/>
  <c r="B11983" i="1"/>
  <c r="G11982" i="1"/>
  <c r="C11982" i="1"/>
  <c r="B11982" i="1"/>
  <c r="G11981" i="1"/>
  <c r="C11981" i="1"/>
  <c r="B11981" i="1"/>
  <c r="G11980" i="1"/>
  <c r="C11980" i="1"/>
  <c r="B11980" i="1"/>
  <c r="G11979" i="1"/>
  <c r="C11979" i="1"/>
  <c r="B11979" i="1"/>
  <c r="G11978" i="1"/>
  <c r="C11978" i="1"/>
  <c r="B11978" i="1"/>
  <c r="G11977" i="1"/>
  <c r="C11977" i="1"/>
  <c r="B11977" i="1"/>
  <c r="G11976" i="1"/>
  <c r="B11976" i="1"/>
  <c r="G11975" i="1"/>
  <c r="B11975" i="1"/>
  <c r="G11974" i="1"/>
  <c r="B11974" i="1"/>
  <c r="G11973" i="1"/>
  <c r="C11973" i="1"/>
  <c r="B11973" i="1"/>
  <c r="G11972" i="1"/>
  <c r="C11972" i="1"/>
  <c r="B11972" i="1"/>
  <c r="G11971" i="1"/>
  <c r="B11971" i="1"/>
  <c r="G11970" i="1"/>
  <c r="C11970" i="1"/>
  <c r="B11970" i="1"/>
  <c r="G11969" i="1"/>
  <c r="B11969" i="1"/>
  <c r="G11968" i="1"/>
  <c r="B11968" i="1"/>
  <c r="G11967" i="1"/>
  <c r="C11967" i="1"/>
  <c r="B11967" i="1"/>
  <c r="G11966" i="1"/>
  <c r="C11966" i="1"/>
  <c r="B11966" i="1"/>
  <c r="G11965" i="1"/>
  <c r="C11965" i="1"/>
  <c r="B11965" i="1"/>
  <c r="G11964" i="1"/>
  <c r="C11964" i="1"/>
  <c r="B11964" i="1"/>
  <c r="G11963" i="1"/>
  <c r="C11963" i="1"/>
  <c r="B11963" i="1"/>
  <c r="G11962" i="1"/>
  <c r="C11962" i="1"/>
  <c r="B11962" i="1"/>
  <c r="G11961" i="1"/>
  <c r="B11961" i="1"/>
  <c r="G11960" i="1"/>
  <c r="C11960" i="1"/>
  <c r="B11960" i="1"/>
  <c r="G11959" i="1"/>
  <c r="B11959" i="1"/>
  <c r="G11958" i="1"/>
  <c r="C11958" i="1"/>
  <c r="B11958" i="1"/>
  <c r="G11957" i="1"/>
  <c r="C11957" i="1"/>
  <c r="B11957" i="1"/>
  <c r="G11956" i="1"/>
  <c r="C11956" i="1"/>
  <c r="B11956" i="1"/>
  <c r="G11955" i="1"/>
  <c r="C11955" i="1"/>
  <c r="B11955" i="1"/>
  <c r="G11954" i="1"/>
  <c r="C11954" i="1"/>
  <c r="B11954" i="1"/>
  <c r="G11953" i="1"/>
  <c r="C11953" i="1"/>
  <c r="B11953" i="1"/>
  <c r="G11952" i="1"/>
  <c r="B11952" i="1"/>
  <c r="G11951" i="1"/>
  <c r="C11951" i="1"/>
  <c r="B11951" i="1"/>
  <c r="G11950" i="1"/>
  <c r="C11950" i="1"/>
  <c r="B11950" i="1"/>
  <c r="G11949" i="1"/>
  <c r="C11949" i="1"/>
  <c r="B11949" i="1"/>
  <c r="G11948" i="1"/>
  <c r="C11948" i="1"/>
  <c r="B11948" i="1"/>
  <c r="G11947" i="1"/>
  <c r="C11947" i="1"/>
  <c r="B11947" i="1"/>
  <c r="G11946" i="1"/>
  <c r="C11946" i="1"/>
  <c r="B11946" i="1"/>
  <c r="G11945" i="1"/>
  <c r="B11945" i="1"/>
  <c r="G11944" i="1"/>
  <c r="B11944" i="1"/>
  <c r="G11943" i="1"/>
  <c r="C11943" i="1"/>
  <c r="B11943" i="1"/>
  <c r="G11942" i="1"/>
  <c r="C11942" i="1"/>
  <c r="B11942" i="1"/>
  <c r="G11941" i="1"/>
  <c r="C11941" i="1"/>
  <c r="B11941" i="1"/>
  <c r="G11940" i="1"/>
  <c r="C11940" i="1"/>
  <c r="B11940" i="1"/>
  <c r="G11939" i="1"/>
  <c r="C11939" i="1"/>
  <c r="B11939" i="1"/>
  <c r="G11938" i="1"/>
  <c r="C11938" i="1"/>
  <c r="B11938" i="1"/>
  <c r="G11937" i="1"/>
  <c r="C11937" i="1"/>
  <c r="B11937" i="1"/>
  <c r="G11936" i="1"/>
  <c r="C11936" i="1"/>
  <c r="B11936" i="1"/>
  <c r="G11935" i="1"/>
  <c r="B11935" i="1"/>
  <c r="G11934" i="1"/>
  <c r="C11934" i="1"/>
  <c r="B11934" i="1"/>
  <c r="G11933" i="1"/>
  <c r="C11933" i="1"/>
  <c r="B11933" i="1"/>
  <c r="G11932" i="1"/>
  <c r="B11932" i="1"/>
  <c r="G11931" i="1"/>
  <c r="C11931" i="1"/>
  <c r="B11931" i="1"/>
  <c r="G11930" i="1"/>
  <c r="B11930" i="1"/>
  <c r="G11929" i="1"/>
  <c r="C11929" i="1"/>
  <c r="B11929" i="1"/>
  <c r="G11928" i="1"/>
  <c r="C11928" i="1"/>
  <c r="B11928" i="1"/>
  <c r="G11927" i="1"/>
  <c r="C11927" i="1"/>
  <c r="B11927" i="1"/>
  <c r="G11926" i="1"/>
  <c r="C11926" i="1"/>
  <c r="B11926" i="1"/>
  <c r="G11925" i="1"/>
  <c r="C11925" i="1"/>
  <c r="B11925" i="1"/>
  <c r="G11924" i="1"/>
  <c r="B11924" i="1"/>
  <c r="G11923" i="1"/>
  <c r="C11923" i="1"/>
  <c r="B11923" i="1"/>
  <c r="G11922" i="1"/>
  <c r="C11922" i="1"/>
  <c r="B11922" i="1"/>
  <c r="G11921" i="1"/>
  <c r="B11921" i="1"/>
  <c r="G11920" i="1"/>
  <c r="B11920" i="1"/>
  <c r="G11919" i="1"/>
  <c r="B11919" i="1"/>
  <c r="G11918" i="1"/>
  <c r="C11918" i="1"/>
  <c r="B11918" i="1"/>
  <c r="D11917" i="1"/>
  <c r="C11916" i="1"/>
  <c r="B11916" i="1"/>
  <c r="G11915" i="1"/>
  <c r="C11915" i="1"/>
  <c r="B11915" i="1"/>
  <c r="G11914" i="1"/>
  <c r="B11914" i="1"/>
  <c r="G11913" i="1"/>
  <c r="C11913" i="1"/>
  <c r="B11913" i="1"/>
  <c r="G11912" i="1"/>
  <c r="C11912" i="1"/>
  <c r="B11912" i="1"/>
  <c r="G11911" i="1"/>
  <c r="B11911" i="1"/>
  <c r="G11910" i="1"/>
  <c r="B11910" i="1"/>
  <c r="G11909" i="1"/>
  <c r="C11909" i="1"/>
  <c r="B11909" i="1"/>
  <c r="G11908" i="1"/>
  <c r="C11908" i="1"/>
  <c r="B11908" i="1"/>
  <c r="G11907" i="1"/>
  <c r="C11907" i="1"/>
  <c r="B11907" i="1"/>
  <c r="G11906" i="1"/>
  <c r="C11906" i="1"/>
  <c r="B11906" i="1"/>
  <c r="G11905" i="1"/>
  <c r="B11905" i="1"/>
  <c r="G11904" i="1"/>
  <c r="C11904" i="1"/>
  <c r="B11904" i="1"/>
  <c r="G11903" i="1"/>
  <c r="B11903" i="1"/>
  <c r="G11902" i="1"/>
  <c r="C11902" i="1"/>
  <c r="B11902" i="1"/>
  <c r="G11901" i="1"/>
  <c r="C11901" i="1"/>
  <c r="B11901" i="1"/>
  <c r="G11900" i="1"/>
  <c r="C11900" i="1"/>
  <c r="B11900" i="1"/>
  <c r="G11899" i="1"/>
  <c r="B11899" i="1"/>
  <c r="G11898" i="1"/>
  <c r="B11898" i="1"/>
  <c r="G11897" i="1"/>
  <c r="B11897" i="1"/>
  <c r="G11896" i="1"/>
  <c r="C11896" i="1"/>
  <c r="B11896" i="1"/>
  <c r="G11895" i="1"/>
  <c r="B11895" i="1"/>
  <c r="G11894" i="1"/>
  <c r="C11894" i="1"/>
  <c r="B11894" i="1"/>
  <c r="G11893" i="1"/>
  <c r="C11893" i="1"/>
  <c r="B11893" i="1"/>
  <c r="G11892" i="1"/>
  <c r="C11892" i="1"/>
  <c r="B11892" i="1"/>
  <c r="G11891" i="1"/>
  <c r="C11891" i="1"/>
  <c r="B11891" i="1"/>
  <c r="G11890" i="1"/>
  <c r="C11890" i="1"/>
  <c r="B11890" i="1"/>
  <c r="G11889" i="1"/>
  <c r="C11889" i="1"/>
  <c r="B11889" i="1"/>
  <c r="G11888" i="1"/>
  <c r="C11888" i="1"/>
  <c r="B11888" i="1"/>
  <c r="G11887" i="1"/>
  <c r="C11887" i="1"/>
  <c r="B11887" i="1"/>
  <c r="G11886" i="1"/>
  <c r="C11886" i="1"/>
  <c r="B11886" i="1"/>
  <c r="G11885" i="1"/>
  <c r="C11885" i="1"/>
  <c r="B11885" i="1"/>
  <c r="G11884" i="1"/>
  <c r="B11884" i="1"/>
  <c r="G11883" i="1"/>
  <c r="C11883" i="1"/>
  <c r="B11883" i="1"/>
  <c r="G11882" i="1"/>
  <c r="C11882" i="1"/>
  <c r="B11882" i="1"/>
  <c r="G11881" i="1"/>
  <c r="C11881" i="1"/>
  <c r="B11881" i="1"/>
  <c r="G11880" i="1"/>
  <c r="C11880" i="1"/>
  <c r="B11880" i="1"/>
  <c r="G11879" i="1"/>
  <c r="B11879" i="1"/>
  <c r="G11878" i="1"/>
  <c r="C11878" i="1"/>
  <c r="B11878" i="1"/>
  <c r="G11877" i="1"/>
  <c r="C11877" i="1"/>
  <c r="B11877" i="1"/>
  <c r="G11876" i="1"/>
  <c r="C11876" i="1"/>
  <c r="B11876" i="1"/>
  <c r="G11875" i="1"/>
  <c r="C11875" i="1"/>
  <c r="B11875" i="1"/>
  <c r="G11874" i="1"/>
  <c r="C11874" i="1"/>
  <c r="B11874" i="1"/>
  <c r="G11873" i="1"/>
  <c r="C11873" i="1"/>
  <c r="B11873" i="1"/>
  <c r="G11872" i="1"/>
  <c r="C11872" i="1"/>
  <c r="B11872" i="1"/>
  <c r="G11871" i="1"/>
  <c r="B11871" i="1"/>
  <c r="G11870" i="1"/>
  <c r="B11870" i="1"/>
  <c r="G11869" i="1"/>
  <c r="B11869" i="1"/>
  <c r="G11868" i="1"/>
  <c r="C11868" i="1"/>
  <c r="B11868" i="1"/>
  <c r="G11867" i="1"/>
  <c r="C11867" i="1"/>
  <c r="B11867" i="1"/>
  <c r="G11866" i="1"/>
  <c r="C11866" i="1"/>
  <c r="B11866" i="1"/>
  <c r="G11865" i="1"/>
  <c r="B11865" i="1"/>
  <c r="G11864" i="1"/>
  <c r="C11864" i="1"/>
  <c r="B11864" i="1"/>
  <c r="G11863" i="1"/>
  <c r="C11863" i="1"/>
  <c r="B11863" i="1"/>
  <c r="G11862" i="1"/>
  <c r="C11862" i="1"/>
  <c r="B11862" i="1"/>
  <c r="G11861" i="1"/>
  <c r="C11861" i="1"/>
  <c r="B11861" i="1"/>
  <c r="G11860" i="1"/>
  <c r="C11860" i="1"/>
  <c r="B11860" i="1"/>
  <c r="G11859" i="1"/>
  <c r="C11859" i="1"/>
  <c r="B11859" i="1"/>
  <c r="G11858" i="1"/>
  <c r="C11858" i="1"/>
  <c r="B11858" i="1"/>
  <c r="G11857" i="1"/>
  <c r="C11857" i="1"/>
  <c r="B11857" i="1"/>
  <c r="G11856" i="1"/>
  <c r="C11856" i="1"/>
  <c r="B11856" i="1"/>
  <c r="G11855" i="1"/>
  <c r="C11855" i="1"/>
  <c r="B11855" i="1"/>
  <c r="G11854" i="1"/>
  <c r="B11854" i="1"/>
  <c r="G11853" i="1"/>
  <c r="C11853" i="1"/>
  <c r="B11853" i="1"/>
  <c r="G11852" i="1"/>
  <c r="B11852" i="1"/>
  <c r="G11851" i="1"/>
  <c r="C11851" i="1"/>
  <c r="B11851" i="1"/>
  <c r="G11850" i="1"/>
  <c r="C11850" i="1"/>
  <c r="B11850" i="1"/>
  <c r="G11849" i="1"/>
  <c r="C11849" i="1"/>
  <c r="B11849" i="1"/>
  <c r="G11848" i="1"/>
  <c r="C11848" i="1"/>
  <c r="B11848" i="1"/>
  <c r="G11847" i="1"/>
  <c r="B11847" i="1"/>
  <c r="G11846" i="1"/>
  <c r="B11846" i="1"/>
  <c r="G11845" i="1"/>
  <c r="B11845" i="1"/>
  <c r="G11844" i="1"/>
  <c r="C11844" i="1"/>
  <c r="B11844" i="1"/>
  <c r="G11843" i="1"/>
  <c r="C11843" i="1"/>
  <c r="B11843" i="1"/>
  <c r="G11842" i="1"/>
  <c r="B11842" i="1"/>
  <c r="G11841" i="1"/>
  <c r="C11841" i="1"/>
  <c r="B11841" i="1"/>
  <c r="G11840" i="1"/>
  <c r="C11840" i="1"/>
  <c r="B11840" i="1"/>
  <c r="G11839" i="1"/>
  <c r="C11839" i="1"/>
  <c r="B11839" i="1"/>
  <c r="G11838" i="1"/>
  <c r="C11838" i="1"/>
  <c r="B11838" i="1"/>
  <c r="G11837" i="1"/>
  <c r="B11837" i="1"/>
  <c r="G11836" i="1"/>
  <c r="C11836" i="1"/>
  <c r="B11836" i="1"/>
  <c r="G11835" i="1"/>
  <c r="B11835" i="1"/>
  <c r="G11834" i="1"/>
  <c r="C11834" i="1"/>
  <c r="B11834" i="1"/>
  <c r="G11833" i="1"/>
  <c r="C11833" i="1"/>
  <c r="B11833" i="1"/>
  <c r="G11832" i="1"/>
  <c r="B11832" i="1"/>
  <c r="G11831" i="1"/>
  <c r="C11831" i="1"/>
  <c r="B11831" i="1"/>
  <c r="G11830" i="1"/>
  <c r="B11830" i="1"/>
  <c r="G11829" i="1"/>
  <c r="C11829" i="1"/>
  <c r="B11829" i="1"/>
  <c r="G11828" i="1"/>
  <c r="C11828" i="1"/>
  <c r="B11828" i="1"/>
  <c r="G11827" i="1"/>
  <c r="B11827" i="1"/>
  <c r="G11826" i="1"/>
  <c r="B11826" i="1"/>
  <c r="G11825" i="1"/>
  <c r="B11825" i="1"/>
  <c r="G11824" i="1"/>
  <c r="C11824" i="1"/>
  <c r="B11824" i="1"/>
  <c r="G11823" i="1"/>
  <c r="B11823" i="1"/>
  <c r="G11822" i="1"/>
  <c r="C11822" i="1"/>
  <c r="B11822" i="1"/>
  <c r="G11821" i="1"/>
  <c r="C11821" i="1"/>
  <c r="B11821" i="1"/>
  <c r="G11820" i="1"/>
  <c r="B11820" i="1"/>
  <c r="G11819" i="1"/>
  <c r="C11819" i="1"/>
  <c r="B11819" i="1"/>
  <c r="G11818" i="1"/>
  <c r="B11818" i="1"/>
  <c r="G11817" i="1"/>
  <c r="C11817" i="1"/>
  <c r="B11817" i="1"/>
  <c r="G11816" i="1"/>
  <c r="C11816" i="1"/>
  <c r="B11816" i="1"/>
  <c r="G11815" i="1"/>
  <c r="C11815" i="1"/>
  <c r="B11815" i="1"/>
  <c r="G11814" i="1"/>
  <c r="C11814" i="1"/>
  <c r="B11814" i="1"/>
  <c r="G11813" i="1"/>
  <c r="C11813" i="1"/>
  <c r="B11813" i="1"/>
  <c r="G11812" i="1"/>
  <c r="C11812" i="1"/>
  <c r="B11812" i="1"/>
  <c r="G11811" i="1"/>
  <c r="C11811" i="1"/>
  <c r="B11811" i="1"/>
  <c r="G11810" i="1"/>
  <c r="B11810" i="1"/>
  <c r="G11809" i="1"/>
  <c r="C11809" i="1"/>
  <c r="B11809" i="1"/>
  <c r="G11808" i="1"/>
  <c r="B11808" i="1"/>
  <c r="G11807" i="1"/>
  <c r="B11807" i="1"/>
  <c r="G11806" i="1"/>
  <c r="C11806" i="1"/>
  <c r="B11806" i="1"/>
  <c r="G11805" i="1"/>
  <c r="B11805" i="1"/>
  <c r="G11804" i="1"/>
  <c r="C11804" i="1"/>
  <c r="B11804" i="1"/>
  <c r="G11803" i="1"/>
  <c r="C11803" i="1"/>
  <c r="B11803" i="1"/>
  <c r="G11802" i="1"/>
  <c r="C11802" i="1"/>
  <c r="B11802" i="1"/>
  <c r="G11801" i="1"/>
  <c r="B11801" i="1"/>
  <c r="G11800" i="1"/>
  <c r="B11800" i="1"/>
  <c r="G11799" i="1"/>
  <c r="C11799" i="1"/>
  <c r="B11799" i="1"/>
  <c r="G11798" i="1"/>
  <c r="C11798" i="1"/>
  <c r="B11798" i="1"/>
  <c r="G11797" i="1"/>
  <c r="C11797" i="1"/>
  <c r="B11797" i="1"/>
  <c r="G11796" i="1"/>
  <c r="C11796" i="1"/>
  <c r="B11796" i="1"/>
  <c r="G11795" i="1"/>
  <c r="C11795" i="1"/>
  <c r="B11795" i="1"/>
  <c r="G11794" i="1"/>
  <c r="C11794" i="1"/>
  <c r="B11794" i="1"/>
  <c r="G11793" i="1"/>
  <c r="C11793" i="1"/>
  <c r="B11793" i="1"/>
  <c r="G11792" i="1"/>
  <c r="C11792" i="1"/>
  <c r="B11792" i="1"/>
  <c r="G11791" i="1"/>
  <c r="C11791" i="1"/>
  <c r="B11791" i="1"/>
  <c r="G11790" i="1"/>
  <c r="C11790" i="1"/>
  <c r="B11790" i="1"/>
  <c r="G11789" i="1"/>
  <c r="C11789" i="1"/>
  <c r="B11789" i="1"/>
  <c r="G11788" i="1"/>
  <c r="C11788" i="1"/>
  <c r="B11788" i="1"/>
  <c r="G11787" i="1"/>
  <c r="C11787" i="1"/>
  <c r="B11787" i="1"/>
  <c r="G11786" i="1"/>
  <c r="C11786" i="1"/>
  <c r="B11786" i="1"/>
  <c r="G11785" i="1"/>
  <c r="B11785" i="1"/>
  <c r="G11784" i="1"/>
  <c r="C11784" i="1"/>
  <c r="B11784" i="1"/>
  <c r="G11783" i="1"/>
  <c r="C11783" i="1"/>
  <c r="B11783" i="1"/>
  <c r="G11782" i="1"/>
  <c r="C11782" i="1"/>
  <c r="B11782" i="1"/>
  <c r="G11781" i="1"/>
  <c r="C11781" i="1"/>
  <c r="B11781" i="1"/>
  <c r="G11780" i="1"/>
  <c r="C11780" i="1"/>
  <c r="B11780" i="1"/>
  <c r="G11779" i="1"/>
  <c r="B11779" i="1"/>
  <c r="G11778" i="1"/>
  <c r="B11778" i="1"/>
  <c r="G11777" i="1"/>
  <c r="C11777" i="1"/>
  <c r="B11777" i="1"/>
  <c r="G11776" i="1"/>
  <c r="C11776" i="1"/>
  <c r="B11776" i="1"/>
  <c r="G11775" i="1"/>
  <c r="C11775" i="1"/>
  <c r="B11775" i="1"/>
  <c r="G11774" i="1"/>
  <c r="C11774" i="1"/>
  <c r="B11774" i="1"/>
  <c r="G11773" i="1"/>
  <c r="C11773" i="1"/>
  <c r="B11773" i="1"/>
  <c r="G11772" i="1"/>
  <c r="C11772" i="1"/>
  <c r="B11772" i="1"/>
  <c r="G11771" i="1"/>
  <c r="C11771" i="1"/>
  <c r="B11771" i="1"/>
  <c r="G11770" i="1"/>
  <c r="C11770" i="1"/>
  <c r="B11770" i="1"/>
  <c r="G11769" i="1"/>
  <c r="B11769" i="1"/>
  <c r="G11768" i="1"/>
  <c r="C11768" i="1"/>
  <c r="B11768" i="1"/>
  <c r="G11767" i="1"/>
  <c r="C11767" i="1"/>
  <c r="B11767" i="1"/>
  <c r="G11766" i="1"/>
  <c r="C11766" i="1"/>
  <c r="B11766" i="1"/>
  <c r="G11765" i="1"/>
  <c r="C11765" i="1"/>
  <c r="B11765" i="1"/>
  <c r="G11764" i="1"/>
  <c r="C11764" i="1"/>
  <c r="B11764" i="1"/>
  <c r="G11763" i="1"/>
  <c r="C11763" i="1"/>
  <c r="B11763" i="1"/>
  <c r="G11762" i="1"/>
  <c r="C11762" i="1"/>
  <c r="B11762" i="1"/>
  <c r="G11761" i="1"/>
  <c r="C11761" i="1"/>
  <c r="B11761" i="1"/>
  <c r="G11760" i="1"/>
  <c r="C11760" i="1"/>
  <c r="B11760" i="1"/>
  <c r="G11759" i="1"/>
  <c r="C11759" i="1"/>
  <c r="B11759" i="1"/>
  <c r="G11758" i="1"/>
  <c r="B11758" i="1"/>
  <c r="G11757" i="1"/>
  <c r="C11757" i="1"/>
  <c r="B11757" i="1"/>
  <c r="G11756" i="1"/>
  <c r="C11756" i="1"/>
  <c r="B11756" i="1"/>
  <c r="G11755" i="1"/>
  <c r="C11755" i="1"/>
  <c r="B11755" i="1"/>
  <c r="G11754" i="1"/>
  <c r="C11754" i="1"/>
  <c r="B11754" i="1"/>
  <c r="G11753" i="1"/>
  <c r="B11753" i="1"/>
  <c r="G11752" i="1"/>
  <c r="C11752" i="1"/>
  <c r="B11752" i="1"/>
  <c r="G11751" i="1"/>
  <c r="B11751" i="1"/>
  <c r="G11750" i="1"/>
  <c r="C11750" i="1"/>
  <c r="B11750" i="1"/>
  <c r="G11749" i="1"/>
  <c r="C11749" i="1"/>
  <c r="B11749" i="1"/>
  <c r="G11748" i="1"/>
  <c r="C11748" i="1"/>
  <c r="B11748" i="1"/>
  <c r="G11747" i="1"/>
  <c r="B11747" i="1"/>
  <c r="G11746" i="1"/>
  <c r="C11746" i="1"/>
  <c r="B11746" i="1"/>
  <c r="G11745" i="1"/>
  <c r="C11745" i="1"/>
  <c r="B11745" i="1"/>
  <c r="G11744" i="1"/>
  <c r="C11744" i="1"/>
  <c r="B11744" i="1"/>
  <c r="G11743" i="1"/>
  <c r="C11743" i="1"/>
  <c r="B11743" i="1"/>
  <c r="G11742" i="1"/>
  <c r="B11742" i="1"/>
  <c r="G11741" i="1"/>
  <c r="C11741" i="1"/>
  <c r="B11741" i="1"/>
  <c r="G11740" i="1"/>
  <c r="C11740" i="1"/>
  <c r="B11740" i="1"/>
  <c r="G11739" i="1"/>
  <c r="C11739" i="1"/>
  <c r="B11739" i="1"/>
  <c r="G11738" i="1"/>
  <c r="C11738" i="1"/>
  <c r="B11738" i="1"/>
  <c r="G11737" i="1"/>
  <c r="C11737" i="1"/>
  <c r="B11737" i="1"/>
  <c r="G11736" i="1"/>
  <c r="B11736" i="1"/>
  <c r="G11735" i="1"/>
  <c r="C11735" i="1"/>
  <c r="B11735" i="1"/>
  <c r="G11734" i="1"/>
  <c r="C11734" i="1"/>
  <c r="B11734" i="1"/>
  <c r="G11733" i="1"/>
  <c r="C11733" i="1"/>
  <c r="B11733" i="1"/>
  <c r="G11732" i="1"/>
  <c r="C11732" i="1"/>
  <c r="B11732" i="1"/>
  <c r="G11731" i="1"/>
  <c r="C11731" i="1"/>
  <c r="B11731" i="1"/>
  <c r="G11730" i="1"/>
  <c r="C11730" i="1"/>
  <c r="B11730" i="1"/>
  <c r="G11729" i="1"/>
  <c r="C11729" i="1"/>
  <c r="B11729" i="1"/>
  <c r="G11728" i="1"/>
  <c r="C11728" i="1"/>
  <c r="B11728" i="1"/>
  <c r="G11727" i="1"/>
  <c r="B11727" i="1"/>
  <c r="G11726" i="1"/>
  <c r="C11726" i="1"/>
  <c r="B11726" i="1"/>
  <c r="G11725" i="1"/>
  <c r="C11725" i="1"/>
  <c r="B11725" i="1"/>
  <c r="G11724" i="1"/>
  <c r="C11724" i="1"/>
  <c r="B11724" i="1"/>
  <c r="G11723" i="1"/>
  <c r="C11723" i="1"/>
  <c r="B11723" i="1"/>
  <c r="G11722" i="1"/>
  <c r="C11722" i="1"/>
  <c r="B11722" i="1"/>
  <c r="G11721" i="1"/>
  <c r="C11721" i="1"/>
  <c r="B11721" i="1"/>
  <c r="G11720" i="1"/>
  <c r="C11720" i="1"/>
  <c r="B11720" i="1"/>
  <c r="G11719" i="1"/>
  <c r="C11719" i="1"/>
  <c r="B11719" i="1"/>
  <c r="G11718" i="1"/>
  <c r="C11718" i="1"/>
  <c r="B11718" i="1"/>
  <c r="G11717" i="1"/>
  <c r="C11717" i="1"/>
  <c r="B11717" i="1"/>
  <c r="G11716" i="1"/>
  <c r="B11716" i="1"/>
  <c r="G11715" i="1"/>
  <c r="C11715" i="1"/>
  <c r="B11715" i="1"/>
  <c r="G11714" i="1"/>
  <c r="C11714" i="1"/>
  <c r="B11714" i="1"/>
  <c r="G11713" i="1"/>
  <c r="C11713" i="1"/>
  <c r="B11713" i="1"/>
  <c r="G11712" i="1"/>
  <c r="C11712" i="1"/>
  <c r="B11712" i="1"/>
  <c r="G11711" i="1"/>
  <c r="C11711" i="1"/>
  <c r="B11711" i="1"/>
  <c r="G11710" i="1"/>
  <c r="C11710" i="1"/>
  <c r="B11710" i="1"/>
  <c r="G11709" i="1"/>
  <c r="C11709" i="1"/>
  <c r="B11709" i="1"/>
  <c r="G11708" i="1"/>
  <c r="C11708" i="1"/>
  <c r="B11708" i="1"/>
  <c r="G11707" i="1"/>
  <c r="C11707" i="1"/>
  <c r="B11707" i="1"/>
  <c r="G11706" i="1"/>
  <c r="C11706" i="1"/>
  <c r="B11706" i="1"/>
  <c r="G11705" i="1"/>
  <c r="C11705" i="1"/>
  <c r="B11705" i="1"/>
  <c r="G11704" i="1"/>
  <c r="B11704" i="1"/>
  <c r="G11703" i="1"/>
  <c r="C11703" i="1"/>
  <c r="B11703" i="1"/>
  <c r="G11702" i="1"/>
  <c r="C11702" i="1"/>
  <c r="B11702" i="1"/>
  <c r="G11701" i="1"/>
  <c r="C11701" i="1"/>
  <c r="B11701" i="1"/>
  <c r="G11700" i="1"/>
  <c r="C11700" i="1"/>
  <c r="B11700" i="1"/>
  <c r="G11699" i="1"/>
  <c r="C11699" i="1"/>
  <c r="B11699" i="1"/>
  <c r="G11698" i="1"/>
  <c r="C11698" i="1"/>
  <c r="B11698" i="1"/>
  <c r="G11697" i="1"/>
  <c r="B11697" i="1"/>
  <c r="G11696" i="1"/>
  <c r="B11696" i="1"/>
  <c r="G11695" i="1"/>
  <c r="C11695" i="1"/>
  <c r="B11695" i="1"/>
  <c r="G11694" i="1"/>
  <c r="C11694" i="1"/>
  <c r="B11694" i="1"/>
  <c r="G11693" i="1"/>
  <c r="C11693" i="1"/>
  <c r="B11693" i="1"/>
  <c r="G11692" i="1"/>
  <c r="C11692" i="1"/>
  <c r="B11692" i="1"/>
  <c r="G11691" i="1"/>
  <c r="C11691" i="1"/>
  <c r="B11691" i="1"/>
  <c r="G11690" i="1"/>
  <c r="B11690" i="1"/>
  <c r="G11689" i="1"/>
  <c r="C11689" i="1"/>
  <c r="B11689" i="1"/>
  <c r="G11688" i="1"/>
  <c r="C11688" i="1"/>
  <c r="B11688" i="1"/>
  <c r="G11687" i="1"/>
  <c r="C11687" i="1"/>
  <c r="B11687" i="1"/>
  <c r="G11686" i="1"/>
  <c r="C11686" i="1"/>
  <c r="B11686" i="1"/>
  <c r="G11685" i="1"/>
  <c r="B11685" i="1"/>
  <c r="G11684" i="1"/>
  <c r="B11684" i="1"/>
  <c r="G11683" i="1"/>
  <c r="C11683" i="1"/>
  <c r="B11683" i="1"/>
  <c r="G11682" i="1"/>
  <c r="C11682" i="1"/>
  <c r="B11682" i="1"/>
  <c r="G11681" i="1"/>
  <c r="C11681" i="1"/>
  <c r="B11681" i="1"/>
  <c r="G11680" i="1"/>
  <c r="B11680" i="1"/>
  <c r="G11679" i="1"/>
  <c r="B11679" i="1"/>
  <c r="G11678" i="1"/>
  <c r="C11678" i="1"/>
  <c r="B11678" i="1"/>
  <c r="G11677" i="1"/>
  <c r="C11677" i="1"/>
  <c r="B11677" i="1"/>
  <c r="G11676" i="1"/>
  <c r="C11676" i="1"/>
  <c r="B11676" i="1"/>
  <c r="G11675" i="1"/>
  <c r="C11675" i="1"/>
  <c r="B11675" i="1"/>
  <c r="G11674" i="1"/>
  <c r="C11674" i="1"/>
  <c r="B11674" i="1"/>
  <c r="G11673" i="1"/>
  <c r="C11673" i="1"/>
  <c r="B11673" i="1"/>
  <c r="G11672" i="1"/>
  <c r="B11672" i="1"/>
  <c r="G11671" i="1"/>
  <c r="C11671" i="1"/>
  <c r="B11671" i="1"/>
  <c r="G11670" i="1"/>
  <c r="C11670" i="1"/>
  <c r="B11670" i="1"/>
  <c r="G11669" i="1"/>
  <c r="C11669" i="1"/>
  <c r="B11669" i="1"/>
  <c r="G11668" i="1"/>
  <c r="C11668" i="1"/>
  <c r="B11668" i="1"/>
  <c r="G11667" i="1"/>
  <c r="B11667" i="1"/>
  <c r="G11666" i="1"/>
  <c r="C11666" i="1"/>
  <c r="B11666" i="1"/>
  <c r="G11665" i="1"/>
  <c r="C11665" i="1"/>
  <c r="B11665" i="1"/>
  <c r="G11664" i="1"/>
  <c r="C11664" i="1"/>
  <c r="B11664" i="1"/>
  <c r="G11663" i="1"/>
  <c r="B11663" i="1"/>
  <c r="G11662" i="1"/>
  <c r="B11662" i="1"/>
  <c r="G11661" i="1"/>
  <c r="B11661" i="1"/>
  <c r="G11660" i="1"/>
  <c r="C11660" i="1"/>
  <c r="B11660" i="1"/>
  <c r="G11659" i="1"/>
  <c r="C11659" i="1"/>
  <c r="B11659" i="1"/>
  <c r="G11658" i="1"/>
  <c r="C11658" i="1"/>
  <c r="B11658" i="1"/>
  <c r="G11657" i="1"/>
  <c r="B11657" i="1"/>
  <c r="G11656" i="1"/>
  <c r="C11656" i="1"/>
  <c r="B11656" i="1"/>
  <c r="G11655" i="1"/>
  <c r="C11655" i="1"/>
  <c r="B11655" i="1"/>
  <c r="G11654" i="1"/>
  <c r="C11654" i="1"/>
  <c r="B11654" i="1"/>
  <c r="G11653" i="1"/>
  <c r="C11653" i="1"/>
  <c r="B11653" i="1"/>
  <c r="G11652" i="1"/>
  <c r="B11652" i="1"/>
  <c r="G11651" i="1"/>
  <c r="C11651" i="1"/>
  <c r="B11651" i="1"/>
  <c r="G11650" i="1"/>
  <c r="C11650" i="1"/>
  <c r="B11650" i="1"/>
  <c r="G11649" i="1"/>
  <c r="C11649" i="1"/>
  <c r="B11649" i="1"/>
  <c r="G11648" i="1"/>
  <c r="B11648" i="1"/>
  <c r="G11647" i="1"/>
  <c r="C11647" i="1"/>
  <c r="B11647" i="1"/>
  <c r="G11646" i="1"/>
  <c r="B11646" i="1"/>
  <c r="G11645" i="1"/>
  <c r="C11645" i="1"/>
  <c r="B11645" i="1"/>
  <c r="G11644" i="1"/>
  <c r="C11644" i="1"/>
  <c r="B11644" i="1"/>
  <c r="G11643" i="1"/>
  <c r="C11643" i="1"/>
  <c r="B11643" i="1"/>
  <c r="G11642" i="1"/>
  <c r="B11642" i="1"/>
  <c r="G11641" i="1"/>
  <c r="B11641" i="1"/>
  <c r="G11640" i="1"/>
  <c r="C11640" i="1"/>
  <c r="B11640" i="1"/>
  <c r="G11639" i="1"/>
  <c r="C11639" i="1"/>
  <c r="B11639" i="1"/>
  <c r="G11638" i="1"/>
  <c r="B11638" i="1"/>
  <c r="G11637" i="1"/>
  <c r="B11637" i="1"/>
  <c r="G11636" i="1"/>
  <c r="B11636" i="1"/>
  <c r="G11635" i="1"/>
  <c r="C11635" i="1"/>
  <c r="B11635" i="1"/>
  <c r="G11634" i="1"/>
  <c r="C11634" i="1"/>
  <c r="B11634" i="1"/>
  <c r="G11633" i="1"/>
  <c r="C11633" i="1"/>
  <c r="B11633" i="1"/>
  <c r="G11632" i="1"/>
  <c r="C11632" i="1"/>
  <c r="B11632" i="1"/>
  <c r="G11631" i="1"/>
  <c r="C11631" i="1"/>
  <c r="B11631" i="1"/>
  <c r="G11630" i="1"/>
  <c r="C11630" i="1"/>
  <c r="B11630" i="1"/>
  <c r="G11629" i="1"/>
  <c r="C11629" i="1"/>
  <c r="B11629" i="1"/>
  <c r="G11628" i="1"/>
  <c r="C11628" i="1"/>
  <c r="B11628" i="1"/>
  <c r="G11627" i="1"/>
  <c r="B11627" i="1"/>
  <c r="G11626" i="1"/>
  <c r="B11626" i="1"/>
  <c r="G11625" i="1"/>
  <c r="C11625" i="1"/>
  <c r="B11625" i="1"/>
  <c r="G11624" i="1"/>
  <c r="B11624" i="1"/>
  <c r="G11623" i="1"/>
  <c r="B11623" i="1"/>
  <c r="G11622" i="1"/>
  <c r="C11622" i="1"/>
  <c r="B11622" i="1"/>
  <c r="G11621" i="1"/>
  <c r="B11621" i="1"/>
  <c r="G11620" i="1"/>
  <c r="C11620" i="1"/>
  <c r="B11620" i="1"/>
  <c r="G11619" i="1"/>
  <c r="B11619" i="1"/>
  <c r="G11618" i="1"/>
  <c r="C11618" i="1"/>
  <c r="B11618" i="1"/>
  <c r="G11617" i="1"/>
  <c r="B11617" i="1"/>
  <c r="G11616" i="1"/>
  <c r="B11616" i="1"/>
  <c r="G11615" i="1"/>
  <c r="C11615" i="1"/>
  <c r="B11615" i="1"/>
  <c r="G11614" i="1"/>
  <c r="C11614" i="1"/>
  <c r="B11614" i="1"/>
  <c r="G11613" i="1"/>
  <c r="C11613" i="1"/>
  <c r="B11613" i="1"/>
  <c r="G11612" i="1"/>
  <c r="C11612" i="1"/>
  <c r="B11612" i="1"/>
  <c r="G11611" i="1"/>
  <c r="C11611" i="1"/>
  <c r="B11611" i="1"/>
  <c r="G11610" i="1"/>
  <c r="C11610" i="1"/>
  <c r="B11610" i="1"/>
  <c r="G11609" i="1"/>
  <c r="C11609" i="1"/>
  <c r="B11609" i="1"/>
  <c r="G11608" i="1"/>
  <c r="C11608" i="1"/>
  <c r="B11608" i="1"/>
  <c r="G11607" i="1"/>
  <c r="C11607" i="1"/>
  <c r="B11607" i="1"/>
  <c r="G11606" i="1"/>
  <c r="B11606" i="1"/>
  <c r="G11605" i="1"/>
  <c r="B11605" i="1"/>
  <c r="G11604" i="1"/>
  <c r="C11604" i="1"/>
  <c r="B11604" i="1"/>
  <c r="G11603" i="1"/>
  <c r="C11603" i="1"/>
  <c r="B11603" i="1"/>
  <c r="G11602" i="1"/>
  <c r="C11602" i="1"/>
  <c r="B11602" i="1"/>
  <c r="G11601" i="1"/>
  <c r="C11601" i="1"/>
  <c r="B11601" i="1"/>
  <c r="G11600" i="1"/>
  <c r="C11600" i="1"/>
  <c r="B11600" i="1"/>
  <c r="G11599" i="1"/>
  <c r="C11599" i="1"/>
  <c r="B11599" i="1"/>
  <c r="G11598" i="1"/>
  <c r="C11598" i="1"/>
  <c r="B11598" i="1"/>
  <c r="G11597" i="1"/>
  <c r="C11597" i="1"/>
  <c r="B11597" i="1"/>
  <c r="G11596" i="1"/>
  <c r="C11596" i="1"/>
  <c r="B11596" i="1"/>
  <c r="G11595" i="1"/>
  <c r="C11595" i="1"/>
  <c r="B11595" i="1"/>
  <c r="G11594" i="1"/>
  <c r="B11594" i="1"/>
  <c r="G11593" i="1"/>
  <c r="C11593" i="1"/>
  <c r="B11593" i="1"/>
  <c r="G11592" i="1"/>
  <c r="C11592" i="1"/>
  <c r="B11592" i="1"/>
  <c r="G11591" i="1"/>
  <c r="B11591" i="1"/>
  <c r="G11590" i="1"/>
  <c r="C11590" i="1"/>
  <c r="B11590" i="1"/>
  <c r="G11589" i="1"/>
  <c r="C11589" i="1"/>
  <c r="B11589" i="1"/>
  <c r="G11588" i="1"/>
  <c r="B11588" i="1"/>
  <c r="G11587" i="1"/>
  <c r="C11587" i="1"/>
  <c r="B11587" i="1"/>
  <c r="G11586" i="1"/>
  <c r="C11586" i="1"/>
  <c r="B11586" i="1"/>
  <c r="G11585" i="1"/>
  <c r="C11585" i="1"/>
  <c r="B11585" i="1"/>
  <c r="G11584" i="1"/>
  <c r="C11584" i="1"/>
  <c r="B11584" i="1"/>
  <c r="G11583" i="1"/>
  <c r="C11583" i="1"/>
  <c r="B11583" i="1"/>
  <c r="G11582" i="1"/>
  <c r="C11582" i="1"/>
  <c r="B11582" i="1"/>
  <c r="G11581" i="1"/>
  <c r="C11581" i="1"/>
  <c r="B11581" i="1"/>
  <c r="G11580" i="1"/>
  <c r="C11580" i="1"/>
  <c r="B11580" i="1"/>
  <c r="G11579" i="1"/>
  <c r="C11579" i="1"/>
  <c r="B11579" i="1"/>
  <c r="G11578" i="1"/>
  <c r="C11578" i="1"/>
  <c r="B11578" i="1"/>
  <c r="G11577" i="1"/>
  <c r="C11577" i="1"/>
  <c r="B11577" i="1"/>
  <c r="G11576" i="1"/>
  <c r="C11576" i="1"/>
  <c r="B11576" i="1"/>
  <c r="G11575" i="1"/>
  <c r="C11575" i="1"/>
  <c r="B11575" i="1"/>
  <c r="G11574" i="1"/>
  <c r="B11574" i="1"/>
  <c r="G11573" i="1"/>
  <c r="C11573" i="1"/>
  <c r="B11573" i="1"/>
  <c r="G11572" i="1"/>
  <c r="C11572" i="1"/>
  <c r="B11572" i="1"/>
  <c r="G11571" i="1"/>
  <c r="B11571" i="1"/>
  <c r="G11570" i="1"/>
  <c r="B11570" i="1"/>
  <c r="G11569" i="1"/>
  <c r="B11569" i="1"/>
  <c r="G11568" i="1"/>
  <c r="B11568" i="1"/>
  <c r="G11567" i="1"/>
  <c r="C11567" i="1"/>
  <c r="B11567" i="1"/>
  <c r="G11566" i="1"/>
  <c r="C11566" i="1"/>
  <c r="B11566" i="1"/>
  <c r="G11565" i="1"/>
  <c r="C11565" i="1"/>
  <c r="B11565" i="1"/>
  <c r="G11564" i="1"/>
  <c r="C11564" i="1"/>
  <c r="B11564" i="1"/>
  <c r="G11563" i="1"/>
  <c r="C11563" i="1"/>
  <c r="B11563" i="1"/>
  <c r="G11562" i="1"/>
  <c r="C11562" i="1"/>
  <c r="B11562" i="1"/>
  <c r="G11561" i="1"/>
  <c r="C11561" i="1"/>
  <c r="B11561" i="1"/>
  <c r="G11560" i="1"/>
  <c r="C11560" i="1"/>
  <c r="B11560" i="1"/>
  <c r="G11559" i="1"/>
  <c r="B11559" i="1"/>
  <c r="G11558" i="1"/>
  <c r="B11558" i="1"/>
  <c r="G11557" i="1"/>
  <c r="B11557" i="1"/>
  <c r="G11556" i="1"/>
  <c r="C11556" i="1"/>
  <c r="B11556" i="1"/>
  <c r="G11555" i="1"/>
  <c r="C11555" i="1"/>
  <c r="B11555" i="1"/>
  <c r="G11554" i="1"/>
  <c r="B11554" i="1"/>
  <c r="G11553" i="1"/>
  <c r="C11553" i="1"/>
  <c r="B11553" i="1"/>
  <c r="G11552" i="1"/>
  <c r="C11552" i="1"/>
  <c r="B11552" i="1"/>
  <c r="G11551" i="1"/>
  <c r="C11551" i="1"/>
  <c r="B11551" i="1"/>
  <c r="G11550" i="1"/>
  <c r="C11550" i="1"/>
  <c r="B11550" i="1"/>
  <c r="G11549" i="1"/>
  <c r="B11549" i="1"/>
  <c r="G11548" i="1"/>
  <c r="C11548" i="1"/>
  <c r="B11548" i="1"/>
  <c r="G11547" i="1"/>
  <c r="C11547" i="1"/>
  <c r="B11547" i="1"/>
  <c r="G11546" i="1"/>
  <c r="B11546" i="1"/>
  <c r="G11545" i="1"/>
  <c r="C11545" i="1"/>
  <c r="B11545" i="1"/>
  <c r="G11544" i="1"/>
  <c r="C11544" i="1"/>
  <c r="B11544" i="1"/>
  <c r="G11543" i="1"/>
  <c r="B11543" i="1"/>
  <c r="G11542" i="1"/>
  <c r="B11542" i="1"/>
  <c r="G11541" i="1"/>
  <c r="C11541" i="1"/>
  <c r="B11541" i="1"/>
  <c r="G11540" i="1"/>
  <c r="C11540" i="1"/>
  <c r="B11540" i="1"/>
  <c r="G11539" i="1"/>
  <c r="C11539" i="1"/>
  <c r="B11539" i="1"/>
  <c r="G11538" i="1"/>
  <c r="C11538" i="1"/>
  <c r="B11538" i="1"/>
  <c r="G11537" i="1"/>
  <c r="B11537" i="1"/>
  <c r="G11536" i="1"/>
  <c r="C11536" i="1"/>
  <c r="B11536" i="1"/>
  <c r="G11535" i="1"/>
  <c r="C11535" i="1"/>
  <c r="B11535" i="1"/>
  <c r="G11534" i="1"/>
  <c r="B11534" i="1"/>
  <c r="G11533" i="1"/>
  <c r="C11533" i="1"/>
  <c r="B11533" i="1"/>
  <c r="G11532" i="1"/>
  <c r="C11532" i="1"/>
  <c r="B11532" i="1"/>
  <c r="G11531" i="1"/>
  <c r="B11531" i="1"/>
  <c r="G11530" i="1"/>
  <c r="C11530" i="1"/>
  <c r="B11530" i="1"/>
  <c r="G11529" i="1"/>
  <c r="C11529" i="1"/>
  <c r="B11529" i="1"/>
  <c r="G11528" i="1"/>
  <c r="C11528" i="1"/>
  <c r="B11528" i="1"/>
  <c r="G11527" i="1"/>
  <c r="C11527" i="1"/>
  <c r="B11527" i="1"/>
  <c r="G11526" i="1"/>
  <c r="C11526" i="1"/>
  <c r="B11526" i="1"/>
  <c r="G11525" i="1"/>
  <c r="C11525" i="1"/>
  <c r="B11525" i="1"/>
  <c r="G11524" i="1"/>
  <c r="C11524" i="1"/>
  <c r="B11524" i="1"/>
  <c r="G11523" i="1"/>
  <c r="B11523" i="1"/>
  <c r="G11522" i="1"/>
  <c r="C11522" i="1"/>
  <c r="B11522" i="1"/>
  <c r="G11521" i="1"/>
  <c r="B11521" i="1"/>
  <c r="G11520" i="1"/>
  <c r="C11520" i="1"/>
  <c r="B11520" i="1"/>
  <c r="G11519" i="1"/>
  <c r="B11519" i="1"/>
  <c r="G11518" i="1"/>
  <c r="C11518" i="1"/>
  <c r="B11518" i="1"/>
  <c r="G11517" i="1"/>
  <c r="B11517" i="1"/>
  <c r="G11516" i="1"/>
  <c r="C11516" i="1"/>
  <c r="B11516" i="1"/>
  <c r="G11515" i="1"/>
  <c r="B11515" i="1"/>
  <c r="G11514" i="1"/>
  <c r="C11514" i="1"/>
  <c r="B11514" i="1"/>
  <c r="G11513" i="1"/>
  <c r="C11513" i="1"/>
  <c r="B11513" i="1"/>
  <c r="G11512" i="1"/>
  <c r="B11512" i="1"/>
  <c r="G11511" i="1"/>
  <c r="C11511" i="1"/>
  <c r="B11511" i="1"/>
  <c r="G11510" i="1"/>
  <c r="C11510" i="1"/>
  <c r="B11510" i="1"/>
  <c r="G11509" i="1"/>
  <c r="C11509" i="1"/>
  <c r="B11509" i="1"/>
  <c r="G11508" i="1"/>
  <c r="B11508" i="1"/>
  <c r="G11507" i="1"/>
  <c r="C11507" i="1"/>
  <c r="B11507" i="1"/>
  <c r="G11506" i="1"/>
  <c r="C11506" i="1"/>
  <c r="B11506" i="1"/>
  <c r="G11505" i="1"/>
  <c r="C11505" i="1"/>
  <c r="B11505" i="1"/>
  <c r="G11504" i="1"/>
  <c r="B11504" i="1"/>
  <c r="G11503" i="1"/>
  <c r="B11503" i="1"/>
  <c r="G11502" i="1"/>
  <c r="C11502" i="1"/>
  <c r="B11502" i="1"/>
  <c r="G11501" i="1"/>
  <c r="C11501" i="1"/>
  <c r="B11501" i="1"/>
  <c r="G11500" i="1"/>
  <c r="C11500" i="1"/>
  <c r="B11500" i="1"/>
  <c r="G11499" i="1"/>
  <c r="C11499" i="1"/>
  <c r="B11499" i="1"/>
  <c r="G11498" i="1"/>
  <c r="C11498" i="1"/>
  <c r="B11498" i="1"/>
  <c r="G11497" i="1"/>
  <c r="B11497" i="1"/>
  <c r="G11496" i="1"/>
  <c r="C11496" i="1"/>
  <c r="B11496" i="1"/>
  <c r="G11495" i="1"/>
  <c r="C11495" i="1"/>
  <c r="B11495" i="1"/>
  <c r="G11494" i="1"/>
  <c r="C11494" i="1"/>
  <c r="B11494" i="1"/>
  <c r="G11493" i="1"/>
  <c r="C11493" i="1"/>
  <c r="B11493" i="1"/>
  <c r="G11492" i="1"/>
  <c r="C11492" i="1"/>
  <c r="B11492" i="1"/>
  <c r="G11491" i="1"/>
  <c r="C11491" i="1"/>
  <c r="B11491" i="1"/>
  <c r="G11490" i="1"/>
  <c r="C11490" i="1"/>
  <c r="B11490" i="1"/>
  <c r="G11489" i="1"/>
  <c r="C11489" i="1"/>
  <c r="B11489" i="1"/>
  <c r="G11488" i="1"/>
  <c r="C11488" i="1"/>
  <c r="B11488" i="1"/>
  <c r="G11487" i="1"/>
  <c r="C11487" i="1"/>
  <c r="B11487" i="1"/>
  <c r="G11486" i="1"/>
  <c r="C11486" i="1"/>
  <c r="B11486" i="1"/>
  <c r="G11485" i="1"/>
  <c r="C11485" i="1"/>
  <c r="B11485" i="1"/>
  <c r="G11484" i="1"/>
  <c r="C11484" i="1"/>
  <c r="B11484" i="1"/>
  <c r="G11483" i="1"/>
  <c r="C11483" i="1"/>
  <c r="B11483" i="1"/>
  <c r="G11482" i="1"/>
  <c r="C11482" i="1"/>
  <c r="B11482" i="1"/>
  <c r="G11481" i="1"/>
  <c r="C11481" i="1"/>
  <c r="B11481" i="1"/>
  <c r="G11480" i="1"/>
  <c r="C11480" i="1"/>
  <c r="B11480" i="1"/>
  <c r="G11479" i="1"/>
  <c r="C11479" i="1"/>
  <c r="B11479" i="1"/>
  <c r="G11478" i="1"/>
  <c r="B11478" i="1"/>
  <c r="G11477" i="1"/>
  <c r="C11477" i="1"/>
  <c r="B11477" i="1"/>
  <c r="G11476" i="1"/>
  <c r="C11476" i="1"/>
  <c r="B11476" i="1"/>
  <c r="G11475" i="1"/>
  <c r="B11475" i="1"/>
  <c r="G11474" i="1"/>
  <c r="B11474" i="1"/>
  <c r="G11473" i="1"/>
  <c r="C11473" i="1"/>
  <c r="B11473" i="1"/>
  <c r="G11472" i="1"/>
  <c r="B11472" i="1"/>
  <c r="G11471" i="1"/>
  <c r="C11471" i="1"/>
  <c r="B11471" i="1"/>
  <c r="G11470" i="1"/>
  <c r="C11470" i="1"/>
  <c r="B11470" i="1"/>
  <c r="G11469" i="1"/>
  <c r="C11469" i="1"/>
  <c r="B11469" i="1"/>
  <c r="G11468" i="1"/>
  <c r="B11468" i="1"/>
  <c r="G11467" i="1"/>
  <c r="C11467" i="1"/>
  <c r="B11467" i="1"/>
  <c r="G11466" i="1"/>
  <c r="C11466" i="1"/>
  <c r="B11466" i="1"/>
  <c r="G11465" i="1"/>
  <c r="C11465" i="1"/>
  <c r="B11465" i="1"/>
  <c r="G11464" i="1"/>
  <c r="C11464" i="1"/>
  <c r="B11464" i="1"/>
  <c r="G11463" i="1"/>
  <c r="C11463" i="1"/>
  <c r="B11463" i="1"/>
  <c r="G11462" i="1"/>
  <c r="C11462" i="1"/>
  <c r="B11462" i="1"/>
  <c r="G11461" i="1"/>
  <c r="C11461" i="1"/>
  <c r="B11461" i="1"/>
  <c r="G11460" i="1"/>
  <c r="B11460" i="1"/>
  <c r="G11459" i="1"/>
  <c r="B11459" i="1"/>
  <c r="G11458" i="1"/>
  <c r="B11458" i="1"/>
  <c r="G11457" i="1"/>
  <c r="B11457" i="1"/>
  <c r="G11456" i="1"/>
  <c r="B11456" i="1"/>
  <c r="G11455" i="1"/>
  <c r="C11455" i="1"/>
  <c r="B11455" i="1"/>
  <c r="G11454" i="1"/>
  <c r="C11454" i="1"/>
  <c r="B11454" i="1"/>
  <c r="G11453" i="1"/>
  <c r="C11453" i="1"/>
  <c r="B11453" i="1"/>
  <c r="G11452" i="1"/>
  <c r="C11452" i="1"/>
  <c r="B11452" i="1"/>
  <c r="G11451" i="1"/>
  <c r="C11451" i="1"/>
  <c r="B11451" i="1"/>
  <c r="G11450" i="1"/>
  <c r="C11450" i="1"/>
  <c r="B11450" i="1"/>
  <c r="G11449" i="1"/>
  <c r="C11449" i="1"/>
  <c r="B11449" i="1"/>
  <c r="G11448" i="1"/>
  <c r="B11448" i="1"/>
  <c r="G11447" i="1"/>
  <c r="C11447" i="1"/>
  <c r="B11447" i="1"/>
  <c r="G11446" i="1"/>
  <c r="C11446" i="1"/>
  <c r="B11446" i="1"/>
  <c r="G11445" i="1"/>
  <c r="C11445" i="1"/>
  <c r="B11445" i="1"/>
  <c r="G11444" i="1"/>
  <c r="C11444" i="1"/>
  <c r="B11444" i="1"/>
  <c r="G11443" i="1"/>
  <c r="C11443" i="1"/>
  <c r="B11443" i="1"/>
  <c r="G11442" i="1"/>
  <c r="C11442" i="1"/>
  <c r="B11442" i="1"/>
  <c r="G11441" i="1"/>
  <c r="C11441" i="1"/>
  <c r="B11441" i="1"/>
  <c r="G11440" i="1"/>
  <c r="C11440" i="1"/>
  <c r="B11440" i="1"/>
  <c r="G11439" i="1"/>
  <c r="C11439" i="1"/>
  <c r="B11439" i="1"/>
  <c r="G11438" i="1"/>
  <c r="B11438" i="1"/>
  <c r="G11437" i="1"/>
  <c r="C11437" i="1"/>
  <c r="B11437" i="1"/>
  <c r="G11436" i="1"/>
  <c r="C11436" i="1"/>
  <c r="B11436" i="1"/>
  <c r="G11435" i="1"/>
  <c r="C11435" i="1"/>
  <c r="B11435" i="1"/>
  <c r="G11434" i="1"/>
  <c r="C11434" i="1"/>
  <c r="B11434" i="1"/>
  <c r="G11433" i="1"/>
  <c r="C11433" i="1"/>
  <c r="B11433" i="1"/>
  <c r="G11432" i="1"/>
  <c r="B11432" i="1"/>
  <c r="G11431" i="1"/>
  <c r="C11431" i="1"/>
  <c r="B11431" i="1"/>
  <c r="G11430" i="1"/>
  <c r="C11430" i="1"/>
  <c r="B11430" i="1"/>
  <c r="G11429" i="1"/>
  <c r="B11429" i="1"/>
  <c r="G11428" i="1"/>
  <c r="C11428" i="1"/>
  <c r="B11428" i="1"/>
  <c r="G11427" i="1"/>
  <c r="C11427" i="1"/>
  <c r="B11427" i="1"/>
  <c r="G11426" i="1"/>
  <c r="C11426" i="1"/>
  <c r="B11426" i="1"/>
  <c r="G11425" i="1"/>
  <c r="C11425" i="1"/>
  <c r="B11425" i="1"/>
  <c r="G11424" i="1"/>
  <c r="C11424" i="1"/>
  <c r="B11424" i="1"/>
  <c r="G11423" i="1"/>
  <c r="B11423" i="1"/>
  <c r="G11422" i="1"/>
  <c r="C11422" i="1"/>
  <c r="B11422" i="1"/>
  <c r="G11421" i="1"/>
  <c r="C11421" i="1"/>
  <c r="B11421" i="1"/>
  <c r="G11420" i="1"/>
  <c r="C11420" i="1"/>
  <c r="B11420" i="1"/>
  <c r="G11419" i="1"/>
  <c r="B11419" i="1"/>
  <c r="G11418" i="1"/>
  <c r="C11418" i="1"/>
  <c r="B11418" i="1"/>
  <c r="G11417" i="1"/>
  <c r="B11417" i="1"/>
  <c r="G11416" i="1"/>
  <c r="C11416" i="1"/>
  <c r="B11416" i="1"/>
  <c r="G11415" i="1"/>
  <c r="C11415" i="1"/>
  <c r="B11415" i="1"/>
  <c r="G11414" i="1"/>
  <c r="C11414" i="1"/>
  <c r="B11414" i="1"/>
  <c r="G11413" i="1"/>
  <c r="C11413" i="1"/>
  <c r="B11413" i="1"/>
  <c r="G11412" i="1"/>
  <c r="C11412" i="1"/>
  <c r="B11412" i="1"/>
  <c r="G11411" i="1"/>
  <c r="C11411" i="1"/>
  <c r="B11411" i="1"/>
  <c r="G11410" i="1"/>
  <c r="C11410" i="1"/>
  <c r="B11410" i="1"/>
  <c r="G11409" i="1"/>
  <c r="C11409" i="1"/>
  <c r="B11409" i="1"/>
  <c r="G11408" i="1"/>
  <c r="B11408" i="1"/>
  <c r="G11407" i="1"/>
  <c r="B11407" i="1"/>
  <c r="G11406" i="1"/>
  <c r="B11406" i="1"/>
  <c r="G11405" i="1"/>
  <c r="C11405" i="1"/>
  <c r="B11405" i="1"/>
  <c r="G11404" i="1"/>
  <c r="C11404" i="1"/>
  <c r="B11404" i="1"/>
  <c r="G11403" i="1"/>
  <c r="C11403" i="1"/>
  <c r="B11403" i="1"/>
  <c r="G11402" i="1"/>
  <c r="C11402" i="1"/>
  <c r="B11402" i="1"/>
  <c r="G11401" i="1"/>
  <c r="B11401" i="1"/>
  <c r="G11400" i="1"/>
  <c r="C11400" i="1"/>
  <c r="B11400" i="1"/>
  <c r="G11399" i="1"/>
  <c r="C11399" i="1"/>
  <c r="B11399" i="1"/>
  <c r="G11398" i="1"/>
  <c r="C11398" i="1"/>
  <c r="B11398" i="1"/>
  <c r="G11397" i="1"/>
  <c r="C11397" i="1"/>
  <c r="B11397" i="1"/>
  <c r="G11396" i="1"/>
  <c r="C11396" i="1"/>
  <c r="B11396" i="1"/>
  <c r="G11395" i="1"/>
  <c r="C11395" i="1"/>
  <c r="B11395" i="1"/>
  <c r="G11394" i="1"/>
  <c r="B11394" i="1"/>
  <c r="G11393" i="1"/>
  <c r="B11393" i="1"/>
  <c r="G11392" i="1"/>
  <c r="B11392" i="1"/>
  <c r="G11391" i="1"/>
  <c r="B11391" i="1"/>
  <c r="G11390" i="1"/>
  <c r="C11390" i="1"/>
  <c r="B11390" i="1"/>
  <c r="G11389" i="1"/>
  <c r="C11389" i="1"/>
  <c r="B11389" i="1"/>
  <c r="G11388" i="1"/>
  <c r="C11388" i="1"/>
  <c r="B11388" i="1"/>
  <c r="G11387" i="1"/>
  <c r="C11387" i="1"/>
  <c r="B11387" i="1"/>
  <c r="G11386" i="1"/>
  <c r="C11386" i="1"/>
  <c r="B11386" i="1"/>
  <c r="G11385" i="1"/>
  <c r="B11385" i="1"/>
  <c r="G11384" i="1"/>
  <c r="C11384" i="1"/>
  <c r="B11384" i="1"/>
  <c r="G11383" i="1"/>
  <c r="C11383" i="1"/>
  <c r="B11383" i="1"/>
  <c r="G11382" i="1"/>
  <c r="C11382" i="1"/>
  <c r="B11382" i="1"/>
  <c r="G11381" i="1"/>
  <c r="C11381" i="1"/>
  <c r="B11381" i="1"/>
  <c r="G11380" i="1"/>
  <c r="C11380" i="1"/>
  <c r="B11380" i="1"/>
  <c r="G11379" i="1"/>
  <c r="C11379" i="1"/>
  <c r="B11379" i="1"/>
  <c r="G11378" i="1"/>
  <c r="B11378" i="1"/>
  <c r="G11377" i="1"/>
  <c r="C11377" i="1"/>
  <c r="B11377" i="1"/>
  <c r="G11376" i="1"/>
  <c r="B11376" i="1"/>
  <c r="G11375" i="1"/>
  <c r="B11375" i="1"/>
  <c r="G11374" i="1"/>
  <c r="C11374" i="1"/>
  <c r="B11374" i="1"/>
  <c r="G11373" i="1"/>
  <c r="C11373" i="1"/>
  <c r="B11373" i="1"/>
  <c r="G11372" i="1"/>
  <c r="C11372" i="1"/>
  <c r="B11372" i="1"/>
  <c r="G11371" i="1"/>
  <c r="C11371" i="1"/>
  <c r="B11371" i="1"/>
  <c r="G11370" i="1"/>
  <c r="C11370" i="1"/>
  <c r="B11370" i="1"/>
  <c r="G11369" i="1"/>
  <c r="C11369" i="1"/>
  <c r="B11369" i="1"/>
  <c r="G11368" i="1"/>
  <c r="B11368" i="1"/>
  <c r="G11367" i="1"/>
  <c r="B11367" i="1"/>
  <c r="G11366" i="1"/>
  <c r="C11366" i="1"/>
  <c r="B11366" i="1"/>
  <c r="G11365" i="1"/>
  <c r="C11365" i="1"/>
  <c r="B11365" i="1"/>
  <c r="G11364" i="1"/>
  <c r="B11364" i="1"/>
  <c r="G11363" i="1"/>
  <c r="C11363" i="1"/>
  <c r="B11363" i="1"/>
  <c r="G11362" i="1"/>
  <c r="C11362" i="1"/>
  <c r="B11362" i="1"/>
  <c r="G11361" i="1"/>
  <c r="C11361" i="1"/>
  <c r="B11361" i="1"/>
  <c r="G11360" i="1"/>
  <c r="C11360" i="1"/>
  <c r="B11360" i="1"/>
  <c r="G11359" i="1"/>
  <c r="C11359" i="1"/>
  <c r="B11359" i="1"/>
  <c r="G11358" i="1"/>
  <c r="C11358" i="1"/>
  <c r="B11358" i="1"/>
  <c r="G11357" i="1"/>
  <c r="C11357" i="1"/>
  <c r="B11357" i="1"/>
  <c r="G11356" i="1"/>
  <c r="C11356" i="1"/>
  <c r="B11356" i="1"/>
  <c r="G11355" i="1"/>
  <c r="C11355" i="1"/>
  <c r="B11355" i="1"/>
  <c r="G11354" i="1"/>
  <c r="C11354" i="1"/>
  <c r="B11354" i="1"/>
  <c r="G11353" i="1"/>
  <c r="B11353" i="1"/>
  <c r="G11352" i="1"/>
  <c r="C11352" i="1"/>
  <c r="B11352" i="1"/>
  <c r="G11351" i="1"/>
  <c r="B11351" i="1"/>
  <c r="G11350" i="1"/>
  <c r="B11350" i="1"/>
  <c r="G11349" i="1"/>
  <c r="B11349" i="1"/>
  <c r="G11348" i="1"/>
  <c r="C11348" i="1"/>
  <c r="B11348" i="1"/>
  <c r="G11347" i="1"/>
  <c r="B11347" i="1"/>
  <c r="G11346" i="1"/>
  <c r="C11346" i="1"/>
  <c r="B11346" i="1"/>
  <c r="G11345" i="1"/>
  <c r="B11345" i="1"/>
  <c r="G11344" i="1"/>
  <c r="C11344" i="1"/>
  <c r="B11344" i="1"/>
  <c r="G11343" i="1"/>
  <c r="C11343" i="1"/>
  <c r="B11343" i="1"/>
  <c r="G11342" i="1"/>
  <c r="C11342" i="1"/>
  <c r="B11342" i="1"/>
  <c r="G11341" i="1"/>
  <c r="C11341" i="1"/>
  <c r="B11341" i="1"/>
  <c r="G11340" i="1"/>
  <c r="C11340" i="1"/>
  <c r="B11340" i="1"/>
  <c r="G11339" i="1"/>
  <c r="B11339" i="1"/>
  <c r="G11338" i="1"/>
  <c r="B11338" i="1"/>
  <c r="G11337" i="1"/>
  <c r="C11337" i="1"/>
  <c r="B11337" i="1"/>
  <c r="G11336" i="1"/>
  <c r="C11336" i="1"/>
  <c r="B11336" i="1"/>
  <c r="G11335" i="1"/>
  <c r="C11335" i="1"/>
  <c r="B11335" i="1"/>
  <c r="G11334" i="1"/>
  <c r="B11334" i="1"/>
  <c r="G11333" i="1"/>
  <c r="B11333" i="1"/>
  <c r="G11332" i="1"/>
  <c r="B11332" i="1"/>
  <c r="G11331" i="1"/>
  <c r="C11331" i="1"/>
  <c r="B11331" i="1"/>
  <c r="G11330" i="1"/>
  <c r="B11330" i="1"/>
  <c r="G11329" i="1"/>
  <c r="C11329" i="1"/>
  <c r="B11329" i="1"/>
  <c r="G11328" i="1"/>
  <c r="C11328" i="1"/>
  <c r="B11328" i="1"/>
  <c r="G11327" i="1"/>
  <c r="C11327" i="1"/>
  <c r="B11327" i="1"/>
  <c r="G11326" i="1"/>
  <c r="C11326" i="1"/>
  <c r="B11326" i="1"/>
  <c r="G11325" i="1"/>
  <c r="B11325" i="1"/>
  <c r="G11324" i="1"/>
  <c r="B11324" i="1"/>
  <c r="G11323" i="1"/>
  <c r="B11323" i="1"/>
  <c r="G11322" i="1"/>
  <c r="B11322" i="1"/>
  <c r="G11321" i="1"/>
  <c r="C11321" i="1"/>
  <c r="B11321" i="1"/>
  <c r="G11320" i="1"/>
  <c r="C11320" i="1"/>
  <c r="B11320" i="1"/>
  <c r="G11319" i="1"/>
  <c r="C11319" i="1"/>
  <c r="B11319" i="1"/>
  <c r="G11318" i="1"/>
  <c r="B11318" i="1"/>
  <c r="G11317" i="1"/>
  <c r="B11317" i="1"/>
  <c r="G11316" i="1"/>
  <c r="C11316" i="1"/>
  <c r="B11316" i="1"/>
  <c r="G11315" i="1"/>
  <c r="C11315" i="1"/>
  <c r="B11315" i="1"/>
  <c r="G11314" i="1"/>
  <c r="C11314" i="1"/>
  <c r="B11314" i="1"/>
  <c r="G11313" i="1"/>
  <c r="B11313" i="1"/>
  <c r="G11312" i="1"/>
  <c r="C11312" i="1"/>
  <c r="B11312" i="1"/>
  <c r="G11311" i="1"/>
  <c r="B11311" i="1"/>
  <c r="G11310" i="1"/>
  <c r="C11310" i="1"/>
  <c r="B11310" i="1"/>
  <c r="G11309" i="1"/>
  <c r="B11309" i="1"/>
  <c r="G11308" i="1"/>
  <c r="B11308" i="1"/>
  <c r="G11307" i="1"/>
  <c r="C11307" i="1"/>
  <c r="B11307" i="1"/>
  <c r="G11306" i="1"/>
  <c r="C11306" i="1"/>
  <c r="B11306" i="1"/>
  <c r="G11305" i="1"/>
  <c r="B11305" i="1"/>
  <c r="G11304" i="1"/>
  <c r="B11304" i="1"/>
  <c r="G11303" i="1"/>
  <c r="B11303" i="1"/>
  <c r="G11302" i="1"/>
  <c r="C11302" i="1"/>
  <c r="B11302" i="1"/>
  <c r="G11301" i="1"/>
  <c r="C11301" i="1"/>
  <c r="B11301" i="1"/>
  <c r="G11300" i="1"/>
  <c r="C11300" i="1"/>
  <c r="B11300" i="1"/>
  <c r="G11299" i="1"/>
  <c r="C11299" i="1"/>
  <c r="B11299" i="1"/>
  <c r="G11298" i="1"/>
  <c r="B11298" i="1"/>
  <c r="G11297" i="1"/>
  <c r="C11297" i="1"/>
  <c r="B11297" i="1"/>
  <c r="G11296" i="1"/>
  <c r="C11296" i="1"/>
  <c r="B11296" i="1"/>
  <c r="G11295" i="1"/>
  <c r="C11295" i="1"/>
  <c r="B11295" i="1"/>
  <c r="G11294" i="1"/>
  <c r="C11294" i="1"/>
  <c r="B11294" i="1"/>
  <c r="G11293" i="1"/>
  <c r="C11293" i="1"/>
  <c r="B11293" i="1"/>
  <c r="G11292" i="1"/>
  <c r="B11292" i="1"/>
  <c r="G11291" i="1"/>
  <c r="C11291" i="1"/>
  <c r="B11291" i="1"/>
  <c r="G11290" i="1"/>
  <c r="B11290" i="1"/>
  <c r="G11289" i="1"/>
  <c r="C11289" i="1"/>
  <c r="B11289" i="1"/>
  <c r="G11288" i="1"/>
  <c r="C11288" i="1"/>
  <c r="B11288" i="1"/>
  <c r="G11287" i="1"/>
  <c r="C11287" i="1"/>
  <c r="B11287" i="1"/>
  <c r="G11286" i="1"/>
  <c r="B11286" i="1"/>
  <c r="G11285" i="1"/>
  <c r="C11285" i="1"/>
  <c r="B11285" i="1"/>
  <c r="G11284" i="1"/>
  <c r="C11284" i="1"/>
  <c r="B11284" i="1"/>
  <c r="G11283" i="1"/>
  <c r="B11283" i="1"/>
  <c r="G11282" i="1"/>
  <c r="B11282" i="1"/>
  <c r="G11281" i="1"/>
  <c r="C11281" i="1"/>
  <c r="B11281" i="1"/>
  <c r="G11280" i="1"/>
  <c r="C11280" i="1"/>
  <c r="B11280" i="1"/>
  <c r="G11279" i="1"/>
  <c r="C11279" i="1"/>
  <c r="B11279" i="1"/>
  <c r="G11278" i="1"/>
  <c r="B11278" i="1"/>
  <c r="G11277" i="1"/>
  <c r="B11277" i="1"/>
  <c r="G11276" i="1"/>
  <c r="B11276" i="1"/>
  <c r="G11275" i="1"/>
  <c r="B11275" i="1"/>
  <c r="G11274" i="1"/>
  <c r="C11274" i="1"/>
  <c r="B11274" i="1"/>
  <c r="G11273" i="1"/>
  <c r="C11273" i="1"/>
  <c r="B11273" i="1"/>
  <c r="G11272" i="1"/>
  <c r="C11272" i="1"/>
  <c r="B11272" i="1"/>
  <c r="G11271" i="1"/>
  <c r="C11271" i="1"/>
  <c r="B11271" i="1"/>
  <c r="G11270" i="1"/>
  <c r="B11270" i="1"/>
  <c r="G11269" i="1"/>
  <c r="C11269" i="1"/>
  <c r="B11269" i="1"/>
  <c r="G11268" i="1"/>
  <c r="C11268" i="1"/>
  <c r="B11268" i="1"/>
  <c r="G11267" i="1"/>
  <c r="B11267" i="1"/>
  <c r="G11266" i="1"/>
  <c r="C11266" i="1"/>
  <c r="B11266" i="1"/>
  <c r="G11265" i="1"/>
  <c r="C11265" i="1"/>
  <c r="B11265" i="1"/>
  <c r="G11264" i="1"/>
  <c r="C11264" i="1"/>
  <c r="B11264" i="1"/>
  <c r="G11263" i="1"/>
  <c r="C11263" i="1"/>
  <c r="B11263" i="1"/>
  <c r="G11262" i="1"/>
  <c r="C11262" i="1"/>
  <c r="B11262" i="1"/>
  <c r="G11261" i="1"/>
  <c r="C11261" i="1"/>
  <c r="B11261" i="1"/>
  <c r="G11260" i="1"/>
  <c r="B11260" i="1"/>
  <c r="G11259" i="1"/>
  <c r="B11259" i="1"/>
  <c r="G11258" i="1"/>
  <c r="C11258" i="1"/>
  <c r="B11258" i="1"/>
  <c r="G11257" i="1"/>
  <c r="B11257" i="1"/>
  <c r="G11256" i="1"/>
  <c r="B11256" i="1"/>
  <c r="G11255" i="1"/>
  <c r="B11255" i="1"/>
  <c r="G11254" i="1"/>
  <c r="C11254" i="1"/>
  <c r="B11254" i="1"/>
  <c r="G11253" i="1"/>
  <c r="C11253" i="1"/>
  <c r="B11253" i="1"/>
  <c r="G11252" i="1"/>
  <c r="C11252" i="1"/>
  <c r="B11252" i="1"/>
  <c r="G11251" i="1"/>
  <c r="C11251" i="1"/>
  <c r="B11251" i="1"/>
  <c r="G11250" i="1"/>
  <c r="B11250" i="1"/>
  <c r="G11249" i="1"/>
  <c r="B11249" i="1"/>
  <c r="G11248" i="1"/>
  <c r="B11248" i="1"/>
  <c r="G11247" i="1"/>
  <c r="C11247" i="1"/>
  <c r="B11247" i="1"/>
  <c r="G11246" i="1"/>
  <c r="C11246" i="1"/>
  <c r="B11246" i="1"/>
  <c r="G11245" i="1"/>
  <c r="C11245" i="1"/>
  <c r="B11245" i="1"/>
  <c r="G11244" i="1"/>
  <c r="C11244" i="1"/>
  <c r="B11244" i="1"/>
  <c r="G11243" i="1"/>
  <c r="B11243" i="1"/>
  <c r="G11242" i="1"/>
  <c r="B11242" i="1"/>
  <c r="G11241" i="1"/>
  <c r="C11241" i="1"/>
  <c r="B11241" i="1"/>
  <c r="G11240" i="1"/>
  <c r="C11240" i="1"/>
  <c r="B11240" i="1"/>
  <c r="G11239" i="1"/>
  <c r="C11239" i="1"/>
  <c r="B11239" i="1"/>
  <c r="G11238" i="1"/>
  <c r="C11238" i="1"/>
  <c r="B11238" i="1"/>
  <c r="G11237" i="1"/>
  <c r="B11237" i="1"/>
  <c r="G11236" i="1"/>
  <c r="B11236" i="1"/>
  <c r="G11235" i="1"/>
  <c r="B11235" i="1"/>
  <c r="G11234" i="1"/>
  <c r="C11234" i="1"/>
  <c r="B11234" i="1"/>
  <c r="G11233" i="1"/>
  <c r="B11233" i="1"/>
  <c r="G11232" i="1"/>
  <c r="B11232" i="1"/>
  <c r="G11231" i="1"/>
  <c r="C11231" i="1"/>
  <c r="B11231" i="1"/>
  <c r="G11230" i="1"/>
  <c r="B11230" i="1"/>
  <c r="G11229" i="1"/>
  <c r="C11229" i="1"/>
  <c r="B11229" i="1"/>
  <c r="G11228" i="1"/>
  <c r="B11228" i="1"/>
  <c r="G11227" i="1"/>
  <c r="C11227" i="1"/>
  <c r="B11227" i="1"/>
  <c r="G11226" i="1"/>
  <c r="B11226" i="1"/>
  <c r="G11225" i="1"/>
  <c r="C11225" i="1"/>
  <c r="B11225" i="1"/>
  <c r="G11224" i="1"/>
  <c r="B11224" i="1"/>
  <c r="G11223" i="1"/>
  <c r="C11223" i="1"/>
  <c r="B11223" i="1"/>
  <c r="G11222" i="1"/>
  <c r="B11222" i="1"/>
  <c r="G11221" i="1"/>
  <c r="C11221" i="1"/>
  <c r="B11221" i="1"/>
  <c r="G11220" i="1"/>
  <c r="B11220" i="1"/>
  <c r="G11219" i="1"/>
  <c r="C11219" i="1"/>
  <c r="B11219" i="1"/>
  <c r="G11218" i="1"/>
  <c r="C11218" i="1"/>
  <c r="B11218" i="1"/>
  <c r="G11217" i="1"/>
  <c r="C11217" i="1"/>
  <c r="B11217" i="1"/>
  <c r="G11216" i="1"/>
  <c r="C11216" i="1"/>
  <c r="B11216" i="1"/>
  <c r="G11215" i="1"/>
  <c r="C11215" i="1"/>
  <c r="B11215" i="1"/>
  <c r="G11214" i="1"/>
  <c r="C11214" i="1"/>
  <c r="B11214" i="1"/>
  <c r="G11213" i="1"/>
  <c r="B11213" i="1"/>
  <c r="G11212" i="1"/>
  <c r="C11212" i="1"/>
  <c r="B11212" i="1"/>
  <c r="G11211" i="1"/>
  <c r="B11211" i="1"/>
  <c r="G11210" i="1"/>
  <c r="C11210" i="1"/>
  <c r="B11210" i="1"/>
  <c r="G11209" i="1"/>
  <c r="B11209" i="1"/>
  <c r="G11208" i="1"/>
  <c r="C11208" i="1"/>
  <c r="B11208" i="1"/>
  <c r="G11207" i="1"/>
  <c r="C11207" i="1"/>
  <c r="B11207" i="1"/>
  <c r="G11206" i="1"/>
  <c r="B11206" i="1"/>
  <c r="G11205" i="1"/>
  <c r="B11205" i="1"/>
  <c r="G11204" i="1"/>
  <c r="B11204" i="1"/>
  <c r="G11203" i="1"/>
  <c r="C11203" i="1"/>
  <c r="B11203" i="1"/>
  <c r="G11202" i="1"/>
  <c r="C11202" i="1"/>
  <c r="B11202" i="1"/>
  <c r="G11201" i="1"/>
  <c r="C11201" i="1"/>
  <c r="B11201" i="1"/>
  <c r="G11200" i="1"/>
  <c r="B11200" i="1"/>
  <c r="G11199" i="1"/>
  <c r="C11199" i="1"/>
  <c r="B11199" i="1"/>
  <c r="G11198" i="1"/>
  <c r="B11198" i="1"/>
  <c r="G11197" i="1"/>
  <c r="C11197" i="1"/>
  <c r="B11197" i="1"/>
  <c r="G11196" i="1"/>
  <c r="C11196" i="1"/>
  <c r="B11196" i="1"/>
  <c r="G11195" i="1"/>
  <c r="C11195" i="1"/>
  <c r="B11195" i="1"/>
  <c r="G11194" i="1"/>
  <c r="C11194" i="1"/>
  <c r="B11194" i="1"/>
  <c r="G11193" i="1"/>
  <c r="B11193" i="1"/>
  <c r="G11192" i="1"/>
  <c r="C11192" i="1"/>
  <c r="B11192" i="1"/>
  <c r="G11191" i="1"/>
  <c r="C11191" i="1"/>
  <c r="B11191" i="1"/>
  <c r="G11190" i="1"/>
  <c r="C11190" i="1"/>
  <c r="B11190" i="1"/>
  <c r="G11189" i="1"/>
  <c r="C11189" i="1"/>
  <c r="B11189" i="1"/>
  <c r="G11188" i="1"/>
  <c r="B11188" i="1"/>
  <c r="G11187" i="1"/>
  <c r="B11187" i="1"/>
  <c r="G11186" i="1"/>
  <c r="C11186" i="1"/>
  <c r="B11186" i="1"/>
  <c r="G11185" i="1"/>
  <c r="B11185" i="1"/>
  <c r="G11184" i="1"/>
  <c r="C11184" i="1"/>
  <c r="B11184" i="1"/>
  <c r="G11183" i="1"/>
  <c r="C11183" i="1"/>
  <c r="B11183" i="1"/>
  <c r="G11182" i="1"/>
  <c r="C11182" i="1"/>
  <c r="B11182" i="1"/>
  <c r="G11181" i="1"/>
  <c r="C11181" i="1"/>
  <c r="B11181" i="1"/>
  <c r="G11180" i="1"/>
  <c r="C11180" i="1"/>
  <c r="B11180" i="1"/>
  <c r="G11179" i="1"/>
  <c r="C11179" i="1"/>
  <c r="B11179" i="1"/>
  <c r="G11178" i="1"/>
  <c r="C11178" i="1"/>
  <c r="B11178" i="1"/>
  <c r="G11177" i="1"/>
  <c r="C11177" i="1"/>
  <c r="B11177" i="1"/>
  <c r="G11176" i="1"/>
  <c r="B11176" i="1"/>
  <c r="G11175" i="1"/>
  <c r="C11175" i="1"/>
  <c r="B11175" i="1"/>
  <c r="G11174" i="1"/>
  <c r="B11174" i="1"/>
  <c r="G11173" i="1"/>
  <c r="C11173" i="1"/>
  <c r="B11173" i="1"/>
  <c r="G11172" i="1"/>
  <c r="C11172" i="1"/>
  <c r="B11172" i="1"/>
  <c r="G11171" i="1"/>
  <c r="B11171" i="1"/>
  <c r="G11170" i="1"/>
  <c r="C11170" i="1"/>
  <c r="B11170" i="1"/>
  <c r="G11169" i="1"/>
  <c r="C11169" i="1"/>
  <c r="B11169" i="1"/>
  <c r="G11168" i="1"/>
  <c r="B11168" i="1"/>
  <c r="G11167" i="1"/>
  <c r="B11167" i="1"/>
  <c r="G11166" i="1"/>
  <c r="C11166" i="1"/>
  <c r="B11166" i="1"/>
  <c r="G11165" i="1"/>
  <c r="B11165" i="1"/>
  <c r="G11164" i="1"/>
  <c r="C11164" i="1"/>
  <c r="B11164" i="1"/>
  <c r="G11163" i="1"/>
  <c r="C11163" i="1"/>
  <c r="B11163" i="1"/>
  <c r="G11162" i="1"/>
  <c r="C11162" i="1"/>
  <c r="B11162" i="1"/>
  <c r="G11161" i="1"/>
  <c r="B11161" i="1"/>
  <c r="G11160" i="1"/>
  <c r="B11160" i="1"/>
  <c r="G11159" i="1"/>
  <c r="B11159" i="1"/>
  <c r="G11158" i="1"/>
  <c r="C11158" i="1"/>
  <c r="B11158" i="1"/>
  <c r="G11157" i="1"/>
  <c r="C11157" i="1"/>
  <c r="B11157" i="1"/>
  <c r="G11156" i="1"/>
  <c r="C11156" i="1"/>
  <c r="B11156" i="1"/>
  <c r="G11155" i="1"/>
  <c r="B11155" i="1"/>
  <c r="G11154" i="1"/>
  <c r="C11154" i="1"/>
  <c r="B11154" i="1"/>
  <c r="G11153" i="1"/>
  <c r="C11153" i="1"/>
  <c r="B11153" i="1"/>
  <c r="G11152" i="1"/>
  <c r="C11152" i="1"/>
  <c r="B11152" i="1"/>
  <c r="G11151" i="1"/>
  <c r="C11151" i="1"/>
  <c r="B11151" i="1"/>
  <c r="G11150" i="1"/>
  <c r="B11150" i="1"/>
  <c r="G11149" i="1"/>
  <c r="B11149" i="1"/>
  <c r="G11148" i="1"/>
  <c r="C11148" i="1"/>
  <c r="B11148" i="1"/>
  <c r="G11147" i="1"/>
  <c r="B11147" i="1"/>
  <c r="G11146" i="1"/>
  <c r="B11146" i="1"/>
  <c r="G11145" i="1"/>
  <c r="C11145" i="1"/>
  <c r="B11145" i="1"/>
  <c r="G11144" i="1"/>
  <c r="C11144" i="1"/>
  <c r="B11144" i="1"/>
  <c r="G11143" i="1"/>
  <c r="B11143" i="1"/>
  <c r="G11142" i="1"/>
  <c r="B11142" i="1"/>
  <c r="G11141" i="1"/>
  <c r="C11141" i="1"/>
  <c r="B11141" i="1"/>
  <c r="G11140" i="1"/>
  <c r="B11140" i="1"/>
  <c r="G11139" i="1"/>
  <c r="C11139" i="1"/>
  <c r="B11139" i="1"/>
  <c r="G11138" i="1"/>
  <c r="C11138" i="1"/>
  <c r="B11138" i="1"/>
  <c r="G11137" i="1"/>
  <c r="C11137" i="1"/>
  <c r="B11137" i="1"/>
  <c r="G11136" i="1"/>
  <c r="C11136" i="1"/>
  <c r="B11136" i="1"/>
  <c r="G11135" i="1"/>
  <c r="C11135" i="1"/>
  <c r="B11135" i="1"/>
  <c r="G11134" i="1"/>
  <c r="B11134" i="1"/>
  <c r="G11133" i="1"/>
  <c r="B11133" i="1"/>
  <c r="G11132" i="1"/>
  <c r="B11132" i="1"/>
  <c r="G11131" i="1"/>
  <c r="C11131" i="1"/>
  <c r="B11131" i="1"/>
  <c r="G11130" i="1"/>
  <c r="C11130" i="1"/>
  <c r="B11130" i="1"/>
  <c r="G11129" i="1"/>
  <c r="C11129" i="1"/>
  <c r="B11129" i="1"/>
  <c r="G11128" i="1"/>
  <c r="B11128" i="1"/>
  <c r="G11127" i="1"/>
  <c r="B11127" i="1"/>
  <c r="G11126" i="1"/>
  <c r="B11126" i="1"/>
  <c r="G11125" i="1"/>
  <c r="C11125" i="1"/>
  <c r="B11125" i="1"/>
  <c r="G11124" i="1"/>
  <c r="C11124" i="1"/>
  <c r="B11124" i="1"/>
  <c r="G11123" i="1"/>
  <c r="C11123" i="1"/>
  <c r="B11123" i="1"/>
  <c r="G11122" i="1"/>
  <c r="C11122" i="1"/>
  <c r="B11122" i="1"/>
  <c r="G11121" i="1"/>
  <c r="B11121" i="1"/>
  <c r="G11120" i="1"/>
  <c r="B11120" i="1"/>
  <c r="G11119" i="1"/>
  <c r="C11119" i="1"/>
  <c r="B11119" i="1"/>
  <c r="G11118" i="1"/>
  <c r="C11118" i="1"/>
  <c r="B11118" i="1"/>
  <c r="G11117" i="1"/>
  <c r="B11117" i="1"/>
  <c r="G11116" i="1"/>
  <c r="B11116" i="1"/>
  <c r="G11115" i="1"/>
  <c r="C11115" i="1"/>
  <c r="B11115" i="1"/>
  <c r="G11114" i="1"/>
  <c r="C11114" i="1"/>
  <c r="B11114" i="1"/>
  <c r="G11113" i="1"/>
  <c r="C11113" i="1"/>
  <c r="B11113" i="1"/>
  <c r="G11112" i="1"/>
  <c r="B11112" i="1"/>
  <c r="G11111" i="1"/>
  <c r="C11111" i="1"/>
  <c r="B11111" i="1"/>
  <c r="G11110" i="1"/>
  <c r="C11110" i="1"/>
  <c r="B11110" i="1"/>
  <c r="G11109" i="1"/>
  <c r="C11109" i="1"/>
  <c r="B11109" i="1"/>
  <c r="G11108" i="1"/>
  <c r="C11108" i="1"/>
  <c r="B11108" i="1"/>
  <c r="G11107" i="1"/>
  <c r="B11107" i="1"/>
  <c r="G11106" i="1"/>
  <c r="B11106" i="1"/>
  <c r="G11105" i="1"/>
  <c r="B11105" i="1"/>
  <c r="G11104" i="1"/>
  <c r="C11104" i="1"/>
  <c r="B11104" i="1"/>
  <c r="G11103" i="1"/>
  <c r="C11103" i="1"/>
  <c r="B11103" i="1"/>
  <c r="G11102" i="1"/>
  <c r="C11102" i="1"/>
  <c r="B11102" i="1"/>
  <c r="G11101" i="1"/>
  <c r="C11101" i="1"/>
  <c r="B11101" i="1"/>
  <c r="G11100" i="1"/>
  <c r="C11100" i="1"/>
  <c r="B11100" i="1"/>
  <c r="G11099" i="1"/>
  <c r="C11099" i="1"/>
  <c r="B11099" i="1"/>
  <c r="G11098" i="1"/>
  <c r="C11098" i="1"/>
  <c r="B11098" i="1"/>
  <c r="G11097" i="1"/>
  <c r="C11097" i="1"/>
  <c r="B11097" i="1"/>
  <c r="G11096" i="1"/>
  <c r="B11096" i="1"/>
  <c r="G11095" i="1"/>
  <c r="C11095" i="1"/>
  <c r="B11095" i="1"/>
  <c r="G11094" i="1"/>
  <c r="B11094" i="1"/>
  <c r="G11093" i="1"/>
  <c r="C11093" i="1"/>
  <c r="B11093" i="1"/>
  <c r="G11092" i="1"/>
  <c r="C11092" i="1"/>
  <c r="B11092" i="1"/>
  <c r="G11091" i="1"/>
  <c r="C11091" i="1"/>
  <c r="B11091" i="1"/>
  <c r="G11090" i="1"/>
  <c r="B11090" i="1"/>
  <c r="G11089" i="1"/>
  <c r="B11089" i="1"/>
  <c r="G11088" i="1"/>
  <c r="C11088" i="1"/>
  <c r="B11088" i="1"/>
  <c r="G11087" i="1"/>
  <c r="C11087" i="1"/>
  <c r="B11087" i="1"/>
  <c r="G11086" i="1"/>
  <c r="C11086" i="1"/>
  <c r="B11086" i="1"/>
  <c r="G11085" i="1"/>
  <c r="C11085" i="1"/>
  <c r="B11085" i="1"/>
  <c r="G11084" i="1"/>
  <c r="C11084" i="1"/>
  <c r="B11084" i="1"/>
  <c r="G11083" i="1"/>
  <c r="B11083" i="1"/>
  <c r="G11082" i="1"/>
  <c r="C11082" i="1"/>
  <c r="B11082" i="1"/>
  <c r="G11081" i="1"/>
  <c r="B11081" i="1"/>
  <c r="G11080" i="1"/>
  <c r="C11080" i="1"/>
  <c r="B11080" i="1"/>
  <c r="G11079" i="1"/>
  <c r="C11079" i="1"/>
  <c r="B11079" i="1"/>
  <c r="G11078" i="1"/>
  <c r="C11078" i="1"/>
  <c r="B11078" i="1"/>
  <c r="G11077" i="1"/>
  <c r="C11077" i="1"/>
  <c r="B11077" i="1"/>
  <c r="G11076" i="1"/>
  <c r="B11076" i="1"/>
  <c r="G11075" i="1"/>
  <c r="B11075" i="1"/>
  <c r="G11074" i="1"/>
  <c r="C11074" i="1"/>
  <c r="B11074" i="1"/>
  <c r="G11073" i="1"/>
  <c r="B11073" i="1"/>
  <c r="G11072" i="1"/>
  <c r="B11072" i="1"/>
  <c r="G11071" i="1"/>
  <c r="B11071" i="1"/>
  <c r="G11070" i="1"/>
  <c r="B11070" i="1"/>
  <c r="G11069" i="1"/>
  <c r="C11069" i="1"/>
  <c r="B11069" i="1"/>
  <c r="G11068" i="1"/>
  <c r="C11068" i="1"/>
  <c r="B11068" i="1"/>
  <c r="G11067" i="1"/>
  <c r="B11067" i="1"/>
  <c r="G11066" i="1"/>
  <c r="C11066" i="1"/>
  <c r="B11066" i="1"/>
  <c r="G11065" i="1"/>
  <c r="B11065" i="1"/>
  <c r="G11064" i="1"/>
  <c r="C11064" i="1"/>
  <c r="B11064" i="1"/>
  <c r="G11063" i="1"/>
  <c r="C11063" i="1"/>
  <c r="B11063" i="1"/>
  <c r="G11062" i="1"/>
  <c r="C11062" i="1"/>
  <c r="B11062" i="1"/>
  <c r="G11061" i="1"/>
  <c r="C11061" i="1"/>
  <c r="B11061" i="1"/>
  <c r="G11060" i="1"/>
  <c r="C11060" i="1"/>
  <c r="B11060" i="1"/>
  <c r="G11059" i="1"/>
  <c r="C11059" i="1"/>
  <c r="B11059" i="1"/>
  <c r="G11058" i="1"/>
  <c r="C11058" i="1"/>
  <c r="B11058" i="1"/>
  <c r="G11057" i="1"/>
  <c r="C11057" i="1"/>
  <c r="B11057" i="1"/>
  <c r="G11056" i="1"/>
  <c r="C11056" i="1"/>
  <c r="B11056" i="1"/>
  <c r="G11055" i="1"/>
  <c r="C11055" i="1"/>
  <c r="B11055" i="1"/>
  <c r="G11054" i="1"/>
  <c r="C11054" i="1"/>
  <c r="B11054" i="1"/>
  <c r="G11053" i="1"/>
  <c r="B11053" i="1"/>
  <c r="G11052" i="1"/>
  <c r="C11052" i="1"/>
  <c r="B11052" i="1"/>
  <c r="G11051" i="1"/>
  <c r="C11051" i="1"/>
  <c r="B11051" i="1"/>
  <c r="G11050" i="1"/>
  <c r="C11050" i="1"/>
  <c r="B11050" i="1"/>
  <c r="G11049" i="1"/>
  <c r="C11049" i="1"/>
  <c r="B11049" i="1"/>
  <c r="G11048" i="1"/>
  <c r="B11048" i="1"/>
  <c r="G11047" i="1"/>
  <c r="B11047" i="1"/>
  <c r="G11046" i="1"/>
  <c r="C11046" i="1"/>
  <c r="B11046" i="1"/>
  <c r="G11045" i="1"/>
  <c r="B11045" i="1"/>
  <c r="G11044" i="1"/>
  <c r="C11044" i="1"/>
  <c r="B11044" i="1"/>
  <c r="G11043" i="1"/>
  <c r="C11043" i="1"/>
  <c r="B11043" i="1"/>
  <c r="G11042" i="1"/>
  <c r="C11042" i="1"/>
  <c r="B11042" i="1"/>
  <c r="G11041" i="1"/>
  <c r="B11041" i="1"/>
  <c r="G11040" i="1"/>
  <c r="B11040" i="1"/>
  <c r="G11039" i="1"/>
  <c r="B11039" i="1"/>
  <c r="G11038" i="1"/>
  <c r="C11038" i="1"/>
  <c r="B11038" i="1"/>
  <c r="G11037" i="1"/>
  <c r="C11037" i="1"/>
  <c r="B11037" i="1"/>
  <c r="G11036" i="1"/>
  <c r="C11036" i="1"/>
  <c r="B11036" i="1"/>
  <c r="G11035" i="1"/>
  <c r="C11035" i="1"/>
  <c r="B11035" i="1"/>
  <c r="G11034" i="1"/>
  <c r="C11034" i="1"/>
  <c r="B11034" i="1"/>
  <c r="G11033" i="1"/>
  <c r="C11033" i="1"/>
  <c r="B11033" i="1"/>
  <c r="G11032" i="1"/>
  <c r="C11032" i="1"/>
  <c r="B11032" i="1"/>
  <c r="G11031" i="1"/>
  <c r="C11031" i="1"/>
  <c r="B11031" i="1"/>
  <c r="G11030" i="1"/>
  <c r="C11030" i="1"/>
  <c r="B11030" i="1"/>
  <c r="G11029" i="1"/>
  <c r="C11029" i="1"/>
  <c r="B11029" i="1"/>
  <c r="G11028" i="1"/>
  <c r="C11028" i="1"/>
  <c r="B11028" i="1"/>
  <c r="G11027" i="1"/>
  <c r="C11027" i="1"/>
  <c r="B11027" i="1"/>
  <c r="G11026" i="1"/>
  <c r="C11026" i="1"/>
  <c r="B11026" i="1"/>
  <c r="G11025" i="1"/>
  <c r="B11025" i="1"/>
  <c r="G11024" i="1"/>
  <c r="B11024" i="1"/>
  <c r="G11023" i="1"/>
  <c r="C11023" i="1"/>
  <c r="B11023" i="1"/>
  <c r="G11022" i="1"/>
  <c r="B11022" i="1"/>
  <c r="G11021" i="1"/>
  <c r="B11021" i="1"/>
  <c r="G11020" i="1"/>
  <c r="C11020" i="1"/>
  <c r="B11020" i="1"/>
  <c r="G11019" i="1"/>
  <c r="C11019" i="1"/>
  <c r="B11019" i="1"/>
  <c r="G11018" i="1"/>
  <c r="B11018" i="1"/>
  <c r="G11017" i="1"/>
  <c r="C11017" i="1"/>
  <c r="B11017" i="1"/>
  <c r="G11016" i="1"/>
  <c r="C11016" i="1"/>
  <c r="B11016" i="1"/>
  <c r="G11015" i="1"/>
  <c r="B11015" i="1"/>
  <c r="G11014" i="1"/>
  <c r="C11014" i="1"/>
  <c r="B11014" i="1"/>
  <c r="G11013" i="1"/>
  <c r="C11013" i="1"/>
  <c r="B11013" i="1"/>
  <c r="G11012" i="1"/>
  <c r="C11012" i="1"/>
  <c r="B11012" i="1"/>
  <c r="G11011" i="1"/>
  <c r="B11011" i="1"/>
  <c r="G11010" i="1"/>
  <c r="B11010" i="1"/>
  <c r="G11009" i="1"/>
  <c r="C11009" i="1"/>
  <c r="B11009" i="1"/>
  <c r="G11008" i="1"/>
  <c r="C11008" i="1"/>
  <c r="B11008" i="1"/>
  <c r="G11007" i="1"/>
  <c r="C11007" i="1"/>
  <c r="B11007" i="1"/>
  <c r="G11006" i="1"/>
  <c r="B11006" i="1"/>
  <c r="G11005" i="1"/>
  <c r="B11005" i="1"/>
  <c r="G11004" i="1"/>
  <c r="C11004" i="1"/>
  <c r="B11004" i="1"/>
  <c r="G11003" i="1"/>
  <c r="C11003" i="1"/>
  <c r="B11003" i="1"/>
  <c r="G11002" i="1"/>
  <c r="C11002" i="1"/>
  <c r="B11002" i="1"/>
  <c r="G11001" i="1"/>
  <c r="C11001" i="1"/>
  <c r="B11001" i="1"/>
  <c r="G11000" i="1"/>
  <c r="B11000" i="1"/>
  <c r="G10999" i="1"/>
  <c r="C10999" i="1"/>
  <c r="B10999" i="1"/>
  <c r="G10998" i="1"/>
  <c r="C10998" i="1"/>
  <c r="B10998" i="1"/>
  <c r="G10997" i="1"/>
  <c r="C10997" i="1"/>
  <c r="B10997" i="1"/>
  <c r="G10996" i="1"/>
  <c r="C10996" i="1"/>
  <c r="B10996" i="1"/>
  <c r="G10995" i="1"/>
  <c r="C10995" i="1"/>
  <c r="B10995" i="1"/>
  <c r="G10994" i="1"/>
  <c r="C10994" i="1"/>
  <c r="B10994" i="1"/>
  <c r="G10993" i="1"/>
  <c r="C10993" i="1"/>
  <c r="B10993" i="1"/>
  <c r="G10992" i="1"/>
  <c r="B10992" i="1"/>
  <c r="G10991" i="1"/>
  <c r="B10991" i="1"/>
  <c r="G10990" i="1"/>
  <c r="C10990" i="1"/>
  <c r="B10990" i="1"/>
  <c r="G10989" i="1"/>
  <c r="C10989" i="1"/>
  <c r="B10989" i="1"/>
  <c r="G10988" i="1"/>
  <c r="B10988" i="1"/>
  <c r="G10987" i="1"/>
  <c r="B10987" i="1"/>
  <c r="G10986" i="1"/>
  <c r="C10986" i="1"/>
  <c r="B10986" i="1"/>
  <c r="G10985" i="1"/>
  <c r="B10985" i="1"/>
  <c r="G10984" i="1"/>
  <c r="C10984" i="1"/>
  <c r="B10984" i="1"/>
  <c r="G10983" i="1"/>
  <c r="B10983" i="1"/>
  <c r="G10982" i="1"/>
  <c r="C10982" i="1"/>
  <c r="B10982" i="1"/>
  <c r="G10981" i="1"/>
  <c r="B10981" i="1"/>
  <c r="G10980" i="1"/>
  <c r="C10980" i="1"/>
  <c r="B10980" i="1"/>
  <c r="G10979" i="1"/>
  <c r="C10979" i="1"/>
  <c r="B10979" i="1"/>
  <c r="G10978" i="1"/>
  <c r="B10978" i="1"/>
  <c r="G10977" i="1"/>
  <c r="B10977" i="1"/>
  <c r="G10976" i="1"/>
  <c r="C10976" i="1"/>
  <c r="B10976" i="1"/>
  <c r="G10975" i="1"/>
  <c r="C10975" i="1"/>
  <c r="B10975" i="1"/>
  <c r="G10974" i="1"/>
  <c r="C10974" i="1"/>
  <c r="B10974" i="1"/>
  <c r="G10973" i="1"/>
  <c r="C10973" i="1"/>
  <c r="B10973" i="1"/>
  <c r="G10972" i="1"/>
  <c r="C10972" i="1"/>
  <c r="B10972" i="1"/>
  <c r="G10971" i="1"/>
  <c r="B10971" i="1"/>
  <c r="G10970" i="1"/>
  <c r="C10970" i="1"/>
  <c r="B10970" i="1"/>
  <c r="G10969" i="1"/>
  <c r="B10969" i="1"/>
  <c r="G10968" i="1"/>
  <c r="B10968" i="1"/>
  <c r="G10967" i="1"/>
  <c r="C10967" i="1"/>
  <c r="B10967" i="1"/>
  <c r="G10966" i="1"/>
  <c r="B10966" i="1"/>
  <c r="G10965" i="1"/>
  <c r="C10965" i="1"/>
  <c r="B10965" i="1"/>
  <c r="G10964" i="1"/>
  <c r="C10964" i="1"/>
  <c r="B10964" i="1"/>
  <c r="G10963" i="1"/>
  <c r="C10963" i="1"/>
  <c r="B10963" i="1"/>
  <c r="G10962" i="1"/>
  <c r="B10962" i="1"/>
  <c r="G10961" i="1"/>
  <c r="C10961" i="1"/>
  <c r="B10961" i="1"/>
  <c r="G10960" i="1"/>
  <c r="B10960" i="1"/>
  <c r="G10959" i="1"/>
  <c r="B10959" i="1"/>
  <c r="G10958" i="1"/>
  <c r="C10958" i="1"/>
  <c r="B10958" i="1"/>
  <c r="G10957" i="1"/>
  <c r="C10957" i="1"/>
  <c r="B10957" i="1"/>
  <c r="G10956" i="1"/>
  <c r="B10956" i="1"/>
  <c r="G10955" i="1"/>
  <c r="C10955" i="1"/>
  <c r="B10955" i="1"/>
  <c r="G10954" i="1"/>
  <c r="C10954" i="1"/>
  <c r="B10954" i="1"/>
  <c r="G10953" i="1"/>
  <c r="C10953" i="1"/>
  <c r="B10953" i="1"/>
  <c r="G10952" i="1"/>
  <c r="C10952" i="1"/>
  <c r="B10952" i="1"/>
  <c r="G10951" i="1"/>
  <c r="B10951" i="1"/>
  <c r="G10950" i="1"/>
  <c r="C10950" i="1"/>
  <c r="B10950" i="1"/>
  <c r="G10949" i="1"/>
  <c r="C10949" i="1"/>
  <c r="B10949" i="1"/>
  <c r="G10948" i="1"/>
  <c r="C10948" i="1"/>
  <c r="B10948" i="1"/>
  <c r="G10947" i="1"/>
  <c r="B10947" i="1"/>
  <c r="G10946" i="1"/>
  <c r="C10946" i="1"/>
  <c r="B10946" i="1"/>
  <c r="G10945" i="1"/>
  <c r="C10945" i="1"/>
  <c r="B10945" i="1"/>
  <c r="G10944" i="1"/>
  <c r="C10944" i="1"/>
  <c r="B10944" i="1"/>
  <c r="G10943" i="1"/>
  <c r="B10943" i="1"/>
  <c r="G10942" i="1"/>
  <c r="B10942" i="1"/>
  <c r="G10941" i="1"/>
  <c r="C10941" i="1"/>
  <c r="B10941" i="1"/>
  <c r="G10940" i="1"/>
  <c r="B10940" i="1"/>
  <c r="G10939" i="1"/>
  <c r="B10939" i="1"/>
  <c r="G10938" i="1"/>
  <c r="C10938" i="1"/>
  <c r="B10938" i="1"/>
  <c r="G10937" i="1"/>
  <c r="C10937" i="1"/>
  <c r="B10937" i="1"/>
  <c r="G10936" i="1"/>
  <c r="C10936" i="1"/>
  <c r="B10936" i="1"/>
  <c r="G10935" i="1"/>
  <c r="B10935" i="1"/>
  <c r="G10934" i="1"/>
  <c r="C10934" i="1"/>
  <c r="B10934" i="1"/>
  <c r="G10933" i="1"/>
  <c r="B10933" i="1"/>
  <c r="G10932" i="1"/>
  <c r="C10932" i="1"/>
  <c r="B10932" i="1"/>
  <c r="G10931" i="1"/>
  <c r="C10931" i="1"/>
  <c r="B10931" i="1"/>
  <c r="G10930" i="1"/>
  <c r="B10930" i="1"/>
  <c r="G10929" i="1"/>
  <c r="C10929" i="1"/>
  <c r="B10929" i="1"/>
  <c r="G10928" i="1"/>
  <c r="B10928" i="1"/>
  <c r="G10927" i="1"/>
  <c r="C10927" i="1"/>
  <c r="B10927" i="1"/>
  <c r="G10926" i="1"/>
  <c r="C10926" i="1"/>
  <c r="B10926" i="1"/>
  <c r="G10925" i="1"/>
  <c r="C10925" i="1"/>
  <c r="B10925" i="1"/>
  <c r="G10924" i="1"/>
  <c r="C10924" i="1"/>
  <c r="B10924" i="1"/>
  <c r="G10923" i="1"/>
  <c r="B10923" i="1"/>
  <c r="G10922" i="1"/>
  <c r="C10922" i="1"/>
  <c r="B10922" i="1"/>
  <c r="G10921" i="1"/>
  <c r="B10921" i="1"/>
  <c r="G10920" i="1"/>
  <c r="C10920" i="1"/>
  <c r="B10920" i="1"/>
  <c r="G10919" i="1"/>
  <c r="C10919" i="1"/>
  <c r="B10919" i="1"/>
  <c r="G10918" i="1"/>
  <c r="B10918" i="1"/>
  <c r="G10917" i="1"/>
  <c r="C10917" i="1"/>
  <c r="B10917" i="1"/>
  <c r="G10916" i="1"/>
  <c r="C10916" i="1"/>
  <c r="B10916" i="1"/>
  <c r="G10915" i="1"/>
  <c r="C10915" i="1"/>
  <c r="B10915" i="1"/>
  <c r="G10914" i="1"/>
  <c r="C10914" i="1"/>
  <c r="B10914" i="1"/>
  <c r="G10913" i="1"/>
  <c r="C10913" i="1"/>
  <c r="B10913" i="1"/>
  <c r="G10912" i="1"/>
  <c r="C10912" i="1"/>
  <c r="B10912" i="1"/>
  <c r="G10911" i="1"/>
  <c r="C10911" i="1"/>
  <c r="B10911" i="1"/>
  <c r="G10910" i="1"/>
  <c r="B10910" i="1"/>
  <c r="G10909" i="1"/>
  <c r="B10909" i="1"/>
  <c r="G10908" i="1"/>
  <c r="B10908" i="1"/>
  <c r="G10907" i="1"/>
  <c r="C10907" i="1"/>
  <c r="B10907" i="1"/>
  <c r="G10906" i="1"/>
  <c r="C10906" i="1"/>
  <c r="B10906" i="1"/>
  <c r="G10905" i="1"/>
  <c r="C10905" i="1"/>
  <c r="B10905" i="1"/>
  <c r="G10904" i="1"/>
  <c r="B10904" i="1"/>
  <c r="G10903" i="1"/>
  <c r="C10903" i="1"/>
  <c r="B10903" i="1"/>
  <c r="G10902" i="1"/>
  <c r="C10902" i="1"/>
  <c r="B10902" i="1"/>
  <c r="G10901" i="1"/>
  <c r="B10901" i="1"/>
  <c r="G10900" i="1"/>
  <c r="B10900" i="1"/>
  <c r="G10899" i="1"/>
  <c r="C10899" i="1"/>
  <c r="B10899" i="1"/>
  <c r="G10898" i="1"/>
  <c r="C10898" i="1"/>
  <c r="B10898" i="1"/>
  <c r="G10897" i="1"/>
  <c r="C10897" i="1"/>
  <c r="B10897" i="1"/>
  <c r="G10896" i="1"/>
  <c r="C10896" i="1"/>
  <c r="B10896" i="1"/>
  <c r="G10895" i="1"/>
  <c r="B10895" i="1"/>
  <c r="G10894" i="1"/>
  <c r="B10894" i="1"/>
  <c r="G10893" i="1"/>
  <c r="C10893" i="1"/>
  <c r="B10893" i="1"/>
  <c r="G10892" i="1"/>
  <c r="C10892" i="1"/>
  <c r="B10892" i="1"/>
  <c r="G10891" i="1"/>
  <c r="C10891" i="1"/>
  <c r="B10891" i="1"/>
  <c r="G10890" i="1"/>
  <c r="C10890" i="1"/>
  <c r="B10890" i="1"/>
  <c r="G10889" i="1"/>
  <c r="C10889" i="1"/>
  <c r="B10889" i="1"/>
  <c r="G10888" i="1"/>
  <c r="B10888" i="1"/>
  <c r="G10887" i="1"/>
  <c r="C10887" i="1"/>
  <c r="B10887" i="1"/>
  <c r="G10886" i="1"/>
  <c r="C10886" i="1"/>
  <c r="B10886" i="1"/>
  <c r="G10885" i="1"/>
  <c r="C10885" i="1"/>
  <c r="B10885" i="1"/>
  <c r="G10884" i="1"/>
  <c r="B10884" i="1"/>
  <c r="G10883" i="1"/>
  <c r="C10883" i="1"/>
  <c r="B10883" i="1"/>
  <c r="G10882" i="1"/>
  <c r="C10882" i="1"/>
  <c r="B10882" i="1"/>
  <c r="G10881" i="1"/>
  <c r="C10881" i="1"/>
  <c r="B10881" i="1"/>
  <c r="G10880" i="1"/>
  <c r="C10880" i="1"/>
  <c r="B10880" i="1"/>
  <c r="G10879" i="1"/>
  <c r="B10879" i="1"/>
  <c r="G10878" i="1"/>
  <c r="C10878" i="1"/>
  <c r="B10878" i="1"/>
  <c r="G10877" i="1"/>
  <c r="B10877" i="1"/>
  <c r="G10876" i="1"/>
  <c r="C10876" i="1"/>
  <c r="B10876" i="1"/>
  <c r="G10875" i="1"/>
  <c r="C10875" i="1"/>
  <c r="B10875" i="1"/>
  <c r="G10874" i="1"/>
  <c r="B10874" i="1"/>
  <c r="G10873" i="1"/>
  <c r="C10873" i="1"/>
  <c r="B10873" i="1"/>
  <c r="G10872" i="1"/>
  <c r="C10872" i="1"/>
  <c r="B10872" i="1"/>
  <c r="G10871" i="1"/>
  <c r="C10871" i="1"/>
  <c r="B10871" i="1"/>
  <c r="G10870" i="1"/>
  <c r="C10870" i="1"/>
  <c r="B10870" i="1"/>
  <c r="G10869" i="1"/>
  <c r="C10869" i="1"/>
  <c r="B10869" i="1"/>
  <c r="G10868" i="1"/>
  <c r="B10868" i="1"/>
  <c r="G10867" i="1"/>
  <c r="C10867" i="1"/>
  <c r="B10867" i="1"/>
  <c r="G10866" i="1"/>
  <c r="C10866" i="1"/>
  <c r="B10866" i="1"/>
  <c r="G10865" i="1"/>
  <c r="C10865" i="1"/>
  <c r="B10865" i="1"/>
  <c r="G10864" i="1"/>
  <c r="C10864" i="1"/>
  <c r="B10864" i="1"/>
  <c r="G10863" i="1"/>
  <c r="C10863" i="1"/>
  <c r="B10863" i="1"/>
  <c r="G10862" i="1"/>
  <c r="C10862" i="1"/>
  <c r="B10862" i="1"/>
  <c r="G10861" i="1"/>
  <c r="C10861" i="1"/>
  <c r="B10861" i="1"/>
  <c r="G10860" i="1"/>
  <c r="C10860" i="1"/>
  <c r="B10860" i="1"/>
  <c r="G10859" i="1"/>
  <c r="C10859" i="1"/>
  <c r="B10859" i="1"/>
  <c r="G10858" i="1"/>
  <c r="B10858" i="1"/>
  <c r="G10857" i="1"/>
  <c r="B10857" i="1"/>
  <c r="G10856" i="1"/>
  <c r="C10856" i="1"/>
  <c r="B10856" i="1"/>
  <c r="G10855" i="1"/>
  <c r="B10855" i="1"/>
  <c r="G10854" i="1"/>
  <c r="C10854" i="1"/>
  <c r="B10854" i="1"/>
  <c r="G10853" i="1"/>
  <c r="C10853" i="1"/>
  <c r="B10853" i="1"/>
  <c r="G10852" i="1"/>
  <c r="C10852" i="1"/>
  <c r="B10852" i="1"/>
  <c r="G10851" i="1"/>
  <c r="C10851" i="1"/>
  <c r="B10851" i="1"/>
  <c r="G10850" i="1"/>
  <c r="C10850" i="1"/>
  <c r="B10850" i="1"/>
  <c r="G10849" i="1"/>
  <c r="C10849" i="1"/>
  <c r="B10849" i="1"/>
  <c r="G10848" i="1"/>
  <c r="C10848" i="1"/>
  <c r="B10848" i="1"/>
  <c r="G10847" i="1"/>
  <c r="C10847" i="1"/>
  <c r="B10847" i="1"/>
  <c r="G10846" i="1"/>
  <c r="B10846" i="1"/>
  <c r="G10845" i="1"/>
  <c r="C10845" i="1"/>
  <c r="B10845" i="1"/>
  <c r="G10844" i="1"/>
  <c r="C10844" i="1"/>
  <c r="B10844" i="1"/>
  <c r="G10843" i="1"/>
  <c r="C10843" i="1"/>
  <c r="B10843" i="1"/>
  <c r="G10842" i="1"/>
  <c r="C10842" i="1"/>
  <c r="B10842" i="1"/>
  <c r="G10841" i="1"/>
  <c r="B10841" i="1"/>
  <c r="G10840" i="1"/>
  <c r="C10840" i="1"/>
  <c r="B10840" i="1"/>
  <c r="G10839" i="1"/>
  <c r="C10839" i="1"/>
  <c r="B10839" i="1"/>
  <c r="G10838" i="1"/>
  <c r="B10838" i="1"/>
  <c r="G10837" i="1"/>
  <c r="C10837" i="1"/>
  <c r="B10837" i="1"/>
  <c r="G10836" i="1"/>
  <c r="B10836" i="1"/>
  <c r="G10835" i="1"/>
  <c r="C10835" i="1"/>
  <c r="B10835" i="1"/>
  <c r="G10834" i="1"/>
  <c r="C10834" i="1"/>
  <c r="B10834" i="1"/>
  <c r="G10833" i="1"/>
  <c r="C10833" i="1"/>
  <c r="B10833" i="1"/>
  <c r="G10832" i="1"/>
  <c r="B10832" i="1"/>
  <c r="G10831" i="1"/>
  <c r="B10831" i="1"/>
  <c r="G10830" i="1"/>
  <c r="C10830" i="1"/>
  <c r="B10830" i="1"/>
  <c r="G10829" i="1"/>
  <c r="C10829" i="1"/>
  <c r="B10829" i="1"/>
  <c r="G10828" i="1"/>
  <c r="C10828" i="1"/>
  <c r="B10828" i="1"/>
  <c r="G10827" i="1"/>
  <c r="C10827" i="1"/>
  <c r="B10827" i="1"/>
  <c r="G10826" i="1"/>
  <c r="C10826" i="1"/>
  <c r="B10826" i="1"/>
  <c r="G10825" i="1"/>
  <c r="C10825" i="1"/>
  <c r="B10825" i="1"/>
  <c r="G10824" i="1"/>
  <c r="C10824" i="1"/>
  <c r="B10824" i="1"/>
  <c r="G10823" i="1"/>
  <c r="B10823" i="1"/>
  <c r="G10822" i="1"/>
  <c r="C10822" i="1"/>
  <c r="B10822" i="1"/>
  <c r="G10821" i="1"/>
  <c r="C10821" i="1"/>
  <c r="B10821" i="1"/>
  <c r="G10820" i="1"/>
  <c r="B10820" i="1"/>
  <c r="G10819" i="1"/>
  <c r="B10819" i="1"/>
  <c r="G10818" i="1"/>
  <c r="B10818" i="1"/>
  <c r="G10817" i="1"/>
  <c r="C10817" i="1"/>
  <c r="B10817" i="1"/>
  <c r="G10816" i="1"/>
  <c r="C10816" i="1"/>
  <c r="B10816" i="1"/>
  <c r="G10815" i="1"/>
  <c r="B10815" i="1"/>
  <c r="G10814" i="1"/>
  <c r="C10814" i="1"/>
  <c r="B10814" i="1"/>
  <c r="G10813" i="1"/>
  <c r="B10813" i="1"/>
  <c r="G10812" i="1"/>
  <c r="C10812" i="1"/>
  <c r="B10812" i="1"/>
  <c r="G10811" i="1"/>
  <c r="C10811" i="1"/>
  <c r="B10811" i="1"/>
  <c r="G10810" i="1"/>
  <c r="B10810" i="1"/>
  <c r="G10809" i="1"/>
  <c r="B10809" i="1"/>
  <c r="G10808" i="1"/>
  <c r="C10808" i="1"/>
  <c r="B10808" i="1"/>
  <c r="G10807" i="1"/>
  <c r="C10807" i="1"/>
  <c r="B10807" i="1"/>
  <c r="G10806" i="1"/>
  <c r="B10806" i="1"/>
  <c r="G10805" i="1"/>
  <c r="C10805" i="1"/>
  <c r="B10805" i="1"/>
  <c r="G10804" i="1"/>
  <c r="C10804" i="1"/>
  <c r="B10804" i="1"/>
  <c r="G10803" i="1"/>
  <c r="B10803" i="1"/>
  <c r="G10802" i="1"/>
  <c r="B10802" i="1"/>
  <c r="G10801" i="1"/>
  <c r="C10801" i="1"/>
  <c r="B10801" i="1"/>
  <c r="G10800" i="1"/>
  <c r="C10800" i="1"/>
  <c r="B10800" i="1"/>
  <c r="G10799" i="1"/>
  <c r="B10799" i="1"/>
  <c r="G10798" i="1"/>
  <c r="C10798" i="1"/>
  <c r="B10798" i="1"/>
  <c r="G10797" i="1"/>
  <c r="C10797" i="1"/>
  <c r="B10797" i="1"/>
  <c r="G10796" i="1"/>
  <c r="C10796" i="1"/>
  <c r="B10796" i="1"/>
  <c r="G10795" i="1"/>
  <c r="B10795" i="1"/>
  <c r="G10794" i="1"/>
  <c r="C10794" i="1"/>
  <c r="B10794" i="1"/>
  <c r="G10793" i="1"/>
  <c r="B10793" i="1"/>
  <c r="G10792" i="1"/>
  <c r="C10792" i="1"/>
  <c r="B10792" i="1"/>
  <c r="G10791" i="1"/>
  <c r="C10791" i="1"/>
  <c r="B10791" i="1"/>
  <c r="G10790" i="1"/>
  <c r="B10790" i="1"/>
  <c r="G10789" i="1"/>
  <c r="C10789" i="1"/>
  <c r="B10789" i="1"/>
  <c r="G10788" i="1"/>
  <c r="B10788" i="1"/>
  <c r="G10787" i="1"/>
  <c r="C10787" i="1"/>
  <c r="B10787" i="1"/>
  <c r="G10786" i="1"/>
  <c r="C10786" i="1"/>
  <c r="B10786" i="1"/>
  <c r="G10785" i="1"/>
  <c r="B10785" i="1"/>
  <c r="G10784" i="1"/>
  <c r="B10784" i="1"/>
  <c r="G10783" i="1"/>
  <c r="C10783" i="1"/>
  <c r="B10783" i="1"/>
  <c r="G10782" i="1"/>
  <c r="C10782" i="1"/>
  <c r="B10782" i="1"/>
  <c r="G10781" i="1"/>
  <c r="C10781" i="1"/>
  <c r="B10781" i="1"/>
  <c r="G10780" i="1"/>
  <c r="B10780" i="1"/>
  <c r="G10779" i="1"/>
  <c r="C10779" i="1"/>
  <c r="B10779" i="1"/>
  <c r="G10778" i="1"/>
  <c r="C10778" i="1"/>
  <c r="B10778" i="1"/>
  <c r="G10777" i="1"/>
  <c r="C10777" i="1"/>
  <c r="B10777" i="1"/>
  <c r="G10776" i="1"/>
  <c r="C10776" i="1"/>
  <c r="B10776" i="1"/>
  <c r="G10775" i="1"/>
  <c r="C10775" i="1"/>
  <c r="B10775" i="1"/>
  <c r="G10774" i="1"/>
  <c r="C10774" i="1"/>
  <c r="B10774" i="1"/>
  <c r="G10773" i="1"/>
  <c r="C10773" i="1"/>
  <c r="B10773" i="1"/>
  <c r="G10772" i="1"/>
  <c r="B10772" i="1"/>
  <c r="G10771" i="1"/>
  <c r="B10771" i="1"/>
  <c r="G10770" i="1"/>
  <c r="C10770" i="1"/>
  <c r="B10770" i="1"/>
  <c r="G10769" i="1"/>
  <c r="C10769" i="1"/>
  <c r="B10769" i="1"/>
  <c r="G10768" i="1"/>
  <c r="C10768" i="1"/>
  <c r="B10768" i="1"/>
  <c r="G10767" i="1"/>
  <c r="C10767" i="1"/>
  <c r="B10767" i="1"/>
  <c r="G10766" i="1"/>
  <c r="B10766" i="1"/>
  <c r="G10765" i="1"/>
  <c r="B10765" i="1"/>
  <c r="G10764" i="1"/>
  <c r="C10764" i="1"/>
  <c r="B10764" i="1"/>
  <c r="G10763" i="1"/>
  <c r="C10763" i="1"/>
  <c r="B10763" i="1"/>
  <c r="G10762" i="1"/>
  <c r="B10762" i="1"/>
  <c r="G10761" i="1"/>
  <c r="C10761" i="1"/>
  <c r="B10761" i="1"/>
  <c r="G10760" i="1"/>
  <c r="C10760" i="1"/>
  <c r="B10760" i="1"/>
  <c r="G10759" i="1"/>
  <c r="C10759" i="1"/>
  <c r="B10759" i="1"/>
  <c r="G10758" i="1"/>
  <c r="B10758" i="1"/>
  <c r="G10757" i="1"/>
  <c r="C10757" i="1"/>
  <c r="B10757" i="1"/>
  <c r="G10756" i="1"/>
  <c r="B10756" i="1"/>
  <c r="G10755" i="1"/>
  <c r="C10755" i="1"/>
  <c r="B10755" i="1"/>
  <c r="G10754" i="1"/>
  <c r="C10754" i="1"/>
  <c r="B10754" i="1"/>
  <c r="G10753" i="1"/>
  <c r="B10753" i="1"/>
  <c r="G10752" i="1"/>
  <c r="C10752" i="1"/>
  <c r="B10752" i="1"/>
  <c r="G10751" i="1"/>
  <c r="C10751" i="1"/>
  <c r="B10751" i="1"/>
  <c r="G10750" i="1"/>
  <c r="C10750" i="1"/>
  <c r="B10750" i="1"/>
  <c r="G10749" i="1"/>
  <c r="C10749" i="1"/>
  <c r="B10749" i="1"/>
  <c r="G10748" i="1"/>
  <c r="C10748" i="1"/>
  <c r="B10748" i="1"/>
  <c r="G10747" i="1"/>
  <c r="C10747" i="1"/>
  <c r="B10747" i="1"/>
  <c r="G10746" i="1"/>
  <c r="B10746" i="1"/>
  <c r="G10745" i="1"/>
  <c r="C10745" i="1"/>
  <c r="B10745" i="1"/>
  <c r="G10744" i="1"/>
  <c r="C10744" i="1"/>
  <c r="B10744" i="1"/>
  <c r="G10743" i="1"/>
  <c r="C10743" i="1"/>
  <c r="B10743" i="1"/>
  <c r="G10742" i="1"/>
  <c r="C10742" i="1"/>
  <c r="B10742" i="1"/>
  <c r="G10741" i="1"/>
  <c r="C10741" i="1"/>
  <c r="B10741" i="1"/>
  <c r="G10740" i="1"/>
  <c r="C10740" i="1"/>
  <c r="B10740" i="1"/>
  <c r="G10739" i="1"/>
  <c r="B10739" i="1"/>
  <c r="G10738" i="1"/>
  <c r="C10738" i="1"/>
  <c r="B10738" i="1"/>
  <c r="G10737" i="1"/>
  <c r="C10737" i="1"/>
  <c r="B10737" i="1"/>
  <c r="G10736" i="1"/>
  <c r="C10736" i="1"/>
  <c r="B10736" i="1"/>
  <c r="G10735" i="1"/>
  <c r="B10735" i="1"/>
  <c r="G10734" i="1"/>
  <c r="C10734" i="1"/>
  <c r="B10734" i="1"/>
  <c r="G10733" i="1"/>
  <c r="C10733" i="1"/>
  <c r="B10733" i="1"/>
  <c r="G10732" i="1"/>
  <c r="C10732" i="1"/>
  <c r="B10732" i="1"/>
  <c r="G10731" i="1"/>
  <c r="C10731" i="1"/>
  <c r="B10731" i="1"/>
  <c r="G10730" i="1"/>
  <c r="C10730" i="1"/>
  <c r="B10730" i="1"/>
  <c r="G10729" i="1"/>
  <c r="B10729" i="1"/>
  <c r="G10728" i="1"/>
  <c r="C10728" i="1"/>
  <c r="B10728" i="1"/>
  <c r="G10727" i="1"/>
  <c r="C10727" i="1"/>
  <c r="B10727" i="1"/>
  <c r="G10726" i="1"/>
  <c r="C10726" i="1"/>
  <c r="B10726" i="1"/>
  <c r="G10725" i="1"/>
  <c r="B10725" i="1"/>
  <c r="G10724" i="1"/>
  <c r="B10724" i="1"/>
  <c r="G10723" i="1"/>
  <c r="C10723" i="1"/>
  <c r="B10723" i="1"/>
  <c r="G10722" i="1"/>
  <c r="C10722" i="1"/>
  <c r="B10722" i="1"/>
  <c r="G10721" i="1"/>
  <c r="B10721" i="1"/>
  <c r="G10720" i="1"/>
  <c r="B10720" i="1"/>
  <c r="G10719" i="1"/>
  <c r="C10719" i="1"/>
  <c r="B10719" i="1"/>
  <c r="G10718" i="1"/>
  <c r="B10718" i="1"/>
  <c r="G10717" i="1"/>
  <c r="C10717" i="1"/>
  <c r="B10717" i="1"/>
  <c r="G10716" i="1"/>
  <c r="C10716" i="1"/>
  <c r="B10716" i="1"/>
  <c r="G10715" i="1"/>
  <c r="C10715" i="1"/>
  <c r="B10715" i="1"/>
  <c r="G10714" i="1"/>
  <c r="B10714" i="1"/>
  <c r="G10713" i="1"/>
  <c r="C10713" i="1"/>
  <c r="B10713" i="1"/>
  <c r="G10712" i="1"/>
  <c r="C10712" i="1"/>
  <c r="B10712" i="1"/>
  <c r="G10711" i="1"/>
  <c r="C10711" i="1"/>
  <c r="B10711" i="1"/>
  <c r="G10710" i="1"/>
  <c r="C10710" i="1"/>
  <c r="B10710" i="1"/>
  <c r="G10709" i="1"/>
  <c r="B10709" i="1"/>
  <c r="G10708" i="1"/>
  <c r="B10708" i="1"/>
  <c r="G10707" i="1"/>
  <c r="C10707" i="1"/>
  <c r="B10707" i="1"/>
  <c r="G10706" i="1"/>
  <c r="B10706" i="1"/>
  <c r="G10705" i="1"/>
  <c r="B10705" i="1"/>
  <c r="G10704" i="1"/>
  <c r="C10704" i="1"/>
  <c r="B10704" i="1"/>
  <c r="G10703" i="1"/>
  <c r="B10703" i="1"/>
  <c r="G10702" i="1"/>
  <c r="C10702" i="1"/>
  <c r="B10702" i="1"/>
  <c r="G10701" i="1"/>
  <c r="B10701" i="1"/>
  <c r="G10700" i="1"/>
  <c r="C10700" i="1"/>
  <c r="B10700" i="1"/>
  <c r="G10699" i="1"/>
  <c r="C10699" i="1"/>
  <c r="B10699" i="1"/>
  <c r="G10698" i="1"/>
  <c r="B10698" i="1"/>
  <c r="G10697" i="1"/>
  <c r="C10697" i="1"/>
  <c r="B10697" i="1"/>
  <c r="G10696" i="1"/>
  <c r="C10696" i="1"/>
  <c r="B10696" i="1"/>
  <c r="G10695" i="1"/>
  <c r="B10695" i="1"/>
  <c r="G10694" i="1"/>
  <c r="C10694" i="1"/>
  <c r="B10694" i="1"/>
  <c r="G10693" i="1"/>
  <c r="B10693" i="1"/>
  <c r="G10692" i="1"/>
  <c r="B10692" i="1"/>
  <c r="G10691" i="1"/>
  <c r="C10691" i="1"/>
  <c r="B10691" i="1"/>
  <c r="G10690" i="1"/>
  <c r="C10690" i="1"/>
  <c r="B10690" i="1"/>
  <c r="G10689" i="1"/>
  <c r="C10689" i="1"/>
  <c r="B10689" i="1"/>
  <c r="G10688" i="1"/>
  <c r="C10688" i="1"/>
  <c r="B10688" i="1"/>
  <c r="G10687" i="1"/>
  <c r="C10687" i="1"/>
  <c r="B10687" i="1"/>
  <c r="G10686" i="1"/>
  <c r="B10686" i="1"/>
  <c r="G10685" i="1"/>
  <c r="C10685" i="1"/>
  <c r="B10685" i="1"/>
  <c r="G10684" i="1"/>
  <c r="C10684" i="1"/>
  <c r="B10684" i="1"/>
  <c r="G10683" i="1"/>
  <c r="C10683" i="1"/>
  <c r="B10683" i="1"/>
  <c r="G10682" i="1"/>
  <c r="C10682" i="1"/>
  <c r="B10682" i="1"/>
  <c r="G10681" i="1"/>
  <c r="C10681" i="1"/>
  <c r="B10681" i="1"/>
  <c r="G10680" i="1"/>
  <c r="C10680" i="1"/>
  <c r="B10680" i="1"/>
  <c r="G10679" i="1"/>
  <c r="B10679" i="1"/>
  <c r="G10678" i="1"/>
  <c r="C10678" i="1"/>
  <c r="B10678" i="1"/>
  <c r="G10677" i="1"/>
  <c r="B10677" i="1"/>
  <c r="G10676" i="1"/>
  <c r="C10676" i="1"/>
  <c r="B10676" i="1"/>
  <c r="G10675" i="1"/>
  <c r="C10675" i="1"/>
  <c r="B10675" i="1"/>
  <c r="G10674" i="1"/>
  <c r="C10674" i="1"/>
  <c r="B10674" i="1"/>
  <c r="G10673" i="1"/>
  <c r="C10673" i="1"/>
  <c r="B10673" i="1"/>
  <c r="G10672" i="1"/>
  <c r="C10672" i="1"/>
  <c r="B10672" i="1"/>
  <c r="G10671" i="1"/>
  <c r="B10671" i="1"/>
  <c r="G10670" i="1"/>
  <c r="C10670" i="1"/>
  <c r="B10670" i="1"/>
  <c r="G10669" i="1"/>
  <c r="C10669" i="1"/>
  <c r="B10669" i="1"/>
  <c r="G10668" i="1"/>
  <c r="C10668" i="1"/>
  <c r="B10668" i="1"/>
  <c r="G10667" i="1"/>
  <c r="C10667" i="1"/>
  <c r="B10667" i="1"/>
  <c r="G10666" i="1"/>
  <c r="B10666" i="1"/>
  <c r="G10665" i="1"/>
  <c r="B10665" i="1"/>
  <c r="G10664" i="1"/>
  <c r="B10664" i="1"/>
  <c r="G10663" i="1"/>
  <c r="B10663" i="1"/>
  <c r="G10662" i="1"/>
  <c r="C10662" i="1"/>
  <c r="B10662" i="1"/>
  <c r="G10661" i="1"/>
  <c r="B10661" i="1"/>
  <c r="G10660" i="1"/>
  <c r="C10660" i="1"/>
  <c r="B10660" i="1"/>
  <c r="G10659" i="1"/>
  <c r="C10659" i="1"/>
  <c r="B10659" i="1"/>
  <c r="G10658" i="1"/>
  <c r="C10658" i="1"/>
  <c r="B10658" i="1"/>
  <c r="G10657" i="1"/>
  <c r="C10657" i="1"/>
  <c r="B10657" i="1"/>
  <c r="G10656" i="1"/>
  <c r="C10656" i="1"/>
  <c r="B10656" i="1"/>
  <c r="G10655" i="1"/>
  <c r="C10655" i="1"/>
  <c r="B10655" i="1"/>
  <c r="G10654" i="1"/>
  <c r="C10654" i="1"/>
  <c r="B10654" i="1"/>
  <c r="G10653" i="1"/>
  <c r="B10653" i="1"/>
  <c r="G10652" i="1"/>
  <c r="C10652" i="1"/>
  <c r="B10652" i="1"/>
  <c r="G10651" i="1"/>
  <c r="C10651" i="1"/>
  <c r="B10651" i="1"/>
  <c r="G10650" i="1"/>
  <c r="C10650" i="1"/>
  <c r="B10650" i="1"/>
  <c r="G10649" i="1"/>
  <c r="C10649" i="1"/>
  <c r="B10649" i="1"/>
  <c r="G10648" i="1"/>
  <c r="C10648" i="1"/>
  <c r="B10648" i="1"/>
  <c r="G10647" i="1"/>
  <c r="C10647" i="1"/>
  <c r="B10647" i="1"/>
  <c r="G10646" i="1"/>
  <c r="B10646" i="1"/>
  <c r="G10645" i="1"/>
  <c r="C10645" i="1"/>
  <c r="B10645" i="1"/>
  <c r="G10644" i="1"/>
  <c r="C10644" i="1"/>
  <c r="B10644" i="1"/>
  <c r="G10643" i="1"/>
  <c r="C10643" i="1"/>
  <c r="B10643" i="1"/>
  <c r="G10642" i="1"/>
  <c r="C10642" i="1"/>
  <c r="B10642" i="1"/>
  <c r="G10641" i="1"/>
  <c r="C10641" i="1"/>
  <c r="B10641" i="1"/>
  <c r="G10640" i="1"/>
  <c r="C10640" i="1"/>
  <c r="B10640" i="1"/>
  <c r="G10639" i="1"/>
  <c r="B10639" i="1"/>
  <c r="G10638" i="1"/>
  <c r="C10638" i="1"/>
  <c r="B10638" i="1"/>
  <c r="G10637" i="1"/>
  <c r="B10637" i="1"/>
  <c r="G10636" i="1"/>
  <c r="C10636" i="1"/>
  <c r="B10636" i="1"/>
  <c r="G10635" i="1"/>
  <c r="C10635" i="1"/>
  <c r="B10635" i="1"/>
  <c r="G10634" i="1"/>
  <c r="B10634" i="1"/>
  <c r="G10633" i="1"/>
  <c r="C10633" i="1"/>
  <c r="B10633" i="1"/>
  <c r="G10632" i="1"/>
  <c r="B10632" i="1"/>
  <c r="G10631" i="1"/>
  <c r="C10631" i="1"/>
  <c r="B10631" i="1"/>
  <c r="G10630" i="1"/>
  <c r="C10630" i="1"/>
  <c r="B10630" i="1"/>
  <c r="G10629" i="1"/>
  <c r="C10629" i="1"/>
  <c r="B10629" i="1"/>
  <c r="G10628" i="1"/>
  <c r="C10628" i="1"/>
  <c r="B10628" i="1"/>
  <c r="G10627" i="1"/>
  <c r="C10627" i="1"/>
  <c r="B10627" i="1"/>
  <c r="G10626" i="1"/>
  <c r="C10626" i="1"/>
  <c r="B10626" i="1"/>
  <c r="G10625" i="1"/>
  <c r="B10625" i="1"/>
  <c r="G10624" i="1"/>
  <c r="C10624" i="1"/>
  <c r="B10624" i="1"/>
  <c r="G10623" i="1"/>
  <c r="C10623" i="1"/>
  <c r="B10623" i="1"/>
  <c r="G10622" i="1"/>
  <c r="C10622" i="1"/>
  <c r="B10622" i="1"/>
  <c r="G10621" i="1"/>
  <c r="C10621" i="1"/>
  <c r="B10621" i="1"/>
  <c r="G10620" i="1"/>
  <c r="C10620" i="1"/>
  <c r="B10620" i="1"/>
  <c r="G10619" i="1"/>
  <c r="B10619" i="1"/>
  <c r="G10618" i="1"/>
  <c r="C10618" i="1"/>
  <c r="B10618" i="1"/>
  <c r="G10617" i="1"/>
  <c r="C10617" i="1"/>
  <c r="B10617" i="1"/>
  <c r="G10616" i="1"/>
  <c r="C10616" i="1"/>
  <c r="B10616" i="1"/>
  <c r="G10615" i="1"/>
  <c r="B10615" i="1"/>
  <c r="G10614" i="1"/>
  <c r="C10614" i="1"/>
  <c r="B10614" i="1"/>
  <c r="G10613" i="1"/>
  <c r="B10613" i="1"/>
  <c r="G10612" i="1"/>
  <c r="B10612" i="1"/>
  <c r="G10611" i="1"/>
  <c r="C10611" i="1"/>
  <c r="B10611" i="1"/>
  <c r="G10610" i="1"/>
  <c r="C10610" i="1"/>
  <c r="B10610" i="1"/>
  <c r="G10609" i="1"/>
  <c r="C10609" i="1"/>
  <c r="B10609" i="1"/>
  <c r="G10608" i="1"/>
  <c r="C10608" i="1"/>
  <c r="B10608" i="1"/>
  <c r="G10607" i="1"/>
  <c r="C10607" i="1"/>
  <c r="B10607" i="1"/>
  <c r="G10606" i="1"/>
  <c r="C10606" i="1"/>
  <c r="B10606" i="1"/>
  <c r="G10605" i="1"/>
  <c r="B10605" i="1"/>
  <c r="G10604" i="1"/>
  <c r="C10604" i="1"/>
  <c r="B10604" i="1"/>
  <c r="G10603" i="1"/>
  <c r="C10603" i="1"/>
  <c r="B10603" i="1"/>
  <c r="G10602" i="1"/>
  <c r="B10602" i="1"/>
  <c r="G10601" i="1"/>
  <c r="C10601" i="1"/>
  <c r="B10601" i="1"/>
  <c r="G10600" i="1"/>
  <c r="C10600" i="1"/>
  <c r="B10600" i="1"/>
  <c r="G10599" i="1"/>
  <c r="C10599" i="1"/>
  <c r="B10599" i="1"/>
  <c r="G10598" i="1"/>
  <c r="C10598" i="1"/>
  <c r="B10598" i="1"/>
  <c r="G10597" i="1"/>
  <c r="C10597" i="1"/>
  <c r="B10597" i="1"/>
  <c r="G10596" i="1"/>
  <c r="C10596" i="1"/>
  <c r="B10596" i="1"/>
  <c r="G10595" i="1"/>
  <c r="B10595" i="1"/>
  <c r="G10594" i="1"/>
  <c r="C10594" i="1"/>
  <c r="B10594" i="1"/>
  <c r="G10593" i="1"/>
  <c r="B10593" i="1"/>
  <c r="G10592" i="1"/>
  <c r="B10592" i="1"/>
  <c r="G10591" i="1"/>
  <c r="C10591" i="1"/>
  <c r="B10591" i="1"/>
  <c r="G10590" i="1"/>
  <c r="C10590" i="1"/>
  <c r="B10590" i="1"/>
  <c r="G10589" i="1"/>
  <c r="C10589" i="1"/>
  <c r="B10589" i="1"/>
  <c r="G10588" i="1"/>
  <c r="C10588" i="1"/>
  <c r="B10588" i="1"/>
  <c r="G10587" i="1"/>
  <c r="C10587" i="1"/>
  <c r="B10587" i="1"/>
  <c r="G10586" i="1"/>
  <c r="B10586" i="1"/>
  <c r="G10585" i="1"/>
  <c r="B10585" i="1"/>
  <c r="G10584" i="1"/>
  <c r="B10584" i="1"/>
  <c r="G10583" i="1"/>
  <c r="C10583" i="1"/>
  <c r="B10583" i="1"/>
  <c r="G10582" i="1"/>
  <c r="B10582" i="1"/>
  <c r="G10581" i="1"/>
  <c r="B10581" i="1"/>
  <c r="G10580" i="1"/>
  <c r="C10580" i="1"/>
  <c r="B10580" i="1"/>
  <c r="G10579" i="1"/>
  <c r="C10579" i="1"/>
  <c r="B10579" i="1"/>
  <c r="G10578" i="1"/>
  <c r="C10578" i="1"/>
  <c r="B10578" i="1"/>
  <c r="G10577" i="1"/>
  <c r="C10577" i="1"/>
  <c r="B10577" i="1"/>
  <c r="G10576" i="1"/>
  <c r="B10576" i="1"/>
  <c r="G10575" i="1"/>
  <c r="B10575" i="1"/>
  <c r="G10574" i="1"/>
  <c r="C10574" i="1"/>
  <c r="B10574" i="1"/>
  <c r="G10573" i="1"/>
  <c r="B10573" i="1"/>
  <c r="G10572" i="1"/>
  <c r="B10572" i="1"/>
  <c r="G10571" i="1"/>
  <c r="C10571" i="1"/>
  <c r="B10571" i="1"/>
  <c r="G10570" i="1"/>
  <c r="C10570" i="1"/>
  <c r="B10570" i="1"/>
  <c r="G10569" i="1"/>
  <c r="B10569" i="1"/>
  <c r="G10568" i="1"/>
  <c r="C10568" i="1"/>
  <c r="B10568" i="1"/>
  <c r="G10567" i="1"/>
  <c r="B10567" i="1"/>
  <c r="G10566" i="1"/>
  <c r="C10566" i="1"/>
  <c r="B10566" i="1"/>
  <c r="G10565" i="1"/>
  <c r="C10565" i="1"/>
  <c r="B10565" i="1"/>
  <c r="G10564" i="1"/>
  <c r="C10564" i="1"/>
  <c r="B10564" i="1"/>
  <c r="G10563" i="1"/>
  <c r="B10563" i="1"/>
  <c r="G10562" i="1"/>
  <c r="C10562" i="1"/>
  <c r="B10562" i="1"/>
  <c r="G10561" i="1"/>
  <c r="C10561" i="1"/>
  <c r="B10561" i="1"/>
  <c r="G10560" i="1"/>
  <c r="B10560" i="1"/>
  <c r="G10559" i="1"/>
  <c r="C10559" i="1"/>
  <c r="B10559" i="1"/>
  <c r="G10558" i="1"/>
  <c r="B10558" i="1"/>
  <c r="G10557" i="1"/>
  <c r="C10557" i="1"/>
  <c r="B10557" i="1"/>
  <c r="G10556" i="1"/>
  <c r="C10556" i="1"/>
  <c r="B10556" i="1"/>
  <c r="G10555" i="1"/>
  <c r="C10555" i="1"/>
  <c r="B10555" i="1"/>
  <c r="G10554" i="1"/>
  <c r="B10554" i="1"/>
  <c r="G10553" i="1"/>
  <c r="C10553" i="1"/>
  <c r="B10553" i="1"/>
  <c r="G10552" i="1"/>
  <c r="C10552" i="1"/>
  <c r="B10552" i="1"/>
  <c r="G10551" i="1"/>
  <c r="C10551" i="1"/>
  <c r="B10551" i="1"/>
  <c r="G10550" i="1"/>
  <c r="B10550" i="1"/>
  <c r="G10549" i="1"/>
  <c r="B10549" i="1"/>
  <c r="G10548" i="1"/>
  <c r="B10548" i="1"/>
  <c r="G10547" i="1"/>
  <c r="C10547" i="1"/>
  <c r="B10547" i="1"/>
  <c r="G10546" i="1"/>
  <c r="C10546" i="1"/>
  <c r="B10546" i="1"/>
  <c r="G10545" i="1"/>
  <c r="C10545" i="1"/>
  <c r="B10545" i="1"/>
  <c r="G10544" i="1"/>
  <c r="C10544" i="1"/>
  <c r="B10544" i="1"/>
  <c r="G10543" i="1"/>
  <c r="C10543" i="1"/>
  <c r="B10543" i="1"/>
  <c r="G10542" i="1"/>
  <c r="C10542" i="1"/>
  <c r="B10542" i="1"/>
  <c r="G10541" i="1"/>
  <c r="B10541" i="1"/>
  <c r="G10540" i="1"/>
  <c r="C10540" i="1"/>
  <c r="B10540" i="1"/>
  <c r="G10539" i="1"/>
  <c r="B10539" i="1"/>
  <c r="G10538" i="1"/>
  <c r="C10538" i="1"/>
  <c r="B10538" i="1"/>
  <c r="G10537" i="1"/>
  <c r="C10537" i="1"/>
  <c r="B10537" i="1"/>
  <c r="G10536" i="1"/>
  <c r="C10536" i="1"/>
  <c r="B10536" i="1"/>
  <c r="G10535" i="1"/>
  <c r="C10535" i="1"/>
  <c r="B10535" i="1"/>
  <c r="G10534" i="1"/>
  <c r="C10534" i="1"/>
  <c r="B10534" i="1"/>
  <c r="G10533" i="1"/>
  <c r="C10533" i="1"/>
  <c r="B10533" i="1"/>
  <c r="G10532" i="1"/>
  <c r="C10532" i="1"/>
  <c r="B10532" i="1"/>
  <c r="G10531" i="1"/>
  <c r="B10531" i="1"/>
  <c r="G10530" i="1"/>
  <c r="C10530" i="1"/>
  <c r="B10530" i="1"/>
  <c r="G10529" i="1"/>
  <c r="C10529" i="1"/>
  <c r="B10529" i="1"/>
  <c r="G10528" i="1"/>
  <c r="C10528" i="1"/>
  <c r="B10528" i="1"/>
  <c r="G10527" i="1"/>
  <c r="C10527" i="1"/>
  <c r="B10527" i="1"/>
  <c r="G10526" i="1"/>
  <c r="C10526" i="1"/>
  <c r="B10526" i="1"/>
  <c r="G10525" i="1"/>
  <c r="C10525" i="1"/>
  <c r="B10525" i="1"/>
  <c r="G10524" i="1"/>
  <c r="C10524" i="1"/>
  <c r="B10524" i="1"/>
  <c r="G10523" i="1"/>
  <c r="B10523" i="1"/>
  <c r="G10522" i="1"/>
  <c r="B10522" i="1"/>
  <c r="G10521" i="1"/>
  <c r="B10521" i="1"/>
  <c r="G10520" i="1"/>
  <c r="C10520" i="1"/>
  <c r="B10520" i="1"/>
  <c r="G10519" i="1"/>
  <c r="B10519" i="1"/>
  <c r="G10518" i="1"/>
  <c r="B10518" i="1"/>
  <c r="G10517" i="1"/>
  <c r="C10517" i="1"/>
  <c r="B10517" i="1"/>
  <c r="G10516" i="1"/>
  <c r="C10516" i="1"/>
  <c r="B10516" i="1"/>
  <c r="G10515" i="1"/>
  <c r="B10515" i="1"/>
  <c r="G10514" i="1"/>
  <c r="C10514" i="1"/>
  <c r="B10514" i="1"/>
  <c r="G10513" i="1"/>
  <c r="C10513" i="1"/>
  <c r="B10513" i="1"/>
  <c r="G10512" i="1"/>
  <c r="B10512" i="1"/>
  <c r="G10511" i="1"/>
  <c r="B10511" i="1"/>
  <c r="G10510" i="1"/>
  <c r="C10510" i="1"/>
  <c r="B10510" i="1"/>
  <c r="G10509" i="1"/>
  <c r="C10509" i="1"/>
  <c r="B10509" i="1"/>
  <c r="G10508" i="1"/>
  <c r="C10508" i="1"/>
  <c r="B10508" i="1"/>
  <c r="G10507" i="1"/>
  <c r="B10507" i="1"/>
  <c r="G10506" i="1"/>
  <c r="C10506" i="1"/>
  <c r="B10506" i="1"/>
  <c r="G10505" i="1"/>
  <c r="B10505" i="1"/>
  <c r="G10504" i="1"/>
  <c r="C10504" i="1"/>
  <c r="B10504" i="1"/>
  <c r="G10503" i="1"/>
  <c r="C10503" i="1"/>
  <c r="B10503" i="1"/>
  <c r="G10502" i="1"/>
  <c r="C10502" i="1"/>
  <c r="B10502" i="1"/>
  <c r="G10501" i="1"/>
  <c r="C10501" i="1"/>
  <c r="B10501" i="1"/>
  <c r="G10500" i="1"/>
  <c r="C10500" i="1"/>
  <c r="B10500" i="1"/>
  <c r="G10499" i="1"/>
  <c r="B10499" i="1"/>
  <c r="G10498" i="1"/>
  <c r="C10498" i="1"/>
  <c r="B10498" i="1"/>
  <c r="G10497" i="1"/>
  <c r="B10497" i="1"/>
  <c r="G10496" i="1"/>
  <c r="C10496" i="1"/>
  <c r="B10496" i="1"/>
  <c r="G10495" i="1"/>
  <c r="B10495" i="1"/>
  <c r="G10494" i="1"/>
  <c r="C10494" i="1"/>
  <c r="B10494" i="1"/>
  <c r="G10493" i="1"/>
  <c r="B10493" i="1"/>
  <c r="G10492" i="1"/>
  <c r="B10492" i="1"/>
  <c r="G10491" i="1"/>
  <c r="C10491" i="1"/>
  <c r="B10491" i="1"/>
  <c r="G10490" i="1"/>
  <c r="C10490" i="1"/>
  <c r="B10490" i="1"/>
  <c r="G10489" i="1"/>
  <c r="C10489" i="1"/>
  <c r="B10489" i="1"/>
  <c r="G10488" i="1"/>
  <c r="B10488" i="1"/>
  <c r="G10487" i="1"/>
  <c r="C10487" i="1"/>
  <c r="B10487" i="1"/>
  <c r="G10486" i="1"/>
  <c r="C10486" i="1"/>
  <c r="B10486" i="1"/>
  <c r="G10485" i="1"/>
  <c r="C10485" i="1"/>
  <c r="B10485" i="1"/>
  <c r="G10484" i="1"/>
  <c r="B10484" i="1"/>
  <c r="G10483" i="1"/>
  <c r="C10483" i="1"/>
  <c r="B10483" i="1"/>
  <c r="G10482" i="1"/>
  <c r="C10482" i="1"/>
  <c r="B10482" i="1"/>
  <c r="G10481" i="1"/>
  <c r="C10481" i="1"/>
  <c r="B10481" i="1"/>
  <c r="G10480" i="1"/>
  <c r="C10480" i="1"/>
  <c r="B10480" i="1"/>
  <c r="G10479" i="1"/>
  <c r="C10479" i="1"/>
  <c r="B10479" i="1"/>
  <c r="G10478" i="1"/>
  <c r="C10478" i="1"/>
  <c r="B10478" i="1"/>
  <c r="G10477" i="1"/>
  <c r="C10477" i="1"/>
  <c r="B10477" i="1"/>
  <c r="G10476" i="1"/>
  <c r="C10476" i="1"/>
  <c r="B10476" i="1"/>
  <c r="G10475" i="1"/>
  <c r="C10475" i="1"/>
  <c r="B10475" i="1"/>
  <c r="G10474" i="1"/>
  <c r="C10474" i="1"/>
  <c r="B10474" i="1"/>
  <c r="G10473" i="1"/>
  <c r="C10473" i="1"/>
  <c r="B10473" i="1"/>
  <c r="G10472" i="1"/>
  <c r="C10472" i="1"/>
  <c r="B10472" i="1"/>
  <c r="G10471" i="1"/>
  <c r="C10471" i="1"/>
  <c r="B10471" i="1"/>
  <c r="G10470" i="1"/>
  <c r="B10470" i="1"/>
  <c r="G10469" i="1"/>
  <c r="C10469" i="1"/>
  <c r="B10469" i="1"/>
  <c r="G10468" i="1"/>
  <c r="B10468" i="1"/>
  <c r="G10467" i="1"/>
  <c r="B10467" i="1"/>
  <c r="G10466" i="1"/>
  <c r="C10466" i="1"/>
  <c r="B10466" i="1"/>
  <c r="G10465" i="1"/>
  <c r="B10465" i="1"/>
  <c r="G10464" i="1"/>
  <c r="C10464" i="1"/>
  <c r="B10464" i="1"/>
  <c r="G10463" i="1"/>
  <c r="C10463" i="1"/>
  <c r="B10463" i="1"/>
  <c r="G10462" i="1"/>
  <c r="C10462" i="1"/>
  <c r="B10462" i="1"/>
  <c r="G10461" i="1"/>
  <c r="C10461" i="1"/>
  <c r="B10461" i="1"/>
  <c r="G10460" i="1"/>
  <c r="C10460" i="1"/>
  <c r="B10460" i="1"/>
  <c r="G10459" i="1"/>
  <c r="C10459" i="1"/>
  <c r="B10459" i="1"/>
  <c r="G10458" i="1"/>
  <c r="C10458" i="1"/>
  <c r="B10458" i="1"/>
  <c r="G10457" i="1"/>
  <c r="C10457" i="1"/>
  <c r="B10457" i="1"/>
  <c r="G10456" i="1"/>
  <c r="C10456" i="1"/>
  <c r="B10456" i="1"/>
  <c r="G10455" i="1"/>
  <c r="C10455" i="1"/>
  <c r="B10455" i="1"/>
  <c r="G10454" i="1"/>
  <c r="C10454" i="1"/>
  <c r="B10454" i="1"/>
  <c r="G10453" i="1"/>
  <c r="C10453" i="1"/>
  <c r="B10453" i="1"/>
  <c r="G10452" i="1"/>
  <c r="C10452" i="1"/>
  <c r="B10452" i="1"/>
  <c r="G10451" i="1"/>
  <c r="C10451" i="1"/>
  <c r="B10451" i="1"/>
  <c r="G10450" i="1"/>
  <c r="C10450" i="1"/>
  <c r="B10450" i="1"/>
  <c r="G10449" i="1"/>
  <c r="B10449" i="1"/>
  <c r="G10448" i="1"/>
  <c r="C10448" i="1"/>
  <c r="B10448" i="1"/>
  <c r="G10447" i="1"/>
  <c r="C10447" i="1"/>
  <c r="B10447" i="1"/>
  <c r="G10446" i="1"/>
  <c r="C10446" i="1"/>
  <c r="B10446" i="1"/>
  <c r="G10445" i="1"/>
  <c r="B10445" i="1"/>
  <c r="G10444" i="1"/>
  <c r="C10444" i="1"/>
  <c r="B10444" i="1"/>
  <c r="G10443" i="1"/>
  <c r="C10443" i="1"/>
  <c r="B10443" i="1"/>
  <c r="G10442" i="1"/>
  <c r="C10442" i="1"/>
  <c r="B10442" i="1"/>
  <c r="G10441" i="1"/>
  <c r="B10441" i="1"/>
  <c r="G10440" i="1"/>
  <c r="C10440" i="1"/>
  <c r="B10440" i="1"/>
  <c r="G10439" i="1"/>
  <c r="C10439" i="1"/>
  <c r="B10439" i="1"/>
  <c r="G10438" i="1"/>
  <c r="B10438" i="1"/>
  <c r="G10437" i="1"/>
  <c r="C10437" i="1"/>
  <c r="B10437" i="1"/>
  <c r="G10436" i="1"/>
  <c r="C10436" i="1"/>
  <c r="B10436" i="1"/>
  <c r="G10435" i="1"/>
  <c r="C10435" i="1"/>
  <c r="B10435" i="1"/>
  <c r="G10434" i="1"/>
  <c r="B10434" i="1"/>
  <c r="G10433" i="1"/>
  <c r="C10433" i="1"/>
  <c r="B10433" i="1"/>
  <c r="G10432" i="1"/>
  <c r="C10432" i="1"/>
  <c r="B10432" i="1"/>
  <c r="G10431" i="1"/>
  <c r="B10431" i="1"/>
  <c r="G10430" i="1"/>
  <c r="C10430" i="1"/>
  <c r="B10430" i="1"/>
  <c r="G10429" i="1"/>
  <c r="B10429" i="1"/>
  <c r="G10428" i="1"/>
  <c r="C10428" i="1"/>
  <c r="B10428" i="1"/>
  <c r="G10427" i="1"/>
  <c r="C10427" i="1"/>
  <c r="B10427" i="1"/>
  <c r="G10426" i="1"/>
  <c r="B10426" i="1"/>
  <c r="G10425" i="1"/>
  <c r="C10425" i="1"/>
  <c r="B10425" i="1"/>
  <c r="G10424" i="1"/>
  <c r="C10424" i="1"/>
  <c r="B10424" i="1"/>
  <c r="G10423" i="1"/>
  <c r="C10423" i="1"/>
  <c r="B10423" i="1"/>
  <c r="G10422" i="1"/>
  <c r="B10422" i="1"/>
  <c r="G10421" i="1"/>
  <c r="C10421" i="1"/>
  <c r="B10421" i="1"/>
  <c r="G10420" i="1"/>
  <c r="B10420" i="1"/>
  <c r="G10419" i="1"/>
  <c r="C10419" i="1"/>
  <c r="B10419" i="1"/>
  <c r="G10418" i="1"/>
  <c r="C10418" i="1"/>
  <c r="B10418" i="1"/>
  <c r="G10417" i="1"/>
  <c r="C10417" i="1"/>
  <c r="B10417" i="1"/>
  <c r="G10416" i="1"/>
  <c r="B10416" i="1"/>
  <c r="G10415" i="1"/>
  <c r="B10415" i="1"/>
  <c r="G10414" i="1"/>
  <c r="C10414" i="1"/>
  <c r="B10414" i="1"/>
  <c r="G10413" i="1"/>
  <c r="C10413" i="1"/>
  <c r="B10413" i="1"/>
  <c r="G10412" i="1"/>
  <c r="C10412" i="1"/>
  <c r="B10412" i="1"/>
  <c r="G10411" i="1"/>
  <c r="C10411" i="1"/>
  <c r="B10411" i="1"/>
  <c r="G10410" i="1"/>
  <c r="B10410" i="1"/>
  <c r="G10409" i="1"/>
  <c r="C10409" i="1"/>
  <c r="B10409" i="1"/>
  <c r="G10408" i="1"/>
  <c r="C10408" i="1"/>
  <c r="B10408" i="1"/>
  <c r="G10407" i="1"/>
  <c r="B10407" i="1"/>
  <c r="G10406" i="1"/>
  <c r="C10406" i="1"/>
  <c r="B10406" i="1"/>
  <c r="G10405" i="1"/>
  <c r="B10405" i="1"/>
  <c r="G10404" i="1"/>
  <c r="C10404" i="1"/>
  <c r="B10404" i="1"/>
  <c r="G10403" i="1"/>
  <c r="C10403" i="1"/>
  <c r="B10403" i="1"/>
  <c r="G10402" i="1"/>
  <c r="C10402" i="1"/>
  <c r="B10402" i="1"/>
  <c r="G10401" i="1"/>
  <c r="C10401" i="1"/>
  <c r="B10401" i="1"/>
  <c r="G10400" i="1"/>
  <c r="C10400" i="1"/>
  <c r="B10400" i="1"/>
  <c r="G10399" i="1"/>
  <c r="C10399" i="1"/>
  <c r="B10399" i="1"/>
  <c r="G10398" i="1"/>
  <c r="C10398" i="1"/>
  <c r="B10398" i="1"/>
  <c r="G10397" i="1"/>
  <c r="C10397" i="1"/>
  <c r="B10397" i="1"/>
  <c r="G10396" i="1"/>
  <c r="C10396" i="1"/>
  <c r="B10396" i="1"/>
  <c r="G10395" i="1"/>
  <c r="B10395" i="1"/>
  <c r="G10394" i="1"/>
  <c r="B10394" i="1"/>
  <c r="G10393" i="1"/>
  <c r="C10393" i="1"/>
  <c r="B10393" i="1"/>
  <c r="G10392" i="1"/>
  <c r="B10392" i="1"/>
  <c r="G10391" i="1"/>
  <c r="C10391" i="1"/>
  <c r="B10391" i="1"/>
  <c r="G10390" i="1"/>
  <c r="C10390" i="1"/>
  <c r="B10390" i="1"/>
  <c r="G10389" i="1"/>
  <c r="B10389" i="1"/>
  <c r="G10388" i="1"/>
  <c r="B10388" i="1"/>
  <c r="G10387" i="1"/>
  <c r="B10387" i="1"/>
  <c r="G10386" i="1"/>
  <c r="C10386" i="1"/>
  <c r="B10386" i="1"/>
  <c r="G10385" i="1"/>
  <c r="B10385" i="1"/>
  <c r="G10384" i="1"/>
  <c r="B10384" i="1"/>
  <c r="G10383" i="1"/>
  <c r="C10383" i="1"/>
  <c r="B10383" i="1"/>
  <c r="G10382" i="1"/>
  <c r="C10382" i="1"/>
  <c r="B10382" i="1"/>
  <c r="G10381" i="1"/>
  <c r="B10381" i="1"/>
  <c r="G10380" i="1"/>
  <c r="C10380" i="1"/>
  <c r="B10380" i="1"/>
  <c r="G10379" i="1"/>
  <c r="B10379" i="1"/>
  <c r="G10378" i="1"/>
  <c r="C10378" i="1"/>
  <c r="B10378" i="1"/>
  <c r="G10377" i="1"/>
  <c r="B10377" i="1"/>
  <c r="G10376" i="1"/>
  <c r="C10376" i="1"/>
  <c r="B10376" i="1"/>
  <c r="G10375" i="1"/>
  <c r="C10375" i="1"/>
  <c r="B10375" i="1"/>
  <c r="G10374" i="1"/>
  <c r="C10374" i="1"/>
  <c r="B10374" i="1"/>
  <c r="G10373" i="1"/>
  <c r="C10373" i="1"/>
  <c r="B10373" i="1"/>
  <c r="G10372" i="1"/>
  <c r="C10372" i="1"/>
  <c r="B10372" i="1"/>
  <c r="G10371" i="1"/>
  <c r="B10371" i="1"/>
  <c r="G10370" i="1"/>
  <c r="C10370" i="1"/>
  <c r="B10370" i="1"/>
  <c r="G10369" i="1"/>
  <c r="C10369" i="1"/>
  <c r="B10369" i="1"/>
  <c r="G10368" i="1"/>
  <c r="C10368" i="1"/>
  <c r="B10368" i="1"/>
  <c r="G10367" i="1"/>
  <c r="C10367" i="1"/>
  <c r="B10367" i="1"/>
  <c r="G10366" i="1"/>
  <c r="C10366" i="1"/>
  <c r="B10366" i="1"/>
  <c r="G10365" i="1"/>
  <c r="C10365" i="1"/>
  <c r="B10365" i="1"/>
  <c r="G10364" i="1"/>
  <c r="B10364" i="1"/>
  <c r="G10363" i="1"/>
  <c r="B10363" i="1"/>
  <c r="G10362" i="1"/>
  <c r="C10362" i="1"/>
  <c r="B10362" i="1"/>
  <c r="G10361" i="1"/>
  <c r="B10361" i="1"/>
  <c r="G10360" i="1"/>
  <c r="B10360" i="1"/>
  <c r="G10359" i="1"/>
  <c r="B10359" i="1"/>
  <c r="G10358" i="1"/>
  <c r="B10358" i="1"/>
  <c r="G10357" i="1"/>
  <c r="B10357" i="1"/>
  <c r="G10356" i="1"/>
  <c r="B10356" i="1"/>
  <c r="G10355" i="1"/>
  <c r="C10355" i="1"/>
  <c r="B10355" i="1"/>
  <c r="G10354" i="1"/>
  <c r="C10354" i="1"/>
  <c r="B10354" i="1"/>
  <c r="G10353" i="1"/>
  <c r="B10353" i="1"/>
  <c r="G10352" i="1"/>
  <c r="B10352" i="1"/>
  <c r="G10351" i="1"/>
  <c r="C10351" i="1"/>
  <c r="B10351" i="1"/>
  <c r="G10350" i="1"/>
  <c r="C10350" i="1"/>
  <c r="B10350" i="1"/>
  <c r="G10349" i="1"/>
  <c r="C10349" i="1"/>
  <c r="B10349" i="1"/>
  <c r="G10348" i="1"/>
  <c r="B10348" i="1"/>
  <c r="G10347" i="1"/>
  <c r="B10347" i="1"/>
  <c r="G10346" i="1"/>
  <c r="B10346" i="1"/>
  <c r="G10345" i="1"/>
  <c r="C10345" i="1"/>
  <c r="B10345" i="1"/>
  <c r="G10344" i="1"/>
  <c r="C10344" i="1"/>
  <c r="B10344" i="1"/>
  <c r="G10343" i="1"/>
  <c r="C10343" i="1"/>
  <c r="B10343" i="1"/>
  <c r="G10342" i="1"/>
  <c r="C10342" i="1"/>
  <c r="B10342" i="1"/>
  <c r="G10341" i="1"/>
  <c r="C10341" i="1"/>
  <c r="B10341" i="1"/>
  <c r="G10340" i="1"/>
  <c r="B10340" i="1"/>
  <c r="G10339" i="1"/>
  <c r="B10339" i="1"/>
  <c r="G10338" i="1"/>
  <c r="B10338" i="1"/>
  <c r="G10337" i="1"/>
  <c r="B10337" i="1"/>
  <c r="G10336" i="1"/>
  <c r="B10336" i="1"/>
  <c r="G10335" i="1"/>
  <c r="C10335" i="1"/>
  <c r="B10335" i="1"/>
  <c r="G10334" i="1"/>
  <c r="B10334" i="1"/>
  <c r="G10333" i="1"/>
  <c r="C10333" i="1"/>
  <c r="B10333" i="1"/>
  <c r="G10332" i="1"/>
  <c r="B10332" i="1"/>
  <c r="G10331" i="1"/>
  <c r="B10331" i="1"/>
  <c r="G10330" i="1"/>
  <c r="B10330" i="1"/>
  <c r="G10329" i="1"/>
  <c r="B10329" i="1"/>
  <c r="G10328" i="1"/>
  <c r="C10328" i="1"/>
  <c r="B10328" i="1"/>
  <c r="G10327" i="1"/>
  <c r="C10327" i="1"/>
  <c r="B10327" i="1"/>
  <c r="G10326" i="1"/>
  <c r="C10326" i="1"/>
  <c r="B10326" i="1"/>
  <c r="G10325" i="1"/>
  <c r="C10325" i="1"/>
  <c r="B10325" i="1"/>
  <c r="G10324" i="1"/>
  <c r="B10324" i="1"/>
  <c r="G10323" i="1"/>
  <c r="C10323" i="1"/>
  <c r="B10323" i="1"/>
  <c r="G10322" i="1"/>
  <c r="B10322" i="1"/>
  <c r="G10321" i="1"/>
  <c r="B10321" i="1"/>
  <c r="G10320" i="1"/>
  <c r="C10320" i="1"/>
  <c r="B10320" i="1"/>
  <c r="G10319" i="1"/>
  <c r="C10319" i="1"/>
  <c r="B10319" i="1"/>
  <c r="G10318" i="1"/>
  <c r="C10318" i="1"/>
  <c r="B10318" i="1"/>
  <c r="G10317" i="1"/>
  <c r="C10317" i="1"/>
  <c r="B10317" i="1"/>
  <c r="G10316" i="1"/>
  <c r="B10316" i="1"/>
  <c r="G10315" i="1"/>
  <c r="C10315" i="1"/>
  <c r="B10315" i="1"/>
  <c r="G10314" i="1"/>
  <c r="C10314" i="1"/>
  <c r="B10314" i="1"/>
  <c r="G10313" i="1"/>
  <c r="B10313" i="1"/>
  <c r="G10312" i="1"/>
  <c r="C10312" i="1"/>
  <c r="B10312" i="1"/>
  <c r="G10311" i="1"/>
  <c r="B10311" i="1"/>
  <c r="G10310" i="1"/>
  <c r="C10310" i="1"/>
  <c r="B10310" i="1"/>
  <c r="G10309" i="1"/>
  <c r="C10309" i="1"/>
  <c r="B10309" i="1"/>
  <c r="G10308" i="1"/>
  <c r="C10308" i="1"/>
  <c r="B10308" i="1"/>
  <c r="G10307" i="1"/>
  <c r="C10307" i="1"/>
  <c r="B10307" i="1"/>
  <c r="G10306" i="1"/>
  <c r="C10306" i="1"/>
  <c r="B10306" i="1"/>
  <c r="G10305" i="1"/>
  <c r="C10305" i="1"/>
  <c r="B10305" i="1"/>
  <c r="G10304" i="1"/>
  <c r="C10304" i="1"/>
  <c r="B10304" i="1"/>
  <c r="G10303" i="1"/>
  <c r="C10303" i="1"/>
  <c r="B10303" i="1"/>
  <c r="G10302" i="1"/>
  <c r="C10302" i="1"/>
  <c r="B10302" i="1"/>
  <c r="G10301" i="1"/>
  <c r="B10301" i="1"/>
  <c r="G10300" i="1"/>
  <c r="C10300" i="1"/>
  <c r="B10300" i="1"/>
  <c r="G10299" i="1"/>
  <c r="B10299" i="1"/>
  <c r="G10298" i="1"/>
  <c r="C10298" i="1"/>
  <c r="B10298" i="1"/>
  <c r="G10297" i="1"/>
  <c r="C10297" i="1"/>
  <c r="B10297" i="1"/>
  <c r="G10296" i="1"/>
  <c r="B10296" i="1"/>
  <c r="G10295" i="1"/>
  <c r="C10295" i="1"/>
  <c r="B10295" i="1"/>
  <c r="G10294" i="1"/>
  <c r="C10294" i="1"/>
  <c r="B10294" i="1"/>
  <c r="G10293" i="1"/>
  <c r="C10293" i="1"/>
  <c r="B10293" i="1"/>
  <c r="G10292" i="1"/>
  <c r="C10292" i="1"/>
  <c r="B10292" i="1"/>
  <c r="G10291" i="1"/>
  <c r="C10291" i="1"/>
  <c r="B10291" i="1"/>
  <c r="G10290" i="1"/>
  <c r="B10290" i="1"/>
  <c r="G10289" i="1"/>
  <c r="C10289" i="1"/>
  <c r="B10289" i="1"/>
  <c r="G10288" i="1"/>
  <c r="C10288" i="1"/>
  <c r="B10288" i="1"/>
  <c r="G10287" i="1"/>
  <c r="B10287" i="1"/>
  <c r="G10286" i="1"/>
  <c r="C10286" i="1"/>
  <c r="B10286" i="1"/>
  <c r="G10285" i="1"/>
  <c r="C10285" i="1"/>
  <c r="B10285" i="1"/>
  <c r="G10284" i="1"/>
  <c r="C10284" i="1"/>
  <c r="B10284" i="1"/>
  <c r="G10283" i="1"/>
  <c r="C10283" i="1"/>
  <c r="B10283" i="1"/>
  <c r="G10282" i="1"/>
  <c r="C10282" i="1"/>
  <c r="B10282" i="1"/>
  <c r="G10281" i="1"/>
  <c r="B10281" i="1"/>
  <c r="G10280" i="1"/>
  <c r="C10280" i="1"/>
  <c r="B10280" i="1"/>
  <c r="G10279" i="1"/>
  <c r="B10279" i="1"/>
  <c r="G10278" i="1"/>
  <c r="C10278" i="1"/>
  <c r="B10278" i="1"/>
  <c r="G10277" i="1"/>
  <c r="C10277" i="1"/>
  <c r="B10277" i="1"/>
  <c r="G10276" i="1"/>
  <c r="C10276" i="1"/>
  <c r="B10276" i="1"/>
  <c r="G10275" i="1"/>
  <c r="B10275" i="1"/>
  <c r="G10274" i="1"/>
  <c r="C10274" i="1"/>
  <c r="B10274" i="1"/>
  <c r="G10273" i="1"/>
  <c r="B10273" i="1"/>
  <c r="G10272" i="1"/>
  <c r="B10272" i="1"/>
  <c r="G10271" i="1"/>
  <c r="C10271" i="1"/>
  <c r="B10271" i="1"/>
  <c r="G10270" i="1"/>
  <c r="B10270" i="1"/>
  <c r="G10269" i="1"/>
  <c r="B10269" i="1"/>
  <c r="G10268" i="1"/>
  <c r="B10268" i="1"/>
  <c r="G10267" i="1"/>
  <c r="C10267" i="1"/>
  <c r="B10267" i="1"/>
  <c r="G10266" i="1"/>
  <c r="C10266" i="1"/>
  <c r="B10266" i="1"/>
  <c r="G10265" i="1"/>
  <c r="B10265" i="1"/>
  <c r="G10264" i="1"/>
  <c r="C10264" i="1"/>
  <c r="B10264" i="1"/>
  <c r="G10263" i="1"/>
  <c r="B10263" i="1"/>
  <c r="G10262" i="1"/>
  <c r="C10262" i="1"/>
  <c r="B10262" i="1"/>
  <c r="G10261" i="1"/>
  <c r="C10261" i="1"/>
  <c r="B10261" i="1"/>
  <c r="G10260" i="1"/>
  <c r="B10260" i="1"/>
  <c r="G10259" i="1"/>
  <c r="C10259" i="1"/>
  <c r="B10259" i="1"/>
  <c r="G10258" i="1"/>
  <c r="C10258" i="1"/>
  <c r="B10258" i="1"/>
  <c r="G10257" i="1"/>
  <c r="B10257" i="1"/>
  <c r="G10256" i="1"/>
  <c r="C10256" i="1"/>
  <c r="B10256" i="1"/>
  <c r="G10255" i="1"/>
  <c r="C10255" i="1"/>
  <c r="B10255" i="1"/>
  <c r="G10254" i="1"/>
  <c r="B10254" i="1"/>
  <c r="G10253" i="1"/>
  <c r="C10253" i="1"/>
  <c r="B10253" i="1"/>
  <c r="G10252" i="1"/>
  <c r="C10252" i="1"/>
  <c r="B10252" i="1"/>
  <c r="G10251" i="1"/>
  <c r="C10251" i="1"/>
  <c r="B10251" i="1"/>
  <c r="G10250" i="1"/>
  <c r="C10250" i="1"/>
  <c r="B10250" i="1"/>
  <c r="G10249" i="1"/>
  <c r="C10249" i="1"/>
  <c r="B10249" i="1"/>
  <c r="G10248" i="1"/>
  <c r="B10248" i="1"/>
  <c r="G10247" i="1"/>
  <c r="C10247" i="1"/>
  <c r="B10247" i="1"/>
  <c r="G10246" i="1"/>
  <c r="C10246" i="1"/>
  <c r="B10246" i="1"/>
  <c r="G10245" i="1"/>
  <c r="C10245" i="1"/>
  <c r="B10245" i="1"/>
  <c r="G10244" i="1"/>
  <c r="B10244" i="1"/>
  <c r="G10243" i="1"/>
  <c r="C10243" i="1"/>
  <c r="B10243" i="1"/>
  <c r="G10242" i="1"/>
  <c r="C10242" i="1"/>
  <c r="B10242" i="1"/>
  <c r="G10241" i="1"/>
  <c r="B10241" i="1"/>
  <c r="G10240" i="1"/>
  <c r="C10240" i="1"/>
  <c r="B10240" i="1"/>
  <c r="G10239" i="1"/>
  <c r="C10239" i="1"/>
  <c r="B10239" i="1"/>
  <c r="G10238" i="1"/>
  <c r="C10238" i="1"/>
  <c r="B10238" i="1"/>
  <c r="G10237" i="1"/>
  <c r="C10237" i="1"/>
  <c r="B10237" i="1"/>
  <c r="G10236" i="1"/>
  <c r="C10236" i="1"/>
  <c r="B10236" i="1"/>
  <c r="G10235" i="1"/>
  <c r="C10235" i="1"/>
  <c r="B10235" i="1"/>
  <c r="G10234" i="1"/>
  <c r="C10234" i="1"/>
  <c r="B10234" i="1"/>
  <c r="G10233" i="1"/>
  <c r="C10233" i="1"/>
  <c r="B10233" i="1"/>
  <c r="G10232" i="1"/>
  <c r="C10232" i="1"/>
  <c r="B10232" i="1"/>
  <c r="G10231" i="1"/>
  <c r="C10231" i="1"/>
  <c r="B10231" i="1"/>
  <c r="G10230" i="1"/>
  <c r="B10230" i="1"/>
  <c r="G10229" i="1"/>
  <c r="C10229" i="1"/>
  <c r="B10229" i="1"/>
  <c r="G10228" i="1"/>
  <c r="C10228" i="1"/>
  <c r="B10228" i="1"/>
  <c r="G10227" i="1"/>
  <c r="C10227" i="1"/>
  <c r="B10227" i="1"/>
  <c r="G10226" i="1"/>
  <c r="C10226" i="1"/>
  <c r="B10226" i="1"/>
  <c r="G10225" i="1"/>
  <c r="C10225" i="1"/>
  <c r="B10225" i="1"/>
  <c r="G10224" i="1"/>
  <c r="B10224" i="1"/>
  <c r="G10223" i="1"/>
  <c r="C10223" i="1"/>
  <c r="B10223" i="1"/>
  <c r="G10222" i="1"/>
  <c r="C10222" i="1"/>
  <c r="B10222" i="1"/>
  <c r="G10221" i="1"/>
  <c r="C10221" i="1"/>
  <c r="B10221" i="1"/>
  <c r="G10220" i="1"/>
  <c r="C10220" i="1"/>
  <c r="B10220" i="1"/>
  <c r="G10219" i="1"/>
  <c r="B10219" i="1"/>
  <c r="G10218" i="1"/>
  <c r="C10218" i="1"/>
  <c r="B10218" i="1"/>
  <c r="G10217" i="1"/>
  <c r="C10217" i="1"/>
  <c r="B10217" i="1"/>
  <c r="G10216" i="1"/>
  <c r="C10216" i="1"/>
  <c r="B10216" i="1"/>
  <c r="G10215" i="1"/>
  <c r="C10215" i="1"/>
  <c r="B10215" i="1"/>
  <c r="G10214" i="1"/>
  <c r="B10214" i="1"/>
  <c r="G10213" i="1"/>
  <c r="C10213" i="1"/>
  <c r="B10213" i="1"/>
  <c r="G10212" i="1"/>
  <c r="B10212" i="1"/>
  <c r="G10211" i="1"/>
  <c r="B10211" i="1"/>
  <c r="G10210" i="1"/>
  <c r="C10210" i="1"/>
  <c r="B10210" i="1"/>
  <c r="G10209" i="1"/>
  <c r="B10209" i="1"/>
  <c r="G10208" i="1"/>
  <c r="B10208" i="1"/>
  <c r="G10207" i="1"/>
  <c r="C10207" i="1"/>
  <c r="B10207" i="1"/>
  <c r="G10206" i="1"/>
  <c r="C10206" i="1"/>
  <c r="B10206" i="1"/>
  <c r="G10205" i="1"/>
  <c r="C10205" i="1"/>
  <c r="B10205" i="1"/>
  <c r="G10204" i="1"/>
  <c r="C10204" i="1"/>
  <c r="B10204" i="1"/>
  <c r="G10203" i="1"/>
  <c r="C10203" i="1"/>
  <c r="B10203" i="1"/>
  <c r="G10202" i="1"/>
  <c r="B10202" i="1"/>
  <c r="G10201" i="1"/>
  <c r="B10201" i="1"/>
  <c r="G10200" i="1"/>
  <c r="B10200" i="1"/>
  <c r="G10199" i="1"/>
  <c r="B10199" i="1"/>
  <c r="G10198" i="1"/>
  <c r="C10198" i="1"/>
  <c r="B10198" i="1"/>
  <c r="G10197" i="1"/>
  <c r="C10197" i="1"/>
  <c r="B10197" i="1"/>
  <c r="G10196" i="1"/>
  <c r="C10196" i="1"/>
  <c r="B10196" i="1"/>
  <c r="G10195" i="1"/>
  <c r="B10195" i="1"/>
  <c r="G10194" i="1"/>
  <c r="C10194" i="1"/>
  <c r="B10194" i="1"/>
  <c r="G10193" i="1"/>
  <c r="C10193" i="1"/>
  <c r="B10193" i="1"/>
  <c r="G10192" i="1"/>
  <c r="B10192" i="1"/>
  <c r="G10191" i="1"/>
  <c r="C10191" i="1"/>
  <c r="B10191" i="1"/>
  <c r="G10190" i="1"/>
  <c r="C10190" i="1"/>
  <c r="B10190" i="1"/>
  <c r="G10189" i="1"/>
  <c r="C10189" i="1"/>
  <c r="B10189" i="1"/>
  <c r="G10188" i="1"/>
  <c r="B10188" i="1"/>
  <c r="G10187" i="1"/>
  <c r="B10187" i="1"/>
  <c r="G10186" i="1"/>
  <c r="C10186" i="1"/>
  <c r="B10186" i="1"/>
  <c r="G10185" i="1"/>
  <c r="B10185" i="1"/>
  <c r="G10184" i="1"/>
  <c r="C10184" i="1"/>
  <c r="B10184" i="1"/>
  <c r="G10183" i="1"/>
  <c r="B10183" i="1"/>
  <c r="G10182" i="1"/>
  <c r="C10182" i="1"/>
  <c r="B10182" i="1"/>
  <c r="G10181" i="1"/>
  <c r="C10181" i="1"/>
  <c r="B10181" i="1"/>
  <c r="G10180" i="1"/>
  <c r="C10180" i="1"/>
  <c r="B10180" i="1"/>
  <c r="G10179" i="1"/>
  <c r="C10179" i="1"/>
  <c r="B10179" i="1"/>
  <c r="G10178" i="1"/>
  <c r="B10178" i="1"/>
  <c r="G10177" i="1"/>
  <c r="B10177" i="1"/>
  <c r="G10176" i="1"/>
  <c r="C10176" i="1"/>
  <c r="B10176" i="1"/>
  <c r="G10175" i="1"/>
  <c r="B10175" i="1"/>
  <c r="G10174" i="1"/>
  <c r="C10174" i="1"/>
  <c r="B10174" i="1"/>
  <c r="G10173" i="1"/>
  <c r="B10173" i="1"/>
  <c r="G10172" i="1"/>
  <c r="C10172" i="1"/>
  <c r="B10172" i="1"/>
  <c r="G10171" i="1"/>
  <c r="C10171" i="1"/>
  <c r="B10171" i="1"/>
  <c r="G10170" i="1"/>
  <c r="C10170" i="1"/>
  <c r="B10170" i="1"/>
  <c r="G10169" i="1"/>
  <c r="C10169" i="1"/>
  <c r="B10169" i="1"/>
  <c r="G10168" i="1"/>
  <c r="B10168" i="1"/>
  <c r="G10167" i="1"/>
  <c r="C10167" i="1"/>
  <c r="B10167" i="1"/>
  <c r="G10166" i="1"/>
  <c r="C10166" i="1"/>
  <c r="B10166" i="1"/>
  <c r="G10165" i="1"/>
  <c r="C10165" i="1"/>
  <c r="B10165" i="1"/>
  <c r="G10164" i="1"/>
  <c r="B10164" i="1"/>
  <c r="G10163" i="1"/>
  <c r="C10163" i="1"/>
  <c r="B10163" i="1"/>
  <c r="G10162" i="1"/>
  <c r="B10162" i="1"/>
  <c r="G10161" i="1"/>
  <c r="C10161" i="1"/>
  <c r="B10161" i="1"/>
  <c r="G10160" i="1"/>
  <c r="C10160" i="1"/>
  <c r="B10160" i="1"/>
  <c r="G10159" i="1"/>
  <c r="C10159" i="1"/>
  <c r="B10159" i="1"/>
  <c r="G10158" i="1"/>
  <c r="C10158" i="1"/>
  <c r="B10158" i="1"/>
  <c r="G10157" i="1"/>
  <c r="C10157" i="1"/>
  <c r="B10157" i="1"/>
  <c r="G10156" i="1"/>
  <c r="C10156" i="1"/>
  <c r="B10156" i="1"/>
  <c r="G10155" i="1"/>
  <c r="C10155" i="1"/>
  <c r="B10155" i="1"/>
  <c r="G10154" i="1"/>
  <c r="C10154" i="1"/>
  <c r="B10154" i="1"/>
  <c r="G10153" i="1"/>
  <c r="C10153" i="1"/>
  <c r="B10153" i="1"/>
  <c r="G10152" i="1"/>
  <c r="C10152" i="1"/>
  <c r="B10152" i="1"/>
  <c r="G10151" i="1"/>
  <c r="C10151" i="1"/>
  <c r="B10151" i="1"/>
  <c r="G10150" i="1"/>
  <c r="B10150" i="1"/>
  <c r="G10149" i="1"/>
  <c r="C10149" i="1"/>
  <c r="B10149" i="1"/>
  <c r="G10148" i="1"/>
  <c r="B10148" i="1"/>
  <c r="G10147" i="1"/>
  <c r="C10147" i="1"/>
  <c r="B10147" i="1"/>
  <c r="G10146" i="1"/>
  <c r="C10146" i="1"/>
  <c r="B10146" i="1"/>
  <c r="G10145" i="1"/>
  <c r="C10145" i="1"/>
  <c r="B10145" i="1"/>
  <c r="G10144" i="1"/>
  <c r="B10144" i="1"/>
  <c r="G10143" i="1"/>
  <c r="C10143" i="1"/>
  <c r="B10143" i="1"/>
  <c r="G10142" i="1"/>
  <c r="C10142" i="1"/>
  <c r="B10142" i="1"/>
  <c r="G10141" i="1"/>
  <c r="C10141" i="1"/>
  <c r="B10141" i="1"/>
  <c r="G10140" i="1"/>
  <c r="B10140" i="1"/>
  <c r="G10139" i="1"/>
  <c r="C10139" i="1"/>
  <c r="B10139" i="1"/>
  <c r="G10138" i="1"/>
  <c r="C10138" i="1"/>
  <c r="B10138" i="1"/>
  <c r="G10137" i="1"/>
  <c r="C10137" i="1"/>
  <c r="B10137" i="1"/>
  <c r="G10136" i="1"/>
  <c r="B10136" i="1"/>
  <c r="G10135" i="1"/>
  <c r="C10135" i="1"/>
  <c r="B10135" i="1"/>
  <c r="G10134" i="1"/>
  <c r="C10134" i="1"/>
  <c r="B10134" i="1"/>
  <c r="G10133" i="1"/>
  <c r="C10133" i="1"/>
  <c r="B10133" i="1"/>
  <c r="G10132" i="1"/>
  <c r="B10132" i="1"/>
  <c r="G10131" i="1"/>
  <c r="B10131" i="1"/>
  <c r="G10130" i="1"/>
  <c r="C10130" i="1"/>
  <c r="B10130" i="1"/>
  <c r="G10129" i="1"/>
  <c r="C10129" i="1"/>
  <c r="B10129" i="1"/>
  <c r="G10128" i="1"/>
  <c r="B10128" i="1"/>
  <c r="G10127" i="1"/>
  <c r="C10127" i="1"/>
  <c r="B10127" i="1"/>
  <c r="G10126" i="1"/>
  <c r="C10126" i="1"/>
  <c r="B10126" i="1"/>
  <c r="G10125" i="1"/>
  <c r="C10125" i="1"/>
  <c r="B10125" i="1"/>
  <c r="G10124" i="1"/>
  <c r="C10124" i="1"/>
  <c r="B10124" i="1"/>
  <c r="G10123" i="1"/>
  <c r="B10123" i="1"/>
  <c r="G10122" i="1"/>
  <c r="B10122" i="1"/>
  <c r="G10121" i="1"/>
  <c r="B10121" i="1"/>
  <c r="G10120" i="1"/>
  <c r="B10120" i="1"/>
  <c r="G10119" i="1"/>
  <c r="C10119" i="1"/>
  <c r="B10119" i="1"/>
  <c r="G10118" i="1"/>
  <c r="C10118" i="1"/>
  <c r="B10118" i="1"/>
  <c r="G10117" i="1"/>
  <c r="C10117" i="1"/>
  <c r="B10117" i="1"/>
  <c r="G10116" i="1"/>
  <c r="B10116" i="1"/>
  <c r="G10115" i="1"/>
  <c r="B10115" i="1"/>
  <c r="G10114" i="1"/>
  <c r="C10114" i="1"/>
  <c r="B10114" i="1"/>
  <c r="G10113" i="1"/>
  <c r="C10113" i="1"/>
  <c r="B10113" i="1"/>
  <c r="G10112" i="1"/>
  <c r="C10112" i="1"/>
  <c r="B10112" i="1"/>
  <c r="G10111" i="1"/>
  <c r="C10111" i="1"/>
  <c r="B10111" i="1"/>
  <c r="G10110" i="1"/>
  <c r="C10110" i="1"/>
  <c r="B10110" i="1"/>
  <c r="G10109" i="1"/>
  <c r="C10109" i="1"/>
  <c r="B10109" i="1"/>
  <c r="G10108" i="1"/>
  <c r="B10108" i="1"/>
  <c r="G10107" i="1"/>
  <c r="C10107" i="1"/>
  <c r="B10107" i="1"/>
  <c r="G10106" i="1"/>
  <c r="C10106" i="1"/>
  <c r="B10106" i="1"/>
  <c r="G10105" i="1"/>
  <c r="C10105" i="1"/>
  <c r="B10105" i="1"/>
  <c r="G10104" i="1"/>
  <c r="C10104" i="1"/>
  <c r="B10104" i="1"/>
  <c r="G10103" i="1"/>
  <c r="C10103" i="1"/>
  <c r="B10103" i="1"/>
  <c r="G10102" i="1"/>
  <c r="B10102" i="1"/>
  <c r="G10101" i="1"/>
  <c r="C10101" i="1"/>
  <c r="B10101" i="1"/>
  <c r="G10100" i="1"/>
  <c r="C10100" i="1"/>
  <c r="B10100" i="1"/>
  <c r="G10099" i="1"/>
  <c r="C10099" i="1"/>
  <c r="B10099" i="1"/>
  <c r="G10098" i="1"/>
  <c r="C10098" i="1"/>
  <c r="B10098" i="1"/>
  <c r="G10097" i="1"/>
  <c r="C10097" i="1"/>
  <c r="B10097" i="1"/>
  <c r="G10096" i="1"/>
  <c r="C10096" i="1"/>
  <c r="B10096" i="1"/>
  <c r="G10095" i="1"/>
  <c r="C10095" i="1"/>
  <c r="B10095" i="1"/>
  <c r="G10094" i="1"/>
  <c r="C10094" i="1"/>
  <c r="B10094" i="1"/>
  <c r="G10093" i="1"/>
  <c r="C10093" i="1"/>
  <c r="B10093" i="1"/>
  <c r="G10092" i="1"/>
  <c r="B10092" i="1"/>
  <c r="G10091" i="1"/>
  <c r="B10091" i="1"/>
  <c r="G10090" i="1"/>
  <c r="C10090" i="1"/>
  <c r="B10090" i="1"/>
  <c r="G10089" i="1"/>
  <c r="C10089" i="1"/>
  <c r="B10089" i="1"/>
  <c r="G10088" i="1"/>
  <c r="C10088" i="1"/>
  <c r="B10088" i="1"/>
  <c r="G10087" i="1"/>
  <c r="C10087" i="1"/>
  <c r="B10087" i="1"/>
  <c r="G10086" i="1"/>
  <c r="B10086" i="1"/>
  <c r="G10085" i="1"/>
  <c r="C10085" i="1"/>
  <c r="B10085" i="1"/>
  <c r="G10084" i="1"/>
  <c r="C10084" i="1"/>
  <c r="B10084" i="1"/>
  <c r="G10083" i="1"/>
  <c r="C10083" i="1"/>
  <c r="B10083" i="1"/>
  <c r="G10082" i="1"/>
  <c r="C10082" i="1"/>
  <c r="B10082" i="1"/>
  <c r="G10081" i="1"/>
  <c r="B10081" i="1"/>
  <c r="G10080" i="1"/>
  <c r="C10080" i="1"/>
  <c r="B10080" i="1"/>
  <c r="G10079" i="1"/>
  <c r="B10079" i="1"/>
  <c r="G10078" i="1"/>
  <c r="C10078" i="1"/>
  <c r="B10078" i="1"/>
  <c r="G10077" i="1"/>
  <c r="C10077" i="1"/>
  <c r="B10077" i="1"/>
  <c r="G10076" i="1"/>
  <c r="C10076" i="1"/>
  <c r="B10076" i="1"/>
  <c r="G10075" i="1"/>
  <c r="C10075" i="1"/>
  <c r="B10075" i="1"/>
  <c r="G10074" i="1"/>
  <c r="C10074" i="1"/>
  <c r="B10074" i="1"/>
  <c r="G10073" i="1"/>
  <c r="C10073" i="1"/>
  <c r="B10073" i="1"/>
  <c r="G10072" i="1"/>
  <c r="C10072" i="1"/>
  <c r="B10072" i="1"/>
  <c r="G10071" i="1"/>
  <c r="B10071" i="1"/>
  <c r="G10070" i="1"/>
  <c r="C10070" i="1"/>
  <c r="B10070" i="1"/>
  <c r="G10069" i="1"/>
  <c r="C10069" i="1"/>
  <c r="B10069" i="1"/>
  <c r="G10068" i="1"/>
  <c r="B10068" i="1"/>
  <c r="G10067" i="1"/>
  <c r="B10067" i="1"/>
  <c r="G10066" i="1"/>
  <c r="C10066" i="1"/>
  <c r="B10066" i="1"/>
  <c r="G10065" i="1"/>
  <c r="C10065" i="1"/>
  <c r="B10065" i="1"/>
  <c r="G10064" i="1"/>
  <c r="C10064" i="1"/>
  <c r="B10064" i="1"/>
  <c r="G10063" i="1"/>
  <c r="B10063" i="1"/>
  <c r="G10062" i="1"/>
  <c r="C10062" i="1"/>
  <c r="B10062" i="1"/>
  <c r="G10061" i="1"/>
  <c r="C10061" i="1"/>
  <c r="B10061" i="1"/>
  <c r="G10060" i="1"/>
  <c r="C10060" i="1"/>
  <c r="B10060" i="1"/>
  <c r="G10059" i="1"/>
  <c r="C10059" i="1"/>
  <c r="B10059" i="1"/>
  <c r="G10058" i="1"/>
  <c r="B10058" i="1"/>
  <c r="G10057" i="1"/>
  <c r="C10057" i="1"/>
  <c r="B10057" i="1"/>
  <c r="G10056" i="1"/>
  <c r="C10056" i="1"/>
  <c r="B10056" i="1"/>
  <c r="G10055" i="1"/>
  <c r="C10055" i="1"/>
  <c r="B10055" i="1"/>
  <c r="G10054" i="1"/>
  <c r="C10054" i="1"/>
  <c r="B10054" i="1"/>
  <c r="G10053" i="1"/>
  <c r="B10053" i="1"/>
  <c r="G10052" i="1"/>
  <c r="C10052" i="1"/>
  <c r="B10052" i="1"/>
  <c r="G10051" i="1"/>
  <c r="B10051" i="1"/>
  <c r="G10050" i="1"/>
  <c r="B10050" i="1"/>
  <c r="G10049" i="1"/>
  <c r="B10049" i="1"/>
  <c r="G10048" i="1"/>
  <c r="B10048" i="1"/>
  <c r="G10047" i="1"/>
  <c r="C10047" i="1"/>
  <c r="B10047" i="1"/>
  <c r="G10046" i="1"/>
  <c r="C10046" i="1"/>
  <c r="B10046" i="1"/>
  <c r="G10045" i="1"/>
  <c r="C10045" i="1"/>
  <c r="B10045" i="1"/>
  <c r="G10044" i="1"/>
  <c r="B10044" i="1"/>
  <c r="G10043" i="1"/>
  <c r="C10043" i="1"/>
  <c r="B10043" i="1"/>
  <c r="G10042" i="1"/>
  <c r="C10042" i="1"/>
  <c r="B10042" i="1"/>
  <c r="G10041" i="1"/>
  <c r="C10041" i="1"/>
  <c r="B10041" i="1"/>
  <c r="G10040" i="1"/>
  <c r="C10040" i="1"/>
  <c r="B10040" i="1"/>
  <c r="G10039" i="1"/>
  <c r="C10039" i="1"/>
  <c r="B10039" i="1"/>
  <c r="G10038" i="1"/>
  <c r="B10038" i="1"/>
  <c r="G10037" i="1"/>
  <c r="B10037" i="1"/>
  <c r="G10036" i="1"/>
  <c r="C10036" i="1"/>
  <c r="B10036" i="1"/>
  <c r="G10035" i="1"/>
  <c r="B10035" i="1"/>
  <c r="G10034" i="1"/>
  <c r="C10034" i="1"/>
  <c r="B10034" i="1"/>
  <c r="G10033" i="1"/>
  <c r="C10033" i="1"/>
  <c r="B10033" i="1"/>
  <c r="G10032" i="1"/>
  <c r="C10032" i="1"/>
  <c r="B10032" i="1"/>
  <c r="G10031" i="1"/>
  <c r="C10031" i="1"/>
  <c r="B10031" i="1"/>
  <c r="G10030" i="1"/>
  <c r="C10030" i="1"/>
  <c r="B10030" i="1"/>
  <c r="G10029" i="1"/>
  <c r="C10029" i="1"/>
  <c r="B10029" i="1"/>
  <c r="G10028" i="1"/>
  <c r="B10028" i="1"/>
  <c r="G10027" i="1"/>
  <c r="C10027" i="1"/>
  <c r="B10027" i="1"/>
  <c r="G10026" i="1"/>
  <c r="C10026" i="1"/>
  <c r="B10026" i="1"/>
  <c r="G10025" i="1"/>
  <c r="C10025" i="1"/>
  <c r="B10025" i="1"/>
  <c r="G10024" i="1"/>
  <c r="B10024" i="1"/>
  <c r="G10023" i="1"/>
  <c r="B10023" i="1"/>
  <c r="G10022" i="1"/>
  <c r="B10022" i="1"/>
  <c r="G10021" i="1"/>
  <c r="C10021" i="1"/>
  <c r="B10021" i="1"/>
  <c r="G10020" i="1"/>
  <c r="B10020" i="1"/>
  <c r="G10019" i="1"/>
  <c r="C10019" i="1"/>
  <c r="B10019" i="1"/>
  <c r="G10018" i="1"/>
  <c r="B10018" i="1"/>
  <c r="G10017" i="1"/>
  <c r="B10017" i="1"/>
  <c r="G10016" i="1"/>
  <c r="C10016" i="1"/>
  <c r="B10016" i="1"/>
  <c r="G10015" i="1"/>
  <c r="B10015" i="1"/>
  <c r="G10014" i="1"/>
  <c r="C10014" i="1"/>
  <c r="B10014" i="1"/>
  <c r="G10013" i="1"/>
  <c r="B10013" i="1"/>
  <c r="G10012" i="1"/>
  <c r="C10012" i="1"/>
  <c r="B10012" i="1"/>
  <c r="G10011" i="1"/>
  <c r="B10011" i="1"/>
  <c r="G10010" i="1"/>
  <c r="C10010" i="1"/>
  <c r="B10010" i="1"/>
  <c r="G10009" i="1"/>
  <c r="B10009" i="1"/>
  <c r="G10008" i="1"/>
  <c r="C10008" i="1"/>
  <c r="B10008" i="1"/>
  <c r="G10007" i="1"/>
  <c r="C10007" i="1"/>
  <c r="B10007" i="1"/>
  <c r="G10006" i="1"/>
  <c r="C10006" i="1"/>
  <c r="B10006" i="1"/>
  <c r="G10005" i="1"/>
  <c r="B10005" i="1"/>
  <c r="G10004" i="1"/>
  <c r="C10004" i="1"/>
  <c r="B10004" i="1"/>
  <c r="G10003" i="1"/>
  <c r="C10003" i="1"/>
  <c r="B10003" i="1"/>
  <c r="G10002" i="1"/>
  <c r="C10002" i="1"/>
  <c r="B10002" i="1"/>
  <c r="G10001" i="1"/>
  <c r="B10001" i="1"/>
  <c r="G10000" i="1"/>
  <c r="B10000" i="1"/>
  <c r="G9999" i="1"/>
  <c r="C9999" i="1"/>
  <c r="B9999" i="1"/>
  <c r="G9998" i="1"/>
  <c r="C9998" i="1"/>
  <c r="B9998" i="1"/>
  <c r="G9997" i="1"/>
  <c r="B9997" i="1"/>
  <c r="G9996" i="1"/>
  <c r="B9996" i="1"/>
  <c r="G9995" i="1"/>
  <c r="B9995" i="1"/>
  <c r="G9994" i="1"/>
  <c r="C9994" i="1"/>
  <c r="B9994" i="1"/>
  <c r="G9993" i="1"/>
  <c r="B9993" i="1"/>
  <c r="G9992" i="1"/>
  <c r="C9992" i="1"/>
  <c r="B9992" i="1"/>
  <c r="G9991" i="1"/>
  <c r="C9991" i="1"/>
  <c r="B9991" i="1"/>
  <c r="G9990" i="1"/>
  <c r="C9990" i="1"/>
  <c r="B9990" i="1"/>
  <c r="G9989" i="1"/>
  <c r="C9989" i="1"/>
  <c r="B9989" i="1"/>
  <c r="G9988" i="1"/>
  <c r="B9988" i="1"/>
  <c r="G9987" i="1"/>
  <c r="C9987" i="1"/>
  <c r="B9987" i="1"/>
  <c r="G9986" i="1"/>
  <c r="C9986" i="1"/>
  <c r="B9986" i="1"/>
  <c r="G9985" i="1"/>
  <c r="C9985" i="1"/>
  <c r="B9985" i="1"/>
  <c r="G9984" i="1"/>
  <c r="B9984" i="1"/>
  <c r="G9983" i="1"/>
  <c r="C9983" i="1"/>
  <c r="B9983" i="1"/>
  <c r="G9982" i="1"/>
  <c r="B9982" i="1"/>
  <c r="G9981" i="1"/>
  <c r="B9981" i="1"/>
  <c r="G9980" i="1"/>
  <c r="C9980" i="1"/>
  <c r="B9980" i="1"/>
  <c r="G9979" i="1"/>
  <c r="C9979" i="1"/>
  <c r="B9979" i="1"/>
  <c r="G9978" i="1"/>
  <c r="B9978" i="1"/>
  <c r="G9977" i="1"/>
  <c r="C9977" i="1"/>
  <c r="B9977" i="1"/>
  <c r="G9976" i="1"/>
  <c r="C9976" i="1"/>
  <c r="B9976" i="1"/>
  <c r="G9975" i="1"/>
  <c r="B9975" i="1"/>
  <c r="G9974" i="1"/>
  <c r="C9974" i="1"/>
  <c r="B9974" i="1"/>
  <c r="G9973" i="1"/>
  <c r="C9973" i="1"/>
  <c r="B9973" i="1"/>
  <c r="G9972" i="1"/>
  <c r="C9972" i="1"/>
  <c r="B9972" i="1"/>
  <c r="G9971" i="1"/>
  <c r="C9971" i="1"/>
  <c r="B9971" i="1"/>
  <c r="G9970" i="1"/>
  <c r="C9970" i="1"/>
  <c r="B9970" i="1"/>
  <c r="G9969" i="1"/>
  <c r="B9969" i="1"/>
  <c r="G9968" i="1"/>
  <c r="C9968" i="1"/>
  <c r="B9968" i="1"/>
  <c r="G9967" i="1"/>
  <c r="B9967" i="1"/>
  <c r="G9966" i="1"/>
  <c r="C9966" i="1"/>
  <c r="B9966" i="1"/>
  <c r="G9965" i="1"/>
  <c r="C9965" i="1"/>
  <c r="B9965" i="1"/>
  <c r="G9964" i="1"/>
  <c r="B9964" i="1"/>
  <c r="G9963" i="1"/>
  <c r="C9963" i="1"/>
  <c r="B9963" i="1"/>
  <c r="G9962" i="1"/>
  <c r="C9962" i="1"/>
  <c r="B9962" i="1"/>
  <c r="G9961" i="1"/>
  <c r="C9961" i="1"/>
  <c r="B9961" i="1"/>
  <c r="G9960" i="1"/>
  <c r="C9960" i="1"/>
  <c r="B9960" i="1"/>
  <c r="G9959" i="1"/>
  <c r="C9959" i="1"/>
  <c r="B9959" i="1"/>
  <c r="G9958" i="1"/>
  <c r="C9958" i="1"/>
  <c r="B9958" i="1"/>
  <c r="G9957" i="1"/>
  <c r="C9957" i="1"/>
  <c r="B9957" i="1"/>
  <c r="G9956" i="1"/>
  <c r="B9956" i="1"/>
  <c r="G9955" i="1"/>
  <c r="B9955" i="1"/>
  <c r="G9954" i="1"/>
  <c r="C9954" i="1"/>
  <c r="B9954" i="1"/>
  <c r="G9953" i="1"/>
  <c r="B9953" i="1"/>
  <c r="G9952" i="1"/>
  <c r="C9952" i="1"/>
  <c r="B9952" i="1"/>
  <c r="G9951" i="1"/>
  <c r="B9951" i="1"/>
  <c r="G9950" i="1"/>
  <c r="B9950" i="1"/>
  <c r="G9949" i="1"/>
  <c r="C9949" i="1"/>
  <c r="B9949" i="1"/>
  <c r="G9948" i="1"/>
  <c r="B9948" i="1"/>
  <c r="G9947" i="1"/>
  <c r="B9947" i="1"/>
  <c r="G9946" i="1"/>
  <c r="C9946" i="1"/>
  <c r="B9946" i="1"/>
  <c r="G9945" i="1"/>
  <c r="B9945" i="1"/>
  <c r="G9944" i="1"/>
  <c r="C9944" i="1"/>
  <c r="B9944" i="1"/>
  <c r="G9943" i="1"/>
  <c r="C9943" i="1"/>
  <c r="B9943" i="1"/>
  <c r="G9942" i="1"/>
  <c r="B9942" i="1"/>
  <c r="G9941" i="1"/>
  <c r="C9941" i="1"/>
  <c r="B9941" i="1"/>
  <c r="G9940" i="1"/>
  <c r="C9940" i="1"/>
  <c r="B9940" i="1"/>
  <c r="G9939" i="1"/>
  <c r="C9939" i="1"/>
  <c r="B9939" i="1"/>
  <c r="G9938" i="1"/>
  <c r="C9938" i="1"/>
  <c r="B9938" i="1"/>
  <c r="G9937" i="1"/>
  <c r="C9937" i="1"/>
  <c r="B9937" i="1"/>
  <c r="G9936" i="1"/>
  <c r="C9936" i="1"/>
  <c r="B9936" i="1"/>
  <c r="G9935" i="1"/>
  <c r="C9935" i="1"/>
  <c r="B9935" i="1"/>
  <c r="G9934" i="1"/>
  <c r="B9934" i="1"/>
  <c r="G9933" i="1"/>
  <c r="B9933" i="1"/>
  <c r="G9932" i="1"/>
  <c r="C9932" i="1"/>
  <c r="B9932" i="1"/>
  <c r="G9931" i="1"/>
  <c r="C9931" i="1"/>
  <c r="B9931" i="1"/>
  <c r="G9930" i="1"/>
  <c r="C9930" i="1"/>
  <c r="B9930" i="1"/>
  <c r="G9929" i="1"/>
  <c r="B9929" i="1"/>
  <c r="G9928" i="1"/>
  <c r="B9928" i="1"/>
  <c r="G9927" i="1"/>
  <c r="C9927" i="1"/>
  <c r="B9927" i="1"/>
  <c r="G9926" i="1"/>
  <c r="C9926" i="1"/>
  <c r="B9926" i="1"/>
  <c r="G9925" i="1"/>
  <c r="C9925" i="1"/>
  <c r="B9925" i="1"/>
  <c r="G9924" i="1"/>
  <c r="C9924" i="1"/>
  <c r="B9924" i="1"/>
  <c r="G9923" i="1"/>
  <c r="C9923" i="1"/>
  <c r="B9923" i="1"/>
  <c r="G9922" i="1"/>
  <c r="C9922" i="1"/>
  <c r="B9922" i="1"/>
  <c r="G9921" i="1"/>
  <c r="C9921" i="1"/>
  <c r="B9921" i="1"/>
  <c r="G9920" i="1"/>
  <c r="B9920" i="1"/>
  <c r="G9919" i="1"/>
  <c r="C9919" i="1"/>
  <c r="B9919" i="1"/>
  <c r="G9918" i="1"/>
  <c r="C9918" i="1"/>
  <c r="B9918" i="1"/>
  <c r="G9917" i="1"/>
  <c r="C9917" i="1"/>
  <c r="B9917" i="1"/>
  <c r="G9916" i="1"/>
  <c r="C9916" i="1"/>
  <c r="B9916" i="1"/>
  <c r="G9915" i="1"/>
  <c r="C9915" i="1"/>
  <c r="B9915" i="1"/>
  <c r="G9914" i="1"/>
  <c r="C9914" i="1"/>
  <c r="B9914" i="1"/>
  <c r="G9913" i="1"/>
  <c r="C9913" i="1"/>
  <c r="B9913" i="1"/>
  <c r="G9912" i="1"/>
  <c r="B9912" i="1"/>
  <c r="G9911" i="1"/>
  <c r="B9911" i="1"/>
  <c r="G9910" i="1"/>
  <c r="C9910" i="1"/>
  <c r="B9910" i="1"/>
  <c r="G9909" i="1"/>
  <c r="C9909" i="1"/>
  <c r="B9909" i="1"/>
  <c r="G9908" i="1"/>
  <c r="C9908" i="1"/>
  <c r="B9908" i="1"/>
  <c r="G9907" i="1"/>
  <c r="B9907" i="1"/>
  <c r="G9906" i="1"/>
  <c r="C9906" i="1"/>
  <c r="B9906" i="1"/>
  <c r="G9905" i="1"/>
  <c r="B9905" i="1"/>
  <c r="G9904" i="1"/>
  <c r="C9904" i="1"/>
  <c r="B9904" i="1"/>
  <c r="G9903" i="1"/>
  <c r="B9903" i="1"/>
  <c r="G9902" i="1"/>
  <c r="C9902" i="1"/>
  <c r="B9902" i="1"/>
  <c r="G9901" i="1"/>
  <c r="C9901" i="1"/>
  <c r="B9901" i="1"/>
  <c r="G9900" i="1"/>
  <c r="B9900" i="1"/>
  <c r="G9899" i="1"/>
  <c r="C9899" i="1"/>
  <c r="B9899" i="1"/>
  <c r="G9898" i="1"/>
  <c r="C9898" i="1"/>
  <c r="B9898" i="1"/>
  <c r="G9897" i="1"/>
  <c r="C9897" i="1"/>
  <c r="B9897" i="1"/>
  <c r="G9896" i="1"/>
  <c r="C9896" i="1"/>
  <c r="B9896" i="1"/>
  <c r="G9895" i="1"/>
  <c r="C9895" i="1"/>
  <c r="B9895" i="1"/>
  <c r="G9894" i="1"/>
  <c r="C9894" i="1"/>
  <c r="B9894" i="1"/>
  <c r="G9893" i="1"/>
  <c r="C9893" i="1"/>
  <c r="B9893" i="1"/>
  <c r="G9892" i="1"/>
  <c r="C9892" i="1"/>
  <c r="B9892" i="1"/>
  <c r="G9891" i="1"/>
  <c r="C9891" i="1"/>
  <c r="B9891" i="1"/>
  <c r="G9890" i="1"/>
  <c r="C9890" i="1"/>
  <c r="B9890" i="1"/>
  <c r="G9889" i="1"/>
  <c r="C9889" i="1"/>
  <c r="B9889" i="1"/>
  <c r="G9888" i="1"/>
  <c r="C9888" i="1"/>
  <c r="B9888" i="1"/>
  <c r="G9887" i="1"/>
  <c r="C9887" i="1"/>
  <c r="B9887" i="1"/>
  <c r="G9886" i="1"/>
  <c r="C9886" i="1"/>
  <c r="B9886" i="1"/>
  <c r="G9885" i="1"/>
  <c r="B9885" i="1"/>
  <c r="G9884" i="1"/>
  <c r="B9884" i="1"/>
  <c r="G9883" i="1"/>
  <c r="B9883" i="1"/>
  <c r="G9882" i="1"/>
  <c r="C9882" i="1"/>
  <c r="B9882" i="1"/>
  <c r="G9881" i="1"/>
  <c r="B9881" i="1"/>
  <c r="G9880" i="1"/>
  <c r="C9880" i="1"/>
  <c r="B9880" i="1"/>
  <c r="G9879" i="1"/>
  <c r="B9879" i="1"/>
  <c r="G9878" i="1"/>
  <c r="B9878" i="1"/>
  <c r="G9877" i="1"/>
  <c r="B9877" i="1"/>
  <c r="G9876" i="1"/>
  <c r="B9876" i="1"/>
  <c r="G9875" i="1"/>
  <c r="C9875" i="1"/>
  <c r="B9875" i="1"/>
  <c r="G9874" i="1"/>
  <c r="C9874" i="1"/>
  <c r="B9874" i="1"/>
  <c r="G9873" i="1"/>
  <c r="C9873" i="1"/>
  <c r="B9873" i="1"/>
  <c r="G9872" i="1"/>
  <c r="C9872" i="1"/>
  <c r="B9872" i="1"/>
  <c r="G9871" i="1"/>
  <c r="B9871" i="1"/>
  <c r="G9870" i="1"/>
  <c r="C9870" i="1"/>
  <c r="B9870" i="1"/>
  <c r="G9869" i="1"/>
  <c r="C9869" i="1"/>
  <c r="B9869" i="1"/>
  <c r="G9868" i="1"/>
  <c r="B9868" i="1"/>
  <c r="G9867" i="1"/>
  <c r="C9867" i="1"/>
  <c r="B9867" i="1"/>
  <c r="G9866" i="1"/>
  <c r="C9866" i="1"/>
  <c r="B9866" i="1"/>
  <c r="G9865" i="1"/>
  <c r="C9865" i="1"/>
  <c r="B9865" i="1"/>
  <c r="G9864" i="1"/>
  <c r="B9864" i="1"/>
  <c r="G9863" i="1"/>
  <c r="B9863" i="1"/>
  <c r="G9862" i="1"/>
  <c r="C9862" i="1"/>
  <c r="B9862" i="1"/>
  <c r="G9861" i="1"/>
  <c r="C9861" i="1"/>
  <c r="B9861" i="1"/>
  <c r="G9860" i="1"/>
  <c r="B9860" i="1"/>
  <c r="G9859" i="1"/>
  <c r="B9859" i="1"/>
  <c r="G9858" i="1"/>
  <c r="C9858" i="1"/>
  <c r="B9858" i="1"/>
  <c r="G9857" i="1"/>
  <c r="C9857" i="1"/>
  <c r="B9857" i="1"/>
  <c r="G9856" i="1"/>
  <c r="B9856" i="1"/>
  <c r="G9855" i="1"/>
  <c r="C9855" i="1"/>
  <c r="B9855" i="1"/>
  <c r="G9854" i="1"/>
  <c r="C9854" i="1"/>
  <c r="B9854" i="1"/>
  <c r="G9853" i="1"/>
  <c r="C9853" i="1"/>
  <c r="B9853" i="1"/>
  <c r="G9852" i="1"/>
  <c r="C9852" i="1"/>
  <c r="B9852" i="1"/>
  <c r="G9851" i="1"/>
  <c r="B9851" i="1"/>
  <c r="G9850" i="1"/>
  <c r="B9850" i="1"/>
  <c r="G9849" i="1"/>
  <c r="C9849" i="1"/>
  <c r="B9849" i="1"/>
  <c r="G9848" i="1"/>
  <c r="B9848" i="1"/>
  <c r="G9847" i="1"/>
  <c r="C9847" i="1"/>
  <c r="B9847" i="1"/>
  <c r="G9846" i="1"/>
  <c r="C9846" i="1"/>
  <c r="B9846" i="1"/>
  <c r="G9845" i="1"/>
  <c r="B9845" i="1"/>
  <c r="G9844" i="1"/>
  <c r="C9844" i="1"/>
  <c r="B9844" i="1"/>
  <c r="G9843" i="1"/>
  <c r="C9843" i="1"/>
  <c r="B9843" i="1"/>
  <c r="G9842" i="1"/>
  <c r="C9842" i="1"/>
  <c r="B9842" i="1"/>
  <c r="G9841" i="1"/>
  <c r="C9841" i="1"/>
  <c r="B9841" i="1"/>
  <c r="G9840" i="1"/>
  <c r="C9840" i="1"/>
  <c r="B9840" i="1"/>
  <c r="G9839" i="1"/>
  <c r="C9839" i="1"/>
  <c r="B9839" i="1"/>
  <c r="G9838" i="1"/>
  <c r="C9838" i="1"/>
  <c r="B9838" i="1"/>
  <c r="G9837" i="1"/>
  <c r="B9837" i="1"/>
  <c r="G9836" i="1"/>
  <c r="C9836" i="1"/>
  <c r="B9836" i="1"/>
  <c r="G9835" i="1"/>
  <c r="C9835" i="1"/>
  <c r="B9835" i="1"/>
  <c r="G9834" i="1"/>
  <c r="C9834" i="1"/>
  <c r="B9834" i="1"/>
  <c r="G9833" i="1"/>
  <c r="C9833" i="1"/>
  <c r="B9833" i="1"/>
  <c r="G9832" i="1"/>
  <c r="B9832" i="1"/>
  <c r="G9831" i="1"/>
  <c r="C9831" i="1"/>
  <c r="B9831" i="1"/>
  <c r="G9830" i="1"/>
  <c r="C9830" i="1"/>
  <c r="B9830" i="1"/>
  <c r="G9829" i="1"/>
  <c r="B9829" i="1"/>
  <c r="G9828" i="1"/>
  <c r="B9828" i="1"/>
  <c r="G9827" i="1"/>
  <c r="C9827" i="1"/>
  <c r="B9827" i="1"/>
  <c r="G9826" i="1"/>
  <c r="C9826" i="1"/>
  <c r="B9826" i="1"/>
  <c r="G9825" i="1"/>
  <c r="C9825" i="1"/>
  <c r="B9825" i="1"/>
  <c r="G9824" i="1"/>
  <c r="C9824" i="1"/>
  <c r="B9824" i="1"/>
  <c r="G9823" i="1"/>
  <c r="C9823" i="1"/>
  <c r="B9823" i="1"/>
  <c r="G9822" i="1"/>
  <c r="C9822" i="1"/>
  <c r="B9822" i="1"/>
  <c r="G9821" i="1"/>
  <c r="C9821" i="1"/>
  <c r="B9821" i="1"/>
  <c r="G9820" i="1"/>
  <c r="C9820" i="1"/>
  <c r="B9820" i="1"/>
  <c r="G9819" i="1"/>
  <c r="C9819" i="1"/>
  <c r="B9819" i="1"/>
  <c r="G9818" i="1"/>
  <c r="C9818" i="1"/>
  <c r="B9818" i="1"/>
  <c r="G9817" i="1"/>
  <c r="C9817" i="1"/>
  <c r="B9817" i="1"/>
  <c r="G9816" i="1"/>
  <c r="C9816" i="1"/>
  <c r="B9816" i="1"/>
  <c r="G9815" i="1"/>
  <c r="B9815" i="1"/>
  <c r="G9814" i="1"/>
  <c r="C9814" i="1"/>
  <c r="B9814" i="1"/>
  <c r="G9813" i="1"/>
  <c r="C9813" i="1"/>
  <c r="B9813" i="1"/>
  <c r="G9812" i="1"/>
  <c r="C9812" i="1"/>
  <c r="B9812" i="1"/>
  <c r="G9811" i="1"/>
  <c r="C9811" i="1"/>
  <c r="B9811" i="1"/>
  <c r="G9810" i="1"/>
  <c r="C9810" i="1"/>
  <c r="B9810" i="1"/>
  <c r="G9809" i="1"/>
  <c r="C9809" i="1"/>
  <c r="B9809" i="1"/>
  <c r="G9808" i="1"/>
  <c r="C9808" i="1"/>
  <c r="B9808" i="1"/>
  <c r="G9807" i="1"/>
  <c r="C9807" i="1"/>
  <c r="B9807" i="1"/>
  <c r="G9806" i="1"/>
  <c r="C9806" i="1"/>
  <c r="B9806" i="1"/>
  <c r="G9805" i="1"/>
  <c r="C9805" i="1"/>
  <c r="B9805" i="1"/>
  <c r="G9804" i="1"/>
  <c r="C9804" i="1"/>
  <c r="B9804" i="1"/>
  <c r="G9803" i="1"/>
  <c r="B9803" i="1"/>
  <c r="G9802" i="1"/>
  <c r="B9802" i="1"/>
  <c r="G9801" i="1"/>
  <c r="B9801" i="1"/>
  <c r="G9800" i="1"/>
  <c r="C9800" i="1"/>
  <c r="B9800" i="1"/>
  <c r="G9799" i="1"/>
  <c r="B9799" i="1"/>
  <c r="G9798" i="1"/>
  <c r="C9798" i="1"/>
  <c r="B9798" i="1"/>
  <c r="G9797" i="1"/>
  <c r="C9797" i="1"/>
  <c r="B9797" i="1"/>
  <c r="G9796" i="1"/>
  <c r="B9796" i="1"/>
  <c r="G9795" i="1"/>
  <c r="C9795" i="1"/>
  <c r="B9795" i="1"/>
  <c r="G9794" i="1"/>
  <c r="C9794" i="1"/>
  <c r="B9794" i="1"/>
  <c r="G9793" i="1"/>
  <c r="C9793" i="1"/>
  <c r="B9793" i="1"/>
  <c r="G9792" i="1"/>
  <c r="C9792" i="1"/>
  <c r="B9792" i="1"/>
  <c r="G9791" i="1"/>
  <c r="C9791" i="1"/>
  <c r="B9791" i="1"/>
  <c r="G9790" i="1"/>
  <c r="B9790" i="1"/>
  <c r="G9789" i="1"/>
  <c r="C9789" i="1"/>
  <c r="B9789" i="1"/>
  <c r="G9788" i="1"/>
  <c r="C9788" i="1"/>
  <c r="B9788" i="1"/>
  <c r="G9787" i="1"/>
  <c r="C9787" i="1"/>
  <c r="B9787" i="1"/>
  <c r="G9786" i="1"/>
  <c r="C9786" i="1"/>
  <c r="B9786" i="1"/>
  <c r="G9785" i="1"/>
  <c r="B9785" i="1"/>
  <c r="G9784" i="1"/>
  <c r="B9784" i="1"/>
  <c r="G9783" i="1"/>
  <c r="C9783" i="1"/>
  <c r="B9783" i="1"/>
  <c r="G9782" i="1"/>
  <c r="C9782" i="1"/>
  <c r="B9782" i="1"/>
  <c r="G9781" i="1"/>
  <c r="B9781" i="1"/>
  <c r="G9780" i="1"/>
  <c r="B9780" i="1"/>
  <c r="G9779" i="1"/>
  <c r="B9779" i="1"/>
  <c r="G9778" i="1"/>
  <c r="C9778" i="1"/>
  <c r="B9778" i="1"/>
  <c r="G9777" i="1"/>
  <c r="B9777" i="1"/>
  <c r="G9776" i="1"/>
  <c r="B9776" i="1"/>
  <c r="G9775" i="1"/>
  <c r="C9775" i="1"/>
  <c r="B9775" i="1"/>
  <c r="G9774" i="1"/>
  <c r="C9774" i="1"/>
  <c r="B9774" i="1"/>
  <c r="G9773" i="1"/>
  <c r="C9773" i="1"/>
  <c r="B9773" i="1"/>
  <c r="G9772" i="1"/>
  <c r="C9772" i="1"/>
  <c r="B9772" i="1"/>
  <c r="G9771" i="1"/>
  <c r="B9771" i="1"/>
  <c r="G9770" i="1"/>
  <c r="B9770" i="1"/>
  <c r="G9769" i="1"/>
  <c r="C9769" i="1"/>
  <c r="B9769" i="1"/>
  <c r="G9768" i="1"/>
  <c r="B9768" i="1"/>
  <c r="G9767" i="1"/>
  <c r="C9767" i="1"/>
  <c r="B9767" i="1"/>
  <c r="G9766" i="1"/>
  <c r="B9766" i="1"/>
  <c r="G9765" i="1"/>
  <c r="C9765" i="1"/>
  <c r="B9765" i="1"/>
  <c r="G9764" i="1"/>
  <c r="C9764" i="1"/>
  <c r="B9764" i="1"/>
  <c r="G9763" i="1"/>
  <c r="B9763" i="1"/>
  <c r="G9762" i="1"/>
  <c r="C9762" i="1"/>
  <c r="B9762" i="1"/>
  <c r="G9761" i="1"/>
  <c r="C9761" i="1"/>
  <c r="B9761" i="1"/>
  <c r="G9760" i="1"/>
  <c r="B9760" i="1"/>
  <c r="G9759" i="1"/>
  <c r="B9759" i="1"/>
  <c r="G9758" i="1"/>
  <c r="B9758" i="1"/>
  <c r="G9757" i="1"/>
  <c r="C9757" i="1"/>
  <c r="B9757" i="1"/>
  <c r="G9756" i="1"/>
  <c r="B9756" i="1"/>
  <c r="G9755" i="1"/>
  <c r="C9755" i="1"/>
  <c r="B9755" i="1"/>
  <c r="G9754" i="1"/>
  <c r="C9754" i="1"/>
  <c r="B9754" i="1"/>
  <c r="G9753" i="1"/>
  <c r="C9753" i="1"/>
  <c r="B9753" i="1"/>
  <c r="G9752" i="1"/>
  <c r="C9752" i="1"/>
  <c r="B9752" i="1"/>
  <c r="G9751" i="1"/>
  <c r="C9751" i="1"/>
  <c r="B9751" i="1"/>
  <c r="G9750" i="1"/>
  <c r="B9750" i="1"/>
  <c r="G9749" i="1"/>
  <c r="C9749" i="1"/>
  <c r="B9749" i="1"/>
  <c r="G9748" i="1"/>
  <c r="C9748" i="1"/>
  <c r="B9748" i="1"/>
  <c r="G9747" i="1"/>
  <c r="C9747" i="1"/>
  <c r="B9747" i="1"/>
  <c r="G9746" i="1"/>
  <c r="B9746" i="1"/>
  <c r="G9745" i="1"/>
  <c r="C9745" i="1"/>
  <c r="B9745" i="1"/>
  <c r="G9744" i="1"/>
  <c r="C9744" i="1"/>
  <c r="B9744" i="1"/>
  <c r="G9743" i="1"/>
  <c r="C9743" i="1"/>
  <c r="B9743" i="1"/>
  <c r="G9742" i="1"/>
  <c r="C9742" i="1"/>
  <c r="B9742" i="1"/>
  <c r="G9741" i="1"/>
  <c r="C9741" i="1"/>
  <c r="B9741" i="1"/>
  <c r="G9740" i="1"/>
  <c r="C9740" i="1"/>
  <c r="B9740" i="1"/>
  <c r="G9739" i="1"/>
  <c r="C9739" i="1"/>
  <c r="B9739" i="1"/>
  <c r="G9738" i="1"/>
  <c r="C9738" i="1"/>
  <c r="B9738" i="1"/>
  <c r="G9737" i="1"/>
  <c r="C9737" i="1"/>
  <c r="B9737" i="1"/>
  <c r="G9736" i="1"/>
  <c r="C9736" i="1"/>
  <c r="B9736" i="1"/>
  <c r="G9735" i="1"/>
  <c r="C9735" i="1"/>
  <c r="B9735" i="1"/>
  <c r="G9734" i="1"/>
  <c r="C9734" i="1"/>
  <c r="B9734" i="1"/>
  <c r="G9733" i="1"/>
  <c r="C9733" i="1"/>
  <c r="B9733" i="1"/>
  <c r="G9732" i="1"/>
  <c r="B9732" i="1"/>
  <c r="G9731" i="1"/>
  <c r="C9731" i="1"/>
  <c r="B9731" i="1"/>
  <c r="G9730" i="1"/>
  <c r="C9730" i="1"/>
  <c r="B9730" i="1"/>
  <c r="G9729" i="1"/>
  <c r="C9729" i="1"/>
  <c r="B9729" i="1"/>
  <c r="G9728" i="1"/>
  <c r="C9728" i="1"/>
  <c r="B9728" i="1"/>
  <c r="G9727" i="1"/>
  <c r="B9727" i="1"/>
  <c r="G9726" i="1"/>
  <c r="B9726" i="1"/>
  <c r="G9725" i="1"/>
  <c r="B9725" i="1"/>
  <c r="G9724" i="1"/>
  <c r="C9724" i="1"/>
  <c r="B9724" i="1"/>
  <c r="G9723" i="1"/>
  <c r="B9723" i="1"/>
  <c r="G9722" i="1"/>
  <c r="C9722" i="1"/>
  <c r="B9722" i="1"/>
  <c r="G9721" i="1"/>
  <c r="B9721" i="1"/>
  <c r="G9720" i="1"/>
  <c r="C9720" i="1"/>
  <c r="B9720" i="1"/>
  <c r="G9719" i="1"/>
  <c r="C9719" i="1"/>
  <c r="B9719" i="1"/>
  <c r="G9718" i="1"/>
  <c r="C9718" i="1"/>
  <c r="B9718" i="1"/>
  <c r="G9717" i="1"/>
  <c r="C9717" i="1"/>
  <c r="B9717" i="1"/>
  <c r="G9716" i="1"/>
  <c r="C9716" i="1"/>
  <c r="B9716" i="1"/>
  <c r="G9715" i="1"/>
  <c r="C9715" i="1"/>
  <c r="B9715" i="1"/>
  <c r="G9714" i="1"/>
  <c r="C9714" i="1"/>
  <c r="B9714" i="1"/>
  <c r="G9713" i="1"/>
  <c r="B9713" i="1"/>
  <c r="G9712" i="1"/>
  <c r="C9712" i="1"/>
  <c r="B9712" i="1"/>
  <c r="G9711" i="1"/>
  <c r="C9711" i="1"/>
  <c r="B9711" i="1"/>
  <c r="G9710" i="1"/>
  <c r="C9710" i="1"/>
  <c r="B9710" i="1"/>
  <c r="G9709" i="1"/>
  <c r="B9709" i="1"/>
  <c r="G9708" i="1"/>
  <c r="C9708" i="1"/>
  <c r="B9708" i="1"/>
  <c r="G9707" i="1"/>
  <c r="C9707" i="1"/>
  <c r="B9707" i="1"/>
  <c r="G9706" i="1"/>
  <c r="C9706" i="1"/>
  <c r="B9706" i="1"/>
  <c r="G9705" i="1"/>
  <c r="C9705" i="1"/>
  <c r="B9705" i="1"/>
  <c r="G9704" i="1"/>
  <c r="B9704" i="1"/>
  <c r="G9703" i="1"/>
  <c r="B9703" i="1"/>
  <c r="G9702" i="1"/>
  <c r="B9702" i="1"/>
  <c r="G9701" i="1"/>
  <c r="C9701" i="1"/>
  <c r="B9701" i="1"/>
  <c r="G9700" i="1"/>
  <c r="B9700" i="1"/>
  <c r="G9699" i="1"/>
  <c r="C9699" i="1"/>
  <c r="B9699" i="1"/>
  <c r="G9698" i="1"/>
  <c r="B9698" i="1"/>
  <c r="G9697" i="1"/>
  <c r="C9697" i="1"/>
  <c r="B9697" i="1"/>
  <c r="G9696" i="1"/>
  <c r="C9696" i="1"/>
  <c r="B9696" i="1"/>
  <c r="G9695" i="1"/>
  <c r="B9695" i="1"/>
  <c r="G9694" i="1"/>
  <c r="B9694" i="1"/>
  <c r="G9693" i="1"/>
  <c r="B9693" i="1"/>
  <c r="G9692" i="1"/>
  <c r="B9692" i="1"/>
  <c r="G9691" i="1"/>
  <c r="C9691" i="1"/>
  <c r="B9691" i="1"/>
  <c r="G9690" i="1"/>
  <c r="C9690" i="1"/>
  <c r="B9690" i="1"/>
  <c r="G9689" i="1"/>
  <c r="C9689" i="1"/>
  <c r="B9689" i="1"/>
  <c r="G9688" i="1"/>
  <c r="B9688" i="1"/>
  <c r="G9687" i="1"/>
  <c r="C9687" i="1"/>
  <c r="B9687" i="1"/>
  <c r="G9686" i="1"/>
  <c r="C9686" i="1"/>
  <c r="B9686" i="1"/>
  <c r="G9685" i="1"/>
  <c r="C9685" i="1"/>
  <c r="B9685" i="1"/>
  <c r="G9684" i="1"/>
  <c r="C9684" i="1"/>
  <c r="B9684" i="1"/>
  <c r="G9683" i="1"/>
  <c r="C9683" i="1"/>
  <c r="B9683" i="1"/>
  <c r="G9682" i="1"/>
  <c r="C9682" i="1"/>
  <c r="B9682" i="1"/>
  <c r="G9681" i="1"/>
  <c r="C9681" i="1"/>
  <c r="B9681" i="1"/>
  <c r="G9680" i="1"/>
  <c r="C9680" i="1"/>
  <c r="B9680" i="1"/>
  <c r="G9679" i="1"/>
  <c r="C9679" i="1"/>
  <c r="B9679" i="1"/>
  <c r="G9678" i="1"/>
  <c r="C9678" i="1"/>
  <c r="B9678" i="1"/>
  <c r="G9677" i="1"/>
  <c r="C9677" i="1"/>
  <c r="B9677" i="1"/>
  <c r="G9676" i="1"/>
  <c r="C9676" i="1"/>
  <c r="B9676" i="1"/>
  <c r="G9675" i="1"/>
  <c r="C9675" i="1"/>
  <c r="B9675" i="1"/>
  <c r="G9674" i="1"/>
  <c r="C9674" i="1"/>
  <c r="B9674" i="1"/>
  <c r="G9673" i="1"/>
  <c r="C9673" i="1"/>
  <c r="B9673" i="1"/>
  <c r="G9672" i="1"/>
  <c r="C9672" i="1"/>
  <c r="B9672" i="1"/>
  <c r="G9671" i="1"/>
  <c r="C9671" i="1"/>
  <c r="B9671" i="1"/>
  <c r="G9670" i="1"/>
  <c r="C9670" i="1"/>
  <c r="B9670" i="1"/>
  <c r="G9669" i="1"/>
  <c r="C9669" i="1"/>
  <c r="B9669" i="1"/>
  <c r="G9668" i="1"/>
  <c r="B9668" i="1"/>
  <c r="G9667" i="1"/>
  <c r="C9667" i="1"/>
  <c r="B9667" i="1"/>
  <c r="G9666" i="1"/>
  <c r="C9666" i="1"/>
  <c r="B9666" i="1"/>
  <c r="G9665" i="1"/>
  <c r="B9665" i="1"/>
  <c r="G9664" i="1"/>
  <c r="C9664" i="1"/>
  <c r="B9664" i="1"/>
  <c r="G9663" i="1"/>
  <c r="C9663" i="1"/>
  <c r="B9663" i="1"/>
  <c r="G9662" i="1"/>
  <c r="B9662" i="1"/>
  <c r="G9661" i="1"/>
  <c r="C9661" i="1"/>
  <c r="B9661" i="1"/>
  <c r="G9660" i="1"/>
  <c r="C9660" i="1"/>
  <c r="B9660" i="1"/>
  <c r="G9659" i="1"/>
  <c r="B9659" i="1"/>
  <c r="G9658" i="1"/>
  <c r="C9658" i="1"/>
  <c r="B9658" i="1"/>
  <c r="G9657" i="1"/>
  <c r="C9657" i="1"/>
  <c r="B9657" i="1"/>
  <c r="G9656" i="1"/>
  <c r="C9656" i="1"/>
  <c r="B9656" i="1"/>
  <c r="G9655" i="1"/>
  <c r="B9655" i="1"/>
  <c r="G9654" i="1"/>
  <c r="C9654" i="1"/>
  <c r="B9654" i="1"/>
  <c r="G9653" i="1"/>
  <c r="C9653" i="1"/>
  <c r="B9653" i="1"/>
  <c r="G9652" i="1"/>
  <c r="C9652" i="1"/>
  <c r="B9652" i="1"/>
  <c r="G9651" i="1"/>
  <c r="C9651" i="1"/>
  <c r="B9651" i="1"/>
  <c r="G9650" i="1"/>
  <c r="C9650" i="1"/>
  <c r="B9650" i="1"/>
  <c r="G9649" i="1"/>
  <c r="B9649" i="1"/>
  <c r="G9648" i="1"/>
  <c r="B9648" i="1"/>
  <c r="G9647" i="1"/>
  <c r="C9647" i="1"/>
  <c r="B9647" i="1"/>
  <c r="G9646" i="1"/>
  <c r="C9646" i="1"/>
  <c r="B9646" i="1"/>
  <c r="G9645" i="1"/>
  <c r="C9645" i="1"/>
  <c r="B9645" i="1"/>
  <c r="G9644" i="1"/>
  <c r="C9644" i="1"/>
  <c r="B9644" i="1"/>
  <c r="G9643" i="1"/>
  <c r="B9643" i="1"/>
  <c r="G9642" i="1"/>
  <c r="B9642" i="1"/>
  <c r="G9641" i="1"/>
  <c r="B9641" i="1"/>
  <c r="G9640" i="1"/>
  <c r="B9640" i="1"/>
  <c r="G9639" i="1"/>
  <c r="C9639" i="1"/>
  <c r="B9639" i="1"/>
  <c r="G9638" i="1"/>
  <c r="B9638" i="1"/>
  <c r="G9637" i="1"/>
  <c r="C9637" i="1"/>
  <c r="B9637" i="1"/>
  <c r="G9636" i="1"/>
  <c r="C9636" i="1"/>
  <c r="B9636" i="1"/>
  <c r="G9635" i="1"/>
  <c r="B9635" i="1"/>
  <c r="G9634" i="1"/>
  <c r="C9634" i="1"/>
  <c r="B9634" i="1"/>
  <c r="G9633" i="1"/>
  <c r="B9633" i="1"/>
  <c r="G9632" i="1"/>
  <c r="C9632" i="1"/>
  <c r="B9632" i="1"/>
  <c r="G9631" i="1"/>
  <c r="B9631" i="1"/>
  <c r="G9630" i="1"/>
  <c r="C9630" i="1"/>
  <c r="B9630" i="1"/>
  <c r="G9629" i="1"/>
  <c r="C9629" i="1"/>
  <c r="B9629" i="1"/>
  <c r="G9628" i="1"/>
  <c r="B9628" i="1"/>
  <c r="G9627" i="1"/>
  <c r="C9627" i="1"/>
  <c r="B9627" i="1"/>
  <c r="G9626" i="1"/>
  <c r="C9626" i="1"/>
  <c r="B9626" i="1"/>
  <c r="G9625" i="1"/>
  <c r="B9625" i="1"/>
  <c r="G9624" i="1"/>
  <c r="C9624" i="1"/>
  <c r="B9624" i="1"/>
  <c r="G9623" i="1"/>
  <c r="B9623" i="1"/>
  <c r="G9622" i="1"/>
  <c r="C9622" i="1"/>
  <c r="B9622" i="1"/>
  <c r="G9621" i="1"/>
  <c r="B9621" i="1"/>
  <c r="G9620" i="1"/>
  <c r="C9620" i="1"/>
  <c r="B9620" i="1"/>
  <c r="G9619" i="1"/>
  <c r="C9619" i="1"/>
  <c r="B9619" i="1"/>
  <c r="G9618" i="1"/>
  <c r="C9618" i="1"/>
  <c r="B9618" i="1"/>
  <c r="G9617" i="1"/>
  <c r="C9617" i="1"/>
  <c r="B9617" i="1"/>
  <c r="G9616" i="1"/>
  <c r="C9616" i="1"/>
  <c r="B9616" i="1"/>
  <c r="G9615" i="1"/>
  <c r="C9615" i="1"/>
  <c r="B9615" i="1"/>
  <c r="G9614" i="1"/>
  <c r="C9614" i="1"/>
  <c r="B9614" i="1"/>
  <c r="G9613" i="1"/>
  <c r="C9613" i="1"/>
  <c r="B9613" i="1"/>
  <c r="G9612" i="1"/>
  <c r="B9612" i="1"/>
  <c r="G9611" i="1"/>
  <c r="B9611" i="1"/>
  <c r="G9610" i="1"/>
  <c r="B9610" i="1"/>
  <c r="G9609" i="1"/>
  <c r="B9609" i="1"/>
  <c r="G9608" i="1"/>
  <c r="C9608" i="1"/>
  <c r="B9608" i="1"/>
  <c r="G9607" i="1"/>
  <c r="C9607" i="1"/>
  <c r="B9607" i="1"/>
  <c r="G9606" i="1"/>
  <c r="B9606" i="1"/>
  <c r="G9605" i="1"/>
  <c r="C9605" i="1"/>
  <c r="B9605" i="1"/>
  <c r="G9604" i="1"/>
  <c r="B9604" i="1"/>
  <c r="G9603" i="1"/>
  <c r="B9603" i="1"/>
  <c r="G9602" i="1"/>
  <c r="C9602" i="1"/>
  <c r="B9602" i="1"/>
  <c r="G9601" i="1"/>
  <c r="C9601" i="1"/>
  <c r="B9601" i="1"/>
  <c r="G9600" i="1"/>
  <c r="C9600" i="1"/>
  <c r="B9600" i="1"/>
  <c r="G9599" i="1"/>
  <c r="C9599" i="1"/>
  <c r="B9599" i="1"/>
  <c r="G9598" i="1"/>
  <c r="C9598" i="1"/>
  <c r="B9598" i="1"/>
  <c r="G9597" i="1"/>
  <c r="B9597" i="1"/>
  <c r="G9596" i="1"/>
  <c r="C9596" i="1"/>
  <c r="B9596" i="1"/>
  <c r="G9595" i="1"/>
  <c r="C9595" i="1"/>
  <c r="B9595" i="1"/>
  <c r="G9594" i="1"/>
  <c r="C9594" i="1"/>
  <c r="B9594" i="1"/>
  <c r="G9593" i="1"/>
  <c r="C9593" i="1"/>
  <c r="B9593" i="1"/>
  <c r="G9592" i="1"/>
  <c r="C9592" i="1"/>
  <c r="B9592" i="1"/>
  <c r="G9591" i="1"/>
  <c r="C9591" i="1"/>
  <c r="B9591" i="1"/>
  <c r="G9590" i="1"/>
  <c r="C9590" i="1"/>
  <c r="B9590" i="1"/>
  <c r="G9589" i="1"/>
  <c r="B9589" i="1"/>
  <c r="G9588" i="1"/>
  <c r="B9588" i="1"/>
  <c r="G9587" i="1"/>
  <c r="C9587" i="1"/>
  <c r="B9587" i="1"/>
  <c r="G9586" i="1"/>
  <c r="B9586" i="1"/>
  <c r="G9585" i="1"/>
  <c r="B9585" i="1"/>
  <c r="G9584" i="1"/>
  <c r="B9584" i="1"/>
  <c r="G9583" i="1"/>
  <c r="B9583" i="1"/>
  <c r="G9582" i="1"/>
  <c r="C9582" i="1"/>
  <c r="B9582" i="1"/>
  <c r="G9581" i="1"/>
  <c r="C9581" i="1"/>
  <c r="B9581" i="1"/>
  <c r="G9580" i="1"/>
  <c r="C9580" i="1"/>
  <c r="B9580" i="1"/>
  <c r="G9579" i="1"/>
  <c r="C9579" i="1"/>
  <c r="B9579" i="1"/>
  <c r="G9578" i="1"/>
  <c r="B9578" i="1"/>
  <c r="G9577" i="1"/>
  <c r="C9577" i="1"/>
  <c r="B9577" i="1"/>
  <c r="G9576" i="1"/>
  <c r="C9576" i="1"/>
  <c r="B9576" i="1"/>
  <c r="G9575" i="1"/>
  <c r="B9575" i="1"/>
  <c r="G9574" i="1"/>
  <c r="C9574" i="1"/>
  <c r="B9574" i="1"/>
  <c r="G9573" i="1"/>
  <c r="C9573" i="1"/>
  <c r="B9573" i="1"/>
  <c r="G9572" i="1"/>
  <c r="B9572" i="1"/>
  <c r="G9571" i="1"/>
  <c r="B9571" i="1"/>
  <c r="G9570" i="1"/>
  <c r="C9570" i="1"/>
  <c r="B9570" i="1"/>
  <c r="G9569" i="1"/>
  <c r="C9569" i="1"/>
  <c r="B9569" i="1"/>
  <c r="G9568" i="1"/>
  <c r="C9568" i="1"/>
  <c r="B9568" i="1"/>
  <c r="G9567" i="1"/>
  <c r="B9567" i="1"/>
  <c r="G9566" i="1"/>
  <c r="C9566" i="1"/>
  <c r="B9566" i="1"/>
  <c r="G9565" i="1"/>
  <c r="C9565" i="1"/>
  <c r="B9565" i="1"/>
  <c r="G9564" i="1"/>
  <c r="C9564" i="1"/>
  <c r="B9564" i="1"/>
  <c r="G9563" i="1"/>
  <c r="C9563" i="1"/>
  <c r="B9563" i="1"/>
  <c r="G9562" i="1"/>
  <c r="C9562" i="1"/>
  <c r="B9562" i="1"/>
  <c r="G9561" i="1"/>
  <c r="C9561" i="1"/>
  <c r="B9561" i="1"/>
  <c r="G9560" i="1"/>
  <c r="C9560" i="1"/>
  <c r="B9560" i="1"/>
  <c r="G9559" i="1"/>
  <c r="C9559" i="1"/>
  <c r="B9559" i="1"/>
  <c r="G9558" i="1"/>
  <c r="B9558" i="1"/>
  <c r="G9557" i="1"/>
  <c r="B9557" i="1"/>
  <c r="G9556" i="1"/>
  <c r="B9556" i="1"/>
  <c r="G9555" i="1"/>
  <c r="C9555" i="1"/>
  <c r="B9555" i="1"/>
  <c r="G9554" i="1"/>
  <c r="C9554" i="1"/>
  <c r="B9554" i="1"/>
  <c r="G9553" i="1"/>
  <c r="C9553" i="1"/>
  <c r="B9553" i="1"/>
  <c r="G9552" i="1"/>
  <c r="C9552" i="1"/>
  <c r="B9552" i="1"/>
  <c r="G9551" i="1"/>
  <c r="C9551" i="1"/>
  <c r="B9551" i="1"/>
  <c r="G9550" i="1"/>
  <c r="B9550" i="1"/>
  <c r="G9549" i="1"/>
  <c r="B9549" i="1"/>
  <c r="G9548" i="1"/>
  <c r="C9548" i="1"/>
  <c r="B9548" i="1"/>
  <c r="G9547" i="1"/>
  <c r="B9547" i="1"/>
  <c r="G9546" i="1"/>
  <c r="B9546" i="1"/>
  <c r="G9545" i="1"/>
  <c r="B9545" i="1"/>
  <c r="G9544" i="1"/>
  <c r="C9544" i="1"/>
  <c r="B9544" i="1"/>
  <c r="G9543" i="1"/>
  <c r="B9543" i="1"/>
  <c r="G9542" i="1"/>
  <c r="C9542" i="1"/>
  <c r="B9542" i="1"/>
  <c r="G9541" i="1"/>
  <c r="B9541" i="1"/>
  <c r="G9540" i="1"/>
  <c r="C9540" i="1"/>
  <c r="B9540" i="1"/>
  <c r="G9539" i="1"/>
  <c r="B9539" i="1"/>
  <c r="G9538" i="1"/>
  <c r="C9538" i="1"/>
  <c r="B9538" i="1"/>
  <c r="G9537" i="1"/>
  <c r="C9537" i="1"/>
  <c r="B9537" i="1"/>
  <c r="G9536" i="1"/>
  <c r="C9536" i="1"/>
  <c r="B9536" i="1"/>
  <c r="G9535" i="1"/>
  <c r="C9535" i="1"/>
  <c r="B9535" i="1"/>
  <c r="G9534" i="1"/>
  <c r="C9534" i="1"/>
  <c r="B9534" i="1"/>
  <c r="G9533" i="1"/>
  <c r="C9533" i="1"/>
  <c r="B9533" i="1"/>
  <c r="G9532" i="1"/>
  <c r="C9532" i="1"/>
  <c r="B9532" i="1"/>
  <c r="G9531" i="1"/>
  <c r="B9531" i="1"/>
  <c r="G9530" i="1"/>
  <c r="C9530" i="1"/>
  <c r="B9530" i="1"/>
  <c r="G9529" i="1"/>
  <c r="C9529" i="1"/>
  <c r="B9529" i="1"/>
  <c r="G9528" i="1"/>
  <c r="C9528" i="1"/>
  <c r="B9528" i="1"/>
  <c r="G9527" i="1"/>
  <c r="B9527" i="1"/>
  <c r="G9526" i="1"/>
  <c r="C9526" i="1"/>
  <c r="B9526" i="1"/>
  <c r="G9525" i="1"/>
  <c r="C9525" i="1"/>
  <c r="B9525" i="1"/>
  <c r="G9524" i="1"/>
  <c r="C9524" i="1"/>
  <c r="B9524" i="1"/>
  <c r="G9523" i="1"/>
  <c r="C9523" i="1"/>
  <c r="B9523" i="1"/>
  <c r="G9522" i="1"/>
  <c r="C9522" i="1"/>
  <c r="B9522" i="1"/>
  <c r="G9521" i="1"/>
  <c r="C9521" i="1"/>
  <c r="B9521" i="1"/>
  <c r="G9520" i="1"/>
  <c r="C9520" i="1"/>
  <c r="B9520" i="1"/>
  <c r="G9519" i="1"/>
  <c r="C9519" i="1"/>
  <c r="B9519" i="1"/>
  <c r="G9518" i="1"/>
  <c r="C9518" i="1"/>
  <c r="B9518" i="1"/>
  <c r="G9517" i="1"/>
  <c r="B9517" i="1"/>
  <c r="G9516" i="1"/>
  <c r="C9516" i="1"/>
  <c r="B9516" i="1"/>
  <c r="G9515" i="1"/>
  <c r="B9515" i="1"/>
  <c r="G9514" i="1"/>
  <c r="B9514" i="1"/>
  <c r="G9513" i="1"/>
  <c r="C9513" i="1"/>
  <c r="B9513" i="1"/>
  <c r="G9512" i="1"/>
  <c r="B9512" i="1"/>
  <c r="G9511" i="1"/>
  <c r="C9511" i="1"/>
  <c r="B9511" i="1"/>
  <c r="G9510" i="1"/>
  <c r="C9510" i="1"/>
  <c r="B9510" i="1"/>
  <c r="G9509" i="1"/>
  <c r="C9509" i="1"/>
  <c r="B9509" i="1"/>
  <c r="G9508" i="1"/>
  <c r="B9508" i="1"/>
  <c r="G9507" i="1"/>
  <c r="C9507" i="1"/>
  <c r="B9507" i="1"/>
  <c r="G9506" i="1"/>
  <c r="C9506" i="1"/>
  <c r="B9506" i="1"/>
  <c r="G9505" i="1"/>
  <c r="C9505" i="1"/>
  <c r="B9505" i="1"/>
  <c r="G9504" i="1"/>
  <c r="B9504" i="1"/>
  <c r="G9503" i="1"/>
  <c r="C9503" i="1"/>
  <c r="B9503" i="1"/>
  <c r="G9502" i="1"/>
  <c r="C9502" i="1"/>
  <c r="B9502" i="1"/>
  <c r="G9501" i="1"/>
  <c r="C9501" i="1"/>
  <c r="B9501" i="1"/>
  <c r="G9500" i="1"/>
  <c r="C9500" i="1"/>
  <c r="B9500" i="1"/>
  <c r="G9499" i="1"/>
  <c r="C9499" i="1"/>
  <c r="B9499" i="1"/>
  <c r="G9498" i="1"/>
  <c r="B9498" i="1"/>
  <c r="G9497" i="1"/>
  <c r="B9497" i="1"/>
  <c r="G9496" i="1"/>
  <c r="B9496" i="1"/>
  <c r="G9495" i="1"/>
  <c r="C9495" i="1"/>
  <c r="B9495" i="1"/>
  <c r="G9494" i="1"/>
  <c r="C9494" i="1"/>
  <c r="B9494" i="1"/>
  <c r="G9493" i="1"/>
  <c r="B9493" i="1"/>
  <c r="G9492" i="1"/>
  <c r="C9492" i="1"/>
  <c r="B9492" i="1"/>
  <c r="G9491" i="1"/>
  <c r="C9491" i="1"/>
  <c r="B9491" i="1"/>
  <c r="G9490" i="1"/>
  <c r="B9490" i="1"/>
  <c r="G9489" i="1"/>
  <c r="B9489" i="1"/>
  <c r="G9488" i="1"/>
  <c r="C9488" i="1"/>
  <c r="B9488" i="1"/>
  <c r="G9487" i="1"/>
  <c r="C9487" i="1"/>
  <c r="B9487" i="1"/>
  <c r="G9486" i="1"/>
  <c r="C9486" i="1"/>
  <c r="B9486" i="1"/>
  <c r="G9485" i="1"/>
  <c r="B9485" i="1"/>
  <c r="G9484" i="1"/>
  <c r="B9484" i="1"/>
  <c r="G9483" i="1"/>
  <c r="C9483" i="1"/>
  <c r="B9483" i="1"/>
  <c r="G9482" i="1"/>
  <c r="C9482" i="1"/>
  <c r="B9482" i="1"/>
  <c r="G9481" i="1"/>
  <c r="C9481" i="1"/>
  <c r="B9481" i="1"/>
  <c r="G9480" i="1"/>
  <c r="C9480" i="1"/>
  <c r="B9480" i="1"/>
  <c r="G9479" i="1"/>
  <c r="C9479" i="1"/>
  <c r="B9479" i="1"/>
  <c r="G9478" i="1"/>
  <c r="C9478" i="1"/>
  <c r="B9478" i="1"/>
  <c r="G9477" i="1"/>
  <c r="C9477" i="1"/>
  <c r="B9477" i="1"/>
  <c r="G9476" i="1"/>
  <c r="B9476" i="1"/>
  <c r="G9475" i="1"/>
  <c r="B9475" i="1"/>
  <c r="G9474" i="1"/>
  <c r="B9474" i="1"/>
  <c r="G9473" i="1"/>
  <c r="C9473" i="1"/>
  <c r="B9473" i="1"/>
  <c r="G9472" i="1"/>
  <c r="C9472" i="1"/>
  <c r="B9472" i="1"/>
  <c r="G9471" i="1"/>
  <c r="C9471" i="1"/>
  <c r="B9471" i="1"/>
  <c r="G9470" i="1"/>
  <c r="C9470" i="1"/>
  <c r="B9470" i="1"/>
  <c r="G9469" i="1"/>
  <c r="C9469" i="1"/>
  <c r="B9469" i="1"/>
  <c r="G9468" i="1"/>
  <c r="C9468" i="1"/>
  <c r="B9468" i="1"/>
  <c r="G9467" i="1"/>
  <c r="B9467" i="1"/>
  <c r="G9466" i="1"/>
  <c r="C9466" i="1"/>
  <c r="B9466" i="1"/>
  <c r="G9465" i="1"/>
  <c r="B9465" i="1"/>
  <c r="G9464" i="1"/>
  <c r="B9464" i="1"/>
  <c r="G9463" i="1"/>
  <c r="B9463" i="1"/>
  <c r="G9462" i="1"/>
  <c r="C9462" i="1"/>
  <c r="B9462" i="1"/>
  <c r="G9461" i="1"/>
  <c r="C9461" i="1"/>
  <c r="B9461" i="1"/>
  <c r="G9460" i="1"/>
  <c r="C9460" i="1"/>
  <c r="B9460" i="1"/>
  <c r="G9459" i="1"/>
  <c r="B9459" i="1"/>
  <c r="G9458" i="1"/>
  <c r="B9458" i="1"/>
  <c r="G9457" i="1"/>
  <c r="C9457" i="1"/>
  <c r="B9457" i="1"/>
  <c r="G9456" i="1"/>
  <c r="C9456" i="1"/>
  <c r="B9456" i="1"/>
  <c r="G9455" i="1"/>
  <c r="B9455" i="1"/>
  <c r="G9454" i="1"/>
  <c r="C9454" i="1"/>
  <c r="B9454" i="1"/>
  <c r="G9453" i="1"/>
  <c r="B9453" i="1"/>
  <c r="G9452" i="1"/>
  <c r="C9452" i="1"/>
  <c r="B9452" i="1"/>
  <c r="G9451" i="1"/>
  <c r="B9451" i="1"/>
  <c r="G9450" i="1"/>
  <c r="C9450" i="1"/>
  <c r="B9450" i="1"/>
  <c r="G9449" i="1"/>
  <c r="C9449" i="1"/>
  <c r="B9449" i="1"/>
  <c r="G9448" i="1"/>
  <c r="B9448" i="1"/>
  <c r="G9447" i="1"/>
  <c r="C9447" i="1"/>
  <c r="B9447" i="1"/>
  <c r="G9446" i="1"/>
  <c r="C9446" i="1"/>
  <c r="B9446" i="1"/>
  <c r="G9445" i="1"/>
  <c r="B9445" i="1"/>
  <c r="G9444" i="1"/>
  <c r="B9444" i="1"/>
  <c r="G9443" i="1"/>
  <c r="B9443" i="1"/>
  <c r="G9442" i="1"/>
  <c r="B9442" i="1"/>
  <c r="G9441" i="1"/>
  <c r="C9441" i="1"/>
  <c r="B9441" i="1"/>
  <c r="G9440" i="1"/>
  <c r="C9440" i="1"/>
  <c r="B9440" i="1"/>
  <c r="G9439" i="1"/>
  <c r="C9439" i="1"/>
  <c r="B9439" i="1"/>
  <c r="G9438" i="1"/>
  <c r="C9438" i="1"/>
  <c r="B9438" i="1"/>
  <c r="G9437" i="1"/>
  <c r="B9437" i="1"/>
  <c r="G9436" i="1"/>
  <c r="C9436" i="1"/>
  <c r="B9436" i="1"/>
  <c r="G9435" i="1"/>
  <c r="C9435" i="1"/>
  <c r="B9435" i="1"/>
  <c r="G9434" i="1"/>
  <c r="B9434" i="1"/>
  <c r="G9433" i="1"/>
  <c r="C9433" i="1"/>
  <c r="B9433" i="1"/>
  <c r="G9432" i="1"/>
  <c r="C9432" i="1"/>
  <c r="B9432" i="1"/>
  <c r="G9431" i="1"/>
  <c r="B9431" i="1"/>
  <c r="G9430" i="1"/>
  <c r="C9430" i="1"/>
  <c r="B9430" i="1"/>
  <c r="G9429" i="1"/>
  <c r="C9429" i="1"/>
  <c r="B9429" i="1"/>
  <c r="G9428" i="1"/>
  <c r="C9428" i="1"/>
  <c r="B9428" i="1"/>
  <c r="G9427" i="1"/>
  <c r="B9427" i="1"/>
  <c r="G9426" i="1"/>
  <c r="C9426" i="1"/>
  <c r="B9426" i="1"/>
  <c r="G9425" i="1"/>
  <c r="C9425" i="1"/>
  <c r="B9425" i="1"/>
  <c r="G9424" i="1"/>
  <c r="C9424" i="1"/>
  <c r="B9424" i="1"/>
  <c r="G9423" i="1"/>
  <c r="C9423" i="1"/>
  <c r="B9423" i="1"/>
  <c r="G9422" i="1"/>
  <c r="B9422" i="1"/>
  <c r="G9421" i="1"/>
  <c r="C9421" i="1"/>
  <c r="B9421" i="1"/>
  <c r="G9420" i="1"/>
  <c r="B9420" i="1"/>
  <c r="G9419" i="1"/>
  <c r="C9419" i="1"/>
  <c r="B9419" i="1"/>
  <c r="G9418" i="1"/>
  <c r="B9418" i="1"/>
  <c r="G9417" i="1"/>
  <c r="C9417" i="1"/>
  <c r="B9417" i="1"/>
  <c r="G9416" i="1"/>
  <c r="C9416" i="1"/>
  <c r="B9416" i="1"/>
  <c r="G9415" i="1"/>
  <c r="B9415" i="1"/>
  <c r="G9414" i="1"/>
  <c r="C9414" i="1"/>
  <c r="B9414" i="1"/>
  <c r="G9413" i="1"/>
  <c r="C9413" i="1"/>
  <c r="B9413" i="1"/>
  <c r="G9412" i="1"/>
  <c r="B9412" i="1"/>
  <c r="G9411" i="1"/>
  <c r="C9411" i="1"/>
  <c r="B9411" i="1"/>
  <c r="G9410" i="1"/>
  <c r="C9410" i="1"/>
  <c r="B9410" i="1"/>
  <c r="G9409" i="1"/>
  <c r="C9409" i="1"/>
  <c r="B9409" i="1"/>
  <c r="G9408" i="1"/>
  <c r="B9408" i="1"/>
  <c r="G9407" i="1"/>
  <c r="B9407" i="1"/>
  <c r="G9406" i="1"/>
  <c r="C9406" i="1"/>
  <c r="B9406" i="1"/>
  <c r="G9405" i="1"/>
  <c r="C9405" i="1"/>
  <c r="B9405" i="1"/>
  <c r="G9404" i="1"/>
  <c r="B9404" i="1"/>
  <c r="G9403" i="1"/>
  <c r="C9403" i="1"/>
  <c r="B9403" i="1"/>
  <c r="G9402" i="1"/>
  <c r="B9402" i="1"/>
  <c r="G9401" i="1"/>
  <c r="B9401" i="1"/>
  <c r="G9400" i="1"/>
  <c r="C9400" i="1"/>
  <c r="B9400" i="1"/>
  <c r="G9399" i="1"/>
  <c r="B9399" i="1"/>
  <c r="G9398" i="1"/>
  <c r="C9398" i="1"/>
  <c r="B9398" i="1"/>
  <c r="G9397" i="1"/>
  <c r="C9397" i="1"/>
  <c r="B9397" i="1"/>
  <c r="G9396" i="1"/>
  <c r="C9396" i="1"/>
  <c r="B9396" i="1"/>
  <c r="G9395" i="1"/>
  <c r="C9395" i="1"/>
  <c r="B9395" i="1"/>
  <c r="G9394" i="1"/>
  <c r="C9394" i="1"/>
  <c r="B9394" i="1"/>
  <c r="G9393" i="1"/>
  <c r="C9393" i="1"/>
  <c r="B9393" i="1"/>
  <c r="G9392" i="1"/>
  <c r="B9392" i="1"/>
  <c r="G9391" i="1"/>
  <c r="B9391" i="1"/>
  <c r="G9390" i="1"/>
  <c r="B9390" i="1"/>
  <c r="G9389" i="1"/>
  <c r="C9389" i="1"/>
  <c r="B9389" i="1"/>
  <c r="G9388" i="1"/>
  <c r="C9388" i="1"/>
  <c r="B9388" i="1"/>
  <c r="G9387" i="1"/>
  <c r="C9387" i="1"/>
  <c r="B9387" i="1"/>
  <c r="G9386" i="1"/>
  <c r="C9386" i="1"/>
  <c r="B9386" i="1"/>
  <c r="G9385" i="1"/>
  <c r="B9385" i="1"/>
  <c r="G9384" i="1"/>
  <c r="C9384" i="1"/>
  <c r="B9384" i="1"/>
  <c r="G9383" i="1"/>
  <c r="C9383" i="1"/>
  <c r="B9383" i="1"/>
  <c r="G9382" i="1"/>
  <c r="C9382" i="1"/>
  <c r="B9382" i="1"/>
  <c r="G9381" i="1"/>
  <c r="C9381" i="1"/>
  <c r="B9381" i="1"/>
  <c r="G9380" i="1"/>
  <c r="C9380" i="1"/>
  <c r="B9380" i="1"/>
  <c r="G9379" i="1"/>
  <c r="C9379" i="1"/>
  <c r="B9379" i="1"/>
  <c r="G9378" i="1"/>
  <c r="B9378" i="1"/>
  <c r="G9377" i="1"/>
  <c r="C9377" i="1"/>
  <c r="B9377" i="1"/>
  <c r="G9376" i="1"/>
  <c r="C9376" i="1"/>
  <c r="B9376" i="1"/>
  <c r="G9375" i="1"/>
  <c r="C9375" i="1"/>
  <c r="B9375" i="1"/>
  <c r="G9374" i="1"/>
  <c r="B9374" i="1"/>
  <c r="G9373" i="1"/>
  <c r="C9373" i="1"/>
  <c r="B9373" i="1"/>
  <c r="G9372" i="1"/>
  <c r="C9372" i="1"/>
  <c r="B9372" i="1"/>
  <c r="G9371" i="1"/>
  <c r="C9371" i="1"/>
  <c r="B9371" i="1"/>
  <c r="G9370" i="1"/>
  <c r="C9370" i="1"/>
  <c r="B9370" i="1"/>
  <c r="G9369" i="1"/>
  <c r="B9369" i="1"/>
  <c r="G9368" i="1"/>
  <c r="C9368" i="1"/>
  <c r="B9368" i="1"/>
  <c r="G9367" i="1"/>
  <c r="B9367" i="1"/>
  <c r="G9366" i="1"/>
  <c r="B9366" i="1"/>
  <c r="G9365" i="1"/>
  <c r="B9365" i="1"/>
  <c r="G9364" i="1"/>
  <c r="C9364" i="1"/>
  <c r="B9364" i="1"/>
  <c r="G9363" i="1"/>
  <c r="C9363" i="1"/>
  <c r="B9363" i="1"/>
  <c r="G9362" i="1"/>
  <c r="C9362" i="1"/>
  <c r="B9362" i="1"/>
  <c r="G9361" i="1"/>
  <c r="B9361" i="1"/>
  <c r="G9360" i="1"/>
  <c r="C9360" i="1"/>
  <c r="B9360" i="1"/>
  <c r="G9359" i="1"/>
  <c r="C9359" i="1"/>
  <c r="B9359" i="1"/>
  <c r="G9358" i="1"/>
  <c r="C9358" i="1"/>
  <c r="B9358" i="1"/>
  <c r="G9357" i="1"/>
  <c r="C9357" i="1"/>
  <c r="B9357" i="1"/>
  <c r="G9356" i="1"/>
  <c r="C9356" i="1"/>
  <c r="B9356" i="1"/>
  <c r="G9355" i="1"/>
  <c r="C9355" i="1"/>
  <c r="B9355" i="1"/>
  <c r="G9354" i="1"/>
  <c r="C9354" i="1"/>
  <c r="B9354" i="1"/>
  <c r="G9353" i="1"/>
  <c r="B9353" i="1"/>
  <c r="G9352" i="1"/>
  <c r="C9352" i="1"/>
  <c r="B9352" i="1"/>
  <c r="G9351" i="1"/>
  <c r="B9351" i="1"/>
  <c r="G9350" i="1"/>
  <c r="C9350" i="1"/>
  <c r="B9350" i="1"/>
  <c r="G9349" i="1"/>
  <c r="C9349" i="1"/>
  <c r="B9349" i="1"/>
  <c r="G9348" i="1"/>
  <c r="C9348" i="1"/>
  <c r="B9348" i="1"/>
  <c r="G9347" i="1"/>
  <c r="C9347" i="1"/>
  <c r="B9347" i="1"/>
  <c r="G9346" i="1"/>
  <c r="B9346" i="1"/>
  <c r="G9345" i="1"/>
  <c r="B9345" i="1"/>
  <c r="G9344" i="1"/>
  <c r="C9344" i="1"/>
  <c r="B9344" i="1"/>
  <c r="G9343" i="1"/>
  <c r="C9343" i="1"/>
  <c r="B9343" i="1"/>
  <c r="G9342" i="1"/>
  <c r="C9342" i="1"/>
  <c r="B9342" i="1"/>
  <c r="G9341" i="1"/>
  <c r="C9341" i="1"/>
  <c r="B9341" i="1"/>
  <c r="G9340" i="1"/>
  <c r="C9340" i="1"/>
  <c r="B9340" i="1"/>
  <c r="G9339" i="1"/>
  <c r="C9339" i="1"/>
  <c r="B9339" i="1"/>
  <c r="G9338" i="1"/>
  <c r="C9338" i="1"/>
  <c r="B9338" i="1"/>
  <c r="G9337" i="1"/>
  <c r="C9337" i="1"/>
  <c r="B9337" i="1"/>
  <c r="G9336" i="1"/>
  <c r="C9336" i="1"/>
  <c r="B9336" i="1"/>
  <c r="G9335" i="1"/>
  <c r="C9335" i="1"/>
  <c r="B9335" i="1"/>
  <c r="G9334" i="1"/>
  <c r="C9334" i="1"/>
  <c r="B9334" i="1"/>
  <c r="G9333" i="1"/>
  <c r="C9333" i="1"/>
  <c r="B9333" i="1"/>
  <c r="G9332" i="1"/>
  <c r="C9332" i="1"/>
  <c r="B9332" i="1"/>
  <c r="G9331" i="1"/>
  <c r="C9331" i="1"/>
  <c r="B9331" i="1"/>
  <c r="G9330" i="1"/>
  <c r="B9330" i="1"/>
  <c r="G9329" i="1"/>
  <c r="C9329" i="1"/>
  <c r="B9329" i="1"/>
  <c r="G9328" i="1"/>
  <c r="C9328" i="1"/>
  <c r="B9328" i="1"/>
  <c r="G9327" i="1"/>
  <c r="C9327" i="1"/>
  <c r="B9327" i="1"/>
  <c r="G9326" i="1"/>
  <c r="C9326" i="1"/>
  <c r="B9326" i="1"/>
  <c r="G9325" i="1"/>
  <c r="B9325" i="1"/>
  <c r="G9324" i="1"/>
  <c r="C9324" i="1"/>
  <c r="B9324" i="1"/>
  <c r="G9323" i="1"/>
  <c r="C9323" i="1"/>
  <c r="B9323" i="1"/>
  <c r="G9322" i="1"/>
  <c r="C9322" i="1"/>
  <c r="B9322" i="1"/>
  <c r="G9321" i="1"/>
  <c r="C9321" i="1"/>
  <c r="B9321" i="1"/>
  <c r="G9320" i="1"/>
  <c r="C9320" i="1"/>
  <c r="B9320" i="1"/>
  <c r="G9319" i="1"/>
  <c r="C9319" i="1"/>
  <c r="B9319" i="1"/>
  <c r="G9318" i="1"/>
  <c r="C9318" i="1"/>
  <c r="B9318" i="1"/>
  <c r="G9317" i="1"/>
  <c r="C9317" i="1"/>
  <c r="B9317" i="1"/>
  <c r="G9316" i="1"/>
  <c r="C9316" i="1"/>
  <c r="B9316" i="1"/>
  <c r="G9315" i="1"/>
  <c r="C9315" i="1"/>
  <c r="B9315" i="1"/>
  <c r="G9314" i="1"/>
  <c r="C9314" i="1"/>
  <c r="B9314" i="1"/>
  <c r="G9313" i="1"/>
  <c r="C9313" i="1"/>
  <c r="B9313" i="1"/>
  <c r="G9312" i="1"/>
  <c r="C9312" i="1"/>
  <c r="B9312" i="1"/>
  <c r="G9311" i="1"/>
  <c r="B9311" i="1"/>
  <c r="G9310" i="1"/>
  <c r="C9310" i="1"/>
  <c r="B9310" i="1"/>
  <c r="G9309" i="1"/>
  <c r="C9309" i="1"/>
  <c r="B9309" i="1"/>
  <c r="G9308" i="1"/>
  <c r="C9308" i="1"/>
  <c r="B9308" i="1"/>
  <c r="G9307" i="1"/>
  <c r="C9307" i="1"/>
  <c r="B9307" i="1"/>
  <c r="G9306" i="1"/>
  <c r="C9306" i="1"/>
  <c r="B9306" i="1"/>
  <c r="G9305" i="1"/>
  <c r="C9305" i="1"/>
  <c r="B9305" i="1"/>
  <c r="G9304" i="1"/>
  <c r="C9304" i="1"/>
  <c r="B9304" i="1"/>
  <c r="G9303" i="1"/>
  <c r="C9303" i="1"/>
  <c r="B9303" i="1"/>
  <c r="G9302" i="1"/>
  <c r="B9302" i="1"/>
  <c r="G9301" i="1"/>
  <c r="C9301" i="1"/>
  <c r="B9301" i="1"/>
  <c r="G9300" i="1"/>
  <c r="C9300" i="1"/>
  <c r="B9300" i="1"/>
  <c r="G9299" i="1"/>
  <c r="B9299" i="1"/>
  <c r="G9298" i="1"/>
  <c r="C9298" i="1"/>
  <c r="B9298" i="1"/>
  <c r="G9297" i="1"/>
  <c r="B9297" i="1"/>
  <c r="G9296" i="1"/>
  <c r="B9296" i="1"/>
  <c r="G9295" i="1"/>
  <c r="C9295" i="1"/>
  <c r="B9295" i="1"/>
  <c r="G9294" i="1"/>
  <c r="C9294" i="1"/>
  <c r="B9294" i="1"/>
  <c r="G9293" i="1"/>
  <c r="C9293" i="1"/>
  <c r="B9293" i="1"/>
  <c r="G9292" i="1"/>
  <c r="B9292" i="1"/>
  <c r="G9291" i="1"/>
  <c r="C9291" i="1"/>
  <c r="B9291" i="1"/>
  <c r="G9290" i="1"/>
  <c r="B9290" i="1"/>
  <c r="G9289" i="1"/>
  <c r="C9289" i="1"/>
  <c r="B9289" i="1"/>
  <c r="G9288" i="1"/>
  <c r="C9288" i="1"/>
  <c r="B9288" i="1"/>
  <c r="G9287" i="1"/>
  <c r="C9287" i="1"/>
  <c r="B9287" i="1"/>
  <c r="G9286" i="1"/>
  <c r="C9286" i="1"/>
  <c r="B9286" i="1"/>
  <c r="G9285" i="1"/>
  <c r="C9285" i="1"/>
  <c r="B9285" i="1"/>
  <c r="G9284" i="1"/>
  <c r="C9284" i="1"/>
  <c r="B9284" i="1"/>
  <c r="G9283" i="1"/>
  <c r="B9283" i="1"/>
  <c r="G9282" i="1"/>
  <c r="B9282" i="1"/>
  <c r="G9281" i="1"/>
  <c r="C9281" i="1"/>
  <c r="B9281" i="1"/>
  <c r="G9280" i="1"/>
  <c r="C9280" i="1"/>
  <c r="B9280" i="1"/>
  <c r="G9279" i="1"/>
  <c r="C9279" i="1"/>
  <c r="B9279" i="1"/>
  <c r="G9278" i="1"/>
  <c r="C9278" i="1"/>
  <c r="B9278" i="1"/>
  <c r="G9277" i="1"/>
  <c r="C9277" i="1"/>
  <c r="B9277" i="1"/>
  <c r="G9276" i="1"/>
  <c r="C9276" i="1"/>
  <c r="B9276" i="1"/>
  <c r="G9275" i="1"/>
  <c r="B9275" i="1"/>
  <c r="G9274" i="1"/>
  <c r="C9274" i="1"/>
  <c r="B9274" i="1"/>
  <c r="G9273" i="1"/>
  <c r="C9273" i="1"/>
  <c r="B9273" i="1"/>
  <c r="G9272" i="1"/>
  <c r="C9272" i="1"/>
  <c r="B9272" i="1"/>
  <c r="G9271" i="1"/>
  <c r="B9271" i="1"/>
  <c r="G9270" i="1"/>
  <c r="B9270" i="1"/>
  <c r="G9269" i="1"/>
  <c r="B9269" i="1"/>
  <c r="G9268" i="1"/>
  <c r="C9268" i="1"/>
  <c r="B9268" i="1"/>
  <c r="G9267" i="1"/>
  <c r="C9267" i="1"/>
  <c r="B9267" i="1"/>
  <c r="G9266" i="1"/>
  <c r="B9266" i="1"/>
  <c r="G9265" i="1"/>
  <c r="C9265" i="1"/>
  <c r="B9265" i="1"/>
  <c r="G9264" i="1"/>
  <c r="C9264" i="1"/>
  <c r="B9264" i="1"/>
  <c r="G9263" i="1"/>
  <c r="C9263" i="1"/>
  <c r="B9263" i="1"/>
  <c r="G9262" i="1"/>
  <c r="C9262" i="1"/>
  <c r="B9262" i="1"/>
  <c r="G9261" i="1"/>
  <c r="B9261" i="1"/>
  <c r="G9260" i="1"/>
  <c r="C9260" i="1"/>
  <c r="B9260" i="1"/>
  <c r="G9259" i="1"/>
  <c r="B9259" i="1"/>
  <c r="G9258" i="1"/>
  <c r="C9258" i="1"/>
  <c r="B9258" i="1"/>
  <c r="G9257" i="1"/>
  <c r="B9257" i="1"/>
  <c r="G9256" i="1"/>
  <c r="C9256" i="1"/>
  <c r="B9256" i="1"/>
  <c r="G9255" i="1"/>
  <c r="C9255" i="1"/>
  <c r="B9255" i="1"/>
  <c r="G9254" i="1"/>
  <c r="C9254" i="1"/>
  <c r="B9254" i="1"/>
  <c r="G9253" i="1"/>
  <c r="C9253" i="1"/>
  <c r="B9253" i="1"/>
  <c r="G9252" i="1"/>
  <c r="C9252" i="1"/>
  <c r="B9252" i="1"/>
  <c r="G9251" i="1"/>
  <c r="C9251" i="1"/>
  <c r="B9251" i="1"/>
  <c r="G9250" i="1"/>
  <c r="C9250" i="1"/>
  <c r="B9250" i="1"/>
  <c r="G9249" i="1"/>
  <c r="B9249" i="1"/>
  <c r="G9248" i="1"/>
  <c r="C9248" i="1"/>
  <c r="B9248" i="1"/>
  <c r="G9247" i="1"/>
  <c r="B9247" i="1"/>
  <c r="G9246" i="1"/>
  <c r="B9246" i="1"/>
  <c r="G9245" i="1"/>
  <c r="C9245" i="1"/>
  <c r="B9245" i="1"/>
  <c r="G9244" i="1"/>
  <c r="C9244" i="1"/>
  <c r="B9244" i="1"/>
  <c r="G9243" i="1"/>
  <c r="C9243" i="1"/>
  <c r="B9243" i="1"/>
  <c r="G9242" i="1"/>
  <c r="B9242" i="1"/>
  <c r="G9241" i="1"/>
  <c r="C9241" i="1"/>
  <c r="B9241" i="1"/>
  <c r="G9240" i="1"/>
  <c r="B9240" i="1"/>
  <c r="G9239" i="1"/>
  <c r="C9239" i="1"/>
  <c r="B9239" i="1"/>
  <c r="G9238" i="1"/>
  <c r="C9238" i="1"/>
  <c r="B9238" i="1"/>
  <c r="G9237" i="1"/>
  <c r="C9237" i="1"/>
  <c r="B9237" i="1"/>
  <c r="G9236" i="1"/>
  <c r="C9236" i="1"/>
  <c r="B9236" i="1"/>
  <c r="G9235" i="1"/>
  <c r="C9235" i="1"/>
  <c r="B9235" i="1"/>
  <c r="G9234" i="1"/>
  <c r="B9234" i="1"/>
  <c r="G9233" i="1"/>
  <c r="B9233" i="1"/>
  <c r="G9232" i="1"/>
  <c r="C9232" i="1"/>
  <c r="B9232" i="1"/>
  <c r="G9231" i="1"/>
  <c r="C9231" i="1"/>
  <c r="B9231" i="1"/>
  <c r="G9230" i="1"/>
  <c r="C9230" i="1"/>
  <c r="B9230" i="1"/>
  <c r="G9229" i="1"/>
  <c r="C9229" i="1"/>
  <c r="B9229" i="1"/>
  <c r="G9228" i="1"/>
  <c r="C9228" i="1"/>
  <c r="B9228" i="1"/>
  <c r="G9227" i="1"/>
  <c r="C9227" i="1"/>
  <c r="B9227" i="1"/>
  <c r="G9226" i="1"/>
  <c r="B9226" i="1"/>
  <c r="G9225" i="1"/>
  <c r="B9225" i="1"/>
  <c r="G9224" i="1"/>
  <c r="C9224" i="1"/>
  <c r="B9224" i="1"/>
  <c r="G9223" i="1"/>
  <c r="C9223" i="1"/>
  <c r="B9223" i="1"/>
  <c r="G9222" i="1"/>
  <c r="C9222" i="1"/>
  <c r="B9222" i="1"/>
  <c r="G9221" i="1"/>
  <c r="C9221" i="1"/>
  <c r="B9221" i="1"/>
  <c r="G9220" i="1"/>
  <c r="C9220" i="1"/>
  <c r="B9220" i="1"/>
  <c r="G9219" i="1"/>
  <c r="B9219" i="1"/>
  <c r="G9218" i="1"/>
  <c r="C9218" i="1"/>
  <c r="B9218" i="1"/>
  <c r="G9217" i="1"/>
  <c r="C9217" i="1"/>
  <c r="B9217" i="1"/>
  <c r="G9216" i="1"/>
  <c r="C9216" i="1"/>
  <c r="B9216" i="1"/>
  <c r="G9215" i="1"/>
  <c r="C9215" i="1"/>
  <c r="B9215" i="1"/>
  <c r="G9214" i="1"/>
  <c r="B9214" i="1"/>
  <c r="G9213" i="1"/>
  <c r="C9213" i="1"/>
  <c r="B9213" i="1"/>
  <c r="G9212" i="1"/>
  <c r="C9212" i="1"/>
  <c r="B9212" i="1"/>
  <c r="G9211" i="1"/>
  <c r="C9211" i="1"/>
  <c r="B9211" i="1"/>
  <c r="G9210" i="1"/>
  <c r="B9210" i="1"/>
  <c r="G9209" i="1"/>
  <c r="C9209" i="1"/>
  <c r="B9209" i="1"/>
  <c r="G9208" i="1"/>
  <c r="C9208" i="1"/>
  <c r="B9208" i="1"/>
  <c r="G9207" i="1"/>
  <c r="C9207" i="1"/>
  <c r="B9207" i="1"/>
  <c r="G9206" i="1"/>
  <c r="C9206" i="1"/>
  <c r="B9206" i="1"/>
  <c r="G9205" i="1"/>
  <c r="C9205" i="1"/>
  <c r="B9205" i="1"/>
  <c r="G9204" i="1"/>
  <c r="C9204" i="1"/>
  <c r="B9204" i="1"/>
  <c r="G9203" i="1"/>
  <c r="C9203" i="1"/>
  <c r="B9203" i="1"/>
  <c r="G9202" i="1"/>
  <c r="C9202" i="1"/>
  <c r="B9202" i="1"/>
  <c r="G9201" i="1"/>
  <c r="C9201" i="1"/>
  <c r="B9201" i="1"/>
  <c r="G9200" i="1"/>
  <c r="C9200" i="1"/>
  <c r="B9200" i="1"/>
  <c r="G9199" i="1"/>
  <c r="C9199" i="1"/>
  <c r="B9199" i="1"/>
  <c r="G9198" i="1"/>
  <c r="C9198" i="1"/>
  <c r="B9198" i="1"/>
  <c r="G9197" i="1"/>
  <c r="C9197" i="1"/>
  <c r="B9197" i="1"/>
  <c r="G9196" i="1"/>
  <c r="C9196" i="1"/>
  <c r="B9196" i="1"/>
  <c r="G9195" i="1"/>
  <c r="C9195" i="1"/>
  <c r="B9195" i="1"/>
  <c r="G9194" i="1"/>
  <c r="C9194" i="1"/>
  <c r="B9194" i="1"/>
  <c r="G9193" i="1"/>
  <c r="C9193" i="1"/>
  <c r="B9193" i="1"/>
  <c r="G9192" i="1"/>
  <c r="B9192" i="1"/>
  <c r="G9191" i="1"/>
  <c r="B9191" i="1"/>
  <c r="G9190" i="1"/>
  <c r="B9190" i="1"/>
  <c r="G9189" i="1"/>
  <c r="C9189" i="1"/>
  <c r="B9189" i="1"/>
  <c r="G9188" i="1"/>
  <c r="C9188" i="1"/>
  <c r="B9188" i="1"/>
  <c r="G9187" i="1"/>
  <c r="C9187" i="1"/>
  <c r="B9187" i="1"/>
  <c r="G9186" i="1"/>
  <c r="C9186" i="1"/>
  <c r="B9186" i="1"/>
  <c r="G9185" i="1"/>
  <c r="B9185" i="1"/>
  <c r="G9184" i="1"/>
  <c r="C9184" i="1"/>
  <c r="B9184" i="1"/>
  <c r="G9183" i="1"/>
  <c r="B9183" i="1"/>
  <c r="G9182" i="1"/>
  <c r="B9182" i="1"/>
  <c r="G9181" i="1"/>
  <c r="C9181" i="1"/>
  <c r="B9181" i="1"/>
  <c r="G9180" i="1"/>
  <c r="C9180" i="1"/>
  <c r="B9180" i="1"/>
  <c r="G9179" i="1"/>
  <c r="B9179" i="1"/>
  <c r="G9178" i="1"/>
  <c r="B9178" i="1"/>
  <c r="G9177" i="1"/>
  <c r="C9177" i="1"/>
  <c r="B9177" i="1"/>
  <c r="G9176" i="1"/>
  <c r="C9176" i="1"/>
  <c r="B9176" i="1"/>
  <c r="G9175" i="1"/>
  <c r="C9175" i="1"/>
  <c r="B9175" i="1"/>
  <c r="G9174" i="1"/>
  <c r="C9174" i="1"/>
  <c r="B9174" i="1"/>
  <c r="G9173" i="1"/>
  <c r="C9173" i="1"/>
  <c r="B9173" i="1"/>
  <c r="G9172" i="1"/>
  <c r="C9172" i="1"/>
  <c r="B9172" i="1"/>
  <c r="G9171" i="1"/>
  <c r="B9171" i="1"/>
  <c r="G9170" i="1"/>
  <c r="C9170" i="1"/>
  <c r="B9170" i="1"/>
  <c r="G9169" i="1"/>
  <c r="C9169" i="1"/>
  <c r="B9169" i="1"/>
  <c r="G9168" i="1"/>
  <c r="B9168" i="1"/>
  <c r="G9167" i="1"/>
  <c r="B9167" i="1"/>
  <c r="G9166" i="1"/>
  <c r="C9166" i="1"/>
  <c r="B9166" i="1"/>
  <c r="G9165" i="1"/>
  <c r="B9165" i="1"/>
  <c r="G9164" i="1"/>
  <c r="C9164" i="1"/>
  <c r="B9164" i="1"/>
  <c r="G9163" i="1"/>
  <c r="B9163" i="1"/>
  <c r="G9162" i="1"/>
  <c r="B9162" i="1"/>
  <c r="G9161" i="1"/>
  <c r="C9161" i="1"/>
  <c r="B9161" i="1"/>
  <c r="G9160" i="1"/>
  <c r="B9160" i="1"/>
  <c r="G9159" i="1"/>
  <c r="C9159" i="1"/>
  <c r="B9159" i="1"/>
  <c r="G9158" i="1"/>
  <c r="C9158" i="1"/>
  <c r="B9158" i="1"/>
  <c r="G9157" i="1"/>
  <c r="B9157" i="1"/>
  <c r="G9156" i="1"/>
  <c r="B9156" i="1"/>
  <c r="G9155" i="1"/>
  <c r="B9155" i="1"/>
  <c r="G9154" i="1"/>
  <c r="C9154" i="1"/>
  <c r="B9154" i="1"/>
  <c r="G9153" i="1"/>
  <c r="C9153" i="1"/>
  <c r="B9153" i="1"/>
  <c r="G9152" i="1"/>
  <c r="C9152" i="1"/>
  <c r="B9152" i="1"/>
  <c r="G9151" i="1"/>
  <c r="B9151" i="1"/>
  <c r="G9150" i="1"/>
  <c r="C9150" i="1"/>
  <c r="B9150" i="1"/>
  <c r="G9149" i="1"/>
  <c r="B9149" i="1"/>
  <c r="G9148" i="1"/>
  <c r="C9148" i="1"/>
  <c r="B9148" i="1"/>
  <c r="G9147" i="1"/>
  <c r="C9147" i="1"/>
  <c r="B9147" i="1"/>
  <c r="G9146" i="1"/>
  <c r="B9146" i="1"/>
  <c r="G9145" i="1"/>
  <c r="C9145" i="1"/>
  <c r="B9145" i="1"/>
  <c r="G9144" i="1"/>
  <c r="B9144" i="1"/>
  <c r="G9143" i="1"/>
  <c r="C9143" i="1"/>
  <c r="B9143" i="1"/>
  <c r="G9142" i="1"/>
  <c r="B9142" i="1"/>
  <c r="G9141" i="1"/>
  <c r="C9141" i="1"/>
  <c r="B9141" i="1"/>
  <c r="G9140" i="1"/>
  <c r="C9140" i="1"/>
  <c r="B9140" i="1"/>
  <c r="G9139" i="1"/>
  <c r="C9139" i="1"/>
  <c r="B9139" i="1"/>
  <c r="G9138" i="1"/>
  <c r="C9138" i="1"/>
  <c r="B9138" i="1"/>
  <c r="G9137" i="1"/>
  <c r="C9137" i="1"/>
  <c r="B9137" i="1"/>
  <c r="G9136" i="1"/>
  <c r="C9136" i="1"/>
  <c r="B9136" i="1"/>
  <c r="G9135" i="1"/>
  <c r="B9135" i="1"/>
  <c r="G9134" i="1"/>
  <c r="C9134" i="1"/>
  <c r="B9134" i="1"/>
  <c r="G9133" i="1"/>
  <c r="C9133" i="1"/>
  <c r="B9133" i="1"/>
  <c r="G9132" i="1"/>
  <c r="C9132" i="1"/>
  <c r="B9132" i="1"/>
  <c r="G9131" i="1"/>
  <c r="C9131" i="1"/>
  <c r="B9131" i="1"/>
  <c r="G9130" i="1"/>
  <c r="C9130" i="1"/>
  <c r="B9130" i="1"/>
  <c r="G9129" i="1"/>
  <c r="C9129" i="1"/>
  <c r="B9129" i="1"/>
  <c r="G9128" i="1"/>
  <c r="B9128" i="1"/>
  <c r="G9127" i="1"/>
  <c r="C9127" i="1"/>
  <c r="B9127" i="1"/>
  <c r="G9126" i="1"/>
  <c r="C9126" i="1"/>
  <c r="B9126" i="1"/>
  <c r="G9125" i="1"/>
  <c r="C9125" i="1"/>
  <c r="B9125" i="1"/>
  <c r="G9124" i="1"/>
  <c r="B9124" i="1"/>
  <c r="G9123" i="1"/>
  <c r="C9123" i="1"/>
  <c r="B9123" i="1"/>
  <c r="G9122" i="1"/>
  <c r="C9122" i="1"/>
  <c r="B9122" i="1"/>
  <c r="G9121" i="1"/>
  <c r="C9121" i="1"/>
  <c r="B9121" i="1"/>
  <c r="G9120" i="1"/>
  <c r="C9120" i="1"/>
  <c r="B9120" i="1"/>
  <c r="G9119" i="1"/>
  <c r="C9119" i="1"/>
  <c r="B9119" i="1"/>
  <c r="G9118" i="1"/>
  <c r="C9118" i="1"/>
  <c r="B9118" i="1"/>
  <c r="G9117" i="1"/>
  <c r="B9117" i="1"/>
  <c r="G9116" i="1"/>
  <c r="C9116" i="1"/>
  <c r="B9116" i="1"/>
  <c r="G9115" i="1"/>
  <c r="C9115" i="1"/>
  <c r="B9115" i="1"/>
  <c r="G9114" i="1"/>
  <c r="C9114" i="1"/>
  <c r="B9114" i="1"/>
  <c r="G9113" i="1"/>
  <c r="B9113" i="1"/>
  <c r="G9112" i="1"/>
  <c r="C9112" i="1"/>
  <c r="B9112" i="1"/>
  <c r="G9111" i="1"/>
  <c r="C9111" i="1"/>
  <c r="B9111" i="1"/>
  <c r="G9110" i="1"/>
  <c r="B9110" i="1"/>
  <c r="G9109" i="1"/>
  <c r="C9109" i="1"/>
  <c r="B9109" i="1"/>
  <c r="G9108" i="1"/>
  <c r="C9108" i="1"/>
  <c r="B9108" i="1"/>
  <c r="G9107" i="1"/>
  <c r="C9107" i="1"/>
  <c r="B9107" i="1"/>
  <c r="G9106" i="1"/>
  <c r="C9106" i="1"/>
  <c r="B9106" i="1"/>
  <c r="G9105" i="1"/>
  <c r="B9105" i="1"/>
  <c r="G9104" i="1"/>
  <c r="C9104" i="1"/>
  <c r="B9104" i="1"/>
  <c r="G9103" i="1"/>
  <c r="C9103" i="1"/>
  <c r="B9103" i="1"/>
  <c r="G9102" i="1"/>
  <c r="C9102" i="1"/>
  <c r="B9102" i="1"/>
  <c r="G9101" i="1"/>
  <c r="C9101" i="1"/>
  <c r="B9101" i="1"/>
  <c r="G9100" i="1"/>
  <c r="C9100" i="1"/>
  <c r="B9100" i="1"/>
  <c r="G9099" i="1"/>
  <c r="C9099" i="1"/>
  <c r="B9099" i="1"/>
  <c r="G9098" i="1"/>
  <c r="C9098" i="1"/>
  <c r="B9098" i="1"/>
  <c r="G9097" i="1"/>
  <c r="C9097" i="1"/>
  <c r="B9097" i="1"/>
  <c r="G9096" i="1"/>
  <c r="C9096" i="1"/>
  <c r="B9096" i="1"/>
  <c r="G9095" i="1"/>
  <c r="C9095" i="1"/>
  <c r="B9095" i="1"/>
  <c r="G9094" i="1"/>
  <c r="C9094" i="1"/>
  <c r="B9094" i="1"/>
  <c r="G9093" i="1"/>
  <c r="C9093" i="1"/>
  <c r="B9093" i="1"/>
  <c r="G9092" i="1"/>
  <c r="C9092" i="1"/>
  <c r="B9092" i="1"/>
  <c r="G9091" i="1"/>
  <c r="B9091" i="1"/>
  <c r="G9090" i="1"/>
  <c r="B9090" i="1"/>
  <c r="G9089" i="1"/>
  <c r="B9089" i="1"/>
  <c r="G9088" i="1"/>
  <c r="B9088" i="1"/>
  <c r="G9087" i="1"/>
  <c r="B9087" i="1"/>
  <c r="G9086" i="1"/>
  <c r="C9086" i="1"/>
  <c r="B9086" i="1"/>
  <c r="G9085" i="1"/>
  <c r="C9085" i="1"/>
  <c r="B9085" i="1"/>
  <c r="G9084" i="1"/>
  <c r="C9084" i="1"/>
  <c r="B9084" i="1"/>
  <c r="G9083" i="1"/>
  <c r="C9083" i="1"/>
  <c r="B9083" i="1"/>
  <c r="G9082" i="1"/>
  <c r="C9082" i="1"/>
  <c r="B9082" i="1"/>
  <c r="G9081" i="1"/>
  <c r="C9081" i="1"/>
  <c r="B9081" i="1"/>
  <c r="G9080" i="1"/>
  <c r="C9080" i="1"/>
  <c r="B9080" i="1"/>
  <c r="G9079" i="1"/>
  <c r="C9079" i="1"/>
  <c r="B9079" i="1"/>
  <c r="G9078" i="1"/>
  <c r="C9078" i="1"/>
  <c r="B9078" i="1"/>
  <c r="G9077" i="1"/>
  <c r="C9077" i="1"/>
  <c r="B9077" i="1"/>
  <c r="G9076" i="1"/>
  <c r="B9076" i="1"/>
  <c r="G9075" i="1"/>
  <c r="C9075" i="1"/>
  <c r="B9075" i="1"/>
  <c r="G9074" i="1"/>
  <c r="B9074" i="1"/>
  <c r="G9073" i="1"/>
  <c r="C9073" i="1"/>
  <c r="B9073" i="1"/>
  <c r="G9072" i="1"/>
  <c r="C9072" i="1"/>
  <c r="B9072" i="1"/>
  <c r="G9071" i="1"/>
  <c r="C9071" i="1"/>
  <c r="B9071" i="1"/>
  <c r="G9070" i="1"/>
  <c r="C9070" i="1"/>
  <c r="B9070" i="1"/>
  <c r="G9069" i="1"/>
  <c r="C9069" i="1"/>
  <c r="B9069" i="1"/>
  <c r="G9068" i="1"/>
  <c r="C9068" i="1"/>
  <c r="B9068" i="1"/>
  <c r="G9067" i="1"/>
  <c r="B9067" i="1"/>
  <c r="G9066" i="1"/>
  <c r="C9066" i="1"/>
  <c r="B9066" i="1"/>
  <c r="G9065" i="1"/>
  <c r="C9065" i="1"/>
  <c r="B9065" i="1"/>
  <c r="G9064" i="1"/>
  <c r="C9064" i="1"/>
  <c r="B9064" i="1"/>
  <c r="G9063" i="1"/>
  <c r="B9063" i="1"/>
  <c r="G9062" i="1"/>
  <c r="B9062" i="1"/>
  <c r="G9061" i="1"/>
  <c r="C9061" i="1"/>
  <c r="B9061" i="1"/>
  <c r="G9060" i="1"/>
  <c r="C9060" i="1"/>
  <c r="B9060" i="1"/>
  <c r="G9059" i="1"/>
  <c r="C9059" i="1"/>
  <c r="B9059" i="1"/>
  <c r="G9058" i="1"/>
  <c r="B9058" i="1"/>
  <c r="G9057" i="1"/>
  <c r="C9057" i="1"/>
  <c r="B9057" i="1"/>
  <c r="G9056" i="1"/>
  <c r="C9056" i="1"/>
  <c r="B9056" i="1"/>
  <c r="G9055" i="1"/>
  <c r="C9055" i="1"/>
  <c r="B9055" i="1"/>
  <c r="G9054" i="1"/>
  <c r="C9054" i="1"/>
  <c r="B9054" i="1"/>
  <c r="G9053" i="1"/>
  <c r="C9053" i="1"/>
  <c r="B9053" i="1"/>
  <c r="G9052" i="1"/>
  <c r="C9052" i="1"/>
  <c r="B9052" i="1"/>
  <c r="G9051" i="1"/>
  <c r="C9051" i="1"/>
  <c r="B9051" i="1"/>
  <c r="G9050" i="1"/>
  <c r="B9050" i="1"/>
  <c r="G9049" i="1"/>
  <c r="C9049" i="1"/>
  <c r="B9049" i="1"/>
  <c r="G9048" i="1"/>
  <c r="C9048" i="1"/>
  <c r="B9048" i="1"/>
  <c r="G9047" i="1"/>
  <c r="C9047" i="1"/>
  <c r="B9047" i="1"/>
  <c r="G9046" i="1"/>
  <c r="B9046" i="1"/>
  <c r="G9045" i="1"/>
  <c r="C9045" i="1"/>
  <c r="B9045" i="1"/>
  <c r="G9044" i="1"/>
  <c r="C9044" i="1"/>
  <c r="B9044" i="1"/>
  <c r="G9043" i="1"/>
  <c r="C9043" i="1"/>
  <c r="B9043" i="1"/>
  <c r="G9042" i="1"/>
  <c r="C9042" i="1"/>
  <c r="B9042" i="1"/>
  <c r="G9041" i="1"/>
  <c r="B9041" i="1"/>
  <c r="G9040" i="1"/>
  <c r="C9040" i="1"/>
  <c r="B9040" i="1"/>
  <c r="G9039" i="1"/>
  <c r="C9039" i="1"/>
  <c r="B9039" i="1"/>
  <c r="G9038" i="1"/>
  <c r="C9038" i="1"/>
  <c r="B9038" i="1"/>
  <c r="G9037" i="1"/>
  <c r="C9037" i="1"/>
  <c r="B9037" i="1"/>
  <c r="G9036" i="1"/>
  <c r="C9036" i="1"/>
  <c r="B9036" i="1"/>
  <c r="G9035" i="1"/>
  <c r="C9035" i="1"/>
  <c r="B9035" i="1"/>
  <c r="G9034" i="1"/>
  <c r="C9034" i="1"/>
  <c r="B9034" i="1"/>
  <c r="G9033" i="1"/>
  <c r="C9033" i="1"/>
  <c r="B9033" i="1"/>
  <c r="G9032" i="1"/>
  <c r="B9032" i="1"/>
  <c r="G9031" i="1"/>
  <c r="C9031" i="1"/>
  <c r="B9031" i="1"/>
  <c r="G9030" i="1"/>
  <c r="B9030" i="1"/>
  <c r="G9029" i="1"/>
  <c r="C9029" i="1"/>
  <c r="B9029" i="1"/>
  <c r="G9028" i="1"/>
  <c r="C9028" i="1"/>
  <c r="B9028" i="1"/>
  <c r="G9027" i="1"/>
  <c r="C9027" i="1"/>
  <c r="B9027" i="1"/>
  <c r="G9026" i="1"/>
  <c r="C9026" i="1"/>
  <c r="B9026" i="1"/>
  <c r="G9025" i="1"/>
  <c r="B9025" i="1"/>
  <c r="G9024" i="1"/>
  <c r="C9024" i="1"/>
  <c r="B9024" i="1"/>
  <c r="G9023" i="1"/>
  <c r="C9023" i="1"/>
  <c r="B9023" i="1"/>
  <c r="G9022" i="1"/>
  <c r="C9022" i="1"/>
  <c r="B9022" i="1"/>
  <c r="G9021" i="1"/>
  <c r="C9021" i="1"/>
  <c r="B9021" i="1"/>
  <c r="G9020" i="1"/>
  <c r="C9020" i="1"/>
  <c r="B9020" i="1"/>
  <c r="G9019" i="1"/>
  <c r="C9019" i="1"/>
  <c r="B9019" i="1"/>
  <c r="G9018" i="1"/>
  <c r="C9018" i="1"/>
  <c r="B9018" i="1"/>
  <c r="G9017" i="1"/>
  <c r="C9017" i="1"/>
  <c r="B9017" i="1"/>
  <c r="G9016" i="1"/>
  <c r="C9016" i="1"/>
  <c r="B9016" i="1"/>
  <c r="G9015" i="1"/>
  <c r="C9015" i="1"/>
  <c r="B9015" i="1"/>
  <c r="G9014" i="1"/>
  <c r="C9014" i="1"/>
  <c r="B9014" i="1"/>
  <c r="G9013" i="1"/>
  <c r="C9013" i="1"/>
  <c r="B9013" i="1"/>
  <c r="G9012" i="1"/>
  <c r="C9012" i="1"/>
  <c r="B9012" i="1"/>
  <c r="G9011" i="1"/>
  <c r="C9011" i="1"/>
  <c r="B9011" i="1"/>
  <c r="G9010" i="1"/>
  <c r="C9010" i="1"/>
  <c r="B9010" i="1"/>
  <c r="G9009" i="1"/>
  <c r="C9009" i="1"/>
  <c r="B9009" i="1"/>
  <c r="G9008" i="1"/>
  <c r="B9008" i="1"/>
  <c r="G9007" i="1"/>
  <c r="C9007" i="1"/>
  <c r="B9007" i="1"/>
  <c r="G9006" i="1"/>
  <c r="C9006" i="1"/>
  <c r="B9006" i="1"/>
  <c r="G9005" i="1"/>
  <c r="B9005" i="1"/>
  <c r="G9004" i="1"/>
  <c r="C9004" i="1"/>
  <c r="B9004" i="1"/>
  <c r="G9003" i="1"/>
  <c r="C9003" i="1"/>
  <c r="B9003" i="1"/>
  <c r="G9002" i="1"/>
  <c r="C9002" i="1"/>
  <c r="B9002" i="1"/>
  <c r="G9001" i="1"/>
  <c r="C9001" i="1"/>
  <c r="B9001" i="1"/>
  <c r="G9000" i="1"/>
  <c r="C9000" i="1"/>
  <c r="B9000" i="1"/>
  <c r="G8999" i="1"/>
  <c r="C8999" i="1"/>
  <c r="B8999" i="1"/>
  <c r="G8998" i="1"/>
  <c r="C8998" i="1"/>
  <c r="B8998" i="1"/>
  <c r="G8997" i="1"/>
  <c r="C8997" i="1"/>
  <c r="B8997" i="1"/>
  <c r="G8996" i="1"/>
  <c r="C8996" i="1"/>
  <c r="B8996" i="1"/>
  <c r="G8995" i="1"/>
  <c r="C8995" i="1"/>
  <c r="B8995" i="1"/>
  <c r="G8994" i="1"/>
  <c r="B8994" i="1"/>
  <c r="G8993" i="1"/>
  <c r="C8993" i="1"/>
  <c r="B8993" i="1"/>
  <c r="G8992" i="1"/>
  <c r="C8992" i="1"/>
  <c r="B8992" i="1"/>
  <c r="G8991" i="1"/>
  <c r="B8991" i="1"/>
  <c r="G8990" i="1"/>
  <c r="C8990" i="1"/>
  <c r="B8990" i="1"/>
  <c r="G8989" i="1"/>
  <c r="C8989" i="1"/>
  <c r="B8989" i="1"/>
  <c r="G8988" i="1"/>
  <c r="C8988" i="1"/>
  <c r="B8988" i="1"/>
  <c r="G8987" i="1"/>
  <c r="C8987" i="1"/>
  <c r="B8987" i="1"/>
  <c r="G8986" i="1"/>
  <c r="B8986" i="1"/>
  <c r="G8985" i="1"/>
  <c r="B8985" i="1"/>
  <c r="G8984" i="1"/>
  <c r="C8984" i="1"/>
  <c r="B8984" i="1"/>
  <c r="G8983" i="1"/>
  <c r="C8983" i="1"/>
  <c r="B8983" i="1"/>
  <c r="G8982" i="1"/>
  <c r="C8982" i="1"/>
  <c r="B8982" i="1"/>
  <c r="G8981" i="1"/>
  <c r="C8981" i="1"/>
  <c r="B8981" i="1"/>
  <c r="G8980" i="1"/>
  <c r="B8980" i="1"/>
  <c r="G8979" i="1"/>
  <c r="C8979" i="1"/>
  <c r="B8979" i="1"/>
  <c r="G8978" i="1"/>
  <c r="C8978" i="1"/>
  <c r="B8978" i="1"/>
  <c r="G8977" i="1"/>
  <c r="C8977" i="1"/>
  <c r="B8977" i="1"/>
  <c r="G8976" i="1"/>
  <c r="B8976" i="1"/>
  <c r="G8975" i="1"/>
  <c r="C8975" i="1"/>
  <c r="B8975" i="1"/>
  <c r="G8974" i="1"/>
  <c r="B8974" i="1"/>
  <c r="G8973" i="1"/>
  <c r="C8973" i="1"/>
  <c r="B8973" i="1"/>
  <c r="G8972" i="1"/>
  <c r="B8972" i="1"/>
  <c r="G8971" i="1"/>
  <c r="C8971" i="1"/>
  <c r="B8971" i="1"/>
  <c r="G8970" i="1"/>
  <c r="B8970" i="1"/>
  <c r="G8969" i="1"/>
  <c r="C8969" i="1"/>
  <c r="B8969" i="1"/>
  <c r="G8968" i="1"/>
  <c r="C8968" i="1"/>
  <c r="B8968" i="1"/>
  <c r="G8967" i="1"/>
  <c r="C8967" i="1"/>
  <c r="B8967" i="1"/>
  <c r="G8966" i="1"/>
  <c r="C8966" i="1"/>
  <c r="B8966" i="1"/>
  <c r="G8965" i="1"/>
  <c r="B8965" i="1"/>
  <c r="G8964" i="1"/>
  <c r="C8964" i="1"/>
  <c r="B8964" i="1"/>
  <c r="G8963" i="1"/>
  <c r="C8963" i="1"/>
  <c r="B8963" i="1"/>
  <c r="G8962" i="1"/>
  <c r="C8962" i="1"/>
  <c r="B8962" i="1"/>
  <c r="G8961" i="1"/>
  <c r="B8961" i="1"/>
  <c r="G8960" i="1"/>
  <c r="C8960" i="1"/>
  <c r="B8960" i="1"/>
  <c r="G8959" i="1"/>
  <c r="C8959" i="1"/>
  <c r="B8959" i="1"/>
  <c r="G8958" i="1"/>
  <c r="C8958" i="1"/>
  <c r="B8958" i="1"/>
  <c r="G8957" i="1"/>
  <c r="C8957" i="1"/>
  <c r="B8957" i="1"/>
  <c r="G8956" i="1"/>
  <c r="B8956" i="1"/>
  <c r="G8955" i="1"/>
  <c r="C8955" i="1"/>
  <c r="B8955" i="1"/>
  <c r="G8954" i="1"/>
  <c r="C8954" i="1"/>
  <c r="B8954" i="1"/>
  <c r="G8953" i="1"/>
  <c r="C8953" i="1"/>
  <c r="B8953" i="1"/>
  <c r="G8952" i="1"/>
  <c r="C8952" i="1"/>
  <c r="B8952" i="1"/>
  <c r="G8951" i="1"/>
  <c r="C8951" i="1"/>
  <c r="B8951" i="1"/>
  <c r="G8950" i="1"/>
  <c r="B8950" i="1"/>
  <c r="G8949" i="1"/>
  <c r="B8949" i="1"/>
  <c r="G8948" i="1"/>
  <c r="C8948" i="1"/>
  <c r="B8948" i="1"/>
  <c r="G8947" i="1"/>
  <c r="B8947" i="1"/>
  <c r="G8946" i="1"/>
  <c r="C8946" i="1"/>
  <c r="B8946" i="1"/>
  <c r="G8945" i="1"/>
  <c r="C8945" i="1"/>
  <c r="B8945" i="1"/>
  <c r="G8944" i="1"/>
  <c r="C8944" i="1"/>
  <c r="B8944" i="1"/>
  <c r="G8943" i="1"/>
  <c r="B8943" i="1"/>
  <c r="G8942" i="1"/>
  <c r="C8942" i="1"/>
  <c r="B8942" i="1"/>
  <c r="G8941" i="1"/>
  <c r="C8941" i="1"/>
  <c r="B8941" i="1"/>
  <c r="G8940" i="1"/>
  <c r="C8940" i="1"/>
  <c r="B8940" i="1"/>
  <c r="G8939" i="1"/>
  <c r="B8939" i="1"/>
  <c r="G8938" i="1"/>
  <c r="C8938" i="1"/>
  <c r="B8938" i="1"/>
  <c r="G8937" i="1"/>
  <c r="B8937" i="1"/>
  <c r="G8936" i="1"/>
  <c r="C8936" i="1"/>
  <c r="B8936" i="1"/>
  <c r="G8935" i="1"/>
  <c r="C8935" i="1"/>
  <c r="B8935" i="1"/>
  <c r="G8934" i="1"/>
  <c r="C8934" i="1"/>
  <c r="B8934" i="1"/>
  <c r="G8933" i="1"/>
  <c r="C8933" i="1"/>
  <c r="B8933" i="1"/>
  <c r="G8932" i="1"/>
  <c r="C8932" i="1"/>
  <c r="B8932" i="1"/>
  <c r="G8931" i="1"/>
  <c r="C8931" i="1"/>
  <c r="B8931" i="1"/>
  <c r="G8930" i="1"/>
  <c r="C8930" i="1"/>
  <c r="B8930" i="1"/>
  <c r="G8929" i="1"/>
  <c r="C8929" i="1"/>
  <c r="B8929" i="1"/>
  <c r="G8928" i="1"/>
  <c r="C8928" i="1"/>
  <c r="B8928" i="1"/>
  <c r="G8927" i="1"/>
  <c r="C8927" i="1"/>
  <c r="B8927" i="1"/>
  <c r="G8926" i="1"/>
  <c r="C8926" i="1"/>
  <c r="B8926" i="1"/>
  <c r="G8925" i="1"/>
  <c r="C8925" i="1"/>
  <c r="B8925" i="1"/>
  <c r="G8924" i="1"/>
  <c r="C8924" i="1"/>
  <c r="B8924" i="1"/>
  <c r="G8923" i="1"/>
  <c r="C8923" i="1"/>
  <c r="B8923" i="1"/>
  <c r="G8922" i="1"/>
  <c r="C8922" i="1"/>
  <c r="B8922" i="1"/>
  <c r="G8921" i="1"/>
  <c r="B8921" i="1"/>
  <c r="G8920" i="1"/>
  <c r="C8920" i="1"/>
  <c r="B8920" i="1"/>
  <c r="G8919" i="1"/>
  <c r="C8919" i="1"/>
  <c r="B8919" i="1"/>
  <c r="G8918" i="1"/>
  <c r="C8918" i="1"/>
  <c r="B8918" i="1"/>
  <c r="G8917" i="1"/>
  <c r="B8917" i="1"/>
  <c r="G8916" i="1"/>
  <c r="C8916" i="1"/>
  <c r="B8916" i="1"/>
  <c r="G8915" i="1"/>
  <c r="C8915" i="1"/>
  <c r="B8915" i="1"/>
  <c r="G8914" i="1"/>
  <c r="B8914" i="1"/>
  <c r="G8913" i="1"/>
  <c r="C8913" i="1"/>
  <c r="B8913" i="1"/>
  <c r="G8912" i="1"/>
  <c r="C8912" i="1"/>
  <c r="B8912" i="1"/>
  <c r="G8911" i="1"/>
  <c r="B8911" i="1"/>
  <c r="G8910" i="1"/>
  <c r="C8910" i="1"/>
  <c r="B8910" i="1"/>
  <c r="G8909" i="1"/>
  <c r="C8909" i="1"/>
  <c r="B8909" i="1"/>
  <c r="G8908" i="1"/>
  <c r="C8908" i="1"/>
  <c r="B8908" i="1"/>
  <c r="G8907" i="1"/>
  <c r="C8907" i="1"/>
  <c r="B8907" i="1"/>
  <c r="G8906" i="1"/>
  <c r="B8906" i="1"/>
  <c r="G8905" i="1"/>
  <c r="C8905" i="1"/>
  <c r="B8905" i="1"/>
  <c r="G8904" i="1"/>
  <c r="C8904" i="1"/>
  <c r="B8904" i="1"/>
  <c r="G8903" i="1"/>
  <c r="C8903" i="1"/>
  <c r="B8903" i="1"/>
  <c r="G8902" i="1"/>
  <c r="C8902" i="1"/>
  <c r="B8902" i="1"/>
  <c r="G8901" i="1"/>
  <c r="B8901" i="1"/>
  <c r="G8900" i="1"/>
  <c r="C8900" i="1"/>
  <c r="B8900" i="1"/>
  <c r="G8899" i="1"/>
  <c r="C8899" i="1"/>
  <c r="B8899" i="1"/>
  <c r="G8898" i="1"/>
  <c r="C8898" i="1"/>
  <c r="B8898" i="1"/>
  <c r="G8897" i="1"/>
  <c r="C8897" i="1"/>
  <c r="B8897" i="1"/>
  <c r="G8896" i="1"/>
  <c r="C8896" i="1"/>
  <c r="B8896" i="1"/>
  <c r="G8895" i="1"/>
  <c r="C8895" i="1"/>
  <c r="B8895" i="1"/>
  <c r="G8894" i="1"/>
  <c r="B8894" i="1"/>
  <c r="G8893" i="1"/>
  <c r="C8893" i="1"/>
  <c r="B8893" i="1"/>
  <c r="G8892" i="1"/>
  <c r="C8892" i="1"/>
  <c r="B8892" i="1"/>
  <c r="G8891" i="1"/>
  <c r="C8891" i="1"/>
  <c r="B8891" i="1"/>
  <c r="G8890" i="1"/>
  <c r="B8890" i="1"/>
  <c r="G8889" i="1"/>
  <c r="C8889" i="1"/>
  <c r="B8889" i="1"/>
  <c r="G8888" i="1"/>
  <c r="C8888" i="1"/>
  <c r="B8888" i="1"/>
  <c r="G8887" i="1"/>
  <c r="C8887" i="1"/>
  <c r="B8887" i="1"/>
  <c r="G8886" i="1"/>
  <c r="B8886" i="1"/>
  <c r="G8885" i="1"/>
  <c r="C8885" i="1"/>
  <c r="B8885" i="1"/>
  <c r="G8884" i="1"/>
  <c r="C8884" i="1"/>
  <c r="B8884" i="1"/>
  <c r="G8883" i="1"/>
  <c r="C8883" i="1"/>
  <c r="B8883" i="1"/>
  <c r="G8882" i="1"/>
  <c r="C8882" i="1"/>
  <c r="B8882" i="1"/>
  <c r="G8881" i="1"/>
  <c r="C8881" i="1"/>
  <c r="B8881" i="1"/>
  <c r="G8880" i="1"/>
  <c r="B8880" i="1"/>
  <c r="G8879" i="1"/>
  <c r="C8879" i="1"/>
  <c r="B8879" i="1"/>
  <c r="G8878" i="1"/>
  <c r="C8878" i="1"/>
  <c r="B8878" i="1"/>
  <c r="G8877" i="1"/>
  <c r="C8877" i="1"/>
  <c r="B8877" i="1"/>
  <c r="G8876" i="1"/>
  <c r="C8876" i="1"/>
  <c r="B8876" i="1"/>
  <c r="G8875" i="1"/>
  <c r="C8875" i="1"/>
  <c r="B8875" i="1"/>
  <c r="G8874" i="1"/>
  <c r="C8874" i="1"/>
  <c r="B8874" i="1"/>
  <c r="G8873" i="1"/>
  <c r="C8873" i="1"/>
  <c r="B8873" i="1"/>
  <c r="G8872" i="1"/>
  <c r="B8872" i="1"/>
  <c r="G8871" i="1"/>
  <c r="C8871" i="1"/>
  <c r="B8871" i="1"/>
  <c r="G8870" i="1"/>
  <c r="B8870" i="1"/>
  <c r="G8869" i="1"/>
  <c r="C8869" i="1"/>
  <c r="B8869" i="1"/>
  <c r="G8868" i="1"/>
  <c r="C8868" i="1"/>
  <c r="B8868" i="1"/>
  <c r="G8867" i="1"/>
  <c r="C8867" i="1"/>
  <c r="B8867" i="1"/>
  <c r="G8866" i="1"/>
  <c r="C8866" i="1"/>
  <c r="B8866" i="1"/>
  <c r="G8865" i="1"/>
  <c r="C8865" i="1"/>
  <c r="B8865" i="1"/>
  <c r="G8864" i="1"/>
  <c r="B8864" i="1"/>
  <c r="G8863" i="1"/>
  <c r="C8863" i="1"/>
  <c r="B8863" i="1"/>
  <c r="G8862" i="1"/>
  <c r="C8862" i="1"/>
  <c r="B8862" i="1"/>
  <c r="G8861" i="1"/>
  <c r="C8861" i="1"/>
  <c r="B8861" i="1"/>
  <c r="G8860" i="1"/>
  <c r="C8860" i="1"/>
  <c r="B8860" i="1"/>
  <c r="G8859" i="1"/>
  <c r="C8859" i="1"/>
  <c r="B8859" i="1"/>
  <c r="G8858" i="1"/>
  <c r="C8858" i="1"/>
  <c r="B8858" i="1"/>
  <c r="G8857" i="1"/>
  <c r="B8857" i="1"/>
  <c r="G8856" i="1"/>
  <c r="C8856" i="1"/>
  <c r="B8856" i="1"/>
  <c r="G8855" i="1"/>
  <c r="C8855" i="1"/>
  <c r="B8855" i="1"/>
  <c r="G8854" i="1"/>
  <c r="C8854" i="1"/>
  <c r="B8854" i="1"/>
  <c r="G8853" i="1"/>
  <c r="C8853" i="1"/>
  <c r="B8853" i="1"/>
  <c r="G8852" i="1"/>
  <c r="C8852" i="1"/>
  <c r="B8852" i="1"/>
  <c r="G8851" i="1"/>
  <c r="C8851" i="1"/>
  <c r="B8851" i="1"/>
  <c r="G8850" i="1"/>
  <c r="C8850" i="1"/>
  <c r="B8850" i="1"/>
  <c r="G8849" i="1"/>
  <c r="C8849" i="1"/>
  <c r="B8849" i="1"/>
  <c r="G8848" i="1"/>
  <c r="C8848" i="1"/>
  <c r="B8848" i="1"/>
  <c r="G8847" i="1"/>
  <c r="C8847" i="1"/>
  <c r="B8847" i="1"/>
  <c r="G8846" i="1"/>
  <c r="B8846" i="1"/>
  <c r="G8845" i="1"/>
  <c r="C8845" i="1"/>
  <c r="B8845" i="1"/>
  <c r="G8844" i="1"/>
  <c r="C8844" i="1"/>
  <c r="B8844" i="1"/>
  <c r="G8843" i="1"/>
  <c r="C8843" i="1"/>
  <c r="B8843" i="1"/>
  <c r="G8842" i="1"/>
  <c r="C8842" i="1"/>
  <c r="B8842" i="1"/>
  <c r="G8841" i="1"/>
  <c r="C8841" i="1"/>
  <c r="B8841" i="1"/>
  <c r="G8840" i="1"/>
  <c r="C8840" i="1"/>
  <c r="B8840" i="1"/>
  <c r="G8839" i="1"/>
  <c r="C8839" i="1"/>
  <c r="B8839" i="1"/>
  <c r="G8838" i="1"/>
  <c r="C8838" i="1"/>
  <c r="B8838" i="1"/>
  <c r="G8837" i="1"/>
  <c r="C8837" i="1"/>
  <c r="B8837" i="1"/>
  <c r="G8836" i="1"/>
  <c r="B8836" i="1"/>
  <c r="G8835" i="1"/>
  <c r="C8835" i="1"/>
  <c r="B8835" i="1"/>
  <c r="G8834" i="1"/>
  <c r="C8834" i="1"/>
  <c r="B8834" i="1"/>
  <c r="G8833" i="1"/>
  <c r="C8833" i="1"/>
  <c r="B8833" i="1"/>
  <c r="G8832" i="1"/>
  <c r="C8832" i="1"/>
  <c r="B8832" i="1"/>
  <c r="G8831" i="1"/>
  <c r="B8831" i="1"/>
  <c r="G8830" i="1"/>
  <c r="C8830" i="1"/>
  <c r="B8830" i="1"/>
  <c r="G8829" i="1"/>
  <c r="B8829" i="1"/>
  <c r="G8828" i="1"/>
  <c r="C8828" i="1"/>
  <c r="B8828" i="1"/>
  <c r="G8827" i="1"/>
  <c r="C8827" i="1"/>
  <c r="B8827" i="1"/>
  <c r="G8826" i="1"/>
  <c r="C8826" i="1"/>
  <c r="B8826" i="1"/>
  <c r="G8825" i="1"/>
  <c r="C8825" i="1"/>
  <c r="B8825" i="1"/>
  <c r="G8824" i="1"/>
  <c r="B8824" i="1"/>
  <c r="G8823" i="1"/>
  <c r="C8823" i="1"/>
  <c r="B8823" i="1"/>
  <c r="G8822" i="1"/>
  <c r="C8822" i="1"/>
  <c r="B8822" i="1"/>
  <c r="G8821" i="1"/>
  <c r="C8821" i="1"/>
  <c r="B8821" i="1"/>
  <c r="G8820" i="1"/>
  <c r="C8820" i="1"/>
  <c r="B8820" i="1"/>
  <c r="G8819" i="1"/>
  <c r="C8819" i="1"/>
  <c r="B8819" i="1"/>
  <c r="G8818" i="1"/>
  <c r="C8818" i="1"/>
  <c r="B8818" i="1"/>
  <c r="G8817" i="1"/>
  <c r="C8817" i="1"/>
  <c r="B8817" i="1"/>
  <c r="G8816" i="1"/>
  <c r="C8816" i="1"/>
  <c r="B8816" i="1"/>
  <c r="G8815" i="1"/>
  <c r="C8815" i="1"/>
  <c r="B8815" i="1"/>
  <c r="G8814" i="1"/>
  <c r="C8814" i="1"/>
  <c r="B8814" i="1"/>
  <c r="G8813" i="1"/>
  <c r="C8813" i="1"/>
  <c r="B8813" i="1"/>
  <c r="G8812" i="1"/>
  <c r="C8812" i="1"/>
  <c r="B8812" i="1"/>
  <c r="G8811" i="1"/>
  <c r="B8811" i="1"/>
  <c r="G8810" i="1"/>
  <c r="B8810" i="1"/>
  <c r="G8809" i="1"/>
  <c r="B8809" i="1"/>
  <c r="G8808" i="1"/>
  <c r="C8808" i="1"/>
  <c r="B8808" i="1"/>
  <c r="G8807" i="1"/>
  <c r="C8807" i="1"/>
  <c r="B8807" i="1"/>
  <c r="G8806" i="1"/>
  <c r="C8806" i="1"/>
  <c r="B8806" i="1"/>
  <c r="G8805" i="1"/>
  <c r="C8805" i="1"/>
  <c r="B8805" i="1"/>
  <c r="G8804" i="1"/>
  <c r="C8804" i="1"/>
  <c r="B8804" i="1"/>
  <c r="G8803" i="1"/>
  <c r="C8803" i="1"/>
  <c r="B8803" i="1"/>
  <c r="G8802" i="1"/>
  <c r="C8802" i="1"/>
  <c r="B8802" i="1"/>
  <c r="G8801" i="1"/>
  <c r="C8801" i="1"/>
  <c r="B8801" i="1"/>
  <c r="G8800" i="1"/>
  <c r="C8800" i="1"/>
  <c r="B8800" i="1"/>
  <c r="G8799" i="1"/>
  <c r="C8799" i="1"/>
  <c r="B8799" i="1"/>
  <c r="G8798" i="1"/>
  <c r="C8798" i="1"/>
  <c r="B8798" i="1"/>
  <c r="G8797" i="1"/>
  <c r="C8797" i="1"/>
  <c r="B8797" i="1"/>
  <c r="G8796" i="1"/>
  <c r="B8796" i="1"/>
  <c r="G8795" i="1"/>
  <c r="B8795" i="1"/>
  <c r="G8794" i="1"/>
  <c r="B8794" i="1"/>
  <c r="G8793" i="1"/>
  <c r="C8793" i="1"/>
  <c r="B8793" i="1"/>
  <c r="G8792" i="1"/>
  <c r="B8792" i="1"/>
  <c r="G8791" i="1"/>
  <c r="C8791" i="1"/>
  <c r="B8791" i="1"/>
  <c r="G8790" i="1"/>
  <c r="C8790" i="1"/>
  <c r="B8790" i="1"/>
  <c r="G8789" i="1"/>
  <c r="C8789" i="1"/>
  <c r="B8789" i="1"/>
  <c r="G8788" i="1"/>
  <c r="C8788" i="1"/>
  <c r="B8788" i="1"/>
  <c r="G8787" i="1"/>
  <c r="C8787" i="1"/>
  <c r="B8787" i="1"/>
  <c r="G8786" i="1"/>
  <c r="B8786" i="1"/>
  <c r="G8785" i="1"/>
  <c r="C8785" i="1"/>
  <c r="B8785" i="1"/>
  <c r="G8784" i="1"/>
  <c r="C8784" i="1"/>
  <c r="B8784" i="1"/>
  <c r="G8783" i="1"/>
  <c r="C8783" i="1"/>
  <c r="B8783" i="1"/>
  <c r="G8782" i="1"/>
  <c r="C8782" i="1"/>
  <c r="B8782" i="1"/>
  <c r="G8781" i="1"/>
  <c r="B8781" i="1"/>
  <c r="G8780" i="1"/>
  <c r="C8780" i="1"/>
  <c r="B8780" i="1"/>
  <c r="G8779" i="1"/>
  <c r="B8779" i="1"/>
  <c r="G8778" i="1"/>
  <c r="C8778" i="1"/>
  <c r="B8778" i="1"/>
  <c r="G8777" i="1"/>
  <c r="B8777" i="1"/>
  <c r="G8776" i="1"/>
  <c r="C8776" i="1"/>
  <c r="B8776" i="1"/>
  <c r="G8775" i="1"/>
  <c r="C8775" i="1"/>
  <c r="B8775" i="1"/>
  <c r="G8774" i="1"/>
  <c r="C8774" i="1"/>
  <c r="B8774" i="1"/>
  <c r="G8773" i="1"/>
  <c r="C8773" i="1"/>
  <c r="B8773" i="1"/>
  <c r="G8772" i="1"/>
  <c r="C8772" i="1"/>
  <c r="B8772" i="1"/>
  <c r="G8771" i="1"/>
  <c r="C8771" i="1"/>
  <c r="B8771" i="1"/>
  <c r="G8770" i="1"/>
  <c r="C8770" i="1"/>
  <c r="B8770" i="1"/>
  <c r="G8769" i="1"/>
  <c r="C8769" i="1"/>
  <c r="B8769" i="1"/>
  <c r="G8768" i="1"/>
  <c r="C8768" i="1"/>
  <c r="B8768" i="1"/>
  <c r="G8767" i="1"/>
  <c r="C8767" i="1"/>
  <c r="B8767" i="1"/>
  <c r="G8766" i="1"/>
  <c r="C8766" i="1"/>
  <c r="B8766" i="1"/>
  <c r="G8765" i="1"/>
  <c r="C8765" i="1"/>
  <c r="B8765" i="1"/>
  <c r="G8764" i="1"/>
  <c r="C8764" i="1"/>
  <c r="B8764" i="1"/>
  <c r="G8763" i="1"/>
  <c r="C8763" i="1"/>
  <c r="B8763" i="1"/>
  <c r="G8762" i="1"/>
  <c r="C8762" i="1"/>
  <c r="B8762" i="1"/>
  <c r="G8761" i="1"/>
  <c r="C8761" i="1"/>
  <c r="B8761" i="1"/>
  <c r="G8760" i="1"/>
  <c r="C8760" i="1"/>
  <c r="B8760" i="1"/>
  <c r="G8759" i="1"/>
  <c r="C8759" i="1"/>
  <c r="B8759" i="1"/>
  <c r="G8758" i="1"/>
  <c r="B8758" i="1"/>
  <c r="G8757" i="1"/>
  <c r="C8757" i="1"/>
  <c r="B8757" i="1"/>
  <c r="G8756" i="1"/>
  <c r="C8756" i="1"/>
  <c r="B8756" i="1"/>
  <c r="G8755" i="1"/>
  <c r="C8755" i="1"/>
  <c r="B8755" i="1"/>
  <c r="G8754" i="1"/>
  <c r="C8754" i="1"/>
  <c r="B8754" i="1"/>
  <c r="G8753" i="1"/>
  <c r="C8753" i="1"/>
  <c r="B8753" i="1"/>
  <c r="G8752" i="1"/>
  <c r="B8752" i="1"/>
  <c r="G8751" i="1"/>
  <c r="C8751" i="1"/>
  <c r="B8751" i="1"/>
  <c r="G8750" i="1"/>
  <c r="C8750" i="1"/>
  <c r="B8750" i="1"/>
  <c r="G8749" i="1"/>
  <c r="C8749" i="1"/>
  <c r="B8749" i="1"/>
  <c r="G8748" i="1"/>
  <c r="C8748" i="1"/>
  <c r="B8748" i="1"/>
  <c r="G8747" i="1"/>
  <c r="C8747" i="1"/>
  <c r="B8747" i="1"/>
  <c r="G8746" i="1"/>
  <c r="C8746" i="1"/>
  <c r="B8746" i="1"/>
  <c r="G8745" i="1"/>
  <c r="C8745" i="1"/>
  <c r="B8745" i="1"/>
  <c r="G8744" i="1"/>
  <c r="B8744" i="1"/>
  <c r="G8743" i="1"/>
  <c r="B8743" i="1"/>
  <c r="G8742" i="1"/>
  <c r="C8742" i="1"/>
  <c r="B8742" i="1"/>
  <c r="G8741" i="1"/>
  <c r="C8741" i="1"/>
  <c r="B8741" i="1"/>
  <c r="G8740" i="1"/>
  <c r="B8740" i="1"/>
  <c r="G8739" i="1"/>
  <c r="B8739" i="1"/>
  <c r="G8738" i="1"/>
  <c r="B8738" i="1"/>
  <c r="G8737" i="1"/>
  <c r="C8737" i="1"/>
  <c r="B8737" i="1"/>
  <c r="G8736" i="1"/>
  <c r="B8736" i="1"/>
  <c r="G8735" i="1"/>
  <c r="C8735" i="1"/>
  <c r="B8735" i="1"/>
  <c r="G8734" i="1"/>
  <c r="B8734" i="1"/>
  <c r="G8733" i="1"/>
  <c r="C8733" i="1"/>
  <c r="B8733" i="1"/>
  <c r="G8732" i="1"/>
  <c r="C8732" i="1"/>
  <c r="B8732" i="1"/>
  <c r="G8731" i="1"/>
  <c r="C8731" i="1"/>
  <c r="B8731" i="1"/>
  <c r="G8730" i="1"/>
  <c r="C8730" i="1"/>
  <c r="B8730" i="1"/>
  <c r="G8729" i="1"/>
  <c r="B8729" i="1"/>
  <c r="G8728" i="1"/>
  <c r="C8728" i="1"/>
  <c r="B8728" i="1"/>
  <c r="G8727" i="1"/>
  <c r="B8727" i="1"/>
  <c r="G8726" i="1"/>
  <c r="B8726" i="1"/>
  <c r="G8725" i="1"/>
  <c r="B8725" i="1"/>
  <c r="G8724" i="1"/>
  <c r="C8724" i="1"/>
  <c r="B8724" i="1"/>
  <c r="G8723" i="1"/>
  <c r="C8723" i="1"/>
  <c r="B8723" i="1"/>
  <c r="G8722" i="1"/>
  <c r="C8722" i="1"/>
  <c r="B8722" i="1"/>
  <c r="G8721" i="1"/>
  <c r="C8721" i="1"/>
  <c r="B8721" i="1"/>
  <c r="G8720" i="1"/>
  <c r="C8720" i="1"/>
  <c r="B8720" i="1"/>
  <c r="G8719" i="1"/>
  <c r="B8719" i="1"/>
  <c r="G8718" i="1"/>
  <c r="C8718" i="1"/>
  <c r="B8718" i="1"/>
  <c r="G8717" i="1"/>
  <c r="C8717" i="1"/>
  <c r="B8717" i="1"/>
  <c r="G8716" i="1"/>
  <c r="C8716" i="1"/>
  <c r="B8716" i="1"/>
  <c r="G8715" i="1"/>
  <c r="B8715" i="1"/>
  <c r="G8714" i="1"/>
  <c r="C8714" i="1"/>
  <c r="B8714" i="1"/>
  <c r="G8713" i="1"/>
  <c r="C8713" i="1"/>
  <c r="B8713" i="1"/>
  <c r="G8712" i="1"/>
  <c r="B8712" i="1"/>
  <c r="G8711" i="1"/>
  <c r="C8711" i="1"/>
  <c r="B8711" i="1"/>
  <c r="G8710" i="1"/>
  <c r="C8710" i="1"/>
  <c r="B8710" i="1"/>
  <c r="G8709" i="1"/>
  <c r="C8709" i="1"/>
  <c r="B8709" i="1"/>
  <c r="G8708" i="1"/>
  <c r="C8708" i="1"/>
  <c r="B8708" i="1"/>
  <c r="G8707" i="1"/>
  <c r="C8707" i="1"/>
  <c r="B8707" i="1"/>
  <c r="G8706" i="1"/>
  <c r="B8706" i="1"/>
  <c r="G8705" i="1"/>
  <c r="C8705" i="1"/>
  <c r="B8705" i="1"/>
  <c r="G8704" i="1"/>
  <c r="B8704" i="1"/>
  <c r="G8703" i="1"/>
  <c r="C8703" i="1"/>
  <c r="B8703" i="1"/>
  <c r="G8702" i="1"/>
  <c r="C8702" i="1"/>
  <c r="B8702" i="1"/>
  <c r="G8701" i="1"/>
  <c r="C8701" i="1"/>
  <c r="B8701" i="1"/>
  <c r="G8700" i="1"/>
  <c r="C8700" i="1"/>
  <c r="B8700" i="1"/>
  <c r="G8699" i="1"/>
  <c r="C8699" i="1"/>
  <c r="B8699" i="1"/>
  <c r="G8698" i="1"/>
  <c r="B8698" i="1"/>
  <c r="G8697" i="1"/>
  <c r="C8697" i="1"/>
  <c r="B8697" i="1"/>
  <c r="G8696" i="1"/>
  <c r="C8696" i="1"/>
  <c r="B8696" i="1"/>
  <c r="G8695" i="1"/>
  <c r="C8695" i="1"/>
  <c r="B8695" i="1"/>
  <c r="G8694" i="1"/>
  <c r="C8694" i="1"/>
  <c r="B8694" i="1"/>
  <c r="G8693" i="1"/>
  <c r="C8693" i="1"/>
  <c r="B8693" i="1"/>
  <c r="G8692" i="1"/>
  <c r="C8692" i="1"/>
  <c r="B8692" i="1"/>
  <c r="G8691" i="1"/>
  <c r="C8691" i="1"/>
  <c r="B8691" i="1"/>
  <c r="G8690" i="1"/>
  <c r="C8690" i="1"/>
  <c r="B8690" i="1"/>
  <c r="G8689" i="1"/>
  <c r="B8689" i="1"/>
  <c r="G8688" i="1"/>
  <c r="C8688" i="1"/>
  <c r="B8688" i="1"/>
  <c r="G8687" i="1"/>
  <c r="C8687" i="1"/>
  <c r="B8687" i="1"/>
  <c r="G8686" i="1"/>
  <c r="C8686" i="1"/>
  <c r="B8686" i="1"/>
  <c r="G8685" i="1"/>
  <c r="B8685" i="1"/>
  <c r="G8684" i="1"/>
  <c r="C8684" i="1"/>
  <c r="B8684" i="1"/>
  <c r="G8683" i="1"/>
  <c r="C8683" i="1"/>
  <c r="B8683" i="1"/>
  <c r="G8682" i="1"/>
  <c r="C8682" i="1"/>
  <c r="B8682" i="1"/>
  <c r="G8681" i="1"/>
  <c r="C8681" i="1"/>
  <c r="B8681" i="1"/>
  <c r="G8680" i="1"/>
  <c r="B8680" i="1"/>
  <c r="G8679" i="1"/>
  <c r="B8679" i="1"/>
  <c r="G8678" i="1"/>
  <c r="B8678" i="1"/>
  <c r="G8677" i="1"/>
  <c r="B8677" i="1"/>
  <c r="G8676" i="1"/>
  <c r="B8676" i="1"/>
  <c r="G8675" i="1"/>
  <c r="B8675" i="1"/>
  <c r="G8674" i="1"/>
  <c r="C8674" i="1"/>
  <c r="B8674" i="1"/>
  <c r="G8673" i="1"/>
  <c r="B8673" i="1"/>
  <c r="G8672" i="1"/>
  <c r="C8672" i="1"/>
  <c r="B8672" i="1"/>
  <c r="G8671" i="1"/>
  <c r="C8671" i="1"/>
  <c r="B8671" i="1"/>
  <c r="G8670" i="1"/>
  <c r="B8670" i="1"/>
  <c r="G8669" i="1"/>
  <c r="B8669" i="1"/>
  <c r="G8668" i="1"/>
  <c r="C8668" i="1"/>
  <c r="B8668" i="1"/>
  <c r="G8667" i="1"/>
  <c r="C8667" i="1"/>
  <c r="B8667" i="1"/>
  <c r="G8666" i="1"/>
  <c r="C8666" i="1"/>
  <c r="B8666" i="1"/>
  <c r="G8665" i="1"/>
  <c r="C8665" i="1"/>
  <c r="B8665" i="1"/>
  <c r="G8664" i="1"/>
  <c r="B8664" i="1"/>
  <c r="G8663" i="1"/>
  <c r="C8663" i="1"/>
  <c r="B8663" i="1"/>
  <c r="G8662" i="1"/>
  <c r="C8662" i="1"/>
  <c r="B8662" i="1"/>
  <c r="G8661" i="1"/>
  <c r="C8661" i="1"/>
  <c r="B8661" i="1"/>
  <c r="G8660" i="1"/>
  <c r="B8660" i="1"/>
  <c r="G8659" i="1"/>
  <c r="B8659" i="1"/>
  <c r="G8658" i="1"/>
  <c r="B8658" i="1"/>
  <c r="G8657" i="1"/>
  <c r="C8657" i="1"/>
  <c r="B8657" i="1"/>
  <c r="G8656" i="1"/>
  <c r="C8656" i="1"/>
  <c r="B8656" i="1"/>
  <c r="G8655" i="1"/>
  <c r="B8655" i="1"/>
  <c r="G8654" i="1"/>
  <c r="B8654" i="1"/>
  <c r="G8653" i="1"/>
  <c r="C8653" i="1"/>
  <c r="B8653" i="1"/>
  <c r="G8652" i="1"/>
  <c r="C8652" i="1"/>
  <c r="B8652" i="1"/>
  <c r="G8651" i="1"/>
  <c r="C8651" i="1"/>
  <c r="B8651" i="1"/>
  <c r="G8650" i="1"/>
  <c r="B8650" i="1"/>
  <c r="G8649" i="1"/>
  <c r="B8649" i="1"/>
  <c r="G8648" i="1"/>
  <c r="B8648" i="1"/>
  <c r="G8647" i="1"/>
  <c r="C8647" i="1"/>
  <c r="B8647" i="1"/>
  <c r="G8646" i="1"/>
  <c r="B8646" i="1"/>
  <c r="G8645" i="1"/>
  <c r="C8645" i="1"/>
  <c r="B8645" i="1"/>
  <c r="G8644" i="1"/>
  <c r="B8644" i="1"/>
  <c r="G8643" i="1"/>
  <c r="B8643" i="1"/>
  <c r="G8642" i="1"/>
  <c r="B8642" i="1"/>
  <c r="G8641" i="1"/>
  <c r="C8641" i="1"/>
  <c r="B8641" i="1"/>
  <c r="G8640" i="1"/>
  <c r="C8640" i="1"/>
  <c r="B8640" i="1"/>
  <c r="G8639" i="1"/>
  <c r="C8639" i="1"/>
  <c r="B8639" i="1"/>
  <c r="G8638" i="1"/>
  <c r="C8638" i="1"/>
  <c r="B8638" i="1"/>
  <c r="G8637" i="1"/>
  <c r="C8637" i="1"/>
  <c r="B8637" i="1"/>
  <c r="G8636" i="1"/>
  <c r="C8636" i="1"/>
  <c r="B8636" i="1"/>
  <c r="G8635" i="1"/>
  <c r="C8635" i="1"/>
  <c r="B8635" i="1"/>
  <c r="G8634" i="1"/>
  <c r="C8634" i="1"/>
  <c r="B8634" i="1"/>
  <c r="G8633" i="1"/>
  <c r="C8633" i="1"/>
  <c r="B8633" i="1"/>
  <c r="G8632" i="1"/>
  <c r="B8632" i="1"/>
  <c r="G8631" i="1"/>
  <c r="C8631" i="1"/>
  <c r="B8631" i="1"/>
  <c r="G8630" i="1"/>
  <c r="B8630" i="1"/>
  <c r="G8629" i="1"/>
  <c r="C8629" i="1"/>
  <c r="B8629" i="1"/>
  <c r="G8628" i="1"/>
  <c r="B8628" i="1"/>
  <c r="G8627" i="1"/>
  <c r="C8627" i="1"/>
  <c r="B8627" i="1"/>
  <c r="G8626" i="1"/>
  <c r="C8626" i="1"/>
  <c r="B8626" i="1"/>
  <c r="G8625" i="1"/>
  <c r="C8625" i="1"/>
  <c r="B8625" i="1"/>
  <c r="G8624" i="1"/>
  <c r="C8624" i="1"/>
  <c r="B8624" i="1"/>
  <c r="G8623" i="1"/>
  <c r="C8623" i="1"/>
  <c r="B8623" i="1"/>
  <c r="G8622" i="1"/>
  <c r="C8622" i="1"/>
  <c r="B8622" i="1"/>
  <c r="G8621" i="1"/>
  <c r="C8621" i="1"/>
  <c r="B8621" i="1"/>
  <c r="G8620" i="1"/>
  <c r="C8620" i="1"/>
  <c r="B8620" i="1"/>
  <c r="G8619" i="1"/>
  <c r="C8619" i="1"/>
  <c r="B8619" i="1"/>
  <c r="G8618" i="1"/>
  <c r="B8618" i="1"/>
  <c r="G8617" i="1"/>
  <c r="C8617" i="1"/>
  <c r="B8617" i="1"/>
  <c r="G8616" i="1"/>
  <c r="C8616" i="1"/>
  <c r="B8616" i="1"/>
  <c r="G8615" i="1"/>
  <c r="B8615" i="1"/>
  <c r="G8614" i="1"/>
  <c r="B8614" i="1"/>
  <c r="G8613" i="1"/>
  <c r="C8613" i="1"/>
  <c r="B8613" i="1"/>
  <c r="G8612" i="1"/>
  <c r="C8612" i="1"/>
  <c r="B8612" i="1"/>
  <c r="G8611" i="1"/>
  <c r="C8611" i="1"/>
  <c r="B8611" i="1"/>
  <c r="G8610" i="1"/>
  <c r="C8610" i="1"/>
  <c r="B8610" i="1"/>
  <c r="G8609" i="1"/>
  <c r="C8609" i="1"/>
  <c r="B8609" i="1"/>
  <c r="G8608" i="1"/>
  <c r="C8608" i="1"/>
  <c r="B8608" i="1"/>
  <c r="G8607" i="1"/>
  <c r="C8607" i="1"/>
  <c r="B8607" i="1"/>
  <c r="G8606" i="1"/>
  <c r="B8606" i="1"/>
  <c r="G8605" i="1"/>
  <c r="B8605" i="1"/>
  <c r="G8604" i="1"/>
  <c r="C8604" i="1"/>
  <c r="B8604" i="1"/>
  <c r="G8603" i="1"/>
  <c r="C8603" i="1"/>
  <c r="B8603" i="1"/>
  <c r="G8602" i="1"/>
  <c r="C8602" i="1"/>
  <c r="B8602" i="1"/>
  <c r="G8601" i="1"/>
  <c r="C8601" i="1"/>
  <c r="B8601" i="1"/>
  <c r="G8600" i="1"/>
  <c r="B8600" i="1"/>
  <c r="G8599" i="1"/>
  <c r="C8599" i="1"/>
  <c r="B8599" i="1"/>
  <c r="G8598" i="1"/>
  <c r="B8598" i="1"/>
  <c r="G8597" i="1"/>
  <c r="B8597" i="1"/>
  <c r="G8596" i="1"/>
  <c r="C8596" i="1"/>
  <c r="B8596" i="1"/>
  <c r="G8595" i="1"/>
  <c r="C8595" i="1"/>
  <c r="B8595" i="1"/>
  <c r="G8594" i="1"/>
  <c r="B8594" i="1"/>
  <c r="G8593" i="1"/>
  <c r="B8593" i="1"/>
  <c r="G8592" i="1"/>
  <c r="C8592" i="1"/>
  <c r="B8592" i="1"/>
  <c r="G8591" i="1"/>
  <c r="B8591" i="1"/>
  <c r="G8590" i="1"/>
  <c r="C8590" i="1"/>
  <c r="B8590" i="1"/>
  <c r="G8589" i="1"/>
  <c r="C8589" i="1"/>
  <c r="B8589" i="1"/>
  <c r="G8588" i="1"/>
  <c r="C8588" i="1"/>
  <c r="B8588" i="1"/>
  <c r="G8587" i="1"/>
  <c r="B8587" i="1"/>
  <c r="G8586" i="1"/>
  <c r="C8586" i="1"/>
  <c r="B8586" i="1"/>
  <c r="G8585" i="1"/>
  <c r="C8585" i="1"/>
  <c r="B8585" i="1"/>
  <c r="G8584" i="1"/>
  <c r="C8584" i="1"/>
  <c r="B8584" i="1"/>
  <c r="G8583" i="1"/>
  <c r="B8583" i="1"/>
  <c r="G8582" i="1"/>
  <c r="C8582" i="1"/>
  <c r="B8582" i="1"/>
  <c r="G8581" i="1"/>
  <c r="B8581" i="1"/>
  <c r="G8580" i="1"/>
  <c r="B8580" i="1"/>
  <c r="G8579" i="1"/>
  <c r="C8579" i="1"/>
  <c r="B8579" i="1"/>
  <c r="G8578" i="1"/>
  <c r="B8578" i="1"/>
  <c r="G8577" i="1"/>
  <c r="C8577" i="1"/>
  <c r="B8577" i="1"/>
  <c r="G8576" i="1"/>
  <c r="C8576" i="1"/>
  <c r="B8576" i="1"/>
  <c r="G8575" i="1"/>
  <c r="C8575" i="1"/>
  <c r="B8575" i="1"/>
  <c r="G8574" i="1"/>
  <c r="C8574" i="1"/>
  <c r="B8574" i="1"/>
  <c r="G8573" i="1"/>
  <c r="C8573" i="1"/>
  <c r="B8573" i="1"/>
  <c r="G8572" i="1"/>
  <c r="C8572" i="1"/>
  <c r="B8572" i="1"/>
  <c r="G8571" i="1"/>
  <c r="C8571" i="1"/>
  <c r="B8571" i="1"/>
  <c r="G8570" i="1"/>
  <c r="B8570" i="1"/>
  <c r="G8569" i="1"/>
  <c r="C8569" i="1"/>
  <c r="B8569" i="1"/>
  <c r="G8568" i="1"/>
  <c r="C8568" i="1"/>
  <c r="B8568" i="1"/>
  <c r="G8567" i="1"/>
  <c r="B8567" i="1"/>
  <c r="G8566" i="1"/>
  <c r="B8566" i="1"/>
  <c r="G8565" i="1"/>
  <c r="C8565" i="1"/>
  <c r="B8565" i="1"/>
  <c r="G8564" i="1"/>
  <c r="C8564" i="1"/>
  <c r="B8564" i="1"/>
  <c r="G8563" i="1"/>
  <c r="B8563" i="1"/>
  <c r="G8562" i="1"/>
  <c r="C8562" i="1"/>
  <c r="B8562" i="1"/>
  <c r="G8561" i="1"/>
  <c r="C8561" i="1"/>
  <c r="B8561" i="1"/>
  <c r="G8560" i="1"/>
  <c r="C8560" i="1"/>
  <c r="B8560" i="1"/>
  <c r="G8559" i="1"/>
  <c r="C8559" i="1"/>
  <c r="B8559" i="1"/>
  <c r="G8558" i="1"/>
  <c r="C8558" i="1"/>
  <c r="B8558" i="1"/>
  <c r="G8557" i="1"/>
  <c r="C8557" i="1"/>
  <c r="B8557" i="1"/>
  <c r="G8556" i="1"/>
  <c r="C8556" i="1"/>
  <c r="B8556" i="1"/>
  <c r="G8555" i="1"/>
  <c r="C8555" i="1"/>
  <c r="B8555" i="1"/>
  <c r="G8554" i="1"/>
  <c r="B8554" i="1"/>
  <c r="G8553" i="1"/>
  <c r="B8553" i="1"/>
  <c r="G8552" i="1"/>
  <c r="C8552" i="1"/>
  <c r="B8552" i="1"/>
  <c r="G8551" i="1"/>
  <c r="B8551" i="1"/>
  <c r="G8550" i="1"/>
  <c r="C8550" i="1"/>
  <c r="B8550" i="1"/>
  <c r="G8549" i="1"/>
  <c r="C8549" i="1"/>
  <c r="B8549" i="1"/>
  <c r="G8548" i="1"/>
  <c r="C8548" i="1"/>
  <c r="B8548" i="1"/>
  <c r="G8547" i="1"/>
  <c r="B8547" i="1"/>
  <c r="G8546" i="1"/>
  <c r="C8546" i="1"/>
  <c r="B8546" i="1"/>
  <c r="G8545" i="1"/>
  <c r="C8545" i="1"/>
  <c r="B8545" i="1"/>
  <c r="G8544" i="1"/>
  <c r="B8544" i="1"/>
  <c r="G8543" i="1"/>
  <c r="C8543" i="1"/>
  <c r="B8543" i="1"/>
  <c r="G8542" i="1"/>
  <c r="C8542" i="1"/>
  <c r="B8542" i="1"/>
  <c r="G8541" i="1"/>
  <c r="C8541" i="1"/>
  <c r="B8541" i="1"/>
  <c r="G8540" i="1"/>
  <c r="C8540" i="1"/>
  <c r="B8540" i="1"/>
  <c r="G8539" i="1"/>
  <c r="C8539" i="1"/>
  <c r="B8539" i="1"/>
  <c r="G8538" i="1"/>
  <c r="C8538" i="1"/>
  <c r="B8538" i="1"/>
  <c r="G8537" i="1"/>
  <c r="C8537" i="1"/>
  <c r="B8537" i="1"/>
  <c r="G8536" i="1"/>
  <c r="B8536" i="1"/>
  <c r="G8535" i="1"/>
  <c r="C8535" i="1"/>
  <c r="B8535" i="1"/>
  <c r="G8534" i="1"/>
  <c r="B8534" i="1"/>
  <c r="G8533" i="1"/>
  <c r="B8533" i="1"/>
  <c r="G8532" i="1"/>
  <c r="B8532" i="1"/>
  <c r="G8531" i="1"/>
  <c r="C8531" i="1"/>
  <c r="B8531" i="1"/>
  <c r="G8530" i="1"/>
  <c r="C8530" i="1"/>
  <c r="B8530" i="1"/>
  <c r="G8529" i="1"/>
  <c r="B8529" i="1"/>
  <c r="G8528" i="1"/>
  <c r="C8528" i="1"/>
  <c r="B8528" i="1"/>
  <c r="G8527" i="1"/>
  <c r="C8527" i="1"/>
  <c r="B8527" i="1"/>
  <c r="G8526" i="1"/>
  <c r="C8526" i="1"/>
  <c r="B8526" i="1"/>
  <c r="G8525" i="1"/>
  <c r="C8525" i="1"/>
  <c r="B8525" i="1"/>
  <c r="G8524" i="1"/>
  <c r="C8524" i="1"/>
  <c r="B8524" i="1"/>
  <c r="G8523" i="1"/>
  <c r="B8523" i="1"/>
  <c r="G8522" i="1"/>
  <c r="B8522" i="1"/>
  <c r="G8521" i="1"/>
  <c r="C8521" i="1"/>
  <c r="B8521" i="1"/>
  <c r="G8520" i="1"/>
  <c r="C8520" i="1"/>
  <c r="B8520" i="1"/>
  <c r="G8519" i="1"/>
  <c r="C8519" i="1"/>
  <c r="B8519" i="1"/>
  <c r="G8518" i="1"/>
  <c r="C8518" i="1"/>
  <c r="B8518" i="1"/>
  <c r="G8517" i="1"/>
  <c r="B8517" i="1"/>
  <c r="G8516" i="1"/>
  <c r="C8516" i="1"/>
  <c r="B8516" i="1"/>
  <c r="G8515" i="1"/>
  <c r="B8515" i="1"/>
  <c r="G8514" i="1"/>
  <c r="B8514" i="1"/>
  <c r="G8513" i="1"/>
  <c r="C8513" i="1"/>
  <c r="B8513" i="1"/>
  <c r="G8512" i="1"/>
  <c r="C8512" i="1"/>
  <c r="B8512" i="1"/>
  <c r="G8511" i="1"/>
  <c r="B8511" i="1"/>
  <c r="G8510" i="1"/>
  <c r="B8510" i="1"/>
  <c r="G8509" i="1"/>
  <c r="C8509" i="1"/>
  <c r="B8509" i="1"/>
  <c r="G8508" i="1"/>
  <c r="B8508" i="1"/>
  <c r="G8507" i="1"/>
  <c r="B8507" i="1"/>
  <c r="G8506" i="1"/>
  <c r="C8506" i="1"/>
  <c r="B8506" i="1"/>
  <c r="G8505" i="1"/>
  <c r="C8505" i="1"/>
  <c r="B8505" i="1"/>
  <c r="G8504" i="1"/>
  <c r="C8504" i="1"/>
  <c r="B8504" i="1"/>
  <c r="G8503" i="1"/>
  <c r="B8503" i="1"/>
  <c r="G8502" i="1"/>
  <c r="C8502" i="1"/>
  <c r="B8502" i="1"/>
  <c r="G8501" i="1"/>
  <c r="B8501" i="1"/>
  <c r="G8500" i="1"/>
  <c r="B8500" i="1"/>
  <c r="G8499" i="1"/>
  <c r="C8499" i="1"/>
  <c r="B8499" i="1"/>
  <c r="G8498" i="1"/>
  <c r="C8498" i="1"/>
  <c r="B8498" i="1"/>
  <c r="G8497" i="1"/>
  <c r="B8497" i="1"/>
  <c r="G8496" i="1"/>
  <c r="B8496" i="1"/>
  <c r="G8495" i="1"/>
  <c r="B8495" i="1"/>
  <c r="G8494" i="1"/>
  <c r="B8494" i="1"/>
  <c r="G8493" i="1"/>
  <c r="B8493" i="1"/>
  <c r="G8492" i="1"/>
  <c r="C8492" i="1"/>
  <c r="B8492" i="1"/>
  <c r="G8491" i="1"/>
  <c r="B8491" i="1"/>
  <c r="G8490" i="1"/>
  <c r="B8490" i="1"/>
  <c r="G8489" i="1"/>
  <c r="C8489" i="1"/>
  <c r="B8489" i="1"/>
  <c r="G8488" i="1"/>
  <c r="C8488" i="1"/>
  <c r="B8488" i="1"/>
  <c r="G8487" i="1"/>
  <c r="B8487" i="1"/>
  <c r="G8486" i="1"/>
  <c r="C8486" i="1"/>
  <c r="B8486" i="1"/>
  <c r="G8485" i="1"/>
  <c r="B8485" i="1"/>
  <c r="G8484" i="1"/>
  <c r="C8484" i="1"/>
  <c r="B8484" i="1"/>
  <c r="G8483" i="1"/>
  <c r="B8483" i="1"/>
  <c r="G8482" i="1"/>
  <c r="C8482" i="1"/>
  <c r="B8482" i="1"/>
  <c r="G8481" i="1"/>
  <c r="C8481" i="1"/>
  <c r="B8481" i="1"/>
  <c r="G8480" i="1"/>
  <c r="B8480" i="1"/>
  <c r="G8479" i="1"/>
  <c r="B8479" i="1"/>
  <c r="G8478" i="1"/>
  <c r="B8478" i="1"/>
  <c r="G8477" i="1"/>
  <c r="B8477" i="1"/>
  <c r="G8476" i="1"/>
  <c r="C8476" i="1"/>
  <c r="B8476" i="1"/>
  <c r="G8475" i="1"/>
  <c r="B8475" i="1"/>
  <c r="G8474" i="1"/>
  <c r="B8474" i="1"/>
  <c r="G8473" i="1"/>
  <c r="C8473" i="1"/>
  <c r="B8473" i="1"/>
  <c r="G8472" i="1"/>
  <c r="B8472" i="1"/>
  <c r="G8471" i="1"/>
  <c r="C8471" i="1"/>
  <c r="B8471" i="1"/>
  <c r="G8470" i="1"/>
  <c r="C8470" i="1"/>
  <c r="B8470" i="1"/>
  <c r="G8469" i="1"/>
  <c r="C8469" i="1"/>
  <c r="B8469" i="1"/>
  <c r="G8468" i="1"/>
  <c r="C8468" i="1"/>
  <c r="B8468" i="1"/>
  <c r="G8467" i="1"/>
  <c r="C8467" i="1"/>
  <c r="B8467" i="1"/>
  <c r="G8466" i="1"/>
  <c r="C8466" i="1"/>
  <c r="B8466" i="1"/>
  <c r="G8465" i="1"/>
  <c r="C8465" i="1"/>
  <c r="B8465" i="1"/>
  <c r="G8464" i="1"/>
  <c r="C8464" i="1"/>
  <c r="B8464" i="1"/>
  <c r="G8463" i="1"/>
  <c r="C8463" i="1"/>
  <c r="B8463" i="1"/>
  <c r="G8462" i="1"/>
  <c r="C8462" i="1"/>
  <c r="B8462" i="1"/>
  <c r="G8461" i="1"/>
  <c r="C8461" i="1"/>
  <c r="B8461" i="1"/>
  <c r="G8460" i="1"/>
  <c r="C8460" i="1"/>
  <c r="B8460" i="1"/>
  <c r="G8459" i="1"/>
  <c r="B8459" i="1"/>
  <c r="G8458" i="1"/>
  <c r="B8458" i="1"/>
  <c r="G8457" i="1"/>
  <c r="B8457" i="1"/>
  <c r="G8456" i="1"/>
  <c r="C8456" i="1"/>
  <c r="B8456" i="1"/>
  <c r="G8455" i="1"/>
  <c r="B8455" i="1"/>
  <c r="G8454" i="1"/>
  <c r="B8454" i="1"/>
  <c r="G8453" i="1"/>
  <c r="C8453" i="1"/>
  <c r="B8453" i="1"/>
  <c r="G8452" i="1"/>
  <c r="B8452" i="1"/>
  <c r="G8451" i="1"/>
  <c r="B8451" i="1"/>
  <c r="G8450" i="1"/>
  <c r="C8450" i="1"/>
  <c r="B8450" i="1"/>
  <c r="G8449" i="1"/>
  <c r="C8449" i="1"/>
  <c r="B8449" i="1"/>
  <c r="G8448" i="1"/>
  <c r="C8448" i="1"/>
  <c r="B8448" i="1"/>
  <c r="G8447" i="1"/>
  <c r="C8447" i="1"/>
  <c r="B8447" i="1"/>
  <c r="G8446" i="1"/>
  <c r="C8446" i="1"/>
  <c r="B8446" i="1"/>
  <c r="G8445" i="1"/>
  <c r="B8445" i="1"/>
  <c r="G8444" i="1"/>
  <c r="B8444" i="1"/>
  <c r="G8443" i="1"/>
  <c r="B8443" i="1"/>
  <c r="G8442" i="1"/>
  <c r="C8442" i="1"/>
  <c r="B8442" i="1"/>
  <c r="G8441" i="1"/>
  <c r="B8441" i="1"/>
  <c r="G8440" i="1"/>
  <c r="C8440" i="1"/>
  <c r="B8440" i="1"/>
  <c r="G8439" i="1"/>
  <c r="C8439" i="1"/>
  <c r="B8439" i="1"/>
  <c r="G8438" i="1"/>
  <c r="C8438" i="1"/>
  <c r="B8438" i="1"/>
  <c r="G8437" i="1"/>
  <c r="C8437" i="1"/>
  <c r="B8437" i="1"/>
  <c r="G8436" i="1"/>
  <c r="C8436" i="1"/>
  <c r="B8436" i="1"/>
  <c r="G8435" i="1"/>
  <c r="C8435" i="1"/>
  <c r="B8435" i="1"/>
  <c r="G8434" i="1"/>
  <c r="B8434" i="1"/>
  <c r="G8433" i="1"/>
  <c r="C8433" i="1"/>
  <c r="B8433" i="1"/>
  <c r="G8432" i="1"/>
  <c r="C8432" i="1"/>
  <c r="B8432" i="1"/>
  <c r="G8431" i="1"/>
  <c r="C8431" i="1"/>
  <c r="B8431" i="1"/>
  <c r="G8430" i="1"/>
  <c r="C8430" i="1"/>
  <c r="B8430" i="1"/>
  <c r="G8429" i="1"/>
  <c r="B8429" i="1"/>
  <c r="G8428" i="1"/>
  <c r="C8428" i="1"/>
  <c r="B8428" i="1"/>
  <c r="G8427" i="1"/>
  <c r="C8427" i="1"/>
  <c r="B8427" i="1"/>
  <c r="G8426" i="1"/>
  <c r="C8426" i="1"/>
  <c r="B8426" i="1"/>
  <c r="G8425" i="1"/>
  <c r="C8425" i="1"/>
  <c r="B8425" i="1"/>
  <c r="G8424" i="1"/>
  <c r="C8424" i="1"/>
  <c r="B8424" i="1"/>
  <c r="G8423" i="1"/>
  <c r="B8423" i="1"/>
  <c r="G8422" i="1"/>
  <c r="B8422" i="1"/>
  <c r="G8421" i="1"/>
  <c r="C8421" i="1"/>
  <c r="B8421" i="1"/>
  <c r="G8420" i="1"/>
  <c r="C8420" i="1"/>
  <c r="B8420" i="1"/>
  <c r="G8419" i="1"/>
  <c r="C8419" i="1"/>
  <c r="B8419" i="1"/>
  <c r="G8418" i="1"/>
  <c r="C8418" i="1"/>
  <c r="B8418" i="1"/>
  <c r="G8417" i="1"/>
  <c r="B8417" i="1"/>
  <c r="G8416" i="1"/>
  <c r="C8416" i="1"/>
  <c r="B8416" i="1"/>
  <c r="G8415" i="1"/>
  <c r="B8415" i="1"/>
  <c r="G8414" i="1"/>
  <c r="C8414" i="1"/>
  <c r="B8414" i="1"/>
  <c r="G8413" i="1"/>
  <c r="C8413" i="1"/>
  <c r="B8413" i="1"/>
  <c r="G8412" i="1"/>
  <c r="C8412" i="1"/>
  <c r="B8412" i="1"/>
  <c r="G8411" i="1"/>
  <c r="B8411" i="1"/>
  <c r="G8410" i="1"/>
  <c r="C8410" i="1"/>
  <c r="B8410" i="1"/>
  <c r="G8409" i="1"/>
  <c r="C8409" i="1"/>
  <c r="B8409" i="1"/>
  <c r="G8408" i="1"/>
  <c r="B8408" i="1"/>
  <c r="G8407" i="1"/>
  <c r="C8407" i="1"/>
  <c r="B8407" i="1"/>
  <c r="G8406" i="1"/>
  <c r="B8406" i="1"/>
  <c r="G8405" i="1"/>
  <c r="C8405" i="1"/>
  <c r="B8405" i="1"/>
  <c r="G8404" i="1"/>
  <c r="C8404" i="1"/>
  <c r="B8404" i="1"/>
  <c r="G8403" i="1"/>
  <c r="C8403" i="1"/>
  <c r="B8403" i="1"/>
  <c r="G8402" i="1"/>
  <c r="C8402" i="1"/>
  <c r="B8402" i="1"/>
  <c r="G8401" i="1"/>
  <c r="C8401" i="1"/>
  <c r="B8401" i="1"/>
  <c r="G8400" i="1"/>
  <c r="B8400" i="1"/>
  <c r="G8399" i="1"/>
  <c r="C8399" i="1"/>
  <c r="B8399" i="1"/>
  <c r="G8398" i="1"/>
  <c r="B8398" i="1"/>
  <c r="G8397" i="1"/>
  <c r="B8397" i="1"/>
  <c r="G8396" i="1"/>
  <c r="B8396" i="1"/>
  <c r="G8395" i="1"/>
  <c r="C8395" i="1"/>
  <c r="B8395" i="1"/>
  <c r="G8394" i="1"/>
  <c r="C8394" i="1"/>
  <c r="B8394" i="1"/>
  <c r="G8393" i="1"/>
  <c r="C8393" i="1"/>
  <c r="B8393" i="1"/>
  <c r="G8392" i="1"/>
  <c r="C8392" i="1"/>
  <c r="B8392" i="1"/>
  <c r="G8391" i="1"/>
  <c r="C8391" i="1"/>
  <c r="B8391" i="1"/>
  <c r="G8390" i="1"/>
  <c r="B8390" i="1"/>
  <c r="G8389" i="1"/>
  <c r="C8389" i="1"/>
  <c r="B8389" i="1"/>
  <c r="G8388" i="1"/>
  <c r="C8388" i="1"/>
  <c r="B8388" i="1"/>
  <c r="G8387" i="1"/>
  <c r="C8387" i="1"/>
  <c r="B8387" i="1"/>
  <c r="G8386" i="1"/>
  <c r="B8386" i="1"/>
  <c r="G8385" i="1"/>
  <c r="C8385" i="1"/>
  <c r="B8385" i="1"/>
  <c r="G8384" i="1"/>
  <c r="C8384" i="1"/>
  <c r="B8384" i="1"/>
  <c r="G8383" i="1"/>
  <c r="B8383" i="1"/>
  <c r="G8382" i="1"/>
  <c r="C8382" i="1"/>
  <c r="B8382" i="1"/>
  <c r="G8381" i="1"/>
  <c r="B8381" i="1"/>
  <c r="G8380" i="1"/>
  <c r="B8380" i="1"/>
  <c r="G8379" i="1"/>
  <c r="C8379" i="1"/>
  <c r="B8379" i="1"/>
  <c r="G8378" i="1"/>
  <c r="C8378" i="1"/>
  <c r="B8378" i="1"/>
  <c r="G8377" i="1"/>
  <c r="C8377" i="1"/>
  <c r="B8377" i="1"/>
  <c r="G8376" i="1"/>
  <c r="C8376" i="1"/>
  <c r="B8376" i="1"/>
  <c r="G8375" i="1"/>
  <c r="B8375" i="1"/>
  <c r="G8374" i="1"/>
  <c r="B8374" i="1"/>
  <c r="G8373" i="1"/>
  <c r="C8373" i="1"/>
  <c r="B8373" i="1"/>
  <c r="G8372" i="1"/>
  <c r="C8372" i="1"/>
  <c r="B8372" i="1"/>
  <c r="G8371" i="1"/>
  <c r="C8371" i="1"/>
  <c r="B8371" i="1"/>
  <c r="G8370" i="1"/>
  <c r="C8370" i="1"/>
  <c r="B8370" i="1"/>
  <c r="G8369" i="1"/>
  <c r="C8369" i="1"/>
  <c r="B8369" i="1"/>
  <c r="G8368" i="1"/>
  <c r="B8368" i="1"/>
  <c r="G8367" i="1"/>
  <c r="B8367" i="1"/>
  <c r="G8366" i="1"/>
  <c r="C8366" i="1"/>
  <c r="B8366" i="1"/>
  <c r="G8365" i="1"/>
  <c r="B8365" i="1"/>
  <c r="G8364" i="1"/>
  <c r="C8364" i="1"/>
  <c r="B8364" i="1"/>
  <c r="G8363" i="1"/>
  <c r="C8363" i="1"/>
  <c r="B8363" i="1"/>
  <c r="G8362" i="1"/>
  <c r="B8362" i="1"/>
  <c r="G8361" i="1"/>
  <c r="C8361" i="1"/>
  <c r="B8361" i="1"/>
  <c r="G8360" i="1"/>
  <c r="C8360" i="1"/>
  <c r="B8360" i="1"/>
  <c r="G8359" i="1"/>
  <c r="C8359" i="1"/>
  <c r="B8359" i="1"/>
  <c r="G8358" i="1"/>
  <c r="C8358" i="1"/>
  <c r="B8358" i="1"/>
  <c r="G8357" i="1"/>
  <c r="C8357" i="1"/>
  <c r="B8357" i="1"/>
  <c r="G8356" i="1"/>
  <c r="C8356" i="1"/>
  <c r="B8356" i="1"/>
  <c r="G8355" i="1"/>
  <c r="C8355" i="1"/>
  <c r="B8355" i="1"/>
  <c r="G8354" i="1"/>
  <c r="C8354" i="1"/>
  <c r="B8354" i="1"/>
  <c r="G8353" i="1"/>
  <c r="B8353" i="1"/>
  <c r="G8352" i="1"/>
  <c r="C8352" i="1"/>
  <c r="B8352" i="1"/>
  <c r="G8351" i="1"/>
  <c r="C8351" i="1"/>
  <c r="B8351" i="1"/>
  <c r="G8350" i="1"/>
  <c r="C8350" i="1"/>
  <c r="B8350" i="1"/>
  <c r="G8349" i="1"/>
  <c r="C8349" i="1"/>
  <c r="B8349" i="1"/>
  <c r="G8348" i="1"/>
  <c r="C8348" i="1"/>
  <c r="B8348" i="1"/>
  <c r="G8347" i="1"/>
  <c r="C8347" i="1"/>
  <c r="B8347" i="1"/>
  <c r="G8346" i="1"/>
  <c r="C8346" i="1"/>
  <c r="B8346" i="1"/>
  <c r="G8345" i="1"/>
  <c r="B8345" i="1"/>
  <c r="G8344" i="1"/>
  <c r="C8344" i="1"/>
  <c r="B8344" i="1"/>
  <c r="G8343" i="1"/>
  <c r="C8343" i="1"/>
  <c r="B8343" i="1"/>
  <c r="G8342" i="1"/>
  <c r="B8342" i="1"/>
  <c r="G8341" i="1"/>
  <c r="C8341" i="1"/>
  <c r="B8341" i="1"/>
  <c r="G8340" i="1"/>
  <c r="B8340" i="1"/>
  <c r="G8339" i="1"/>
  <c r="B8339" i="1"/>
  <c r="G8338" i="1"/>
  <c r="C8338" i="1"/>
  <c r="B8338" i="1"/>
  <c r="G8337" i="1"/>
  <c r="C8337" i="1"/>
  <c r="B8337" i="1"/>
  <c r="G8336" i="1"/>
  <c r="C8336" i="1"/>
  <c r="B8336" i="1"/>
  <c r="G8335" i="1"/>
  <c r="C8335" i="1"/>
  <c r="B8335" i="1"/>
  <c r="G8334" i="1"/>
  <c r="C8334" i="1"/>
  <c r="B8334" i="1"/>
  <c r="G8333" i="1"/>
  <c r="C8333" i="1"/>
  <c r="B8333" i="1"/>
  <c r="G8332" i="1"/>
  <c r="C8332" i="1"/>
  <c r="B8332" i="1"/>
  <c r="G8331" i="1"/>
  <c r="B8331" i="1"/>
  <c r="G8330" i="1"/>
  <c r="C8330" i="1"/>
  <c r="B8330" i="1"/>
  <c r="G8329" i="1"/>
  <c r="C8329" i="1"/>
  <c r="B8329" i="1"/>
  <c r="G8328" i="1"/>
  <c r="C8328" i="1"/>
  <c r="B8328" i="1"/>
  <c r="G8327" i="1"/>
  <c r="C8327" i="1"/>
  <c r="B8327" i="1"/>
  <c r="G8326" i="1"/>
  <c r="C8326" i="1"/>
  <c r="B8326" i="1"/>
  <c r="G8325" i="1"/>
  <c r="C8325" i="1"/>
  <c r="B8325" i="1"/>
  <c r="G8324" i="1"/>
  <c r="C8324" i="1"/>
  <c r="B8324" i="1"/>
  <c r="G8323" i="1"/>
  <c r="C8323" i="1"/>
  <c r="B8323" i="1"/>
  <c r="G8322" i="1"/>
  <c r="C8322" i="1"/>
  <c r="B8322" i="1"/>
  <c r="G8321" i="1"/>
  <c r="C8321" i="1"/>
  <c r="B8321" i="1"/>
  <c r="G8320" i="1"/>
  <c r="C8320" i="1"/>
  <c r="B8320" i="1"/>
  <c r="G8319" i="1"/>
  <c r="C8319" i="1"/>
  <c r="B8319" i="1"/>
  <c r="G8318" i="1"/>
  <c r="C8318" i="1"/>
  <c r="B8318" i="1"/>
  <c r="G8317" i="1"/>
  <c r="B8317" i="1"/>
  <c r="G8316" i="1"/>
  <c r="C8316" i="1"/>
  <c r="B8316" i="1"/>
  <c r="G8315" i="1"/>
  <c r="C8315" i="1"/>
  <c r="B8315" i="1"/>
  <c r="G8314" i="1"/>
  <c r="C8314" i="1"/>
  <c r="B8314" i="1"/>
  <c r="G8313" i="1"/>
  <c r="C8313" i="1"/>
  <c r="B8313" i="1"/>
  <c r="G8312" i="1"/>
  <c r="C8312" i="1"/>
  <c r="B8312" i="1"/>
  <c r="G8311" i="1"/>
  <c r="C8311" i="1"/>
  <c r="B8311" i="1"/>
  <c r="G8310" i="1"/>
  <c r="C8310" i="1"/>
  <c r="B8310" i="1"/>
  <c r="G8309" i="1"/>
  <c r="C8309" i="1"/>
  <c r="B8309" i="1"/>
  <c r="G8308" i="1"/>
  <c r="C8308" i="1"/>
  <c r="B8308" i="1"/>
  <c r="G8307" i="1"/>
  <c r="C8307" i="1"/>
  <c r="B8307" i="1"/>
  <c r="G8306" i="1"/>
  <c r="B8306" i="1"/>
  <c r="G8305" i="1"/>
  <c r="C8305" i="1"/>
  <c r="B8305" i="1"/>
  <c r="G8304" i="1"/>
  <c r="C8304" i="1"/>
  <c r="B8304" i="1"/>
  <c r="G8303" i="1"/>
  <c r="B8303" i="1"/>
  <c r="G8302" i="1"/>
  <c r="C8302" i="1"/>
  <c r="B8302" i="1"/>
  <c r="G8301" i="1"/>
  <c r="C8301" i="1"/>
  <c r="B8301" i="1"/>
  <c r="G8300" i="1"/>
  <c r="C8300" i="1"/>
  <c r="B8300" i="1"/>
  <c r="G8299" i="1"/>
  <c r="C8299" i="1"/>
  <c r="B8299" i="1"/>
  <c r="G8298" i="1"/>
  <c r="B8298" i="1"/>
  <c r="G8297" i="1"/>
  <c r="C8297" i="1"/>
  <c r="B8297" i="1"/>
  <c r="G8296" i="1"/>
  <c r="C8296" i="1"/>
  <c r="B8296" i="1"/>
  <c r="G8295" i="1"/>
  <c r="C8295" i="1"/>
  <c r="B8295" i="1"/>
  <c r="G8294" i="1"/>
  <c r="B8294" i="1"/>
  <c r="G8293" i="1"/>
  <c r="B8293" i="1"/>
  <c r="G8292" i="1"/>
  <c r="B8292" i="1"/>
  <c r="G8291" i="1"/>
  <c r="C8291" i="1"/>
  <c r="B8291" i="1"/>
  <c r="G8290" i="1"/>
  <c r="C8290" i="1"/>
  <c r="B8290" i="1"/>
  <c r="G8289" i="1"/>
  <c r="C8289" i="1"/>
  <c r="B8289" i="1"/>
  <c r="G8288" i="1"/>
  <c r="C8288" i="1"/>
  <c r="B8288" i="1"/>
  <c r="G8287" i="1"/>
  <c r="C8287" i="1"/>
  <c r="B8287" i="1"/>
  <c r="G8286" i="1"/>
  <c r="C8286" i="1"/>
  <c r="B8286" i="1"/>
  <c r="G8285" i="1"/>
  <c r="C8285" i="1"/>
  <c r="B8285" i="1"/>
  <c r="G8284" i="1"/>
  <c r="C8284" i="1"/>
  <c r="B8284" i="1"/>
  <c r="G8283" i="1"/>
  <c r="C8283" i="1"/>
  <c r="B8283" i="1"/>
  <c r="G8282" i="1"/>
  <c r="C8282" i="1"/>
  <c r="B8282" i="1"/>
  <c r="G8281" i="1"/>
  <c r="B8281" i="1"/>
  <c r="G8280" i="1"/>
  <c r="C8280" i="1"/>
  <c r="B8280" i="1"/>
  <c r="G8279" i="1"/>
  <c r="B8279" i="1"/>
  <c r="G8278" i="1"/>
  <c r="B8278" i="1"/>
  <c r="G8277" i="1"/>
  <c r="B8277" i="1"/>
  <c r="G8276" i="1"/>
  <c r="C8276" i="1"/>
  <c r="B8276" i="1"/>
  <c r="G8275" i="1"/>
  <c r="C8275" i="1"/>
  <c r="B8275" i="1"/>
  <c r="G8274" i="1"/>
  <c r="C8274" i="1"/>
  <c r="B8274" i="1"/>
  <c r="G8273" i="1"/>
  <c r="C8273" i="1"/>
  <c r="B8273" i="1"/>
  <c r="G8272" i="1"/>
  <c r="B8272" i="1"/>
  <c r="G8271" i="1"/>
  <c r="B8271" i="1"/>
  <c r="G8270" i="1"/>
  <c r="C8270" i="1"/>
  <c r="B8270" i="1"/>
  <c r="G8269" i="1"/>
  <c r="C8269" i="1"/>
  <c r="B8269" i="1"/>
  <c r="G8268" i="1"/>
  <c r="C8268" i="1"/>
  <c r="B8268" i="1"/>
  <c r="G8267" i="1"/>
  <c r="B8267" i="1"/>
  <c r="G8266" i="1"/>
  <c r="C8266" i="1"/>
  <c r="B8266" i="1"/>
  <c r="G8265" i="1"/>
  <c r="C8265" i="1"/>
  <c r="B8265" i="1"/>
  <c r="G8264" i="1"/>
  <c r="C8264" i="1"/>
  <c r="B8264" i="1"/>
  <c r="G8263" i="1"/>
  <c r="B8263" i="1"/>
  <c r="G8262" i="1"/>
  <c r="C8262" i="1"/>
  <c r="B8262" i="1"/>
  <c r="G8261" i="1"/>
  <c r="B8261" i="1"/>
  <c r="G8260" i="1"/>
  <c r="B8260" i="1"/>
  <c r="G8259" i="1"/>
  <c r="B8259" i="1"/>
  <c r="G8258" i="1"/>
  <c r="C8258" i="1"/>
  <c r="B8258" i="1"/>
  <c r="G8257" i="1"/>
  <c r="C8257" i="1"/>
  <c r="B8257" i="1"/>
  <c r="G8256" i="1"/>
  <c r="B8256" i="1"/>
  <c r="G8255" i="1"/>
  <c r="C8255" i="1"/>
  <c r="B8255" i="1"/>
  <c r="G8254" i="1"/>
  <c r="C8254" i="1"/>
  <c r="B8254" i="1"/>
  <c r="G8253" i="1"/>
  <c r="C8253" i="1"/>
  <c r="B8253" i="1"/>
  <c r="G8252" i="1"/>
  <c r="C8252" i="1"/>
  <c r="B8252" i="1"/>
  <c r="G8251" i="1"/>
  <c r="C8251" i="1"/>
  <c r="B8251" i="1"/>
  <c r="G8250" i="1"/>
  <c r="C8250" i="1"/>
  <c r="B8250" i="1"/>
  <c r="G8249" i="1"/>
  <c r="C8249" i="1"/>
  <c r="B8249" i="1"/>
  <c r="G8248" i="1"/>
  <c r="C8248" i="1"/>
  <c r="B8248" i="1"/>
  <c r="G8247" i="1"/>
  <c r="C8247" i="1"/>
  <c r="B8247" i="1"/>
  <c r="G8246" i="1"/>
  <c r="C8246" i="1"/>
  <c r="B8246" i="1"/>
  <c r="G8245" i="1"/>
  <c r="C8245" i="1"/>
  <c r="B8245" i="1"/>
  <c r="G8244" i="1"/>
  <c r="C8244" i="1"/>
  <c r="B8244" i="1"/>
  <c r="G8243" i="1"/>
  <c r="C8243" i="1"/>
  <c r="B8243" i="1"/>
  <c r="G8242" i="1"/>
  <c r="C8242" i="1"/>
  <c r="B8242" i="1"/>
  <c r="G8241" i="1"/>
  <c r="B8241" i="1"/>
  <c r="G8240" i="1"/>
  <c r="C8240" i="1"/>
  <c r="B8240" i="1"/>
  <c r="G8239" i="1"/>
  <c r="B8239" i="1"/>
  <c r="G8238" i="1"/>
  <c r="B8238" i="1"/>
  <c r="G8237" i="1"/>
  <c r="C8237" i="1"/>
  <c r="B8237" i="1"/>
  <c r="G8236" i="1"/>
  <c r="B8236" i="1"/>
  <c r="G8235" i="1"/>
  <c r="B8235" i="1"/>
  <c r="G8234" i="1"/>
  <c r="C8234" i="1"/>
  <c r="B8234" i="1"/>
  <c r="G8233" i="1"/>
  <c r="C8233" i="1"/>
  <c r="B8233" i="1"/>
  <c r="G8232" i="1"/>
  <c r="B8232" i="1"/>
  <c r="G8231" i="1"/>
  <c r="C8231" i="1"/>
  <c r="B8231" i="1"/>
  <c r="G8230" i="1"/>
  <c r="B8230" i="1"/>
  <c r="G8229" i="1"/>
  <c r="C8229" i="1"/>
  <c r="B8229" i="1"/>
  <c r="G8228" i="1"/>
  <c r="B8228" i="1"/>
  <c r="G8227" i="1"/>
  <c r="C8227" i="1"/>
  <c r="B8227" i="1"/>
  <c r="G8226" i="1"/>
  <c r="C8226" i="1"/>
  <c r="B8226" i="1"/>
  <c r="G8225" i="1"/>
  <c r="C8225" i="1"/>
  <c r="B8225" i="1"/>
  <c r="G8224" i="1"/>
  <c r="C8224" i="1"/>
  <c r="B8224" i="1"/>
  <c r="G8223" i="1"/>
  <c r="C8223" i="1"/>
  <c r="B8223" i="1"/>
  <c r="G8222" i="1"/>
  <c r="B8222" i="1"/>
  <c r="G8221" i="1"/>
  <c r="C8221" i="1"/>
  <c r="B8221" i="1"/>
  <c r="G8220" i="1"/>
  <c r="C8220" i="1"/>
  <c r="B8220" i="1"/>
  <c r="G8219" i="1"/>
  <c r="C8219" i="1"/>
  <c r="B8219" i="1"/>
  <c r="G8218" i="1"/>
  <c r="B8218" i="1"/>
  <c r="G8217" i="1"/>
  <c r="C8217" i="1"/>
  <c r="B8217" i="1"/>
  <c r="G8216" i="1"/>
  <c r="C8216" i="1"/>
  <c r="B8216" i="1"/>
  <c r="G8215" i="1"/>
  <c r="C8215" i="1"/>
  <c r="B8215" i="1"/>
  <c r="G8214" i="1"/>
  <c r="B8214" i="1"/>
  <c r="G8213" i="1"/>
  <c r="C8213" i="1"/>
  <c r="B8213" i="1"/>
  <c r="G8212" i="1"/>
  <c r="C8212" i="1"/>
  <c r="B8212" i="1"/>
  <c r="G8211" i="1"/>
  <c r="C8211" i="1"/>
  <c r="B8211" i="1"/>
  <c r="G8210" i="1"/>
  <c r="C8210" i="1"/>
  <c r="B8210" i="1"/>
  <c r="G8209" i="1"/>
  <c r="C8209" i="1"/>
  <c r="B8209" i="1"/>
  <c r="G8208" i="1"/>
  <c r="C8208" i="1"/>
  <c r="B8208" i="1"/>
  <c r="G8207" i="1"/>
  <c r="C8207" i="1"/>
  <c r="B8207" i="1"/>
  <c r="G8206" i="1"/>
  <c r="B8206" i="1"/>
  <c r="G8205" i="1"/>
  <c r="C8205" i="1"/>
  <c r="B8205" i="1"/>
  <c r="G8204" i="1"/>
  <c r="B8204" i="1"/>
  <c r="G8203" i="1"/>
  <c r="C8203" i="1"/>
  <c r="B8203" i="1"/>
  <c r="G8202" i="1"/>
  <c r="C8202" i="1"/>
  <c r="B8202" i="1"/>
  <c r="G8201" i="1"/>
  <c r="C8201" i="1"/>
  <c r="B8201" i="1"/>
  <c r="G8200" i="1"/>
  <c r="B8200" i="1"/>
  <c r="G8199" i="1"/>
  <c r="B8199" i="1"/>
  <c r="G8198" i="1"/>
  <c r="B8198" i="1"/>
  <c r="G8197" i="1"/>
  <c r="B8197" i="1"/>
  <c r="G8196" i="1"/>
  <c r="C8196" i="1"/>
  <c r="B8196" i="1"/>
  <c r="G8195" i="1"/>
  <c r="C8195" i="1"/>
  <c r="B8195" i="1"/>
  <c r="G8194" i="1"/>
  <c r="B8194" i="1"/>
  <c r="G8193" i="1"/>
  <c r="B8193" i="1"/>
  <c r="G8192" i="1"/>
  <c r="C8192" i="1"/>
  <c r="B8192" i="1"/>
  <c r="G8191" i="1"/>
  <c r="B8191" i="1"/>
  <c r="G8190" i="1"/>
  <c r="C8190" i="1"/>
  <c r="B8190" i="1"/>
  <c r="G8189" i="1"/>
  <c r="C8189" i="1"/>
  <c r="B8189" i="1"/>
  <c r="G8188" i="1"/>
  <c r="B8188" i="1"/>
  <c r="G8187" i="1"/>
  <c r="C8187" i="1"/>
  <c r="B8187" i="1"/>
  <c r="G8186" i="1"/>
  <c r="C8186" i="1"/>
  <c r="B8186" i="1"/>
  <c r="G8185" i="1"/>
  <c r="B8185" i="1"/>
  <c r="G8184" i="1"/>
  <c r="C8184" i="1"/>
  <c r="B8184" i="1"/>
  <c r="G8183" i="1"/>
  <c r="C8183" i="1"/>
  <c r="B8183" i="1"/>
  <c r="G8182" i="1"/>
  <c r="C8182" i="1"/>
  <c r="B8182" i="1"/>
  <c r="G8181" i="1"/>
  <c r="B8181" i="1"/>
  <c r="G8180" i="1"/>
  <c r="C8180" i="1"/>
  <c r="B8180" i="1"/>
  <c r="G8179" i="1"/>
  <c r="C8179" i="1"/>
  <c r="B8179" i="1"/>
  <c r="G8178" i="1"/>
  <c r="C8178" i="1"/>
  <c r="B8178" i="1"/>
  <c r="G8177" i="1"/>
  <c r="B8177" i="1"/>
  <c r="G8176" i="1"/>
  <c r="C8176" i="1"/>
  <c r="B8176" i="1"/>
  <c r="G8175" i="1"/>
  <c r="C8175" i="1"/>
  <c r="B8175" i="1"/>
  <c r="G8174" i="1"/>
  <c r="C8174" i="1"/>
  <c r="B8174" i="1"/>
  <c r="G8173" i="1"/>
  <c r="C8173" i="1"/>
  <c r="B8173" i="1"/>
  <c r="G8172" i="1"/>
  <c r="B8172" i="1"/>
  <c r="G8171" i="1"/>
  <c r="C8171" i="1"/>
  <c r="B8171" i="1"/>
  <c r="G8170" i="1"/>
  <c r="C8170" i="1"/>
  <c r="B8170" i="1"/>
  <c r="G8169" i="1"/>
  <c r="B8169" i="1"/>
  <c r="G8168" i="1"/>
  <c r="C8168" i="1"/>
  <c r="B8168" i="1"/>
  <c r="G8167" i="1"/>
  <c r="C8167" i="1"/>
  <c r="B8167" i="1"/>
  <c r="G8166" i="1"/>
  <c r="C8166" i="1"/>
  <c r="B8166" i="1"/>
  <c r="G8165" i="1"/>
  <c r="C8165" i="1"/>
  <c r="B8165" i="1"/>
  <c r="G8164" i="1"/>
  <c r="C8164" i="1"/>
  <c r="B8164" i="1"/>
  <c r="G8163" i="1"/>
  <c r="C8163" i="1"/>
  <c r="B8163" i="1"/>
  <c r="G8162" i="1"/>
  <c r="C8162" i="1"/>
  <c r="B8162" i="1"/>
  <c r="G8161" i="1"/>
  <c r="C8161" i="1"/>
  <c r="B8161" i="1"/>
  <c r="G8160" i="1"/>
  <c r="C8160" i="1"/>
  <c r="B8160" i="1"/>
  <c r="G8159" i="1"/>
  <c r="C8159" i="1"/>
  <c r="B8159" i="1"/>
  <c r="G8158" i="1"/>
  <c r="C8158" i="1"/>
  <c r="B8158" i="1"/>
  <c r="G8157" i="1"/>
  <c r="C8157" i="1"/>
  <c r="B8157" i="1"/>
  <c r="G8156" i="1"/>
  <c r="C8156" i="1"/>
  <c r="B8156" i="1"/>
  <c r="G8155" i="1"/>
  <c r="C8155" i="1"/>
  <c r="B8155" i="1"/>
  <c r="G8154" i="1"/>
  <c r="C8154" i="1"/>
  <c r="B8154" i="1"/>
  <c r="G8153" i="1"/>
  <c r="C8153" i="1"/>
  <c r="B8153" i="1"/>
  <c r="G8152" i="1"/>
  <c r="C8152" i="1"/>
  <c r="B8152" i="1"/>
  <c r="G8151" i="1"/>
  <c r="C8151" i="1"/>
  <c r="B8151" i="1"/>
  <c r="G8150" i="1"/>
  <c r="C8150" i="1"/>
  <c r="B8150" i="1"/>
  <c r="G8149" i="1"/>
  <c r="C8149" i="1"/>
  <c r="B8149" i="1"/>
  <c r="G8148" i="1"/>
  <c r="C8148" i="1"/>
  <c r="B8148" i="1"/>
  <c r="G8147" i="1"/>
  <c r="B8147" i="1"/>
  <c r="G8146" i="1"/>
  <c r="C8146" i="1"/>
  <c r="B8146" i="1"/>
  <c r="G8145" i="1"/>
  <c r="B8145" i="1"/>
  <c r="G8144" i="1"/>
  <c r="C8144" i="1"/>
  <c r="B8144" i="1"/>
  <c r="G8143" i="1"/>
  <c r="B8143" i="1"/>
  <c r="G8142" i="1"/>
  <c r="B8142" i="1"/>
  <c r="G8141" i="1"/>
  <c r="B8141" i="1"/>
  <c r="G8140" i="1"/>
  <c r="B8140" i="1"/>
  <c r="G8139" i="1"/>
  <c r="C8139" i="1"/>
  <c r="B8139" i="1"/>
  <c r="G8138" i="1"/>
  <c r="C8138" i="1"/>
  <c r="B8138" i="1"/>
  <c r="G8137" i="1"/>
  <c r="C8137" i="1"/>
  <c r="B8137" i="1"/>
  <c r="G8136" i="1"/>
  <c r="C8136" i="1"/>
  <c r="B8136" i="1"/>
  <c r="G8135" i="1"/>
  <c r="C8135" i="1"/>
  <c r="B8135" i="1"/>
  <c r="G8134" i="1"/>
  <c r="C8134" i="1"/>
  <c r="B8134" i="1"/>
  <c r="G8133" i="1"/>
  <c r="C8133" i="1"/>
  <c r="B8133" i="1"/>
  <c r="G8132" i="1"/>
  <c r="C8132" i="1"/>
  <c r="B8132" i="1"/>
  <c r="G8131" i="1"/>
  <c r="B8131" i="1"/>
  <c r="G8130" i="1"/>
  <c r="C8130" i="1"/>
  <c r="B8130" i="1"/>
  <c r="G8129" i="1"/>
  <c r="C8129" i="1"/>
  <c r="B8129" i="1"/>
  <c r="G8128" i="1"/>
  <c r="C8128" i="1"/>
  <c r="B8128" i="1"/>
  <c r="G8127" i="1"/>
  <c r="C8127" i="1"/>
  <c r="B8127" i="1"/>
  <c r="G8126" i="1"/>
  <c r="C8126" i="1"/>
  <c r="B8126" i="1"/>
  <c r="G8125" i="1"/>
  <c r="C8125" i="1"/>
  <c r="B8125" i="1"/>
  <c r="G8124" i="1"/>
  <c r="C8124" i="1"/>
  <c r="B8124" i="1"/>
  <c r="G8123" i="1"/>
  <c r="C8123" i="1"/>
  <c r="B8123" i="1"/>
  <c r="G8122" i="1"/>
  <c r="C8122" i="1"/>
  <c r="B8122" i="1"/>
  <c r="G8121" i="1"/>
  <c r="C8121" i="1"/>
  <c r="B8121" i="1"/>
  <c r="G8120" i="1"/>
  <c r="C8120" i="1"/>
  <c r="B8120" i="1"/>
  <c r="G8119" i="1"/>
  <c r="B8119" i="1"/>
  <c r="G8118" i="1"/>
  <c r="C8118" i="1"/>
  <c r="B8118" i="1"/>
  <c r="G8117" i="1"/>
  <c r="C8117" i="1"/>
  <c r="B8117" i="1"/>
  <c r="G8116" i="1"/>
  <c r="C8116" i="1"/>
  <c r="B8116" i="1"/>
  <c r="G8115" i="1"/>
  <c r="C8115" i="1"/>
  <c r="B8115" i="1"/>
  <c r="G8114" i="1"/>
  <c r="C8114" i="1"/>
  <c r="B8114" i="1"/>
  <c r="G8113" i="1"/>
  <c r="C8113" i="1"/>
  <c r="B8113" i="1"/>
  <c r="G8112" i="1"/>
  <c r="C8112" i="1"/>
  <c r="B8112" i="1"/>
  <c r="G8111" i="1"/>
  <c r="C8111" i="1"/>
  <c r="B8111" i="1"/>
  <c r="G8110" i="1"/>
  <c r="B8110" i="1"/>
  <c r="G8109" i="1"/>
  <c r="C8109" i="1"/>
  <c r="B8109" i="1"/>
  <c r="G8108" i="1"/>
  <c r="B8108" i="1"/>
  <c r="G8107" i="1"/>
  <c r="B8107" i="1"/>
  <c r="G8106" i="1"/>
  <c r="C8106" i="1"/>
  <c r="B8106" i="1"/>
  <c r="G8105" i="1"/>
  <c r="C8105" i="1"/>
  <c r="B8105" i="1"/>
  <c r="G8104" i="1"/>
  <c r="C8104" i="1"/>
  <c r="B8104" i="1"/>
  <c r="G8103" i="1"/>
  <c r="B8103" i="1"/>
  <c r="G8102" i="1"/>
  <c r="C8102" i="1"/>
  <c r="B8102" i="1"/>
  <c r="G8101" i="1"/>
  <c r="C8101" i="1"/>
  <c r="B8101" i="1"/>
  <c r="G8100" i="1"/>
  <c r="C8100" i="1"/>
  <c r="B8100" i="1"/>
  <c r="G8099" i="1"/>
  <c r="C8099" i="1"/>
  <c r="B8099" i="1"/>
  <c r="G8098" i="1"/>
  <c r="C8098" i="1"/>
  <c r="B8098" i="1"/>
  <c r="G8097" i="1"/>
  <c r="C8097" i="1"/>
  <c r="B8097" i="1"/>
  <c r="G8096" i="1"/>
  <c r="C8096" i="1"/>
  <c r="B8096" i="1"/>
  <c r="G8095" i="1"/>
  <c r="C8095" i="1"/>
  <c r="B8095" i="1"/>
  <c r="G8094" i="1"/>
  <c r="C8094" i="1"/>
  <c r="B8094" i="1"/>
  <c r="G8093" i="1"/>
  <c r="C8093" i="1"/>
  <c r="B8093" i="1"/>
  <c r="G8092" i="1"/>
  <c r="C8092" i="1"/>
  <c r="B8092" i="1"/>
  <c r="G8091" i="1"/>
  <c r="C8091" i="1"/>
  <c r="B8091" i="1"/>
  <c r="G8090" i="1"/>
  <c r="C8090" i="1"/>
  <c r="B8090" i="1"/>
  <c r="G8089" i="1"/>
  <c r="C8089" i="1"/>
  <c r="B8089" i="1"/>
  <c r="G8088" i="1"/>
  <c r="C8088" i="1"/>
  <c r="B8088" i="1"/>
  <c r="G8087" i="1"/>
  <c r="C8087" i="1"/>
  <c r="B8087" i="1"/>
  <c r="G8086" i="1"/>
  <c r="C8086" i="1"/>
  <c r="B8086" i="1"/>
  <c r="G8085" i="1"/>
  <c r="C8085" i="1"/>
  <c r="B8085" i="1"/>
  <c r="G8084" i="1"/>
  <c r="B8084" i="1"/>
  <c r="G8083" i="1"/>
  <c r="B8083" i="1"/>
  <c r="G8082" i="1"/>
  <c r="C8082" i="1"/>
  <c r="B8082" i="1"/>
  <c r="G8081" i="1"/>
  <c r="C8081" i="1"/>
  <c r="B8081" i="1"/>
  <c r="G8080" i="1"/>
  <c r="C8080" i="1"/>
  <c r="B8080" i="1"/>
  <c r="G8079" i="1"/>
  <c r="C8079" i="1"/>
  <c r="B8079" i="1"/>
  <c r="G8078" i="1"/>
  <c r="B8078" i="1"/>
  <c r="G8077" i="1"/>
  <c r="C8077" i="1"/>
  <c r="B8077" i="1"/>
  <c r="G8076" i="1"/>
  <c r="B8076" i="1"/>
  <c r="G8075" i="1"/>
  <c r="C8075" i="1"/>
  <c r="B8075" i="1"/>
  <c r="G8074" i="1"/>
  <c r="B8074" i="1"/>
  <c r="G8073" i="1"/>
  <c r="C8073" i="1"/>
  <c r="B8073" i="1"/>
  <c r="G8072" i="1"/>
  <c r="B8072" i="1"/>
  <c r="G8071" i="1"/>
  <c r="B8071" i="1"/>
  <c r="G8070" i="1"/>
  <c r="B8070" i="1"/>
  <c r="G8069" i="1"/>
  <c r="C8069" i="1"/>
  <c r="B8069" i="1"/>
  <c r="G8068" i="1"/>
  <c r="C8068" i="1"/>
  <c r="B8068" i="1"/>
  <c r="G8067" i="1"/>
  <c r="B8067" i="1"/>
  <c r="G8066" i="1"/>
  <c r="C8066" i="1"/>
  <c r="B8066" i="1"/>
  <c r="G8065" i="1"/>
  <c r="C8065" i="1"/>
  <c r="B8065" i="1"/>
  <c r="G8064" i="1"/>
  <c r="C8064" i="1"/>
  <c r="B8064" i="1"/>
  <c r="G8063" i="1"/>
  <c r="C8063" i="1"/>
  <c r="B8063" i="1"/>
  <c r="G8062" i="1"/>
  <c r="C8062" i="1"/>
  <c r="B8062" i="1"/>
  <c r="G8061" i="1"/>
  <c r="B8061" i="1"/>
  <c r="G8060" i="1"/>
  <c r="C8060" i="1"/>
  <c r="B8060" i="1"/>
  <c r="G8059" i="1"/>
  <c r="C8059" i="1"/>
  <c r="B8059" i="1"/>
  <c r="G8058" i="1"/>
  <c r="C8058" i="1"/>
  <c r="B8058" i="1"/>
  <c r="G8057" i="1"/>
  <c r="B8057" i="1"/>
  <c r="G8056" i="1"/>
  <c r="B8056" i="1"/>
  <c r="G8055" i="1"/>
  <c r="C8055" i="1"/>
  <c r="B8055" i="1"/>
  <c r="G8054" i="1"/>
  <c r="C8054" i="1"/>
  <c r="B8054" i="1"/>
  <c r="G8053" i="1"/>
  <c r="C8053" i="1"/>
  <c r="B8053" i="1"/>
  <c r="G8052" i="1"/>
  <c r="B8052" i="1"/>
  <c r="G8051" i="1"/>
  <c r="C8051" i="1"/>
  <c r="B8051" i="1"/>
  <c r="G8050" i="1"/>
  <c r="B8050" i="1"/>
  <c r="G8049" i="1"/>
  <c r="C8049" i="1"/>
  <c r="B8049" i="1"/>
  <c r="G8048" i="1"/>
  <c r="B8048" i="1"/>
  <c r="G8047" i="1"/>
  <c r="C8047" i="1"/>
  <c r="B8047" i="1"/>
  <c r="G8046" i="1"/>
  <c r="C8046" i="1"/>
  <c r="B8046" i="1"/>
  <c r="G8045" i="1"/>
  <c r="C8045" i="1"/>
  <c r="B8045" i="1"/>
  <c r="G8044" i="1"/>
  <c r="C8044" i="1"/>
  <c r="B8044" i="1"/>
  <c r="G8043" i="1"/>
  <c r="B8043" i="1"/>
  <c r="G8042" i="1"/>
  <c r="C8042" i="1"/>
  <c r="B8042" i="1"/>
  <c r="G8041" i="1"/>
  <c r="C8041" i="1"/>
  <c r="B8041" i="1"/>
  <c r="G8040" i="1"/>
  <c r="B8040" i="1"/>
  <c r="G8039" i="1"/>
  <c r="C8039" i="1"/>
  <c r="B8039" i="1"/>
  <c r="G8038" i="1"/>
  <c r="C8038" i="1"/>
  <c r="B8038" i="1"/>
  <c r="G8037" i="1"/>
  <c r="C8037" i="1"/>
  <c r="B8037" i="1"/>
  <c r="G8036" i="1"/>
  <c r="B8036" i="1"/>
  <c r="G8035" i="1"/>
  <c r="C8035" i="1"/>
  <c r="B8035" i="1"/>
  <c r="G8034" i="1"/>
  <c r="C8034" i="1"/>
  <c r="B8034" i="1"/>
  <c r="G8033" i="1"/>
  <c r="C8033" i="1"/>
  <c r="B8033" i="1"/>
  <c r="G8032" i="1"/>
  <c r="B8032" i="1"/>
  <c r="G8031" i="1"/>
  <c r="C8031" i="1"/>
  <c r="B8031" i="1"/>
  <c r="G8030" i="1"/>
  <c r="C8030" i="1"/>
  <c r="B8030" i="1"/>
  <c r="G8029" i="1"/>
  <c r="C8029" i="1"/>
  <c r="B8029" i="1"/>
  <c r="G8028" i="1"/>
  <c r="C8028" i="1"/>
  <c r="B8028" i="1"/>
  <c r="G8027" i="1"/>
  <c r="C8027" i="1"/>
  <c r="B8027" i="1"/>
  <c r="G8026" i="1"/>
  <c r="C8026" i="1"/>
  <c r="B8026" i="1"/>
  <c r="G8025" i="1"/>
  <c r="C8025" i="1"/>
  <c r="B8025" i="1"/>
  <c r="G8024" i="1"/>
  <c r="C8024" i="1"/>
  <c r="B8024" i="1"/>
  <c r="G8023" i="1"/>
  <c r="C8023" i="1"/>
  <c r="B8023" i="1"/>
  <c r="G8022" i="1"/>
  <c r="C8022" i="1"/>
  <c r="B8022" i="1"/>
  <c r="G8021" i="1"/>
  <c r="C8021" i="1"/>
  <c r="B8021" i="1"/>
  <c r="G8020" i="1"/>
  <c r="B8020" i="1"/>
  <c r="G8019" i="1"/>
  <c r="C8019" i="1"/>
  <c r="B8019" i="1"/>
  <c r="G8018" i="1"/>
  <c r="C8018" i="1"/>
  <c r="B8018" i="1"/>
  <c r="G8017" i="1"/>
  <c r="B8017" i="1"/>
  <c r="G8016" i="1"/>
  <c r="B8016" i="1"/>
  <c r="G8015" i="1"/>
  <c r="C8015" i="1"/>
  <c r="B8015" i="1"/>
  <c r="G8014" i="1"/>
  <c r="C8014" i="1"/>
  <c r="B8014" i="1"/>
  <c r="G8013" i="1"/>
  <c r="C8013" i="1"/>
  <c r="B8013" i="1"/>
  <c r="G8012" i="1"/>
  <c r="C8012" i="1"/>
  <c r="B8012" i="1"/>
  <c r="G8011" i="1"/>
  <c r="C8011" i="1"/>
  <c r="B8011" i="1"/>
  <c r="G8010" i="1"/>
  <c r="C8010" i="1"/>
  <c r="B8010" i="1"/>
  <c r="G8009" i="1"/>
  <c r="B8009" i="1"/>
  <c r="G8008" i="1"/>
  <c r="C8008" i="1"/>
  <c r="B8008" i="1"/>
  <c r="G8007" i="1"/>
  <c r="C8007" i="1"/>
  <c r="B8007" i="1"/>
  <c r="G8006" i="1"/>
  <c r="B8006" i="1"/>
  <c r="G8005" i="1"/>
  <c r="C8005" i="1"/>
  <c r="B8005" i="1"/>
  <c r="G8004" i="1"/>
  <c r="C8004" i="1"/>
  <c r="B8004" i="1"/>
  <c r="G8003" i="1"/>
  <c r="B8003" i="1"/>
  <c r="G8002" i="1"/>
  <c r="B8002" i="1"/>
  <c r="G8001" i="1"/>
  <c r="C8001" i="1"/>
  <c r="B8001" i="1"/>
  <c r="G8000" i="1"/>
  <c r="C8000" i="1"/>
  <c r="B8000" i="1"/>
  <c r="G7999" i="1"/>
  <c r="B7999" i="1"/>
  <c r="G7998" i="1"/>
  <c r="C7998" i="1"/>
  <c r="B7998" i="1"/>
  <c r="G7997" i="1"/>
  <c r="B7997" i="1"/>
  <c r="G7996" i="1"/>
  <c r="C7996" i="1"/>
  <c r="B7996" i="1"/>
  <c r="G7995" i="1"/>
  <c r="C7995" i="1"/>
  <c r="B7995" i="1"/>
  <c r="G7994" i="1"/>
  <c r="B7994" i="1"/>
  <c r="G7993" i="1"/>
  <c r="C7993" i="1"/>
  <c r="B7993" i="1"/>
  <c r="G7992" i="1"/>
  <c r="C7992" i="1"/>
  <c r="B7992" i="1"/>
  <c r="G7991" i="1"/>
  <c r="C7991" i="1"/>
  <c r="B7991" i="1"/>
  <c r="G7990" i="1"/>
  <c r="B7990" i="1"/>
  <c r="G7989" i="1"/>
  <c r="C7989" i="1"/>
  <c r="B7989" i="1"/>
  <c r="G7988" i="1"/>
  <c r="C7988" i="1"/>
  <c r="B7988" i="1"/>
  <c r="G7987" i="1"/>
  <c r="C7987" i="1"/>
  <c r="B7987" i="1"/>
  <c r="G7986" i="1"/>
  <c r="C7986" i="1"/>
  <c r="B7986" i="1"/>
  <c r="G7985" i="1"/>
  <c r="C7985" i="1"/>
  <c r="B7985" i="1"/>
  <c r="G7984" i="1"/>
  <c r="B7984" i="1"/>
  <c r="G7983" i="1"/>
  <c r="B7983" i="1"/>
  <c r="G7982" i="1"/>
  <c r="C7982" i="1"/>
  <c r="B7982" i="1"/>
  <c r="G7981" i="1"/>
  <c r="C7981" i="1"/>
  <c r="B7981" i="1"/>
  <c r="G7980" i="1"/>
  <c r="B7980" i="1"/>
  <c r="G7979" i="1"/>
  <c r="C7979" i="1"/>
  <c r="B7979" i="1"/>
  <c r="G7978" i="1"/>
  <c r="C7978" i="1"/>
  <c r="B7978" i="1"/>
  <c r="G7977" i="1"/>
  <c r="B7977" i="1"/>
  <c r="G7976" i="1"/>
  <c r="C7976" i="1"/>
  <c r="B7976" i="1"/>
  <c r="G7975" i="1"/>
  <c r="C7975" i="1"/>
  <c r="B7975" i="1"/>
  <c r="G7974" i="1"/>
  <c r="C7974" i="1"/>
  <c r="B7974" i="1"/>
  <c r="G7973" i="1"/>
  <c r="B7973" i="1"/>
  <c r="G7972" i="1"/>
  <c r="C7972" i="1"/>
  <c r="B7972" i="1"/>
  <c r="G7971" i="1"/>
  <c r="C7971" i="1"/>
  <c r="B7971" i="1"/>
  <c r="G7970" i="1"/>
  <c r="C7970" i="1"/>
  <c r="B7970" i="1"/>
  <c r="G7969" i="1"/>
  <c r="B7969" i="1"/>
  <c r="G7968" i="1"/>
  <c r="B7968" i="1"/>
  <c r="G7967" i="1"/>
  <c r="C7967" i="1"/>
  <c r="B7967" i="1"/>
  <c r="G7966" i="1"/>
  <c r="C7966" i="1"/>
  <c r="B7966" i="1"/>
  <c r="G7965" i="1"/>
  <c r="C7965" i="1"/>
  <c r="B7965" i="1"/>
  <c r="G7964" i="1"/>
  <c r="B7964" i="1"/>
  <c r="G7963" i="1"/>
  <c r="C7963" i="1"/>
  <c r="B7963" i="1"/>
  <c r="G7962" i="1"/>
  <c r="B7962" i="1"/>
  <c r="G7961" i="1"/>
  <c r="C7961" i="1"/>
  <c r="B7961" i="1"/>
  <c r="G7960" i="1"/>
  <c r="C7960" i="1"/>
  <c r="B7960" i="1"/>
  <c r="G7959" i="1"/>
  <c r="B7959" i="1"/>
  <c r="G7958" i="1"/>
  <c r="C7958" i="1"/>
  <c r="B7958" i="1"/>
  <c r="G7957" i="1"/>
  <c r="B7957" i="1"/>
  <c r="G7956" i="1"/>
  <c r="C7956" i="1"/>
  <c r="B7956" i="1"/>
  <c r="G7955" i="1"/>
  <c r="C7955" i="1"/>
  <c r="B7955" i="1"/>
  <c r="G7954" i="1"/>
  <c r="C7954" i="1"/>
  <c r="B7954" i="1"/>
  <c r="G7953" i="1"/>
  <c r="C7953" i="1"/>
  <c r="B7953" i="1"/>
  <c r="G7952" i="1"/>
  <c r="C7952" i="1"/>
  <c r="B7952" i="1"/>
  <c r="G7951" i="1"/>
  <c r="C7951" i="1"/>
  <c r="B7951" i="1"/>
  <c r="G7950" i="1"/>
  <c r="B7950" i="1"/>
  <c r="G7949" i="1"/>
  <c r="C7949" i="1"/>
  <c r="B7949" i="1"/>
  <c r="G7948" i="1"/>
  <c r="C7948" i="1"/>
  <c r="B7948" i="1"/>
  <c r="G7947" i="1"/>
  <c r="C7947" i="1"/>
  <c r="B7947" i="1"/>
  <c r="G7946" i="1"/>
  <c r="C7946" i="1"/>
  <c r="B7946" i="1"/>
  <c r="G7945" i="1"/>
  <c r="C7945" i="1"/>
  <c r="B7945" i="1"/>
  <c r="G7944" i="1"/>
  <c r="B7944" i="1"/>
  <c r="G7943" i="1"/>
  <c r="B7943" i="1"/>
  <c r="G7942" i="1"/>
  <c r="B7942" i="1"/>
  <c r="G7941" i="1"/>
  <c r="C7941" i="1"/>
  <c r="B7941" i="1"/>
  <c r="G7940" i="1"/>
  <c r="C7940" i="1"/>
  <c r="B7940" i="1"/>
  <c r="G7939" i="1"/>
  <c r="C7939" i="1"/>
  <c r="B7939" i="1"/>
  <c r="G7938" i="1"/>
  <c r="B7938" i="1"/>
  <c r="G7937" i="1"/>
  <c r="C7937" i="1"/>
  <c r="B7937" i="1"/>
  <c r="G7936" i="1"/>
  <c r="C7936" i="1"/>
  <c r="B7936" i="1"/>
  <c r="G7935" i="1"/>
  <c r="C7935" i="1"/>
  <c r="B7935" i="1"/>
  <c r="G7934" i="1"/>
  <c r="B7934" i="1"/>
  <c r="G7933" i="1"/>
  <c r="C7933" i="1"/>
  <c r="B7933" i="1"/>
  <c r="G7932" i="1"/>
  <c r="C7932" i="1"/>
  <c r="B7932" i="1"/>
  <c r="G7931" i="1"/>
  <c r="C7931" i="1"/>
  <c r="B7931" i="1"/>
  <c r="G7930" i="1"/>
  <c r="C7930" i="1"/>
  <c r="B7930" i="1"/>
  <c r="G7929" i="1"/>
  <c r="C7929" i="1"/>
  <c r="B7929" i="1"/>
  <c r="G7928" i="1"/>
  <c r="C7928" i="1"/>
  <c r="B7928" i="1"/>
  <c r="G7927" i="1"/>
  <c r="B7927" i="1"/>
  <c r="G7926" i="1"/>
  <c r="C7926" i="1"/>
  <c r="B7926" i="1"/>
  <c r="G7925" i="1"/>
  <c r="B7925" i="1"/>
  <c r="G7924" i="1"/>
  <c r="C7924" i="1"/>
  <c r="B7924" i="1"/>
  <c r="G7923" i="1"/>
  <c r="C7923" i="1"/>
  <c r="B7923" i="1"/>
  <c r="G7922" i="1"/>
  <c r="B7922" i="1"/>
  <c r="G7921" i="1"/>
  <c r="C7921" i="1"/>
  <c r="B7921" i="1"/>
  <c r="G7920" i="1"/>
  <c r="B7920" i="1"/>
  <c r="G7919" i="1"/>
  <c r="C7919" i="1"/>
  <c r="B7919" i="1"/>
  <c r="G7918" i="1"/>
  <c r="B7918" i="1"/>
  <c r="G7917" i="1"/>
  <c r="B7917" i="1"/>
  <c r="G7916" i="1"/>
  <c r="B7916" i="1"/>
  <c r="G7915" i="1"/>
  <c r="B7915" i="1"/>
  <c r="G7914" i="1"/>
  <c r="C7914" i="1"/>
  <c r="B7914" i="1"/>
  <c r="G7913" i="1"/>
  <c r="C7913" i="1"/>
  <c r="B7913" i="1"/>
  <c r="G7912" i="1"/>
  <c r="C7912" i="1"/>
  <c r="B7912" i="1"/>
  <c r="G7911" i="1"/>
  <c r="C7911" i="1"/>
  <c r="B7911" i="1"/>
  <c r="G7910" i="1"/>
  <c r="C7910" i="1"/>
  <c r="B7910" i="1"/>
  <c r="G7909" i="1"/>
  <c r="B7909" i="1"/>
  <c r="G7908" i="1"/>
  <c r="B7908" i="1"/>
  <c r="G7907" i="1"/>
  <c r="C7907" i="1"/>
  <c r="B7907" i="1"/>
  <c r="G7906" i="1"/>
  <c r="C7906" i="1"/>
  <c r="B7906" i="1"/>
  <c r="G7905" i="1"/>
  <c r="C7905" i="1"/>
  <c r="B7905" i="1"/>
  <c r="G7904" i="1"/>
  <c r="C7904" i="1"/>
  <c r="B7904" i="1"/>
  <c r="G7903" i="1"/>
  <c r="B7903" i="1"/>
  <c r="G7902" i="1"/>
  <c r="B7902" i="1"/>
  <c r="G7901" i="1"/>
  <c r="C7901" i="1"/>
  <c r="B7901" i="1"/>
  <c r="G7900" i="1"/>
  <c r="C7900" i="1"/>
  <c r="B7900" i="1"/>
  <c r="G7899" i="1"/>
  <c r="B7899" i="1"/>
  <c r="G7898" i="1"/>
  <c r="C7898" i="1"/>
  <c r="B7898" i="1"/>
  <c r="G7897" i="1"/>
  <c r="B7897" i="1"/>
  <c r="G7896" i="1"/>
  <c r="B7896" i="1"/>
  <c r="G7895" i="1"/>
  <c r="C7895" i="1"/>
  <c r="B7895" i="1"/>
  <c r="G7894" i="1"/>
  <c r="B7894" i="1"/>
  <c r="G7893" i="1"/>
  <c r="C7893" i="1"/>
  <c r="B7893" i="1"/>
  <c r="G7892" i="1"/>
  <c r="B7892" i="1"/>
  <c r="G7891" i="1"/>
  <c r="C7891" i="1"/>
  <c r="B7891" i="1"/>
  <c r="G7890" i="1"/>
  <c r="C7890" i="1"/>
  <c r="B7890" i="1"/>
  <c r="G7889" i="1"/>
  <c r="C7889" i="1"/>
  <c r="B7889" i="1"/>
  <c r="G7888" i="1"/>
  <c r="C7888" i="1"/>
  <c r="B7888" i="1"/>
  <c r="G7887" i="1"/>
  <c r="C7887" i="1"/>
  <c r="B7887" i="1"/>
  <c r="G7886" i="1"/>
  <c r="C7886" i="1"/>
  <c r="B7886" i="1"/>
  <c r="G7885" i="1"/>
  <c r="C7885" i="1"/>
  <c r="B7885" i="1"/>
  <c r="G7884" i="1"/>
  <c r="B7884" i="1"/>
  <c r="G7883" i="1"/>
  <c r="C7883" i="1"/>
  <c r="B7883" i="1"/>
  <c r="G7882" i="1"/>
  <c r="B7882" i="1"/>
  <c r="G7881" i="1"/>
  <c r="C7881" i="1"/>
  <c r="B7881" i="1"/>
  <c r="G7880" i="1"/>
  <c r="B7880" i="1"/>
  <c r="G7879" i="1"/>
  <c r="B7879" i="1"/>
  <c r="G7878" i="1"/>
  <c r="C7878" i="1"/>
  <c r="B7878" i="1"/>
  <c r="G7877" i="1"/>
  <c r="C7877" i="1"/>
  <c r="B7877" i="1"/>
  <c r="G7876" i="1"/>
  <c r="B7876" i="1"/>
  <c r="G7875" i="1"/>
  <c r="B7875" i="1"/>
  <c r="G7874" i="1"/>
  <c r="B7874" i="1"/>
  <c r="G7873" i="1"/>
  <c r="B7873" i="1"/>
  <c r="G7872" i="1"/>
  <c r="B7872" i="1"/>
  <c r="G7871" i="1"/>
  <c r="C7871" i="1"/>
  <c r="B7871" i="1"/>
  <c r="G7870" i="1"/>
  <c r="C7870" i="1"/>
  <c r="B7870" i="1"/>
  <c r="G7869" i="1"/>
  <c r="C7869" i="1"/>
  <c r="B7869" i="1"/>
  <c r="G7868" i="1"/>
  <c r="C7868" i="1"/>
  <c r="B7868" i="1"/>
  <c r="G7867" i="1"/>
  <c r="C7867" i="1"/>
  <c r="B7867" i="1"/>
  <c r="G7866" i="1"/>
  <c r="B7866" i="1"/>
  <c r="G7865" i="1"/>
  <c r="C7865" i="1"/>
  <c r="B7865" i="1"/>
  <c r="G7864" i="1"/>
  <c r="B7864" i="1"/>
  <c r="G7863" i="1"/>
  <c r="C7863" i="1"/>
  <c r="B7863" i="1"/>
  <c r="G7862" i="1"/>
  <c r="C7862" i="1"/>
  <c r="B7862" i="1"/>
  <c r="G7861" i="1"/>
  <c r="C7861" i="1"/>
  <c r="B7861" i="1"/>
  <c r="G7860" i="1"/>
  <c r="B7860" i="1"/>
  <c r="G7859" i="1"/>
  <c r="C7859" i="1"/>
  <c r="B7859" i="1"/>
  <c r="G7858" i="1"/>
  <c r="B7858" i="1"/>
  <c r="G7857" i="1"/>
  <c r="C7857" i="1"/>
  <c r="B7857" i="1"/>
  <c r="G7856" i="1"/>
  <c r="B7856" i="1"/>
  <c r="G7855" i="1"/>
  <c r="C7855" i="1"/>
  <c r="B7855" i="1"/>
  <c r="G7854" i="1"/>
  <c r="C7854" i="1"/>
  <c r="B7854" i="1"/>
  <c r="G7853" i="1"/>
  <c r="B7853" i="1"/>
  <c r="G7852" i="1"/>
  <c r="C7852" i="1"/>
  <c r="B7852" i="1"/>
  <c r="G7851" i="1"/>
  <c r="C7851" i="1"/>
  <c r="B7851" i="1"/>
  <c r="G7850" i="1"/>
  <c r="B7850" i="1"/>
  <c r="G7849" i="1"/>
  <c r="B7849" i="1"/>
  <c r="G7848" i="1"/>
  <c r="C7848" i="1"/>
  <c r="B7848" i="1"/>
  <c r="G7847" i="1"/>
  <c r="B7847" i="1"/>
  <c r="G7846" i="1"/>
  <c r="C7846" i="1"/>
  <c r="B7846" i="1"/>
  <c r="G7845" i="1"/>
  <c r="C7845" i="1"/>
  <c r="B7845" i="1"/>
  <c r="G7844" i="1"/>
  <c r="C7844" i="1"/>
  <c r="B7844" i="1"/>
  <c r="G7843" i="1"/>
  <c r="C7843" i="1"/>
  <c r="B7843" i="1"/>
  <c r="G7842" i="1"/>
  <c r="C7842" i="1"/>
  <c r="B7842" i="1"/>
  <c r="G7841" i="1"/>
  <c r="C7841" i="1"/>
  <c r="B7841" i="1"/>
  <c r="G7840" i="1"/>
  <c r="C7840" i="1"/>
  <c r="B7840" i="1"/>
  <c r="G7839" i="1"/>
  <c r="C7839" i="1"/>
  <c r="B7839" i="1"/>
  <c r="G7838" i="1"/>
  <c r="B7838" i="1"/>
  <c r="G7837" i="1"/>
  <c r="C7837" i="1"/>
  <c r="B7837" i="1"/>
  <c r="G7836" i="1"/>
  <c r="C7836" i="1"/>
  <c r="B7836" i="1"/>
  <c r="G7835" i="1"/>
  <c r="B7835" i="1"/>
  <c r="G7834" i="1"/>
  <c r="C7834" i="1"/>
  <c r="B7834" i="1"/>
  <c r="G7833" i="1"/>
  <c r="B7833" i="1"/>
  <c r="G7832" i="1"/>
  <c r="C7832" i="1"/>
  <c r="B7832" i="1"/>
  <c r="G7831" i="1"/>
  <c r="C7831" i="1"/>
  <c r="B7831" i="1"/>
  <c r="G7830" i="1"/>
  <c r="C7830" i="1"/>
  <c r="B7830" i="1"/>
  <c r="G7829" i="1"/>
  <c r="C7829" i="1"/>
  <c r="B7829" i="1"/>
  <c r="G7828" i="1"/>
  <c r="C7828" i="1"/>
  <c r="B7828" i="1"/>
  <c r="G7827" i="1"/>
  <c r="C7827" i="1"/>
  <c r="B7827" i="1"/>
  <c r="G7826" i="1"/>
  <c r="C7826" i="1"/>
  <c r="B7826" i="1"/>
  <c r="G7825" i="1"/>
  <c r="C7825" i="1"/>
  <c r="B7825" i="1"/>
  <c r="G7824" i="1"/>
  <c r="C7824" i="1"/>
  <c r="B7824" i="1"/>
  <c r="G7823" i="1"/>
  <c r="C7823" i="1"/>
  <c r="B7823" i="1"/>
  <c r="G7822" i="1"/>
  <c r="C7822" i="1"/>
  <c r="B7822" i="1"/>
  <c r="G7821" i="1"/>
  <c r="C7821" i="1"/>
  <c r="B7821" i="1"/>
  <c r="G7820" i="1"/>
  <c r="C7820" i="1"/>
  <c r="B7820" i="1"/>
  <c r="G7819" i="1"/>
  <c r="C7819" i="1"/>
  <c r="B7819" i="1"/>
  <c r="G7818" i="1"/>
  <c r="B7818" i="1"/>
  <c r="G7817" i="1"/>
  <c r="B7817" i="1"/>
  <c r="G7816" i="1"/>
  <c r="C7816" i="1"/>
  <c r="B7816" i="1"/>
  <c r="G7815" i="1"/>
  <c r="C7815" i="1"/>
  <c r="B7815" i="1"/>
  <c r="G7814" i="1"/>
  <c r="C7814" i="1"/>
  <c r="B7814" i="1"/>
  <c r="G7813" i="1"/>
  <c r="B7813" i="1"/>
  <c r="G7812" i="1"/>
  <c r="B7812" i="1"/>
  <c r="G7811" i="1"/>
  <c r="C7811" i="1"/>
  <c r="B7811" i="1"/>
  <c r="G7810" i="1"/>
  <c r="B7810" i="1"/>
  <c r="G7809" i="1"/>
  <c r="C7809" i="1"/>
  <c r="B7809" i="1"/>
  <c r="G7808" i="1"/>
  <c r="B7808" i="1"/>
  <c r="G7807" i="1"/>
  <c r="B7807" i="1"/>
  <c r="G7806" i="1"/>
  <c r="C7806" i="1"/>
  <c r="B7806" i="1"/>
  <c r="G7805" i="1"/>
  <c r="B7805" i="1"/>
  <c r="G7804" i="1"/>
  <c r="B7804" i="1"/>
  <c r="G7803" i="1"/>
  <c r="C7803" i="1"/>
  <c r="B7803" i="1"/>
  <c r="G7802" i="1"/>
  <c r="C7802" i="1"/>
  <c r="B7802" i="1"/>
  <c r="G7801" i="1"/>
  <c r="C7801" i="1"/>
  <c r="B7801" i="1"/>
  <c r="G7800" i="1"/>
  <c r="C7800" i="1"/>
  <c r="B7800" i="1"/>
  <c r="G7799" i="1"/>
  <c r="C7799" i="1"/>
  <c r="B7799" i="1"/>
  <c r="G7798" i="1"/>
  <c r="C7798" i="1"/>
  <c r="B7798" i="1"/>
  <c r="G7797" i="1"/>
  <c r="C7797" i="1"/>
  <c r="B7797" i="1"/>
  <c r="G7796" i="1"/>
  <c r="C7796" i="1"/>
  <c r="B7796" i="1"/>
  <c r="G7795" i="1"/>
  <c r="B7795" i="1"/>
  <c r="G7794" i="1"/>
  <c r="C7794" i="1"/>
  <c r="B7794" i="1"/>
  <c r="G7793" i="1"/>
  <c r="C7793" i="1"/>
  <c r="B7793" i="1"/>
  <c r="G7792" i="1"/>
  <c r="C7792" i="1"/>
  <c r="B7792" i="1"/>
  <c r="G7791" i="1"/>
  <c r="C7791" i="1"/>
  <c r="B7791" i="1"/>
  <c r="G7790" i="1"/>
  <c r="C7790" i="1"/>
  <c r="B7790" i="1"/>
  <c r="G7789" i="1"/>
  <c r="B7789" i="1"/>
  <c r="G7788" i="1"/>
  <c r="C7788" i="1"/>
  <c r="B7788" i="1"/>
  <c r="G7787" i="1"/>
  <c r="C7787" i="1"/>
  <c r="B7787" i="1"/>
  <c r="G7786" i="1"/>
  <c r="B7786" i="1"/>
  <c r="G7785" i="1"/>
  <c r="C7785" i="1"/>
  <c r="B7785" i="1"/>
  <c r="G7784" i="1"/>
  <c r="C7784" i="1"/>
  <c r="B7784" i="1"/>
  <c r="G7783" i="1"/>
  <c r="B7783" i="1"/>
  <c r="G7782" i="1"/>
  <c r="C7782" i="1"/>
  <c r="B7782" i="1"/>
  <c r="G7781" i="1"/>
  <c r="C7781" i="1"/>
  <c r="B7781" i="1"/>
  <c r="G7780" i="1"/>
  <c r="C7780" i="1"/>
  <c r="B7780" i="1"/>
  <c r="G7779" i="1"/>
  <c r="C7779" i="1"/>
  <c r="B7779" i="1"/>
  <c r="G7778" i="1"/>
  <c r="C7778" i="1"/>
  <c r="B7778" i="1"/>
  <c r="G7777" i="1"/>
  <c r="C7777" i="1"/>
  <c r="B7777" i="1"/>
  <c r="G7776" i="1"/>
  <c r="B7776" i="1"/>
  <c r="G7775" i="1"/>
  <c r="C7775" i="1"/>
  <c r="B7775" i="1"/>
  <c r="G7774" i="1"/>
  <c r="C7774" i="1"/>
  <c r="B7774" i="1"/>
  <c r="G7773" i="1"/>
  <c r="C7773" i="1"/>
  <c r="B7773" i="1"/>
  <c r="G7772" i="1"/>
  <c r="C7772" i="1"/>
  <c r="B7772" i="1"/>
  <c r="G7771" i="1"/>
  <c r="C7771" i="1"/>
  <c r="B7771" i="1"/>
  <c r="G7770" i="1"/>
  <c r="C7770" i="1"/>
  <c r="B7770" i="1"/>
  <c r="G7769" i="1"/>
  <c r="B7769" i="1"/>
  <c r="G7768" i="1"/>
  <c r="C7768" i="1"/>
  <c r="B7768" i="1"/>
  <c r="G7767" i="1"/>
  <c r="B7767" i="1"/>
  <c r="G7766" i="1"/>
  <c r="C7766" i="1"/>
  <c r="B7766" i="1"/>
  <c r="G7765" i="1"/>
  <c r="C7765" i="1"/>
  <c r="B7765" i="1"/>
  <c r="G7764" i="1"/>
  <c r="C7764" i="1"/>
  <c r="B7764" i="1"/>
  <c r="G7763" i="1"/>
  <c r="C7763" i="1"/>
  <c r="B7763" i="1"/>
  <c r="G7762" i="1"/>
  <c r="C7762" i="1"/>
  <c r="B7762" i="1"/>
  <c r="G7761" i="1"/>
  <c r="C7761" i="1"/>
  <c r="B7761" i="1"/>
  <c r="G7760" i="1"/>
  <c r="C7760" i="1"/>
  <c r="B7760" i="1"/>
  <c r="G7759" i="1"/>
  <c r="C7759" i="1"/>
  <c r="B7759" i="1"/>
  <c r="G7758" i="1"/>
  <c r="B7758" i="1"/>
  <c r="G7757" i="1"/>
  <c r="C7757" i="1"/>
  <c r="B7757" i="1"/>
  <c r="G7756" i="1"/>
  <c r="C7756" i="1"/>
  <c r="B7756" i="1"/>
  <c r="G7755" i="1"/>
  <c r="C7755" i="1"/>
  <c r="B7755" i="1"/>
  <c r="G7754" i="1"/>
  <c r="C7754" i="1"/>
  <c r="B7754" i="1"/>
  <c r="G7753" i="1"/>
  <c r="B7753" i="1"/>
  <c r="G7752" i="1"/>
  <c r="C7752" i="1"/>
  <c r="B7752" i="1"/>
  <c r="G7751" i="1"/>
  <c r="C7751" i="1"/>
  <c r="B7751" i="1"/>
  <c r="G7750" i="1"/>
  <c r="B7750" i="1"/>
  <c r="G7749" i="1"/>
  <c r="C7749" i="1"/>
  <c r="B7749" i="1"/>
  <c r="G7748" i="1"/>
  <c r="C7748" i="1"/>
  <c r="B7748" i="1"/>
  <c r="G7747" i="1"/>
  <c r="C7747" i="1"/>
  <c r="B7747" i="1"/>
  <c r="G7746" i="1"/>
  <c r="C7746" i="1"/>
  <c r="B7746" i="1"/>
  <c r="G7745" i="1"/>
  <c r="B7745" i="1"/>
  <c r="G7744" i="1"/>
  <c r="C7744" i="1"/>
  <c r="B7744" i="1"/>
  <c r="G7743" i="1"/>
  <c r="C7743" i="1"/>
  <c r="B7743" i="1"/>
  <c r="G7742" i="1"/>
  <c r="C7742" i="1"/>
  <c r="B7742" i="1"/>
  <c r="G7741" i="1"/>
  <c r="C7741" i="1"/>
  <c r="B7741" i="1"/>
  <c r="G7740" i="1"/>
  <c r="C7740" i="1"/>
  <c r="B7740" i="1"/>
  <c r="G7739" i="1"/>
  <c r="C7739" i="1"/>
  <c r="B7739" i="1"/>
  <c r="G7738" i="1"/>
  <c r="C7738" i="1"/>
  <c r="B7738" i="1"/>
  <c r="G7737" i="1"/>
  <c r="C7737" i="1"/>
  <c r="B7737" i="1"/>
  <c r="G7736" i="1"/>
  <c r="C7736" i="1"/>
  <c r="B7736" i="1"/>
  <c r="G7735" i="1"/>
  <c r="C7735" i="1"/>
  <c r="B7735" i="1"/>
  <c r="G7734" i="1"/>
  <c r="B7734" i="1"/>
  <c r="G7733" i="1"/>
  <c r="B7733" i="1"/>
  <c r="G7732" i="1"/>
  <c r="B7732" i="1"/>
  <c r="G7731" i="1"/>
  <c r="C7731" i="1"/>
  <c r="B7731" i="1"/>
  <c r="G7730" i="1"/>
  <c r="C7730" i="1"/>
  <c r="B7730" i="1"/>
  <c r="G7729" i="1"/>
  <c r="B7729" i="1"/>
  <c r="G7728" i="1"/>
  <c r="C7728" i="1"/>
  <c r="B7728" i="1"/>
  <c r="G7727" i="1"/>
  <c r="C7727" i="1"/>
  <c r="B7727" i="1"/>
  <c r="G7726" i="1"/>
  <c r="C7726" i="1"/>
  <c r="B7726" i="1"/>
  <c r="G7725" i="1"/>
  <c r="C7725" i="1"/>
  <c r="B7725" i="1"/>
  <c r="G7724" i="1"/>
  <c r="C7724" i="1"/>
  <c r="B7724" i="1"/>
  <c r="G7723" i="1"/>
  <c r="C7723" i="1"/>
  <c r="B7723" i="1"/>
  <c r="G7722" i="1"/>
  <c r="C7722" i="1"/>
  <c r="B7722" i="1"/>
  <c r="G7721" i="1"/>
  <c r="C7721" i="1"/>
  <c r="B7721" i="1"/>
  <c r="G7720" i="1"/>
  <c r="B7720" i="1"/>
  <c r="G7719" i="1"/>
  <c r="B7719" i="1"/>
  <c r="G7718" i="1"/>
  <c r="C7718" i="1"/>
  <c r="B7718" i="1"/>
  <c r="G7717" i="1"/>
  <c r="C7717" i="1"/>
  <c r="B7717" i="1"/>
  <c r="G7716" i="1"/>
  <c r="B7716" i="1"/>
  <c r="G7715" i="1"/>
  <c r="B7715" i="1"/>
  <c r="G7714" i="1"/>
  <c r="C7714" i="1"/>
  <c r="B7714" i="1"/>
  <c r="G7713" i="1"/>
  <c r="B7713" i="1"/>
  <c r="G7712" i="1"/>
  <c r="B7712" i="1"/>
  <c r="G7711" i="1"/>
  <c r="C7711" i="1"/>
  <c r="B7711" i="1"/>
  <c r="G7710" i="1"/>
  <c r="B7710" i="1"/>
  <c r="G7709" i="1"/>
  <c r="B7709" i="1"/>
  <c r="G7708" i="1"/>
  <c r="C7708" i="1"/>
  <c r="B7708" i="1"/>
  <c r="G7707" i="1"/>
  <c r="C7707" i="1"/>
  <c r="B7707" i="1"/>
  <c r="G7706" i="1"/>
  <c r="C7706" i="1"/>
  <c r="B7706" i="1"/>
  <c r="G7705" i="1"/>
  <c r="C7705" i="1"/>
  <c r="B7705" i="1"/>
  <c r="G7704" i="1"/>
  <c r="C7704" i="1"/>
  <c r="B7704" i="1"/>
  <c r="G7703" i="1"/>
  <c r="B7703" i="1"/>
  <c r="G7702" i="1"/>
  <c r="C7702" i="1"/>
  <c r="B7702" i="1"/>
  <c r="G7701" i="1"/>
  <c r="C7701" i="1"/>
  <c r="B7701" i="1"/>
  <c r="G7700" i="1"/>
  <c r="B7700" i="1"/>
  <c r="G7699" i="1"/>
  <c r="B7699" i="1"/>
  <c r="G7698" i="1"/>
  <c r="B7698" i="1"/>
  <c r="G7697" i="1"/>
  <c r="C7697" i="1"/>
  <c r="B7697" i="1"/>
  <c r="G7696" i="1"/>
  <c r="C7696" i="1"/>
  <c r="B7696" i="1"/>
  <c r="G7695" i="1"/>
  <c r="C7695" i="1"/>
  <c r="B7695" i="1"/>
  <c r="G7694" i="1"/>
  <c r="C7694" i="1"/>
  <c r="B7694" i="1"/>
  <c r="G7693" i="1"/>
  <c r="C7693" i="1"/>
  <c r="B7693" i="1"/>
  <c r="G7692" i="1"/>
  <c r="B7692" i="1"/>
  <c r="G7691" i="1"/>
  <c r="B7691" i="1"/>
  <c r="G7690" i="1"/>
  <c r="B7690" i="1"/>
  <c r="G7689" i="1"/>
  <c r="C7689" i="1"/>
  <c r="B7689" i="1"/>
  <c r="G7688" i="1"/>
  <c r="B7688" i="1"/>
  <c r="G7687" i="1"/>
  <c r="C7687" i="1"/>
  <c r="B7687" i="1"/>
  <c r="G7686" i="1"/>
  <c r="C7686" i="1"/>
  <c r="B7686" i="1"/>
  <c r="G7685" i="1"/>
  <c r="B7685" i="1"/>
  <c r="G7684" i="1"/>
  <c r="C7684" i="1"/>
  <c r="B7684" i="1"/>
  <c r="G7683" i="1"/>
  <c r="C7683" i="1"/>
  <c r="B7683" i="1"/>
  <c r="G7682" i="1"/>
  <c r="C7682" i="1"/>
  <c r="B7682" i="1"/>
  <c r="G7681" i="1"/>
  <c r="C7681" i="1"/>
  <c r="B7681" i="1"/>
  <c r="G7680" i="1"/>
  <c r="C7680" i="1"/>
  <c r="B7680" i="1"/>
  <c r="G7679" i="1"/>
  <c r="C7679" i="1"/>
  <c r="B7679" i="1"/>
  <c r="G7678" i="1"/>
  <c r="C7678" i="1"/>
  <c r="B7678" i="1"/>
  <c r="G7677" i="1"/>
  <c r="C7677" i="1"/>
  <c r="B7677" i="1"/>
  <c r="G7676" i="1"/>
  <c r="B7676" i="1"/>
  <c r="G7675" i="1"/>
  <c r="C7675" i="1"/>
  <c r="B7675" i="1"/>
  <c r="G7674" i="1"/>
  <c r="C7674" i="1"/>
  <c r="B7674" i="1"/>
  <c r="G7673" i="1"/>
  <c r="C7673" i="1"/>
  <c r="B7673" i="1"/>
  <c r="G7672" i="1"/>
  <c r="B7672" i="1"/>
  <c r="G7671" i="1"/>
  <c r="C7671" i="1"/>
  <c r="B7671" i="1"/>
  <c r="G7670" i="1"/>
  <c r="B7670" i="1"/>
  <c r="G7669" i="1"/>
  <c r="C7669" i="1"/>
  <c r="B7669" i="1"/>
  <c r="G7668" i="1"/>
  <c r="C7668" i="1"/>
  <c r="B7668" i="1"/>
  <c r="G7667" i="1"/>
  <c r="C7667" i="1"/>
  <c r="B7667" i="1"/>
  <c r="G7666" i="1"/>
  <c r="C7666" i="1"/>
  <c r="B7666" i="1"/>
  <c r="G7665" i="1"/>
  <c r="B7665" i="1"/>
  <c r="G7664" i="1"/>
  <c r="C7664" i="1"/>
  <c r="B7664" i="1"/>
  <c r="G7663" i="1"/>
  <c r="B7663" i="1"/>
  <c r="G7662" i="1"/>
  <c r="C7662" i="1"/>
  <c r="B7662" i="1"/>
  <c r="G7661" i="1"/>
  <c r="B7661" i="1"/>
  <c r="G7660" i="1"/>
  <c r="C7660" i="1"/>
  <c r="B7660" i="1"/>
  <c r="G7659" i="1"/>
  <c r="C7659" i="1"/>
  <c r="B7659" i="1"/>
  <c r="G7658" i="1"/>
  <c r="C7658" i="1"/>
  <c r="B7658" i="1"/>
  <c r="G7657" i="1"/>
  <c r="C7657" i="1"/>
  <c r="B7657" i="1"/>
  <c r="G7656" i="1"/>
  <c r="C7656" i="1"/>
  <c r="B7656" i="1"/>
  <c r="G7655" i="1"/>
  <c r="C7655" i="1"/>
  <c r="B7655" i="1"/>
  <c r="G7654" i="1"/>
  <c r="C7654" i="1"/>
  <c r="B7654" i="1"/>
  <c r="G7653" i="1"/>
  <c r="C7653" i="1"/>
  <c r="B7653" i="1"/>
  <c r="G7652" i="1"/>
  <c r="C7652" i="1"/>
  <c r="B7652" i="1"/>
  <c r="G7651" i="1"/>
  <c r="C7651" i="1"/>
  <c r="B7651" i="1"/>
  <c r="G7650" i="1"/>
  <c r="C7650" i="1"/>
  <c r="B7650" i="1"/>
  <c r="G7649" i="1"/>
  <c r="C7649" i="1"/>
  <c r="B7649" i="1"/>
  <c r="G7648" i="1"/>
  <c r="C7648" i="1"/>
  <c r="B7648" i="1"/>
  <c r="G7647" i="1"/>
  <c r="B7647" i="1"/>
  <c r="G7646" i="1"/>
  <c r="C7646" i="1"/>
  <c r="B7646" i="1"/>
  <c r="G7645" i="1"/>
  <c r="B7645" i="1"/>
  <c r="G7644" i="1"/>
  <c r="C7644" i="1"/>
  <c r="B7644" i="1"/>
  <c r="G7643" i="1"/>
  <c r="C7643" i="1"/>
  <c r="B7643" i="1"/>
  <c r="G7642" i="1"/>
  <c r="C7642" i="1"/>
  <c r="B7642" i="1"/>
  <c r="G7641" i="1"/>
  <c r="C7641" i="1"/>
  <c r="B7641" i="1"/>
  <c r="G7640" i="1"/>
  <c r="C7640" i="1"/>
  <c r="B7640" i="1"/>
  <c r="G7639" i="1"/>
  <c r="C7639" i="1"/>
  <c r="B7639" i="1"/>
  <c r="G7638" i="1"/>
  <c r="C7638" i="1"/>
  <c r="B7638" i="1"/>
  <c r="G7637" i="1"/>
  <c r="C7637" i="1"/>
  <c r="B7637" i="1"/>
  <c r="G7636" i="1"/>
  <c r="C7636" i="1"/>
  <c r="B7636" i="1"/>
  <c r="G7635" i="1"/>
  <c r="B7635" i="1"/>
  <c r="G7634" i="1"/>
  <c r="C7634" i="1"/>
  <c r="B7634" i="1"/>
  <c r="G7633" i="1"/>
  <c r="B7633" i="1"/>
  <c r="G7632" i="1"/>
  <c r="C7632" i="1"/>
  <c r="B7632" i="1"/>
  <c r="G7631" i="1"/>
  <c r="C7631" i="1"/>
  <c r="B7631" i="1"/>
  <c r="G7630" i="1"/>
  <c r="C7630" i="1"/>
  <c r="B7630" i="1"/>
  <c r="G7629" i="1"/>
  <c r="C7629" i="1"/>
  <c r="B7629" i="1"/>
  <c r="G7628" i="1"/>
  <c r="B7628" i="1"/>
  <c r="G7627" i="1"/>
  <c r="C7627" i="1"/>
  <c r="B7627" i="1"/>
  <c r="G7626" i="1"/>
  <c r="B7626" i="1"/>
  <c r="G7625" i="1"/>
  <c r="C7625" i="1"/>
  <c r="B7625" i="1"/>
  <c r="G7624" i="1"/>
  <c r="C7624" i="1"/>
  <c r="B7624" i="1"/>
  <c r="G7623" i="1"/>
  <c r="C7623" i="1"/>
  <c r="B7623" i="1"/>
  <c r="G7622" i="1"/>
  <c r="B7622" i="1"/>
  <c r="G7621" i="1"/>
  <c r="C7621" i="1"/>
  <c r="B7621" i="1"/>
  <c r="G7620" i="1"/>
  <c r="C7620" i="1"/>
  <c r="B7620" i="1"/>
  <c r="G7619" i="1"/>
  <c r="C7619" i="1"/>
  <c r="B7619" i="1"/>
  <c r="G7618" i="1"/>
  <c r="C7618" i="1"/>
  <c r="B7618" i="1"/>
  <c r="G7617" i="1"/>
  <c r="C7617" i="1"/>
  <c r="B7617" i="1"/>
  <c r="G7616" i="1"/>
  <c r="B7616" i="1"/>
  <c r="G7615" i="1"/>
  <c r="C7615" i="1"/>
  <c r="B7615" i="1"/>
  <c r="G7614" i="1"/>
  <c r="C7614" i="1"/>
  <c r="B7614" i="1"/>
  <c r="G7613" i="1"/>
  <c r="C7613" i="1"/>
  <c r="B7613" i="1"/>
  <c r="G7612" i="1"/>
  <c r="B7612" i="1"/>
  <c r="G7611" i="1"/>
  <c r="C7611" i="1"/>
  <c r="B7611" i="1"/>
  <c r="G7610" i="1"/>
  <c r="C7610" i="1"/>
  <c r="B7610" i="1"/>
  <c r="G7609" i="1"/>
  <c r="B7609" i="1"/>
  <c r="G7608" i="1"/>
  <c r="C7608" i="1"/>
  <c r="B7608" i="1"/>
  <c r="G7607" i="1"/>
  <c r="C7607" i="1"/>
  <c r="B7607" i="1"/>
  <c r="G7606" i="1"/>
  <c r="B7606" i="1"/>
  <c r="G7605" i="1"/>
  <c r="C7605" i="1"/>
  <c r="B7605" i="1"/>
  <c r="G7604" i="1"/>
  <c r="C7604" i="1"/>
  <c r="B7604" i="1"/>
  <c r="G7603" i="1"/>
  <c r="C7603" i="1"/>
  <c r="B7603" i="1"/>
  <c r="G7602" i="1"/>
  <c r="C7602" i="1"/>
  <c r="B7602" i="1"/>
  <c r="G7601" i="1"/>
  <c r="B7601" i="1"/>
  <c r="G7600" i="1"/>
  <c r="B7600" i="1"/>
  <c r="G7599" i="1"/>
  <c r="C7599" i="1"/>
  <c r="B7599" i="1"/>
  <c r="G7598" i="1"/>
  <c r="C7598" i="1"/>
  <c r="B7598" i="1"/>
  <c r="G7597" i="1"/>
  <c r="B7597" i="1"/>
  <c r="G7596" i="1"/>
  <c r="C7596" i="1"/>
  <c r="B7596" i="1"/>
  <c r="G7595" i="1"/>
  <c r="C7595" i="1"/>
  <c r="B7595" i="1"/>
  <c r="G7594" i="1"/>
  <c r="C7594" i="1"/>
  <c r="B7594" i="1"/>
  <c r="G7593" i="1"/>
  <c r="C7593" i="1"/>
  <c r="B7593" i="1"/>
  <c r="G7592" i="1"/>
  <c r="B7592" i="1"/>
  <c r="G7591" i="1"/>
  <c r="C7591" i="1"/>
  <c r="B7591" i="1"/>
  <c r="G7590" i="1"/>
  <c r="B7590" i="1"/>
  <c r="G7589" i="1"/>
  <c r="B7589" i="1"/>
  <c r="G7588" i="1"/>
  <c r="C7588" i="1"/>
  <c r="B7588" i="1"/>
  <c r="G7587" i="1"/>
  <c r="B7587" i="1"/>
  <c r="G7586" i="1"/>
  <c r="C7586" i="1"/>
  <c r="B7586" i="1"/>
  <c r="G7585" i="1"/>
  <c r="C7585" i="1"/>
  <c r="B7585" i="1"/>
  <c r="G7584" i="1"/>
  <c r="C7584" i="1"/>
  <c r="B7584" i="1"/>
  <c r="G7583" i="1"/>
  <c r="C7583" i="1"/>
  <c r="B7583" i="1"/>
  <c r="G7582" i="1"/>
  <c r="C7582" i="1"/>
  <c r="B7582" i="1"/>
  <c r="G7581" i="1"/>
  <c r="C7581" i="1"/>
  <c r="B7581" i="1"/>
  <c r="G7580" i="1"/>
  <c r="C7580" i="1"/>
  <c r="B7580" i="1"/>
  <c r="G7579" i="1"/>
  <c r="C7579" i="1"/>
  <c r="B7579" i="1"/>
  <c r="G7578" i="1"/>
  <c r="C7578" i="1"/>
  <c r="B7578" i="1"/>
  <c r="G7577" i="1"/>
  <c r="C7577" i="1"/>
  <c r="B7577" i="1"/>
  <c r="G7576" i="1"/>
  <c r="B7576" i="1"/>
  <c r="G7575" i="1"/>
  <c r="C7575" i="1"/>
  <c r="B7575" i="1"/>
  <c r="G7574" i="1"/>
  <c r="C7574" i="1"/>
  <c r="B7574" i="1"/>
  <c r="G7573" i="1"/>
  <c r="B7573" i="1"/>
  <c r="G7572" i="1"/>
  <c r="C7572" i="1"/>
  <c r="B7572" i="1"/>
  <c r="G7571" i="1"/>
  <c r="B7571" i="1"/>
  <c r="G7570" i="1"/>
  <c r="C7570" i="1"/>
  <c r="B7570" i="1"/>
  <c r="G7569" i="1"/>
  <c r="C7569" i="1"/>
  <c r="B7569" i="1"/>
  <c r="G7568" i="1"/>
  <c r="C7568" i="1"/>
  <c r="B7568" i="1"/>
  <c r="G7567" i="1"/>
  <c r="C7567" i="1"/>
  <c r="B7567" i="1"/>
  <c r="G7566" i="1"/>
  <c r="B7566" i="1"/>
  <c r="G7565" i="1"/>
  <c r="B7565" i="1"/>
  <c r="G7564" i="1"/>
  <c r="C7564" i="1"/>
  <c r="B7564" i="1"/>
  <c r="G7563" i="1"/>
  <c r="C7563" i="1"/>
  <c r="B7563" i="1"/>
  <c r="G7562" i="1"/>
  <c r="C7562" i="1"/>
  <c r="B7562" i="1"/>
  <c r="G7561" i="1"/>
  <c r="C7561" i="1"/>
  <c r="B7561" i="1"/>
  <c r="G7560" i="1"/>
  <c r="C7560" i="1"/>
  <c r="B7560" i="1"/>
  <c r="G7559" i="1"/>
  <c r="B7559" i="1"/>
  <c r="G7558" i="1"/>
  <c r="C7558" i="1"/>
  <c r="B7558" i="1"/>
  <c r="G7557" i="1"/>
  <c r="C7557" i="1"/>
  <c r="B7557" i="1"/>
  <c r="G7556" i="1"/>
  <c r="C7556" i="1"/>
  <c r="B7556" i="1"/>
  <c r="G7555" i="1"/>
  <c r="B7555" i="1"/>
  <c r="G7554" i="1"/>
  <c r="C7554" i="1"/>
  <c r="B7554" i="1"/>
  <c r="G7553" i="1"/>
  <c r="C7553" i="1"/>
  <c r="B7553" i="1"/>
  <c r="G7552" i="1"/>
  <c r="B7552" i="1"/>
  <c r="G7551" i="1"/>
  <c r="B7551" i="1"/>
  <c r="G7550" i="1"/>
  <c r="C7550" i="1"/>
  <c r="B7550" i="1"/>
  <c r="G7549" i="1"/>
  <c r="C7549" i="1"/>
  <c r="B7549" i="1"/>
  <c r="G7548" i="1"/>
  <c r="C7548" i="1"/>
  <c r="B7548" i="1"/>
  <c r="G7547" i="1"/>
  <c r="C7547" i="1"/>
  <c r="B7547" i="1"/>
  <c r="G7546" i="1"/>
  <c r="B7546" i="1"/>
  <c r="G7545" i="1"/>
  <c r="C7545" i="1"/>
  <c r="B7545" i="1"/>
  <c r="G7544" i="1"/>
  <c r="C7544" i="1"/>
  <c r="B7544" i="1"/>
  <c r="G7543" i="1"/>
  <c r="C7543" i="1"/>
  <c r="B7543" i="1"/>
  <c r="G7542" i="1"/>
  <c r="C7542" i="1"/>
  <c r="B7542" i="1"/>
  <c r="G7541" i="1"/>
  <c r="C7541" i="1"/>
  <c r="B7541" i="1"/>
  <c r="G7540" i="1"/>
  <c r="C7540" i="1"/>
  <c r="B7540" i="1"/>
  <c r="G7539" i="1"/>
  <c r="B7539" i="1"/>
  <c r="G7538" i="1"/>
  <c r="C7538" i="1"/>
  <c r="B7538" i="1"/>
  <c r="G7537" i="1"/>
  <c r="C7537" i="1"/>
  <c r="B7537" i="1"/>
  <c r="G7536" i="1"/>
  <c r="B7536" i="1"/>
  <c r="G7535" i="1"/>
  <c r="B7535" i="1"/>
  <c r="G7534" i="1"/>
  <c r="C7534" i="1"/>
  <c r="B7534" i="1"/>
  <c r="G7533" i="1"/>
  <c r="C7533" i="1"/>
  <c r="B7533" i="1"/>
  <c r="G7532" i="1"/>
  <c r="C7532" i="1"/>
  <c r="B7532" i="1"/>
  <c r="G7531" i="1"/>
  <c r="C7531" i="1"/>
  <c r="B7531" i="1"/>
  <c r="G7530" i="1"/>
  <c r="C7530" i="1"/>
  <c r="B7530" i="1"/>
  <c r="G7529" i="1"/>
  <c r="C7529" i="1"/>
  <c r="B7529" i="1"/>
  <c r="G7528" i="1"/>
  <c r="C7528" i="1"/>
  <c r="B7528" i="1"/>
  <c r="G7527" i="1"/>
  <c r="C7527" i="1"/>
  <c r="B7527" i="1"/>
  <c r="G7526" i="1"/>
  <c r="C7526" i="1"/>
  <c r="B7526" i="1"/>
  <c r="G7525" i="1"/>
  <c r="C7525" i="1"/>
  <c r="B7525" i="1"/>
  <c r="G7524" i="1"/>
  <c r="B7524" i="1"/>
  <c r="G7523" i="1"/>
  <c r="B7523" i="1"/>
  <c r="G7522" i="1"/>
  <c r="B7522" i="1"/>
  <c r="G7521" i="1"/>
  <c r="C7521" i="1"/>
  <c r="B7521" i="1"/>
  <c r="G7520" i="1"/>
  <c r="C7520" i="1"/>
  <c r="B7520" i="1"/>
  <c r="G7519" i="1"/>
  <c r="C7519" i="1"/>
  <c r="B7519" i="1"/>
  <c r="G7518" i="1"/>
  <c r="C7518" i="1"/>
  <c r="B7518" i="1"/>
  <c r="G7517" i="1"/>
  <c r="C7517" i="1"/>
  <c r="B7517" i="1"/>
  <c r="G7516" i="1"/>
  <c r="C7516" i="1"/>
  <c r="B7516" i="1"/>
  <c r="G7515" i="1"/>
  <c r="C7515" i="1"/>
  <c r="B7515" i="1"/>
  <c r="G7514" i="1"/>
  <c r="C7514" i="1"/>
  <c r="B7514" i="1"/>
  <c r="G7513" i="1"/>
  <c r="C7513" i="1"/>
  <c r="B7513" i="1"/>
  <c r="G7512" i="1"/>
  <c r="C7512" i="1"/>
  <c r="B7512" i="1"/>
  <c r="G7511" i="1"/>
  <c r="B7511" i="1"/>
  <c r="G7510" i="1"/>
  <c r="C7510" i="1"/>
  <c r="B7510" i="1"/>
  <c r="G7509" i="1"/>
  <c r="C7509" i="1"/>
  <c r="B7509" i="1"/>
  <c r="G7508" i="1"/>
  <c r="B7508" i="1"/>
  <c r="G7507" i="1"/>
  <c r="C7507" i="1"/>
  <c r="B7507" i="1"/>
  <c r="G7506" i="1"/>
  <c r="B7506" i="1"/>
  <c r="G7505" i="1"/>
  <c r="C7505" i="1"/>
  <c r="B7505" i="1"/>
  <c r="G7504" i="1"/>
  <c r="B7504" i="1"/>
  <c r="G7503" i="1"/>
  <c r="C7503" i="1"/>
  <c r="B7503" i="1"/>
  <c r="G7502" i="1"/>
  <c r="C7502" i="1"/>
  <c r="B7502" i="1"/>
  <c r="G7501" i="1"/>
  <c r="C7501" i="1"/>
  <c r="B7501" i="1"/>
  <c r="G7500" i="1"/>
  <c r="C7500" i="1"/>
  <c r="B7500" i="1"/>
  <c r="G7499" i="1"/>
  <c r="B7499" i="1"/>
  <c r="G7498" i="1"/>
  <c r="C7498" i="1"/>
  <c r="B7498" i="1"/>
  <c r="G7497" i="1"/>
  <c r="C7497" i="1"/>
  <c r="B7497" i="1"/>
  <c r="G7496" i="1"/>
  <c r="C7496" i="1"/>
  <c r="B7496" i="1"/>
  <c r="G7495" i="1"/>
  <c r="C7495" i="1"/>
  <c r="B7495" i="1"/>
  <c r="G7494" i="1"/>
  <c r="C7494" i="1"/>
  <c r="B7494" i="1"/>
  <c r="G7493" i="1"/>
  <c r="C7493" i="1"/>
  <c r="B7493" i="1"/>
  <c r="G7492" i="1"/>
  <c r="C7492" i="1"/>
  <c r="B7492" i="1"/>
  <c r="G7491" i="1"/>
  <c r="B7491" i="1"/>
  <c r="G7490" i="1"/>
  <c r="C7490" i="1"/>
  <c r="B7490" i="1"/>
  <c r="G7489" i="1"/>
  <c r="C7489" i="1"/>
  <c r="B7489" i="1"/>
  <c r="G7488" i="1"/>
  <c r="C7488" i="1"/>
  <c r="B7488" i="1"/>
  <c r="G7487" i="1"/>
  <c r="C7487" i="1"/>
  <c r="B7487" i="1"/>
  <c r="G7486" i="1"/>
  <c r="C7486" i="1"/>
  <c r="B7486" i="1"/>
  <c r="G7485" i="1"/>
  <c r="B7485" i="1"/>
  <c r="G7484" i="1"/>
  <c r="C7484" i="1"/>
  <c r="B7484" i="1"/>
  <c r="G7483" i="1"/>
  <c r="B7483" i="1"/>
  <c r="G7482" i="1"/>
  <c r="C7482" i="1"/>
  <c r="B7482" i="1"/>
  <c r="G7481" i="1"/>
  <c r="C7481" i="1"/>
  <c r="B7481" i="1"/>
  <c r="G7480" i="1"/>
  <c r="C7480" i="1"/>
  <c r="B7480" i="1"/>
  <c r="G7479" i="1"/>
  <c r="C7479" i="1"/>
  <c r="B7479" i="1"/>
  <c r="G7478" i="1"/>
  <c r="C7478" i="1"/>
  <c r="B7478" i="1"/>
  <c r="G7477" i="1"/>
  <c r="C7477" i="1"/>
  <c r="B7477" i="1"/>
  <c r="G7476" i="1"/>
  <c r="C7476" i="1"/>
  <c r="B7476" i="1"/>
  <c r="G7475" i="1"/>
  <c r="B7475" i="1"/>
  <c r="G7474" i="1"/>
  <c r="C7474" i="1"/>
  <c r="B7474" i="1"/>
  <c r="G7473" i="1"/>
  <c r="C7473" i="1"/>
  <c r="B7473" i="1"/>
  <c r="G7472" i="1"/>
  <c r="C7472" i="1"/>
  <c r="B7472" i="1"/>
  <c r="G7471" i="1"/>
  <c r="C7471" i="1"/>
  <c r="B7471" i="1"/>
  <c r="G7470" i="1"/>
  <c r="C7470" i="1"/>
  <c r="B7470" i="1"/>
  <c r="G7469" i="1"/>
  <c r="C7469" i="1"/>
  <c r="B7469" i="1"/>
  <c r="G7468" i="1"/>
  <c r="C7468" i="1"/>
  <c r="B7468" i="1"/>
  <c r="G7467" i="1"/>
  <c r="C7467" i="1"/>
  <c r="B7467" i="1"/>
  <c r="G7466" i="1"/>
  <c r="C7466" i="1"/>
  <c r="B7466" i="1"/>
  <c r="G7465" i="1"/>
  <c r="B7465" i="1"/>
  <c r="G7464" i="1"/>
  <c r="C7464" i="1"/>
  <c r="B7464" i="1"/>
  <c r="G7463" i="1"/>
  <c r="C7463" i="1"/>
  <c r="B7463" i="1"/>
  <c r="G7462" i="1"/>
  <c r="C7462" i="1"/>
  <c r="B7462" i="1"/>
  <c r="G7461" i="1"/>
  <c r="C7461" i="1"/>
  <c r="B7461" i="1"/>
  <c r="G7460" i="1"/>
  <c r="C7460" i="1"/>
  <c r="B7460" i="1"/>
  <c r="G7459" i="1"/>
  <c r="C7459" i="1"/>
  <c r="B7459" i="1"/>
  <c r="G7458" i="1"/>
  <c r="C7458" i="1"/>
  <c r="B7458" i="1"/>
  <c r="G7457" i="1"/>
  <c r="C7457" i="1"/>
  <c r="B7457" i="1"/>
  <c r="G7456" i="1"/>
  <c r="C7456" i="1"/>
  <c r="B7456" i="1"/>
  <c r="G7455" i="1"/>
  <c r="C7455" i="1"/>
  <c r="B7455" i="1"/>
  <c r="G7454" i="1"/>
  <c r="B7454" i="1"/>
  <c r="G7453" i="1"/>
  <c r="C7453" i="1"/>
  <c r="B7453" i="1"/>
  <c r="G7452" i="1"/>
  <c r="C7452" i="1"/>
  <c r="B7452" i="1"/>
  <c r="G7451" i="1"/>
  <c r="C7451" i="1"/>
  <c r="B7451" i="1"/>
  <c r="G7450" i="1"/>
  <c r="C7450" i="1"/>
  <c r="B7450" i="1"/>
  <c r="G7449" i="1"/>
  <c r="C7449" i="1"/>
  <c r="B7449" i="1"/>
  <c r="G7448" i="1"/>
  <c r="C7448" i="1"/>
  <c r="B7448" i="1"/>
  <c r="G7447" i="1"/>
  <c r="C7447" i="1"/>
  <c r="B7447" i="1"/>
  <c r="G7446" i="1"/>
  <c r="B7446" i="1"/>
  <c r="G7445" i="1"/>
  <c r="C7445" i="1"/>
  <c r="B7445" i="1"/>
  <c r="G7444" i="1"/>
  <c r="C7444" i="1"/>
  <c r="B7444" i="1"/>
  <c r="G7443" i="1"/>
  <c r="C7443" i="1"/>
  <c r="B7443" i="1"/>
  <c r="G7442" i="1"/>
  <c r="C7442" i="1"/>
  <c r="B7442" i="1"/>
  <c r="G7441" i="1"/>
  <c r="C7441" i="1"/>
  <c r="B7441" i="1"/>
  <c r="G7440" i="1"/>
  <c r="B7440" i="1"/>
  <c r="G7439" i="1"/>
  <c r="C7439" i="1"/>
  <c r="B7439" i="1"/>
  <c r="G7438" i="1"/>
  <c r="C7438" i="1"/>
  <c r="B7438" i="1"/>
  <c r="G7437" i="1"/>
  <c r="C7437" i="1"/>
  <c r="B7437" i="1"/>
  <c r="G7436" i="1"/>
  <c r="C7436" i="1"/>
  <c r="B7436" i="1"/>
  <c r="G7435" i="1"/>
  <c r="C7435" i="1"/>
  <c r="B7435" i="1"/>
  <c r="G7434" i="1"/>
  <c r="C7434" i="1"/>
  <c r="B7434" i="1"/>
  <c r="G7433" i="1"/>
  <c r="C7433" i="1"/>
  <c r="B7433" i="1"/>
  <c r="G7432" i="1"/>
  <c r="B7432" i="1"/>
  <c r="G7431" i="1"/>
  <c r="C7431" i="1"/>
  <c r="B7431" i="1"/>
  <c r="G7430" i="1"/>
  <c r="C7430" i="1"/>
  <c r="B7430" i="1"/>
  <c r="G7429" i="1"/>
  <c r="C7429" i="1"/>
  <c r="B7429" i="1"/>
  <c r="G7428" i="1"/>
  <c r="C7428" i="1"/>
  <c r="B7428" i="1"/>
  <c r="G7427" i="1"/>
  <c r="C7427" i="1"/>
  <c r="B7427" i="1"/>
  <c r="G7426" i="1"/>
  <c r="C7426" i="1"/>
  <c r="B7426" i="1"/>
  <c r="G7425" i="1"/>
  <c r="C7425" i="1"/>
  <c r="B7425" i="1"/>
  <c r="G7424" i="1"/>
  <c r="C7424" i="1"/>
  <c r="B7424" i="1"/>
  <c r="G7423" i="1"/>
  <c r="C7423" i="1"/>
  <c r="B7423" i="1"/>
  <c r="G7422" i="1"/>
  <c r="B7422" i="1"/>
  <c r="G7421" i="1"/>
  <c r="C7421" i="1"/>
  <c r="B7421" i="1"/>
  <c r="G7420" i="1"/>
  <c r="B7420" i="1"/>
  <c r="G7419" i="1"/>
  <c r="C7419" i="1"/>
  <c r="B7419" i="1"/>
  <c r="G7418" i="1"/>
  <c r="C7418" i="1"/>
  <c r="B7418" i="1"/>
  <c r="G7417" i="1"/>
  <c r="C7417" i="1"/>
  <c r="B7417" i="1"/>
  <c r="G7416" i="1"/>
  <c r="C7416" i="1"/>
  <c r="B7416" i="1"/>
  <c r="G7415" i="1"/>
  <c r="C7415" i="1"/>
  <c r="B7415" i="1"/>
  <c r="G7414" i="1"/>
  <c r="C7414" i="1"/>
  <c r="B7414" i="1"/>
  <c r="G7413" i="1"/>
  <c r="C7413" i="1"/>
  <c r="B7413" i="1"/>
  <c r="G7412" i="1"/>
  <c r="C7412" i="1"/>
  <c r="B7412" i="1"/>
  <c r="G7411" i="1"/>
  <c r="C7411" i="1"/>
  <c r="B7411" i="1"/>
  <c r="G7410" i="1"/>
  <c r="C7410" i="1"/>
  <c r="B7410" i="1"/>
  <c r="G7409" i="1"/>
  <c r="B7409" i="1"/>
  <c r="G7408" i="1"/>
  <c r="C7408" i="1"/>
  <c r="B7408" i="1"/>
  <c r="G7407" i="1"/>
  <c r="C7407" i="1"/>
  <c r="B7407" i="1"/>
  <c r="G7406" i="1"/>
  <c r="B7406" i="1"/>
  <c r="G7405" i="1"/>
  <c r="B7405" i="1"/>
  <c r="G7404" i="1"/>
  <c r="C7404" i="1"/>
  <c r="B7404" i="1"/>
  <c r="G7403" i="1"/>
  <c r="B7403" i="1"/>
  <c r="G7402" i="1"/>
  <c r="B7402" i="1"/>
  <c r="G7401" i="1"/>
  <c r="B7401" i="1"/>
  <c r="G7400" i="1"/>
  <c r="C7400" i="1"/>
  <c r="B7400" i="1"/>
  <c r="G7399" i="1"/>
  <c r="C7399" i="1"/>
  <c r="B7399" i="1"/>
  <c r="G7398" i="1"/>
  <c r="C7398" i="1"/>
  <c r="B7398" i="1"/>
  <c r="G7397" i="1"/>
  <c r="B7397" i="1"/>
  <c r="G7396" i="1"/>
  <c r="C7396" i="1"/>
  <c r="B7396" i="1"/>
  <c r="G7395" i="1"/>
  <c r="B7395" i="1"/>
  <c r="G7394" i="1"/>
  <c r="B7394" i="1"/>
  <c r="G7393" i="1"/>
  <c r="C7393" i="1"/>
  <c r="B7393" i="1"/>
  <c r="G7392" i="1"/>
  <c r="C7392" i="1"/>
  <c r="B7392" i="1"/>
  <c r="G7391" i="1"/>
  <c r="C7391" i="1"/>
  <c r="B7391" i="1"/>
  <c r="G7390" i="1"/>
  <c r="B7390" i="1"/>
  <c r="G7389" i="1"/>
  <c r="C7389" i="1"/>
  <c r="B7389" i="1"/>
  <c r="G7388" i="1"/>
  <c r="C7388" i="1"/>
  <c r="B7388" i="1"/>
  <c r="G7387" i="1"/>
  <c r="C7387" i="1"/>
  <c r="B7387" i="1"/>
  <c r="G7386" i="1"/>
  <c r="C7386" i="1"/>
  <c r="B7386" i="1"/>
  <c r="G7385" i="1"/>
  <c r="C7385" i="1"/>
  <c r="B7385" i="1"/>
  <c r="G7384" i="1"/>
  <c r="C7384" i="1"/>
  <c r="B7384" i="1"/>
  <c r="G7383" i="1"/>
  <c r="B7383" i="1"/>
  <c r="G7382" i="1"/>
  <c r="C7382" i="1"/>
  <c r="B7382" i="1"/>
  <c r="G7381" i="1"/>
  <c r="C7381" i="1"/>
  <c r="B7381" i="1"/>
  <c r="G7380" i="1"/>
  <c r="C7380" i="1"/>
  <c r="B7380" i="1"/>
  <c r="G7379" i="1"/>
  <c r="C7379" i="1"/>
  <c r="B7379" i="1"/>
  <c r="G7378" i="1"/>
  <c r="B7378" i="1"/>
  <c r="G7377" i="1"/>
  <c r="B7377" i="1"/>
  <c r="G7376" i="1"/>
  <c r="C7376" i="1"/>
  <c r="B7376" i="1"/>
  <c r="G7375" i="1"/>
  <c r="C7375" i="1"/>
  <c r="B7375" i="1"/>
  <c r="G7374" i="1"/>
  <c r="C7374" i="1"/>
  <c r="B7374" i="1"/>
  <c r="G7373" i="1"/>
  <c r="C7373" i="1"/>
  <c r="B7373" i="1"/>
  <c r="G7372" i="1"/>
  <c r="C7372" i="1"/>
  <c r="B7372" i="1"/>
  <c r="G7371" i="1"/>
  <c r="C7371" i="1"/>
  <c r="B7371" i="1"/>
  <c r="G7370" i="1"/>
  <c r="C7370" i="1"/>
  <c r="B7370" i="1"/>
  <c r="G7369" i="1"/>
  <c r="B7369" i="1"/>
  <c r="G7368" i="1"/>
  <c r="B7368" i="1"/>
  <c r="G7367" i="1"/>
  <c r="C7367" i="1"/>
  <c r="B7367" i="1"/>
  <c r="G7366" i="1"/>
  <c r="C7366" i="1"/>
  <c r="B7366" i="1"/>
  <c r="G7365" i="1"/>
  <c r="C7365" i="1"/>
  <c r="B7365" i="1"/>
  <c r="G7364" i="1"/>
  <c r="C7364" i="1"/>
  <c r="B7364" i="1"/>
  <c r="G7363" i="1"/>
  <c r="B7363" i="1"/>
  <c r="G7362" i="1"/>
  <c r="C7362" i="1"/>
  <c r="B7362" i="1"/>
  <c r="G7361" i="1"/>
  <c r="C7361" i="1"/>
  <c r="B7361" i="1"/>
  <c r="G7360" i="1"/>
  <c r="B7360" i="1"/>
  <c r="G7359" i="1"/>
  <c r="C7359" i="1"/>
  <c r="B7359" i="1"/>
  <c r="G7358" i="1"/>
  <c r="C7358" i="1"/>
  <c r="B7358" i="1"/>
  <c r="G7357" i="1"/>
  <c r="B7357" i="1"/>
  <c r="G7356" i="1"/>
  <c r="C7356" i="1"/>
  <c r="B7356" i="1"/>
  <c r="G7355" i="1"/>
  <c r="B7355" i="1"/>
  <c r="G7354" i="1"/>
  <c r="C7354" i="1"/>
  <c r="B7354" i="1"/>
  <c r="G7353" i="1"/>
  <c r="C7353" i="1"/>
  <c r="B7353" i="1"/>
  <c r="G7352" i="1"/>
  <c r="B7352" i="1"/>
  <c r="G7351" i="1"/>
  <c r="C7351" i="1"/>
  <c r="B7351" i="1"/>
  <c r="G7350" i="1"/>
  <c r="C7350" i="1"/>
  <c r="B7350" i="1"/>
  <c r="G7349" i="1"/>
  <c r="C7349" i="1"/>
  <c r="B7349" i="1"/>
  <c r="G7348" i="1"/>
  <c r="C7348" i="1"/>
  <c r="B7348" i="1"/>
  <c r="G7347" i="1"/>
  <c r="B7347" i="1"/>
  <c r="G7346" i="1"/>
  <c r="C7346" i="1"/>
  <c r="B7346" i="1"/>
  <c r="G7345" i="1"/>
  <c r="C7345" i="1"/>
  <c r="B7345" i="1"/>
  <c r="G7344" i="1"/>
  <c r="C7344" i="1"/>
  <c r="B7344" i="1"/>
  <c r="G7343" i="1"/>
  <c r="C7343" i="1"/>
  <c r="B7343" i="1"/>
  <c r="G7342" i="1"/>
  <c r="B7342" i="1"/>
  <c r="G7341" i="1"/>
  <c r="C7341" i="1"/>
  <c r="B7341" i="1"/>
  <c r="G7340" i="1"/>
  <c r="C7340" i="1"/>
  <c r="B7340" i="1"/>
  <c r="G7339" i="1"/>
  <c r="B7339" i="1"/>
  <c r="G7338" i="1"/>
  <c r="C7338" i="1"/>
  <c r="B7338" i="1"/>
  <c r="G7337" i="1"/>
  <c r="C7337" i="1"/>
  <c r="B7337" i="1"/>
  <c r="G7336" i="1"/>
  <c r="C7336" i="1"/>
  <c r="B7336" i="1"/>
  <c r="G7335" i="1"/>
  <c r="C7335" i="1"/>
  <c r="B7335" i="1"/>
  <c r="G7334" i="1"/>
  <c r="C7334" i="1"/>
  <c r="B7334" i="1"/>
  <c r="G7333" i="1"/>
  <c r="C7333" i="1"/>
  <c r="B7333" i="1"/>
  <c r="G7332" i="1"/>
  <c r="C7332" i="1"/>
  <c r="B7332" i="1"/>
  <c r="G7331" i="1"/>
  <c r="C7331" i="1"/>
  <c r="B7331" i="1"/>
  <c r="G7330" i="1"/>
  <c r="C7330" i="1"/>
  <c r="B7330" i="1"/>
  <c r="G7329" i="1"/>
  <c r="C7329" i="1"/>
  <c r="B7329" i="1"/>
  <c r="G7328" i="1"/>
  <c r="C7328" i="1"/>
  <c r="B7328" i="1"/>
  <c r="G7327" i="1"/>
  <c r="B7327" i="1"/>
  <c r="G7326" i="1"/>
  <c r="C7326" i="1"/>
  <c r="B7326" i="1"/>
  <c r="G7325" i="1"/>
  <c r="C7325" i="1"/>
  <c r="B7325" i="1"/>
  <c r="G7324" i="1"/>
  <c r="C7324" i="1"/>
  <c r="B7324" i="1"/>
  <c r="G7323" i="1"/>
  <c r="C7323" i="1"/>
  <c r="B7323" i="1"/>
  <c r="G7322" i="1"/>
  <c r="C7322" i="1"/>
  <c r="B7322" i="1"/>
  <c r="G7321" i="1"/>
  <c r="B7321" i="1"/>
  <c r="G7320" i="1"/>
  <c r="C7320" i="1"/>
  <c r="B7320" i="1"/>
  <c r="G7319" i="1"/>
  <c r="C7319" i="1"/>
  <c r="B7319" i="1"/>
  <c r="G7318" i="1"/>
  <c r="C7318" i="1"/>
  <c r="B7318" i="1"/>
  <c r="G7317" i="1"/>
  <c r="C7317" i="1"/>
  <c r="B7317" i="1"/>
  <c r="G7316" i="1"/>
  <c r="B7316" i="1"/>
  <c r="G7315" i="1"/>
  <c r="C7315" i="1"/>
  <c r="B7315" i="1"/>
  <c r="G7314" i="1"/>
  <c r="C7314" i="1"/>
  <c r="B7314" i="1"/>
  <c r="G7313" i="1"/>
  <c r="B7313" i="1"/>
  <c r="G7312" i="1"/>
  <c r="C7312" i="1"/>
  <c r="B7312" i="1"/>
  <c r="G7311" i="1"/>
  <c r="C7311" i="1"/>
  <c r="B7311" i="1"/>
  <c r="G7310" i="1"/>
  <c r="C7310" i="1"/>
  <c r="B7310" i="1"/>
  <c r="G7309" i="1"/>
  <c r="B7309" i="1"/>
  <c r="G7308" i="1"/>
  <c r="C7308" i="1"/>
  <c r="B7308" i="1"/>
  <c r="G7307" i="1"/>
  <c r="C7307" i="1"/>
  <c r="B7307" i="1"/>
  <c r="G7306" i="1"/>
  <c r="C7306" i="1"/>
  <c r="B7306" i="1"/>
  <c r="G7305" i="1"/>
  <c r="C7305" i="1"/>
  <c r="B7305" i="1"/>
  <c r="G7304" i="1"/>
  <c r="C7304" i="1"/>
  <c r="B7304" i="1"/>
  <c r="G7303" i="1"/>
  <c r="C7303" i="1"/>
  <c r="B7303" i="1"/>
  <c r="G7302" i="1"/>
  <c r="C7302" i="1"/>
  <c r="B7302" i="1"/>
  <c r="G7301" i="1"/>
  <c r="B7301" i="1"/>
  <c r="G7300" i="1"/>
  <c r="C7300" i="1"/>
  <c r="B7300" i="1"/>
  <c r="G7299" i="1"/>
  <c r="B7299" i="1"/>
  <c r="G7298" i="1"/>
  <c r="C7298" i="1"/>
  <c r="B7298" i="1"/>
  <c r="G7297" i="1"/>
  <c r="C7297" i="1"/>
  <c r="B7297" i="1"/>
  <c r="G7296" i="1"/>
  <c r="C7296" i="1"/>
  <c r="B7296" i="1"/>
  <c r="G7295" i="1"/>
  <c r="B7295" i="1"/>
  <c r="G7294" i="1"/>
  <c r="C7294" i="1"/>
  <c r="B7294" i="1"/>
  <c r="G7293" i="1"/>
  <c r="C7293" i="1"/>
  <c r="B7293" i="1"/>
  <c r="G7292" i="1"/>
  <c r="C7292" i="1"/>
  <c r="B7292" i="1"/>
  <c r="G7291" i="1"/>
  <c r="C7291" i="1"/>
  <c r="B7291" i="1"/>
  <c r="G7290" i="1"/>
  <c r="C7290" i="1"/>
  <c r="B7290" i="1"/>
  <c r="G7289" i="1"/>
  <c r="B7289" i="1"/>
  <c r="G7288" i="1"/>
  <c r="C7288" i="1"/>
  <c r="B7288" i="1"/>
  <c r="G7287" i="1"/>
  <c r="C7287" i="1"/>
  <c r="B7287" i="1"/>
  <c r="G7286" i="1"/>
  <c r="B7286" i="1"/>
  <c r="G7285" i="1"/>
  <c r="C7285" i="1"/>
  <c r="B7285" i="1"/>
  <c r="G7284" i="1"/>
  <c r="B7284" i="1"/>
  <c r="G7283" i="1"/>
  <c r="B7283" i="1"/>
  <c r="G7282" i="1"/>
  <c r="C7282" i="1"/>
  <c r="B7282" i="1"/>
  <c r="G7281" i="1"/>
  <c r="C7281" i="1"/>
  <c r="B7281" i="1"/>
  <c r="G7280" i="1"/>
  <c r="C7280" i="1"/>
  <c r="B7280" i="1"/>
  <c r="G7279" i="1"/>
  <c r="C7279" i="1"/>
  <c r="B7279" i="1"/>
  <c r="G7278" i="1"/>
  <c r="C7278" i="1"/>
  <c r="B7278" i="1"/>
  <c r="G7277" i="1"/>
  <c r="B7277" i="1"/>
  <c r="G7276" i="1"/>
  <c r="C7276" i="1"/>
  <c r="B7276" i="1"/>
  <c r="G7275" i="1"/>
  <c r="C7275" i="1"/>
  <c r="B7275" i="1"/>
  <c r="G7274" i="1"/>
  <c r="C7274" i="1"/>
  <c r="B7274" i="1"/>
  <c r="G7273" i="1"/>
  <c r="C7273" i="1"/>
  <c r="B7273" i="1"/>
  <c r="G7272" i="1"/>
  <c r="C7272" i="1"/>
  <c r="B7272" i="1"/>
  <c r="G7271" i="1"/>
  <c r="C7271" i="1"/>
  <c r="B7271" i="1"/>
  <c r="G7270" i="1"/>
  <c r="C7270" i="1"/>
  <c r="B7270" i="1"/>
  <c r="G7269" i="1"/>
  <c r="B7269" i="1"/>
  <c r="G7268" i="1"/>
  <c r="C7268" i="1"/>
  <c r="B7268" i="1"/>
  <c r="G7267" i="1"/>
  <c r="C7267" i="1"/>
  <c r="B7267" i="1"/>
  <c r="G7266" i="1"/>
  <c r="C7266" i="1"/>
  <c r="B7266" i="1"/>
  <c r="G7265" i="1"/>
  <c r="B7265" i="1"/>
  <c r="G7264" i="1"/>
  <c r="C7264" i="1"/>
  <c r="B7264" i="1"/>
  <c r="G7263" i="1"/>
  <c r="B7263" i="1"/>
  <c r="G7262" i="1"/>
  <c r="C7262" i="1"/>
  <c r="B7262" i="1"/>
  <c r="G7261" i="1"/>
  <c r="B7261" i="1"/>
  <c r="G7260" i="1"/>
  <c r="C7260" i="1"/>
  <c r="B7260" i="1"/>
  <c r="G7259" i="1"/>
  <c r="B7259" i="1"/>
  <c r="G7258" i="1"/>
  <c r="C7258" i="1"/>
  <c r="B7258" i="1"/>
  <c r="G7257" i="1"/>
  <c r="C7257" i="1"/>
  <c r="B7257" i="1"/>
  <c r="G7256" i="1"/>
  <c r="C7256" i="1"/>
  <c r="B7256" i="1"/>
  <c r="G7255" i="1"/>
  <c r="B7255" i="1"/>
  <c r="G7254" i="1"/>
  <c r="C7254" i="1"/>
  <c r="B7254" i="1"/>
  <c r="G7253" i="1"/>
  <c r="B7253" i="1"/>
  <c r="G7252" i="1"/>
  <c r="B7252" i="1"/>
  <c r="G7251" i="1"/>
  <c r="C7251" i="1"/>
  <c r="B7251" i="1"/>
  <c r="G7250" i="1"/>
  <c r="C7250" i="1"/>
  <c r="B7250" i="1"/>
  <c r="G7249" i="1"/>
  <c r="C7249" i="1"/>
  <c r="B7249" i="1"/>
  <c r="G7248" i="1"/>
  <c r="B7248" i="1"/>
  <c r="G7247" i="1"/>
  <c r="C7247" i="1"/>
  <c r="B7247" i="1"/>
  <c r="G7246" i="1"/>
  <c r="C7246" i="1"/>
  <c r="B7246" i="1"/>
  <c r="G7245" i="1"/>
  <c r="B7245" i="1"/>
  <c r="G7244" i="1"/>
  <c r="C7244" i="1"/>
  <c r="B7244" i="1"/>
  <c r="G7243" i="1"/>
  <c r="C7243" i="1"/>
  <c r="B7243" i="1"/>
  <c r="G7242" i="1"/>
  <c r="B7242" i="1"/>
  <c r="G7241" i="1"/>
  <c r="C7241" i="1"/>
  <c r="B7241" i="1"/>
  <c r="G7240" i="1"/>
  <c r="B7240" i="1"/>
  <c r="G7239" i="1"/>
  <c r="B7239" i="1"/>
  <c r="G7238" i="1"/>
  <c r="C7238" i="1"/>
  <c r="B7238" i="1"/>
  <c r="G7237" i="1"/>
  <c r="B7237" i="1"/>
  <c r="G7236" i="1"/>
  <c r="C7236" i="1"/>
  <c r="B7236" i="1"/>
  <c r="G7235" i="1"/>
  <c r="C7235" i="1"/>
  <c r="B7235" i="1"/>
  <c r="G7234" i="1"/>
  <c r="C7234" i="1"/>
  <c r="B7234" i="1"/>
  <c r="G7233" i="1"/>
  <c r="B7233" i="1"/>
  <c r="G7232" i="1"/>
  <c r="C7232" i="1"/>
  <c r="B7232" i="1"/>
  <c r="G7231" i="1"/>
  <c r="B7231" i="1"/>
  <c r="G7230" i="1"/>
  <c r="B7230" i="1"/>
  <c r="G7229" i="1"/>
  <c r="C7229" i="1"/>
  <c r="B7229" i="1"/>
  <c r="G7228" i="1"/>
  <c r="C7228" i="1"/>
  <c r="B7228" i="1"/>
  <c r="G7227" i="1"/>
  <c r="C7227" i="1"/>
  <c r="B7227" i="1"/>
  <c r="G7226" i="1"/>
  <c r="C7226" i="1"/>
  <c r="B7226" i="1"/>
  <c r="G7225" i="1"/>
  <c r="B7225" i="1"/>
  <c r="G7224" i="1"/>
  <c r="C7224" i="1"/>
  <c r="B7224" i="1"/>
  <c r="G7223" i="1"/>
  <c r="C7223" i="1"/>
  <c r="B7223" i="1"/>
  <c r="G7222" i="1"/>
  <c r="C7222" i="1"/>
  <c r="B7222" i="1"/>
  <c r="G7221" i="1"/>
  <c r="C7221" i="1"/>
  <c r="B7221" i="1"/>
  <c r="G7220" i="1"/>
  <c r="B7220" i="1"/>
  <c r="G7219" i="1"/>
  <c r="C7219" i="1"/>
  <c r="B7219" i="1"/>
  <c r="G7218" i="1"/>
  <c r="C7218" i="1"/>
  <c r="B7218" i="1"/>
  <c r="G7217" i="1"/>
  <c r="C7217" i="1"/>
  <c r="B7217" i="1"/>
  <c r="G7216" i="1"/>
  <c r="C7216" i="1"/>
  <c r="B7216" i="1"/>
  <c r="G7215" i="1"/>
  <c r="C7215" i="1"/>
  <c r="B7215" i="1"/>
  <c r="G7214" i="1"/>
  <c r="C7214" i="1"/>
  <c r="B7214" i="1"/>
  <c r="G7213" i="1"/>
  <c r="C7213" i="1"/>
  <c r="B7213" i="1"/>
  <c r="G7212" i="1"/>
  <c r="C7212" i="1"/>
  <c r="B7212" i="1"/>
  <c r="G7211" i="1"/>
  <c r="C7211" i="1"/>
  <c r="B7211" i="1"/>
  <c r="G7210" i="1"/>
  <c r="B7210" i="1"/>
  <c r="G7209" i="1"/>
  <c r="B7209" i="1"/>
  <c r="G7208" i="1"/>
  <c r="C7208" i="1"/>
  <c r="B7208" i="1"/>
  <c r="G7207" i="1"/>
  <c r="C7207" i="1"/>
  <c r="B7207" i="1"/>
  <c r="G7206" i="1"/>
  <c r="C7206" i="1"/>
  <c r="B7206" i="1"/>
  <c r="G7205" i="1"/>
  <c r="C7205" i="1"/>
  <c r="B7205" i="1"/>
  <c r="G7204" i="1"/>
  <c r="C7204" i="1"/>
  <c r="B7204" i="1"/>
  <c r="G7203" i="1"/>
  <c r="C7203" i="1"/>
  <c r="B7203" i="1"/>
  <c r="G7202" i="1"/>
  <c r="C7202" i="1"/>
  <c r="B7202" i="1"/>
  <c r="G7201" i="1"/>
  <c r="C7201" i="1"/>
  <c r="B7201" i="1"/>
  <c r="G7200" i="1"/>
  <c r="C7200" i="1"/>
  <c r="B7200" i="1"/>
  <c r="G7199" i="1"/>
  <c r="C7199" i="1"/>
  <c r="B7199" i="1"/>
  <c r="G7198" i="1"/>
  <c r="B7198" i="1"/>
  <c r="G7197" i="1"/>
  <c r="C7197" i="1"/>
  <c r="B7197" i="1"/>
  <c r="G7196" i="1"/>
  <c r="C7196" i="1"/>
  <c r="B7196" i="1"/>
  <c r="G7195" i="1"/>
  <c r="C7195" i="1"/>
  <c r="B7195" i="1"/>
  <c r="G7194" i="1"/>
  <c r="C7194" i="1"/>
  <c r="B7194" i="1"/>
  <c r="G7193" i="1"/>
  <c r="C7193" i="1"/>
  <c r="B7193" i="1"/>
  <c r="G7192" i="1"/>
  <c r="B7192" i="1"/>
  <c r="G7191" i="1"/>
  <c r="C7191" i="1"/>
  <c r="B7191" i="1"/>
  <c r="G7190" i="1"/>
  <c r="C7190" i="1"/>
  <c r="B7190" i="1"/>
  <c r="G7189" i="1"/>
  <c r="C7189" i="1"/>
  <c r="B7189" i="1"/>
  <c r="G7188" i="1"/>
  <c r="B7188" i="1"/>
  <c r="G7187" i="1"/>
  <c r="C7187" i="1"/>
  <c r="B7187" i="1"/>
  <c r="G7186" i="1"/>
  <c r="C7186" i="1"/>
  <c r="B7186" i="1"/>
  <c r="G7185" i="1"/>
  <c r="B7185" i="1"/>
  <c r="G7184" i="1"/>
  <c r="C7184" i="1"/>
  <c r="B7184" i="1"/>
  <c r="G7183" i="1"/>
  <c r="B7183" i="1"/>
  <c r="G7182" i="1"/>
  <c r="C7182" i="1"/>
  <c r="B7182" i="1"/>
  <c r="G7181" i="1"/>
  <c r="C7181" i="1"/>
  <c r="B7181" i="1"/>
  <c r="G7180" i="1"/>
  <c r="C7180" i="1"/>
  <c r="B7180" i="1"/>
  <c r="G7179" i="1"/>
  <c r="B7179" i="1"/>
  <c r="G7178" i="1"/>
  <c r="C7178" i="1"/>
  <c r="B7178" i="1"/>
  <c r="G7177" i="1"/>
  <c r="C7177" i="1"/>
  <c r="B7177" i="1"/>
  <c r="G7176" i="1"/>
  <c r="C7176" i="1"/>
  <c r="B7176" i="1"/>
  <c r="G7175" i="1"/>
  <c r="C7175" i="1"/>
  <c r="B7175" i="1"/>
  <c r="G7174" i="1"/>
  <c r="C7174" i="1"/>
  <c r="B7174" i="1"/>
  <c r="G7173" i="1"/>
  <c r="B7173" i="1"/>
  <c r="G7172" i="1"/>
  <c r="C7172" i="1"/>
  <c r="B7172" i="1"/>
  <c r="G7171" i="1"/>
  <c r="B7171" i="1"/>
  <c r="G7170" i="1"/>
  <c r="C7170" i="1"/>
  <c r="B7170" i="1"/>
  <c r="G7169" i="1"/>
  <c r="C7169" i="1"/>
  <c r="B7169" i="1"/>
  <c r="G7168" i="1"/>
  <c r="C7168" i="1"/>
  <c r="B7168" i="1"/>
  <c r="G7167" i="1"/>
  <c r="B7167" i="1"/>
  <c r="G7166" i="1"/>
  <c r="C7166" i="1"/>
  <c r="B7166" i="1"/>
  <c r="G7165" i="1"/>
  <c r="B7165" i="1"/>
  <c r="G7164" i="1"/>
  <c r="C7164" i="1"/>
  <c r="B7164" i="1"/>
  <c r="G7163" i="1"/>
  <c r="C7163" i="1"/>
  <c r="B7163" i="1"/>
  <c r="G7162" i="1"/>
  <c r="C7162" i="1"/>
  <c r="B7162" i="1"/>
  <c r="G7161" i="1"/>
  <c r="C7161" i="1"/>
  <c r="B7161" i="1"/>
  <c r="G7160" i="1"/>
  <c r="C7160" i="1"/>
  <c r="B7160" i="1"/>
  <c r="G7159" i="1"/>
  <c r="C7159" i="1"/>
  <c r="B7159" i="1"/>
  <c r="G7158" i="1"/>
  <c r="C7158" i="1"/>
  <c r="B7158" i="1"/>
  <c r="G7157" i="1"/>
  <c r="C7157" i="1"/>
  <c r="B7157" i="1"/>
  <c r="G7156" i="1"/>
  <c r="B7156" i="1"/>
  <c r="G7155" i="1"/>
  <c r="C7155" i="1"/>
  <c r="B7155" i="1"/>
  <c r="G7154" i="1"/>
  <c r="C7154" i="1"/>
  <c r="B7154" i="1"/>
  <c r="G7153" i="1"/>
  <c r="C7153" i="1"/>
  <c r="B7153" i="1"/>
  <c r="G7152" i="1"/>
  <c r="B7152" i="1"/>
  <c r="G7151" i="1"/>
  <c r="B7151" i="1"/>
  <c r="G7150" i="1"/>
  <c r="C7150" i="1"/>
  <c r="B7150" i="1"/>
  <c r="G7149" i="1"/>
  <c r="C7149" i="1"/>
  <c r="B7149" i="1"/>
  <c r="G7148" i="1"/>
  <c r="B7148" i="1"/>
  <c r="G7147" i="1"/>
  <c r="C7147" i="1"/>
  <c r="B7147" i="1"/>
  <c r="G7146" i="1"/>
  <c r="B7146" i="1"/>
  <c r="G7145" i="1"/>
  <c r="B7145" i="1"/>
  <c r="G7144" i="1"/>
  <c r="B7144" i="1"/>
  <c r="G7143" i="1"/>
  <c r="C7143" i="1"/>
  <c r="B7143" i="1"/>
  <c r="G7142" i="1"/>
  <c r="C7142" i="1"/>
  <c r="B7142" i="1"/>
  <c r="G7141" i="1"/>
  <c r="C7141" i="1"/>
  <c r="B7141" i="1"/>
  <c r="G7140" i="1"/>
  <c r="C7140" i="1"/>
  <c r="B7140" i="1"/>
  <c r="G7139" i="1"/>
  <c r="C7139" i="1"/>
  <c r="B7139" i="1"/>
  <c r="G7138" i="1"/>
  <c r="C7138" i="1"/>
  <c r="B7138" i="1"/>
  <c r="G7137" i="1"/>
  <c r="C7137" i="1"/>
  <c r="B7137" i="1"/>
  <c r="G7136" i="1"/>
  <c r="B7136" i="1"/>
  <c r="G7135" i="1"/>
  <c r="C7135" i="1"/>
  <c r="B7135" i="1"/>
  <c r="G7134" i="1"/>
  <c r="C7134" i="1"/>
  <c r="B7134" i="1"/>
  <c r="G7133" i="1"/>
  <c r="C7133" i="1"/>
  <c r="B7133" i="1"/>
  <c r="G7132" i="1"/>
  <c r="B7132" i="1"/>
  <c r="G7131" i="1"/>
  <c r="C7131" i="1"/>
  <c r="B7131" i="1"/>
  <c r="G7130" i="1"/>
  <c r="C7130" i="1"/>
  <c r="B7130" i="1"/>
  <c r="G7129" i="1"/>
  <c r="C7129" i="1"/>
  <c r="B7129" i="1"/>
  <c r="G7128" i="1"/>
  <c r="C7128" i="1"/>
  <c r="B7128" i="1"/>
  <c r="G7127" i="1"/>
  <c r="C7127" i="1"/>
  <c r="B7127" i="1"/>
  <c r="G7126" i="1"/>
  <c r="C7126" i="1"/>
  <c r="B7126" i="1"/>
  <c r="G7125" i="1"/>
  <c r="C7125" i="1"/>
  <c r="B7125" i="1"/>
  <c r="G7124" i="1"/>
  <c r="C7124" i="1"/>
  <c r="B7124" i="1"/>
  <c r="G7123" i="1"/>
  <c r="C7123" i="1"/>
  <c r="B7123" i="1"/>
  <c r="G7122" i="1"/>
  <c r="C7122" i="1"/>
  <c r="B7122" i="1"/>
  <c r="G7121" i="1"/>
  <c r="C7121" i="1"/>
  <c r="B7121" i="1"/>
  <c r="G7120" i="1"/>
  <c r="C7120" i="1"/>
  <c r="B7120" i="1"/>
  <c r="G7119" i="1"/>
  <c r="C7119" i="1"/>
  <c r="B7119" i="1"/>
  <c r="G7118" i="1"/>
  <c r="C7118" i="1"/>
  <c r="B7118" i="1"/>
  <c r="G7117" i="1"/>
  <c r="C7117" i="1"/>
  <c r="B7117" i="1"/>
  <c r="G7116" i="1"/>
  <c r="C7116" i="1"/>
  <c r="B7116" i="1"/>
  <c r="G7115" i="1"/>
  <c r="C7115" i="1"/>
  <c r="B7115" i="1"/>
  <c r="G7114" i="1"/>
  <c r="C7114" i="1"/>
  <c r="B7114" i="1"/>
  <c r="G7113" i="1"/>
  <c r="C7113" i="1"/>
  <c r="B7113" i="1"/>
  <c r="G7112" i="1"/>
  <c r="C7112" i="1"/>
  <c r="B7112" i="1"/>
  <c r="G7111" i="1"/>
  <c r="C7111" i="1"/>
  <c r="B7111" i="1"/>
  <c r="G7110" i="1"/>
  <c r="C7110" i="1"/>
  <c r="B7110" i="1"/>
  <c r="G7109" i="1"/>
  <c r="C7109" i="1"/>
  <c r="B7109" i="1"/>
  <c r="G7108" i="1"/>
  <c r="C7108" i="1"/>
  <c r="B7108" i="1"/>
  <c r="G7107" i="1"/>
  <c r="C7107" i="1"/>
  <c r="B7107" i="1"/>
  <c r="G7106" i="1"/>
  <c r="C7106" i="1"/>
  <c r="B7106" i="1"/>
  <c r="G7105" i="1"/>
  <c r="C7105" i="1"/>
  <c r="B7105" i="1"/>
  <c r="G7104" i="1"/>
  <c r="B7104" i="1"/>
  <c r="G7103" i="1"/>
  <c r="B7103" i="1"/>
  <c r="G7102" i="1"/>
  <c r="C7102" i="1"/>
  <c r="B7102" i="1"/>
  <c r="G7101" i="1"/>
  <c r="C7101" i="1"/>
  <c r="B7101" i="1"/>
  <c r="G7100" i="1"/>
  <c r="B7100" i="1"/>
  <c r="G7099" i="1"/>
  <c r="C7099" i="1"/>
  <c r="B7099" i="1"/>
  <c r="G7098" i="1"/>
  <c r="C7098" i="1"/>
  <c r="B7098" i="1"/>
  <c r="G7097" i="1"/>
  <c r="C7097" i="1"/>
  <c r="B7097" i="1"/>
  <c r="G7096" i="1"/>
  <c r="C7096" i="1"/>
  <c r="B7096" i="1"/>
  <c r="G7095" i="1"/>
  <c r="C7095" i="1"/>
  <c r="B7095" i="1"/>
  <c r="G7094" i="1"/>
  <c r="C7094" i="1"/>
  <c r="B7094" i="1"/>
  <c r="G7093" i="1"/>
  <c r="C7093" i="1"/>
  <c r="B7093" i="1"/>
  <c r="G7092" i="1"/>
  <c r="C7092" i="1"/>
  <c r="B7092" i="1"/>
  <c r="G7091" i="1"/>
  <c r="B7091" i="1"/>
  <c r="G7090" i="1"/>
  <c r="C7090" i="1"/>
  <c r="B7090" i="1"/>
  <c r="G7089" i="1"/>
  <c r="B7089" i="1"/>
  <c r="G7088" i="1"/>
  <c r="B7088" i="1"/>
  <c r="G7087" i="1"/>
  <c r="B7087" i="1"/>
  <c r="G7086" i="1"/>
  <c r="C7086" i="1"/>
  <c r="B7086" i="1"/>
  <c r="G7085" i="1"/>
  <c r="C7085" i="1"/>
  <c r="B7085" i="1"/>
  <c r="G7084" i="1"/>
  <c r="C7084" i="1"/>
  <c r="B7084" i="1"/>
  <c r="G7083" i="1"/>
  <c r="C7083" i="1"/>
  <c r="B7083" i="1"/>
  <c r="G7082" i="1"/>
  <c r="B7082" i="1"/>
  <c r="G7081" i="1"/>
  <c r="C7081" i="1"/>
  <c r="B7081" i="1"/>
  <c r="G7080" i="1"/>
  <c r="C7080" i="1"/>
  <c r="B7080" i="1"/>
  <c r="G7079" i="1"/>
  <c r="B7079" i="1"/>
  <c r="G7078" i="1"/>
  <c r="B7078" i="1"/>
  <c r="G7077" i="1"/>
  <c r="B7077" i="1"/>
  <c r="G7076" i="1"/>
  <c r="C7076" i="1"/>
  <c r="B7076" i="1"/>
  <c r="G7075" i="1"/>
  <c r="C7075" i="1"/>
  <c r="B7075" i="1"/>
  <c r="G7074" i="1"/>
  <c r="B7074" i="1"/>
  <c r="G7073" i="1"/>
  <c r="C7073" i="1"/>
  <c r="B7073" i="1"/>
  <c r="G7072" i="1"/>
  <c r="C7072" i="1"/>
  <c r="B7072" i="1"/>
  <c r="G7071" i="1"/>
  <c r="B7071" i="1"/>
  <c r="G7070" i="1"/>
  <c r="C7070" i="1"/>
  <c r="B7070" i="1"/>
  <c r="G7069" i="1"/>
  <c r="B7069" i="1"/>
  <c r="G7068" i="1"/>
  <c r="C7068" i="1"/>
  <c r="B7068" i="1"/>
  <c r="G7067" i="1"/>
  <c r="B7067" i="1"/>
  <c r="G7066" i="1"/>
  <c r="C7066" i="1"/>
  <c r="B7066" i="1"/>
  <c r="G7065" i="1"/>
  <c r="C7065" i="1"/>
  <c r="B7065" i="1"/>
  <c r="G7064" i="1"/>
  <c r="C7064" i="1"/>
  <c r="B7064" i="1"/>
  <c r="G7063" i="1"/>
  <c r="C7063" i="1"/>
  <c r="B7063" i="1"/>
  <c r="G7062" i="1"/>
  <c r="C7062" i="1"/>
  <c r="B7062" i="1"/>
  <c r="G7061" i="1"/>
  <c r="C7061" i="1"/>
  <c r="B7061" i="1"/>
  <c r="G7060" i="1"/>
  <c r="B7060" i="1"/>
  <c r="G7059" i="1"/>
  <c r="C7059" i="1"/>
  <c r="B7059" i="1"/>
  <c r="G7058" i="1"/>
  <c r="C7058" i="1"/>
  <c r="B7058" i="1"/>
  <c r="G7057" i="1"/>
  <c r="C7057" i="1"/>
  <c r="B7057" i="1"/>
  <c r="G7056" i="1"/>
  <c r="C7056" i="1"/>
  <c r="B7056" i="1"/>
  <c r="G7055" i="1"/>
  <c r="C7055" i="1"/>
  <c r="B7055" i="1"/>
  <c r="G7054" i="1"/>
  <c r="C7054" i="1"/>
  <c r="B7054" i="1"/>
  <c r="G7053" i="1"/>
  <c r="B7053" i="1"/>
  <c r="G7052" i="1"/>
  <c r="B7052" i="1"/>
  <c r="G7051" i="1"/>
  <c r="C7051" i="1"/>
  <c r="B7051" i="1"/>
  <c r="G7050" i="1"/>
  <c r="C7050" i="1"/>
  <c r="B7050" i="1"/>
  <c r="G7049" i="1"/>
  <c r="C7049" i="1"/>
  <c r="B7049" i="1"/>
  <c r="G7048" i="1"/>
  <c r="C7048" i="1"/>
  <c r="B7048" i="1"/>
  <c r="G7047" i="1"/>
  <c r="C7047" i="1"/>
  <c r="B7047" i="1"/>
  <c r="G7046" i="1"/>
  <c r="B7046" i="1"/>
  <c r="G7045" i="1"/>
  <c r="C7045" i="1"/>
  <c r="B7045" i="1"/>
  <c r="G7044" i="1"/>
  <c r="C7044" i="1"/>
  <c r="B7044" i="1"/>
  <c r="G7043" i="1"/>
  <c r="C7043" i="1"/>
  <c r="B7043" i="1"/>
  <c r="G7042" i="1"/>
  <c r="C7042" i="1"/>
  <c r="B7042" i="1"/>
  <c r="G7041" i="1"/>
  <c r="C7041" i="1"/>
  <c r="B7041" i="1"/>
  <c r="G7040" i="1"/>
  <c r="B7040" i="1"/>
  <c r="G7039" i="1"/>
  <c r="C7039" i="1"/>
  <c r="B7039" i="1"/>
  <c r="G7038" i="1"/>
  <c r="C7038" i="1"/>
  <c r="B7038" i="1"/>
  <c r="G7037" i="1"/>
  <c r="B7037" i="1"/>
  <c r="G7036" i="1"/>
  <c r="B7036" i="1"/>
  <c r="G7035" i="1"/>
  <c r="C7035" i="1"/>
  <c r="B7035" i="1"/>
  <c r="G7034" i="1"/>
  <c r="C7034" i="1"/>
  <c r="B7034" i="1"/>
  <c r="G7033" i="1"/>
  <c r="C7033" i="1"/>
  <c r="B7033" i="1"/>
  <c r="G7032" i="1"/>
  <c r="C7032" i="1"/>
  <c r="B7032" i="1"/>
  <c r="G7031" i="1"/>
  <c r="B7031" i="1"/>
  <c r="G7030" i="1"/>
  <c r="B7030" i="1"/>
  <c r="G7029" i="1"/>
  <c r="C7029" i="1"/>
  <c r="B7029" i="1"/>
  <c r="G7028" i="1"/>
  <c r="C7028" i="1"/>
  <c r="B7028" i="1"/>
  <c r="G7027" i="1"/>
  <c r="C7027" i="1"/>
  <c r="B7027" i="1"/>
  <c r="G7026" i="1"/>
  <c r="C7026" i="1"/>
  <c r="B7026" i="1"/>
  <c r="G7025" i="1"/>
  <c r="C7025" i="1"/>
  <c r="B7025" i="1"/>
  <c r="G7024" i="1"/>
  <c r="B7024" i="1"/>
  <c r="G7023" i="1"/>
  <c r="B7023" i="1"/>
  <c r="G7022" i="1"/>
  <c r="C7022" i="1"/>
  <c r="B7022" i="1"/>
  <c r="G7021" i="1"/>
  <c r="C7021" i="1"/>
  <c r="B7021" i="1"/>
  <c r="G7020" i="1"/>
  <c r="C7020" i="1"/>
  <c r="B7020" i="1"/>
  <c r="G7019" i="1"/>
  <c r="B7019" i="1"/>
  <c r="G7018" i="1"/>
  <c r="C7018" i="1"/>
  <c r="B7018" i="1"/>
  <c r="G7017" i="1"/>
  <c r="B7017" i="1"/>
  <c r="G7016" i="1"/>
  <c r="C7016" i="1"/>
  <c r="B7016" i="1"/>
  <c r="G7015" i="1"/>
  <c r="B7015" i="1"/>
  <c r="G7014" i="1"/>
  <c r="B7014" i="1"/>
  <c r="G7013" i="1"/>
  <c r="B7013" i="1"/>
  <c r="G7012" i="1"/>
  <c r="B7012" i="1"/>
  <c r="G7011" i="1"/>
  <c r="C7011" i="1"/>
  <c r="B7011" i="1"/>
  <c r="G7010" i="1"/>
  <c r="C7010" i="1"/>
  <c r="B7010" i="1"/>
  <c r="G7009" i="1"/>
  <c r="C7009" i="1"/>
  <c r="B7009" i="1"/>
  <c r="G7008" i="1"/>
  <c r="C7008" i="1"/>
  <c r="B7008" i="1"/>
  <c r="G7007" i="1"/>
  <c r="B7007" i="1"/>
  <c r="G7006" i="1"/>
  <c r="C7006" i="1"/>
  <c r="B7006" i="1"/>
  <c r="G7005" i="1"/>
  <c r="B7005" i="1"/>
  <c r="G7004" i="1"/>
  <c r="C7004" i="1"/>
  <c r="B7004" i="1"/>
  <c r="G7003" i="1"/>
  <c r="C7003" i="1"/>
  <c r="B7003" i="1"/>
  <c r="G7002" i="1"/>
  <c r="C7002" i="1"/>
  <c r="B7002" i="1"/>
  <c r="G7001" i="1"/>
  <c r="C7001" i="1"/>
  <c r="B7001" i="1"/>
  <c r="G7000" i="1"/>
  <c r="C7000" i="1"/>
  <c r="B7000" i="1"/>
  <c r="G6999" i="1"/>
  <c r="C6999" i="1"/>
  <c r="B6999" i="1"/>
  <c r="G6998" i="1"/>
  <c r="C6998" i="1"/>
  <c r="B6998" i="1"/>
  <c r="G6997" i="1"/>
  <c r="C6997" i="1"/>
  <c r="B6997" i="1"/>
  <c r="G6996" i="1"/>
  <c r="C6996" i="1"/>
  <c r="B6996" i="1"/>
  <c r="G6995" i="1"/>
  <c r="C6995" i="1"/>
  <c r="B6995" i="1"/>
  <c r="G6994" i="1"/>
  <c r="C6994" i="1"/>
  <c r="B6994" i="1"/>
  <c r="G6993" i="1"/>
  <c r="C6993" i="1"/>
  <c r="B6993" i="1"/>
  <c r="G6992" i="1"/>
  <c r="C6992" i="1"/>
  <c r="B6992" i="1"/>
  <c r="G6991" i="1"/>
  <c r="C6991" i="1"/>
  <c r="B6991" i="1"/>
  <c r="G6990" i="1"/>
  <c r="C6990" i="1"/>
  <c r="B6990" i="1"/>
  <c r="G6989" i="1"/>
  <c r="C6989" i="1"/>
  <c r="B6989" i="1"/>
  <c r="G6988" i="1"/>
  <c r="C6988" i="1"/>
  <c r="B6988" i="1"/>
  <c r="G6987" i="1"/>
  <c r="C6987" i="1"/>
  <c r="B6987" i="1"/>
  <c r="G6986" i="1"/>
  <c r="B6986" i="1"/>
  <c r="G6985" i="1"/>
  <c r="C6985" i="1"/>
  <c r="B6985" i="1"/>
  <c r="G6984" i="1"/>
  <c r="C6984" i="1"/>
  <c r="B6984" i="1"/>
  <c r="G6983" i="1"/>
  <c r="C6983" i="1"/>
  <c r="B6983" i="1"/>
  <c r="G6982" i="1"/>
  <c r="C6982" i="1"/>
  <c r="B6982" i="1"/>
  <c r="G6981" i="1"/>
  <c r="C6981" i="1"/>
  <c r="B6981" i="1"/>
  <c r="G6980" i="1"/>
  <c r="B6980" i="1"/>
  <c r="G6979" i="1"/>
  <c r="C6979" i="1"/>
  <c r="B6979" i="1"/>
  <c r="G6978" i="1"/>
  <c r="C6978" i="1"/>
  <c r="B6978" i="1"/>
  <c r="G6977" i="1"/>
  <c r="C6977" i="1"/>
  <c r="B6977" i="1"/>
  <c r="G6976" i="1"/>
  <c r="C6976" i="1"/>
  <c r="B6976" i="1"/>
  <c r="G6975" i="1"/>
  <c r="C6975" i="1"/>
  <c r="B6975" i="1"/>
  <c r="G6974" i="1"/>
  <c r="C6974" i="1"/>
  <c r="B6974" i="1"/>
  <c r="G6973" i="1"/>
  <c r="B6973" i="1"/>
  <c r="G6972" i="1"/>
  <c r="C6972" i="1"/>
  <c r="B6972" i="1"/>
  <c r="G6971" i="1"/>
  <c r="C6971" i="1"/>
  <c r="B6971" i="1"/>
  <c r="G6970" i="1"/>
  <c r="C6970" i="1"/>
  <c r="B6970" i="1"/>
  <c r="G6969" i="1"/>
  <c r="C6969" i="1"/>
  <c r="B6969" i="1"/>
  <c r="G6968" i="1"/>
  <c r="B6968" i="1"/>
  <c r="G6967" i="1"/>
  <c r="C6967" i="1"/>
  <c r="B6967" i="1"/>
  <c r="G6966" i="1"/>
  <c r="C6966" i="1"/>
  <c r="B6966" i="1"/>
  <c r="G6965" i="1"/>
  <c r="C6965" i="1"/>
  <c r="B6965" i="1"/>
  <c r="G6964" i="1"/>
  <c r="B6964" i="1"/>
  <c r="G6963" i="1"/>
  <c r="C6963" i="1"/>
  <c r="B6963" i="1"/>
  <c r="G6962" i="1"/>
  <c r="B6962" i="1"/>
  <c r="G6961" i="1"/>
  <c r="C6961" i="1"/>
  <c r="B6961" i="1"/>
  <c r="G6960" i="1"/>
  <c r="B6960" i="1"/>
  <c r="G6959" i="1"/>
  <c r="C6959" i="1"/>
  <c r="B6959" i="1"/>
  <c r="G6958" i="1"/>
  <c r="C6958" i="1"/>
  <c r="B6958" i="1"/>
  <c r="G6957" i="1"/>
  <c r="C6957" i="1"/>
  <c r="B6957" i="1"/>
  <c r="G6956" i="1"/>
  <c r="B6956" i="1"/>
  <c r="G6955" i="1"/>
  <c r="C6955" i="1"/>
  <c r="B6955" i="1"/>
  <c r="G6954" i="1"/>
  <c r="B6954" i="1"/>
  <c r="G6953" i="1"/>
  <c r="C6953" i="1"/>
  <c r="B6953" i="1"/>
  <c r="G6952" i="1"/>
  <c r="C6952" i="1"/>
  <c r="B6952" i="1"/>
  <c r="G6951" i="1"/>
  <c r="C6951" i="1"/>
  <c r="B6951" i="1"/>
  <c r="G6950" i="1"/>
  <c r="C6950" i="1"/>
  <c r="B6950" i="1"/>
  <c r="G6949" i="1"/>
  <c r="C6949" i="1"/>
  <c r="B6949" i="1"/>
  <c r="G6948" i="1"/>
  <c r="C6948" i="1"/>
  <c r="B6948" i="1"/>
  <c r="G6947" i="1"/>
  <c r="C6947" i="1"/>
  <c r="B6947" i="1"/>
  <c r="G6946" i="1"/>
  <c r="C6946" i="1"/>
  <c r="B6946" i="1"/>
  <c r="G6945" i="1"/>
  <c r="C6945" i="1"/>
  <c r="B6945" i="1"/>
  <c r="G6944" i="1"/>
  <c r="C6944" i="1"/>
  <c r="B6944" i="1"/>
  <c r="G6943" i="1"/>
  <c r="C6943" i="1"/>
  <c r="B6943" i="1"/>
  <c r="G6942" i="1"/>
  <c r="C6942" i="1"/>
  <c r="B6942" i="1"/>
  <c r="G6941" i="1"/>
  <c r="C6941" i="1"/>
  <c r="B6941" i="1"/>
  <c r="G6940" i="1"/>
  <c r="C6940" i="1"/>
  <c r="B6940" i="1"/>
  <c r="G6939" i="1"/>
  <c r="C6939" i="1"/>
  <c r="B6939" i="1"/>
  <c r="G6938" i="1"/>
  <c r="C6938" i="1"/>
  <c r="B6938" i="1"/>
  <c r="G6937" i="1"/>
  <c r="B6937" i="1"/>
  <c r="G6936" i="1"/>
  <c r="B6936" i="1"/>
  <c r="G6935" i="1"/>
  <c r="C6935" i="1"/>
  <c r="B6935" i="1"/>
  <c r="G6934" i="1"/>
  <c r="C6934" i="1"/>
  <c r="B6934" i="1"/>
  <c r="G6933" i="1"/>
  <c r="C6933" i="1"/>
  <c r="B6933" i="1"/>
  <c r="G6932" i="1"/>
  <c r="C6932" i="1"/>
  <c r="B6932" i="1"/>
  <c r="G6931" i="1"/>
  <c r="C6931" i="1"/>
  <c r="B6931" i="1"/>
  <c r="G6930" i="1"/>
  <c r="C6930" i="1"/>
  <c r="B6930" i="1"/>
  <c r="G6929" i="1"/>
  <c r="C6929" i="1"/>
  <c r="B6929" i="1"/>
  <c r="G6928" i="1"/>
  <c r="C6928" i="1"/>
  <c r="B6928" i="1"/>
  <c r="G6927" i="1"/>
  <c r="B6927" i="1"/>
  <c r="G6926" i="1"/>
  <c r="C6926" i="1"/>
  <c r="B6926" i="1"/>
  <c r="G6925" i="1"/>
  <c r="C6925" i="1"/>
  <c r="B6925" i="1"/>
  <c r="G6924" i="1"/>
  <c r="C6924" i="1"/>
  <c r="B6924" i="1"/>
  <c r="G6923" i="1"/>
  <c r="C6923" i="1"/>
  <c r="B6923" i="1"/>
  <c r="G6922" i="1"/>
  <c r="B6922" i="1"/>
  <c r="G6921" i="1"/>
  <c r="C6921" i="1"/>
  <c r="B6921" i="1"/>
  <c r="G6920" i="1"/>
  <c r="B6920" i="1"/>
  <c r="G6919" i="1"/>
  <c r="C6919" i="1"/>
  <c r="B6919" i="1"/>
  <c r="G6918" i="1"/>
  <c r="B6918" i="1"/>
  <c r="G6917" i="1"/>
  <c r="B6917" i="1"/>
  <c r="G6916" i="1"/>
  <c r="B6916" i="1"/>
  <c r="G6915" i="1"/>
  <c r="C6915" i="1"/>
  <c r="B6915" i="1"/>
  <c r="G6914" i="1"/>
  <c r="C6914" i="1"/>
  <c r="B6914" i="1"/>
  <c r="G6913" i="1"/>
  <c r="C6913" i="1"/>
  <c r="B6913" i="1"/>
  <c r="G6912" i="1"/>
  <c r="C6912" i="1"/>
  <c r="B6912" i="1"/>
  <c r="G6911" i="1"/>
  <c r="C6911" i="1"/>
  <c r="B6911" i="1"/>
  <c r="G6910" i="1"/>
  <c r="C6910" i="1"/>
  <c r="B6910" i="1"/>
  <c r="G6909" i="1"/>
  <c r="B6909" i="1"/>
  <c r="G6908" i="1"/>
  <c r="C6908" i="1"/>
  <c r="B6908" i="1"/>
  <c r="G6907" i="1"/>
  <c r="B6907" i="1"/>
  <c r="G6906" i="1"/>
  <c r="B6906" i="1"/>
  <c r="G6905" i="1"/>
  <c r="C6905" i="1"/>
  <c r="B6905" i="1"/>
  <c r="G6904" i="1"/>
  <c r="C6904" i="1"/>
  <c r="B6904" i="1"/>
  <c r="G6903" i="1"/>
  <c r="C6903" i="1"/>
  <c r="B6903" i="1"/>
  <c r="G6902" i="1"/>
  <c r="C6902" i="1"/>
  <c r="B6902" i="1"/>
  <c r="G6901" i="1"/>
  <c r="B6901" i="1"/>
  <c r="G6900" i="1"/>
  <c r="C6900" i="1"/>
  <c r="B6900" i="1"/>
  <c r="G6899" i="1"/>
  <c r="C6899" i="1"/>
  <c r="B6899" i="1"/>
  <c r="G6898" i="1"/>
  <c r="C6898" i="1"/>
  <c r="B6898" i="1"/>
  <c r="G6897" i="1"/>
  <c r="C6897" i="1"/>
  <c r="B6897" i="1"/>
  <c r="G6896" i="1"/>
  <c r="C6896" i="1"/>
  <c r="B6896" i="1"/>
  <c r="G6895" i="1"/>
  <c r="C6895" i="1"/>
  <c r="B6895" i="1"/>
  <c r="G6894" i="1"/>
  <c r="B6894" i="1"/>
  <c r="G6893" i="1"/>
  <c r="C6893" i="1"/>
  <c r="B6893" i="1"/>
  <c r="G6892" i="1"/>
  <c r="C6892" i="1"/>
  <c r="B6892" i="1"/>
  <c r="G6891" i="1"/>
  <c r="C6891" i="1"/>
  <c r="B6891" i="1"/>
  <c r="G6890" i="1"/>
  <c r="C6890" i="1"/>
  <c r="B6890" i="1"/>
  <c r="G6889" i="1"/>
  <c r="C6889" i="1"/>
  <c r="B6889" i="1"/>
  <c r="G6888" i="1"/>
  <c r="C6888" i="1"/>
  <c r="B6888" i="1"/>
  <c r="G6887" i="1"/>
  <c r="C6887" i="1"/>
  <c r="B6887" i="1"/>
  <c r="G6886" i="1"/>
  <c r="B6886" i="1"/>
  <c r="G6885" i="1"/>
  <c r="C6885" i="1"/>
  <c r="B6885" i="1"/>
  <c r="G6884" i="1"/>
  <c r="B6884" i="1"/>
  <c r="G6883" i="1"/>
  <c r="C6883" i="1"/>
  <c r="B6883" i="1"/>
  <c r="G6882" i="1"/>
  <c r="C6882" i="1"/>
  <c r="B6882" i="1"/>
  <c r="G6881" i="1"/>
  <c r="B6881" i="1"/>
  <c r="G6880" i="1"/>
  <c r="C6880" i="1"/>
  <c r="B6880" i="1"/>
  <c r="G6879" i="1"/>
  <c r="B6879" i="1"/>
  <c r="G6878" i="1"/>
  <c r="B6878" i="1"/>
  <c r="G6877" i="1"/>
  <c r="C6877" i="1"/>
  <c r="B6877" i="1"/>
  <c r="G6876" i="1"/>
  <c r="C6876" i="1"/>
  <c r="B6876" i="1"/>
  <c r="G6875" i="1"/>
  <c r="C6875" i="1"/>
  <c r="B6875" i="1"/>
  <c r="G6874" i="1"/>
  <c r="C6874" i="1"/>
  <c r="B6874" i="1"/>
  <c r="G6873" i="1"/>
  <c r="C6873" i="1"/>
  <c r="B6873" i="1"/>
  <c r="G6872" i="1"/>
  <c r="C6872" i="1"/>
  <c r="B6872" i="1"/>
  <c r="G6871" i="1"/>
  <c r="C6871" i="1"/>
  <c r="B6871" i="1"/>
  <c r="G6870" i="1"/>
  <c r="C6870" i="1"/>
  <c r="B6870" i="1"/>
  <c r="G6869" i="1"/>
  <c r="C6869" i="1"/>
  <c r="B6869" i="1"/>
  <c r="G6868" i="1"/>
  <c r="C6868" i="1"/>
  <c r="B6868" i="1"/>
  <c r="G6867" i="1"/>
  <c r="C6867" i="1"/>
  <c r="B6867" i="1"/>
  <c r="G6866" i="1"/>
  <c r="C6866" i="1"/>
  <c r="B6866" i="1"/>
  <c r="G6865" i="1"/>
  <c r="C6865" i="1"/>
  <c r="B6865" i="1"/>
  <c r="G6864" i="1"/>
  <c r="C6864" i="1"/>
  <c r="B6864" i="1"/>
  <c r="G6863" i="1"/>
  <c r="B6863" i="1"/>
  <c r="G6862" i="1"/>
  <c r="B6862" i="1"/>
  <c r="G6861" i="1"/>
  <c r="C6861" i="1"/>
  <c r="B6861" i="1"/>
  <c r="G6860" i="1"/>
  <c r="B6860" i="1"/>
  <c r="G6859" i="1"/>
  <c r="C6859" i="1"/>
  <c r="B6859" i="1"/>
  <c r="G6858" i="1"/>
  <c r="C6858" i="1"/>
  <c r="B6858" i="1"/>
  <c r="G6857" i="1"/>
  <c r="C6857" i="1"/>
  <c r="B6857" i="1"/>
  <c r="G6856" i="1"/>
  <c r="B6856" i="1"/>
  <c r="G6855" i="1"/>
  <c r="B6855" i="1"/>
  <c r="G6854" i="1"/>
  <c r="C6854" i="1"/>
  <c r="B6854" i="1"/>
  <c r="G6853" i="1"/>
  <c r="C6853" i="1"/>
  <c r="B6853" i="1"/>
  <c r="G6852" i="1"/>
  <c r="B6852" i="1"/>
  <c r="G6851" i="1"/>
  <c r="C6851" i="1"/>
  <c r="B6851" i="1"/>
  <c r="G6850" i="1"/>
  <c r="C6850" i="1"/>
  <c r="B6850" i="1"/>
  <c r="G6849" i="1"/>
  <c r="C6849" i="1"/>
  <c r="B6849" i="1"/>
  <c r="G6848" i="1"/>
  <c r="C6848" i="1"/>
  <c r="B6848" i="1"/>
  <c r="G6847" i="1"/>
  <c r="C6847" i="1"/>
  <c r="B6847" i="1"/>
  <c r="G6846" i="1"/>
  <c r="B6846" i="1"/>
  <c r="G6845" i="1"/>
  <c r="C6845" i="1"/>
  <c r="B6845" i="1"/>
  <c r="G6844" i="1"/>
  <c r="C6844" i="1"/>
  <c r="B6844" i="1"/>
  <c r="G6843" i="1"/>
  <c r="C6843" i="1"/>
  <c r="B6843" i="1"/>
  <c r="G6842" i="1"/>
  <c r="C6842" i="1"/>
  <c r="B6842" i="1"/>
  <c r="G6841" i="1"/>
  <c r="B6841" i="1"/>
  <c r="G6840" i="1"/>
  <c r="C6840" i="1"/>
  <c r="B6840" i="1"/>
  <c r="G6839" i="1"/>
  <c r="C6839" i="1"/>
  <c r="B6839" i="1"/>
  <c r="G6838" i="1"/>
  <c r="C6838" i="1"/>
  <c r="B6838" i="1"/>
  <c r="G6837" i="1"/>
  <c r="C6837" i="1"/>
  <c r="B6837" i="1"/>
  <c r="G6836" i="1"/>
  <c r="B6836" i="1"/>
  <c r="G6835" i="1"/>
  <c r="B6835" i="1"/>
  <c r="G6834" i="1"/>
  <c r="C6834" i="1"/>
  <c r="B6834" i="1"/>
  <c r="G6833" i="1"/>
  <c r="C6833" i="1"/>
  <c r="B6833" i="1"/>
  <c r="G6832" i="1"/>
  <c r="C6832" i="1"/>
  <c r="B6832" i="1"/>
  <c r="G6831" i="1"/>
  <c r="C6831" i="1"/>
  <c r="B6831" i="1"/>
  <c r="G6830" i="1"/>
  <c r="C6830" i="1"/>
  <c r="B6830" i="1"/>
  <c r="G6829" i="1"/>
  <c r="B6829" i="1"/>
  <c r="G6828" i="1"/>
  <c r="B6828" i="1"/>
  <c r="G6827" i="1"/>
  <c r="C6827" i="1"/>
  <c r="B6827" i="1"/>
  <c r="G6826" i="1"/>
  <c r="C6826" i="1"/>
  <c r="B6826" i="1"/>
  <c r="G6825" i="1"/>
  <c r="C6825" i="1"/>
  <c r="B6825" i="1"/>
  <c r="G6824" i="1"/>
  <c r="B6824" i="1"/>
  <c r="G6823" i="1"/>
  <c r="C6823" i="1"/>
  <c r="B6823" i="1"/>
  <c r="G6822" i="1"/>
  <c r="C6822" i="1"/>
  <c r="B6822" i="1"/>
  <c r="G6821" i="1"/>
  <c r="C6821" i="1"/>
  <c r="B6821" i="1"/>
  <c r="G6820" i="1"/>
  <c r="C6820" i="1"/>
  <c r="B6820" i="1"/>
  <c r="G6819" i="1"/>
  <c r="C6819" i="1"/>
  <c r="B6819" i="1"/>
  <c r="G6818" i="1"/>
  <c r="C6818" i="1"/>
  <c r="B6818" i="1"/>
  <c r="G6817" i="1"/>
  <c r="B6817" i="1"/>
  <c r="G6816" i="1"/>
  <c r="C6816" i="1"/>
  <c r="B6816" i="1"/>
  <c r="G6815" i="1"/>
  <c r="C6815" i="1"/>
  <c r="B6815" i="1"/>
  <c r="G6814" i="1"/>
  <c r="C6814" i="1"/>
  <c r="B6814" i="1"/>
  <c r="G6813" i="1"/>
  <c r="C6813" i="1"/>
  <c r="B6813" i="1"/>
  <c r="G6812" i="1"/>
  <c r="B6812" i="1"/>
  <c r="G6811" i="1"/>
  <c r="C6811" i="1"/>
  <c r="B6811" i="1"/>
  <c r="G6810" i="1"/>
  <c r="C6810" i="1"/>
  <c r="B6810" i="1"/>
  <c r="G6809" i="1"/>
  <c r="C6809" i="1"/>
  <c r="B6809" i="1"/>
  <c r="G6808" i="1"/>
  <c r="C6808" i="1"/>
  <c r="B6808" i="1"/>
  <c r="G6807" i="1"/>
  <c r="C6807" i="1"/>
  <c r="B6807" i="1"/>
  <c r="G6806" i="1"/>
  <c r="C6806" i="1"/>
  <c r="B6806" i="1"/>
  <c r="G6805" i="1"/>
  <c r="C6805" i="1"/>
  <c r="B6805" i="1"/>
  <c r="G6804" i="1"/>
  <c r="C6804" i="1"/>
  <c r="B6804" i="1"/>
  <c r="G6803" i="1"/>
  <c r="B6803" i="1"/>
  <c r="G6802" i="1"/>
  <c r="C6802" i="1"/>
  <c r="B6802" i="1"/>
  <c r="G6801" i="1"/>
  <c r="B6801" i="1"/>
  <c r="G6800" i="1"/>
  <c r="C6800" i="1"/>
  <c r="B6800" i="1"/>
  <c r="G6799" i="1"/>
  <c r="C6799" i="1"/>
  <c r="B6799" i="1"/>
  <c r="G6798" i="1"/>
  <c r="B6798" i="1"/>
  <c r="G6797" i="1"/>
  <c r="B6797" i="1"/>
  <c r="G6796" i="1"/>
  <c r="B6796" i="1"/>
  <c r="G6795" i="1"/>
  <c r="C6795" i="1"/>
  <c r="B6795" i="1"/>
  <c r="G6794" i="1"/>
  <c r="B6794" i="1"/>
  <c r="G6793" i="1"/>
  <c r="C6793" i="1"/>
  <c r="B6793" i="1"/>
  <c r="G6792" i="1"/>
  <c r="C6792" i="1"/>
  <c r="B6792" i="1"/>
  <c r="G6791" i="1"/>
  <c r="C6791" i="1"/>
  <c r="B6791" i="1"/>
  <c r="G6790" i="1"/>
  <c r="C6790" i="1"/>
  <c r="B6790" i="1"/>
  <c r="G6789" i="1"/>
  <c r="B6789" i="1"/>
  <c r="G6788" i="1"/>
  <c r="B6788" i="1"/>
  <c r="G6787" i="1"/>
  <c r="C6787" i="1"/>
  <c r="B6787" i="1"/>
  <c r="G6786" i="1"/>
  <c r="C6786" i="1"/>
  <c r="B6786" i="1"/>
  <c r="G6785" i="1"/>
  <c r="C6785" i="1"/>
  <c r="B6785" i="1"/>
  <c r="G6784" i="1"/>
  <c r="B6784" i="1"/>
  <c r="G6783" i="1"/>
  <c r="B6783" i="1"/>
  <c r="G6782" i="1"/>
  <c r="C6782" i="1"/>
  <c r="B6782" i="1"/>
  <c r="G6781" i="1"/>
  <c r="C6781" i="1"/>
  <c r="B6781" i="1"/>
  <c r="G6780" i="1"/>
  <c r="C6780" i="1"/>
  <c r="B6780" i="1"/>
  <c r="G6779" i="1"/>
  <c r="C6779" i="1"/>
  <c r="B6779" i="1"/>
  <c r="G6778" i="1"/>
  <c r="C6778" i="1"/>
  <c r="B6778" i="1"/>
  <c r="G6777" i="1"/>
  <c r="C6777" i="1"/>
  <c r="B6777" i="1"/>
  <c r="G6776" i="1"/>
  <c r="B6776" i="1"/>
  <c r="G6775" i="1"/>
  <c r="C6775" i="1"/>
  <c r="B6775" i="1"/>
  <c r="G6774" i="1"/>
  <c r="C6774" i="1"/>
  <c r="B6774" i="1"/>
  <c r="G6773" i="1"/>
  <c r="C6773" i="1"/>
  <c r="B6773" i="1"/>
  <c r="G6772" i="1"/>
  <c r="C6772" i="1"/>
  <c r="B6772" i="1"/>
  <c r="G6771" i="1"/>
  <c r="C6771" i="1"/>
  <c r="B6771" i="1"/>
  <c r="G6770" i="1"/>
  <c r="C6770" i="1"/>
  <c r="B6770" i="1"/>
  <c r="G6769" i="1"/>
  <c r="C6769" i="1"/>
  <c r="B6769" i="1"/>
  <c r="G6768" i="1"/>
  <c r="C6768" i="1"/>
  <c r="B6768" i="1"/>
  <c r="G6767" i="1"/>
  <c r="C6767" i="1"/>
  <c r="B6767" i="1"/>
  <c r="G6766" i="1"/>
  <c r="C6766" i="1"/>
  <c r="B6766" i="1"/>
  <c r="G6765" i="1"/>
  <c r="C6765" i="1"/>
  <c r="B6765" i="1"/>
  <c r="G6764" i="1"/>
  <c r="C6764" i="1"/>
  <c r="B6764" i="1"/>
  <c r="G6763" i="1"/>
  <c r="C6763" i="1"/>
  <c r="B6763" i="1"/>
  <c r="G6762" i="1"/>
  <c r="C6762" i="1"/>
  <c r="B6762" i="1"/>
  <c r="G6761" i="1"/>
  <c r="C6761" i="1"/>
  <c r="B6761" i="1"/>
  <c r="G6760" i="1"/>
  <c r="C6760" i="1"/>
  <c r="B6760" i="1"/>
  <c r="G6759" i="1"/>
  <c r="B6759" i="1"/>
  <c r="G6758" i="1"/>
  <c r="C6758" i="1"/>
  <c r="B6758" i="1"/>
  <c r="G6757" i="1"/>
  <c r="B6757" i="1"/>
  <c r="G6756" i="1"/>
  <c r="C6756" i="1"/>
  <c r="B6756" i="1"/>
  <c r="G6755" i="1"/>
  <c r="B6755" i="1"/>
  <c r="G6754" i="1"/>
  <c r="C6754" i="1"/>
  <c r="B6754" i="1"/>
  <c r="G6753" i="1"/>
  <c r="B6753" i="1"/>
  <c r="G6752" i="1"/>
  <c r="C6752" i="1"/>
  <c r="B6752" i="1"/>
  <c r="G6751" i="1"/>
  <c r="B6751" i="1"/>
  <c r="G6750" i="1"/>
  <c r="C6750" i="1"/>
  <c r="B6750" i="1"/>
  <c r="G6749" i="1"/>
  <c r="B6749" i="1"/>
  <c r="G6748" i="1"/>
  <c r="B6748" i="1"/>
  <c r="G6747" i="1"/>
  <c r="C6747" i="1"/>
  <c r="B6747" i="1"/>
  <c r="G6746" i="1"/>
  <c r="B6746" i="1"/>
  <c r="G6745" i="1"/>
  <c r="C6745" i="1"/>
  <c r="B6745" i="1"/>
  <c r="G6744" i="1"/>
  <c r="B6744" i="1"/>
  <c r="G6743" i="1"/>
  <c r="B6743" i="1"/>
  <c r="G6742" i="1"/>
  <c r="C6742" i="1"/>
  <c r="B6742" i="1"/>
  <c r="G6741" i="1"/>
  <c r="C6741" i="1"/>
  <c r="B6741" i="1"/>
  <c r="G6740" i="1"/>
  <c r="C6740" i="1"/>
  <c r="B6740" i="1"/>
  <c r="G6739" i="1"/>
  <c r="B6739" i="1"/>
  <c r="G6738" i="1"/>
  <c r="C6738" i="1"/>
  <c r="B6738" i="1"/>
  <c r="G6737" i="1"/>
  <c r="C6737" i="1"/>
  <c r="B6737" i="1"/>
  <c r="G6736" i="1"/>
  <c r="C6736" i="1"/>
  <c r="B6736" i="1"/>
  <c r="G6735" i="1"/>
  <c r="C6735" i="1"/>
  <c r="B6735" i="1"/>
  <c r="G6734" i="1"/>
  <c r="C6734" i="1"/>
  <c r="B6734" i="1"/>
  <c r="G6733" i="1"/>
  <c r="C6733" i="1"/>
  <c r="B6733" i="1"/>
  <c r="G6732" i="1"/>
  <c r="C6732" i="1"/>
  <c r="B6732" i="1"/>
  <c r="G6731" i="1"/>
  <c r="C6731" i="1"/>
  <c r="B6731" i="1"/>
  <c r="G6730" i="1"/>
  <c r="C6730" i="1"/>
  <c r="B6730" i="1"/>
  <c r="G6729" i="1"/>
  <c r="C6729" i="1"/>
  <c r="B6729" i="1"/>
  <c r="G6728" i="1"/>
  <c r="C6728" i="1"/>
  <c r="B6728" i="1"/>
  <c r="G6727" i="1"/>
  <c r="C6727" i="1"/>
  <c r="B6727" i="1"/>
  <c r="G6726" i="1"/>
  <c r="C6726" i="1"/>
  <c r="B6726" i="1"/>
  <c r="G6725" i="1"/>
  <c r="C6725" i="1"/>
  <c r="B6725" i="1"/>
  <c r="G6724" i="1"/>
  <c r="C6724" i="1"/>
  <c r="B6724" i="1"/>
  <c r="G6723" i="1"/>
  <c r="C6723" i="1"/>
  <c r="B6723" i="1"/>
  <c r="G6722" i="1"/>
  <c r="C6722" i="1"/>
  <c r="B6722" i="1"/>
  <c r="G6721" i="1"/>
  <c r="B6721" i="1"/>
  <c r="G6720" i="1"/>
  <c r="C6720" i="1"/>
  <c r="B6720" i="1"/>
  <c r="G6719" i="1"/>
  <c r="C6719" i="1"/>
  <c r="B6719" i="1"/>
  <c r="G6718" i="1"/>
  <c r="C6718" i="1"/>
  <c r="B6718" i="1"/>
  <c r="G6717" i="1"/>
  <c r="C6717" i="1"/>
  <c r="B6717" i="1"/>
  <c r="G6716" i="1"/>
  <c r="B6716" i="1"/>
  <c r="G6715" i="1"/>
  <c r="B6715" i="1"/>
  <c r="G6714" i="1"/>
  <c r="C6714" i="1"/>
  <c r="B6714" i="1"/>
  <c r="G6713" i="1"/>
  <c r="C6713" i="1"/>
  <c r="B6713" i="1"/>
  <c r="G6712" i="1"/>
  <c r="B6712" i="1"/>
  <c r="G6711" i="1"/>
  <c r="C6711" i="1"/>
  <c r="B6711" i="1"/>
  <c r="G6710" i="1"/>
  <c r="C6710" i="1"/>
  <c r="B6710" i="1"/>
  <c r="G6709" i="1"/>
  <c r="C6709" i="1"/>
  <c r="B6709" i="1"/>
  <c r="G6708" i="1"/>
  <c r="C6708" i="1"/>
  <c r="B6708" i="1"/>
  <c r="G6707" i="1"/>
  <c r="C6707" i="1"/>
  <c r="B6707" i="1"/>
  <c r="G6706" i="1"/>
  <c r="B6706" i="1"/>
  <c r="G6705" i="1"/>
  <c r="C6705" i="1"/>
  <c r="B6705" i="1"/>
  <c r="G6704" i="1"/>
  <c r="C6704" i="1"/>
  <c r="B6704" i="1"/>
  <c r="G6703" i="1"/>
  <c r="C6703" i="1"/>
  <c r="B6703" i="1"/>
  <c r="G6702" i="1"/>
  <c r="B6702" i="1"/>
  <c r="G6701" i="1"/>
  <c r="C6701" i="1"/>
  <c r="B6701" i="1"/>
  <c r="G6700" i="1"/>
  <c r="C6700" i="1"/>
  <c r="B6700" i="1"/>
  <c r="G6699" i="1"/>
  <c r="C6699" i="1"/>
  <c r="B6699" i="1"/>
  <c r="G6698" i="1"/>
  <c r="C6698" i="1"/>
  <c r="B6698" i="1"/>
  <c r="G6697" i="1"/>
  <c r="C6697" i="1"/>
  <c r="B6697" i="1"/>
  <c r="G6696" i="1"/>
  <c r="C6696" i="1"/>
  <c r="B6696" i="1"/>
  <c r="G6695" i="1"/>
  <c r="B6695" i="1"/>
  <c r="G6694" i="1"/>
  <c r="B6694" i="1"/>
  <c r="G6693" i="1"/>
  <c r="C6693" i="1"/>
  <c r="B6693" i="1"/>
  <c r="G6692" i="1"/>
  <c r="B6692" i="1"/>
  <c r="G6691" i="1"/>
  <c r="C6691" i="1"/>
  <c r="B6691" i="1"/>
  <c r="G6690" i="1"/>
  <c r="C6690" i="1"/>
  <c r="B6690" i="1"/>
  <c r="G6689" i="1"/>
  <c r="C6689" i="1"/>
  <c r="B6689" i="1"/>
  <c r="G6688" i="1"/>
  <c r="B6688" i="1"/>
  <c r="G6687" i="1"/>
  <c r="C6687" i="1"/>
  <c r="B6687" i="1"/>
  <c r="G6686" i="1"/>
  <c r="C6686" i="1"/>
  <c r="B6686" i="1"/>
  <c r="G6685" i="1"/>
  <c r="C6685" i="1"/>
  <c r="B6685" i="1"/>
  <c r="G6684" i="1"/>
  <c r="C6684" i="1"/>
  <c r="B6684" i="1"/>
  <c r="G6683" i="1"/>
  <c r="C6683" i="1"/>
  <c r="B6683" i="1"/>
  <c r="G6682" i="1"/>
  <c r="C6682" i="1"/>
  <c r="B6682" i="1"/>
  <c r="G6681" i="1"/>
  <c r="C6681" i="1"/>
  <c r="B6681" i="1"/>
  <c r="G6680" i="1"/>
  <c r="C6680" i="1"/>
  <c r="B6680" i="1"/>
  <c r="G6679" i="1"/>
  <c r="C6679" i="1"/>
  <c r="B6679" i="1"/>
  <c r="G6678" i="1"/>
  <c r="C6678" i="1"/>
  <c r="B6678" i="1"/>
  <c r="G6677" i="1"/>
  <c r="C6677" i="1"/>
  <c r="B6677" i="1"/>
  <c r="G6676" i="1"/>
  <c r="C6676" i="1"/>
  <c r="B6676" i="1"/>
  <c r="G6675" i="1"/>
  <c r="C6675" i="1"/>
  <c r="B6675" i="1"/>
  <c r="G6674" i="1"/>
  <c r="C6674" i="1"/>
  <c r="B6674" i="1"/>
  <c r="G6673" i="1"/>
  <c r="C6673" i="1"/>
  <c r="B6673" i="1"/>
  <c r="G6672" i="1"/>
  <c r="C6672" i="1"/>
  <c r="B6672" i="1"/>
  <c r="G6671" i="1"/>
  <c r="C6671" i="1"/>
  <c r="B6671" i="1"/>
  <c r="G6670" i="1"/>
  <c r="C6670" i="1"/>
  <c r="B6670" i="1"/>
  <c r="G6669" i="1"/>
  <c r="C6669" i="1"/>
  <c r="B6669" i="1"/>
  <c r="G6668" i="1"/>
  <c r="C6668" i="1"/>
  <c r="B6668" i="1"/>
  <c r="G6667" i="1"/>
  <c r="C6667" i="1"/>
  <c r="B6667" i="1"/>
  <c r="G6666" i="1"/>
  <c r="C6666" i="1"/>
  <c r="B6666" i="1"/>
  <c r="G6665" i="1"/>
  <c r="B6665" i="1"/>
  <c r="G6664" i="1"/>
  <c r="C6664" i="1"/>
  <c r="B6664" i="1"/>
  <c r="G6663" i="1"/>
  <c r="C6663" i="1"/>
  <c r="B6663" i="1"/>
  <c r="G6662" i="1"/>
  <c r="C6662" i="1"/>
  <c r="B6662" i="1"/>
  <c r="G6661" i="1"/>
  <c r="C6661" i="1"/>
  <c r="B6661" i="1"/>
  <c r="G6660" i="1"/>
  <c r="C6660" i="1"/>
  <c r="B6660" i="1"/>
  <c r="G6659" i="1"/>
  <c r="C6659" i="1"/>
  <c r="B6659" i="1"/>
  <c r="G6658" i="1"/>
  <c r="C6658" i="1"/>
  <c r="B6658" i="1"/>
  <c r="G6657" i="1"/>
  <c r="C6657" i="1"/>
  <c r="B6657" i="1"/>
  <c r="G6656" i="1"/>
  <c r="C6656" i="1"/>
  <c r="B6656" i="1"/>
  <c r="G6655" i="1"/>
  <c r="C6655" i="1"/>
  <c r="B6655" i="1"/>
  <c r="G6654" i="1"/>
  <c r="C6654" i="1"/>
  <c r="B6654" i="1"/>
  <c r="G6653" i="1"/>
  <c r="C6653" i="1"/>
  <c r="B6653" i="1"/>
  <c r="G6652" i="1"/>
  <c r="C6652" i="1"/>
  <c r="B6652" i="1"/>
  <c r="G6651" i="1"/>
  <c r="B6651" i="1"/>
  <c r="G6650" i="1"/>
  <c r="C6650" i="1"/>
  <c r="B6650" i="1"/>
  <c r="G6649" i="1"/>
  <c r="B6649" i="1"/>
  <c r="G6648" i="1"/>
  <c r="C6648" i="1"/>
  <c r="B6648" i="1"/>
  <c r="G6647" i="1"/>
  <c r="C6647" i="1"/>
  <c r="B6647" i="1"/>
  <c r="G6646" i="1"/>
  <c r="B6646" i="1"/>
  <c r="G6645" i="1"/>
  <c r="C6645" i="1"/>
  <c r="B6645" i="1"/>
  <c r="G6644" i="1"/>
  <c r="C6644" i="1"/>
  <c r="B6644" i="1"/>
  <c r="G6643" i="1"/>
  <c r="C6643" i="1"/>
  <c r="B6643" i="1"/>
  <c r="G6642" i="1"/>
  <c r="C6642" i="1"/>
  <c r="B6642" i="1"/>
  <c r="G6641" i="1"/>
  <c r="B6641" i="1"/>
  <c r="G6640" i="1"/>
  <c r="C6640" i="1"/>
  <c r="B6640" i="1"/>
  <c r="G6639" i="1"/>
  <c r="C6639" i="1"/>
  <c r="B6639" i="1"/>
  <c r="G6638" i="1"/>
  <c r="C6638" i="1"/>
  <c r="B6638" i="1"/>
  <c r="G6637" i="1"/>
  <c r="C6637" i="1"/>
  <c r="B6637" i="1"/>
  <c r="G6636" i="1"/>
  <c r="C6636" i="1"/>
  <c r="B6636" i="1"/>
  <c r="G6635" i="1"/>
  <c r="C6635" i="1"/>
  <c r="B6635" i="1"/>
  <c r="G6634" i="1"/>
  <c r="C6634" i="1"/>
  <c r="B6634" i="1"/>
  <c r="G6633" i="1"/>
  <c r="B6633" i="1"/>
  <c r="G6632" i="1"/>
  <c r="C6632" i="1"/>
  <c r="B6632" i="1"/>
  <c r="G6631" i="1"/>
  <c r="B6631" i="1"/>
  <c r="G6630" i="1"/>
  <c r="C6630" i="1"/>
  <c r="B6630" i="1"/>
  <c r="G6629" i="1"/>
  <c r="B6629" i="1"/>
  <c r="G6628" i="1"/>
  <c r="C6628" i="1"/>
  <c r="B6628" i="1"/>
  <c r="G6627" i="1"/>
  <c r="C6627" i="1"/>
  <c r="B6627" i="1"/>
  <c r="G6626" i="1"/>
  <c r="B6626" i="1"/>
  <c r="G6625" i="1"/>
  <c r="C6625" i="1"/>
  <c r="B6625" i="1"/>
  <c r="G6624" i="1"/>
  <c r="C6624" i="1"/>
  <c r="B6624" i="1"/>
  <c r="G6623" i="1"/>
  <c r="B6623" i="1"/>
  <c r="G6622" i="1"/>
  <c r="B6622" i="1"/>
  <c r="G6621" i="1"/>
  <c r="C6621" i="1"/>
  <c r="B6621" i="1"/>
  <c r="G6620" i="1"/>
  <c r="B6620" i="1"/>
  <c r="G6619" i="1"/>
  <c r="B6619" i="1"/>
  <c r="G6618" i="1"/>
  <c r="C6618" i="1"/>
  <c r="B6618" i="1"/>
  <c r="G6617" i="1"/>
  <c r="C6617" i="1"/>
  <c r="B6617" i="1"/>
  <c r="G6616" i="1"/>
  <c r="C6616" i="1"/>
  <c r="B6616" i="1"/>
  <c r="G6615" i="1"/>
  <c r="C6615" i="1"/>
  <c r="B6615" i="1"/>
  <c r="G6614" i="1"/>
  <c r="B6614" i="1"/>
  <c r="G6613" i="1"/>
  <c r="C6613" i="1"/>
  <c r="B6613" i="1"/>
  <c r="G6612" i="1"/>
  <c r="C6612" i="1"/>
  <c r="B6612" i="1"/>
  <c r="G6611" i="1"/>
  <c r="C6611" i="1"/>
  <c r="B6611" i="1"/>
  <c r="G6610" i="1"/>
  <c r="B6610" i="1"/>
  <c r="G6609" i="1"/>
  <c r="C6609" i="1"/>
  <c r="B6609" i="1"/>
  <c r="G6608" i="1"/>
  <c r="C6608" i="1"/>
  <c r="B6608" i="1"/>
  <c r="G6607" i="1"/>
  <c r="C6607" i="1"/>
  <c r="B6607" i="1"/>
  <c r="G6606" i="1"/>
  <c r="C6606" i="1"/>
  <c r="B6606" i="1"/>
  <c r="G6605" i="1"/>
  <c r="B6605" i="1"/>
  <c r="G6604" i="1"/>
  <c r="C6604" i="1"/>
  <c r="B6604" i="1"/>
  <c r="G6603" i="1"/>
  <c r="B6603" i="1"/>
  <c r="G6602" i="1"/>
  <c r="C6602" i="1"/>
  <c r="B6602" i="1"/>
  <c r="G6601" i="1"/>
  <c r="C6601" i="1"/>
  <c r="B6601" i="1"/>
  <c r="G6600" i="1"/>
  <c r="B6600" i="1"/>
  <c r="G6599" i="1"/>
  <c r="C6599" i="1"/>
  <c r="B6599" i="1"/>
  <c r="G6598" i="1"/>
  <c r="C6598" i="1"/>
  <c r="B6598" i="1"/>
  <c r="G6597" i="1"/>
  <c r="B6597" i="1"/>
  <c r="G6596" i="1"/>
  <c r="B6596" i="1"/>
  <c r="G6595" i="1"/>
  <c r="C6595" i="1"/>
  <c r="B6595" i="1"/>
  <c r="G6594" i="1"/>
  <c r="B6594" i="1"/>
  <c r="G6593" i="1"/>
  <c r="B6593" i="1"/>
  <c r="G6592" i="1"/>
  <c r="C6592" i="1"/>
  <c r="B6592" i="1"/>
  <c r="G6591" i="1"/>
  <c r="C6591" i="1"/>
  <c r="B6591" i="1"/>
  <c r="G6590" i="1"/>
  <c r="C6590" i="1"/>
  <c r="B6590" i="1"/>
  <c r="G6589" i="1"/>
  <c r="B6589" i="1"/>
  <c r="G6588" i="1"/>
  <c r="C6588" i="1"/>
  <c r="B6588" i="1"/>
  <c r="G6587" i="1"/>
  <c r="C6587" i="1"/>
  <c r="B6587" i="1"/>
  <c r="G6586" i="1"/>
  <c r="C6586" i="1"/>
  <c r="B6586" i="1"/>
  <c r="G6585" i="1"/>
  <c r="C6585" i="1"/>
  <c r="B6585" i="1"/>
  <c r="G6584" i="1"/>
  <c r="C6584" i="1"/>
  <c r="B6584" i="1"/>
  <c r="G6583" i="1"/>
  <c r="C6583" i="1"/>
  <c r="B6583" i="1"/>
  <c r="G6582" i="1"/>
  <c r="B6582" i="1"/>
  <c r="G6581" i="1"/>
  <c r="C6581" i="1"/>
  <c r="B6581" i="1"/>
  <c r="G6580" i="1"/>
  <c r="C6580" i="1"/>
  <c r="B6580" i="1"/>
  <c r="G6579" i="1"/>
  <c r="B6579" i="1"/>
  <c r="G6578" i="1"/>
  <c r="C6578" i="1"/>
  <c r="B6578" i="1"/>
  <c r="G6577" i="1"/>
  <c r="C6577" i="1"/>
  <c r="B6577" i="1"/>
  <c r="G6576" i="1"/>
  <c r="C6576" i="1"/>
  <c r="B6576" i="1"/>
  <c r="G6575" i="1"/>
  <c r="C6575" i="1"/>
  <c r="B6575" i="1"/>
  <c r="G6574" i="1"/>
  <c r="B6574" i="1"/>
  <c r="G6573" i="1"/>
  <c r="C6573" i="1"/>
  <c r="B6573" i="1"/>
  <c r="G6572" i="1"/>
  <c r="B6572" i="1"/>
  <c r="G6571" i="1"/>
  <c r="C6571" i="1"/>
  <c r="B6571" i="1"/>
  <c r="G6570" i="1"/>
  <c r="C6570" i="1"/>
  <c r="B6570" i="1"/>
  <c r="G6569" i="1"/>
  <c r="C6569" i="1"/>
  <c r="B6569" i="1"/>
  <c r="G6568" i="1"/>
  <c r="C6568" i="1"/>
  <c r="B6568" i="1"/>
  <c r="G6567" i="1"/>
  <c r="C6567" i="1"/>
  <c r="B6567" i="1"/>
  <c r="G6566" i="1"/>
  <c r="C6566" i="1"/>
  <c r="B6566" i="1"/>
  <c r="G6565" i="1"/>
  <c r="B6565" i="1"/>
  <c r="G6564" i="1"/>
  <c r="B6564" i="1"/>
  <c r="G6563" i="1"/>
  <c r="C6563" i="1"/>
  <c r="B6563" i="1"/>
  <c r="G6562" i="1"/>
  <c r="C6562" i="1"/>
  <c r="B6562" i="1"/>
  <c r="G6561" i="1"/>
  <c r="C6561" i="1"/>
  <c r="B6561" i="1"/>
  <c r="G6560" i="1"/>
  <c r="C6560" i="1"/>
  <c r="B6560" i="1"/>
  <c r="G6559" i="1"/>
  <c r="C6559" i="1"/>
  <c r="B6559" i="1"/>
  <c r="G6558" i="1"/>
  <c r="C6558" i="1"/>
  <c r="B6558" i="1"/>
  <c r="G6557" i="1"/>
  <c r="C6557" i="1"/>
  <c r="B6557" i="1"/>
  <c r="G6556" i="1"/>
  <c r="C6556" i="1"/>
  <c r="B6556" i="1"/>
  <c r="G6555" i="1"/>
  <c r="C6555" i="1"/>
  <c r="B6555" i="1"/>
  <c r="G6554" i="1"/>
  <c r="B6554" i="1"/>
  <c r="G6553" i="1"/>
  <c r="C6553" i="1"/>
  <c r="B6553" i="1"/>
  <c r="G6552" i="1"/>
  <c r="C6552" i="1"/>
  <c r="B6552" i="1"/>
  <c r="G6551" i="1"/>
  <c r="B6551" i="1"/>
  <c r="G6550" i="1"/>
  <c r="C6550" i="1"/>
  <c r="B6550" i="1"/>
  <c r="G6549" i="1"/>
  <c r="C6549" i="1"/>
  <c r="B6549" i="1"/>
  <c r="G6548" i="1"/>
  <c r="C6548" i="1"/>
  <c r="B6548" i="1"/>
  <c r="G6547" i="1"/>
  <c r="C6547" i="1"/>
  <c r="B6547" i="1"/>
  <c r="G6546" i="1"/>
  <c r="B6546" i="1"/>
  <c r="G6545" i="1"/>
  <c r="C6545" i="1"/>
  <c r="B6545" i="1"/>
  <c r="G6544" i="1"/>
  <c r="C6544" i="1"/>
  <c r="B6544" i="1"/>
  <c r="G6543" i="1"/>
  <c r="B6543" i="1"/>
  <c r="G6542" i="1"/>
  <c r="C6542" i="1"/>
  <c r="B6542" i="1"/>
  <c r="G6541" i="1"/>
  <c r="C6541" i="1"/>
  <c r="B6541" i="1"/>
  <c r="G6540" i="1"/>
  <c r="B6540" i="1"/>
  <c r="G6539" i="1"/>
  <c r="B6539" i="1"/>
  <c r="G6538" i="1"/>
  <c r="B6538" i="1"/>
  <c r="G6537" i="1"/>
  <c r="C6537" i="1"/>
  <c r="B6537" i="1"/>
  <c r="G6536" i="1"/>
  <c r="C6536" i="1"/>
  <c r="B6536" i="1"/>
  <c r="G6535" i="1"/>
  <c r="B6535" i="1"/>
  <c r="G6534" i="1"/>
  <c r="C6534" i="1"/>
  <c r="B6534" i="1"/>
  <c r="G6533" i="1"/>
  <c r="C6533" i="1"/>
  <c r="B6533" i="1"/>
  <c r="G6532" i="1"/>
  <c r="B6532" i="1"/>
  <c r="G6531" i="1"/>
  <c r="C6531" i="1"/>
  <c r="B6531" i="1"/>
  <c r="G6530" i="1"/>
  <c r="C6530" i="1"/>
  <c r="B6530" i="1"/>
  <c r="G6529" i="1"/>
  <c r="B6529" i="1"/>
  <c r="G6528" i="1"/>
  <c r="B6528" i="1"/>
  <c r="G6527" i="1"/>
  <c r="C6527" i="1"/>
  <c r="B6527" i="1"/>
  <c r="G6526" i="1"/>
  <c r="C6526" i="1"/>
  <c r="B6526" i="1"/>
  <c r="G6525" i="1"/>
  <c r="C6525" i="1"/>
  <c r="B6525" i="1"/>
  <c r="G6524" i="1"/>
  <c r="C6524" i="1"/>
  <c r="B6524" i="1"/>
  <c r="G6523" i="1"/>
  <c r="C6523" i="1"/>
  <c r="B6523" i="1"/>
  <c r="G6522" i="1"/>
  <c r="C6522" i="1"/>
  <c r="B6522" i="1"/>
  <c r="G6521" i="1"/>
  <c r="C6521" i="1"/>
  <c r="B6521" i="1"/>
  <c r="G6520" i="1"/>
  <c r="C6520" i="1"/>
  <c r="B6520" i="1"/>
  <c r="G6519" i="1"/>
  <c r="C6519" i="1"/>
  <c r="B6519" i="1"/>
  <c r="G6518" i="1"/>
  <c r="C6518" i="1"/>
  <c r="B6518" i="1"/>
  <c r="G6517" i="1"/>
  <c r="C6517" i="1"/>
  <c r="B6517" i="1"/>
  <c r="G6516" i="1"/>
  <c r="C6516" i="1"/>
  <c r="B6516" i="1"/>
  <c r="G6515" i="1"/>
  <c r="B6515" i="1"/>
  <c r="G6514" i="1"/>
  <c r="C6514" i="1"/>
  <c r="B6514" i="1"/>
  <c r="G6513" i="1"/>
  <c r="C6513" i="1"/>
  <c r="B6513" i="1"/>
  <c r="G6512" i="1"/>
  <c r="C6512" i="1"/>
  <c r="B6512" i="1"/>
  <c r="G6511" i="1"/>
  <c r="C6511" i="1"/>
  <c r="B6511" i="1"/>
  <c r="G6510" i="1"/>
  <c r="C6510" i="1"/>
  <c r="B6510" i="1"/>
  <c r="G6509" i="1"/>
  <c r="C6509" i="1"/>
  <c r="B6509" i="1"/>
  <c r="G6508" i="1"/>
  <c r="C6508" i="1"/>
  <c r="B6508" i="1"/>
  <c r="G6507" i="1"/>
  <c r="C6507" i="1"/>
  <c r="B6507" i="1"/>
  <c r="G6506" i="1"/>
  <c r="C6506" i="1"/>
  <c r="B6506" i="1"/>
  <c r="G6505" i="1"/>
  <c r="B6505" i="1"/>
  <c r="G6504" i="1"/>
  <c r="C6504" i="1"/>
  <c r="B6504" i="1"/>
  <c r="G6503" i="1"/>
  <c r="C6503" i="1"/>
  <c r="B6503" i="1"/>
  <c r="G6502" i="1"/>
  <c r="C6502" i="1"/>
  <c r="B6502" i="1"/>
  <c r="G6501" i="1"/>
  <c r="C6501" i="1"/>
  <c r="B6501" i="1"/>
  <c r="G6500" i="1"/>
  <c r="C6500" i="1"/>
  <c r="B6500" i="1"/>
  <c r="G6499" i="1"/>
  <c r="B6499" i="1"/>
  <c r="G6498" i="1"/>
  <c r="B6498" i="1"/>
  <c r="G6497" i="1"/>
  <c r="C6497" i="1"/>
  <c r="B6497" i="1"/>
  <c r="G6496" i="1"/>
  <c r="C6496" i="1"/>
  <c r="B6496" i="1"/>
  <c r="G6495" i="1"/>
  <c r="B6495" i="1"/>
  <c r="G6494" i="1"/>
  <c r="B6494" i="1"/>
  <c r="G6493" i="1"/>
  <c r="B6493" i="1"/>
  <c r="G6492" i="1"/>
  <c r="C6492" i="1"/>
  <c r="B6492" i="1"/>
  <c r="G6491" i="1"/>
  <c r="C6491" i="1"/>
  <c r="B6491" i="1"/>
  <c r="G6490" i="1"/>
  <c r="C6490" i="1"/>
  <c r="B6490" i="1"/>
  <c r="G6489" i="1"/>
  <c r="C6489" i="1"/>
  <c r="B6489" i="1"/>
  <c r="G6488" i="1"/>
  <c r="C6488" i="1"/>
  <c r="B6488" i="1"/>
  <c r="G6487" i="1"/>
  <c r="C6487" i="1"/>
  <c r="B6487" i="1"/>
  <c r="G6486" i="1"/>
  <c r="B6486" i="1"/>
  <c r="G6485" i="1"/>
  <c r="C6485" i="1"/>
  <c r="B6485" i="1"/>
  <c r="G6484" i="1"/>
  <c r="C6484" i="1"/>
  <c r="B6484" i="1"/>
  <c r="G6483" i="1"/>
  <c r="C6483" i="1"/>
  <c r="B6483" i="1"/>
  <c r="G6482" i="1"/>
  <c r="C6482" i="1"/>
  <c r="B6482" i="1"/>
  <c r="G6481" i="1"/>
  <c r="C6481" i="1"/>
  <c r="B6481" i="1"/>
  <c r="G6480" i="1"/>
  <c r="B6480" i="1"/>
  <c r="G6479" i="1"/>
  <c r="C6479" i="1"/>
  <c r="B6479" i="1"/>
  <c r="G6478" i="1"/>
  <c r="C6478" i="1"/>
  <c r="B6478" i="1"/>
  <c r="G6477" i="1"/>
  <c r="C6477" i="1"/>
  <c r="B6477" i="1"/>
  <c r="G6476" i="1"/>
  <c r="B6476" i="1"/>
  <c r="G6475" i="1"/>
  <c r="B6475" i="1"/>
  <c r="G6474" i="1"/>
  <c r="C6474" i="1"/>
  <c r="B6474" i="1"/>
  <c r="G6473" i="1"/>
  <c r="C6473" i="1"/>
  <c r="B6473" i="1"/>
  <c r="G6472" i="1"/>
  <c r="C6472" i="1"/>
  <c r="B6472" i="1"/>
  <c r="G6471" i="1"/>
  <c r="B6471" i="1"/>
  <c r="G6470" i="1"/>
  <c r="B6470" i="1"/>
  <c r="G6469" i="1"/>
  <c r="C6469" i="1"/>
  <c r="B6469" i="1"/>
  <c r="G6468" i="1"/>
  <c r="C6468" i="1"/>
  <c r="B6468" i="1"/>
  <c r="G6467" i="1"/>
  <c r="B6467" i="1"/>
  <c r="G6466" i="1"/>
  <c r="C6466" i="1"/>
  <c r="B6466" i="1"/>
  <c r="G6465" i="1"/>
  <c r="C6465" i="1"/>
  <c r="B6465" i="1"/>
  <c r="G6464" i="1"/>
  <c r="C6464" i="1"/>
  <c r="B6464" i="1"/>
  <c r="G6463" i="1"/>
  <c r="B6463" i="1"/>
  <c r="G6462" i="1"/>
  <c r="C6462" i="1"/>
  <c r="B6462" i="1"/>
  <c r="G6461" i="1"/>
  <c r="C6461" i="1"/>
  <c r="B6461" i="1"/>
  <c r="G6460" i="1"/>
  <c r="B6460" i="1"/>
  <c r="G6459" i="1"/>
  <c r="C6459" i="1"/>
  <c r="B6459" i="1"/>
  <c r="G6458" i="1"/>
  <c r="C6458" i="1"/>
  <c r="B6458" i="1"/>
  <c r="G6457" i="1"/>
  <c r="B6457" i="1"/>
  <c r="G6456" i="1"/>
  <c r="C6456" i="1"/>
  <c r="B6456" i="1"/>
  <c r="G6455" i="1"/>
  <c r="C6455" i="1"/>
  <c r="B6455" i="1"/>
  <c r="G6454" i="1"/>
  <c r="C6454" i="1"/>
  <c r="B6454" i="1"/>
  <c r="G6453" i="1"/>
  <c r="B6453" i="1"/>
  <c r="G6452" i="1"/>
  <c r="C6452" i="1"/>
  <c r="B6452" i="1"/>
  <c r="G6451" i="1"/>
  <c r="C6451" i="1"/>
  <c r="B6451" i="1"/>
  <c r="G6450" i="1"/>
  <c r="B6450" i="1"/>
  <c r="G6449" i="1"/>
  <c r="C6449" i="1"/>
  <c r="B6449" i="1"/>
  <c r="G6448" i="1"/>
  <c r="B6448" i="1"/>
  <c r="G6447" i="1"/>
  <c r="C6447" i="1"/>
  <c r="B6447" i="1"/>
  <c r="G6446" i="1"/>
  <c r="B6446" i="1"/>
  <c r="G6445" i="1"/>
  <c r="C6445" i="1"/>
  <c r="B6445" i="1"/>
  <c r="G6444" i="1"/>
  <c r="C6444" i="1"/>
  <c r="B6444" i="1"/>
  <c r="G6443" i="1"/>
  <c r="B6443" i="1"/>
  <c r="G6442" i="1"/>
  <c r="C6442" i="1"/>
  <c r="B6442" i="1"/>
  <c r="G6441" i="1"/>
  <c r="C6441" i="1"/>
  <c r="B6441" i="1"/>
  <c r="G6440" i="1"/>
  <c r="C6440" i="1"/>
  <c r="B6440" i="1"/>
  <c r="G6439" i="1"/>
  <c r="C6439" i="1"/>
  <c r="B6439" i="1"/>
  <c r="G6438" i="1"/>
  <c r="C6438" i="1"/>
  <c r="B6438" i="1"/>
  <c r="G6437" i="1"/>
  <c r="B6437" i="1"/>
  <c r="G6436" i="1"/>
  <c r="C6436" i="1"/>
  <c r="B6436" i="1"/>
  <c r="G6435" i="1"/>
  <c r="C6435" i="1"/>
  <c r="B6435" i="1"/>
  <c r="G6434" i="1"/>
  <c r="B6434" i="1"/>
  <c r="G6433" i="1"/>
  <c r="B6433" i="1"/>
  <c r="G6432" i="1"/>
  <c r="B6432" i="1"/>
  <c r="G6431" i="1"/>
  <c r="B6431" i="1"/>
  <c r="G6430" i="1"/>
  <c r="C6430" i="1"/>
  <c r="B6430" i="1"/>
  <c r="G6429" i="1"/>
  <c r="C6429" i="1"/>
  <c r="B6429" i="1"/>
  <c r="G6428" i="1"/>
  <c r="C6428" i="1"/>
  <c r="B6428" i="1"/>
  <c r="G6427" i="1"/>
  <c r="C6427" i="1"/>
  <c r="B6427" i="1"/>
  <c r="G6426" i="1"/>
  <c r="C6426" i="1"/>
  <c r="B6426" i="1"/>
  <c r="G6425" i="1"/>
  <c r="C6425" i="1"/>
  <c r="B6425" i="1"/>
  <c r="G6424" i="1"/>
  <c r="C6424" i="1"/>
  <c r="B6424" i="1"/>
  <c r="G6423" i="1"/>
  <c r="C6423" i="1"/>
  <c r="B6423" i="1"/>
  <c r="G6422" i="1"/>
  <c r="C6422" i="1"/>
  <c r="B6422" i="1"/>
  <c r="G6421" i="1"/>
  <c r="C6421" i="1"/>
  <c r="B6421" i="1"/>
  <c r="G6420" i="1"/>
  <c r="C6420" i="1"/>
  <c r="B6420" i="1"/>
  <c r="G6419" i="1"/>
  <c r="B6419" i="1"/>
  <c r="G6418" i="1"/>
  <c r="C6418" i="1"/>
  <c r="B6418" i="1"/>
  <c r="G6417" i="1"/>
  <c r="C6417" i="1"/>
  <c r="B6417" i="1"/>
  <c r="G6416" i="1"/>
  <c r="C6416" i="1"/>
  <c r="B6416" i="1"/>
  <c r="G6415" i="1"/>
  <c r="B6415" i="1"/>
  <c r="G6414" i="1"/>
  <c r="C6414" i="1"/>
  <c r="B6414" i="1"/>
  <c r="G6413" i="1"/>
  <c r="C6413" i="1"/>
  <c r="B6413" i="1"/>
  <c r="G6412" i="1"/>
  <c r="C6412" i="1"/>
  <c r="B6412" i="1"/>
  <c r="G6411" i="1"/>
  <c r="C6411" i="1"/>
  <c r="B6411" i="1"/>
  <c r="G6410" i="1"/>
  <c r="C6410" i="1"/>
  <c r="B6410" i="1"/>
  <c r="G6409" i="1"/>
  <c r="C6409" i="1"/>
  <c r="B6409" i="1"/>
  <c r="G6408" i="1"/>
  <c r="C6408" i="1"/>
  <c r="B6408" i="1"/>
  <c r="G6407" i="1"/>
  <c r="C6407" i="1"/>
  <c r="B6407" i="1"/>
  <c r="G6406" i="1"/>
  <c r="C6406" i="1"/>
  <c r="B6406" i="1"/>
  <c r="G6405" i="1"/>
  <c r="C6405" i="1"/>
  <c r="B6405" i="1"/>
  <c r="G6404" i="1"/>
  <c r="C6404" i="1"/>
  <c r="B6404" i="1"/>
  <c r="G6403" i="1"/>
  <c r="C6403" i="1"/>
  <c r="B6403" i="1"/>
  <c r="G6402" i="1"/>
  <c r="C6402" i="1"/>
  <c r="B6402" i="1"/>
  <c r="G6401" i="1"/>
  <c r="C6401" i="1"/>
  <c r="B6401" i="1"/>
  <c r="G6400" i="1"/>
  <c r="B6400" i="1"/>
  <c r="G6399" i="1"/>
  <c r="C6399" i="1"/>
  <c r="B6399" i="1"/>
  <c r="G6398" i="1"/>
  <c r="C6398" i="1"/>
  <c r="B6398" i="1"/>
  <c r="G6397" i="1"/>
  <c r="C6397" i="1"/>
  <c r="B6397" i="1"/>
  <c r="G6396" i="1"/>
  <c r="C6396" i="1"/>
  <c r="B6396" i="1"/>
  <c r="G6395" i="1"/>
  <c r="B6395" i="1"/>
  <c r="G6394" i="1"/>
  <c r="C6394" i="1"/>
  <c r="B6394" i="1"/>
  <c r="G6393" i="1"/>
  <c r="C6393" i="1"/>
  <c r="B6393" i="1"/>
  <c r="G6392" i="1"/>
  <c r="C6392" i="1"/>
  <c r="B6392" i="1"/>
  <c r="G6391" i="1"/>
  <c r="C6391" i="1"/>
  <c r="B6391" i="1"/>
  <c r="G6390" i="1"/>
  <c r="B6390" i="1"/>
  <c r="G6389" i="1"/>
  <c r="C6389" i="1"/>
  <c r="B6389" i="1"/>
  <c r="G6388" i="1"/>
  <c r="C6388" i="1"/>
  <c r="B6388" i="1"/>
  <c r="G6387" i="1"/>
  <c r="C6387" i="1"/>
  <c r="B6387" i="1"/>
  <c r="G6386" i="1"/>
  <c r="B6386" i="1"/>
  <c r="G6385" i="1"/>
  <c r="C6385" i="1"/>
  <c r="B6385" i="1"/>
  <c r="G6384" i="1"/>
  <c r="B6384" i="1"/>
  <c r="G6383" i="1"/>
  <c r="B6383" i="1"/>
  <c r="G6382" i="1"/>
  <c r="C6382" i="1"/>
  <c r="B6382" i="1"/>
  <c r="G6381" i="1"/>
  <c r="C6381" i="1"/>
  <c r="B6381" i="1"/>
  <c r="G6380" i="1"/>
  <c r="C6380" i="1"/>
  <c r="B6380" i="1"/>
  <c r="G6379" i="1"/>
  <c r="C6379" i="1"/>
  <c r="B6379" i="1"/>
  <c r="G6378" i="1"/>
  <c r="C6378" i="1"/>
  <c r="B6378" i="1"/>
  <c r="G6377" i="1"/>
  <c r="C6377" i="1"/>
  <c r="B6377" i="1"/>
  <c r="G6376" i="1"/>
  <c r="C6376" i="1"/>
  <c r="B6376" i="1"/>
  <c r="G6375" i="1"/>
  <c r="C6375" i="1"/>
  <c r="B6375" i="1"/>
  <c r="G6374" i="1"/>
  <c r="C6374" i="1"/>
  <c r="B6374" i="1"/>
  <c r="G6373" i="1"/>
  <c r="C6373" i="1"/>
  <c r="B6373" i="1"/>
  <c r="G6372" i="1"/>
  <c r="C6372" i="1"/>
  <c r="B6372" i="1"/>
  <c r="G6371" i="1"/>
  <c r="C6371" i="1"/>
  <c r="B6371" i="1"/>
  <c r="G6370" i="1"/>
  <c r="B6370" i="1"/>
  <c r="G6369" i="1"/>
  <c r="C6369" i="1"/>
  <c r="B6369" i="1"/>
  <c r="G6368" i="1"/>
  <c r="B6368" i="1"/>
  <c r="G6367" i="1"/>
  <c r="C6367" i="1"/>
  <c r="B6367" i="1"/>
  <c r="G6366" i="1"/>
  <c r="B6366" i="1"/>
  <c r="G6365" i="1"/>
  <c r="C6365" i="1"/>
  <c r="B6365" i="1"/>
  <c r="G6364" i="1"/>
  <c r="C6364" i="1"/>
  <c r="B6364" i="1"/>
  <c r="G6363" i="1"/>
  <c r="C6363" i="1"/>
  <c r="B6363" i="1"/>
  <c r="G6362" i="1"/>
  <c r="B6362" i="1"/>
  <c r="G6361" i="1"/>
  <c r="B6361" i="1"/>
  <c r="G6360" i="1"/>
  <c r="C6360" i="1"/>
  <c r="B6360" i="1"/>
  <c r="G6359" i="1"/>
  <c r="C6359" i="1"/>
  <c r="B6359" i="1"/>
  <c r="G6358" i="1"/>
  <c r="C6358" i="1"/>
  <c r="B6358" i="1"/>
  <c r="G6357" i="1"/>
  <c r="B6357" i="1"/>
  <c r="G6356" i="1"/>
  <c r="C6356" i="1"/>
  <c r="B6356" i="1"/>
  <c r="G6355" i="1"/>
  <c r="C6355" i="1"/>
  <c r="B6355" i="1"/>
  <c r="G6354" i="1"/>
  <c r="B6354" i="1"/>
  <c r="G6353" i="1"/>
  <c r="C6353" i="1"/>
  <c r="B6353" i="1"/>
  <c r="G6352" i="1"/>
  <c r="B6352" i="1"/>
  <c r="G6351" i="1"/>
  <c r="C6351" i="1"/>
  <c r="B6351" i="1"/>
  <c r="G6350" i="1"/>
  <c r="C6350" i="1"/>
  <c r="B6350" i="1"/>
  <c r="G6349" i="1"/>
  <c r="C6349" i="1"/>
  <c r="B6349" i="1"/>
  <c r="G6348" i="1"/>
  <c r="C6348" i="1"/>
  <c r="B6348" i="1"/>
  <c r="G6347" i="1"/>
  <c r="B6347" i="1"/>
  <c r="G6346" i="1"/>
  <c r="C6346" i="1"/>
  <c r="B6346" i="1"/>
  <c r="G6345" i="1"/>
  <c r="C6345" i="1"/>
  <c r="B6345" i="1"/>
  <c r="G6344" i="1"/>
  <c r="C6344" i="1"/>
  <c r="B6344" i="1"/>
  <c r="G6343" i="1"/>
  <c r="B6343" i="1"/>
  <c r="G6342" i="1"/>
  <c r="C6342" i="1"/>
  <c r="B6342" i="1"/>
  <c r="G6341" i="1"/>
  <c r="C6341" i="1"/>
  <c r="B6341" i="1"/>
  <c r="G6340" i="1"/>
  <c r="C6340" i="1"/>
  <c r="B6340" i="1"/>
  <c r="G6339" i="1"/>
  <c r="C6339" i="1"/>
  <c r="B6339" i="1"/>
  <c r="G6338" i="1"/>
  <c r="C6338" i="1"/>
  <c r="B6338" i="1"/>
  <c r="G6337" i="1"/>
  <c r="B6337" i="1"/>
  <c r="G6336" i="1"/>
  <c r="C6336" i="1"/>
  <c r="B6336" i="1"/>
  <c r="G6335" i="1"/>
  <c r="C6335" i="1"/>
  <c r="B6335" i="1"/>
  <c r="G6334" i="1"/>
  <c r="C6334" i="1"/>
  <c r="B6334" i="1"/>
  <c r="G6333" i="1"/>
  <c r="C6333" i="1"/>
  <c r="B6333" i="1"/>
  <c r="G6332" i="1"/>
  <c r="B6332" i="1"/>
  <c r="G6331" i="1"/>
  <c r="C6331" i="1"/>
  <c r="B6331" i="1"/>
  <c r="G6330" i="1"/>
  <c r="C6330" i="1"/>
  <c r="B6330" i="1"/>
  <c r="G6329" i="1"/>
  <c r="C6329" i="1"/>
  <c r="B6329" i="1"/>
  <c r="G6328" i="1"/>
  <c r="C6328" i="1"/>
  <c r="B6328" i="1"/>
  <c r="G6327" i="1"/>
  <c r="C6327" i="1"/>
  <c r="B6327" i="1"/>
  <c r="G6326" i="1"/>
  <c r="B6326" i="1"/>
  <c r="G6325" i="1"/>
  <c r="B6325" i="1"/>
  <c r="G6324" i="1"/>
  <c r="C6324" i="1"/>
  <c r="B6324" i="1"/>
  <c r="G6323" i="1"/>
  <c r="B6323" i="1"/>
  <c r="G6322" i="1"/>
  <c r="B6322" i="1"/>
  <c r="G6321" i="1"/>
  <c r="B6321" i="1"/>
  <c r="G6320" i="1"/>
  <c r="B6320" i="1"/>
  <c r="G6319" i="1"/>
  <c r="B6319" i="1"/>
  <c r="G6318" i="1"/>
  <c r="C6318" i="1"/>
  <c r="B6318" i="1"/>
  <c r="G6317" i="1"/>
  <c r="C6317" i="1"/>
  <c r="B6317" i="1"/>
  <c r="G6316" i="1"/>
  <c r="B6316" i="1"/>
  <c r="G6315" i="1"/>
  <c r="C6315" i="1"/>
  <c r="B6315" i="1"/>
  <c r="G6314" i="1"/>
  <c r="C6314" i="1"/>
  <c r="B6314" i="1"/>
  <c r="G6313" i="1"/>
  <c r="C6313" i="1"/>
  <c r="B6313" i="1"/>
  <c r="G6312" i="1"/>
  <c r="B6312" i="1"/>
  <c r="G6311" i="1"/>
  <c r="C6311" i="1"/>
  <c r="B6311" i="1"/>
  <c r="G6310" i="1"/>
  <c r="C6310" i="1"/>
  <c r="B6310" i="1"/>
  <c r="G6309" i="1"/>
  <c r="C6309" i="1"/>
  <c r="B6309" i="1"/>
  <c r="G6308" i="1"/>
  <c r="C6308" i="1"/>
  <c r="B6308" i="1"/>
  <c r="G6307" i="1"/>
  <c r="C6307" i="1"/>
  <c r="B6307" i="1"/>
  <c r="G6306" i="1"/>
  <c r="C6306" i="1"/>
  <c r="B6306" i="1"/>
  <c r="G6305" i="1"/>
  <c r="C6305" i="1"/>
  <c r="B6305" i="1"/>
  <c r="G6304" i="1"/>
  <c r="C6304" i="1"/>
  <c r="B6304" i="1"/>
  <c r="G6303" i="1"/>
  <c r="C6303" i="1"/>
  <c r="B6303" i="1"/>
  <c r="G6302" i="1"/>
  <c r="C6302" i="1"/>
  <c r="B6302" i="1"/>
  <c r="G6301" i="1"/>
  <c r="C6301" i="1"/>
  <c r="B6301" i="1"/>
  <c r="G6300" i="1"/>
  <c r="B6300" i="1"/>
  <c r="G6299" i="1"/>
  <c r="C6299" i="1"/>
  <c r="B6299" i="1"/>
  <c r="G6298" i="1"/>
  <c r="C6298" i="1"/>
  <c r="B6298" i="1"/>
  <c r="G6297" i="1"/>
  <c r="B6297" i="1"/>
  <c r="G6296" i="1"/>
  <c r="C6296" i="1"/>
  <c r="B6296" i="1"/>
  <c r="G6295" i="1"/>
  <c r="C6295" i="1"/>
  <c r="B6295" i="1"/>
  <c r="G6294" i="1"/>
  <c r="C6294" i="1"/>
  <c r="B6294" i="1"/>
  <c r="G6293" i="1"/>
  <c r="C6293" i="1"/>
  <c r="B6293" i="1"/>
  <c r="G6292" i="1"/>
  <c r="B6292" i="1"/>
  <c r="G6291" i="1"/>
  <c r="C6291" i="1"/>
  <c r="B6291" i="1"/>
  <c r="G6290" i="1"/>
  <c r="C6290" i="1"/>
  <c r="B6290" i="1"/>
  <c r="G6289" i="1"/>
  <c r="C6289" i="1"/>
  <c r="B6289" i="1"/>
  <c r="G6288" i="1"/>
  <c r="C6288" i="1"/>
  <c r="B6288" i="1"/>
  <c r="G6287" i="1"/>
  <c r="B6287" i="1"/>
  <c r="G6286" i="1"/>
  <c r="C6286" i="1"/>
  <c r="B6286" i="1"/>
  <c r="G6285" i="1"/>
  <c r="C6285" i="1"/>
  <c r="B6285" i="1"/>
  <c r="G6284" i="1"/>
  <c r="C6284" i="1"/>
  <c r="B6284" i="1"/>
  <c r="G6283" i="1"/>
  <c r="C6283" i="1"/>
  <c r="B6283" i="1"/>
  <c r="G6282" i="1"/>
  <c r="C6282" i="1"/>
  <c r="B6282" i="1"/>
  <c r="G6281" i="1"/>
  <c r="C6281" i="1"/>
  <c r="B6281" i="1"/>
  <c r="G6280" i="1"/>
  <c r="B6280" i="1"/>
  <c r="G6279" i="1"/>
  <c r="B6279" i="1"/>
  <c r="G6278" i="1"/>
  <c r="C6278" i="1"/>
  <c r="B6278" i="1"/>
  <c r="G6277" i="1"/>
  <c r="C6277" i="1"/>
  <c r="B6277" i="1"/>
  <c r="G6276" i="1"/>
  <c r="C6276" i="1"/>
  <c r="B6276" i="1"/>
  <c r="G6275" i="1"/>
  <c r="B6275" i="1"/>
  <c r="G6274" i="1"/>
  <c r="C6274" i="1"/>
  <c r="B6274" i="1"/>
  <c r="G6273" i="1"/>
  <c r="C6273" i="1"/>
  <c r="B6273" i="1"/>
  <c r="G6272" i="1"/>
  <c r="C6272" i="1"/>
  <c r="B6272" i="1"/>
  <c r="G6271" i="1"/>
  <c r="B6271" i="1"/>
  <c r="G6270" i="1"/>
  <c r="C6270" i="1"/>
  <c r="B6270" i="1"/>
  <c r="G6269" i="1"/>
  <c r="C6269" i="1"/>
  <c r="B6269" i="1"/>
  <c r="G6268" i="1"/>
  <c r="C6268" i="1"/>
  <c r="B6268" i="1"/>
  <c r="G6267" i="1"/>
  <c r="B6267" i="1"/>
  <c r="G6266" i="1"/>
  <c r="C6266" i="1"/>
  <c r="B6266" i="1"/>
  <c r="G6265" i="1"/>
  <c r="B6265" i="1"/>
  <c r="G6264" i="1"/>
  <c r="C6264" i="1"/>
  <c r="B6264" i="1"/>
  <c r="G6263" i="1"/>
  <c r="B6263" i="1"/>
  <c r="G6262" i="1"/>
  <c r="C6262" i="1"/>
  <c r="B6262" i="1"/>
  <c r="G6261" i="1"/>
  <c r="B6261" i="1"/>
  <c r="G6260" i="1"/>
  <c r="C6260" i="1"/>
  <c r="B6260" i="1"/>
  <c r="G6259" i="1"/>
  <c r="C6259" i="1"/>
  <c r="B6259" i="1"/>
  <c r="G6258" i="1"/>
  <c r="C6258" i="1"/>
  <c r="B6258" i="1"/>
  <c r="G6257" i="1"/>
  <c r="B6257" i="1"/>
  <c r="G6256" i="1"/>
  <c r="C6256" i="1"/>
  <c r="B6256" i="1"/>
  <c r="G6255" i="1"/>
  <c r="B6255" i="1"/>
  <c r="G6254" i="1"/>
  <c r="C6254" i="1"/>
  <c r="B6254" i="1"/>
  <c r="G6253" i="1"/>
  <c r="C6253" i="1"/>
  <c r="B6253" i="1"/>
  <c r="G6252" i="1"/>
  <c r="B6252" i="1"/>
  <c r="G6251" i="1"/>
  <c r="B6251" i="1"/>
  <c r="G6250" i="1"/>
  <c r="C6250" i="1"/>
  <c r="B6250" i="1"/>
  <c r="G6249" i="1"/>
  <c r="C6249" i="1"/>
  <c r="B6249" i="1"/>
  <c r="G6248" i="1"/>
  <c r="B6248" i="1"/>
  <c r="G6247" i="1"/>
  <c r="B6247" i="1"/>
  <c r="G6246" i="1"/>
  <c r="C6246" i="1"/>
  <c r="B6246" i="1"/>
  <c r="G6245" i="1"/>
  <c r="C6245" i="1"/>
  <c r="B6245" i="1"/>
  <c r="G6244" i="1"/>
  <c r="C6244" i="1"/>
  <c r="B6244" i="1"/>
  <c r="G6243" i="1"/>
  <c r="C6243" i="1"/>
  <c r="B6243" i="1"/>
  <c r="G6242" i="1"/>
  <c r="C6242" i="1"/>
  <c r="B6242" i="1"/>
  <c r="G6241" i="1"/>
  <c r="B6241" i="1"/>
  <c r="G6240" i="1"/>
  <c r="C6240" i="1"/>
  <c r="B6240" i="1"/>
  <c r="G6239" i="1"/>
  <c r="C6239" i="1"/>
  <c r="B6239" i="1"/>
  <c r="G6238" i="1"/>
  <c r="B6238" i="1"/>
  <c r="G6237" i="1"/>
  <c r="C6237" i="1"/>
  <c r="B6237" i="1"/>
  <c r="G6236" i="1"/>
  <c r="C6236" i="1"/>
  <c r="B6236" i="1"/>
  <c r="G6235" i="1"/>
  <c r="C6235" i="1"/>
  <c r="B6235" i="1"/>
  <c r="G6234" i="1"/>
  <c r="C6234" i="1"/>
  <c r="B6234" i="1"/>
  <c r="G6233" i="1"/>
  <c r="C6233" i="1"/>
  <c r="B6233" i="1"/>
  <c r="G6232" i="1"/>
  <c r="B6232" i="1"/>
  <c r="G6231" i="1"/>
  <c r="B6231" i="1"/>
  <c r="G6230" i="1"/>
  <c r="C6230" i="1"/>
  <c r="B6230" i="1"/>
  <c r="G6229" i="1"/>
  <c r="C6229" i="1"/>
  <c r="B6229" i="1"/>
  <c r="G6228" i="1"/>
  <c r="C6228" i="1"/>
  <c r="B6228" i="1"/>
  <c r="G6227" i="1"/>
  <c r="C6227" i="1"/>
  <c r="B6227" i="1"/>
  <c r="G6226" i="1"/>
  <c r="C6226" i="1"/>
  <c r="B6226" i="1"/>
  <c r="G6225" i="1"/>
  <c r="C6225" i="1"/>
  <c r="B6225" i="1"/>
  <c r="G6224" i="1"/>
  <c r="B6224" i="1"/>
  <c r="G6223" i="1"/>
  <c r="C6223" i="1"/>
  <c r="B6223" i="1"/>
  <c r="G6222" i="1"/>
  <c r="B6222" i="1"/>
  <c r="G6221" i="1"/>
  <c r="C6221" i="1"/>
  <c r="B6221" i="1"/>
  <c r="G6220" i="1"/>
  <c r="C6220" i="1"/>
  <c r="B6220" i="1"/>
  <c r="G6219" i="1"/>
  <c r="C6219" i="1"/>
  <c r="B6219" i="1"/>
  <c r="G6218" i="1"/>
  <c r="C6218" i="1"/>
  <c r="B6218" i="1"/>
  <c r="G6217" i="1"/>
  <c r="B6217" i="1"/>
  <c r="G6216" i="1"/>
  <c r="B6216" i="1"/>
  <c r="G6215" i="1"/>
  <c r="B6215" i="1"/>
  <c r="G6214" i="1"/>
  <c r="C6214" i="1"/>
  <c r="B6214" i="1"/>
  <c r="G6213" i="1"/>
  <c r="C6213" i="1"/>
  <c r="B6213" i="1"/>
  <c r="G6212" i="1"/>
  <c r="C6212" i="1"/>
  <c r="B6212" i="1"/>
  <c r="G6211" i="1"/>
  <c r="B6211" i="1"/>
  <c r="G6210" i="1"/>
  <c r="B6210" i="1"/>
  <c r="G6209" i="1"/>
  <c r="C6209" i="1"/>
  <c r="B6209" i="1"/>
  <c r="G6208" i="1"/>
  <c r="C6208" i="1"/>
  <c r="B6208" i="1"/>
  <c r="G6207" i="1"/>
  <c r="C6207" i="1"/>
  <c r="B6207" i="1"/>
  <c r="G6206" i="1"/>
  <c r="B6206" i="1"/>
  <c r="G6205" i="1"/>
  <c r="C6205" i="1"/>
  <c r="B6205" i="1"/>
  <c r="G6204" i="1"/>
  <c r="B6204" i="1"/>
  <c r="G6203" i="1"/>
  <c r="C6203" i="1"/>
  <c r="B6203" i="1"/>
  <c r="G6202" i="1"/>
  <c r="C6202" i="1"/>
  <c r="B6202" i="1"/>
  <c r="G6201" i="1"/>
  <c r="C6201" i="1"/>
  <c r="B6201" i="1"/>
  <c r="G6200" i="1"/>
  <c r="C6200" i="1"/>
  <c r="B6200" i="1"/>
  <c r="G6199" i="1"/>
  <c r="B6199" i="1"/>
  <c r="G6198" i="1"/>
  <c r="C6198" i="1"/>
  <c r="B6198" i="1"/>
  <c r="G6197" i="1"/>
  <c r="C6197" i="1"/>
  <c r="B6197" i="1"/>
  <c r="G6196" i="1"/>
  <c r="B6196" i="1"/>
  <c r="G6195" i="1"/>
  <c r="C6195" i="1"/>
  <c r="B6195" i="1"/>
  <c r="G6194" i="1"/>
  <c r="B6194" i="1"/>
  <c r="G6193" i="1"/>
  <c r="C6193" i="1"/>
  <c r="B6193" i="1"/>
  <c r="G6192" i="1"/>
  <c r="C6192" i="1"/>
  <c r="B6192" i="1"/>
  <c r="G6191" i="1"/>
  <c r="B6191" i="1"/>
  <c r="G6190" i="1"/>
  <c r="B6190" i="1"/>
  <c r="G6189" i="1"/>
  <c r="C6189" i="1"/>
  <c r="B6189" i="1"/>
  <c r="G6188" i="1"/>
  <c r="C6188" i="1"/>
  <c r="B6188" i="1"/>
  <c r="G6187" i="1"/>
  <c r="C6187" i="1"/>
  <c r="B6187" i="1"/>
  <c r="G6186" i="1"/>
  <c r="C6186" i="1"/>
  <c r="B6186" i="1"/>
  <c r="G6185" i="1"/>
  <c r="C6185" i="1"/>
  <c r="B6185" i="1"/>
  <c r="G6184" i="1"/>
  <c r="C6184" i="1"/>
  <c r="B6184" i="1"/>
  <c r="G6183" i="1"/>
  <c r="C6183" i="1"/>
  <c r="B6183" i="1"/>
  <c r="G6182" i="1"/>
  <c r="C6182" i="1"/>
  <c r="B6182" i="1"/>
  <c r="G6181" i="1"/>
  <c r="C6181" i="1"/>
  <c r="B6181" i="1"/>
  <c r="G6180" i="1"/>
  <c r="C6180" i="1"/>
  <c r="B6180" i="1"/>
  <c r="G6179" i="1"/>
  <c r="C6179" i="1"/>
  <c r="B6179" i="1"/>
  <c r="G6178" i="1"/>
  <c r="C6178" i="1"/>
  <c r="B6178" i="1"/>
  <c r="G6177" i="1"/>
  <c r="C6177" i="1"/>
  <c r="B6177" i="1"/>
  <c r="G6176" i="1"/>
  <c r="C6176" i="1"/>
  <c r="B6176" i="1"/>
  <c r="G6175" i="1"/>
  <c r="C6175" i="1"/>
  <c r="B6175" i="1"/>
  <c r="G6174" i="1"/>
  <c r="C6174" i="1"/>
  <c r="B6174" i="1"/>
  <c r="G6173" i="1"/>
  <c r="C6173" i="1"/>
  <c r="B6173" i="1"/>
  <c r="G6172" i="1"/>
  <c r="B6172" i="1"/>
  <c r="G6171" i="1"/>
  <c r="C6171" i="1"/>
  <c r="B6171" i="1"/>
  <c r="G6170" i="1"/>
  <c r="C6170" i="1"/>
  <c r="B6170" i="1"/>
  <c r="G6169" i="1"/>
  <c r="C6169" i="1"/>
  <c r="B6169" i="1"/>
  <c r="G6168" i="1"/>
  <c r="C6168" i="1"/>
  <c r="B6168" i="1"/>
  <c r="G6167" i="1"/>
  <c r="C6167" i="1"/>
  <c r="B6167" i="1"/>
  <c r="G6166" i="1"/>
  <c r="C6166" i="1"/>
  <c r="B6166" i="1"/>
  <c r="G6165" i="1"/>
  <c r="B6165" i="1"/>
  <c r="G6164" i="1"/>
  <c r="C6164" i="1"/>
  <c r="B6164" i="1"/>
  <c r="G6163" i="1"/>
  <c r="B6163" i="1"/>
  <c r="G6162" i="1"/>
  <c r="B6162" i="1"/>
  <c r="G6161" i="1"/>
  <c r="B6161" i="1"/>
  <c r="G6160" i="1"/>
  <c r="B6160" i="1"/>
  <c r="G6159" i="1"/>
  <c r="C6159" i="1"/>
  <c r="B6159" i="1"/>
  <c r="G6158" i="1"/>
  <c r="B6158" i="1"/>
  <c r="G6157" i="1"/>
  <c r="C6157" i="1"/>
  <c r="B6157" i="1"/>
  <c r="G6156" i="1"/>
  <c r="C6156" i="1"/>
  <c r="B6156" i="1"/>
  <c r="G6155" i="1"/>
  <c r="B6155" i="1"/>
  <c r="G6154" i="1"/>
  <c r="C6154" i="1"/>
  <c r="B6154" i="1"/>
  <c r="G6153" i="1"/>
  <c r="C6153" i="1"/>
  <c r="B6153" i="1"/>
  <c r="G6152" i="1"/>
  <c r="B6152" i="1"/>
  <c r="G6151" i="1"/>
  <c r="C6151" i="1"/>
  <c r="B6151" i="1"/>
  <c r="G6150" i="1"/>
  <c r="B6150" i="1"/>
  <c r="G6149" i="1"/>
  <c r="C6149" i="1"/>
  <c r="B6149" i="1"/>
  <c r="G6148" i="1"/>
  <c r="C6148" i="1"/>
  <c r="B6148" i="1"/>
  <c r="G6147" i="1"/>
  <c r="C6147" i="1"/>
  <c r="B6147" i="1"/>
  <c r="G6146" i="1"/>
  <c r="C6146" i="1"/>
  <c r="B6146" i="1"/>
  <c r="G6145" i="1"/>
  <c r="C6145" i="1"/>
  <c r="B6145" i="1"/>
  <c r="G6144" i="1"/>
  <c r="B6144" i="1"/>
  <c r="G6143" i="1"/>
  <c r="C6143" i="1"/>
  <c r="B6143" i="1"/>
  <c r="G6142" i="1"/>
  <c r="C6142" i="1"/>
  <c r="B6142" i="1"/>
  <c r="G6141" i="1"/>
  <c r="C6141" i="1"/>
  <c r="B6141" i="1"/>
  <c r="G6140" i="1"/>
  <c r="C6140" i="1"/>
  <c r="B6140" i="1"/>
  <c r="G6139" i="1"/>
  <c r="C6139" i="1"/>
  <c r="B6139" i="1"/>
  <c r="G6138" i="1"/>
  <c r="B6138" i="1"/>
  <c r="G6137" i="1"/>
  <c r="C6137" i="1"/>
  <c r="B6137" i="1"/>
  <c r="G6136" i="1"/>
  <c r="C6136" i="1"/>
  <c r="B6136" i="1"/>
  <c r="G6135" i="1"/>
  <c r="C6135" i="1"/>
  <c r="B6135" i="1"/>
  <c r="G6134" i="1"/>
  <c r="C6134" i="1"/>
  <c r="B6134" i="1"/>
  <c r="G6133" i="1"/>
  <c r="C6133" i="1"/>
  <c r="B6133" i="1"/>
  <c r="G6132" i="1"/>
  <c r="B6132" i="1"/>
  <c r="G6131" i="1"/>
  <c r="B6131" i="1"/>
  <c r="G6130" i="1"/>
  <c r="C6130" i="1"/>
  <c r="B6130" i="1"/>
  <c r="G6129" i="1"/>
  <c r="C6129" i="1"/>
  <c r="B6129" i="1"/>
  <c r="G6128" i="1"/>
  <c r="C6128" i="1"/>
  <c r="B6128" i="1"/>
  <c r="G6127" i="1"/>
  <c r="B6127" i="1"/>
  <c r="G6126" i="1"/>
  <c r="B6126" i="1"/>
  <c r="G6125" i="1"/>
  <c r="C6125" i="1"/>
  <c r="B6125" i="1"/>
  <c r="G6124" i="1"/>
  <c r="B6124" i="1"/>
  <c r="G6123" i="1"/>
  <c r="B6123" i="1"/>
  <c r="G6122" i="1"/>
  <c r="C6122" i="1"/>
  <c r="B6122" i="1"/>
  <c r="G6121" i="1"/>
  <c r="B6121" i="1"/>
  <c r="G6120" i="1"/>
  <c r="C6120" i="1"/>
  <c r="B6120" i="1"/>
  <c r="G6119" i="1"/>
  <c r="C6119" i="1"/>
  <c r="B6119" i="1"/>
  <c r="G6118" i="1"/>
  <c r="C6118" i="1"/>
  <c r="B6118" i="1"/>
  <c r="G6117" i="1"/>
  <c r="B6117" i="1"/>
  <c r="G6116" i="1"/>
  <c r="C6116" i="1"/>
  <c r="B6116" i="1"/>
  <c r="G6115" i="1"/>
  <c r="B6115" i="1"/>
  <c r="G6114" i="1"/>
  <c r="C6114" i="1"/>
  <c r="B6114" i="1"/>
  <c r="G6113" i="1"/>
  <c r="B6113" i="1"/>
  <c r="G6112" i="1"/>
  <c r="C6112" i="1"/>
  <c r="B6112" i="1"/>
  <c r="G6111" i="1"/>
  <c r="C6111" i="1"/>
  <c r="B6111" i="1"/>
  <c r="G6110" i="1"/>
  <c r="C6110" i="1"/>
  <c r="B6110" i="1"/>
  <c r="G6109" i="1"/>
  <c r="C6109" i="1"/>
  <c r="B6109" i="1"/>
  <c r="G6108" i="1"/>
  <c r="C6108" i="1"/>
  <c r="B6108" i="1"/>
  <c r="G6107" i="1"/>
  <c r="C6107" i="1"/>
  <c r="B6107" i="1"/>
  <c r="G6106" i="1"/>
  <c r="C6106" i="1"/>
  <c r="B6106" i="1"/>
  <c r="G6105" i="1"/>
  <c r="B6105" i="1"/>
  <c r="G6104" i="1"/>
  <c r="C6104" i="1"/>
  <c r="B6104" i="1"/>
  <c r="G6103" i="1"/>
  <c r="C6103" i="1"/>
  <c r="B6103" i="1"/>
  <c r="G6102" i="1"/>
  <c r="C6102" i="1"/>
  <c r="B6102" i="1"/>
  <c r="G6101" i="1"/>
  <c r="C6101" i="1"/>
  <c r="B6101" i="1"/>
  <c r="G6100" i="1"/>
  <c r="B6100" i="1"/>
  <c r="G6099" i="1"/>
  <c r="B6099" i="1"/>
  <c r="G6098" i="1"/>
  <c r="C6098" i="1"/>
  <c r="B6098" i="1"/>
  <c r="G6097" i="1"/>
  <c r="C6097" i="1"/>
  <c r="B6097" i="1"/>
  <c r="G6096" i="1"/>
  <c r="C6096" i="1"/>
  <c r="B6096" i="1"/>
  <c r="G6095" i="1"/>
  <c r="C6095" i="1"/>
  <c r="B6095" i="1"/>
  <c r="G6094" i="1"/>
  <c r="B6094" i="1"/>
  <c r="G6093" i="1"/>
  <c r="C6093" i="1"/>
  <c r="B6093" i="1"/>
  <c r="G6092" i="1"/>
  <c r="B6092" i="1"/>
  <c r="G6091" i="1"/>
  <c r="B6091" i="1"/>
  <c r="G6090" i="1"/>
  <c r="C6090" i="1"/>
  <c r="B6090" i="1"/>
  <c r="G6089" i="1"/>
  <c r="C6089" i="1"/>
  <c r="B6089" i="1"/>
  <c r="G6088" i="1"/>
  <c r="C6088" i="1"/>
  <c r="B6088" i="1"/>
  <c r="G6087" i="1"/>
  <c r="C6087" i="1"/>
  <c r="B6087" i="1"/>
  <c r="G6086" i="1"/>
  <c r="C6086" i="1"/>
  <c r="B6086" i="1"/>
  <c r="G6085" i="1"/>
  <c r="B6085" i="1"/>
  <c r="G6084" i="1"/>
  <c r="C6084" i="1"/>
  <c r="B6084" i="1"/>
  <c r="G6083" i="1"/>
  <c r="C6083" i="1"/>
  <c r="B6083" i="1"/>
  <c r="G6082" i="1"/>
  <c r="C6082" i="1"/>
  <c r="B6082" i="1"/>
  <c r="G6081" i="1"/>
  <c r="C6081" i="1"/>
  <c r="B6081" i="1"/>
  <c r="G6080" i="1"/>
  <c r="B6080" i="1"/>
  <c r="G6079" i="1"/>
  <c r="B6079" i="1"/>
  <c r="G6078" i="1"/>
  <c r="B6078" i="1"/>
  <c r="G6077" i="1"/>
  <c r="C6077" i="1"/>
  <c r="B6077" i="1"/>
  <c r="G6076" i="1"/>
  <c r="B6076" i="1"/>
  <c r="G6075" i="1"/>
  <c r="C6075" i="1"/>
  <c r="B6075" i="1"/>
  <c r="G6074" i="1"/>
  <c r="C6074" i="1"/>
  <c r="B6074" i="1"/>
  <c r="G6073" i="1"/>
  <c r="C6073" i="1"/>
  <c r="B6073" i="1"/>
  <c r="G6072" i="1"/>
  <c r="C6072" i="1"/>
  <c r="B6072" i="1"/>
  <c r="G6071" i="1"/>
  <c r="B6071" i="1"/>
  <c r="G6070" i="1"/>
  <c r="C6070" i="1"/>
  <c r="B6070" i="1"/>
  <c r="G6069" i="1"/>
  <c r="C6069" i="1"/>
  <c r="B6069" i="1"/>
  <c r="G6068" i="1"/>
  <c r="C6068" i="1"/>
  <c r="B6068" i="1"/>
  <c r="G6067" i="1"/>
  <c r="B6067" i="1"/>
  <c r="G6066" i="1"/>
  <c r="B6066" i="1"/>
  <c r="G6065" i="1"/>
  <c r="C6065" i="1"/>
  <c r="B6065" i="1"/>
  <c r="G6064" i="1"/>
  <c r="B6064" i="1"/>
  <c r="G6063" i="1"/>
  <c r="B6063" i="1"/>
  <c r="G6062" i="1"/>
  <c r="C6062" i="1"/>
  <c r="B6062" i="1"/>
  <c r="G6061" i="1"/>
  <c r="C6061" i="1"/>
  <c r="B6061" i="1"/>
  <c r="G6060" i="1"/>
  <c r="C6060" i="1"/>
  <c r="B6060" i="1"/>
  <c r="G6059" i="1"/>
  <c r="C6059" i="1"/>
  <c r="B6059" i="1"/>
  <c r="G6058" i="1"/>
  <c r="C6058" i="1"/>
  <c r="B6058" i="1"/>
  <c r="G6057" i="1"/>
  <c r="B6057" i="1"/>
  <c r="G6056" i="1"/>
  <c r="B6056" i="1"/>
  <c r="G6055" i="1"/>
  <c r="C6055" i="1"/>
  <c r="B6055" i="1"/>
  <c r="G6054" i="1"/>
  <c r="B6054" i="1"/>
  <c r="G6053" i="1"/>
  <c r="C6053" i="1"/>
  <c r="B6053" i="1"/>
  <c r="G6052" i="1"/>
  <c r="B6052" i="1"/>
  <c r="G6051" i="1"/>
  <c r="C6051" i="1"/>
  <c r="B6051" i="1"/>
  <c r="G6050" i="1"/>
  <c r="C6050" i="1"/>
  <c r="B6050" i="1"/>
  <c r="G6049" i="1"/>
  <c r="C6049" i="1"/>
  <c r="B6049" i="1"/>
  <c r="G6048" i="1"/>
  <c r="C6048" i="1"/>
  <c r="B6048" i="1"/>
  <c r="G6047" i="1"/>
  <c r="B6047" i="1"/>
  <c r="G6046" i="1"/>
  <c r="C6046" i="1"/>
  <c r="B6046" i="1"/>
  <c r="G6045" i="1"/>
  <c r="C6045" i="1"/>
  <c r="B6045" i="1"/>
  <c r="G6044" i="1"/>
  <c r="C6044" i="1"/>
  <c r="B6044" i="1"/>
  <c r="G6043" i="1"/>
  <c r="C6043" i="1"/>
  <c r="B6043" i="1"/>
  <c r="G6042" i="1"/>
  <c r="B6042" i="1"/>
  <c r="G6041" i="1"/>
  <c r="C6041" i="1"/>
  <c r="B6041" i="1"/>
  <c r="G6040" i="1"/>
  <c r="B6040" i="1"/>
  <c r="G6039" i="1"/>
  <c r="C6039" i="1"/>
  <c r="B6039" i="1"/>
  <c r="G6038" i="1"/>
  <c r="B6038" i="1"/>
  <c r="G6037" i="1"/>
  <c r="B6037" i="1"/>
  <c r="G6036" i="1"/>
  <c r="B6036" i="1"/>
  <c r="G6035" i="1"/>
  <c r="C6035" i="1"/>
  <c r="B6035" i="1"/>
  <c r="G6034" i="1"/>
  <c r="C6034" i="1"/>
  <c r="B6034" i="1"/>
  <c r="G6033" i="1"/>
  <c r="C6033" i="1"/>
  <c r="B6033" i="1"/>
  <c r="G6032" i="1"/>
  <c r="B6032" i="1"/>
  <c r="G6031" i="1"/>
  <c r="C6031" i="1"/>
  <c r="B6031" i="1"/>
  <c r="G6030" i="1"/>
  <c r="B6030" i="1"/>
  <c r="G6029" i="1"/>
  <c r="C6029" i="1"/>
  <c r="B6029" i="1"/>
  <c r="G6028" i="1"/>
  <c r="C6028" i="1"/>
  <c r="B6028" i="1"/>
  <c r="G6027" i="1"/>
  <c r="C6027" i="1"/>
  <c r="B6027" i="1"/>
  <c r="G6026" i="1"/>
  <c r="C6026" i="1"/>
  <c r="B6026" i="1"/>
  <c r="G6025" i="1"/>
  <c r="C6025" i="1"/>
  <c r="B6025" i="1"/>
  <c r="G6024" i="1"/>
  <c r="C6024" i="1"/>
  <c r="B6024" i="1"/>
  <c r="G6023" i="1"/>
  <c r="C6023" i="1"/>
  <c r="B6023" i="1"/>
  <c r="G6022" i="1"/>
  <c r="B6022" i="1"/>
  <c r="G6021" i="1"/>
  <c r="C6021" i="1"/>
  <c r="B6021" i="1"/>
  <c r="G6020" i="1"/>
  <c r="C6020" i="1"/>
  <c r="B6020" i="1"/>
  <c r="G6019" i="1"/>
  <c r="C6019" i="1"/>
  <c r="B6019" i="1"/>
  <c r="G6018" i="1"/>
  <c r="C6018" i="1"/>
  <c r="B6018" i="1"/>
  <c r="G6017" i="1"/>
  <c r="C6017" i="1"/>
  <c r="B6017" i="1"/>
  <c r="G6016" i="1"/>
  <c r="B6016" i="1"/>
  <c r="G6015" i="1"/>
  <c r="C6015" i="1"/>
  <c r="B6015" i="1"/>
  <c r="G6014" i="1"/>
  <c r="B6014" i="1"/>
  <c r="G6013" i="1"/>
  <c r="C6013" i="1"/>
  <c r="B6013" i="1"/>
  <c r="G6012" i="1"/>
  <c r="C6012" i="1"/>
  <c r="B6012" i="1"/>
  <c r="G6011" i="1"/>
  <c r="C6011" i="1"/>
  <c r="B6011" i="1"/>
  <c r="G6010" i="1"/>
  <c r="B6010" i="1"/>
  <c r="G6009" i="1"/>
  <c r="B6009" i="1"/>
  <c r="G6008" i="1"/>
  <c r="C6008" i="1"/>
  <c r="B6008" i="1"/>
  <c r="G6007" i="1"/>
  <c r="C6007" i="1"/>
  <c r="B6007" i="1"/>
  <c r="G6006" i="1"/>
  <c r="C6006" i="1"/>
  <c r="B6006" i="1"/>
  <c r="G6005" i="1"/>
  <c r="B6005" i="1"/>
  <c r="G6004" i="1"/>
  <c r="B6004" i="1"/>
  <c r="G6003" i="1"/>
  <c r="C6003" i="1"/>
  <c r="B6003" i="1"/>
  <c r="G6002" i="1"/>
  <c r="C6002" i="1"/>
  <c r="B6002" i="1"/>
  <c r="G6001" i="1"/>
  <c r="B6001" i="1"/>
  <c r="G6000" i="1"/>
  <c r="C6000" i="1"/>
  <c r="B6000" i="1"/>
  <c r="G5999" i="1"/>
  <c r="C5999" i="1"/>
  <c r="B5999" i="1"/>
  <c r="G5998" i="1"/>
  <c r="B5998" i="1"/>
  <c r="G5997" i="1"/>
  <c r="C5997" i="1"/>
  <c r="B5997" i="1"/>
  <c r="G5996" i="1"/>
  <c r="C5996" i="1"/>
  <c r="B5996" i="1"/>
  <c r="G5995" i="1"/>
  <c r="C5995" i="1"/>
  <c r="B5995" i="1"/>
  <c r="G5994" i="1"/>
  <c r="C5994" i="1"/>
  <c r="B5994" i="1"/>
  <c r="G5993" i="1"/>
  <c r="C5993" i="1"/>
  <c r="B5993" i="1"/>
  <c r="G5992" i="1"/>
  <c r="C5992" i="1"/>
  <c r="B5992" i="1"/>
  <c r="G5991" i="1"/>
  <c r="C5991" i="1"/>
  <c r="B5991" i="1"/>
  <c r="G5990" i="1"/>
  <c r="C5990" i="1"/>
  <c r="B5990" i="1"/>
  <c r="G5989" i="1"/>
  <c r="C5989" i="1"/>
  <c r="B5989" i="1"/>
  <c r="G5988" i="1"/>
  <c r="C5988" i="1"/>
  <c r="B5988" i="1"/>
  <c r="G5987" i="1"/>
  <c r="B5987" i="1"/>
  <c r="G5986" i="1"/>
  <c r="C5986" i="1"/>
  <c r="B5986" i="1"/>
  <c r="G5985" i="1"/>
  <c r="B5985" i="1"/>
  <c r="G5984" i="1"/>
  <c r="C5984" i="1"/>
  <c r="B5984" i="1"/>
  <c r="G5983" i="1"/>
  <c r="C5983" i="1"/>
  <c r="B5983" i="1"/>
  <c r="G5982" i="1"/>
  <c r="C5982" i="1"/>
  <c r="B5982" i="1"/>
  <c r="G5981" i="1"/>
  <c r="C5981" i="1"/>
  <c r="B5981" i="1"/>
  <c r="G5980" i="1"/>
  <c r="C5980" i="1"/>
  <c r="B5980" i="1"/>
  <c r="G5979" i="1"/>
  <c r="C5979" i="1"/>
  <c r="B5979" i="1"/>
  <c r="G5978" i="1"/>
  <c r="B5978" i="1"/>
  <c r="G5977" i="1"/>
  <c r="C5977" i="1"/>
  <c r="B5977" i="1"/>
  <c r="G5976" i="1"/>
  <c r="B5976" i="1"/>
  <c r="G5975" i="1"/>
  <c r="C5975" i="1"/>
  <c r="B5975" i="1"/>
  <c r="G5974" i="1"/>
  <c r="C5974" i="1"/>
  <c r="B5974" i="1"/>
  <c r="G5973" i="1"/>
  <c r="C5973" i="1"/>
  <c r="B5973" i="1"/>
  <c r="G5972" i="1"/>
  <c r="B5972" i="1"/>
  <c r="G5971" i="1"/>
  <c r="B5971" i="1"/>
  <c r="G5970" i="1"/>
  <c r="C5970" i="1"/>
  <c r="B5970" i="1"/>
  <c r="G5969" i="1"/>
  <c r="C5969" i="1"/>
  <c r="B5969" i="1"/>
  <c r="G5968" i="1"/>
  <c r="C5968" i="1"/>
  <c r="B5968" i="1"/>
  <c r="G5967" i="1"/>
  <c r="B5967" i="1"/>
  <c r="G5966" i="1"/>
  <c r="B5966" i="1"/>
  <c r="G5965" i="1"/>
  <c r="C5965" i="1"/>
  <c r="B5965" i="1"/>
  <c r="G5964" i="1"/>
  <c r="C5964" i="1"/>
  <c r="B5964" i="1"/>
  <c r="G5963" i="1"/>
  <c r="B5963" i="1"/>
  <c r="G5962" i="1"/>
  <c r="C5962" i="1"/>
  <c r="B5962" i="1"/>
  <c r="G5961" i="1"/>
  <c r="C5961" i="1"/>
  <c r="B5961" i="1"/>
  <c r="G5960" i="1"/>
  <c r="C5960" i="1"/>
  <c r="B5960" i="1"/>
  <c r="G5959" i="1"/>
  <c r="C5959" i="1"/>
  <c r="B5959" i="1"/>
  <c r="G5958" i="1"/>
  <c r="C5958" i="1"/>
  <c r="B5958" i="1"/>
  <c r="G5957" i="1"/>
  <c r="C5957" i="1"/>
  <c r="B5957" i="1"/>
  <c r="G5956" i="1"/>
  <c r="C5956" i="1"/>
  <c r="B5956" i="1"/>
  <c r="G5955" i="1"/>
  <c r="C5955" i="1"/>
  <c r="B5955" i="1"/>
  <c r="G5954" i="1"/>
  <c r="C5954" i="1"/>
  <c r="B5954" i="1"/>
  <c r="G5953" i="1"/>
  <c r="B5953" i="1"/>
  <c r="G5952" i="1"/>
  <c r="C5952" i="1"/>
  <c r="B5952" i="1"/>
  <c r="G5951" i="1"/>
  <c r="C5951" i="1"/>
  <c r="B5951" i="1"/>
  <c r="G5950" i="1"/>
  <c r="C5950" i="1"/>
  <c r="B5950" i="1"/>
  <c r="G5949" i="1"/>
  <c r="C5949" i="1"/>
  <c r="B5949" i="1"/>
  <c r="G5948" i="1"/>
  <c r="C5948" i="1"/>
  <c r="B5948" i="1"/>
  <c r="G5947" i="1"/>
  <c r="B5947" i="1"/>
  <c r="G5946" i="1"/>
  <c r="C5946" i="1"/>
  <c r="B5946" i="1"/>
  <c r="G5945" i="1"/>
  <c r="B5945" i="1"/>
  <c r="G5944" i="1"/>
  <c r="C5944" i="1"/>
  <c r="B5944" i="1"/>
  <c r="G5943" i="1"/>
  <c r="B5943" i="1"/>
  <c r="G5942" i="1"/>
  <c r="C5942" i="1"/>
  <c r="B5942" i="1"/>
  <c r="G5941" i="1"/>
  <c r="C5941" i="1"/>
  <c r="B5941" i="1"/>
  <c r="G5940" i="1"/>
  <c r="C5940" i="1"/>
  <c r="B5940" i="1"/>
  <c r="G5939" i="1"/>
  <c r="C5939" i="1"/>
  <c r="B5939" i="1"/>
  <c r="G5938" i="1"/>
  <c r="C5938" i="1"/>
  <c r="B5938" i="1"/>
  <c r="G5937" i="1"/>
  <c r="C5937" i="1"/>
  <c r="B5937" i="1"/>
  <c r="G5936" i="1"/>
  <c r="C5936" i="1"/>
  <c r="B5936" i="1"/>
  <c r="G5935" i="1"/>
  <c r="B5935" i="1"/>
  <c r="G5934" i="1"/>
  <c r="C5934" i="1"/>
  <c r="B5934" i="1"/>
  <c r="G5933" i="1"/>
  <c r="C5933" i="1"/>
  <c r="B5933" i="1"/>
  <c r="G5932" i="1"/>
  <c r="C5932" i="1"/>
  <c r="B5932" i="1"/>
  <c r="G5931" i="1"/>
  <c r="B5931" i="1"/>
  <c r="G5930" i="1"/>
  <c r="C5930" i="1"/>
  <c r="B5930" i="1"/>
  <c r="G5929" i="1"/>
  <c r="B5929" i="1"/>
  <c r="G5928" i="1"/>
  <c r="C5928" i="1"/>
  <c r="B5928" i="1"/>
  <c r="G5927" i="1"/>
  <c r="B5927" i="1"/>
  <c r="G5926" i="1"/>
  <c r="C5926" i="1"/>
  <c r="B5926" i="1"/>
  <c r="G5925" i="1"/>
  <c r="B5925" i="1"/>
  <c r="G5924" i="1"/>
  <c r="C5924" i="1"/>
  <c r="B5924" i="1"/>
  <c r="G5923" i="1"/>
  <c r="C5923" i="1"/>
  <c r="B5923" i="1"/>
  <c r="G5922" i="1"/>
  <c r="B5922" i="1"/>
  <c r="G5921" i="1"/>
  <c r="C5921" i="1"/>
  <c r="B5921" i="1"/>
  <c r="G5920" i="1"/>
  <c r="C5920" i="1"/>
  <c r="B5920" i="1"/>
  <c r="G5919" i="1"/>
  <c r="C5919" i="1"/>
  <c r="B5919" i="1"/>
  <c r="G5918" i="1"/>
  <c r="C5918" i="1"/>
  <c r="B5918" i="1"/>
  <c r="G5917" i="1"/>
  <c r="B5917" i="1"/>
  <c r="G5916" i="1"/>
  <c r="C5916" i="1"/>
  <c r="B5916" i="1"/>
  <c r="G5915" i="1"/>
  <c r="C5915" i="1"/>
  <c r="B5915" i="1"/>
  <c r="G5914" i="1"/>
  <c r="B5914" i="1"/>
  <c r="G5913" i="1"/>
  <c r="B5913" i="1"/>
  <c r="G5912" i="1"/>
  <c r="B5912" i="1"/>
  <c r="G5911" i="1"/>
  <c r="B5911" i="1"/>
  <c r="G5910" i="1"/>
  <c r="B5910" i="1"/>
  <c r="G5909" i="1"/>
  <c r="C5909" i="1"/>
  <c r="B5909" i="1"/>
  <c r="G5908" i="1"/>
  <c r="C5908" i="1"/>
  <c r="B5908" i="1"/>
  <c r="G5907" i="1"/>
  <c r="C5907" i="1"/>
  <c r="B5907" i="1"/>
  <c r="G5906" i="1"/>
  <c r="B5906" i="1"/>
  <c r="G5905" i="1"/>
  <c r="B5905" i="1"/>
  <c r="G5904" i="1"/>
  <c r="C5904" i="1"/>
  <c r="B5904" i="1"/>
  <c r="G5903" i="1"/>
  <c r="C5903" i="1"/>
  <c r="B5903" i="1"/>
  <c r="G5902" i="1"/>
  <c r="B5902" i="1"/>
  <c r="G5901" i="1"/>
  <c r="B5901" i="1"/>
  <c r="G5900" i="1"/>
  <c r="C5900" i="1"/>
  <c r="B5900" i="1"/>
  <c r="G5899" i="1"/>
  <c r="B5899" i="1"/>
  <c r="G5898" i="1"/>
  <c r="B5898" i="1"/>
  <c r="G5897" i="1"/>
  <c r="B5897" i="1"/>
  <c r="G5896" i="1"/>
  <c r="B5896" i="1"/>
  <c r="G5895" i="1"/>
  <c r="C5895" i="1"/>
  <c r="B5895" i="1"/>
  <c r="G5894" i="1"/>
  <c r="C5894" i="1"/>
  <c r="B5894" i="1"/>
  <c r="G5893" i="1"/>
  <c r="B5893" i="1"/>
  <c r="G5892" i="1"/>
  <c r="C5892" i="1"/>
  <c r="B5892" i="1"/>
  <c r="G5891" i="1"/>
  <c r="C5891" i="1"/>
  <c r="B5891" i="1"/>
  <c r="G5890" i="1"/>
  <c r="C5890" i="1"/>
  <c r="B5890" i="1"/>
  <c r="G5889" i="1"/>
  <c r="B5889" i="1"/>
  <c r="G5888" i="1"/>
  <c r="B5888" i="1"/>
  <c r="G5887" i="1"/>
  <c r="C5887" i="1"/>
  <c r="B5887" i="1"/>
  <c r="G5886" i="1"/>
  <c r="C5886" i="1"/>
  <c r="B5886" i="1"/>
  <c r="G5885" i="1"/>
  <c r="B5885" i="1"/>
  <c r="G5884" i="1"/>
  <c r="B5884" i="1"/>
  <c r="G5883" i="1"/>
  <c r="B5883" i="1"/>
  <c r="G5882" i="1"/>
  <c r="C5882" i="1"/>
  <c r="B5882" i="1"/>
  <c r="G5881" i="1"/>
  <c r="C5881" i="1"/>
  <c r="B5881" i="1"/>
  <c r="G5880" i="1"/>
  <c r="C5880" i="1"/>
  <c r="B5880" i="1"/>
  <c r="G5879" i="1"/>
  <c r="C5879" i="1"/>
  <c r="B5879" i="1"/>
  <c r="G5878" i="1"/>
  <c r="C5878" i="1"/>
  <c r="B5878" i="1"/>
  <c r="G5877" i="1"/>
  <c r="C5877" i="1"/>
  <c r="B5877" i="1"/>
  <c r="G5876" i="1"/>
  <c r="C5876" i="1"/>
  <c r="B5876" i="1"/>
  <c r="G5875" i="1"/>
  <c r="B5875" i="1"/>
  <c r="G5874" i="1"/>
  <c r="C5874" i="1"/>
  <c r="B5874" i="1"/>
  <c r="G5873" i="1"/>
  <c r="C5873" i="1"/>
  <c r="B5873" i="1"/>
  <c r="G5872" i="1"/>
  <c r="C5872" i="1"/>
  <c r="B5872" i="1"/>
  <c r="G5871" i="1"/>
  <c r="C5871" i="1"/>
  <c r="B5871" i="1"/>
  <c r="G5870" i="1"/>
  <c r="C5870" i="1"/>
  <c r="B5870" i="1"/>
  <c r="G5869" i="1"/>
  <c r="C5869" i="1"/>
  <c r="B5869" i="1"/>
  <c r="G5868" i="1"/>
  <c r="C5868" i="1"/>
  <c r="B5868" i="1"/>
  <c r="G5867" i="1"/>
  <c r="C5867" i="1"/>
  <c r="B5867" i="1"/>
  <c r="G5866" i="1"/>
  <c r="C5866" i="1"/>
  <c r="B5866" i="1"/>
  <c r="G5865" i="1"/>
  <c r="C5865" i="1"/>
  <c r="B5865" i="1"/>
  <c r="G5864" i="1"/>
  <c r="C5864" i="1"/>
  <c r="B5864" i="1"/>
  <c r="G5863" i="1"/>
  <c r="C5863" i="1"/>
  <c r="B5863" i="1"/>
  <c r="G5862" i="1"/>
  <c r="C5862" i="1"/>
  <c r="B5862" i="1"/>
  <c r="G5861" i="1"/>
  <c r="C5861" i="1"/>
  <c r="B5861" i="1"/>
  <c r="G5860" i="1"/>
  <c r="B5860" i="1"/>
  <c r="G5859" i="1"/>
  <c r="C5859" i="1"/>
  <c r="B5859" i="1"/>
  <c r="G5858" i="1"/>
  <c r="C5858" i="1"/>
  <c r="B5858" i="1"/>
  <c r="G5857" i="1"/>
  <c r="B5857" i="1"/>
  <c r="G5856" i="1"/>
  <c r="C5856" i="1"/>
  <c r="B5856" i="1"/>
  <c r="G5855" i="1"/>
  <c r="C5855" i="1"/>
  <c r="B5855" i="1"/>
  <c r="G5854" i="1"/>
  <c r="B5854" i="1"/>
  <c r="G5853" i="1"/>
  <c r="B5853" i="1"/>
  <c r="G5852" i="1"/>
  <c r="B5852" i="1"/>
  <c r="G5851" i="1"/>
  <c r="C5851" i="1"/>
  <c r="B5851" i="1"/>
  <c r="G5850" i="1"/>
  <c r="B5850" i="1"/>
  <c r="G5849" i="1"/>
  <c r="C5849" i="1"/>
  <c r="B5849" i="1"/>
  <c r="G5848" i="1"/>
  <c r="B5848" i="1"/>
  <c r="G5847" i="1"/>
  <c r="C5847" i="1"/>
  <c r="B5847" i="1"/>
  <c r="G5846" i="1"/>
  <c r="C5846" i="1"/>
  <c r="B5846" i="1"/>
  <c r="G5845" i="1"/>
  <c r="B5845" i="1"/>
  <c r="G5844" i="1"/>
  <c r="C5844" i="1"/>
  <c r="B5844" i="1"/>
  <c r="G5843" i="1"/>
  <c r="B5843" i="1"/>
  <c r="G5842" i="1"/>
  <c r="C5842" i="1"/>
  <c r="B5842" i="1"/>
  <c r="G5841" i="1"/>
  <c r="C5841" i="1"/>
  <c r="B5841" i="1"/>
  <c r="G5840" i="1"/>
  <c r="C5840" i="1"/>
  <c r="B5840" i="1"/>
  <c r="G5839" i="1"/>
  <c r="B5839" i="1"/>
  <c r="G5838" i="1"/>
  <c r="C5838" i="1"/>
  <c r="B5838" i="1"/>
  <c r="G5837" i="1"/>
  <c r="C5837" i="1"/>
  <c r="B5837" i="1"/>
  <c r="G5836" i="1"/>
  <c r="C5836" i="1"/>
  <c r="B5836" i="1"/>
  <c r="G5835" i="1"/>
  <c r="B5835" i="1"/>
  <c r="G5834" i="1"/>
  <c r="C5834" i="1"/>
  <c r="B5834" i="1"/>
  <c r="G5833" i="1"/>
  <c r="C5833" i="1"/>
  <c r="B5833" i="1"/>
  <c r="G5832" i="1"/>
  <c r="C5832" i="1"/>
  <c r="B5832" i="1"/>
  <c r="G5831" i="1"/>
  <c r="C5831" i="1"/>
  <c r="B5831" i="1"/>
  <c r="G5830" i="1"/>
  <c r="B5830" i="1"/>
  <c r="G5829" i="1"/>
  <c r="B5829" i="1"/>
  <c r="G5828" i="1"/>
  <c r="C5828" i="1"/>
  <c r="B5828" i="1"/>
  <c r="G5827" i="1"/>
  <c r="C5827" i="1"/>
  <c r="B5827" i="1"/>
  <c r="G5826" i="1"/>
  <c r="C5826" i="1"/>
  <c r="B5826" i="1"/>
  <c r="G5825" i="1"/>
  <c r="C5825" i="1"/>
  <c r="B5825" i="1"/>
  <c r="G5824" i="1"/>
  <c r="C5824" i="1"/>
  <c r="B5824" i="1"/>
  <c r="G5823" i="1"/>
  <c r="C5823" i="1"/>
  <c r="B5823" i="1"/>
  <c r="G5822" i="1"/>
  <c r="C5822" i="1"/>
  <c r="B5822" i="1"/>
  <c r="G5821" i="1"/>
  <c r="C5821" i="1"/>
  <c r="B5821" i="1"/>
  <c r="G5820" i="1"/>
  <c r="C5820" i="1"/>
  <c r="B5820" i="1"/>
  <c r="G5819" i="1"/>
  <c r="B5819" i="1"/>
  <c r="G5818" i="1"/>
  <c r="C5818" i="1"/>
  <c r="B5818" i="1"/>
  <c r="G5817" i="1"/>
  <c r="C5817" i="1"/>
  <c r="B5817" i="1"/>
  <c r="G5816" i="1"/>
  <c r="C5816" i="1"/>
  <c r="B5816" i="1"/>
  <c r="G5815" i="1"/>
  <c r="C5815" i="1"/>
  <c r="B5815" i="1"/>
  <c r="G5814" i="1"/>
  <c r="B5814" i="1"/>
  <c r="G5813" i="1"/>
  <c r="B5813" i="1"/>
  <c r="G5812" i="1"/>
  <c r="C5812" i="1"/>
  <c r="B5812" i="1"/>
  <c r="G5811" i="1"/>
  <c r="B5811" i="1"/>
  <c r="G5810" i="1"/>
  <c r="C5810" i="1"/>
  <c r="B5810" i="1"/>
  <c r="G5809" i="1"/>
  <c r="C5809" i="1"/>
  <c r="B5809" i="1"/>
  <c r="G5808" i="1"/>
  <c r="C5808" i="1"/>
  <c r="B5808" i="1"/>
  <c r="G5807" i="1"/>
  <c r="C5807" i="1"/>
  <c r="B5807" i="1"/>
  <c r="G5806" i="1"/>
  <c r="C5806" i="1"/>
  <c r="B5806" i="1"/>
  <c r="G5805" i="1"/>
  <c r="C5805" i="1"/>
  <c r="B5805" i="1"/>
  <c r="G5804" i="1"/>
  <c r="C5804" i="1"/>
  <c r="B5804" i="1"/>
  <c r="G5803" i="1"/>
  <c r="B5803" i="1"/>
  <c r="G5802" i="1"/>
  <c r="C5802" i="1"/>
  <c r="B5802" i="1"/>
  <c r="G5801" i="1"/>
  <c r="C5801" i="1"/>
  <c r="B5801" i="1"/>
  <c r="G5800" i="1"/>
  <c r="C5800" i="1"/>
  <c r="B5800" i="1"/>
  <c r="G5799" i="1"/>
  <c r="B5799" i="1"/>
  <c r="G5798" i="1"/>
  <c r="C5798" i="1"/>
  <c r="B5798" i="1"/>
  <c r="G5797" i="1"/>
  <c r="C5797" i="1"/>
  <c r="B5797" i="1"/>
  <c r="G5796" i="1"/>
  <c r="C5796" i="1"/>
  <c r="B5796" i="1"/>
  <c r="G5795" i="1"/>
  <c r="C5795" i="1"/>
  <c r="B5795" i="1"/>
  <c r="G5794" i="1"/>
  <c r="C5794" i="1"/>
  <c r="B5794" i="1"/>
  <c r="G5793" i="1"/>
  <c r="C5793" i="1"/>
  <c r="B5793" i="1"/>
  <c r="G5792" i="1"/>
  <c r="C5792" i="1"/>
  <c r="B5792" i="1"/>
  <c r="G5791" i="1"/>
  <c r="C5791" i="1"/>
  <c r="B5791" i="1"/>
  <c r="G5790" i="1"/>
  <c r="C5790" i="1"/>
  <c r="B5790" i="1"/>
  <c r="G5789" i="1"/>
  <c r="C5789" i="1"/>
  <c r="B5789" i="1"/>
  <c r="G5788" i="1"/>
  <c r="B5788" i="1"/>
  <c r="G5787" i="1"/>
  <c r="C5787" i="1"/>
  <c r="B5787" i="1"/>
  <c r="G5786" i="1"/>
  <c r="C5786" i="1"/>
  <c r="B5786" i="1"/>
  <c r="G5785" i="1"/>
  <c r="C5785" i="1"/>
  <c r="B5785" i="1"/>
  <c r="G5784" i="1"/>
  <c r="C5784" i="1"/>
  <c r="B5784" i="1"/>
  <c r="G5783" i="1"/>
  <c r="C5783" i="1"/>
  <c r="B5783" i="1"/>
  <c r="G5782" i="1"/>
  <c r="C5782" i="1"/>
  <c r="B5782" i="1"/>
  <c r="G5781" i="1"/>
  <c r="C5781" i="1"/>
  <c r="B5781" i="1"/>
  <c r="G5780" i="1"/>
  <c r="C5780" i="1"/>
  <c r="B5780" i="1"/>
  <c r="G5779" i="1"/>
  <c r="B5779" i="1"/>
  <c r="G5778" i="1"/>
  <c r="C5778" i="1"/>
  <c r="B5778" i="1"/>
  <c r="G5777" i="1"/>
  <c r="C5777" i="1"/>
  <c r="B5777" i="1"/>
  <c r="G5776" i="1"/>
  <c r="C5776" i="1"/>
  <c r="B5776" i="1"/>
  <c r="G5775" i="1"/>
  <c r="C5775" i="1"/>
  <c r="B5775" i="1"/>
  <c r="G5774" i="1"/>
  <c r="B5774" i="1"/>
  <c r="G5773" i="1"/>
  <c r="B5773" i="1"/>
  <c r="G5772" i="1"/>
  <c r="C5772" i="1"/>
  <c r="B5772" i="1"/>
  <c r="G5771" i="1"/>
  <c r="C5771" i="1"/>
  <c r="B5771" i="1"/>
  <c r="G5770" i="1"/>
  <c r="B5770" i="1"/>
  <c r="G5769" i="1"/>
  <c r="C5769" i="1"/>
  <c r="B5769" i="1"/>
  <c r="G5768" i="1"/>
  <c r="B5768" i="1"/>
  <c r="G5767" i="1"/>
  <c r="B5767" i="1"/>
  <c r="G5766" i="1"/>
  <c r="B5766" i="1"/>
  <c r="G5765" i="1"/>
  <c r="B5765" i="1"/>
  <c r="G5764" i="1"/>
  <c r="B5764" i="1"/>
  <c r="G5763" i="1"/>
  <c r="C5763" i="1"/>
  <c r="B5763" i="1"/>
  <c r="G5762" i="1"/>
  <c r="B5762" i="1"/>
  <c r="G5761" i="1"/>
  <c r="B5761" i="1"/>
  <c r="G5760" i="1"/>
  <c r="C5760" i="1"/>
  <c r="B5760" i="1"/>
  <c r="G5759" i="1"/>
  <c r="B5759" i="1"/>
  <c r="G5758" i="1"/>
  <c r="C5758" i="1"/>
  <c r="B5758" i="1"/>
  <c r="G5757" i="1"/>
  <c r="C5757" i="1"/>
  <c r="B5757" i="1"/>
  <c r="G5756" i="1"/>
  <c r="C5756" i="1"/>
  <c r="B5756" i="1"/>
  <c r="G5755" i="1"/>
  <c r="C5755" i="1"/>
  <c r="B5755" i="1"/>
  <c r="G5754" i="1"/>
  <c r="C5754" i="1"/>
  <c r="B5754" i="1"/>
  <c r="G5753" i="1"/>
  <c r="C5753" i="1"/>
  <c r="B5753" i="1"/>
  <c r="G5752" i="1"/>
  <c r="C5752" i="1"/>
  <c r="B5752" i="1"/>
  <c r="G5751" i="1"/>
  <c r="B5751" i="1"/>
  <c r="G5750" i="1"/>
  <c r="C5750" i="1"/>
  <c r="B5750" i="1"/>
  <c r="G5749" i="1"/>
  <c r="C5749" i="1"/>
  <c r="B5749" i="1"/>
  <c r="G5748" i="1"/>
  <c r="C5748" i="1"/>
  <c r="B5748" i="1"/>
  <c r="G5747" i="1"/>
  <c r="B5747" i="1"/>
  <c r="G5746" i="1"/>
  <c r="C5746" i="1"/>
  <c r="B5746" i="1"/>
  <c r="G5745" i="1"/>
  <c r="C5745" i="1"/>
  <c r="B5745" i="1"/>
  <c r="G5744" i="1"/>
  <c r="C5744" i="1"/>
  <c r="B5744" i="1"/>
  <c r="G5743" i="1"/>
  <c r="C5743" i="1"/>
  <c r="B5743" i="1"/>
  <c r="G5742" i="1"/>
  <c r="C5742" i="1"/>
  <c r="B5742" i="1"/>
  <c r="G5741" i="1"/>
  <c r="B5741" i="1"/>
  <c r="G5740" i="1"/>
  <c r="C5740" i="1"/>
  <c r="B5740" i="1"/>
  <c r="G5739" i="1"/>
  <c r="C5739" i="1"/>
  <c r="B5739" i="1"/>
  <c r="G5738" i="1"/>
  <c r="B5738" i="1"/>
  <c r="G5737" i="1"/>
  <c r="C5737" i="1"/>
  <c r="B5737" i="1"/>
  <c r="G5736" i="1"/>
  <c r="C5736" i="1"/>
  <c r="B5736" i="1"/>
  <c r="G5735" i="1"/>
  <c r="C5735" i="1"/>
  <c r="B5735" i="1"/>
  <c r="G5734" i="1"/>
  <c r="C5734" i="1"/>
  <c r="B5734" i="1"/>
  <c r="G5733" i="1"/>
  <c r="C5733" i="1"/>
  <c r="B5733" i="1"/>
  <c r="G5732" i="1"/>
  <c r="C5732" i="1"/>
  <c r="B5732" i="1"/>
  <c r="G5731" i="1"/>
  <c r="C5731" i="1"/>
  <c r="B5731" i="1"/>
  <c r="G5730" i="1"/>
  <c r="B5730" i="1"/>
  <c r="G5729" i="1"/>
  <c r="C5729" i="1"/>
  <c r="B5729" i="1"/>
  <c r="G5728" i="1"/>
  <c r="B5728" i="1"/>
  <c r="G5727" i="1"/>
  <c r="C5727" i="1"/>
  <c r="B5727" i="1"/>
  <c r="G5726" i="1"/>
  <c r="C5726" i="1"/>
  <c r="B5726" i="1"/>
  <c r="G5725" i="1"/>
  <c r="C5725" i="1"/>
  <c r="B5725" i="1"/>
  <c r="G5724" i="1"/>
  <c r="C5724" i="1"/>
  <c r="B5724" i="1"/>
  <c r="G5723" i="1"/>
  <c r="C5723" i="1"/>
  <c r="B5723" i="1"/>
  <c r="G5722" i="1"/>
  <c r="C5722" i="1"/>
  <c r="B5722" i="1"/>
  <c r="G5721" i="1"/>
  <c r="B5721" i="1"/>
  <c r="G5720" i="1"/>
  <c r="B5720" i="1"/>
  <c r="G5719" i="1"/>
  <c r="C5719" i="1"/>
  <c r="B5719" i="1"/>
  <c r="G5718" i="1"/>
  <c r="C5718" i="1"/>
  <c r="B5718" i="1"/>
  <c r="G5717" i="1"/>
  <c r="B5717" i="1"/>
  <c r="G5716" i="1"/>
  <c r="B5716" i="1"/>
  <c r="G5715" i="1"/>
  <c r="C5715" i="1"/>
  <c r="B5715" i="1"/>
  <c r="G5714" i="1"/>
  <c r="C5714" i="1"/>
  <c r="B5714" i="1"/>
  <c r="G5713" i="1"/>
  <c r="C5713" i="1"/>
  <c r="B5713" i="1"/>
  <c r="G5712" i="1"/>
  <c r="B5712" i="1"/>
  <c r="G5711" i="1"/>
  <c r="C5711" i="1"/>
  <c r="B5711" i="1"/>
  <c r="G5710" i="1"/>
  <c r="C5710" i="1"/>
  <c r="B5710" i="1"/>
  <c r="G5709" i="1"/>
  <c r="C5709" i="1"/>
  <c r="B5709" i="1"/>
  <c r="G5708" i="1"/>
  <c r="C5708" i="1"/>
  <c r="B5708" i="1"/>
  <c r="G5707" i="1"/>
  <c r="C5707" i="1"/>
  <c r="B5707" i="1"/>
  <c r="G5706" i="1"/>
  <c r="C5706" i="1"/>
  <c r="B5706" i="1"/>
  <c r="G5705" i="1"/>
  <c r="C5705" i="1"/>
  <c r="B5705" i="1"/>
  <c r="G5704" i="1"/>
  <c r="B5704" i="1"/>
  <c r="G5703" i="1"/>
  <c r="C5703" i="1"/>
  <c r="B5703" i="1"/>
  <c r="G5702" i="1"/>
  <c r="C5702" i="1"/>
  <c r="B5702" i="1"/>
  <c r="G5701" i="1"/>
  <c r="C5701" i="1"/>
  <c r="B5701" i="1"/>
  <c r="G5700" i="1"/>
  <c r="C5700" i="1"/>
  <c r="B5700" i="1"/>
  <c r="G5699" i="1"/>
  <c r="B5699" i="1"/>
  <c r="G5698" i="1"/>
  <c r="C5698" i="1"/>
  <c r="B5698" i="1"/>
  <c r="G5697" i="1"/>
  <c r="B5697" i="1"/>
  <c r="G5696" i="1"/>
  <c r="C5696" i="1"/>
  <c r="B5696" i="1"/>
  <c r="G5695" i="1"/>
  <c r="C5695" i="1"/>
  <c r="B5695" i="1"/>
  <c r="G5694" i="1"/>
  <c r="C5694" i="1"/>
  <c r="B5694" i="1"/>
  <c r="G5693" i="1"/>
  <c r="C5693" i="1"/>
  <c r="B5693" i="1"/>
  <c r="G5692" i="1"/>
  <c r="C5692" i="1"/>
  <c r="B5692" i="1"/>
  <c r="G5691" i="1"/>
  <c r="C5691" i="1"/>
  <c r="B5691" i="1"/>
  <c r="G5690" i="1"/>
  <c r="C5690" i="1"/>
  <c r="B5690" i="1"/>
  <c r="G5689" i="1"/>
  <c r="C5689" i="1"/>
  <c r="B5689" i="1"/>
  <c r="G5688" i="1"/>
  <c r="C5688" i="1"/>
  <c r="B5688" i="1"/>
  <c r="G5687" i="1"/>
  <c r="C5687" i="1"/>
  <c r="B5687" i="1"/>
  <c r="G5686" i="1"/>
  <c r="C5686" i="1"/>
  <c r="B5686" i="1"/>
  <c r="G5685" i="1"/>
  <c r="B5685" i="1"/>
  <c r="G5684" i="1"/>
  <c r="C5684" i="1"/>
  <c r="B5684" i="1"/>
  <c r="G5683" i="1"/>
  <c r="C5683" i="1"/>
  <c r="B5683" i="1"/>
  <c r="G5682" i="1"/>
  <c r="C5682" i="1"/>
  <c r="B5682" i="1"/>
  <c r="G5681" i="1"/>
  <c r="C5681" i="1"/>
  <c r="B5681" i="1"/>
  <c r="G5680" i="1"/>
  <c r="C5680" i="1"/>
  <c r="B5680" i="1"/>
  <c r="G5679" i="1"/>
  <c r="B5679" i="1"/>
  <c r="G5678" i="1"/>
  <c r="C5678" i="1"/>
  <c r="B5678" i="1"/>
  <c r="G5677" i="1"/>
  <c r="C5677" i="1"/>
  <c r="B5677" i="1"/>
  <c r="G5676" i="1"/>
  <c r="B5676" i="1"/>
  <c r="G5675" i="1"/>
  <c r="B5675" i="1"/>
  <c r="G5674" i="1"/>
  <c r="B5674" i="1"/>
  <c r="G5673" i="1"/>
  <c r="C5673" i="1"/>
  <c r="B5673" i="1"/>
  <c r="G5672" i="1"/>
  <c r="B5672" i="1"/>
  <c r="G5671" i="1"/>
  <c r="C5671" i="1"/>
  <c r="B5671" i="1"/>
  <c r="G5670" i="1"/>
  <c r="C5670" i="1"/>
  <c r="B5670" i="1"/>
  <c r="G5669" i="1"/>
  <c r="C5669" i="1"/>
  <c r="B5669" i="1"/>
  <c r="G5668" i="1"/>
  <c r="C5668" i="1"/>
  <c r="B5668" i="1"/>
  <c r="G5667" i="1"/>
  <c r="C5667" i="1"/>
  <c r="B5667" i="1"/>
  <c r="G5666" i="1"/>
  <c r="C5666" i="1"/>
  <c r="B5666" i="1"/>
  <c r="G5665" i="1"/>
  <c r="C5665" i="1"/>
  <c r="B5665" i="1"/>
  <c r="G5664" i="1"/>
  <c r="B5664" i="1"/>
  <c r="G5663" i="1"/>
  <c r="C5663" i="1"/>
  <c r="B5663" i="1"/>
  <c r="G5662" i="1"/>
  <c r="B5662" i="1"/>
  <c r="G5661" i="1"/>
  <c r="B5661" i="1"/>
  <c r="G5660" i="1"/>
  <c r="C5660" i="1"/>
  <c r="B5660" i="1"/>
  <c r="G5659" i="1"/>
  <c r="C5659" i="1"/>
  <c r="B5659" i="1"/>
  <c r="G5658" i="1"/>
  <c r="C5658" i="1"/>
  <c r="B5658" i="1"/>
  <c r="G5657" i="1"/>
  <c r="C5657" i="1"/>
  <c r="B5657" i="1"/>
  <c r="G5656" i="1"/>
  <c r="C5656" i="1"/>
  <c r="B5656" i="1"/>
  <c r="G5655" i="1"/>
  <c r="C5655" i="1"/>
  <c r="B5655" i="1"/>
  <c r="G5654" i="1"/>
  <c r="C5654" i="1"/>
  <c r="B5654" i="1"/>
  <c r="G5653" i="1"/>
  <c r="C5653" i="1"/>
  <c r="B5653" i="1"/>
  <c r="G5652" i="1"/>
  <c r="C5652" i="1"/>
  <c r="B5652" i="1"/>
  <c r="G5651" i="1"/>
  <c r="C5651" i="1"/>
  <c r="B5651" i="1"/>
  <c r="G5650" i="1"/>
  <c r="C5650" i="1"/>
  <c r="B5650" i="1"/>
  <c r="G5649" i="1"/>
  <c r="C5649" i="1"/>
  <c r="B5649" i="1"/>
  <c r="G5648" i="1"/>
  <c r="C5648" i="1"/>
  <c r="B5648" i="1"/>
  <c r="G5647" i="1"/>
  <c r="C5647" i="1"/>
  <c r="B5647" i="1"/>
  <c r="G5646" i="1"/>
  <c r="C5646" i="1"/>
  <c r="B5646" i="1"/>
  <c r="G5645" i="1"/>
  <c r="B5645" i="1"/>
  <c r="G5644" i="1"/>
  <c r="C5644" i="1"/>
  <c r="B5644" i="1"/>
  <c r="G5643" i="1"/>
  <c r="C5643" i="1"/>
  <c r="B5643" i="1"/>
  <c r="G5642" i="1"/>
  <c r="B5642" i="1"/>
  <c r="G5641" i="1"/>
  <c r="C5641" i="1"/>
  <c r="B5641" i="1"/>
  <c r="G5640" i="1"/>
  <c r="C5640" i="1"/>
  <c r="B5640" i="1"/>
  <c r="G5639" i="1"/>
  <c r="C5639" i="1"/>
  <c r="B5639" i="1"/>
  <c r="G5638" i="1"/>
  <c r="C5638" i="1"/>
  <c r="B5638" i="1"/>
  <c r="G5637" i="1"/>
  <c r="C5637" i="1"/>
  <c r="B5637" i="1"/>
  <c r="G5636" i="1"/>
  <c r="C5636" i="1"/>
  <c r="B5636" i="1"/>
  <c r="G5635" i="1"/>
  <c r="C5635" i="1"/>
  <c r="B5635" i="1"/>
  <c r="G5634" i="1"/>
  <c r="C5634" i="1"/>
  <c r="B5634" i="1"/>
  <c r="G5633" i="1"/>
  <c r="C5633" i="1"/>
  <c r="B5633" i="1"/>
  <c r="G5632" i="1"/>
  <c r="C5632" i="1"/>
  <c r="B5632" i="1"/>
  <c r="G5631" i="1"/>
  <c r="C5631" i="1"/>
  <c r="B5631" i="1"/>
  <c r="G5630" i="1"/>
  <c r="C5630" i="1"/>
  <c r="B5630" i="1"/>
  <c r="G5629" i="1"/>
  <c r="B5629" i="1"/>
  <c r="G5628" i="1"/>
  <c r="C5628" i="1"/>
  <c r="B5628" i="1"/>
  <c r="G5627" i="1"/>
  <c r="C5627" i="1"/>
  <c r="B5627" i="1"/>
  <c r="G5626" i="1"/>
  <c r="C5626" i="1"/>
  <c r="B5626" i="1"/>
  <c r="G5625" i="1"/>
  <c r="C5625" i="1"/>
  <c r="B5625" i="1"/>
  <c r="G5624" i="1"/>
  <c r="C5624" i="1"/>
  <c r="B5624" i="1"/>
  <c r="G5623" i="1"/>
  <c r="C5623" i="1"/>
  <c r="B5623" i="1"/>
  <c r="G5622" i="1"/>
  <c r="C5622" i="1"/>
  <c r="B5622" i="1"/>
  <c r="G5621" i="1"/>
  <c r="C5621" i="1"/>
  <c r="B5621" i="1"/>
  <c r="G5620" i="1"/>
  <c r="C5620" i="1"/>
  <c r="B5620" i="1"/>
  <c r="G5619" i="1"/>
  <c r="C5619" i="1"/>
  <c r="B5619" i="1"/>
  <c r="G5618" i="1"/>
  <c r="C5618" i="1"/>
  <c r="B5618" i="1"/>
  <c r="G5617" i="1"/>
  <c r="B5617" i="1"/>
  <c r="G5616" i="1"/>
  <c r="C5616" i="1"/>
  <c r="B5616" i="1"/>
  <c r="G5615" i="1"/>
  <c r="B5615" i="1"/>
  <c r="G5614" i="1"/>
  <c r="B5614" i="1"/>
  <c r="G5613" i="1"/>
  <c r="C5613" i="1"/>
  <c r="B5613" i="1"/>
  <c r="G5612" i="1"/>
  <c r="C5612" i="1"/>
  <c r="B5612" i="1"/>
  <c r="G5611" i="1"/>
  <c r="C5611" i="1"/>
  <c r="B5611" i="1"/>
  <c r="G5610" i="1"/>
  <c r="C5610" i="1"/>
  <c r="B5610" i="1"/>
  <c r="G5609" i="1"/>
  <c r="C5609" i="1"/>
  <c r="B5609" i="1"/>
  <c r="G5608" i="1"/>
  <c r="C5608" i="1"/>
  <c r="B5608" i="1"/>
  <c r="G5607" i="1"/>
  <c r="B5607" i="1"/>
  <c r="G5606" i="1"/>
  <c r="C5606" i="1"/>
  <c r="B5606" i="1"/>
  <c r="G5605" i="1"/>
  <c r="B5605" i="1"/>
  <c r="G5604" i="1"/>
  <c r="C5604" i="1"/>
  <c r="B5604" i="1"/>
  <c r="G5603" i="1"/>
  <c r="C5603" i="1"/>
  <c r="B5603" i="1"/>
  <c r="G5602" i="1"/>
  <c r="C5602" i="1"/>
  <c r="B5602" i="1"/>
  <c r="G5601" i="1"/>
  <c r="B5601" i="1"/>
  <c r="G5600" i="1"/>
  <c r="C5600" i="1"/>
  <c r="B5600" i="1"/>
  <c r="G5599" i="1"/>
  <c r="C5599" i="1"/>
  <c r="B5599" i="1"/>
  <c r="G5598" i="1"/>
  <c r="C5598" i="1"/>
  <c r="B5598" i="1"/>
  <c r="G5597" i="1"/>
  <c r="C5597" i="1"/>
  <c r="B5597" i="1"/>
  <c r="G5596" i="1"/>
  <c r="C5596" i="1"/>
  <c r="B5596" i="1"/>
  <c r="G5595" i="1"/>
  <c r="C5595" i="1"/>
  <c r="B5595" i="1"/>
  <c r="G5594" i="1"/>
  <c r="C5594" i="1"/>
  <c r="B5594" i="1"/>
  <c r="G5593" i="1"/>
  <c r="C5593" i="1"/>
  <c r="B5593" i="1"/>
  <c r="G5592" i="1"/>
  <c r="C5592" i="1"/>
  <c r="B5592" i="1"/>
  <c r="G5591" i="1"/>
  <c r="C5591" i="1"/>
  <c r="B5591" i="1"/>
  <c r="G5590" i="1"/>
  <c r="C5590" i="1"/>
  <c r="B5590" i="1"/>
  <c r="G5589" i="1"/>
  <c r="C5589" i="1"/>
  <c r="B5589" i="1"/>
  <c r="G5588" i="1"/>
  <c r="C5588" i="1"/>
  <c r="B5588" i="1"/>
  <c r="G5587" i="1"/>
  <c r="B5587" i="1"/>
  <c r="G5586" i="1"/>
  <c r="C5586" i="1"/>
  <c r="B5586" i="1"/>
  <c r="G5585" i="1"/>
  <c r="C5585" i="1"/>
  <c r="B5585" i="1"/>
  <c r="G5584" i="1"/>
  <c r="C5584" i="1"/>
  <c r="B5584" i="1"/>
  <c r="G5583" i="1"/>
  <c r="C5583" i="1"/>
  <c r="B5583" i="1"/>
  <c r="G5582" i="1"/>
  <c r="C5582" i="1"/>
  <c r="B5582" i="1"/>
  <c r="G5581" i="1"/>
  <c r="C5581" i="1"/>
  <c r="B5581" i="1"/>
  <c r="G5580" i="1"/>
  <c r="C5580" i="1"/>
  <c r="B5580" i="1"/>
  <c r="G5579" i="1"/>
  <c r="C5579" i="1"/>
  <c r="B5579" i="1"/>
  <c r="G5578" i="1"/>
  <c r="C5578" i="1"/>
  <c r="B5578" i="1"/>
  <c r="G5577" i="1"/>
  <c r="C5577" i="1"/>
  <c r="B5577" i="1"/>
  <c r="G5576" i="1"/>
  <c r="C5576" i="1"/>
  <c r="B5576" i="1"/>
  <c r="G5575" i="1"/>
  <c r="B5575" i="1"/>
  <c r="G5574" i="1"/>
  <c r="C5574" i="1"/>
  <c r="B5574" i="1"/>
  <c r="G5573" i="1"/>
  <c r="B5573" i="1"/>
  <c r="G5572" i="1"/>
  <c r="C5572" i="1"/>
  <c r="B5572" i="1"/>
  <c r="G5571" i="1"/>
  <c r="C5571" i="1"/>
  <c r="B5571" i="1"/>
  <c r="G5570" i="1"/>
  <c r="C5570" i="1"/>
  <c r="B5570" i="1"/>
  <c r="G5569" i="1"/>
  <c r="C5569" i="1"/>
  <c r="B5569" i="1"/>
  <c r="G5568" i="1"/>
  <c r="C5568" i="1"/>
  <c r="B5568" i="1"/>
  <c r="G5567" i="1"/>
  <c r="C5567" i="1"/>
  <c r="B5567" i="1"/>
  <c r="G5566" i="1"/>
  <c r="C5566" i="1"/>
  <c r="B5566" i="1"/>
  <c r="G5565" i="1"/>
  <c r="C5565" i="1"/>
  <c r="B5565" i="1"/>
  <c r="G5564" i="1"/>
  <c r="C5564" i="1"/>
  <c r="B5564" i="1"/>
  <c r="G5563" i="1"/>
  <c r="C5563" i="1"/>
  <c r="B5563" i="1"/>
  <c r="G5562" i="1"/>
  <c r="C5562" i="1"/>
  <c r="B5562" i="1"/>
  <c r="G5561" i="1"/>
  <c r="C5561" i="1"/>
  <c r="B5561" i="1"/>
  <c r="G5560" i="1"/>
  <c r="C5560" i="1"/>
  <c r="B5560" i="1"/>
  <c r="G5559" i="1"/>
  <c r="C5559" i="1"/>
  <c r="B5559" i="1"/>
  <c r="G5558" i="1"/>
  <c r="B5558" i="1"/>
  <c r="G5557" i="1"/>
  <c r="B5557" i="1"/>
  <c r="G5556" i="1"/>
  <c r="C5556" i="1"/>
  <c r="B5556" i="1"/>
  <c r="G5555" i="1"/>
  <c r="C5555" i="1"/>
  <c r="B5555" i="1"/>
  <c r="G5554" i="1"/>
  <c r="C5554" i="1"/>
  <c r="B5554" i="1"/>
  <c r="G5553" i="1"/>
  <c r="C5553" i="1"/>
  <c r="B5553" i="1"/>
  <c r="G5552" i="1"/>
  <c r="C5552" i="1"/>
  <c r="B5552" i="1"/>
  <c r="G5551" i="1"/>
  <c r="C5551" i="1"/>
  <c r="B5551" i="1"/>
  <c r="G5550" i="1"/>
  <c r="C5550" i="1"/>
  <c r="B5550" i="1"/>
  <c r="G5549" i="1"/>
  <c r="C5549" i="1"/>
  <c r="B5549" i="1"/>
  <c r="G5548" i="1"/>
  <c r="C5548" i="1"/>
  <c r="B5548" i="1"/>
  <c r="G5547" i="1"/>
  <c r="C5547" i="1"/>
  <c r="B5547" i="1"/>
  <c r="G5546" i="1"/>
  <c r="C5546" i="1"/>
  <c r="B5546" i="1"/>
  <c r="G5545" i="1"/>
  <c r="B5545" i="1"/>
  <c r="G5544" i="1"/>
  <c r="C5544" i="1"/>
  <c r="B5544" i="1"/>
  <c r="G5543" i="1"/>
  <c r="C5543" i="1"/>
  <c r="B5543" i="1"/>
  <c r="G5542" i="1"/>
  <c r="B5542" i="1"/>
  <c r="G5541" i="1"/>
  <c r="C5541" i="1"/>
  <c r="B5541" i="1"/>
  <c r="G5540" i="1"/>
  <c r="C5540" i="1"/>
  <c r="B5540" i="1"/>
  <c r="G5539" i="1"/>
  <c r="C5539" i="1"/>
  <c r="B5539" i="1"/>
  <c r="G5538" i="1"/>
  <c r="B5538" i="1"/>
  <c r="G5537" i="1"/>
  <c r="C5537" i="1"/>
  <c r="B5537" i="1"/>
  <c r="G5536" i="1"/>
  <c r="B5536" i="1"/>
  <c r="G5535" i="1"/>
  <c r="B5535" i="1"/>
  <c r="G5534" i="1"/>
  <c r="C5534" i="1"/>
  <c r="B5534" i="1"/>
  <c r="G5533" i="1"/>
  <c r="C5533" i="1"/>
  <c r="B5533" i="1"/>
  <c r="G5532" i="1"/>
  <c r="C5532" i="1"/>
  <c r="B5532" i="1"/>
  <c r="G5531" i="1"/>
  <c r="C5531" i="1"/>
  <c r="B5531" i="1"/>
  <c r="G5530" i="1"/>
  <c r="C5530" i="1"/>
  <c r="B5530" i="1"/>
  <c r="G5529" i="1"/>
  <c r="B5529" i="1"/>
  <c r="G5528" i="1"/>
  <c r="C5528" i="1"/>
  <c r="B5528" i="1"/>
  <c r="G5527" i="1"/>
  <c r="C5527" i="1"/>
  <c r="B5527" i="1"/>
  <c r="G5526" i="1"/>
  <c r="C5526" i="1"/>
  <c r="B5526" i="1"/>
  <c r="G5525" i="1"/>
  <c r="B5525" i="1"/>
  <c r="G5524" i="1"/>
  <c r="B5524" i="1"/>
  <c r="G5523" i="1"/>
  <c r="C5523" i="1"/>
  <c r="B5523" i="1"/>
  <c r="G5522" i="1"/>
  <c r="C5522" i="1"/>
  <c r="B5522" i="1"/>
  <c r="G5521" i="1"/>
  <c r="C5521" i="1"/>
  <c r="B5521" i="1"/>
  <c r="G5520" i="1"/>
  <c r="C5520" i="1"/>
  <c r="B5520" i="1"/>
  <c r="G5519" i="1"/>
  <c r="B5519" i="1"/>
  <c r="G5518" i="1"/>
  <c r="C5518" i="1"/>
  <c r="B5518" i="1"/>
  <c r="G5517" i="1"/>
  <c r="C5517" i="1"/>
  <c r="B5517" i="1"/>
  <c r="G5516" i="1"/>
  <c r="C5516" i="1"/>
  <c r="B5516" i="1"/>
  <c r="G5515" i="1"/>
  <c r="C5515" i="1"/>
  <c r="B5515" i="1"/>
  <c r="G5514" i="1"/>
  <c r="C5514" i="1"/>
  <c r="B5514" i="1"/>
  <c r="G5513" i="1"/>
  <c r="B5513" i="1"/>
  <c r="G5512" i="1"/>
  <c r="C5512" i="1"/>
  <c r="B5512" i="1"/>
  <c r="G5511" i="1"/>
  <c r="C5511" i="1"/>
  <c r="B5511" i="1"/>
  <c r="G5510" i="1"/>
  <c r="B5510" i="1"/>
  <c r="G5509" i="1"/>
  <c r="C5509" i="1"/>
  <c r="B5509" i="1"/>
  <c r="G5508" i="1"/>
  <c r="C5508" i="1"/>
  <c r="B5508" i="1"/>
  <c r="G5507" i="1"/>
  <c r="C5507" i="1"/>
  <c r="B5507" i="1"/>
  <c r="G5506" i="1"/>
  <c r="B5506" i="1"/>
  <c r="G5505" i="1"/>
  <c r="C5505" i="1"/>
  <c r="B5505" i="1"/>
  <c r="G5504" i="1"/>
  <c r="C5504" i="1"/>
  <c r="B5504" i="1"/>
  <c r="G5503" i="1"/>
  <c r="C5503" i="1"/>
  <c r="B5503" i="1"/>
  <c r="G5502" i="1"/>
  <c r="C5502" i="1"/>
  <c r="B5502" i="1"/>
  <c r="G5501" i="1"/>
  <c r="C5501" i="1"/>
  <c r="B5501" i="1"/>
  <c r="G5500" i="1"/>
  <c r="C5500" i="1"/>
  <c r="B5500" i="1"/>
  <c r="G5499" i="1"/>
  <c r="B5499" i="1"/>
  <c r="G5498" i="1"/>
  <c r="C5498" i="1"/>
  <c r="B5498" i="1"/>
  <c r="G5497" i="1"/>
  <c r="C5497" i="1"/>
  <c r="B5497" i="1"/>
  <c r="G5496" i="1"/>
  <c r="C5496" i="1"/>
  <c r="B5496" i="1"/>
  <c r="G5495" i="1"/>
  <c r="C5495" i="1"/>
  <c r="B5495" i="1"/>
  <c r="G5494" i="1"/>
  <c r="C5494" i="1"/>
  <c r="B5494" i="1"/>
  <c r="G5493" i="1"/>
  <c r="C5493" i="1"/>
  <c r="B5493" i="1"/>
  <c r="G5492" i="1"/>
  <c r="C5492" i="1"/>
  <c r="B5492" i="1"/>
  <c r="G5491" i="1"/>
  <c r="C5491" i="1"/>
  <c r="B5491" i="1"/>
  <c r="G5490" i="1"/>
  <c r="B5490" i="1"/>
  <c r="G5489" i="1"/>
  <c r="C5489" i="1"/>
  <c r="B5489" i="1"/>
  <c r="G5488" i="1"/>
  <c r="B5488" i="1"/>
  <c r="G5487" i="1"/>
  <c r="C5487" i="1"/>
  <c r="B5487" i="1"/>
  <c r="G5486" i="1"/>
  <c r="C5486" i="1"/>
  <c r="B5486" i="1"/>
  <c r="G5485" i="1"/>
  <c r="C5485" i="1"/>
  <c r="B5485" i="1"/>
  <c r="G5484" i="1"/>
  <c r="C5484" i="1"/>
  <c r="B5484" i="1"/>
  <c r="G5483" i="1"/>
  <c r="B5483" i="1"/>
  <c r="G5482" i="1"/>
  <c r="B5482" i="1"/>
  <c r="G5481" i="1"/>
  <c r="B5481" i="1"/>
  <c r="G5480" i="1"/>
  <c r="C5480" i="1"/>
  <c r="B5480" i="1"/>
  <c r="G5479" i="1"/>
  <c r="C5479" i="1"/>
  <c r="B5479" i="1"/>
  <c r="G5478" i="1"/>
  <c r="C5478" i="1"/>
  <c r="B5478" i="1"/>
  <c r="G5477" i="1"/>
  <c r="B5477" i="1"/>
  <c r="G5476" i="1"/>
  <c r="C5476" i="1"/>
  <c r="B5476" i="1"/>
  <c r="G5475" i="1"/>
  <c r="C5475" i="1"/>
  <c r="B5475" i="1"/>
  <c r="G5474" i="1"/>
  <c r="C5474" i="1"/>
  <c r="B5474" i="1"/>
  <c r="G5473" i="1"/>
  <c r="C5473" i="1"/>
  <c r="B5473" i="1"/>
  <c r="G5472" i="1"/>
  <c r="C5472" i="1"/>
  <c r="B5472" i="1"/>
  <c r="G5471" i="1"/>
  <c r="C5471" i="1"/>
  <c r="B5471" i="1"/>
  <c r="G5470" i="1"/>
  <c r="C5470" i="1"/>
  <c r="B5470" i="1"/>
  <c r="G5469" i="1"/>
  <c r="B5469" i="1"/>
  <c r="G5468" i="1"/>
  <c r="C5468" i="1"/>
  <c r="B5468" i="1"/>
  <c r="G5467" i="1"/>
  <c r="C5467" i="1"/>
  <c r="B5467" i="1"/>
  <c r="G5466" i="1"/>
  <c r="B5466" i="1"/>
  <c r="G5465" i="1"/>
  <c r="C5465" i="1"/>
  <c r="B5465" i="1"/>
  <c r="G5464" i="1"/>
  <c r="B5464" i="1"/>
  <c r="G5463" i="1"/>
  <c r="C5463" i="1"/>
  <c r="B5463" i="1"/>
  <c r="G5462" i="1"/>
  <c r="C5462" i="1"/>
  <c r="B5462" i="1"/>
  <c r="G5461" i="1"/>
  <c r="C5461" i="1"/>
  <c r="B5461" i="1"/>
  <c r="G5460" i="1"/>
  <c r="C5460" i="1"/>
  <c r="B5460" i="1"/>
  <c r="G5459" i="1"/>
  <c r="C5459" i="1"/>
  <c r="B5459" i="1"/>
  <c r="G5458" i="1"/>
  <c r="B5458" i="1"/>
  <c r="G5457" i="1"/>
  <c r="C5457" i="1"/>
  <c r="B5457" i="1"/>
  <c r="G5456" i="1"/>
  <c r="C5456" i="1"/>
  <c r="B5456" i="1"/>
  <c r="G5455" i="1"/>
  <c r="C5455" i="1"/>
  <c r="B5455" i="1"/>
  <c r="G5454" i="1"/>
  <c r="B5454" i="1"/>
  <c r="G5453" i="1"/>
  <c r="B5453" i="1"/>
  <c r="G5452" i="1"/>
  <c r="C5452" i="1"/>
  <c r="B5452" i="1"/>
  <c r="G5451" i="1"/>
  <c r="C5451" i="1"/>
  <c r="B5451" i="1"/>
  <c r="G5450" i="1"/>
  <c r="C5450" i="1"/>
  <c r="B5450" i="1"/>
  <c r="G5449" i="1"/>
  <c r="C5449" i="1"/>
  <c r="B5449" i="1"/>
  <c r="G5448" i="1"/>
  <c r="C5448" i="1"/>
  <c r="B5448" i="1"/>
  <c r="G5447" i="1"/>
  <c r="B5447" i="1"/>
  <c r="G5446" i="1"/>
  <c r="C5446" i="1"/>
  <c r="B5446" i="1"/>
  <c r="G5445" i="1"/>
  <c r="C5445" i="1"/>
  <c r="B5445" i="1"/>
  <c r="G5444" i="1"/>
  <c r="C5444" i="1"/>
  <c r="B5444" i="1"/>
  <c r="G5443" i="1"/>
  <c r="B5443" i="1"/>
  <c r="G5442" i="1"/>
  <c r="B5442" i="1"/>
  <c r="G5441" i="1"/>
  <c r="B5441" i="1"/>
  <c r="G5440" i="1"/>
  <c r="B5440" i="1"/>
  <c r="G5439" i="1"/>
  <c r="C5439" i="1"/>
  <c r="B5439" i="1"/>
  <c r="G5438" i="1"/>
  <c r="C5438" i="1"/>
  <c r="B5438" i="1"/>
  <c r="G5437" i="1"/>
  <c r="C5437" i="1"/>
  <c r="B5437" i="1"/>
  <c r="G5436" i="1"/>
  <c r="C5436" i="1"/>
  <c r="B5436" i="1"/>
  <c r="G5435" i="1"/>
  <c r="C5435" i="1"/>
  <c r="B5435" i="1"/>
  <c r="G5434" i="1"/>
  <c r="C5434" i="1"/>
  <c r="B5434" i="1"/>
  <c r="G5433" i="1"/>
  <c r="C5433" i="1"/>
  <c r="B5433" i="1"/>
  <c r="G5432" i="1"/>
  <c r="C5432" i="1"/>
  <c r="B5432" i="1"/>
  <c r="G5431" i="1"/>
  <c r="B5431" i="1"/>
  <c r="G5430" i="1"/>
  <c r="B5430" i="1"/>
  <c r="G5429" i="1"/>
  <c r="C5429" i="1"/>
  <c r="B5429" i="1"/>
  <c r="G5428" i="1"/>
  <c r="C5428" i="1"/>
  <c r="B5428" i="1"/>
  <c r="G5427" i="1"/>
  <c r="C5427" i="1"/>
  <c r="B5427" i="1"/>
  <c r="G5426" i="1"/>
  <c r="C5426" i="1"/>
  <c r="B5426" i="1"/>
  <c r="G5425" i="1"/>
  <c r="C5425" i="1"/>
  <c r="B5425" i="1"/>
  <c r="G5424" i="1"/>
  <c r="C5424" i="1"/>
  <c r="B5424" i="1"/>
  <c r="G5423" i="1"/>
  <c r="C5423" i="1"/>
  <c r="B5423" i="1"/>
  <c r="G5422" i="1"/>
  <c r="C5422" i="1"/>
  <c r="B5422" i="1"/>
  <c r="G5421" i="1"/>
  <c r="C5421" i="1"/>
  <c r="B5421" i="1"/>
  <c r="G5420" i="1"/>
  <c r="C5420" i="1"/>
  <c r="B5420" i="1"/>
  <c r="G5419" i="1"/>
  <c r="C5419" i="1"/>
  <c r="B5419" i="1"/>
  <c r="G5418" i="1"/>
  <c r="C5418" i="1"/>
  <c r="B5418" i="1"/>
  <c r="G5417" i="1"/>
  <c r="C5417" i="1"/>
  <c r="B5417" i="1"/>
  <c r="G5416" i="1"/>
  <c r="C5416" i="1"/>
  <c r="B5416" i="1"/>
  <c r="G5415" i="1"/>
  <c r="C5415" i="1"/>
  <c r="B5415" i="1"/>
  <c r="G5414" i="1"/>
  <c r="B5414" i="1"/>
  <c r="G5413" i="1"/>
  <c r="C5413" i="1"/>
  <c r="B5413" i="1"/>
  <c r="G5412" i="1"/>
  <c r="C5412" i="1"/>
  <c r="B5412" i="1"/>
  <c r="G5411" i="1"/>
  <c r="C5411" i="1"/>
  <c r="B5411" i="1"/>
  <c r="G5410" i="1"/>
  <c r="C5410" i="1"/>
  <c r="B5410" i="1"/>
  <c r="G5409" i="1"/>
  <c r="C5409" i="1"/>
  <c r="B5409" i="1"/>
  <c r="G5408" i="1"/>
  <c r="B5408" i="1"/>
  <c r="G5407" i="1"/>
  <c r="B5407" i="1"/>
  <c r="G5406" i="1"/>
  <c r="C5406" i="1"/>
  <c r="B5406" i="1"/>
  <c r="G5405" i="1"/>
  <c r="B5405" i="1"/>
  <c r="G5404" i="1"/>
  <c r="C5404" i="1"/>
  <c r="B5404" i="1"/>
  <c r="G5403" i="1"/>
  <c r="B5403" i="1"/>
  <c r="G5402" i="1"/>
  <c r="C5402" i="1"/>
  <c r="B5402" i="1"/>
  <c r="G5401" i="1"/>
  <c r="C5401" i="1"/>
  <c r="B5401" i="1"/>
  <c r="G5400" i="1"/>
  <c r="C5400" i="1"/>
  <c r="B5400" i="1"/>
  <c r="G5399" i="1"/>
  <c r="C5399" i="1"/>
  <c r="B5399" i="1"/>
  <c r="G5398" i="1"/>
  <c r="B5398" i="1"/>
  <c r="G5397" i="1"/>
  <c r="C5397" i="1"/>
  <c r="B5397" i="1"/>
  <c r="G5396" i="1"/>
  <c r="C5396" i="1"/>
  <c r="B5396" i="1"/>
  <c r="G5395" i="1"/>
  <c r="C5395" i="1"/>
  <c r="B5395" i="1"/>
  <c r="G5394" i="1"/>
  <c r="B5394" i="1"/>
  <c r="G5393" i="1"/>
  <c r="C5393" i="1"/>
  <c r="B5393" i="1"/>
  <c r="G5392" i="1"/>
  <c r="C5392" i="1"/>
  <c r="B5392" i="1"/>
  <c r="G5391" i="1"/>
  <c r="C5391" i="1"/>
  <c r="B5391" i="1"/>
  <c r="G5390" i="1"/>
  <c r="C5390" i="1"/>
  <c r="B5390" i="1"/>
  <c r="G5389" i="1"/>
  <c r="C5389" i="1"/>
  <c r="B5389" i="1"/>
  <c r="G5388" i="1"/>
  <c r="C5388" i="1"/>
  <c r="B5388" i="1"/>
  <c r="G5387" i="1"/>
  <c r="C5387" i="1"/>
  <c r="B5387" i="1"/>
  <c r="G5386" i="1"/>
  <c r="B5386" i="1"/>
  <c r="G5385" i="1"/>
  <c r="C5385" i="1"/>
  <c r="B5385" i="1"/>
  <c r="G5384" i="1"/>
  <c r="C5384" i="1"/>
  <c r="B5384" i="1"/>
  <c r="G5383" i="1"/>
  <c r="C5383" i="1"/>
  <c r="B5383" i="1"/>
  <c r="G5382" i="1"/>
  <c r="C5382" i="1"/>
  <c r="B5382" i="1"/>
  <c r="G5381" i="1"/>
  <c r="C5381" i="1"/>
  <c r="B5381" i="1"/>
  <c r="G5380" i="1"/>
  <c r="C5380" i="1"/>
  <c r="B5380" i="1"/>
  <c r="G5379" i="1"/>
  <c r="B5379" i="1"/>
  <c r="G5378" i="1"/>
  <c r="C5378" i="1"/>
  <c r="B5378" i="1"/>
  <c r="G5377" i="1"/>
  <c r="C5377" i="1"/>
  <c r="B5377" i="1"/>
  <c r="G5376" i="1"/>
  <c r="C5376" i="1"/>
  <c r="B5376" i="1"/>
  <c r="G5375" i="1"/>
  <c r="C5375" i="1"/>
  <c r="B5375" i="1"/>
  <c r="G5374" i="1"/>
  <c r="C5374" i="1"/>
  <c r="B5374" i="1"/>
  <c r="G5373" i="1"/>
  <c r="C5373" i="1"/>
  <c r="B5373" i="1"/>
  <c r="G5372" i="1"/>
  <c r="C5372" i="1"/>
  <c r="B5372" i="1"/>
  <c r="G5371" i="1"/>
  <c r="B5371" i="1"/>
  <c r="G5370" i="1"/>
  <c r="C5370" i="1"/>
  <c r="B5370" i="1"/>
  <c r="G5369" i="1"/>
  <c r="B5369" i="1"/>
  <c r="G5368" i="1"/>
  <c r="C5368" i="1"/>
  <c r="B5368" i="1"/>
  <c r="G5367" i="1"/>
  <c r="C5367" i="1"/>
  <c r="B5367" i="1"/>
  <c r="G5366" i="1"/>
  <c r="C5366" i="1"/>
  <c r="B5366" i="1"/>
  <c r="G5365" i="1"/>
  <c r="C5365" i="1"/>
  <c r="B5365" i="1"/>
  <c r="G5364" i="1"/>
  <c r="B5364" i="1"/>
  <c r="G5363" i="1"/>
  <c r="C5363" i="1"/>
  <c r="B5363" i="1"/>
  <c r="G5362" i="1"/>
  <c r="C5362" i="1"/>
  <c r="B5362" i="1"/>
  <c r="G5361" i="1"/>
  <c r="C5361" i="1"/>
  <c r="B5361" i="1"/>
  <c r="G5360" i="1"/>
  <c r="C5360" i="1"/>
  <c r="B5360" i="1"/>
  <c r="G5359" i="1"/>
  <c r="C5359" i="1"/>
  <c r="B5359" i="1"/>
  <c r="G5358" i="1"/>
  <c r="B5358" i="1"/>
  <c r="G5357" i="1"/>
  <c r="C5357" i="1"/>
  <c r="B5357" i="1"/>
  <c r="G5356" i="1"/>
  <c r="B5356" i="1"/>
  <c r="G5355" i="1"/>
  <c r="C5355" i="1"/>
  <c r="B5355" i="1"/>
  <c r="G5354" i="1"/>
  <c r="C5354" i="1"/>
  <c r="B5354" i="1"/>
  <c r="G5353" i="1"/>
  <c r="C5353" i="1"/>
  <c r="B5353" i="1"/>
  <c r="G5352" i="1"/>
  <c r="B5352" i="1"/>
  <c r="G5351" i="1"/>
  <c r="C5351" i="1"/>
  <c r="B5351" i="1"/>
  <c r="G5350" i="1"/>
  <c r="B5350" i="1"/>
  <c r="G5349" i="1"/>
  <c r="C5349" i="1"/>
  <c r="B5349" i="1"/>
  <c r="G5348" i="1"/>
  <c r="C5348" i="1"/>
  <c r="B5348" i="1"/>
  <c r="G5347" i="1"/>
  <c r="C5347" i="1"/>
  <c r="B5347" i="1"/>
  <c r="G5346" i="1"/>
  <c r="C5346" i="1"/>
  <c r="B5346" i="1"/>
  <c r="G5345" i="1"/>
  <c r="C5345" i="1"/>
  <c r="B5345" i="1"/>
  <c r="G5344" i="1"/>
  <c r="C5344" i="1"/>
  <c r="B5344" i="1"/>
  <c r="G5343" i="1"/>
  <c r="C5343" i="1"/>
  <c r="B5343" i="1"/>
  <c r="G5342" i="1"/>
  <c r="C5342" i="1"/>
  <c r="B5342" i="1"/>
  <c r="G5341" i="1"/>
  <c r="C5341" i="1"/>
  <c r="B5341" i="1"/>
  <c r="G5340" i="1"/>
  <c r="C5340" i="1"/>
  <c r="B5340" i="1"/>
  <c r="G5339" i="1"/>
  <c r="C5339" i="1"/>
  <c r="B5339" i="1"/>
  <c r="G5338" i="1"/>
  <c r="C5338" i="1"/>
  <c r="B5338" i="1"/>
  <c r="G5337" i="1"/>
  <c r="C5337" i="1"/>
  <c r="B5337" i="1"/>
  <c r="G5336" i="1"/>
  <c r="C5336" i="1"/>
  <c r="B5336" i="1"/>
  <c r="G5335" i="1"/>
  <c r="C5335" i="1"/>
  <c r="B5335" i="1"/>
  <c r="G5334" i="1"/>
  <c r="C5334" i="1"/>
  <c r="B5334" i="1"/>
  <c r="G5333" i="1"/>
  <c r="C5333" i="1"/>
  <c r="B5333" i="1"/>
  <c r="G5332" i="1"/>
  <c r="B5332" i="1"/>
  <c r="G5331" i="1"/>
  <c r="B5331" i="1"/>
  <c r="G5330" i="1"/>
  <c r="B5330" i="1"/>
  <c r="G5329" i="1"/>
  <c r="C5329" i="1"/>
  <c r="B5329" i="1"/>
  <c r="G5328" i="1"/>
  <c r="C5328" i="1"/>
  <c r="B5328" i="1"/>
  <c r="G5327" i="1"/>
  <c r="C5327" i="1"/>
  <c r="B5327" i="1"/>
  <c r="G5326" i="1"/>
  <c r="C5326" i="1"/>
  <c r="B5326" i="1"/>
  <c r="G5325" i="1"/>
  <c r="B5325" i="1"/>
  <c r="G5324" i="1"/>
  <c r="C5324" i="1"/>
  <c r="B5324" i="1"/>
  <c r="G5323" i="1"/>
  <c r="B5323" i="1"/>
  <c r="G5322" i="1"/>
  <c r="B5322" i="1"/>
  <c r="G5321" i="1"/>
  <c r="C5321" i="1"/>
  <c r="B5321" i="1"/>
  <c r="G5320" i="1"/>
  <c r="C5320" i="1"/>
  <c r="B5320" i="1"/>
  <c r="G5319" i="1"/>
  <c r="B5319" i="1"/>
  <c r="G5318" i="1"/>
  <c r="C5318" i="1"/>
  <c r="B5318" i="1"/>
  <c r="G5317" i="1"/>
  <c r="B5317" i="1"/>
  <c r="G5316" i="1"/>
  <c r="B5316" i="1"/>
  <c r="G5315" i="1"/>
  <c r="C5315" i="1"/>
  <c r="B5315" i="1"/>
  <c r="G5314" i="1"/>
  <c r="C5314" i="1"/>
  <c r="B5314" i="1"/>
  <c r="G5313" i="1"/>
  <c r="C5313" i="1"/>
  <c r="B5313" i="1"/>
  <c r="G5312" i="1"/>
  <c r="B5312" i="1"/>
  <c r="G5311" i="1"/>
  <c r="C5311" i="1"/>
  <c r="B5311" i="1"/>
  <c r="G5310" i="1"/>
  <c r="C5310" i="1"/>
  <c r="B5310" i="1"/>
  <c r="G5309" i="1"/>
  <c r="C5309" i="1"/>
  <c r="B5309" i="1"/>
  <c r="G5308" i="1"/>
  <c r="C5308" i="1"/>
  <c r="B5308" i="1"/>
  <c r="G5307" i="1"/>
  <c r="C5307" i="1"/>
  <c r="B5307" i="1"/>
  <c r="G5306" i="1"/>
  <c r="C5306" i="1"/>
  <c r="B5306" i="1"/>
  <c r="G5305" i="1"/>
  <c r="C5305" i="1"/>
  <c r="B5305" i="1"/>
  <c r="G5304" i="1"/>
  <c r="C5304" i="1"/>
  <c r="B5304" i="1"/>
  <c r="G5303" i="1"/>
  <c r="C5303" i="1"/>
  <c r="B5303" i="1"/>
  <c r="G5302" i="1"/>
  <c r="C5302" i="1"/>
  <c r="B5302" i="1"/>
  <c r="G5301" i="1"/>
  <c r="C5301" i="1"/>
  <c r="B5301" i="1"/>
  <c r="G5300" i="1"/>
  <c r="C5300" i="1"/>
  <c r="B5300" i="1"/>
  <c r="G5299" i="1"/>
  <c r="C5299" i="1"/>
  <c r="B5299" i="1"/>
  <c r="G5298" i="1"/>
  <c r="C5298" i="1"/>
  <c r="B5298" i="1"/>
  <c r="G5297" i="1"/>
  <c r="C5297" i="1"/>
  <c r="B5297" i="1"/>
  <c r="G5296" i="1"/>
  <c r="B5296" i="1"/>
  <c r="G5295" i="1"/>
  <c r="B5295" i="1"/>
  <c r="G5294" i="1"/>
  <c r="C5294" i="1"/>
  <c r="B5294" i="1"/>
  <c r="G5293" i="1"/>
  <c r="C5293" i="1"/>
  <c r="B5293" i="1"/>
  <c r="G5292" i="1"/>
  <c r="C5292" i="1"/>
  <c r="B5292" i="1"/>
  <c r="G5291" i="1"/>
  <c r="C5291" i="1"/>
  <c r="B5291" i="1"/>
  <c r="G5290" i="1"/>
  <c r="B5290" i="1"/>
  <c r="G5289" i="1"/>
  <c r="C5289" i="1"/>
  <c r="B5289" i="1"/>
  <c r="G5288" i="1"/>
  <c r="C5288" i="1"/>
  <c r="B5288" i="1"/>
  <c r="G5287" i="1"/>
  <c r="C5287" i="1"/>
  <c r="B5287" i="1"/>
  <c r="G5286" i="1"/>
  <c r="C5286" i="1"/>
  <c r="B5286" i="1"/>
  <c r="G5285" i="1"/>
  <c r="C5285" i="1"/>
  <c r="B5285" i="1"/>
  <c r="G5284" i="1"/>
  <c r="C5284" i="1"/>
  <c r="B5284" i="1"/>
  <c r="G5283" i="1"/>
  <c r="C5283" i="1"/>
  <c r="B5283" i="1"/>
  <c r="G5282" i="1"/>
  <c r="C5282" i="1"/>
  <c r="B5282" i="1"/>
  <c r="G5281" i="1"/>
  <c r="B5281" i="1"/>
  <c r="G5280" i="1"/>
  <c r="B5280" i="1"/>
  <c r="G5279" i="1"/>
  <c r="C5279" i="1"/>
  <c r="B5279" i="1"/>
  <c r="G5278" i="1"/>
  <c r="C5278" i="1"/>
  <c r="B5278" i="1"/>
  <c r="G5277" i="1"/>
  <c r="B5277" i="1"/>
  <c r="G5276" i="1"/>
  <c r="C5276" i="1"/>
  <c r="B5276" i="1"/>
  <c r="G5275" i="1"/>
  <c r="C5275" i="1"/>
  <c r="B5275" i="1"/>
  <c r="G5274" i="1"/>
  <c r="C5274" i="1"/>
  <c r="B5274" i="1"/>
  <c r="G5273" i="1"/>
  <c r="C5273" i="1"/>
  <c r="B5273" i="1"/>
  <c r="G5272" i="1"/>
  <c r="C5272" i="1"/>
  <c r="B5272" i="1"/>
  <c r="G5271" i="1"/>
  <c r="C5271" i="1"/>
  <c r="B5271" i="1"/>
  <c r="G5270" i="1"/>
  <c r="C5270" i="1"/>
  <c r="B5270" i="1"/>
  <c r="G5269" i="1"/>
  <c r="B5269" i="1"/>
  <c r="G5268" i="1"/>
  <c r="C5268" i="1"/>
  <c r="B5268" i="1"/>
  <c r="G5267" i="1"/>
  <c r="C5267" i="1"/>
  <c r="B5267" i="1"/>
  <c r="G5266" i="1"/>
  <c r="C5266" i="1"/>
  <c r="B5266" i="1"/>
  <c r="G5265" i="1"/>
  <c r="B5265" i="1"/>
  <c r="G5264" i="1"/>
  <c r="C5264" i="1"/>
  <c r="B5264" i="1"/>
  <c r="G5263" i="1"/>
  <c r="C5263" i="1"/>
  <c r="B5263" i="1"/>
  <c r="G5262" i="1"/>
  <c r="C5262" i="1"/>
  <c r="B5262" i="1"/>
  <c r="G5261" i="1"/>
  <c r="C5261" i="1"/>
  <c r="B5261" i="1"/>
  <c r="G5260" i="1"/>
  <c r="C5260" i="1"/>
  <c r="B5260" i="1"/>
  <c r="G5259" i="1"/>
  <c r="B5259" i="1"/>
  <c r="G5258" i="1"/>
  <c r="C5258" i="1"/>
  <c r="B5258" i="1"/>
  <c r="G5257" i="1"/>
  <c r="C5257" i="1"/>
  <c r="B5257" i="1"/>
  <c r="G5256" i="1"/>
  <c r="C5256" i="1"/>
  <c r="B5256" i="1"/>
  <c r="G5255" i="1"/>
  <c r="B5255" i="1"/>
  <c r="G5254" i="1"/>
  <c r="B5254" i="1"/>
  <c r="G5253" i="1"/>
  <c r="C5253" i="1"/>
  <c r="B5253" i="1"/>
  <c r="G5252" i="1"/>
  <c r="B5252" i="1"/>
  <c r="G5251" i="1"/>
  <c r="C5251" i="1"/>
  <c r="B5251" i="1"/>
  <c r="G5250" i="1"/>
  <c r="B5250" i="1"/>
  <c r="G5249" i="1"/>
  <c r="C5249" i="1"/>
  <c r="B5249" i="1"/>
  <c r="G5248" i="1"/>
  <c r="C5248" i="1"/>
  <c r="B5248" i="1"/>
  <c r="G5247" i="1"/>
  <c r="C5247" i="1"/>
  <c r="B5247" i="1"/>
  <c r="G5246" i="1"/>
  <c r="C5246" i="1"/>
  <c r="B5246" i="1"/>
  <c r="G5245" i="1"/>
  <c r="C5245" i="1"/>
  <c r="B5245" i="1"/>
  <c r="G5244" i="1"/>
  <c r="C5244" i="1"/>
  <c r="B5244" i="1"/>
  <c r="G5243" i="1"/>
  <c r="C5243" i="1"/>
  <c r="B5243" i="1"/>
  <c r="G5242" i="1"/>
  <c r="B5242" i="1"/>
  <c r="G5241" i="1"/>
  <c r="C5241" i="1"/>
  <c r="B5241" i="1"/>
  <c r="G5240" i="1"/>
  <c r="B5240" i="1"/>
  <c r="G5239" i="1"/>
  <c r="B5239" i="1"/>
  <c r="G5238" i="1"/>
  <c r="C5238" i="1"/>
  <c r="B5238" i="1"/>
  <c r="G5237" i="1"/>
  <c r="C5237" i="1"/>
  <c r="B5237" i="1"/>
  <c r="G5236" i="1"/>
  <c r="C5236" i="1"/>
  <c r="B5236" i="1"/>
  <c r="G5235" i="1"/>
  <c r="C5235" i="1"/>
  <c r="B5235" i="1"/>
  <c r="G5234" i="1"/>
  <c r="C5234" i="1"/>
  <c r="B5234" i="1"/>
  <c r="G5233" i="1"/>
  <c r="B5233" i="1"/>
  <c r="G5232" i="1"/>
  <c r="C5232" i="1"/>
  <c r="B5232" i="1"/>
  <c r="G5231" i="1"/>
  <c r="B5231" i="1"/>
  <c r="G5230" i="1"/>
  <c r="C5230" i="1"/>
  <c r="B5230" i="1"/>
  <c r="G5229" i="1"/>
  <c r="C5229" i="1"/>
  <c r="B5229" i="1"/>
  <c r="G5228" i="1"/>
  <c r="C5228" i="1"/>
  <c r="B5228" i="1"/>
  <c r="G5227" i="1"/>
  <c r="C5227" i="1"/>
  <c r="B5227" i="1"/>
  <c r="G5226" i="1"/>
  <c r="C5226" i="1"/>
  <c r="B5226" i="1"/>
  <c r="G5225" i="1"/>
  <c r="C5225" i="1"/>
  <c r="B5225" i="1"/>
  <c r="G5224" i="1"/>
  <c r="C5224" i="1"/>
  <c r="B5224" i="1"/>
  <c r="G5223" i="1"/>
  <c r="B5223" i="1"/>
  <c r="G5222" i="1"/>
  <c r="C5222" i="1"/>
  <c r="B5222" i="1"/>
  <c r="G5221" i="1"/>
  <c r="C5221" i="1"/>
  <c r="B5221" i="1"/>
  <c r="G5220" i="1"/>
  <c r="B5220" i="1"/>
  <c r="G5219" i="1"/>
  <c r="C5219" i="1"/>
  <c r="B5219" i="1"/>
  <c r="G5218" i="1"/>
  <c r="B5218" i="1"/>
  <c r="G5217" i="1"/>
  <c r="B5217" i="1"/>
  <c r="G5216" i="1"/>
  <c r="C5216" i="1"/>
  <c r="B5216" i="1"/>
  <c r="G5215" i="1"/>
  <c r="B5215" i="1"/>
  <c r="G5214" i="1"/>
  <c r="C5214" i="1"/>
  <c r="B5214" i="1"/>
  <c r="G5213" i="1"/>
  <c r="C5213" i="1"/>
  <c r="B5213" i="1"/>
  <c r="G5212" i="1"/>
  <c r="B5212" i="1"/>
  <c r="G5211" i="1"/>
  <c r="C5211" i="1"/>
  <c r="B5211" i="1"/>
  <c r="G5210" i="1"/>
  <c r="C5210" i="1"/>
  <c r="B5210" i="1"/>
  <c r="G5209" i="1"/>
  <c r="C5209" i="1"/>
  <c r="B5209" i="1"/>
  <c r="G5208" i="1"/>
  <c r="C5208" i="1"/>
  <c r="B5208" i="1"/>
  <c r="G5207" i="1"/>
  <c r="C5207" i="1"/>
  <c r="B5207" i="1"/>
  <c r="G5206" i="1"/>
  <c r="C5206" i="1"/>
  <c r="B5206" i="1"/>
  <c r="G5205" i="1"/>
  <c r="B5205" i="1"/>
  <c r="G5204" i="1"/>
  <c r="C5204" i="1"/>
  <c r="B5204" i="1"/>
  <c r="G5203" i="1"/>
  <c r="C5203" i="1"/>
  <c r="B5203" i="1"/>
  <c r="G5202" i="1"/>
  <c r="B5202" i="1"/>
  <c r="G5201" i="1"/>
  <c r="C5201" i="1"/>
  <c r="B5201" i="1"/>
  <c r="G5200" i="1"/>
  <c r="C5200" i="1"/>
  <c r="B5200" i="1"/>
  <c r="G5199" i="1"/>
  <c r="C5199" i="1"/>
  <c r="B5199" i="1"/>
  <c r="G5198" i="1"/>
  <c r="C5198" i="1"/>
  <c r="B5198" i="1"/>
  <c r="G5197" i="1"/>
  <c r="B5197" i="1"/>
  <c r="G5196" i="1"/>
  <c r="B5196" i="1"/>
  <c r="G5195" i="1"/>
  <c r="C5195" i="1"/>
  <c r="B5195" i="1"/>
  <c r="G5194" i="1"/>
  <c r="C5194" i="1"/>
  <c r="B5194" i="1"/>
  <c r="G5193" i="1"/>
  <c r="B5193" i="1"/>
  <c r="G5192" i="1"/>
  <c r="C5192" i="1"/>
  <c r="B5192" i="1"/>
  <c r="G5191" i="1"/>
  <c r="C5191" i="1"/>
  <c r="B5191" i="1"/>
  <c r="G5190" i="1"/>
  <c r="C5190" i="1"/>
  <c r="B5190" i="1"/>
  <c r="G5189" i="1"/>
  <c r="C5189" i="1"/>
  <c r="B5189" i="1"/>
  <c r="G5188" i="1"/>
  <c r="C5188" i="1"/>
  <c r="B5188" i="1"/>
  <c r="G5187" i="1"/>
  <c r="C5187" i="1"/>
  <c r="B5187" i="1"/>
  <c r="G5186" i="1"/>
  <c r="B5186" i="1"/>
  <c r="G5185" i="1"/>
  <c r="C5185" i="1"/>
  <c r="B5185" i="1"/>
  <c r="G5184" i="1"/>
  <c r="B5184" i="1"/>
  <c r="G5183" i="1"/>
  <c r="C5183" i="1"/>
  <c r="B5183" i="1"/>
  <c r="G5182" i="1"/>
  <c r="B5182" i="1"/>
  <c r="G5181" i="1"/>
  <c r="C5181" i="1"/>
  <c r="B5181" i="1"/>
  <c r="G5180" i="1"/>
  <c r="B5180" i="1"/>
  <c r="G5179" i="1"/>
  <c r="C5179" i="1"/>
  <c r="B5179" i="1"/>
  <c r="G5178" i="1"/>
  <c r="B5178" i="1"/>
  <c r="G5177" i="1"/>
  <c r="B5177" i="1"/>
  <c r="G5176" i="1"/>
  <c r="C5176" i="1"/>
  <c r="B5176" i="1"/>
  <c r="G5175" i="1"/>
  <c r="C5175" i="1"/>
  <c r="B5175" i="1"/>
  <c r="G5174" i="1"/>
  <c r="C5174" i="1"/>
  <c r="B5174" i="1"/>
  <c r="G5173" i="1"/>
  <c r="B5173" i="1"/>
  <c r="G5172" i="1"/>
  <c r="C5172" i="1"/>
  <c r="B5172" i="1"/>
  <c r="G5171" i="1"/>
  <c r="C5171" i="1"/>
  <c r="B5171" i="1"/>
  <c r="G5170" i="1"/>
  <c r="C5170" i="1"/>
  <c r="B5170" i="1"/>
  <c r="G5169" i="1"/>
  <c r="C5169" i="1"/>
  <c r="B5169" i="1"/>
  <c r="G5168" i="1"/>
  <c r="C5168" i="1"/>
  <c r="B5168" i="1"/>
  <c r="G5167" i="1"/>
  <c r="C5167" i="1"/>
  <c r="B5167" i="1"/>
  <c r="G5166" i="1"/>
  <c r="C5166" i="1"/>
  <c r="B5166" i="1"/>
  <c r="G5165" i="1"/>
  <c r="C5165" i="1"/>
  <c r="B5165" i="1"/>
  <c r="G5164" i="1"/>
  <c r="C5164" i="1"/>
  <c r="B5164" i="1"/>
  <c r="G5163" i="1"/>
  <c r="C5163" i="1"/>
  <c r="B5163" i="1"/>
  <c r="G5162" i="1"/>
  <c r="C5162" i="1"/>
  <c r="B5162" i="1"/>
  <c r="G5161" i="1"/>
  <c r="C5161" i="1"/>
  <c r="B5161" i="1"/>
  <c r="G5160" i="1"/>
  <c r="B5160" i="1"/>
  <c r="G5159" i="1"/>
  <c r="C5159" i="1"/>
  <c r="B5159" i="1"/>
  <c r="G5158" i="1"/>
  <c r="B5158" i="1"/>
  <c r="G5157" i="1"/>
  <c r="C5157" i="1"/>
  <c r="B5157" i="1"/>
  <c r="G5156" i="1"/>
  <c r="B5156" i="1"/>
  <c r="G5155" i="1"/>
  <c r="C5155" i="1"/>
  <c r="B5155" i="1"/>
  <c r="G5154" i="1"/>
  <c r="C5154" i="1"/>
  <c r="B5154" i="1"/>
  <c r="G5153" i="1"/>
  <c r="C5153" i="1"/>
  <c r="B5153" i="1"/>
  <c r="G5152" i="1"/>
  <c r="C5152" i="1"/>
  <c r="B5152" i="1"/>
  <c r="G5151" i="1"/>
  <c r="C5151" i="1"/>
  <c r="B5151" i="1"/>
  <c r="G5150" i="1"/>
  <c r="B5150" i="1"/>
  <c r="G5149" i="1"/>
  <c r="C5149" i="1"/>
  <c r="B5149" i="1"/>
  <c r="G5148" i="1"/>
  <c r="C5148" i="1"/>
  <c r="B5148" i="1"/>
  <c r="G5147" i="1"/>
  <c r="B5147" i="1"/>
  <c r="G5146" i="1"/>
  <c r="B5146" i="1"/>
  <c r="G5145" i="1"/>
  <c r="C5145" i="1"/>
  <c r="B5145" i="1"/>
  <c r="G5144" i="1"/>
  <c r="B5144" i="1"/>
  <c r="G5143" i="1"/>
  <c r="B5143" i="1"/>
  <c r="G5142" i="1"/>
  <c r="C5142" i="1"/>
  <c r="B5142" i="1"/>
  <c r="G5141" i="1"/>
  <c r="C5141" i="1"/>
  <c r="B5141" i="1"/>
  <c r="G5140" i="1"/>
  <c r="C5140" i="1"/>
  <c r="B5140" i="1"/>
  <c r="G5139" i="1"/>
  <c r="C5139" i="1"/>
  <c r="B5139" i="1"/>
  <c r="G5138" i="1"/>
  <c r="B5138" i="1"/>
  <c r="G5137" i="1"/>
  <c r="C5137" i="1"/>
  <c r="B5137" i="1"/>
  <c r="G5136" i="1"/>
  <c r="C5136" i="1"/>
  <c r="B5136" i="1"/>
  <c r="G5135" i="1"/>
  <c r="C5135" i="1"/>
  <c r="B5135" i="1"/>
  <c r="G5134" i="1"/>
  <c r="C5134" i="1"/>
  <c r="B5134" i="1"/>
  <c r="G5133" i="1"/>
  <c r="B5133" i="1"/>
  <c r="G5132" i="1"/>
  <c r="C5132" i="1"/>
  <c r="B5132" i="1"/>
  <c r="G5131" i="1"/>
  <c r="C5131" i="1"/>
  <c r="B5131" i="1"/>
  <c r="G5130" i="1"/>
  <c r="C5130" i="1"/>
  <c r="B5130" i="1"/>
  <c r="G5129" i="1"/>
  <c r="B5129" i="1"/>
  <c r="G5128" i="1"/>
  <c r="B5128" i="1"/>
  <c r="G5127" i="1"/>
  <c r="C5127" i="1"/>
  <c r="B5127" i="1"/>
  <c r="G5126" i="1"/>
  <c r="C5126" i="1"/>
  <c r="B5126" i="1"/>
  <c r="G5125" i="1"/>
  <c r="B5125" i="1"/>
  <c r="G5124" i="1"/>
  <c r="C5124" i="1"/>
  <c r="B5124" i="1"/>
  <c r="G5123" i="1"/>
  <c r="B5123" i="1"/>
  <c r="G5122" i="1"/>
  <c r="C5122" i="1"/>
  <c r="B5122" i="1"/>
  <c r="G5121" i="1"/>
  <c r="B5121" i="1"/>
  <c r="G5120" i="1"/>
  <c r="C5120" i="1"/>
  <c r="B5120" i="1"/>
  <c r="G5119" i="1"/>
  <c r="B5119" i="1"/>
  <c r="G5118" i="1"/>
  <c r="C5118" i="1"/>
  <c r="B5118" i="1"/>
  <c r="G5117" i="1"/>
  <c r="C5117" i="1"/>
  <c r="B5117" i="1"/>
  <c r="G5116" i="1"/>
  <c r="C5116" i="1"/>
  <c r="B5116" i="1"/>
  <c r="G5115" i="1"/>
  <c r="B5115" i="1"/>
  <c r="G5114" i="1"/>
  <c r="B5114" i="1"/>
  <c r="G5113" i="1"/>
  <c r="B5113" i="1"/>
  <c r="G5112" i="1"/>
  <c r="B5112" i="1"/>
  <c r="G5111" i="1"/>
  <c r="C5111" i="1"/>
  <c r="B5111" i="1"/>
  <c r="G5110" i="1"/>
  <c r="C5110" i="1"/>
  <c r="B5110" i="1"/>
  <c r="G5109" i="1"/>
  <c r="C5109" i="1"/>
  <c r="B5109" i="1"/>
  <c r="G5108" i="1"/>
  <c r="C5108" i="1"/>
  <c r="B5108" i="1"/>
  <c r="G5107" i="1"/>
  <c r="C5107" i="1"/>
  <c r="B5107" i="1"/>
  <c r="G5106" i="1"/>
  <c r="C5106" i="1"/>
  <c r="B5106" i="1"/>
  <c r="G5105" i="1"/>
  <c r="C5105" i="1"/>
  <c r="B5105" i="1"/>
  <c r="G5104" i="1"/>
  <c r="C5104" i="1"/>
  <c r="B5104" i="1"/>
  <c r="G5103" i="1"/>
  <c r="B5103" i="1"/>
  <c r="G5102" i="1"/>
  <c r="C5102" i="1"/>
  <c r="B5102" i="1"/>
  <c r="G5101" i="1"/>
  <c r="B5101" i="1"/>
  <c r="G5100" i="1"/>
  <c r="C5100" i="1"/>
  <c r="B5100" i="1"/>
  <c r="G5099" i="1"/>
  <c r="C5099" i="1"/>
  <c r="B5099" i="1"/>
  <c r="G5098" i="1"/>
  <c r="B5098" i="1"/>
  <c r="G5097" i="1"/>
  <c r="B5097" i="1"/>
  <c r="G5096" i="1"/>
  <c r="C5096" i="1"/>
  <c r="B5096" i="1"/>
  <c r="G5095" i="1"/>
  <c r="B5095" i="1"/>
  <c r="G5094" i="1"/>
  <c r="C5094" i="1"/>
  <c r="B5094" i="1"/>
  <c r="G5093" i="1"/>
  <c r="C5093" i="1"/>
  <c r="B5093" i="1"/>
  <c r="G5092" i="1"/>
  <c r="C5092" i="1"/>
  <c r="B5092" i="1"/>
  <c r="G5091" i="1"/>
  <c r="C5091" i="1"/>
  <c r="B5091" i="1"/>
  <c r="G5090" i="1"/>
  <c r="B5090" i="1"/>
  <c r="G5089" i="1"/>
  <c r="C5089" i="1"/>
  <c r="B5089" i="1"/>
  <c r="G5088" i="1"/>
  <c r="C5088" i="1"/>
  <c r="B5088" i="1"/>
  <c r="G5087" i="1"/>
  <c r="C5087" i="1"/>
  <c r="B5087" i="1"/>
  <c r="G5086" i="1"/>
  <c r="C5086" i="1"/>
  <c r="B5086" i="1"/>
  <c r="G5085" i="1"/>
  <c r="B5085" i="1"/>
  <c r="G5084" i="1"/>
  <c r="C5084" i="1"/>
  <c r="B5084" i="1"/>
  <c r="G5083" i="1"/>
  <c r="C5083" i="1"/>
  <c r="B5083" i="1"/>
  <c r="G5082" i="1"/>
  <c r="C5082" i="1"/>
  <c r="B5082" i="1"/>
  <c r="G5081" i="1"/>
  <c r="C5081" i="1"/>
  <c r="B5081" i="1"/>
  <c r="G5080" i="1"/>
  <c r="C5080" i="1"/>
  <c r="B5080" i="1"/>
  <c r="G5079" i="1"/>
  <c r="C5079" i="1"/>
  <c r="B5079" i="1"/>
  <c r="G5078" i="1"/>
  <c r="C5078" i="1"/>
  <c r="B5078" i="1"/>
  <c r="G5077" i="1"/>
  <c r="B5077" i="1"/>
  <c r="G5076" i="1"/>
  <c r="C5076" i="1"/>
  <c r="B5076" i="1"/>
  <c r="G5075" i="1"/>
  <c r="B5075" i="1"/>
  <c r="G5074" i="1"/>
  <c r="C5074" i="1"/>
  <c r="B5074" i="1"/>
  <c r="G5073" i="1"/>
  <c r="B5073" i="1"/>
  <c r="G5072" i="1"/>
  <c r="B5072" i="1"/>
  <c r="G5071" i="1"/>
  <c r="C5071" i="1"/>
  <c r="B5071" i="1"/>
  <c r="G5070" i="1"/>
  <c r="C5070" i="1"/>
  <c r="B5070" i="1"/>
  <c r="G5069" i="1"/>
  <c r="B5069" i="1"/>
  <c r="G5068" i="1"/>
  <c r="C5068" i="1"/>
  <c r="B5068" i="1"/>
  <c r="G5067" i="1"/>
  <c r="B5067" i="1"/>
  <c r="G5066" i="1"/>
  <c r="C5066" i="1"/>
  <c r="B5066" i="1"/>
  <c r="G5065" i="1"/>
  <c r="B5065" i="1"/>
  <c r="G5064" i="1"/>
  <c r="B5064" i="1"/>
  <c r="G5063" i="1"/>
  <c r="C5063" i="1"/>
  <c r="B5063" i="1"/>
  <c r="G5062" i="1"/>
  <c r="B5062" i="1"/>
  <c r="G5061" i="1"/>
  <c r="B5061" i="1"/>
  <c r="G5060" i="1"/>
  <c r="C5060" i="1"/>
  <c r="B5060" i="1"/>
  <c r="G5059" i="1"/>
  <c r="C5059" i="1"/>
  <c r="B5059" i="1"/>
  <c r="G5058" i="1"/>
  <c r="C5058" i="1"/>
  <c r="B5058" i="1"/>
  <c r="G5057" i="1"/>
  <c r="C5057" i="1"/>
  <c r="B5057" i="1"/>
  <c r="G5056" i="1"/>
  <c r="B5056" i="1"/>
  <c r="G5055" i="1"/>
  <c r="C5055" i="1"/>
  <c r="B5055" i="1"/>
  <c r="G5054" i="1"/>
  <c r="B5054" i="1"/>
  <c r="G5053" i="1"/>
  <c r="C5053" i="1"/>
  <c r="B5053" i="1"/>
  <c r="G5052" i="1"/>
  <c r="B5052" i="1"/>
  <c r="G5051" i="1"/>
  <c r="C5051" i="1"/>
  <c r="B5051" i="1"/>
  <c r="G5050" i="1"/>
  <c r="B5050" i="1"/>
  <c r="G5049" i="1"/>
  <c r="C5049" i="1"/>
  <c r="B5049" i="1"/>
  <c r="G5048" i="1"/>
  <c r="B5048" i="1"/>
  <c r="G5047" i="1"/>
  <c r="B5047" i="1"/>
  <c r="G5046" i="1"/>
  <c r="C5046" i="1"/>
  <c r="B5046" i="1"/>
  <c r="G5045" i="1"/>
  <c r="B5045" i="1"/>
  <c r="G5044" i="1"/>
  <c r="C5044" i="1"/>
  <c r="B5044" i="1"/>
  <c r="G5043" i="1"/>
  <c r="C5043" i="1"/>
  <c r="B5043" i="1"/>
  <c r="G5042" i="1"/>
  <c r="C5042" i="1"/>
  <c r="B5042" i="1"/>
  <c r="G5041" i="1"/>
  <c r="C5041" i="1"/>
  <c r="B5041" i="1"/>
  <c r="G5040" i="1"/>
  <c r="B5040" i="1"/>
  <c r="G5039" i="1"/>
  <c r="B5039" i="1"/>
  <c r="G5038" i="1"/>
  <c r="C5038" i="1"/>
  <c r="B5038" i="1"/>
  <c r="G5037" i="1"/>
  <c r="C5037" i="1"/>
  <c r="B5037" i="1"/>
  <c r="G5036" i="1"/>
  <c r="B5036" i="1"/>
  <c r="G5035" i="1"/>
  <c r="B5035" i="1"/>
  <c r="G5034" i="1"/>
  <c r="B5034" i="1"/>
  <c r="G5033" i="1"/>
  <c r="C5033" i="1"/>
  <c r="B5033" i="1"/>
  <c r="G5032" i="1"/>
  <c r="C5032" i="1"/>
  <c r="B5032" i="1"/>
  <c r="G5031" i="1"/>
  <c r="C5031" i="1"/>
  <c r="B5031" i="1"/>
  <c r="G5030" i="1"/>
  <c r="B5030" i="1"/>
  <c r="G5029" i="1"/>
  <c r="C5029" i="1"/>
  <c r="B5029" i="1"/>
  <c r="G5028" i="1"/>
  <c r="B5028" i="1"/>
  <c r="G5027" i="1"/>
  <c r="C5027" i="1"/>
  <c r="B5027" i="1"/>
  <c r="G5026" i="1"/>
  <c r="C5026" i="1"/>
  <c r="B5026" i="1"/>
  <c r="G5025" i="1"/>
  <c r="C5025" i="1"/>
  <c r="B5025" i="1"/>
  <c r="G5024" i="1"/>
  <c r="B5024" i="1"/>
  <c r="G5023" i="1"/>
  <c r="C5023" i="1"/>
  <c r="B5023" i="1"/>
  <c r="G5022" i="1"/>
  <c r="C5022" i="1"/>
  <c r="B5022" i="1"/>
  <c r="G5021" i="1"/>
  <c r="C5021" i="1"/>
  <c r="B5021" i="1"/>
  <c r="G5020" i="1"/>
  <c r="B5020" i="1"/>
  <c r="G5019" i="1"/>
  <c r="C5019" i="1"/>
  <c r="B5019" i="1"/>
  <c r="G5018" i="1"/>
  <c r="C5018" i="1"/>
  <c r="B5018" i="1"/>
  <c r="G5017" i="1"/>
  <c r="C5017" i="1"/>
  <c r="B5017" i="1"/>
  <c r="G5016" i="1"/>
  <c r="C5016" i="1"/>
  <c r="B5016" i="1"/>
  <c r="G5015" i="1"/>
  <c r="C5015" i="1"/>
  <c r="B5015" i="1"/>
  <c r="G5014" i="1"/>
  <c r="C5014" i="1"/>
  <c r="B5014" i="1"/>
  <c r="G5013" i="1"/>
  <c r="B5013" i="1"/>
  <c r="G5012" i="1"/>
  <c r="C5012" i="1"/>
  <c r="B5012" i="1"/>
  <c r="G5011" i="1"/>
  <c r="C5011" i="1"/>
  <c r="B5011" i="1"/>
  <c r="G5010" i="1"/>
  <c r="B5010" i="1"/>
  <c r="G5009" i="1"/>
  <c r="B5009" i="1"/>
  <c r="G5008" i="1"/>
  <c r="B5008" i="1"/>
  <c r="G5007" i="1"/>
  <c r="C5007" i="1"/>
  <c r="B5007" i="1"/>
  <c r="G5006" i="1"/>
  <c r="C5006" i="1"/>
  <c r="B5006" i="1"/>
  <c r="G5005" i="1"/>
  <c r="C5005" i="1"/>
  <c r="B5005" i="1"/>
  <c r="G5004" i="1"/>
  <c r="C5004" i="1"/>
  <c r="B5004" i="1"/>
  <c r="G5003" i="1"/>
  <c r="B5003" i="1"/>
  <c r="G5002" i="1"/>
  <c r="B5002" i="1"/>
  <c r="G5001" i="1"/>
  <c r="C5001" i="1"/>
  <c r="B5001" i="1"/>
  <c r="G5000" i="1"/>
  <c r="C5000" i="1"/>
  <c r="B5000" i="1"/>
  <c r="G4999" i="1"/>
  <c r="C4999" i="1"/>
  <c r="B4999" i="1"/>
  <c r="G4998" i="1"/>
  <c r="B4998" i="1"/>
  <c r="G4997" i="1"/>
  <c r="C4997" i="1"/>
  <c r="B4997" i="1"/>
  <c r="G4996" i="1"/>
  <c r="C4996" i="1"/>
  <c r="B4996" i="1"/>
  <c r="G4995" i="1"/>
  <c r="C4995" i="1"/>
  <c r="B4995" i="1"/>
  <c r="G4994" i="1"/>
  <c r="B4994" i="1"/>
  <c r="G4993" i="1"/>
  <c r="C4993" i="1"/>
  <c r="B4993" i="1"/>
  <c r="G4992" i="1"/>
  <c r="C4992" i="1"/>
  <c r="B4992" i="1"/>
  <c r="G4991" i="1"/>
  <c r="C4991" i="1"/>
  <c r="B4991" i="1"/>
  <c r="G4990" i="1"/>
  <c r="B4990" i="1"/>
  <c r="G4989" i="1"/>
  <c r="C4989" i="1"/>
  <c r="B4989" i="1"/>
  <c r="G4988" i="1"/>
  <c r="C4988" i="1"/>
  <c r="B4988" i="1"/>
  <c r="G4987" i="1"/>
  <c r="C4987" i="1"/>
  <c r="B4987" i="1"/>
  <c r="G4986" i="1"/>
  <c r="C4986" i="1"/>
  <c r="B4986" i="1"/>
  <c r="G4985" i="1"/>
  <c r="B4985" i="1"/>
  <c r="G4984" i="1"/>
  <c r="C4984" i="1"/>
  <c r="B4984" i="1"/>
  <c r="G4983" i="1"/>
  <c r="B4983" i="1"/>
  <c r="G4982" i="1"/>
  <c r="C4982" i="1"/>
  <c r="B4982" i="1"/>
  <c r="G4981" i="1"/>
  <c r="C4981" i="1"/>
  <c r="B4981" i="1"/>
  <c r="G4980" i="1"/>
  <c r="B4980" i="1"/>
  <c r="G4979" i="1"/>
  <c r="C4979" i="1"/>
  <c r="B4979" i="1"/>
  <c r="G4978" i="1"/>
  <c r="C4978" i="1"/>
  <c r="B4978" i="1"/>
  <c r="G4977" i="1"/>
  <c r="C4977" i="1"/>
  <c r="B4977" i="1"/>
  <c r="G4976" i="1"/>
  <c r="C4976" i="1"/>
  <c r="B4976" i="1"/>
  <c r="G4975" i="1"/>
  <c r="C4975" i="1"/>
  <c r="B4975" i="1"/>
  <c r="G4974" i="1"/>
  <c r="C4974" i="1"/>
  <c r="B4974" i="1"/>
  <c r="G4973" i="1"/>
  <c r="C4973" i="1"/>
  <c r="B4973" i="1"/>
  <c r="G4972" i="1"/>
  <c r="C4972" i="1"/>
  <c r="B4972" i="1"/>
  <c r="G4971" i="1"/>
  <c r="C4971" i="1"/>
  <c r="B4971" i="1"/>
  <c r="G4970" i="1"/>
  <c r="C4970" i="1"/>
  <c r="B4970" i="1"/>
  <c r="G4969" i="1"/>
  <c r="C4969" i="1"/>
  <c r="B4969" i="1"/>
  <c r="G4968" i="1"/>
  <c r="C4968" i="1"/>
  <c r="B4968" i="1"/>
  <c r="G4967" i="1"/>
  <c r="C4967" i="1"/>
  <c r="B4967" i="1"/>
  <c r="G4966" i="1"/>
  <c r="C4966" i="1"/>
  <c r="B4966" i="1"/>
  <c r="G4965" i="1"/>
  <c r="C4965" i="1"/>
  <c r="B4965" i="1"/>
  <c r="G4964" i="1"/>
  <c r="C4964" i="1"/>
  <c r="B4964" i="1"/>
  <c r="G4963" i="1"/>
  <c r="C4963" i="1"/>
  <c r="B4963" i="1"/>
  <c r="G4962" i="1"/>
  <c r="C4962" i="1"/>
  <c r="B4962" i="1"/>
  <c r="G4961" i="1"/>
  <c r="C4961" i="1"/>
  <c r="B4961" i="1"/>
  <c r="G4960" i="1"/>
  <c r="B4960" i="1"/>
  <c r="G4959" i="1"/>
  <c r="C4959" i="1"/>
  <c r="B4959" i="1"/>
  <c r="G4958" i="1"/>
  <c r="C4958" i="1"/>
  <c r="B4958" i="1"/>
  <c r="G4957" i="1"/>
  <c r="C4957" i="1"/>
  <c r="B4957" i="1"/>
  <c r="G4956" i="1"/>
  <c r="C4956" i="1"/>
  <c r="B4956" i="1"/>
  <c r="G4955" i="1"/>
  <c r="C4955" i="1"/>
  <c r="B4955" i="1"/>
  <c r="G4954" i="1"/>
  <c r="B4954" i="1"/>
  <c r="G4953" i="1"/>
  <c r="B4953" i="1"/>
  <c r="G4952" i="1"/>
  <c r="B4952" i="1"/>
  <c r="G4951" i="1"/>
  <c r="C4951" i="1"/>
  <c r="B4951" i="1"/>
  <c r="G4950" i="1"/>
  <c r="C4950" i="1"/>
  <c r="B4950" i="1"/>
  <c r="G4949" i="1"/>
  <c r="C4949" i="1"/>
  <c r="B4949" i="1"/>
  <c r="G4948" i="1"/>
  <c r="C4948" i="1"/>
  <c r="B4948" i="1"/>
  <c r="G4947" i="1"/>
  <c r="C4947" i="1"/>
  <c r="B4947" i="1"/>
  <c r="G4946" i="1"/>
  <c r="C4946" i="1"/>
  <c r="B4946" i="1"/>
  <c r="G4945" i="1"/>
  <c r="C4945" i="1"/>
  <c r="B4945" i="1"/>
  <c r="G4944" i="1"/>
  <c r="C4944" i="1"/>
  <c r="B4944" i="1"/>
  <c r="G4943" i="1"/>
  <c r="B4943" i="1"/>
  <c r="G4942" i="1"/>
  <c r="C4942" i="1"/>
  <c r="B4942" i="1"/>
  <c r="G4941" i="1"/>
  <c r="C4941" i="1"/>
  <c r="B4941" i="1"/>
  <c r="G4940" i="1"/>
  <c r="B4940" i="1"/>
  <c r="G4939" i="1"/>
  <c r="C4939" i="1"/>
  <c r="B4939" i="1"/>
  <c r="G4938" i="1"/>
  <c r="B4938" i="1"/>
  <c r="G4937" i="1"/>
  <c r="C4937" i="1"/>
  <c r="B4937" i="1"/>
  <c r="G4936" i="1"/>
  <c r="C4936" i="1"/>
  <c r="B4936" i="1"/>
  <c r="G4935" i="1"/>
  <c r="C4935" i="1"/>
  <c r="B4935" i="1"/>
  <c r="G4934" i="1"/>
  <c r="C4934" i="1"/>
  <c r="B4934" i="1"/>
  <c r="G4933" i="1"/>
  <c r="B4933" i="1"/>
  <c r="G4932" i="1"/>
  <c r="B4932" i="1"/>
  <c r="G4931" i="1"/>
  <c r="C4931" i="1"/>
  <c r="B4931" i="1"/>
  <c r="G4930" i="1"/>
  <c r="C4930" i="1"/>
  <c r="B4930" i="1"/>
  <c r="G4929" i="1"/>
  <c r="C4929" i="1"/>
  <c r="B4929" i="1"/>
  <c r="G4928" i="1"/>
  <c r="C4928" i="1"/>
  <c r="B4928" i="1"/>
  <c r="G4927" i="1"/>
  <c r="C4927" i="1"/>
  <c r="B4927" i="1"/>
  <c r="G4926" i="1"/>
  <c r="C4926" i="1"/>
  <c r="B4926" i="1"/>
  <c r="G4925" i="1"/>
  <c r="C4925" i="1"/>
  <c r="B4925" i="1"/>
  <c r="G4924" i="1"/>
  <c r="C4924" i="1"/>
  <c r="B4924" i="1"/>
  <c r="G4923" i="1"/>
  <c r="C4923" i="1"/>
  <c r="B4923" i="1"/>
  <c r="G4922" i="1"/>
  <c r="C4922" i="1"/>
  <c r="B4922" i="1"/>
  <c r="G4921" i="1"/>
  <c r="C4921" i="1"/>
  <c r="B4921" i="1"/>
  <c r="G4920" i="1"/>
  <c r="C4920" i="1"/>
  <c r="B4920" i="1"/>
  <c r="G4919" i="1"/>
  <c r="C4919" i="1"/>
  <c r="B4919" i="1"/>
  <c r="G4918" i="1"/>
  <c r="C4918" i="1"/>
  <c r="B4918" i="1"/>
  <c r="G4917" i="1"/>
  <c r="C4917" i="1"/>
  <c r="B4917" i="1"/>
  <c r="G4916" i="1"/>
  <c r="C4916" i="1"/>
  <c r="B4916" i="1"/>
  <c r="G4915" i="1"/>
  <c r="C4915" i="1"/>
  <c r="B4915" i="1"/>
  <c r="G4914" i="1"/>
  <c r="C4914" i="1"/>
  <c r="B4914" i="1"/>
  <c r="G4913" i="1"/>
  <c r="C4913" i="1"/>
  <c r="B4913" i="1"/>
  <c r="G4912" i="1"/>
  <c r="B4912" i="1"/>
  <c r="G4911" i="1"/>
  <c r="C4911" i="1"/>
  <c r="B4911" i="1"/>
  <c r="G4910" i="1"/>
  <c r="C4910" i="1"/>
  <c r="B4910" i="1"/>
  <c r="G4909" i="1"/>
  <c r="C4909" i="1"/>
  <c r="B4909" i="1"/>
  <c r="G4908" i="1"/>
  <c r="C4908" i="1"/>
  <c r="B4908" i="1"/>
  <c r="G4907" i="1"/>
  <c r="B4907" i="1"/>
  <c r="G4906" i="1"/>
  <c r="C4906" i="1"/>
  <c r="B4906" i="1"/>
  <c r="G4905" i="1"/>
  <c r="C4905" i="1"/>
  <c r="B4905" i="1"/>
  <c r="G4904" i="1"/>
  <c r="C4904" i="1"/>
  <c r="B4904" i="1"/>
  <c r="G4903" i="1"/>
  <c r="B4903" i="1"/>
  <c r="G4902" i="1"/>
  <c r="B4902" i="1"/>
  <c r="G4901" i="1"/>
  <c r="C4901" i="1"/>
  <c r="B4901" i="1"/>
  <c r="G4900" i="1"/>
  <c r="B4900" i="1"/>
  <c r="G4899" i="1"/>
  <c r="C4899" i="1"/>
  <c r="B4899" i="1"/>
  <c r="G4898" i="1"/>
  <c r="C4898" i="1"/>
  <c r="B4898" i="1"/>
  <c r="G4897" i="1"/>
  <c r="C4897" i="1"/>
  <c r="B4897" i="1"/>
  <c r="G4896" i="1"/>
  <c r="C4896" i="1"/>
  <c r="B4896" i="1"/>
  <c r="G4895" i="1"/>
  <c r="C4895" i="1"/>
  <c r="B4895" i="1"/>
  <c r="G4894" i="1"/>
  <c r="C4894" i="1"/>
  <c r="B4894" i="1"/>
  <c r="G4893" i="1"/>
  <c r="C4893" i="1"/>
  <c r="B4893" i="1"/>
  <c r="G4892" i="1"/>
  <c r="C4892" i="1"/>
  <c r="B4892" i="1"/>
  <c r="G4891" i="1"/>
  <c r="C4891" i="1"/>
  <c r="B4891" i="1"/>
  <c r="G4890" i="1"/>
  <c r="C4890" i="1"/>
  <c r="B4890" i="1"/>
  <c r="G4889" i="1"/>
  <c r="C4889" i="1"/>
  <c r="B4889" i="1"/>
  <c r="G4888" i="1"/>
  <c r="B4888" i="1"/>
  <c r="G4887" i="1"/>
  <c r="C4887" i="1"/>
  <c r="B4887" i="1"/>
  <c r="G4886" i="1"/>
  <c r="C4886" i="1"/>
  <c r="B4886" i="1"/>
  <c r="G4885" i="1"/>
  <c r="C4885" i="1"/>
  <c r="B4885" i="1"/>
  <c r="G4884" i="1"/>
  <c r="C4884" i="1"/>
  <c r="B4884" i="1"/>
  <c r="G4883" i="1"/>
  <c r="C4883" i="1"/>
  <c r="B4883" i="1"/>
  <c r="G4882" i="1"/>
  <c r="C4882" i="1"/>
  <c r="B4882" i="1"/>
  <c r="G4881" i="1"/>
  <c r="C4881" i="1"/>
  <c r="B4881" i="1"/>
  <c r="G4880" i="1"/>
  <c r="C4880" i="1"/>
  <c r="B4880" i="1"/>
  <c r="G4879" i="1"/>
  <c r="C4879" i="1"/>
  <c r="B4879" i="1"/>
  <c r="G4878" i="1"/>
  <c r="B4878" i="1"/>
  <c r="G4877" i="1"/>
  <c r="C4877" i="1"/>
  <c r="B4877" i="1"/>
  <c r="G4876" i="1"/>
  <c r="C4876" i="1"/>
  <c r="B4876" i="1"/>
  <c r="G4875" i="1"/>
  <c r="C4875" i="1"/>
  <c r="B4875" i="1"/>
  <c r="G4874" i="1"/>
  <c r="B4874" i="1"/>
  <c r="G4873" i="1"/>
  <c r="C4873" i="1"/>
  <c r="B4873" i="1"/>
  <c r="G4872" i="1"/>
  <c r="B4872" i="1"/>
  <c r="G4871" i="1"/>
  <c r="C4871" i="1"/>
  <c r="B4871" i="1"/>
  <c r="G4870" i="1"/>
  <c r="C4870" i="1"/>
  <c r="B4870" i="1"/>
  <c r="G4869" i="1"/>
  <c r="C4869" i="1"/>
  <c r="B4869" i="1"/>
  <c r="G4868" i="1"/>
  <c r="B4868" i="1"/>
  <c r="G4867" i="1"/>
  <c r="C4867" i="1"/>
  <c r="B4867" i="1"/>
  <c r="G4866" i="1"/>
  <c r="C4866" i="1"/>
  <c r="B4866" i="1"/>
  <c r="G4865" i="1"/>
  <c r="C4865" i="1"/>
  <c r="B4865" i="1"/>
  <c r="G4864" i="1"/>
  <c r="C4864" i="1"/>
  <c r="B4864" i="1"/>
  <c r="G4863" i="1"/>
  <c r="C4863" i="1"/>
  <c r="B4863" i="1"/>
  <c r="G4862" i="1"/>
  <c r="C4862" i="1"/>
  <c r="B4862" i="1"/>
  <c r="G4861" i="1"/>
  <c r="B4861" i="1"/>
  <c r="G4860" i="1"/>
  <c r="C4860" i="1"/>
  <c r="B4860" i="1"/>
  <c r="G4859" i="1"/>
  <c r="C4859" i="1"/>
  <c r="B4859" i="1"/>
  <c r="G4858" i="1"/>
  <c r="C4858" i="1"/>
  <c r="B4858" i="1"/>
  <c r="G4857" i="1"/>
  <c r="B4857" i="1"/>
  <c r="G4856" i="1"/>
  <c r="C4856" i="1"/>
  <c r="B4856" i="1"/>
  <c r="G4855" i="1"/>
  <c r="B4855" i="1"/>
  <c r="G4854" i="1"/>
  <c r="B4854" i="1"/>
  <c r="G4853" i="1"/>
  <c r="C4853" i="1"/>
  <c r="B4853" i="1"/>
  <c r="G4852" i="1"/>
  <c r="C4852" i="1"/>
  <c r="B4852" i="1"/>
  <c r="G4851" i="1"/>
  <c r="B4851" i="1"/>
  <c r="G4850" i="1"/>
  <c r="C4850" i="1"/>
  <c r="B4850" i="1"/>
  <c r="G4849" i="1"/>
  <c r="C4849" i="1"/>
  <c r="B4849" i="1"/>
  <c r="G4848" i="1"/>
  <c r="C4848" i="1"/>
  <c r="B4848" i="1"/>
  <c r="G4847" i="1"/>
  <c r="C4847" i="1"/>
  <c r="B4847" i="1"/>
  <c r="G4846" i="1"/>
  <c r="B4846" i="1"/>
  <c r="G4845" i="1"/>
  <c r="B4845" i="1"/>
  <c r="G4844" i="1"/>
  <c r="B4844" i="1"/>
  <c r="G4843" i="1"/>
  <c r="C4843" i="1"/>
  <c r="B4843" i="1"/>
  <c r="G4842" i="1"/>
  <c r="C4842" i="1"/>
  <c r="B4842" i="1"/>
  <c r="G4841" i="1"/>
  <c r="B4841" i="1"/>
  <c r="G4840" i="1"/>
  <c r="C4840" i="1"/>
  <c r="B4840" i="1"/>
  <c r="G4839" i="1"/>
  <c r="B4839" i="1"/>
  <c r="G4838" i="1"/>
  <c r="C4838" i="1"/>
  <c r="B4838" i="1"/>
  <c r="G4837" i="1"/>
  <c r="C4837" i="1"/>
  <c r="B4837" i="1"/>
  <c r="G4836" i="1"/>
  <c r="C4836" i="1"/>
  <c r="B4836" i="1"/>
  <c r="G4835" i="1"/>
  <c r="B4835" i="1"/>
  <c r="G4834" i="1"/>
  <c r="C4834" i="1"/>
  <c r="B4834" i="1"/>
  <c r="G4833" i="1"/>
  <c r="B4833" i="1"/>
  <c r="G4832" i="1"/>
  <c r="C4832" i="1"/>
  <c r="B4832" i="1"/>
  <c r="G4831" i="1"/>
  <c r="C4831" i="1"/>
  <c r="B4831" i="1"/>
  <c r="G4830" i="1"/>
  <c r="B4830" i="1"/>
  <c r="G4829" i="1"/>
  <c r="B4829" i="1"/>
  <c r="G4828" i="1"/>
  <c r="B4828" i="1"/>
  <c r="G4827" i="1"/>
  <c r="C4827" i="1"/>
  <c r="B4827" i="1"/>
  <c r="G4826" i="1"/>
  <c r="C4826" i="1"/>
  <c r="B4826" i="1"/>
  <c r="G4825" i="1"/>
  <c r="B4825" i="1"/>
  <c r="G4824" i="1"/>
  <c r="B4824" i="1"/>
  <c r="G4823" i="1"/>
  <c r="C4823" i="1"/>
  <c r="B4823" i="1"/>
  <c r="G4822" i="1"/>
  <c r="C4822" i="1"/>
  <c r="B4822" i="1"/>
  <c r="G4821" i="1"/>
  <c r="B4821" i="1"/>
  <c r="G4820" i="1"/>
  <c r="C4820" i="1"/>
  <c r="B4820" i="1"/>
  <c r="G4819" i="1"/>
  <c r="C4819" i="1"/>
  <c r="B4819" i="1"/>
  <c r="G4818" i="1"/>
  <c r="B4818" i="1"/>
  <c r="G4817" i="1"/>
  <c r="C4817" i="1"/>
  <c r="B4817" i="1"/>
  <c r="G4816" i="1"/>
  <c r="C4816" i="1"/>
  <c r="B4816" i="1"/>
  <c r="G4815" i="1"/>
  <c r="C4815" i="1"/>
  <c r="B4815" i="1"/>
  <c r="G4814" i="1"/>
  <c r="B4814" i="1"/>
  <c r="G4813" i="1"/>
  <c r="B4813" i="1"/>
  <c r="G4812" i="1"/>
  <c r="C4812" i="1"/>
  <c r="B4812" i="1"/>
  <c r="G4811" i="1"/>
  <c r="B4811" i="1"/>
  <c r="G4810" i="1"/>
  <c r="C4810" i="1"/>
  <c r="B4810" i="1"/>
  <c r="G4809" i="1"/>
  <c r="C4809" i="1"/>
  <c r="B4809" i="1"/>
  <c r="G4808" i="1"/>
  <c r="B4808" i="1"/>
  <c r="G4807" i="1"/>
  <c r="B4807" i="1"/>
  <c r="G4806" i="1"/>
  <c r="C4806" i="1"/>
  <c r="B4806" i="1"/>
  <c r="G4805" i="1"/>
  <c r="C4805" i="1"/>
  <c r="B4805" i="1"/>
  <c r="G4804" i="1"/>
  <c r="C4804" i="1"/>
  <c r="B4804" i="1"/>
  <c r="G4803" i="1"/>
  <c r="C4803" i="1"/>
  <c r="B4803" i="1"/>
  <c r="G4802" i="1"/>
  <c r="B4802" i="1"/>
  <c r="G4801" i="1"/>
  <c r="C4801" i="1"/>
  <c r="B4801" i="1"/>
  <c r="G4800" i="1"/>
  <c r="C4800" i="1"/>
  <c r="B4800" i="1"/>
  <c r="G4799" i="1"/>
  <c r="B4799" i="1"/>
  <c r="G4798" i="1"/>
  <c r="C4798" i="1"/>
  <c r="B4798" i="1"/>
  <c r="G4797" i="1"/>
  <c r="C4797" i="1"/>
  <c r="B4797" i="1"/>
  <c r="G4796" i="1"/>
  <c r="C4796" i="1"/>
  <c r="B4796" i="1"/>
  <c r="G4795" i="1"/>
  <c r="B4795" i="1"/>
  <c r="G4794" i="1"/>
  <c r="C4794" i="1"/>
  <c r="B4794" i="1"/>
  <c r="G4793" i="1"/>
  <c r="C4793" i="1"/>
  <c r="B4793" i="1"/>
  <c r="G4792" i="1"/>
  <c r="C4792" i="1"/>
  <c r="B4792" i="1"/>
  <c r="G4791" i="1"/>
  <c r="C4791" i="1"/>
  <c r="B4791" i="1"/>
  <c r="G4790" i="1"/>
  <c r="C4790" i="1"/>
  <c r="B4790" i="1"/>
  <c r="G4789" i="1"/>
  <c r="C4789" i="1"/>
  <c r="B4789" i="1"/>
  <c r="G4788" i="1"/>
  <c r="C4788" i="1"/>
  <c r="B4788" i="1"/>
  <c r="G4787" i="1"/>
  <c r="B4787" i="1"/>
  <c r="G4786" i="1"/>
  <c r="B4786" i="1"/>
  <c r="G4785" i="1"/>
  <c r="C4785" i="1"/>
  <c r="B4785" i="1"/>
  <c r="G4784" i="1"/>
  <c r="B4784" i="1"/>
  <c r="G4783" i="1"/>
  <c r="C4783" i="1"/>
  <c r="B4783" i="1"/>
  <c r="G4782" i="1"/>
  <c r="C4782" i="1"/>
  <c r="B4782" i="1"/>
  <c r="G4781" i="1"/>
  <c r="B4781" i="1"/>
  <c r="G4780" i="1"/>
  <c r="B4780" i="1"/>
  <c r="G4779" i="1"/>
  <c r="C4779" i="1"/>
  <c r="B4779" i="1"/>
  <c r="G4778" i="1"/>
  <c r="C4778" i="1"/>
  <c r="B4778" i="1"/>
  <c r="G4777" i="1"/>
  <c r="C4777" i="1"/>
  <c r="B4777" i="1"/>
  <c r="G4776" i="1"/>
  <c r="C4776" i="1"/>
  <c r="B4776" i="1"/>
  <c r="G4775" i="1"/>
  <c r="B4775" i="1"/>
  <c r="G4774" i="1"/>
  <c r="C4774" i="1"/>
  <c r="B4774" i="1"/>
  <c r="G4773" i="1"/>
  <c r="C4773" i="1"/>
  <c r="B4773" i="1"/>
  <c r="G4772" i="1"/>
  <c r="C4772" i="1"/>
  <c r="B4772" i="1"/>
  <c r="G4771" i="1"/>
  <c r="C4771" i="1"/>
  <c r="B4771" i="1"/>
  <c r="G4770" i="1"/>
  <c r="C4770" i="1"/>
  <c r="B4770" i="1"/>
  <c r="G4769" i="1"/>
  <c r="C4769" i="1"/>
  <c r="B4769" i="1"/>
  <c r="G4768" i="1"/>
  <c r="C4768" i="1"/>
  <c r="B4768" i="1"/>
  <c r="G4767" i="1"/>
  <c r="C4767" i="1"/>
  <c r="B4767" i="1"/>
  <c r="G4766" i="1"/>
  <c r="C4766" i="1"/>
  <c r="B4766" i="1"/>
  <c r="G4765" i="1"/>
  <c r="C4765" i="1"/>
  <c r="B4765" i="1"/>
  <c r="G4764" i="1"/>
  <c r="C4764" i="1"/>
  <c r="B4764" i="1"/>
  <c r="G4763" i="1"/>
  <c r="C4763" i="1"/>
  <c r="B4763" i="1"/>
  <c r="G4762" i="1"/>
  <c r="B4762" i="1"/>
  <c r="G4761" i="1"/>
  <c r="C4761" i="1"/>
  <c r="B4761" i="1"/>
  <c r="G4760" i="1"/>
  <c r="B4760" i="1"/>
  <c r="G4759" i="1"/>
  <c r="B4759" i="1"/>
  <c r="G4758" i="1"/>
  <c r="C4758" i="1"/>
  <c r="B4758" i="1"/>
  <c r="G4757" i="1"/>
  <c r="C4757" i="1"/>
  <c r="B4757" i="1"/>
  <c r="G4756" i="1"/>
  <c r="C4756" i="1"/>
  <c r="B4756" i="1"/>
  <c r="G4755" i="1"/>
  <c r="C4755" i="1"/>
  <c r="B4755" i="1"/>
  <c r="G4754" i="1"/>
  <c r="C4754" i="1"/>
  <c r="B4754" i="1"/>
  <c r="G4753" i="1"/>
  <c r="C4753" i="1"/>
  <c r="B4753" i="1"/>
  <c r="G4752" i="1"/>
  <c r="C4752" i="1"/>
  <c r="B4752" i="1"/>
  <c r="G4751" i="1"/>
  <c r="C4751" i="1"/>
  <c r="B4751" i="1"/>
  <c r="G4750" i="1"/>
  <c r="C4750" i="1"/>
  <c r="B4750" i="1"/>
  <c r="G4749" i="1"/>
  <c r="B4749" i="1"/>
  <c r="G4748" i="1"/>
  <c r="B4748" i="1"/>
  <c r="G4747" i="1"/>
  <c r="B4747" i="1"/>
  <c r="G4746" i="1"/>
  <c r="C4746" i="1"/>
  <c r="B4746" i="1"/>
  <c r="G4745" i="1"/>
  <c r="B4745" i="1"/>
  <c r="G4744" i="1"/>
  <c r="C4744" i="1"/>
  <c r="B4744" i="1"/>
  <c r="G4743" i="1"/>
  <c r="C4743" i="1"/>
  <c r="B4743" i="1"/>
  <c r="G4742" i="1"/>
  <c r="C4742" i="1"/>
  <c r="B4742" i="1"/>
  <c r="G4741" i="1"/>
  <c r="C4741" i="1"/>
  <c r="B4741" i="1"/>
  <c r="G4740" i="1"/>
  <c r="C4740" i="1"/>
  <c r="B4740" i="1"/>
  <c r="G4739" i="1"/>
  <c r="C4739" i="1"/>
  <c r="B4739" i="1"/>
  <c r="G4738" i="1"/>
  <c r="C4738" i="1"/>
  <c r="B4738" i="1"/>
  <c r="G4737" i="1"/>
  <c r="C4737" i="1"/>
  <c r="B4737" i="1"/>
  <c r="G4736" i="1"/>
  <c r="C4736" i="1"/>
  <c r="B4736" i="1"/>
  <c r="G4735" i="1"/>
  <c r="C4735" i="1"/>
  <c r="B4735" i="1"/>
  <c r="G4734" i="1"/>
  <c r="C4734" i="1"/>
  <c r="B4734" i="1"/>
  <c r="G4733" i="1"/>
  <c r="C4733" i="1"/>
  <c r="B4733" i="1"/>
  <c r="G4732" i="1"/>
  <c r="C4732" i="1"/>
  <c r="B4732" i="1"/>
  <c r="G4731" i="1"/>
  <c r="C4731" i="1"/>
  <c r="B4731" i="1"/>
  <c r="G4730" i="1"/>
  <c r="C4730" i="1"/>
  <c r="B4730" i="1"/>
  <c r="G4729" i="1"/>
  <c r="B4729" i="1"/>
  <c r="G4728" i="1"/>
  <c r="C4728" i="1"/>
  <c r="B4728" i="1"/>
  <c r="G4727" i="1"/>
  <c r="C4727" i="1"/>
  <c r="B4727" i="1"/>
  <c r="G4726" i="1"/>
  <c r="B4726" i="1"/>
  <c r="G4725" i="1"/>
  <c r="C4725" i="1"/>
  <c r="B4725" i="1"/>
  <c r="G4724" i="1"/>
  <c r="C4724" i="1"/>
  <c r="B4724" i="1"/>
  <c r="G4723" i="1"/>
  <c r="C4723" i="1"/>
  <c r="B4723" i="1"/>
  <c r="G4722" i="1"/>
  <c r="B4722" i="1"/>
  <c r="G4721" i="1"/>
  <c r="C4721" i="1"/>
  <c r="B4721" i="1"/>
  <c r="G4720" i="1"/>
  <c r="C4720" i="1"/>
  <c r="B4720" i="1"/>
  <c r="G4719" i="1"/>
  <c r="C4719" i="1"/>
  <c r="B4719" i="1"/>
  <c r="G4718" i="1"/>
  <c r="C4718" i="1"/>
  <c r="B4718" i="1"/>
  <c r="G4717" i="1"/>
  <c r="C4717" i="1"/>
  <c r="B4717" i="1"/>
  <c r="G4716" i="1"/>
  <c r="B4716" i="1"/>
  <c r="G4715" i="1"/>
  <c r="C4715" i="1"/>
  <c r="B4715" i="1"/>
  <c r="G4714" i="1"/>
  <c r="C4714" i="1"/>
  <c r="B4714" i="1"/>
  <c r="G4713" i="1"/>
  <c r="C4713" i="1"/>
  <c r="B4713" i="1"/>
  <c r="G4712" i="1"/>
  <c r="C4712" i="1"/>
  <c r="B4712" i="1"/>
  <c r="G4711" i="1"/>
  <c r="C4711" i="1"/>
  <c r="B4711" i="1"/>
  <c r="G4710" i="1"/>
  <c r="C4710" i="1"/>
  <c r="B4710" i="1"/>
  <c r="G4709" i="1"/>
  <c r="C4709" i="1"/>
  <c r="B4709" i="1"/>
  <c r="G4708" i="1"/>
  <c r="C4708" i="1"/>
  <c r="B4708" i="1"/>
  <c r="G4707" i="1"/>
  <c r="C4707" i="1"/>
  <c r="B4707" i="1"/>
  <c r="G4706" i="1"/>
  <c r="C4706" i="1"/>
  <c r="B4706" i="1"/>
  <c r="G4705" i="1"/>
  <c r="C4705" i="1"/>
  <c r="B4705" i="1"/>
  <c r="G4704" i="1"/>
  <c r="B4704" i="1"/>
  <c r="G4703" i="1"/>
  <c r="C4703" i="1"/>
  <c r="B4703" i="1"/>
  <c r="G4702" i="1"/>
  <c r="C4702" i="1"/>
  <c r="B4702" i="1"/>
  <c r="G4701" i="1"/>
  <c r="C4701" i="1"/>
  <c r="B4701" i="1"/>
  <c r="G4700" i="1"/>
  <c r="C4700" i="1"/>
  <c r="B4700" i="1"/>
  <c r="G4699" i="1"/>
  <c r="B4699" i="1"/>
  <c r="G4698" i="1"/>
  <c r="C4698" i="1"/>
  <c r="B4698" i="1"/>
  <c r="G4697" i="1"/>
  <c r="C4697" i="1"/>
  <c r="B4697" i="1"/>
  <c r="G4696" i="1"/>
  <c r="C4696" i="1"/>
  <c r="B4696" i="1"/>
  <c r="G4695" i="1"/>
  <c r="B4695" i="1"/>
  <c r="G4694" i="1"/>
  <c r="B4694" i="1"/>
  <c r="G4693" i="1"/>
  <c r="C4693" i="1"/>
  <c r="B4693" i="1"/>
  <c r="G4692" i="1"/>
  <c r="C4692" i="1"/>
  <c r="B4692" i="1"/>
  <c r="G4691" i="1"/>
  <c r="B4691" i="1"/>
  <c r="G4690" i="1"/>
  <c r="C4690" i="1"/>
  <c r="B4690" i="1"/>
  <c r="G4689" i="1"/>
  <c r="C4689" i="1"/>
  <c r="B4689" i="1"/>
  <c r="G4688" i="1"/>
  <c r="C4688" i="1"/>
  <c r="B4688" i="1"/>
  <c r="G4687" i="1"/>
  <c r="B4687" i="1"/>
  <c r="G4686" i="1"/>
  <c r="C4686" i="1"/>
  <c r="B4686" i="1"/>
  <c r="G4685" i="1"/>
  <c r="C4685" i="1"/>
  <c r="B4685" i="1"/>
  <c r="G4684" i="1"/>
  <c r="C4684" i="1"/>
  <c r="B4684" i="1"/>
  <c r="G4683" i="1"/>
  <c r="C4683" i="1"/>
  <c r="B4683" i="1"/>
  <c r="G4682" i="1"/>
  <c r="C4682" i="1"/>
  <c r="B4682" i="1"/>
  <c r="G4681" i="1"/>
  <c r="C4681" i="1"/>
  <c r="B4681" i="1"/>
  <c r="G4680" i="1"/>
  <c r="C4680" i="1"/>
  <c r="B4680" i="1"/>
  <c r="G4679" i="1"/>
  <c r="C4679" i="1"/>
  <c r="B4679" i="1"/>
  <c r="G4678" i="1"/>
  <c r="B4678" i="1"/>
  <c r="G4677" i="1"/>
  <c r="C4677" i="1"/>
  <c r="B4677" i="1"/>
  <c r="G4676" i="1"/>
  <c r="C4676" i="1"/>
  <c r="B4676" i="1"/>
  <c r="G4675" i="1"/>
  <c r="C4675" i="1"/>
  <c r="B4675" i="1"/>
  <c r="G4674" i="1"/>
  <c r="B4674" i="1"/>
  <c r="G4673" i="1"/>
  <c r="C4673" i="1"/>
  <c r="B4673" i="1"/>
  <c r="G4672" i="1"/>
  <c r="C4672" i="1"/>
  <c r="B4672" i="1"/>
  <c r="G4671" i="1"/>
  <c r="C4671" i="1"/>
  <c r="B4671" i="1"/>
  <c r="G4670" i="1"/>
  <c r="C4670" i="1"/>
  <c r="B4670" i="1"/>
  <c r="G4669" i="1"/>
  <c r="C4669" i="1"/>
  <c r="B4669" i="1"/>
  <c r="G4668" i="1"/>
  <c r="B4668" i="1"/>
  <c r="G4667" i="1"/>
  <c r="C4667" i="1"/>
  <c r="B4667" i="1"/>
  <c r="G4666" i="1"/>
  <c r="C4666" i="1"/>
  <c r="B4666" i="1"/>
  <c r="G4665" i="1"/>
  <c r="C4665" i="1"/>
  <c r="B4665" i="1"/>
  <c r="G4664" i="1"/>
  <c r="C4664" i="1"/>
  <c r="B4664" i="1"/>
  <c r="G4663" i="1"/>
  <c r="C4663" i="1"/>
  <c r="B4663" i="1"/>
  <c r="G4662" i="1"/>
  <c r="C4662" i="1"/>
  <c r="B4662" i="1"/>
  <c r="G4661" i="1"/>
  <c r="C4661" i="1"/>
  <c r="B4661" i="1"/>
  <c r="G4660" i="1"/>
  <c r="C4660" i="1"/>
  <c r="B4660" i="1"/>
  <c r="G4659" i="1"/>
  <c r="C4659" i="1"/>
  <c r="B4659" i="1"/>
  <c r="G4658" i="1"/>
  <c r="C4658" i="1"/>
  <c r="B4658" i="1"/>
  <c r="G4657" i="1"/>
  <c r="C4657" i="1"/>
  <c r="B4657" i="1"/>
  <c r="G4656" i="1"/>
  <c r="C4656" i="1"/>
  <c r="B4656" i="1"/>
  <c r="G4655" i="1"/>
  <c r="C4655" i="1"/>
  <c r="B4655" i="1"/>
  <c r="G4654" i="1"/>
  <c r="B4654" i="1"/>
  <c r="G4653" i="1"/>
  <c r="C4653" i="1"/>
  <c r="B4653" i="1"/>
  <c r="G4652" i="1"/>
  <c r="C4652" i="1"/>
  <c r="B4652" i="1"/>
  <c r="G4651" i="1"/>
  <c r="C4651" i="1"/>
  <c r="B4651" i="1"/>
  <c r="G4650" i="1"/>
  <c r="B4650" i="1"/>
  <c r="G4649" i="1"/>
  <c r="B4649" i="1"/>
  <c r="G4648" i="1"/>
  <c r="C4648" i="1"/>
  <c r="B4648" i="1"/>
  <c r="G4647" i="1"/>
  <c r="C4647" i="1"/>
  <c r="B4647" i="1"/>
  <c r="G4646" i="1"/>
  <c r="B4646" i="1"/>
  <c r="G4645" i="1"/>
  <c r="C4645" i="1"/>
  <c r="B4645" i="1"/>
  <c r="G4644" i="1"/>
  <c r="B4644" i="1"/>
  <c r="G4643" i="1"/>
  <c r="C4643" i="1"/>
  <c r="B4643" i="1"/>
  <c r="G4642" i="1"/>
  <c r="B4642" i="1"/>
  <c r="G4641" i="1"/>
  <c r="B4641" i="1"/>
  <c r="G4640" i="1"/>
  <c r="C4640" i="1"/>
  <c r="B4640" i="1"/>
  <c r="G4639" i="1"/>
  <c r="C4639" i="1"/>
  <c r="B4639" i="1"/>
  <c r="G4638" i="1"/>
  <c r="C4638" i="1"/>
  <c r="B4638" i="1"/>
  <c r="G4637" i="1"/>
  <c r="C4637" i="1"/>
  <c r="B4637" i="1"/>
  <c r="G4636" i="1"/>
  <c r="C4636" i="1"/>
  <c r="B4636" i="1"/>
  <c r="G4635" i="1"/>
  <c r="B4635" i="1"/>
  <c r="G4634" i="1"/>
  <c r="C4634" i="1"/>
  <c r="B4634" i="1"/>
  <c r="G4633" i="1"/>
  <c r="C4633" i="1"/>
  <c r="B4633" i="1"/>
  <c r="G4632" i="1"/>
  <c r="C4632" i="1"/>
  <c r="B4632" i="1"/>
  <c r="G4631" i="1"/>
  <c r="C4631" i="1"/>
  <c r="B4631" i="1"/>
  <c r="G4630" i="1"/>
  <c r="B4630" i="1"/>
  <c r="G4629" i="1"/>
  <c r="C4629" i="1"/>
  <c r="B4629" i="1"/>
  <c r="G4628" i="1"/>
  <c r="C4628" i="1"/>
  <c r="B4628" i="1"/>
  <c r="G4627" i="1"/>
  <c r="C4627" i="1"/>
  <c r="B4627" i="1"/>
  <c r="G4626" i="1"/>
  <c r="C4626" i="1"/>
  <c r="B4626" i="1"/>
  <c r="G4625" i="1"/>
  <c r="C4625" i="1"/>
  <c r="B4625" i="1"/>
  <c r="G4624" i="1"/>
  <c r="C4624" i="1"/>
  <c r="B4624" i="1"/>
  <c r="G4623" i="1"/>
  <c r="C4623" i="1"/>
  <c r="B4623" i="1"/>
  <c r="G4622" i="1"/>
  <c r="C4622" i="1"/>
  <c r="B4622" i="1"/>
  <c r="G4621" i="1"/>
  <c r="C4621" i="1"/>
  <c r="B4621" i="1"/>
  <c r="G4620" i="1"/>
  <c r="C4620" i="1"/>
  <c r="B4620" i="1"/>
  <c r="G4619" i="1"/>
  <c r="B4619" i="1"/>
  <c r="G4618" i="1"/>
  <c r="C4618" i="1"/>
  <c r="B4618" i="1"/>
  <c r="G4617" i="1"/>
  <c r="C4617" i="1"/>
  <c r="B4617" i="1"/>
  <c r="G4616" i="1"/>
  <c r="B4616" i="1"/>
  <c r="G4615" i="1"/>
  <c r="C4615" i="1"/>
  <c r="B4615" i="1"/>
  <c r="G4614" i="1"/>
  <c r="C4614" i="1"/>
  <c r="B4614" i="1"/>
  <c r="G4613" i="1"/>
  <c r="C4613" i="1"/>
  <c r="B4613" i="1"/>
  <c r="G4612" i="1"/>
  <c r="C4612" i="1"/>
  <c r="B4612" i="1"/>
  <c r="G4611" i="1"/>
  <c r="C4611" i="1"/>
  <c r="B4611" i="1"/>
  <c r="G4610" i="1"/>
  <c r="C4610" i="1"/>
  <c r="B4610" i="1"/>
  <c r="G4609" i="1"/>
  <c r="C4609" i="1"/>
  <c r="B4609" i="1"/>
  <c r="G4608" i="1"/>
  <c r="C4608" i="1"/>
  <c r="B4608" i="1"/>
  <c r="G4607" i="1"/>
  <c r="C4607" i="1"/>
  <c r="B4607" i="1"/>
  <c r="G4606" i="1"/>
  <c r="C4606" i="1"/>
  <c r="B4606" i="1"/>
  <c r="G4605" i="1"/>
  <c r="B4605" i="1"/>
  <c r="G4604" i="1"/>
  <c r="B4604" i="1"/>
  <c r="G4603" i="1"/>
  <c r="C4603" i="1"/>
  <c r="B4603" i="1"/>
  <c r="G4602" i="1"/>
  <c r="B4602" i="1"/>
  <c r="G4601" i="1"/>
  <c r="C4601" i="1"/>
  <c r="B4601" i="1"/>
  <c r="G4600" i="1"/>
  <c r="B4600" i="1"/>
  <c r="G4599" i="1"/>
  <c r="C4599" i="1"/>
  <c r="B4599" i="1"/>
  <c r="G4598" i="1"/>
  <c r="C4598" i="1"/>
  <c r="B4598" i="1"/>
  <c r="G4597" i="1"/>
  <c r="B4597" i="1"/>
  <c r="G4596" i="1"/>
  <c r="C4596" i="1"/>
  <c r="B4596" i="1"/>
  <c r="G4595" i="1"/>
  <c r="B4595" i="1"/>
  <c r="G4594" i="1"/>
  <c r="C4594" i="1"/>
  <c r="B4594" i="1"/>
  <c r="G4593" i="1"/>
  <c r="B4593" i="1"/>
  <c r="G4592" i="1"/>
  <c r="C4592" i="1"/>
  <c r="B4592" i="1"/>
  <c r="G4591" i="1"/>
  <c r="B4591" i="1"/>
  <c r="G4590" i="1"/>
  <c r="C4590" i="1"/>
  <c r="B4590" i="1"/>
  <c r="G4589" i="1"/>
  <c r="B4589" i="1"/>
  <c r="G4588" i="1"/>
  <c r="C4588" i="1"/>
  <c r="B4588" i="1"/>
  <c r="G4587" i="1"/>
  <c r="C4587" i="1"/>
  <c r="B4587" i="1"/>
  <c r="G4586" i="1"/>
  <c r="C4586" i="1"/>
  <c r="B4586" i="1"/>
  <c r="G4585" i="1"/>
  <c r="C4585" i="1"/>
  <c r="B4585" i="1"/>
  <c r="G4584" i="1"/>
  <c r="C4584" i="1"/>
  <c r="B4584" i="1"/>
  <c r="G4583" i="1"/>
  <c r="C4583" i="1"/>
  <c r="B4583" i="1"/>
  <c r="G4582" i="1"/>
  <c r="C4582" i="1"/>
  <c r="B4582" i="1"/>
  <c r="G4581" i="1"/>
  <c r="C4581" i="1"/>
  <c r="B4581" i="1"/>
  <c r="G4580" i="1"/>
  <c r="C4580" i="1"/>
  <c r="B4580" i="1"/>
  <c r="G4579" i="1"/>
  <c r="C4579" i="1"/>
  <c r="B4579" i="1"/>
  <c r="G4578" i="1"/>
  <c r="C4578" i="1"/>
  <c r="B4578" i="1"/>
  <c r="G4577" i="1"/>
  <c r="C4577" i="1"/>
  <c r="B4577" i="1"/>
  <c r="G4576" i="1"/>
  <c r="B4576" i="1"/>
  <c r="G4575" i="1"/>
  <c r="C4575" i="1"/>
  <c r="B4575" i="1"/>
  <c r="G4574" i="1"/>
  <c r="C4574" i="1"/>
  <c r="B4574" i="1"/>
  <c r="G4573" i="1"/>
  <c r="C4573" i="1"/>
  <c r="B4573" i="1"/>
  <c r="G4572" i="1"/>
  <c r="C4572" i="1"/>
  <c r="B4572" i="1"/>
  <c r="G4571" i="1"/>
  <c r="C4571" i="1"/>
  <c r="B4571" i="1"/>
  <c r="G4570" i="1"/>
  <c r="C4570" i="1"/>
  <c r="B4570" i="1"/>
  <c r="G4569" i="1"/>
  <c r="C4569" i="1"/>
  <c r="B4569" i="1"/>
  <c r="G4568" i="1"/>
  <c r="C4568" i="1"/>
  <c r="B4568" i="1"/>
  <c r="G4567" i="1"/>
  <c r="C4567" i="1"/>
  <c r="B4567" i="1"/>
  <c r="G4566" i="1"/>
  <c r="C4566" i="1"/>
  <c r="B4566" i="1"/>
  <c r="G4565" i="1"/>
  <c r="C4565" i="1"/>
  <c r="B4565" i="1"/>
  <c r="G4564" i="1"/>
  <c r="C4564" i="1"/>
  <c r="B4564" i="1"/>
  <c r="G4563" i="1"/>
  <c r="C4563" i="1"/>
  <c r="B4563" i="1"/>
  <c r="G4562" i="1"/>
  <c r="C4562" i="1"/>
  <c r="B4562" i="1"/>
  <c r="G4561" i="1"/>
  <c r="C4561" i="1"/>
  <c r="B4561" i="1"/>
  <c r="G4560" i="1"/>
  <c r="C4560" i="1"/>
  <c r="B4560" i="1"/>
  <c r="G4559" i="1"/>
  <c r="C4559" i="1"/>
  <c r="B4559" i="1"/>
  <c r="G4558" i="1"/>
  <c r="C4558" i="1"/>
  <c r="B4558" i="1"/>
  <c r="G4557" i="1"/>
  <c r="B4557" i="1"/>
  <c r="G4556" i="1"/>
  <c r="B4556" i="1"/>
  <c r="G4555" i="1"/>
  <c r="C4555" i="1"/>
  <c r="B4555" i="1"/>
  <c r="G4554" i="1"/>
  <c r="C4554" i="1"/>
  <c r="B4554" i="1"/>
  <c r="G4553" i="1"/>
  <c r="C4553" i="1"/>
  <c r="B4553" i="1"/>
  <c r="G4552" i="1"/>
  <c r="C4552" i="1"/>
  <c r="B4552" i="1"/>
  <c r="G4551" i="1"/>
  <c r="C4551" i="1"/>
  <c r="B4551" i="1"/>
  <c r="G4550" i="1"/>
  <c r="C4550" i="1"/>
  <c r="B4550" i="1"/>
  <c r="G4549" i="1"/>
  <c r="B4549" i="1"/>
  <c r="G4548" i="1"/>
  <c r="C4548" i="1"/>
  <c r="B4548" i="1"/>
  <c r="G4547" i="1"/>
  <c r="B4547" i="1"/>
  <c r="G4546" i="1"/>
  <c r="C4546" i="1"/>
  <c r="B4546" i="1"/>
  <c r="G4545" i="1"/>
  <c r="C4545" i="1"/>
  <c r="B4545" i="1"/>
  <c r="G4544" i="1"/>
  <c r="C4544" i="1"/>
  <c r="B4544" i="1"/>
  <c r="G4543" i="1"/>
  <c r="B4543" i="1"/>
  <c r="G4542" i="1"/>
  <c r="C4542" i="1"/>
  <c r="B4542" i="1"/>
  <c r="G4541" i="1"/>
  <c r="B4541" i="1"/>
  <c r="G4540" i="1"/>
  <c r="C4540" i="1"/>
  <c r="B4540" i="1"/>
  <c r="G4539" i="1"/>
  <c r="C4539" i="1"/>
  <c r="B4539" i="1"/>
  <c r="G4538" i="1"/>
  <c r="B4538" i="1"/>
  <c r="G4537" i="1"/>
  <c r="C4537" i="1"/>
  <c r="B4537" i="1"/>
  <c r="G4536" i="1"/>
  <c r="C4536" i="1"/>
  <c r="B4536" i="1"/>
  <c r="G4535" i="1"/>
  <c r="C4535" i="1"/>
  <c r="B4535" i="1"/>
  <c r="G4534" i="1"/>
  <c r="C4534" i="1"/>
  <c r="B4534" i="1"/>
  <c r="G4533" i="1"/>
  <c r="C4533" i="1"/>
  <c r="B4533" i="1"/>
  <c r="G4532" i="1"/>
  <c r="C4532" i="1"/>
  <c r="B4532" i="1"/>
  <c r="G4531" i="1"/>
  <c r="C4531" i="1"/>
  <c r="B4531" i="1"/>
  <c r="G4530" i="1"/>
  <c r="C4530" i="1"/>
  <c r="B4530" i="1"/>
  <c r="G4529" i="1"/>
  <c r="C4529" i="1"/>
  <c r="B4529" i="1"/>
  <c r="G4528" i="1"/>
  <c r="C4528" i="1"/>
  <c r="B4528" i="1"/>
  <c r="G4527" i="1"/>
  <c r="B4527" i="1"/>
  <c r="G4526" i="1"/>
  <c r="C4526" i="1"/>
  <c r="B4526" i="1"/>
  <c r="G4525" i="1"/>
  <c r="B4525" i="1"/>
  <c r="G4524" i="1"/>
  <c r="B4524" i="1"/>
  <c r="G4523" i="1"/>
  <c r="C4523" i="1"/>
  <c r="B4523" i="1"/>
  <c r="G4522" i="1"/>
  <c r="C4522" i="1"/>
  <c r="B4522" i="1"/>
  <c r="G4521" i="1"/>
  <c r="C4521" i="1"/>
  <c r="B4521" i="1"/>
  <c r="G4520" i="1"/>
  <c r="C4520" i="1"/>
  <c r="B4520" i="1"/>
  <c r="G4519" i="1"/>
  <c r="C4519" i="1"/>
  <c r="B4519" i="1"/>
  <c r="G4518" i="1"/>
  <c r="C4518" i="1"/>
  <c r="B4518" i="1"/>
  <c r="G4517" i="1"/>
  <c r="C4517" i="1"/>
  <c r="B4517" i="1"/>
  <c r="G4516" i="1"/>
  <c r="C4516" i="1"/>
  <c r="B4516" i="1"/>
  <c r="G4515" i="1"/>
  <c r="C4515" i="1"/>
  <c r="B4515" i="1"/>
  <c r="G4514" i="1"/>
  <c r="C4514" i="1"/>
  <c r="B4514" i="1"/>
  <c r="G4513" i="1"/>
  <c r="C4513" i="1"/>
  <c r="B4513" i="1"/>
  <c r="G4512" i="1"/>
  <c r="C4512" i="1"/>
  <c r="B4512" i="1"/>
  <c r="G4511" i="1"/>
  <c r="C4511" i="1"/>
  <c r="B4511" i="1"/>
  <c r="G4510" i="1"/>
  <c r="C4510" i="1"/>
  <c r="B4510" i="1"/>
  <c r="G4509" i="1"/>
  <c r="B4509" i="1"/>
  <c r="G4508" i="1"/>
  <c r="C4508" i="1"/>
  <c r="B4508" i="1"/>
  <c r="G4507" i="1"/>
  <c r="B4507" i="1"/>
  <c r="G4506" i="1"/>
  <c r="C4506" i="1"/>
  <c r="B4506" i="1"/>
  <c r="G4505" i="1"/>
  <c r="C4505" i="1"/>
  <c r="B4505" i="1"/>
  <c r="G4504" i="1"/>
  <c r="B4504" i="1"/>
  <c r="G4503" i="1"/>
  <c r="C4503" i="1"/>
  <c r="B4503" i="1"/>
  <c r="G4502" i="1"/>
  <c r="C4502" i="1"/>
  <c r="B4502" i="1"/>
  <c r="G4501" i="1"/>
  <c r="B4501" i="1"/>
  <c r="G4500" i="1"/>
  <c r="C4500" i="1"/>
  <c r="B4500" i="1"/>
  <c r="G4499" i="1"/>
  <c r="B4499" i="1"/>
  <c r="G4498" i="1"/>
  <c r="C4498" i="1"/>
  <c r="B4498" i="1"/>
  <c r="G4497" i="1"/>
  <c r="C4497" i="1"/>
  <c r="B4497" i="1"/>
  <c r="G4496" i="1"/>
  <c r="B4496" i="1"/>
  <c r="G4495" i="1"/>
  <c r="C4495" i="1"/>
  <c r="B4495" i="1"/>
  <c r="G4494" i="1"/>
  <c r="C4494" i="1"/>
  <c r="B4494" i="1"/>
  <c r="G4493" i="1"/>
  <c r="C4493" i="1"/>
  <c r="B4493" i="1"/>
  <c r="G4492" i="1"/>
  <c r="C4492" i="1"/>
  <c r="B4492" i="1"/>
  <c r="G4491" i="1"/>
  <c r="C4491" i="1"/>
  <c r="B4491" i="1"/>
  <c r="G4490" i="1"/>
  <c r="C4490" i="1"/>
  <c r="B4490" i="1"/>
  <c r="G4489" i="1"/>
  <c r="C4489" i="1"/>
  <c r="B4489" i="1"/>
  <c r="G4488" i="1"/>
  <c r="B4488" i="1"/>
  <c r="G4487" i="1"/>
  <c r="C4487" i="1"/>
  <c r="B4487" i="1"/>
  <c r="G4486" i="1"/>
  <c r="C4486" i="1"/>
  <c r="B4486" i="1"/>
  <c r="G4485" i="1"/>
  <c r="C4485" i="1"/>
  <c r="B4485" i="1"/>
  <c r="G4484" i="1"/>
  <c r="B4484" i="1"/>
  <c r="G4483" i="1"/>
  <c r="C4483" i="1"/>
  <c r="B4483" i="1"/>
  <c r="G4482" i="1"/>
  <c r="B4482" i="1"/>
  <c r="G4481" i="1"/>
  <c r="C4481" i="1"/>
  <c r="B4481" i="1"/>
  <c r="G4480" i="1"/>
  <c r="C4480" i="1"/>
  <c r="B4480" i="1"/>
  <c r="G4479" i="1"/>
  <c r="C4479" i="1"/>
  <c r="B4479" i="1"/>
  <c r="G4478" i="1"/>
  <c r="C4478" i="1"/>
  <c r="B4478" i="1"/>
  <c r="G4477" i="1"/>
  <c r="C4477" i="1"/>
  <c r="B4477" i="1"/>
  <c r="G4476" i="1"/>
  <c r="C4476" i="1"/>
  <c r="B4476" i="1"/>
  <c r="G4475" i="1"/>
  <c r="B4475" i="1"/>
  <c r="G4474" i="1"/>
  <c r="C4474" i="1"/>
  <c r="B4474" i="1"/>
  <c r="G4473" i="1"/>
  <c r="C4473" i="1"/>
  <c r="B4473" i="1"/>
  <c r="G4472" i="1"/>
  <c r="C4472" i="1"/>
  <c r="B4472" i="1"/>
  <c r="G4471" i="1"/>
  <c r="C4471" i="1"/>
  <c r="B4471" i="1"/>
  <c r="G4470" i="1"/>
  <c r="C4470" i="1"/>
  <c r="B4470" i="1"/>
  <c r="G4469" i="1"/>
  <c r="C4469" i="1"/>
  <c r="B4469" i="1"/>
  <c r="G4468" i="1"/>
  <c r="C4468" i="1"/>
  <c r="B4468" i="1"/>
  <c r="G4467" i="1"/>
  <c r="B4467" i="1"/>
  <c r="G4466" i="1"/>
  <c r="C4466" i="1"/>
  <c r="B4466" i="1"/>
  <c r="G4465" i="1"/>
  <c r="C4465" i="1"/>
  <c r="B4465" i="1"/>
  <c r="G4464" i="1"/>
  <c r="C4464" i="1"/>
  <c r="B4464" i="1"/>
  <c r="G4463" i="1"/>
  <c r="C4463" i="1"/>
  <c r="B4463" i="1"/>
  <c r="G4462" i="1"/>
  <c r="B4462" i="1"/>
  <c r="G4461" i="1"/>
  <c r="C4461" i="1"/>
  <c r="B4461" i="1"/>
  <c r="G4460" i="1"/>
  <c r="C4460" i="1"/>
  <c r="B4460" i="1"/>
  <c r="G4459" i="1"/>
  <c r="C4459" i="1"/>
  <c r="B4459" i="1"/>
  <c r="G4458" i="1"/>
  <c r="C4458" i="1"/>
  <c r="B4458" i="1"/>
  <c r="G4457" i="1"/>
  <c r="C4457" i="1"/>
  <c r="B4457" i="1"/>
  <c r="G4456" i="1"/>
  <c r="B4456" i="1"/>
  <c r="G4455" i="1"/>
  <c r="B4455" i="1"/>
  <c r="G4454" i="1"/>
  <c r="C4454" i="1"/>
  <c r="B4454" i="1"/>
  <c r="G4453" i="1"/>
  <c r="C4453" i="1"/>
  <c r="B4453" i="1"/>
  <c r="G4452" i="1"/>
  <c r="C4452" i="1"/>
  <c r="B4452" i="1"/>
  <c r="G4451" i="1"/>
  <c r="C4451" i="1"/>
  <c r="B4451" i="1"/>
  <c r="G4450" i="1"/>
  <c r="C4450" i="1"/>
  <c r="B4450" i="1"/>
  <c r="G4449" i="1"/>
  <c r="C4449" i="1"/>
  <c r="B4449" i="1"/>
  <c r="G4448" i="1"/>
  <c r="C4448" i="1"/>
  <c r="B4448" i="1"/>
  <c r="G4447" i="1"/>
  <c r="B4447" i="1"/>
  <c r="G4446" i="1"/>
  <c r="C4446" i="1"/>
  <c r="B4446" i="1"/>
  <c r="G4445" i="1"/>
  <c r="C4445" i="1"/>
  <c r="B4445" i="1"/>
  <c r="G4444" i="1"/>
  <c r="C4444" i="1"/>
  <c r="B4444" i="1"/>
  <c r="G4443" i="1"/>
  <c r="C4443" i="1"/>
  <c r="B4443" i="1"/>
  <c r="G4442" i="1"/>
  <c r="B4442" i="1"/>
  <c r="G4441" i="1"/>
  <c r="C4441" i="1"/>
  <c r="B4441" i="1"/>
  <c r="G4440" i="1"/>
  <c r="C4440" i="1"/>
  <c r="B4440" i="1"/>
  <c r="G4439" i="1"/>
  <c r="C4439" i="1"/>
  <c r="B4439" i="1"/>
  <c r="G4438" i="1"/>
  <c r="C4438" i="1"/>
  <c r="B4438" i="1"/>
  <c r="G4437" i="1"/>
  <c r="B4437" i="1"/>
  <c r="G4436" i="1"/>
  <c r="B4436" i="1"/>
  <c r="G4435" i="1"/>
  <c r="C4435" i="1"/>
  <c r="B4435" i="1"/>
  <c r="G4434" i="1"/>
  <c r="C4434" i="1"/>
  <c r="B4434" i="1"/>
  <c r="G4433" i="1"/>
  <c r="C4433" i="1"/>
  <c r="B4433" i="1"/>
  <c r="G4432" i="1"/>
  <c r="C4432" i="1"/>
  <c r="B4432" i="1"/>
  <c r="G4431" i="1"/>
  <c r="C4431" i="1"/>
  <c r="B4431" i="1"/>
  <c r="G4430" i="1"/>
  <c r="C4430" i="1"/>
  <c r="B4430" i="1"/>
  <c r="G4429" i="1"/>
  <c r="C4429" i="1"/>
  <c r="B4429" i="1"/>
  <c r="G4428" i="1"/>
  <c r="B4428" i="1"/>
  <c r="G4427" i="1"/>
  <c r="C4427" i="1"/>
  <c r="B4427" i="1"/>
  <c r="G4426" i="1"/>
  <c r="C4426" i="1"/>
  <c r="B4426" i="1"/>
  <c r="G4425" i="1"/>
  <c r="C4425" i="1"/>
  <c r="B4425" i="1"/>
  <c r="G4424" i="1"/>
  <c r="B4424" i="1"/>
  <c r="G4423" i="1"/>
  <c r="C4423" i="1"/>
  <c r="B4423" i="1"/>
  <c r="G4422" i="1"/>
  <c r="B4422" i="1"/>
  <c r="G4421" i="1"/>
  <c r="B4421" i="1"/>
  <c r="G4420" i="1"/>
  <c r="B4420" i="1"/>
  <c r="G4419" i="1"/>
  <c r="C4419" i="1"/>
  <c r="B4419" i="1"/>
  <c r="G4418" i="1"/>
  <c r="B4418" i="1"/>
  <c r="G4417" i="1"/>
  <c r="C4417" i="1"/>
  <c r="B4417" i="1"/>
  <c r="G4416" i="1"/>
  <c r="C4416" i="1"/>
  <c r="B4416" i="1"/>
  <c r="G4415" i="1"/>
  <c r="C4415" i="1"/>
  <c r="B4415" i="1"/>
  <c r="G4414" i="1"/>
  <c r="B4414" i="1"/>
  <c r="G4413" i="1"/>
  <c r="B4413" i="1"/>
  <c r="G4412" i="1"/>
  <c r="B4412" i="1"/>
  <c r="G4411" i="1"/>
  <c r="B4411" i="1"/>
  <c r="G4410" i="1"/>
  <c r="C4410" i="1"/>
  <c r="B4410" i="1"/>
  <c r="G4409" i="1"/>
  <c r="C4409" i="1"/>
  <c r="B4409" i="1"/>
  <c r="G4408" i="1"/>
  <c r="B4408" i="1"/>
  <c r="G4407" i="1"/>
  <c r="C4407" i="1"/>
  <c r="B4407" i="1"/>
  <c r="G4406" i="1"/>
  <c r="C4406" i="1"/>
  <c r="B4406" i="1"/>
  <c r="G4405" i="1"/>
  <c r="B4405" i="1"/>
  <c r="G4404" i="1"/>
  <c r="C4404" i="1"/>
  <c r="B4404" i="1"/>
  <c r="G4403" i="1"/>
  <c r="B4403" i="1"/>
  <c r="G4402" i="1"/>
  <c r="B4402" i="1"/>
  <c r="G4401" i="1"/>
  <c r="C4401" i="1"/>
  <c r="B4401" i="1"/>
  <c r="G4400" i="1"/>
  <c r="C4400" i="1"/>
  <c r="B4400" i="1"/>
  <c r="G4399" i="1"/>
  <c r="C4399" i="1"/>
  <c r="B4399" i="1"/>
  <c r="G4398" i="1"/>
  <c r="C4398" i="1"/>
  <c r="B4398" i="1"/>
  <c r="G4397" i="1"/>
  <c r="B4397" i="1"/>
  <c r="G4396" i="1"/>
  <c r="C4396" i="1"/>
  <c r="B4396" i="1"/>
  <c r="G4395" i="1"/>
  <c r="B4395" i="1"/>
  <c r="G4394" i="1"/>
  <c r="B4394" i="1"/>
  <c r="G4393" i="1"/>
  <c r="B4393" i="1"/>
  <c r="G4392" i="1"/>
  <c r="C4392" i="1"/>
  <c r="B4392" i="1"/>
  <c r="G4391" i="1"/>
  <c r="C4391" i="1"/>
  <c r="B4391" i="1"/>
  <c r="G4390" i="1"/>
  <c r="C4390" i="1"/>
  <c r="B4390" i="1"/>
  <c r="G4389" i="1"/>
  <c r="C4389" i="1"/>
  <c r="B4389" i="1"/>
  <c r="G4388" i="1"/>
  <c r="B4388" i="1"/>
  <c r="G4387" i="1"/>
  <c r="B4387" i="1"/>
  <c r="G4386" i="1"/>
  <c r="C4386" i="1"/>
  <c r="B4386" i="1"/>
  <c r="G4385" i="1"/>
  <c r="B4385" i="1"/>
  <c r="G4384" i="1"/>
  <c r="B4384" i="1"/>
  <c r="G4383" i="1"/>
  <c r="B4383" i="1"/>
  <c r="G4382" i="1"/>
  <c r="C4382" i="1"/>
  <c r="B4382" i="1"/>
  <c r="G4381" i="1"/>
  <c r="B4381" i="1"/>
  <c r="G4380" i="1"/>
  <c r="C4380" i="1"/>
  <c r="B4380" i="1"/>
  <c r="G4379" i="1"/>
  <c r="C4379" i="1"/>
  <c r="B4379" i="1"/>
  <c r="G4378" i="1"/>
  <c r="C4378" i="1"/>
  <c r="B4378" i="1"/>
  <c r="G4377" i="1"/>
  <c r="C4377" i="1"/>
  <c r="B4377" i="1"/>
  <c r="G4376" i="1"/>
  <c r="C4376" i="1"/>
  <c r="B4376" i="1"/>
  <c r="G4375" i="1"/>
  <c r="C4375" i="1"/>
  <c r="B4375" i="1"/>
  <c r="G4374" i="1"/>
  <c r="C4374" i="1"/>
  <c r="B4374" i="1"/>
  <c r="G4373" i="1"/>
  <c r="C4373" i="1"/>
  <c r="B4373" i="1"/>
  <c r="G4372" i="1"/>
  <c r="C4372" i="1"/>
  <c r="B4372" i="1"/>
  <c r="G4371" i="1"/>
  <c r="B4371" i="1"/>
  <c r="G4370" i="1"/>
  <c r="B4370" i="1"/>
  <c r="G4369" i="1"/>
  <c r="C4369" i="1"/>
  <c r="B4369" i="1"/>
  <c r="G4368" i="1"/>
  <c r="C4368" i="1"/>
  <c r="B4368" i="1"/>
  <c r="G4367" i="1"/>
  <c r="C4367" i="1"/>
  <c r="B4367" i="1"/>
  <c r="G4366" i="1"/>
  <c r="C4366" i="1"/>
  <c r="B4366" i="1"/>
  <c r="G4365" i="1"/>
  <c r="C4365" i="1"/>
  <c r="B4365" i="1"/>
  <c r="G4364" i="1"/>
  <c r="B4364" i="1"/>
  <c r="G4363" i="1"/>
  <c r="C4363" i="1"/>
  <c r="B4363" i="1"/>
  <c r="G4362" i="1"/>
  <c r="C4362" i="1"/>
  <c r="B4362" i="1"/>
  <c r="G4361" i="1"/>
  <c r="C4361" i="1"/>
  <c r="B4361" i="1"/>
  <c r="G4360" i="1"/>
  <c r="B4360" i="1"/>
  <c r="G4359" i="1"/>
  <c r="B4359" i="1"/>
  <c r="G4358" i="1"/>
  <c r="C4358" i="1"/>
  <c r="B4358" i="1"/>
  <c r="G4357" i="1"/>
  <c r="B4357" i="1"/>
  <c r="G4356" i="1"/>
  <c r="C4356" i="1"/>
  <c r="B4356" i="1"/>
  <c r="G4355" i="1"/>
  <c r="C4355" i="1"/>
  <c r="B4355" i="1"/>
  <c r="G4354" i="1"/>
  <c r="C4354" i="1"/>
  <c r="B4354" i="1"/>
  <c r="G4353" i="1"/>
  <c r="C4353" i="1"/>
  <c r="B4353" i="1"/>
  <c r="G4352" i="1"/>
  <c r="C4352" i="1"/>
  <c r="B4352" i="1"/>
  <c r="G4351" i="1"/>
  <c r="C4351" i="1"/>
  <c r="B4351" i="1"/>
  <c r="G4350" i="1"/>
  <c r="B4350" i="1"/>
  <c r="G4349" i="1"/>
  <c r="C4349" i="1"/>
  <c r="B4349" i="1"/>
  <c r="G4348" i="1"/>
  <c r="C4348" i="1"/>
  <c r="B4348" i="1"/>
  <c r="G4347" i="1"/>
  <c r="C4347" i="1"/>
  <c r="B4347" i="1"/>
  <c r="G4346" i="1"/>
  <c r="C4346" i="1"/>
  <c r="B4346" i="1"/>
  <c r="G4345" i="1"/>
  <c r="C4345" i="1"/>
  <c r="B4345" i="1"/>
  <c r="G4344" i="1"/>
  <c r="B4344" i="1"/>
  <c r="G4343" i="1"/>
  <c r="B4343" i="1"/>
  <c r="G4342" i="1"/>
  <c r="B4342" i="1"/>
  <c r="G4341" i="1"/>
  <c r="C4341" i="1"/>
  <c r="B4341" i="1"/>
  <c r="G4340" i="1"/>
  <c r="B4340" i="1"/>
  <c r="G4339" i="1"/>
  <c r="C4339" i="1"/>
  <c r="B4339" i="1"/>
  <c r="G4338" i="1"/>
  <c r="C4338" i="1"/>
  <c r="B4338" i="1"/>
  <c r="G4337" i="1"/>
  <c r="B4337" i="1"/>
  <c r="G4336" i="1"/>
  <c r="C4336" i="1"/>
  <c r="B4336" i="1"/>
  <c r="G4335" i="1"/>
  <c r="C4335" i="1"/>
  <c r="B4335" i="1"/>
  <c r="G4334" i="1"/>
  <c r="C4334" i="1"/>
  <c r="B4334" i="1"/>
  <c r="G4333" i="1"/>
  <c r="B4333" i="1"/>
  <c r="G4332" i="1"/>
  <c r="C4332" i="1"/>
  <c r="B4332" i="1"/>
  <c r="G4331" i="1"/>
  <c r="C4331" i="1"/>
  <c r="B4331" i="1"/>
  <c r="G4330" i="1"/>
  <c r="C4330" i="1"/>
  <c r="B4330" i="1"/>
  <c r="G4329" i="1"/>
  <c r="B4329" i="1"/>
  <c r="G4328" i="1"/>
  <c r="C4328" i="1"/>
  <c r="B4328" i="1"/>
  <c r="G4327" i="1"/>
  <c r="C4327" i="1"/>
  <c r="B4327" i="1"/>
  <c r="G4326" i="1"/>
  <c r="C4326" i="1"/>
  <c r="B4326" i="1"/>
  <c r="G4325" i="1"/>
  <c r="C4325" i="1"/>
  <c r="B4325" i="1"/>
  <c r="G4324" i="1"/>
  <c r="C4324" i="1"/>
  <c r="B4324" i="1"/>
  <c r="G4323" i="1"/>
  <c r="B4323" i="1"/>
  <c r="G4322" i="1"/>
  <c r="B4322" i="1"/>
  <c r="G4321" i="1"/>
  <c r="C4321" i="1"/>
  <c r="B4321" i="1"/>
  <c r="G4320" i="1"/>
  <c r="C4320" i="1"/>
  <c r="B4320" i="1"/>
  <c r="G4319" i="1"/>
  <c r="C4319" i="1"/>
  <c r="B4319" i="1"/>
  <c r="G4318" i="1"/>
  <c r="C4318" i="1"/>
  <c r="B4318" i="1"/>
  <c r="G4317" i="1"/>
  <c r="B4317" i="1"/>
  <c r="G4316" i="1"/>
  <c r="C4316" i="1"/>
  <c r="B4316" i="1"/>
  <c r="G4315" i="1"/>
  <c r="C4315" i="1"/>
  <c r="B4315" i="1"/>
  <c r="G4314" i="1"/>
  <c r="B4314" i="1"/>
  <c r="G4313" i="1"/>
  <c r="B4313" i="1"/>
  <c r="G4312" i="1"/>
  <c r="B4312" i="1"/>
  <c r="G4311" i="1"/>
  <c r="C4311" i="1"/>
  <c r="B4311" i="1"/>
  <c r="G4310" i="1"/>
  <c r="C4310" i="1"/>
  <c r="B4310" i="1"/>
  <c r="G4309" i="1"/>
  <c r="C4309" i="1"/>
  <c r="B4309" i="1"/>
  <c r="G4308" i="1"/>
  <c r="C4308" i="1"/>
  <c r="B4308" i="1"/>
  <c r="G4307" i="1"/>
  <c r="C4307" i="1"/>
  <c r="B4307" i="1"/>
  <c r="G4306" i="1"/>
  <c r="B4306" i="1"/>
  <c r="G4305" i="1"/>
  <c r="C4305" i="1"/>
  <c r="B4305" i="1"/>
  <c r="G4304" i="1"/>
  <c r="C4304" i="1"/>
  <c r="B4304" i="1"/>
  <c r="G4303" i="1"/>
  <c r="C4303" i="1"/>
  <c r="B4303" i="1"/>
  <c r="G4302" i="1"/>
  <c r="C4302" i="1"/>
  <c r="B4302" i="1"/>
  <c r="G4301" i="1"/>
  <c r="C4301" i="1"/>
  <c r="B4301" i="1"/>
  <c r="G4300" i="1"/>
  <c r="C4300" i="1"/>
  <c r="B4300" i="1"/>
  <c r="G4299" i="1"/>
  <c r="C4299" i="1"/>
  <c r="B4299" i="1"/>
  <c r="G4298" i="1"/>
  <c r="C4298" i="1"/>
  <c r="B4298" i="1"/>
  <c r="G4297" i="1"/>
  <c r="B4297" i="1"/>
  <c r="G4296" i="1"/>
  <c r="B4296" i="1"/>
  <c r="G4295" i="1"/>
  <c r="B4295" i="1"/>
  <c r="G4294" i="1"/>
  <c r="B4294" i="1"/>
  <c r="G4293" i="1"/>
  <c r="C4293" i="1"/>
  <c r="B4293" i="1"/>
  <c r="G4292" i="1"/>
  <c r="B4292" i="1"/>
  <c r="G4291" i="1"/>
  <c r="B4291" i="1"/>
  <c r="G4290" i="1"/>
  <c r="C4290" i="1"/>
  <c r="B4290" i="1"/>
  <c r="G4289" i="1"/>
  <c r="C4289" i="1"/>
  <c r="B4289" i="1"/>
  <c r="G4288" i="1"/>
  <c r="C4288" i="1"/>
  <c r="B4288" i="1"/>
  <c r="G4287" i="1"/>
  <c r="C4287" i="1"/>
  <c r="B4287" i="1"/>
  <c r="G4286" i="1"/>
  <c r="C4286" i="1"/>
  <c r="B4286" i="1"/>
  <c r="G4285" i="1"/>
  <c r="C4285" i="1"/>
  <c r="B4285" i="1"/>
  <c r="G4284" i="1"/>
  <c r="B4284" i="1"/>
  <c r="G4283" i="1"/>
  <c r="B4283" i="1"/>
  <c r="G4282" i="1"/>
  <c r="B4282" i="1"/>
  <c r="G4281" i="1"/>
  <c r="C4281" i="1"/>
  <c r="B4281" i="1"/>
  <c r="G4280" i="1"/>
  <c r="C4280" i="1"/>
  <c r="B4280" i="1"/>
  <c r="G4279" i="1"/>
  <c r="C4279" i="1"/>
  <c r="B4279" i="1"/>
  <c r="G4278" i="1"/>
  <c r="C4278" i="1"/>
  <c r="B4278" i="1"/>
  <c r="G4277" i="1"/>
  <c r="C4277" i="1"/>
  <c r="B4277" i="1"/>
  <c r="G4276" i="1"/>
  <c r="C4276" i="1"/>
  <c r="B4276" i="1"/>
  <c r="G4275" i="1"/>
  <c r="B4275" i="1"/>
  <c r="G4274" i="1"/>
  <c r="C4274" i="1"/>
  <c r="B4274" i="1"/>
  <c r="G4273" i="1"/>
  <c r="C4273" i="1"/>
  <c r="B4273" i="1"/>
  <c r="G4272" i="1"/>
  <c r="C4272" i="1"/>
  <c r="B4272" i="1"/>
  <c r="G4271" i="1"/>
  <c r="C4271" i="1"/>
  <c r="B4271" i="1"/>
  <c r="G4270" i="1"/>
  <c r="B4270" i="1"/>
  <c r="G4269" i="1"/>
  <c r="C4269" i="1"/>
  <c r="B4269" i="1"/>
  <c r="G4268" i="1"/>
  <c r="B4268" i="1"/>
  <c r="G4267" i="1"/>
  <c r="C4267" i="1"/>
  <c r="B4267" i="1"/>
  <c r="G4266" i="1"/>
  <c r="C4266" i="1"/>
  <c r="B4266" i="1"/>
  <c r="G4265" i="1"/>
  <c r="C4265" i="1"/>
  <c r="B4265" i="1"/>
  <c r="G4264" i="1"/>
  <c r="C4264" i="1"/>
  <c r="B4264" i="1"/>
  <c r="G4263" i="1"/>
  <c r="C4263" i="1"/>
  <c r="B4263" i="1"/>
  <c r="G4262" i="1"/>
  <c r="B4262" i="1"/>
  <c r="G4261" i="1"/>
  <c r="C4261" i="1"/>
  <c r="B4261" i="1"/>
  <c r="G4260" i="1"/>
  <c r="C4260" i="1"/>
  <c r="B4260" i="1"/>
  <c r="G4259" i="1"/>
  <c r="C4259" i="1"/>
  <c r="B4259" i="1"/>
  <c r="G4258" i="1"/>
  <c r="C4258" i="1"/>
  <c r="B4258" i="1"/>
  <c r="G4257" i="1"/>
  <c r="B4257" i="1"/>
  <c r="G4256" i="1"/>
  <c r="C4256" i="1"/>
  <c r="B4256" i="1"/>
  <c r="G4255" i="1"/>
  <c r="C4255" i="1"/>
  <c r="B4255" i="1"/>
  <c r="G4254" i="1"/>
  <c r="B4254" i="1"/>
  <c r="G4253" i="1"/>
  <c r="C4253" i="1"/>
  <c r="B4253" i="1"/>
  <c r="G4252" i="1"/>
  <c r="C4252" i="1"/>
  <c r="B4252" i="1"/>
  <c r="G4251" i="1"/>
  <c r="B4251" i="1"/>
  <c r="G4250" i="1"/>
  <c r="B4250" i="1"/>
  <c r="G4249" i="1"/>
  <c r="C4249" i="1"/>
  <c r="B4249" i="1"/>
  <c r="G4248" i="1"/>
  <c r="B4248" i="1"/>
  <c r="G4247" i="1"/>
  <c r="C4247" i="1"/>
  <c r="B4247" i="1"/>
  <c r="G4246" i="1"/>
  <c r="C4246" i="1"/>
  <c r="B4246" i="1"/>
  <c r="G4245" i="1"/>
  <c r="C4245" i="1"/>
  <c r="B4245" i="1"/>
  <c r="G4244" i="1"/>
  <c r="B4244" i="1"/>
  <c r="G4243" i="1"/>
  <c r="B4243" i="1"/>
  <c r="G4242" i="1"/>
  <c r="C4242" i="1"/>
  <c r="B4242" i="1"/>
  <c r="G4241" i="1"/>
  <c r="B4241" i="1"/>
  <c r="G4240" i="1"/>
  <c r="C4240" i="1"/>
  <c r="B4240" i="1"/>
  <c r="G4239" i="1"/>
  <c r="C4239" i="1"/>
  <c r="B4239" i="1"/>
  <c r="G4238" i="1"/>
  <c r="B4238" i="1"/>
  <c r="G4237" i="1"/>
  <c r="B4237" i="1"/>
  <c r="G4236" i="1"/>
  <c r="B4236" i="1"/>
  <c r="G4235" i="1"/>
  <c r="C4235" i="1"/>
  <c r="B4235" i="1"/>
  <c r="G4234" i="1"/>
  <c r="B4234" i="1"/>
  <c r="G4233" i="1"/>
  <c r="B4233" i="1"/>
  <c r="G4232" i="1"/>
  <c r="C4232" i="1"/>
  <c r="B4232" i="1"/>
  <c r="G4231" i="1"/>
  <c r="C4231" i="1"/>
  <c r="B4231" i="1"/>
  <c r="G4230" i="1"/>
  <c r="B4230" i="1"/>
  <c r="G4229" i="1"/>
  <c r="B4229" i="1"/>
  <c r="G4228" i="1"/>
  <c r="B4228" i="1"/>
  <c r="G4227" i="1"/>
  <c r="C4227" i="1"/>
  <c r="B4227" i="1"/>
  <c r="G4226" i="1"/>
  <c r="C4226" i="1"/>
  <c r="B4226" i="1"/>
  <c r="G4225" i="1"/>
  <c r="B4225" i="1"/>
  <c r="G4224" i="1"/>
  <c r="C4224" i="1"/>
  <c r="B4224" i="1"/>
  <c r="G4223" i="1"/>
  <c r="C4223" i="1"/>
  <c r="B4223" i="1"/>
  <c r="G4222" i="1"/>
  <c r="C4222" i="1"/>
  <c r="B4222" i="1"/>
  <c r="G4221" i="1"/>
  <c r="C4221" i="1"/>
  <c r="B4221" i="1"/>
  <c r="G4220" i="1"/>
  <c r="C4220" i="1"/>
  <c r="B4220" i="1"/>
  <c r="G4219" i="1"/>
  <c r="B4219" i="1"/>
  <c r="G4218" i="1"/>
  <c r="C4218" i="1"/>
  <c r="B4218" i="1"/>
  <c r="G4217" i="1"/>
  <c r="C4217" i="1"/>
  <c r="B4217" i="1"/>
  <c r="G4216" i="1"/>
  <c r="C4216" i="1"/>
  <c r="B4216" i="1"/>
  <c r="G4215" i="1"/>
  <c r="C4215" i="1"/>
  <c r="B4215" i="1"/>
  <c r="G4214" i="1"/>
  <c r="C4214" i="1"/>
  <c r="B4214" i="1"/>
  <c r="G4213" i="1"/>
  <c r="C4213" i="1"/>
  <c r="B4213" i="1"/>
  <c r="G4212" i="1"/>
  <c r="C4212" i="1"/>
  <c r="B4212" i="1"/>
  <c r="G4211" i="1"/>
  <c r="C4211" i="1"/>
  <c r="B4211" i="1"/>
  <c r="G4210" i="1"/>
  <c r="C4210" i="1"/>
  <c r="B4210" i="1"/>
  <c r="G4209" i="1"/>
  <c r="B4209" i="1"/>
  <c r="G4208" i="1"/>
  <c r="C4208" i="1"/>
  <c r="B4208" i="1"/>
  <c r="G4207" i="1"/>
  <c r="C4207" i="1"/>
  <c r="B4207" i="1"/>
  <c r="G4206" i="1"/>
  <c r="C4206" i="1"/>
  <c r="B4206" i="1"/>
  <c r="G4205" i="1"/>
  <c r="B4205" i="1"/>
  <c r="G4204" i="1"/>
  <c r="B4204" i="1"/>
  <c r="G4203" i="1"/>
  <c r="B4203" i="1"/>
  <c r="G4202" i="1"/>
  <c r="B4202" i="1"/>
  <c r="G4201" i="1"/>
  <c r="C4201" i="1"/>
  <c r="B4201" i="1"/>
  <c r="G4200" i="1"/>
  <c r="C4200" i="1"/>
  <c r="B4200" i="1"/>
  <c r="G4199" i="1"/>
  <c r="B4199" i="1"/>
  <c r="G4198" i="1"/>
  <c r="C4198" i="1"/>
  <c r="B4198" i="1"/>
  <c r="G4197" i="1"/>
  <c r="B4197" i="1"/>
  <c r="G4196" i="1"/>
  <c r="B4196" i="1"/>
  <c r="G4195" i="1"/>
  <c r="C4195" i="1"/>
  <c r="B4195" i="1"/>
  <c r="G4194" i="1"/>
  <c r="B4194" i="1"/>
  <c r="G4193" i="1"/>
  <c r="B4193" i="1"/>
  <c r="G4192" i="1"/>
  <c r="B4192" i="1"/>
  <c r="G4191" i="1"/>
  <c r="C4191" i="1"/>
  <c r="B4191" i="1"/>
  <c r="G4190" i="1"/>
  <c r="C4190" i="1"/>
  <c r="B4190" i="1"/>
  <c r="G4189" i="1"/>
  <c r="B4189" i="1"/>
  <c r="G4188" i="1"/>
  <c r="C4188" i="1"/>
  <c r="B4188" i="1"/>
  <c r="G4187" i="1"/>
  <c r="C4187" i="1"/>
  <c r="B4187" i="1"/>
  <c r="G4186" i="1"/>
  <c r="C4186" i="1"/>
  <c r="B4186" i="1"/>
  <c r="G4185" i="1"/>
  <c r="B4185" i="1"/>
  <c r="G4184" i="1"/>
  <c r="C4184" i="1"/>
  <c r="B4184" i="1"/>
  <c r="G4183" i="1"/>
  <c r="C4183" i="1"/>
  <c r="B4183" i="1"/>
  <c r="G4182" i="1"/>
  <c r="C4182" i="1"/>
  <c r="B4182" i="1"/>
  <c r="G4181" i="1"/>
  <c r="B4181" i="1"/>
  <c r="G4180" i="1"/>
  <c r="C4180" i="1"/>
  <c r="B4180" i="1"/>
  <c r="G4179" i="1"/>
  <c r="C4179" i="1"/>
  <c r="B4179" i="1"/>
  <c r="G4178" i="1"/>
  <c r="B4178" i="1"/>
  <c r="G4177" i="1"/>
  <c r="B4177" i="1"/>
  <c r="G4176" i="1"/>
  <c r="C4176" i="1"/>
  <c r="B4176" i="1"/>
  <c r="G4175" i="1"/>
  <c r="C4175" i="1"/>
  <c r="B4175" i="1"/>
  <c r="G4174" i="1"/>
  <c r="B4174" i="1"/>
  <c r="G4173" i="1"/>
  <c r="C4173" i="1"/>
  <c r="B4173" i="1"/>
  <c r="G4172" i="1"/>
  <c r="B4172" i="1"/>
  <c r="G4171" i="1"/>
  <c r="C4171" i="1"/>
  <c r="B4171" i="1"/>
  <c r="G4170" i="1"/>
  <c r="C4170" i="1"/>
  <c r="B4170" i="1"/>
  <c r="G4169" i="1"/>
  <c r="C4169" i="1"/>
  <c r="B4169" i="1"/>
  <c r="G4168" i="1"/>
  <c r="C4168" i="1"/>
  <c r="B4168" i="1"/>
  <c r="G4167" i="1"/>
  <c r="B4167" i="1"/>
  <c r="G4166" i="1"/>
  <c r="B4166" i="1"/>
  <c r="G4165" i="1"/>
  <c r="C4165" i="1"/>
  <c r="B4165" i="1"/>
  <c r="G4164" i="1"/>
  <c r="B4164" i="1"/>
  <c r="G4163" i="1"/>
  <c r="C4163" i="1"/>
  <c r="B4163" i="1"/>
  <c r="G4162" i="1"/>
  <c r="B4162" i="1"/>
  <c r="G4161" i="1"/>
  <c r="C4161" i="1"/>
  <c r="B4161" i="1"/>
  <c r="G4160" i="1"/>
  <c r="C4160" i="1"/>
  <c r="B4160" i="1"/>
  <c r="G4159" i="1"/>
  <c r="B4159" i="1"/>
  <c r="G4158" i="1"/>
  <c r="C4158" i="1"/>
  <c r="B4158" i="1"/>
  <c r="G4157" i="1"/>
  <c r="C4157" i="1"/>
  <c r="B4157" i="1"/>
  <c r="G4156" i="1"/>
  <c r="B4156" i="1"/>
  <c r="G4155" i="1"/>
  <c r="B4155" i="1"/>
  <c r="G4154" i="1"/>
  <c r="C4154" i="1"/>
  <c r="B4154" i="1"/>
  <c r="G4153" i="1"/>
  <c r="B4153" i="1"/>
  <c r="G4152" i="1"/>
  <c r="C4152" i="1"/>
  <c r="B4152" i="1"/>
  <c r="G4151" i="1"/>
  <c r="C4151" i="1"/>
  <c r="B4151" i="1"/>
  <c r="G4150" i="1"/>
  <c r="B4150" i="1"/>
  <c r="G4149" i="1"/>
  <c r="C4149" i="1"/>
  <c r="B4149" i="1"/>
  <c r="G4148" i="1"/>
  <c r="C4148" i="1"/>
  <c r="B4148" i="1"/>
  <c r="G4147" i="1"/>
  <c r="C4147" i="1"/>
  <c r="B4147" i="1"/>
  <c r="G4146" i="1"/>
  <c r="C4146" i="1"/>
  <c r="B4146" i="1"/>
  <c r="G4145" i="1"/>
  <c r="B4145" i="1"/>
  <c r="G4144" i="1"/>
  <c r="C4144" i="1"/>
  <c r="B4144" i="1"/>
  <c r="G4143" i="1"/>
  <c r="B4143" i="1"/>
  <c r="G4142" i="1"/>
  <c r="C4142" i="1"/>
  <c r="B4142" i="1"/>
  <c r="G4141" i="1"/>
  <c r="C4141" i="1"/>
  <c r="B4141" i="1"/>
  <c r="G4140" i="1"/>
  <c r="C4140" i="1"/>
  <c r="B4140" i="1"/>
  <c r="G4139" i="1"/>
  <c r="B4139" i="1"/>
  <c r="G4138" i="1"/>
  <c r="C4138" i="1"/>
  <c r="B4138" i="1"/>
  <c r="G4137" i="1"/>
  <c r="C4137" i="1"/>
  <c r="B4137" i="1"/>
  <c r="G4136" i="1"/>
  <c r="C4136" i="1"/>
  <c r="B4136" i="1"/>
  <c r="G4135" i="1"/>
  <c r="C4135" i="1"/>
  <c r="B4135" i="1"/>
  <c r="G4134" i="1"/>
  <c r="C4134" i="1"/>
  <c r="B4134" i="1"/>
  <c r="G4133" i="1"/>
  <c r="C4133" i="1"/>
  <c r="B4133" i="1"/>
  <c r="G4132" i="1"/>
  <c r="B4132" i="1"/>
  <c r="G4131" i="1"/>
  <c r="C4131" i="1"/>
  <c r="B4131" i="1"/>
  <c r="G4130" i="1"/>
  <c r="B4130" i="1"/>
  <c r="G4129" i="1"/>
  <c r="C4129" i="1"/>
  <c r="B4129" i="1"/>
  <c r="G4128" i="1"/>
  <c r="C4128" i="1"/>
  <c r="B4128" i="1"/>
  <c r="G4127" i="1"/>
  <c r="C4127" i="1"/>
  <c r="B4127" i="1"/>
  <c r="G4126" i="1"/>
  <c r="C4126" i="1"/>
  <c r="B4126" i="1"/>
  <c r="G4125" i="1"/>
  <c r="B4125" i="1"/>
  <c r="G4124" i="1"/>
  <c r="C4124" i="1"/>
  <c r="B4124" i="1"/>
  <c r="G4123" i="1"/>
  <c r="C4123" i="1"/>
  <c r="B4123" i="1"/>
  <c r="G4122" i="1"/>
  <c r="C4122" i="1"/>
  <c r="B4122" i="1"/>
  <c r="G4121" i="1"/>
  <c r="C4121" i="1"/>
  <c r="B4121" i="1"/>
  <c r="G4120" i="1"/>
  <c r="B4120" i="1"/>
  <c r="G4119" i="1"/>
  <c r="C4119" i="1"/>
  <c r="B4119" i="1"/>
  <c r="G4118" i="1"/>
  <c r="C4118" i="1"/>
  <c r="B4118" i="1"/>
  <c r="G4117" i="1"/>
  <c r="C4117" i="1"/>
  <c r="B4117" i="1"/>
  <c r="G4116" i="1"/>
  <c r="C4116" i="1"/>
  <c r="B4116" i="1"/>
  <c r="G4115" i="1"/>
  <c r="C4115" i="1"/>
  <c r="B4115" i="1"/>
  <c r="G4114" i="1"/>
  <c r="C4114" i="1"/>
  <c r="B4114" i="1"/>
  <c r="G4113" i="1"/>
  <c r="C4113" i="1"/>
  <c r="B4113" i="1"/>
  <c r="G4112" i="1"/>
  <c r="C4112" i="1"/>
  <c r="B4112" i="1"/>
  <c r="G4111" i="1"/>
  <c r="C4111" i="1"/>
  <c r="B4111" i="1"/>
  <c r="G4110" i="1"/>
  <c r="B4110" i="1"/>
  <c r="G4109" i="1"/>
  <c r="B4109" i="1"/>
  <c r="G4108" i="1"/>
  <c r="C4108" i="1"/>
  <c r="B4108" i="1"/>
  <c r="G4107" i="1"/>
  <c r="C4107" i="1"/>
  <c r="B4107" i="1"/>
  <c r="G4106" i="1"/>
  <c r="C4106" i="1"/>
  <c r="B4106" i="1"/>
  <c r="G4105" i="1"/>
  <c r="C4105" i="1"/>
  <c r="B4105" i="1"/>
  <c r="G4104" i="1"/>
  <c r="C4104" i="1"/>
  <c r="B4104" i="1"/>
  <c r="G4103" i="1"/>
  <c r="C4103" i="1"/>
  <c r="B4103" i="1"/>
  <c r="G4102" i="1"/>
  <c r="C4102" i="1"/>
  <c r="B4102" i="1"/>
  <c r="G4101" i="1"/>
  <c r="C4101" i="1"/>
  <c r="B4101" i="1"/>
  <c r="G4100" i="1"/>
  <c r="C4100" i="1"/>
  <c r="B4100" i="1"/>
  <c r="G4099" i="1"/>
  <c r="C4099" i="1"/>
  <c r="B4099" i="1"/>
  <c r="G4098" i="1"/>
  <c r="C4098" i="1"/>
  <c r="B4098" i="1"/>
  <c r="G4097" i="1"/>
  <c r="C4097" i="1"/>
  <c r="B4097" i="1"/>
  <c r="G4096" i="1"/>
  <c r="C4096" i="1"/>
  <c r="B4096" i="1"/>
  <c r="G4095" i="1"/>
  <c r="C4095" i="1"/>
  <c r="B4095" i="1"/>
  <c r="G4094" i="1"/>
  <c r="C4094" i="1"/>
  <c r="B4094" i="1"/>
  <c r="G4093" i="1"/>
  <c r="C4093" i="1"/>
  <c r="B4093" i="1"/>
  <c r="G4092" i="1"/>
  <c r="C4092" i="1"/>
  <c r="B4092" i="1"/>
  <c r="G4091" i="1"/>
  <c r="C4091" i="1"/>
  <c r="B4091" i="1"/>
  <c r="G4090" i="1"/>
  <c r="C4090" i="1"/>
  <c r="B4090" i="1"/>
  <c r="G4089" i="1"/>
  <c r="C4089" i="1"/>
  <c r="B4089" i="1"/>
  <c r="G4088" i="1"/>
  <c r="C4088" i="1"/>
  <c r="B4088" i="1"/>
  <c r="G4087" i="1"/>
  <c r="C4087" i="1"/>
  <c r="B4087" i="1"/>
  <c r="G4086" i="1"/>
  <c r="C4086" i="1"/>
  <c r="B4086" i="1"/>
  <c r="G4085" i="1"/>
  <c r="B4085" i="1"/>
  <c r="G4084" i="1"/>
  <c r="B4084" i="1"/>
  <c r="G4083" i="1"/>
  <c r="C4083" i="1"/>
  <c r="B4083" i="1"/>
  <c r="G4082" i="1"/>
  <c r="C4082" i="1"/>
  <c r="B4082" i="1"/>
  <c r="G4081" i="1"/>
  <c r="C4081" i="1"/>
  <c r="B4081" i="1"/>
  <c r="G4080" i="1"/>
  <c r="C4080" i="1"/>
  <c r="B4080" i="1"/>
  <c r="G4079" i="1"/>
  <c r="B4079" i="1"/>
  <c r="G4078" i="1"/>
  <c r="C4078" i="1"/>
  <c r="B4078" i="1"/>
  <c r="G4077" i="1"/>
  <c r="C4077" i="1"/>
  <c r="B4077" i="1"/>
  <c r="G4076" i="1"/>
  <c r="C4076" i="1"/>
  <c r="B4076" i="1"/>
  <c r="G4075" i="1"/>
  <c r="C4075" i="1"/>
  <c r="B4075" i="1"/>
  <c r="G4074" i="1"/>
  <c r="C4074" i="1"/>
  <c r="B4074" i="1"/>
  <c r="G4073" i="1"/>
  <c r="C4073" i="1"/>
  <c r="B4073" i="1"/>
  <c r="G4072" i="1"/>
  <c r="C4072" i="1"/>
  <c r="B4072" i="1"/>
  <c r="G4071" i="1"/>
  <c r="B4071" i="1"/>
  <c r="G4070" i="1"/>
  <c r="C4070" i="1"/>
  <c r="B4070" i="1"/>
  <c r="G4069" i="1"/>
  <c r="C4069" i="1"/>
  <c r="B4069" i="1"/>
  <c r="G4068" i="1"/>
  <c r="C4068" i="1"/>
  <c r="B4068" i="1"/>
  <c r="G4067" i="1"/>
  <c r="C4067" i="1"/>
  <c r="B4067" i="1"/>
  <c r="G4066" i="1"/>
  <c r="C4066" i="1"/>
  <c r="B4066" i="1"/>
  <c r="G4065" i="1"/>
  <c r="B4065" i="1"/>
  <c r="G4064" i="1"/>
  <c r="C4064" i="1"/>
  <c r="B4064" i="1"/>
  <c r="G4063" i="1"/>
  <c r="C4063" i="1"/>
  <c r="B4063" i="1"/>
  <c r="G4062" i="1"/>
  <c r="C4062" i="1"/>
  <c r="B4062" i="1"/>
  <c r="G4061" i="1"/>
  <c r="C4061" i="1"/>
  <c r="B4061" i="1"/>
  <c r="G4060" i="1"/>
  <c r="C4060" i="1"/>
  <c r="B4060" i="1"/>
  <c r="G4059" i="1"/>
  <c r="C4059" i="1"/>
  <c r="B4059" i="1"/>
  <c r="G4058" i="1"/>
  <c r="C4058" i="1"/>
  <c r="B4058" i="1"/>
  <c r="G4057" i="1"/>
  <c r="C4057" i="1"/>
  <c r="B4057" i="1"/>
  <c r="G4056" i="1"/>
  <c r="C4056" i="1"/>
  <c r="B4056" i="1"/>
  <c r="G4055" i="1"/>
  <c r="C4055" i="1"/>
  <c r="B4055" i="1"/>
  <c r="G4054" i="1"/>
  <c r="C4054" i="1"/>
  <c r="B4054" i="1"/>
  <c r="G4053" i="1"/>
  <c r="C4053" i="1"/>
  <c r="B4053" i="1"/>
  <c r="G4052" i="1"/>
  <c r="C4052" i="1"/>
  <c r="B4052" i="1"/>
  <c r="G4051" i="1"/>
  <c r="C4051" i="1"/>
  <c r="B4051" i="1"/>
  <c r="G4050" i="1"/>
  <c r="C4050" i="1"/>
  <c r="B4050" i="1"/>
  <c r="G4049" i="1"/>
  <c r="C4049" i="1"/>
  <c r="B4049" i="1"/>
  <c r="G4048" i="1"/>
  <c r="C4048" i="1"/>
  <c r="B4048" i="1"/>
  <c r="G4047" i="1"/>
  <c r="C4047" i="1"/>
  <c r="B4047" i="1"/>
  <c r="G4046" i="1"/>
  <c r="C4046" i="1"/>
  <c r="B4046" i="1"/>
  <c r="G4045" i="1"/>
  <c r="C4045" i="1"/>
  <c r="B4045" i="1"/>
  <c r="G4044" i="1"/>
  <c r="C4044" i="1"/>
  <c r="B4044" i="1"/>
  <c r="G4043" i="1"/>
  <c r="C4043" i="1"/>
  <c r="B4043" i="1"/>
  <c r="G4042" i="1"/>
  <c r="C4042" i="1"/>
  <c r="B4042" i="1"/>
  <c r="G4041" i="1"/>
  <c r="C4041" i="1"/>
  <c r="B4041" i="1"/>
  <c r="G4040" i="1"/>
  <c r="B4040" i="1"/>
  <c r="G4039" i="1"/>
  <c r="C4039" i="1"/>
  <c r="B4039" i="1"/>
  <c r="G4038" i="1"/>
  <c r="B4038" i="1"/>
  <c r="G4037" i="1"/>
  <c r="B4037" i="1"/>
  <c r="G4036" i="1"/>
  <c r="C4036" i="1"/>
  <c r="B4036" i="1"/>
  <c r="G4035" i="1"/>
  <c r="C4035" i="1"/>
  <c r="B4035" i="1"/>
  <c r="G4034" i="1"/>
  <c r="C4034" i="1"/>
  <c r="B4034" i="1"/>
  <c r="G4033" i="1"/>
  <c r="C4033" i="1"/>
  <c r="B4033" i="1"/>
  <c r="G4032" i="1"/>
  <c r="C4032" i="1"/>
  <c r="B4032" i="1"/>
  <c r="G4031" i="1"/>
  <c r="C4031" i="1"/>
  <c r="B4031" i="1"/>
  <c r="G4030" i="1"/>
  <c r="C4030" i="1"/>
  <c r="B4030" i="1"/>
  <c r="G4029" i="1"/>
  <c r="C4029" i="1"/>
  <c r="B4029" i="1"/>
  <c r="G4028" i="1"/>
  <c r="B4028" i="1"/>
  <c r="G4027" i="1"/>
  <c r="C4027" i="1"/>
  <c r="B4027" i="1"/>
  <c r="G4026" i="1"/>
  <c r="C4026" i="1"/>
  <c r="B4026" i="1"/>
  <c r="G4025" i="1"/>
  <c r="C4025" i="1"/>
  <c r="B4025" i="1"/>
  <c r="G4024" i="1"/>
  <c r="C4024" i="1"/>
  <c r="B4024" i="1"/>
  <c r="G4023" i="1"/>
  <c r="B4023" i="1"/>
  <c r="G4022" i="1"/>
  <c r="C4022" i="1"/>
  <c r="B4022" i="1"/>
  <c r="G4021" i="1"/>
  <c r="C4021" i="1"/>
  <c r="B4021" i="1"/>
  <c r="G4020" i="1"/>
  <c r="B4020" i="1"/>
  <c r="G4019" i="1"/>
  <c r="C4019" i="1"/>
  <c r="B4019" i="1"/>
  <c r="G4018" i="1"/>
  <c r="B4018" i="1"/>
  <c r="G4017" i="1"/>
  <c r="C4017" i="1"/>
  <c r="B4017" i="1"/>
  <c r="G4016" i="1"/>
  <c r="B4016" i="1"/>
  <c r="G4015" i="1"/>
  <c r="C4015" i="1"/>
  <c r="B4015" i="1"/>
  <c r="G4014" i="1"/>
  <c r="C4014" i="1"/>
  <c r="B4014" i="1"/>
  <c r="G4013" i="1"/>
  <c r="C4013" i="1"/>
  <c r="B4013" i="1"/>
  <c r="G4012" i="1"/>
  <c r="C4012" i="1"/>
  <c r="B4012" i="1"/>
  <c r="G4011" i="1"/>
  <c r="C4011" i="1"/>
  <c r="B4011" i="1"/>
  <c r="G4010" i="1"/>
  <c r="C4010" i="1"/>
  <c r="B4010" i="1"/>
  <c r="G4009" i="1"/>
  <c r="C4009" i="1"/>
  <c r="B4009" i="1"/>
  <c r="G4008" i="1"/>
  <c r="C4008" i="1"/>
  <c r="B4008" i="1"/>
  <c r="G4007" i="1"/>
  <c r="B4007" i="1"/>
  <c r="G4006" i="1"/>
  <c r="B4006" i="1"/>
  <c r="G4005" i="1"/>
  <c r="C4005" i="1"/>
  <c r="B4005" i="1"/>
  <c r="G4004" i="1"/>
  <c r="B4004" i="1"/>
  <c r="G4003" i="1"/>
  <c r="C4003" i="1"/>
  <c r="B4003" i="1"/>
  <c r="G4002" i="1"/>
  <c r="C4002" i="1"/>
  <c r="B4002" i="1"/>
  <c r="G4001" i="1"/>
  <c r="B4001" i="1"/>
  <c r="G4000" i="1"/>
  <c r="C4000" i="1"/>
  <c r="B4000" i="1"/>
  <c r="G3999" i="1"/>
  <c r="B3999" i="1"/>
  <c r="G3998" i="1"/>
  <c r="C3998" i="1"/>
  <c r="B3998" i="1"/>
  <c r="G3997" i="1"/>
  <c r="B3997" i="1"/>
  <c r="G3996" i="1"/>
  <c r="C3996" i="1"/>
  <c r="B3996" i="1"/>
  <c r="G3995" i="1"/>
  <c r="C3995" i="1"/>
  <c r="B3995" i="1"/>
  <c r="G3994" i="1"/>
  <c r="B3994" i="1"/>
  <c r="G3993" i="1"/>
  <c r="C3993" i="1"/>
  <c r="B3993" i="1"/>
  <c r="G3992" i="1"/>
  <c r="C3992" i="1"/>
  <c r="B3992" i="1"/>
  <c r="G3991" i="1"/>
  <c r="C3991" i="1"/>
  <c r="B3991" i="1"/>
  <c r="G3990" i="1"/>
  <c r="C3990" i="1"/>
  <c r="B3990" i="1"/>
  <c r="G3989" i="1"/>
  <c r="B3989" i="1"/>
  <c r="G3988" i="1"/>
  <c r="B3988" i="1"/>
  <c r="G3987" i="1"/>
  <c r="C3987" i="1"/>
  <c r="B3987" i="1"/>
  <c r="G3986" i="1"/>
  <c r="C3986" i="1"/>
  <c r="B3986" i="1"/>
  <c r="G3985" i="1"/>
  <c r="B3985" i="1"/>
  <c r="G3984" i="1"/>
  <c r="B3984" i="1"/>
  <c r="G3983" i="1"/>
  <c r="C3983" i="1"/>
  <c r="B3983" i="1"/>
  <c r="G3982" i="1"/>
  <c r="C3982" i="1"/>
  <c r="B3982" i="1"/>
  <c r="G3981" i="1"/>
  <c r="B3981" i="1"/>
  <c r="G3980" i="1"/>
  <c r="B3980" i="1"/>
  <c r="G3979" i="1"/>
  <c r="C3979" i="1"/>
  <c r="B3979" i="1"/>
  <c r="G3978" i="1"/>
  <c r="C3978" i="1"/>
  <c r="B3978" i="1"/>
  <c r="G3977" i="1"/>
  <c r="C3977" i="1"/>
  <c r="B3977" i="1"/>
  <c r="G3976" i="1"/>
  <c r="C3976" i="1"/>
  <c r="B3976" i="1"/>
  <c r="G3975" i="1"/>
  <c r="C3975" i="1"/>
  <c r="B3975" i="1"/>
  <c r="G3974" i="1"/>
  <c r="B3974" i="1"/>
  <c r="G3973" i="1"/>
  <c r="C3973" i="1"/>
  <c r="B3973" i="1"/>
  <c r="G3972" i="1"/>
  <c r="C3972" i="1"/>
  <c r="B3972" i="1"/>
  <c r="G3971" i="1"/>
  <c r="B3971" i="1"/>
  <c r="G3970" i="1"/>
  <c r="C3970" i="1"/>
  <c r="B3970" i="1"/>
  <c r="G3969" i="1"/>
  <c r="B3969" i="1"/>
  <c r="G3968" i="1"/>
  <c r="C3968" i="1"/>
  <c r="B3968" i="1"/>
  <c r="G3967" i="1"/>
  <c r="C3967" i="1"/>
  <c r="B3967" i="1"/>
  <c r="G3966" i="1"/>
  <c r="C3966" i="1"/>
  <c r="B3966" i="1"/>
  <c r="G3965" i="1"/>
  <c r="C3965" i="1"/>
  <c r="B3965" i="1"/>
  <c r="G3964" i="1"/>
  <c r="B3964" i="1"/>
  <c r="G3963" i="1"/>
  <c r="C3963" i="1"/>
  <c r="B3963" i="1"/>
  <c r="G3962" i="1"/>
  <c r="C3962" i="1"/>
  <c r="B3962" i="1"/>
  <c r="G3961" i="1"/>
  <c r="C3961" i="1"/>
  <c r="B3961" i="1"/>
  <c r="G3960" i="1"/>
  <c r="C3960" i="1"/>
  <c r="B3960" i="1"/>
  <c r="G3959" i="1"/>
  <c r="C3959" i="1"/>
  <c r="B3959" i="1"/>
  <c r="G3958" i="1"/>
  <c r="B3958" i="1"/>
  <c r="G3957" i="1"/>
  <c r="C3957" i="1"/>
  <c r="B3957" i="1"/>
  <c r="G3956" i="1"/>
  <c r="B3956" i="1"/>
  <c r="G3955" i="1"/>
  <c r="C3955" i="1"/>
  <c r="B3955" i="1"/>
  <c r="G3954" i="1"/>
  <c r="C3954" i="1"/>
  <c r="B3954" i="1"/>
  <c r="G3953" i="1"/>
  <c r="C3953" i="1"/>
  <c r="B3953" i="1"/>
  <c r="G3952" i="1"/>
  <c r="B3952" i="1"/>
  <c r="G3951" i="1"/>
  <c r="C3951" i="1"/>
  <c r="B3951" i="1"/>
  <c r="G3950" i="1"/>
  <c r="C3950" i="1"/>
  <c r="B3950" i="1"/>
  <c r="G3949" i="1"/>
  <c r="C3949" i="1"/>
  <c r="B3949" i="1"/>
  <c r="G3948" i="1"/>
  <c r="C3948" i="1"/>
  <c r="B3948" i="1"/>
  <c r="G3947" i="1"/>
  <c r="C3947" i="1"/>
  <c r="B3947" i="1"/>
  <c r="G3946" i="1"/>
  <c r="B3946" i="1"/>
  <c r="G3945" i="1"/>
  <c r="C3945" i="1"/>
  <c r="B3945" i="1"/>
  <c r="G3944" i="1"/>
  <c r="C3944" i="1"/>
  <c r="B3944" i="1"/>
  <c r="G3943" i="1"/>
  <c r="B3943" i="1"/>
  <c r="G3942" i="1"/>
  <c r="C3942" i="1"/>
  <c r="B3942" i="1"/>
  <c r="G3941" i="1"/>
  <c r="C3941" i="1"/>
  <c r="B3941" i="1"/>
  <c r="G3940" i="1"/>
  <c r="C3940" i="1"/>
  <c r="B3940" i="1"/>
  <c r="G3939" i="1"/>
  <c r="C3939" i="1"/>
  <c r="B3939" i="1"/>
  <c r="G3938" i="1"/>
  <c r="C3938" i="1"/>
  <c r="B3938" i="1"/>
  <c r="G3937" i="1"/>
  <c r="C3937" i="1"/>
  <c r="B3937" i="1"/>
  <c r="G3936" i="1"/>
  <c r="C3936" i="1"/>
  <c r="B3936" i="1"/>
  <c r="G3935" i="1"/>
  <c r="C3935" i="1"/>
  <c r="B3935" i="1"/>
  <c r="G3934" i="1"/>
  <c r="C3934" i="1"/>
  <c r="B3934" i="1"/>
  <c r="G3933" i="1"/>
  <c r="C3933" i="1"/>
  <c r="B3933" i="1"/>
  <c r="G3932" i="1"/>
  <c r="C3932" i="1"/>
  <c r="B3932" i="1"/>
  <c r="G3931" i="1"/>
  <c r="B3931" i="1"/>
  <c r="G3930" i="1"/>
  <c r="C3930" i="1"/>
  <c r="B3930" i="1"/>
  <c r="G3929" i="1"/>
  <c r="C3929" i="1"/>
  <c r="B3929" i="1"/>
  <c r="G3928" i="1"/>
  <c r="C3928" i="1"/>
  <c r="B3928" i="1"/>
  <c r="G3927" i="1"/>
  <c r="C3927" i="1"/>
  <c r="B3927" i="1"/>
  <c r="G3926" i="1"/>
  <c r="C3926" i="1"/>
  <c r="B3926" i="1"/>
  <c r="G3925" i="1"/>
  <c r="C3925" i="1"/>
  <c r="B3925" i="1"/>
  <c r="G3924" i="1"/>
  <c r="C3924" i="1"/>
  <c r="B3924" i="1"/>
  <c r="G3923" i="1"/>
  <c r="B3923" i="1"/>
  <c r="G3922" i="1"/>
  <c r="B3922" i="1"/>
  <c r="G3921" i="1"/>
  <c r="C3921" i="1"/>
  <c r="B3921" i="1"/>
  <c r="G3920" i="1"/>
  <c r="C3920" i="1"/>
  <c r="B3920" i="1"/>
  <c r="G3919" i="1"/>
  <c r="C3919" i="1"/>
  <c r="B3919" i="1"/>
  <c r="G3918" i="1"/>
  <c r="C3918" i="1"/>
  <c r="B3918" i="1"/>
  <c r="G3917" i="1"/>
  <c r="B3917" i="1"/>
  <c r="G3916" i="1"/>
  <c r="C3916" i="1"/>
  <c r="B3916" i="1"/>
  <c r="G3915" i="1"/>
  <c r="C3915" i="1"/>
  <c r="B3915" i="1"/>
  <c r="G3914" i="1"/>
  <c r="C3914" i="1"/>
  <c r="B3914" i="1"/>
  <c r="G3913" i="1"/>
  <c r="C3913" i="1"/>
  <c r="B3913" i="1"/>
  <c r="G3912" i="1"/>
  <c r="C3912" i="1"/>
  <c r="B3912" i="1"/>
  <c r="G3911" i="1"/>
  <c r="C3911" i="1"/>
  <c r="B3911" i="1"/>
  <c r="G3910" i="1"/>
  <c r="B3910" i="1"/>
  <c r="G3909" i="1"/>
  <c r="C3909" i="1"/>
  <c r="B3909" i="1"/>
  <c r="G3908" i="1"/>
  <c r="B3908" i="1"/>
  <c r="G3907" i="1"/>
  <c r="C3907" i="1"/>
  <c r="B3907" i="1"/>
  <c r="G3906" i="1"/>
  <c r="B3906" i="1"/>
  <c r="G3905" i="1"/>
  <c r="B3905" i="1"/>
  <c r="G3904" i="1"/>
  <c r="B3904" i="1"/>
  <c r="G3903" i="1"/>
  <c r="C3903" i="1"/>
  <c r="B3903" i="1"/>
  <c r="G3902" i="1"/>
  <c r="C3902" i="1"/>
  <c r="B3902" i="1"/>
  <c r="G3901" i="1"/>
  <c r="B3901" i="1"/>
  <c r="G3900" i="1"/>
  <c r="C3900" i="1"/>
  <c r="B3900" i="1"/>
  <c r="G3899" i="1"/>
  <c r="C3899" i="1"/>
  <c r="B3899" i="1"/>
  <c r="G3898" i="1"/>
  <c r="C3898" i="1"/>
  <c r="B3898" i="1"/>
  <c r="G3897" i="1"/>
  <c r="C3897" i="1"/>
  <c r="B3897" i="1"/>
  <c r="G3896" i="1"/>
  <c r="C3896" i="1"/>
  <c r="B3896" i="1"/>
  <c r="G3895" i="1"/>
  <c r="C3895" i="1"/>
  <c r="B3895" i="1"/>
  <c r="G3894" i="1"/>
  <c r="B3894" i="1"/>
  <c r="G3893" i="1"/>
  <c r="C3893" i="1"/>
  <c r="B3893" i="1"/>
  <c r="G3892" i="1"/>
  <c r="C3892" i="1"/>
  <c r="B3892" i="1"/>
  <c r="G3891" i="1"/>
  <c r="C3891" i="1"/>
  <c r="B3891" i="1"/>
  <c r="G3890" i="1"/>
  <c r="C3890" i="1"/>
  <c r="B3890" i="1"/>
  <c r="G3889" i="1"/>
  <c r="C3889" i="1"/>
  <c r="B3889" i="1"/>
  <c r="G3888" i="1"/>
  <c r="B3888" i="1"/>
  <c r="G3887" i="1"/>
  <c r="C3887" i="1"/>
  <c r="B3887" i="1"/>
  <c r="G3886" i="1"/>
  <c r="C3886" i="1"/>
  <c r="B3886" i="1"/>
  <c r="G3885" i="1"/>
  <c r="C3885" i="1"/>
  <c r="B3885" i="1"/>
  <c r="G3884" i="1"/>
  <c r="B3884" i="1"/>
  <c r="G3883" i="1"/>
  <c r="C3883" i="1"/>
  <c r="B3883" i="1"/>
  <c r="G3882" i="1"/>
  <c r="C3882" i="1"/>
  <c r="B3882" i="1"/>
  <c r="G3881" i="1"/>
  <c r="B3881" i="1"/>
  <c r="G3880" i="1"/>
  <c r="C3880" i="1"/>
  <c r="B3880" i="1"/>
  <c r="G3879" i="1"/>
  <c r="C3879" i="1"/>
  <c r="B3879" i="1"/>
  <c r="G3878" i="1"/>
  <c r="B3878" i="1"/>
  <c r="G3877" i="1"/>
  <c r="C3877" i="1"/>
  <c r="B3877" i="1"/>
  <c r="G3876" i="1"/>
  <c r="B3876" i="1"/>
  <c r="G3875" i="1"/>
  <c r="C3875" i="1"/>
  <c r="B3875" i="1"/>
  <c r="G3874" i="1"/>
  <c r="B3874" i="1"/>
  <c r="G3873" i="1"/>
  <c r="C3873" i="1"/>
  <c r="B3873" i="1"/>
  <c r="G3872" i="1"/>
  <c r="C3872" i="1"/>
  <c r="B3872" i="1"/>
  <c r="G3871" i="1"/>
  <c r="C3871" i="1"/>
  <c r="B3871" i="1"/>
  <c r="G3870" i="1"/>
  <c r="C3870" i="1"/>
  <c r="B3870" i="1"/>
  <c r="G3869" i="1"/>
  <c r="C3869" i="1"/>
  <c r="B3869" i="1"/>
  <c r="G3868" i="1"/>
  <c r="C3868" i="1"/>
  <c r="B3868" i="1"/>
  <c r="G3867" i="1"/>
  <c r="B3867" i="1"/>
  <c r="G3866" i="1"/>
  <c r="C3866" i="1"/>
  <c r="B3866" i="1"/>
  <c r="G3865" i="1"/>
  <c r="B3865" i="1"/>
  <c r="G3864" i="1"/>
  <c r="C3864" i="1"/>
  <c r="B3864" i="1"/>
  <c r="G3863" i="1"/>
  <c r="C3863" i="1"/>
  <c r="B3863" i="1"/>
  <c r="G3862" i="1"/>
  <c r="C3862" i="1"/>
  <c r="B3862" i="1"/>
  <c r="G3861" i="1"/>
  <c r="C3861" i="1"/>
  <c r="B3861" i="1"/>
  <c r="G3860" i="1"/>
  <c r="C3860" i="1"/>
  <c r="B3860" i="1"/>
  <c r="G3859" i="1"/>
  <c r="C3859" i="1"/>
  <c r="B3859" i="1"/>
  <c r="G3858" i="1"/>
  <c r="B3858" i="1"/>
  <c r="G3857" i="1"/>
  <c r="C3857" i="1"/>
  <c r="B3857" i="1"/>
  <c r="G3856" i="1"/>
  <c r="B3856" i="1"/>
  <c r="G3855" i="1"/>
  <c r="C3855" i="1"/>
  <c r="B3855" i="1"/>
  <c r="G3854" i="1"/>
  <c r="C3854" i="1"/>
  <c r="B3854" i="1"/>
  <c r="G3853" i="1"/>
  <c r="C3853" i="1"/>
  <c r="B3853" i="1"/>
  <c r="G3852" i="1"/>
  <c r="B3852" i="1"/>
  <c r="G3851" i="1"/>
  <c r="C3851" i="1"/>
  <c r="B3851" i="1"/>
  <c r="G3850" i="1"/>
  <c r="B3850" i="1"/>
  <c r="G3849" i="1"/>
  <c r="B3849" i="1"/>
  <c r="G3848" i="1"/>
  <c r="B3848" i="1"/>
  <c r="G3847" i="1"/>
  <c r="C3847" i="1"/>
  <c r="B3847" i="1"/>
  <c r="G3846" i="1"/>
  <c r="C3846" i="1"/>
  <c r="B3846" i="1"/>
  <c r="G3845" i="1"/>
  <c r="B3845" i="1"/>
  <c r="G3844" i="1"/>
  <c r="C3844" i="1"/>
  <c r="B3844" i="1"/>
  <c r="G3843" i="1"/>
  <c r="C3843" i="1"/>
  <c r="B3843" i="1"/>
  <c r="G3842" i="1"/>
  <c r="C3842" i="1"/>
  <c r="B3842" i="1"/>
  <c r="G3841" i="1"/>
  <c r="B3841" i="1"/>
  <c r="G3840" i="1"/>
  <c r="C3840" i="1"/>
  <c r="B3840" i="1"/>
  <c r="G3839" i="1"/>
  <c r="C3839" i="1"/>
  <c r="B3839" i="1"/>
  <c r="G3838" i="1"/>
  <c r="C3838" i="1"/>
  <c r="B3838" i="1"/>
  <c r="G3837" i="1"/>
  <c r="B3837" i="1"/>
  <c r="G3836" i="1"/>
  <c r="B3836" i="1"/>
  <c r="G3835" i="1"/>
  <c r="C3835" i="1"/>
  <c r="B3835" i="1"/>
  <c r="G3834" i="1"/>
  <c r="C3834" i="1"/>
  <c r="B3834" i="1"/>
  <c r="G3833" i="1"/>
  <c r="C3833" i="1"/>
  <c r="B3833" i="1"/>
  <c r="G3832" i="1"/>
  <c r="C3832" i="1"/>
  <c r="B3832" i="1"/>
  <c r="G3831" i="1"/>
  <c r="C3831" i="1"/>
  <c r="B3831" i="1"/>
  <c r="G3830" i="1"/>
  <c r="B3830" i="1"/>
  <c r="G3829" i="1"/>
  <c r="C3829" i="1"/>
  <c r="B3829" i="1"/>
  <c r="G3828" i="1"/>
  <c r="B3828" i="1"/>
  <c r="G3827" i="1"/>
  <c r="B3827" i="1"/>
  <c r="G3826" i="1"/>
  <c r="C3826" i="1"/>
  <c r="B3826" i="1"/>
  <c r="G3825" i="1"/>
  <c r="C3825" i="1"/>
  <c r="B3825" i="1"/>
  <c r="G3824" i="1"/>
  <c r="C3824" i="1"/>
  <c r="B3824" i="1"/>
  <c r="G3823" i="1"/>
  <c r="B3823" i="1"/>
  <c r="G3822" i="1"/>
  <c r="C3822" i="1"/>
  <c r="B3822" i="1"/>
  <c r="G3821" i="1"/>
  <c r="B3821" i="1"/>
  <c r="G3820" i="1"/>
  <c r="C3820" i="1"/>
  <c r="B3820" i="1"/>
  <c r="G3819" i="1"/>
  <c r="C3819" i="1"/>
  <c r="B3819" i="1"/>
  <c r="G3818" i="1"/>
  <c r="B3818" i="1"/>
  <c r="G3817" i="1"/>
  <c r="C3817" i="1"/>
  <c r="B3817" i="1"/>
  <c r="G3816" i="1"/>
  <c r="C3816" i="1"/>
  <c r="B3816" i="1"/>
  <c r="G3815" i="1"/>
  <c r="B3815" i="1"/>
  <c r="G3814" i="1"/>
  <c r="B3814" i="1"/>
  <c r="G3813" i="1"/>
  <c r="C3813" i="1"/>
  <c r="B3813" i="1"/>
  <c r="G3812" i="1"/>
  <c r="C3812" i="1"/>
  <c r="B3812" i="1"/>
  <c r="G3811" i="1"/>
  <c r="C3811" i="1"/>
  <c r="B3811" i="1"/>
  <c r="G3810" i="1"/>
  <c r="B3810" i="1"/>
  <c r="G3809" i="1"/>
  <c r="C3809" i="1"/>
  <c r="B3809" i="1"/>
  <c r="G3808" i="1"/>
  <c r="C3808" i="1"/>
  <c r="B3808" i="1"/>
  <c r="G3807" i="1"/>
  <c r="B3807" i="1"/>
  <c r="G3806" i="1"/>
  <c r="C3806" i="1"/>
  <c r="B3806" i="1"/>
  <c r="G3805" i="1"/>
  <c r="C3805" i="1"/>
  <c r="B3805" i="1"/>
  <c r="G3804" i="1"/>
  <c r="C3804" i="1"/>
  <c r="B3804" i="1"/>
  <c r="G3803" i="1"/>
  <c r="B3803" i="1"/>
  <c r="G3802" i="1"/>
  <c r="B3802" i="1"/>
  <c r="G3801" i="1"/>
  <c r="C3801" i="1"/>
  <c r="B3801" i="1"/>
  <c r="G3800" i="1"/>
  <c r="B3800" i="1"/>
  <c r="G3799" i="1"/>
  <c r="C3799" i="1"/>
  <c r="B3799" i="1"/>
  <c r="G3798" i="1"/>
  <c r="B3798" i="1"/>
  <c r="G3797" i="1"/>
  <c r="C3797" i="1"/>
  <c r="B3797" i="1"/>
  <c r="G3796" i="1"/>
  <c r="C3796" i="1"/>
  <c r="B3796" i="1"/>
  <c r="G3795" i="1"/>
  <c r="C3795" i="1"/>
  <c r="B3795" i="1"/>
  <c r="G3794" i="1"/>
  <c r="C3794" i="1"/>
  <c r="B3794" i="1"/>
  <c r="G3793" i="1"/>
  <c r="C3793" i="1"/>
  <c r="B3793" i="1"/>
  <c r="G3792" i="1"/>
  <c r="B3792" i="1"/>
  <c r="G3791" i="1"/>
  <c r="C3791" i="1"/>
  <c r="B3791" i="1"/>
  <c r="G3790" i="1"/>
  <c r="C3790" i="1"/>
  <c r="B3790" i="1"/>
  <c r="G3789" i="1"/>
  <c r="B3789" i="1"/>
  <c r="G3788" i="1"/>
  <c r="C3788" i="1"/>
  <c r="B3788" i="1"/>
  <c r="G3787" i="1"/>
  <c r="B3787" i="1"/>
  <c r="G3786" i="1"/>
  <c r="C3786" i="1"/>
  <c r="B3786" i="1"/>
  <c r="G3785" i="1"/>
  <c r="B3785" i="1"/>
  <c r="G3784" i="1"/>
  <c r="C3784" i="1"/>
  <c r="B3784" i="1"/>
  <c r="G3783" i="1"/>
  <c r="B3783" i="1"/>
  <c r="G3782" i="1"/>
  <c r="C3782" i="1"/>
  <c r="B3782" i="1"/>
  <c r="G3781" i="1"/>
  <c r="B3781" i="1"/>
  <c r="G3780" i="1"/>
  <c r="C3780" i="1"/>
  <c r="B3780" i="1"/>
  <c r="G3779" i="1"/>
  <c r="B3779" i="1"/>
  <c r="G3778" i="1"/>
  <c r="C3778" i="1"/>
  <c r="B3778" i="1"/>
  <c r="G3777" i="1"/>
  <c r="B3777" i="1"/>
  <c r="G3776" i="1"/>
  <c r="C3776" i="1"/>
  <c r="B3776" i="1"/>
  <c r="G3775" i="1"/>
  <c r="C3775" i="1"/>
  <c r="B3775" i="1"/>
  <c r="G3774" i="1"/>
  <c r="C3774" i="1"/>
  <c r="B3774" i="1"/>
  <c r="G3773" i="1"/>
  <c r="B3773" i="1"/>
  <c r="G3772" i="1"/>
  <c r="C3772" i="1"/>
  <c r="B3772" i="1"/>
  <c r="G3771" i="1"/>
  <c r="C3771" i="1"/>
  <c r="B3771" i="1"/>
  <c r="G3770" i="1"/>
  <c r="C3770" i="1"/>
  <c r="B3770" i="1"/>
  <c r="G3769" i="1"/>
  <c r="C3769" i="1"/>
  <c r="B3769" i="1"/>
  <c r="G3768" i="1"/>
  <c r="C3768" i="1"/>
  <c r="B3768" i="1"/>
  <c r="G3767" i="1"/>
  <c r="C3767" i="1"/>
  <c r="B3767" i="1"/>
  <c r="G3766" i="1"/>
  <c r="C3766" i="1"/>
  <c r="B3766" i="1"/>
  <c r="G3765" i="1"/>
  <c r="B3765" i="1"/>
  <c r="G3764" i="1"/>
  <c r="C3764" i="1"/>
  <c r="B3764" i="1"/>
  <c r="G3763" i="1"/>
  <c r="C3763" i="1"/>
  <c r="B3763" i="1"/>
  <c r="G3762" i="1"/>
  <c r="C3762" i="1"/>
  <c r="B3762" i="1"/>
  <c r="G3761" i="1"/>
  <c r="B3761" i="1"/>
  <c r="G3760" i="1"/>
  <c r="B3760" i="1"/>
  <c r="G3759" i="1"/>
  <c r="B3759" i="1"/>
  <c r="G3758" i="1"/>
  <c r="C3758" i="1"/>
  <c r="B3758" i="1"/>
  <c r="G3757" i="1"/>
  <c r="C3757" i="1"/>
  <c r="B3757" i="1"/>
  <c r="G3756" i="1"/>
  <c r="C3756" i="1"/>
  <c r="B3756" i="1"/>
  <c r="G3755" i="1"/>
  <c r="B3755" i="1"/>
  <c r="G3754" i="1"/>
  <c r="B3754" i="1"/>
  <c r="G3753" i="1"/>
  <c r="B3753" i="1"/>
  <c r="G3752" i="1"/>
  <c r="C3752" i="1"/>
  <c r="B3752" i="1"/>
  <c r="G3751" i="1"/>
  <c r="C3751" i="1"/>
  <c r="B3751" i="1"/>
  <c r="G3750" i="1"/>
  <c r="C3750" i="1"/>
  <c r="B3750" i="1"/>
  <c r="G3749" i="1"/>
  <c r="C3749" i="1"/>
  <c r="B3749" i="1"/>
  <c r="G3748" i="1"/>
  <c r="C3748" i="1"/>
  <c r="B3748" i="1"/>
  <c r="G3747" i="1"/>
  <c r="C3747" i="1"/>
  <c r="B3747" i="1"/>
  <c r="G3746" i="1"/>
  <c r="C3746" i="1"/>
  <c r="B3746" i="1"/>
  <c r="G3745" i="1"/>
  <c r="B3745" i="1"/>
  <c r="G3744" i="1"/>
  <c r="C3744" i="1"/>
  <c r="B3744" i="1"/>
  <c r="G3743" i="1"/>
  <c r="C3743" i="1"/>
  <c r="B3743" i="1"/>
  <c r="G3742" i="1"/>
  <c r="C3742" i="1"/>
  <c r="B3742" i="1"/>
  <c r="G3741" i="1"/>
  <c r="C3741" i="1"/>
  <c r="B3741" i="1"/>
  <c r="G3740" i="1"/>
  <c r="C3740" i="1"/>
  <c r="B3740" i="1"/>
  <c r="G3739" i="1"/>
  <c r="B3739" i="1"/>
  <c r="G3738" i="1"/>
  <c r="C3738" i="1"/>
  <c r="B3738" i="1"/>
  <c r="G3737" i="1"/>
  <c r="C3737" i="1"/>
  <c r="B3737" i="1"/>
  <c r="G3736" i="1"/>
  <c r="C3736" i="1"/>
  <c r="B3736" i="1"/>
  <c r="G3735" i="1"/>
  <c r="C3735" i="1"/>
  <c r="B3735" i="1"/>
  <c r="G3734" i="1"/>
  <c r="C3734" i="1"/>
  <c r="B3734" i="1"/>
  <c r="G3733" i="1"/>
  <c r="C3733" i="1"/>
  <c r="B3733" i="1"/>
  <c r="G3732" i="1"/>
  <c r="C3732" i="1"/>
  <c r="B3732" i="1"/>
  <c r="G3731" i="1"/>
  <c r="C3731" i="1"/>
  <c r="B3731" i="1"/>
  <c r="G3730" i="1"/>
  <c r="C3730" i="1"/>
  <c r="B3730" i="1"/>
  <c r="G3729" i="1"/>
  <c r="C3729" i="1"/>
  <c r="B3729" i="1"/>
  <c r="G3728" i="1"/>
  <c r="C3728" i="1"/>
  <c r="B3728" i="1"/>
  <c r="G3727" i="1"/>
  <c r="C3727" i="1"/>
  <c r="B3727" i="1"/>
  <c r="G3726" i="1"/>
  <c r="C3726" i="1"/>
  <c r="B3726" i="1"/>
  <c r="G3725" i="1"/>
  <c r="C3725" i="1"/>
  <c r="B3725" i="1"/>
  <c r="G3724" i="1"/>
  <c r="C3724" i="1"/>
  <c r="B3724" i="1"/>
  <c r="G3723" i="1"/>
  <c r="C3723" i="1"/>
  <c r="B3723" i="1"/>
  <c r="G3722" i="1"/>
  <c r="C3722" i="1"/>
  <c r="B3722" i="1"/>
  <c r="G3721" i="1"/>
  <c r="B3721" i="1"/>
  <c r="G3720" i="1"/>
  <c r="C3720" i="1"/>
  <c r="B3720" i="1"/>
  <c r="G3719" i="1"/>
  <c r="C3719" i="1"/>
  <c r="B3719" i="1"/>
  <c r="G3718" i="1"/>
  <c r="B3718" i="1"/>
  <c r="G3717" i="1"/>
  <c r="C3717" i="1"/>
  <c r="B3717" i="1"/>
  <c r="G3716" i="1"/>
  <c r="C3716" i="1"/>
  <c r="B3716" i="1"/>
  <c r="G3715" i="1"/>
  <c r="B3715" i="1"/>
  <c r="G3714" i="1"/>
  <c r="C3714" i="1"/>
  <c r="B3714" i="1"/>
  <c r="G3713" i="1"/>
  <c r="C3713" i="1"/>
  <c r="B3713" i="1"/>
  <c r="G3712" i="1"/>
  <c r="B3712" i="1"/>
  <c r="G3711" i="1"/>
  <c r="B3711" i="1"/>
  <c r="G3710" i="1"/>
  <c r="B3710" i="1"/>
  <c r="G3709" i="1"/>
  <c r="C3709" i="1"/>
  <c r="B3709" i="1"/>
  <c r="G3708" i="1"/>
  <c r="C3708" i="1"/>
  <c r="B3708" i="1"/>
  <c r="G3707" i="1"/>
  <c r="B3707" i="1"/>
  <c r="G3706" i="1"/>
  <c r="C3706" i="1"/>
  <c r="B3706" i="1"/>
  <c r="G3705" i="1"/>
  <c r="B3705" i="1"/>
  <c r="G3704" i="1"/>
  <c r="B3704" i="1"/>
  <c r="G3703" i="1"/>
  <c r="C3703" i="1"/>
  <c r="B3703" i="1"/>
  <c r="G3702" i="1"/>
  <c r="C3702" i="1"/>
  <c r="B3702" i="1"/>
  <c r="G3701" i="1"/>
  <c r="B3701" i="1"/>
  <c r="G3700" i="1"/>
  <c r="C3700" i="1"/>
  <c r="B3700" i="1"/>
  <c r="G3699" i="1"/>
  <c r="C3699" i="1"/>
  <c r="B3699" i="1"/>
  <c r="G3698" i="1"/>
  <c r="C3698" i="1"/>
  <c r="B3698" i="1"/>
  <c r="G3697" i="1"/>
  <c r="C3697" i="1"/>
  <c r="B3697" i="1"/>
  <c r="G3696" i="1"/>
  <c r="C3696" i="1"/>
  <c r="B3696" i="1"/>
  <c r="G3695" i="1"/>
  <c r="C3695" i="1"/>
  <c r="B3695" i="1"/>
  <c r="G3694" i="1"/>
  <c r="C3694" i="1"/>
  <c r="B3694" i="1"/>
  <c r="G3693" i="1"/>
  <c r="C3693" i="1"/>
  <c r="B3693" i="1"/>
  <c r="G3692" i="1"/>
  <c r="B3692" i="1"/>
  <c r="G3691" i="1"/>
  <c r="C3691" i="1"/>
  <c r="B3691" i="1"/>
  <c r="G3690" i="1"/>
  <c r="B3690" i="1"/>
  <c r="G3689" i="1"/>
  <c r="B3689" i="1"/>
  <c r="G3688" i="1"/>
  <c r="C3688" i="1"/>
  <c r="B3688" i="1"/>
  <c r="G3687" i="1"/>
  <c r="C3687" i="1"/>
  <c r="B3687" i="1"/>
  <c r="G3686" i="1"/>
  <c r="B3686" i="1"/>
  <c r="G3685" i="1"/>
  <c r="B3685" i="1"/>
  <c r="G3684" i="1"/>
  <c r="C3684" i="1"/>
  <c r="B3684" i="1"/>
  <c r="G3683" i="1"/>
  <c r="C3683" i="1"/>
  <c r="B3683" i="1"/>
  <c r="G3682" i="1"/>
  <c r="C3682" i="1"/>
  <c r="B3682" i="1"/>
  <c r="G3681" i="1"/>
  <c r="C3681" i="1"/>
  <c r="B3681" i="1"/>
  <c r="G3680" i="1"/>
  <c r="C3680" i="1"/>
  <c r="B3680" i="1"/>
  <c r="G3679" i="1"/>
  <c r="C3679" i="1"/>
  <c r="B3679" i="1"/>
  <c r="G3678" i="1"/>
  <c r="C3678" i="1"/>
  <c r="B3678" i="1"/>
  <c r="G3677" i="1"/>
  <c r="C3677" i="1"/>
  <c r="B3677" i="1"/>
  <c r="G3676" i="1"/>
  <c r="C3676" i="1"/>
  <c r="B3676" i="1"/>
  <c r="G3675" i="1"/>
  <c r="C3675" i="1"/>
  <c r="B3675" i="1"/>
  <c r="G3674" i="1"/>
  <c r="C3674" i="1"/>
  <c r="B3674" i="1"/>
  <c r="G3673" i="1"/>
  <c r="C3673" i="1"/>
  <c r="B3673" i="1"/>
  <c r="G3672" i="1"/>
  <c r="C3672" i="1"/>
  <c r="B3672" i="1"/>
  <c r="G3671" i="1"/>
  <c r="C3671" i="1"/>
  <c r="B3671" i="1"/>
  <c r="G3670" i="1"/>
  <c r="B3670" i="1"/>
  <c r="G3669" i="1"/>
  <c r="B3669" i="1"/>
  <c r="G3668" i="1"/>
  <c r="C3668" i="1"/>
  <c r="B3668" i="1"/>
  <c r="G3667" i="1"/>
  <c r="B3667" i="1"/>
  <c r="G3666" i="1"/>
  <c r="C3666" i="1"/>
  <c r="B3666" i="1"/>
  <c r="G3665" i="1"/>
  <c r="B3665" i="1"/>
  <c r="G3664" i="1"/>
  <c r="C3664" i="1"/>
  <c r="B3664" i="1"/>
  <c r="G3663" i="1"/>
  <c r="C3663" i="1"/>
  <c r="B3663" i="1"/>
  <c r="G3662" i="1"/>
  <c r="C3662" i="1"/>
  <c r="B3662" i="1"/>
  <c r="G3661" i="1"/>
  <c r="B3661" i="1"/>
  <c r="G3660" i="1"/>
  <c r="B3660" i="1"/>
  <c r="G3659" i="1"/>
  <c r="B3659" i="1"/>
  <c r="G3658" i="1"/>
  <c r="B3658" i="1"/>
  <c r="G3657" i="1"/>
  <c r="C3657" i="1"/>
  <c r="B3657" i="1"/>
  <c r="G3656" i="1"/>
  <c r="C3656" i="1"/>
  <c r="B3656" i="1"/>
  <c r="G3655" i="1"/>
  <c r="C3655" i="1"/>
  <c r="B3655" i="1"/>
  <c r="G3654" i="1"/>
  <c r="B3654" i="1"/>
  <c r="G3653" i="1"/>
  <c r="C3653" i="1"/>
  <c r="B3653" i="1"/>
  <c r="G3652" i="1"/>
  <c r="B3652" i="1"/>
  <c r="G3651" i="1"/>
  <c r="C3651" i="1"/>
  <c r="B3651" i="1"/>
  <c r="G3650" i="1"/>
  <c r="C3650" i="1"/>
  <c r="B3650" i="1"/>
  <c r="G3649" i="1"/>
  <c r="C3649" i="1"/>
  <c r="B3649" i="1"/>
  <c r="G3648" i="1"/>
  <c r="B3648" i="1"/>
  <c r="G3647" i="1"/>
  <c r="C3647" i="1"/>
  <c r="B3647" i="1"/>
  <c r="G3646" i="1"/>
  <c r="C3646" i="1"/>
  <c r="B3646" i="1"/>
  <c r="G3645" i="1"/>
  <c r="B3645" i="1"/>
  <c r="G3644" i="1"/>
  <c r="C3644" i="1"/>
  <c r="B3644" i="1"/>
  <c r="G3643" i="1"/>
  <c r="B3643" i="1"/>
  <c r="G3642" i="1"/>
  <c r="C3642" i="1"/>
  <c r="B3642" i="1"/>
  <c r="G3641" i="1"/>
  <c r="B3641" i="1"/>
  <c r="G3640" i="1"/>
  <c r="C3640" i="1"/>
  <c r="B3640" i="1"/>
  <c r="G3639" i="1"/>
  <c r="C3639" i="1"/>
  <c r="B3639" i="1"/>
  <c r="G3638" i="1"/>
  <c r="C3638" i="1"/>
  <c r="B3638" i="1"/>
  <c r="G3637" i="1"/>
  <c r="B3637" i="1"/>
  <c r="G3636" i="1"/>
  <c r="B3636" i="1"/>
  <c r="G3635" i="1"/>
  <c r="C3635" i="1"/>
  <c r="B3635" i="1"/>
  <c r="G3634" i="1"/>
  <c r="C3634" i="1"/>
  <c r="B3634" i="1"/>
  <c r="G3633" i="1"/>
  <c r="C3633" i="1"/>
  <c r="B3633" i="1"/>
  <c r="G3632" i="1"/>
  <c r="C3632" i="1"/>
  <c r="B3632" i="1"/>
  <c r="G3631" i="1"/>
  <c r="C3631" i="1"/>
  <c r="B3631" i="1"/>
  <c r="G3630" i="1"/>
  <c r="C3630" i="1"/>
  <c r="B3630" i="1"/>
  <c r="G3629" i="1"/>
  <c r="B3629" i="1"/>
  <c r="G3628" i="1"/>
  <c r="C3628" i="1"/>
  <c r="B3628" i="1"/>
  <c r="G3627" i="1"/>
  <c r="B3627" i="1"/>
  <c r="G3626" i="1"/>
  <c r="C3626" i="1"/>
  <c r="B3626" i="1"/>
  <c r="G3625" i="1"/>
  <c r="B3625" i="1"/>
  <c r="G3624" i="1"/>
  <c r="C3624" i="1"/>
  <c r="B3624" i="1"/>
  <c r="G3623" i="1"/>
  <c r="C3623" i="1"/>
  <c r="B3623" i="1"/>
  <c r="G3622" i="1"/>
  <c r="B3622" i="1"/>
  <c r="G3621" i="1"/>
  <c r="B3621" i="1"/>
  <c r="G3620" i="1"/>
  <c r="B3620" i="1"/>
  <c r="G3619" i="1"/>
  <c r="C3619" i="1"/>
  <c r="B3619" i="1"/>
  <c r="G3618" i="1"/>
  <c r="B3618" i="1"/>
  <c r="G3617" i="1"/>
  <c r="B3617" i="1"/>
  <c r="G3616" i="1"/>
  <c r="B3616" i="1"/>
  <c r="G3615" i="1"/>
  <c r="B3615" i="1"/>
  <c r="G3614" i="1"/>
  <c r="C3614" i="1"/>
  <c r="B3614" i="1"/>
  <c r="G3613" i="1"/>
  <c r="C3613" i="1"/>
  <c r="B3613" i="1"/>
  <c r="G3612" i="1"/>
  <c r="B3612" i="1"/>
  <c r="G3611" i="1"/>
  <c r="C3611" i="1"/>
  <c r="B3611" i="1"/>
  <c r="G3610" i="1"/>
  <c r="C3610" i="1"/>
  <c r="B3610" i="1"/>
  <c r="G3609" i="1"/>
  <c r="C3609" i="1"/>
  <c r="B3609" i="1"/>
  <c r="G3608" i="1"/>
  <c r="C3608" i="1"/>
  <c r="B3608" i="1"/>
  <c r="G3607" i="1"/>
  <c r="C3607" i="1"/>
  <c r="B3607" i="1"/>
  <c r="G3606" i="1"/>
  <c r="C3606" i="1"/>
  <c r="B3606" i="1"/>
  <c r="G3605" i="1"/>
  <c r="C3605" i="1"/>
  <c r="B3605" i="1"/>
  <c r="G3604" i="1"/>
  <c r="B3604" i="1"/>
  <c r="G3603" i="1"/>
  <c r="B3603" i="1"/>
  <c r="G3602" i="1"/>
  <c r="B3602" i="1"/>
  <c r="G3601" i="1"/>
  <c r="B3601" i="1"/>
  <c r="G3600" i="1"/>
  <c r="C3600" i="1"/>
  <c r="B3600" i="1"/>
  <c r="G3599" i="1"/>
  <c r="C3599" i="1"/>
  <c r="B3599" i="1"/>
  <c r="G3598" i="1"/>
  <c r="B3598" i="1"/>
  <c r="G3597" i="1"/>
  <c r="B3597" i="1"/>
  <c r="G3596" i="1"/>
  <c r="B3596" i="1"/>
  <c r="G3595" i="1"/>
  <c r="B3595" i="1"/>
  <c r="G3594" i="1"/>
  <c r="C3594" i="1"/>
  <c r="B3594" i="1"/>
  <c r="G3593" i="1"/>
  <c r="B3593" i="1"/>
  <c r="G3592" i="1"/>
  <c r="C3592" i="1"/>
  <c r="B3592" i="1"/>
  <c r="G3591" i="1"/>
  <c r="C3591" i="1"/>
  <c r="B3591" i="1"/>
  <c r="G3590" i="1"/>
  <c r="C3590" i="1"/>
  <c r="B3590" i="1"/>
  <c r="G3589" i="1"/>
  <c r="C3589" i="1"/>
  <c r="B3589" i="1"/>
  <c r="G3588" i="1"/>
  <c r="C3588" i="1"/>
  <c r="B3588" i="1"/>
  <c r="G3587" i="1"/>
  <c r="C3587" i="1"/>
  <c r="B3587" i="1"/>
  <c r="G3586" i="1"/>
  <c r="C3586" i="1"/>
  <c r="B3586" i="1"/>
  <c r="G3585" i="1"/>
  <c r="C3585" i="1"/>
  <c r="B3585" i="1"/>
  <c r="G3584" i="1"/>
  <c r="C3584" i="1"/>
  <c r="B3584" i="1"/>
  <c r="G3583" i="1"/>
  <c r="B3583" i="1"/>
  <c r="G3582" i="1"/>
  <c r="C3582" i="1"/>
  <c r="B3582" i="1"/>
  <c r="G3581" i="1"/>
  <c r="C3581" i="1"/>
  <c r="B3581" i="1"/>
  <c r="G3580" i="1"/>
  <c r="C3580" i="1"/>
  <c r="B3580" i="1"/>
  <c r="G3579" i="1"/>
  <c r="C3579" i="1"/>
  <c r="B3579" i="1"/>
  <c r="G3578" i="1"/>
  <c r="B3578" i="1"/>
  <c r="G3577" i="1"/>
  <c r="C3577" i="1"/>
  <c r="B3577" i="1"/>
  <c r="G3576" i="1"/>
  <c r="C3576" i="1"/>
  <c r="B3576" i="1"/>
  <c r="G3575" i="1"/>
  <c r="C3575" i="1"/>
  <c r="B3575" i="1"/>
  <c r="G3574" i="1"/>
  <c r="C3574" i="1"/>
  <c r="B3574" i="1"/>
  <c r="G3573" i="1"/>
  <c r="C3573" i="1"/>
  <c r="B3573" i="1"/>
  <c r="G3572" i="1"/>
  <c r="B3572" i="1"/>
  <c r="G3571" i="1"/>
  <c r="B3571" i="1"/>
  <c r="G3570" i="1"/>
  <c r="B3570" i="1"/>
  <c r="G3569" i="1"/>
  <c r="B3569" i="1"/>
  <c r="G3568" i="1"/>
  <c r="C3568" i="1"/>
  <c r="B3568" i="1"/>
  <c r="G3567" i="1"/>
  <c r="C3567" i="1"/>
  <c r="B3567" i="1"/>
  <c r="G3566" i="1"/>
  <c r="B3566" i="1"/>
  <c r="G3565" i="1"/>
  <c r="B3565" i="1"/>
  <c r="G3564" i="1"/>
  <c r="B3564" i="1"/>
  <c r="G3563" i="1"/>
  <c r="C3563" i="1"/>
  <c r="B3563" i="1"/>
  <c r="G3562" i="1"/>
  <c r="C3562" i="1"/>
  <c r="B3562" i="1"/>
  <c r="G3561" i="1"/>
  <c r="B3561" i="1"/>
  <c r="G3560" i="1"/>
  <c r="C3560" i="1"/>
  <c r="B3560" i="1"/>
  <c r="G3559" i="1"/>
  <c r="C3559" i="1"/>
  <c r="B3559" i="1"/>
  <c r="G3558" i="1"/>
  <c r="C3558" i="1"/>
  <c r="B3558" i="1"/>
  <c r="G3557" i="1"/>
  <c r="B3557" i="1"/>
  <c r="G3556" i="1"/>
  <c r="C3556" i="1"/>
  <c r="B3556" i="1"/>
  <c r="G3555" i="1"/>
  <c r="C3555" i="1"/>
  <c r="B3555" i="1"/>
  <c r="G3554" i="1"/>
  <c r="B3554" i="1"/>
  <c r="G3553" i="1"/>
  <c r="B3553" i="1"/>
  <c r="G3552" i="1"/>
  <c r="C3552" i="1"/>
  <c r="B3552" i="1"/>
  <c r="G3551" i="1"/>
  <c r="B3551" i="1"/>
  <c r="G3550" i="1"/>
  <c r="B3550" i="1"/>
  <c r="G3549" i="1"/>
  <c r="C3549" i="1"/>
  <c r="B3549" i="1"/>
  <c r="G3548" i="1"/>
  <c r="C3548" i="1"/>
  <c r="B3548" i="1"/>
  <c r="G3547" i="1"/>
  <c r="B3547" i="1"/>
  <c r="G3546" i="1"/>
  <c r="B3546" i="1"/>
  <c r="G3545" i="1"/>
  <c r="C3545" i="1"/>
  <c r="B3545" i="1"/>
  <c r="G3544" i="1"/>
  <c r="B3544" i="1"/>
  <c r="G3543" i="1"/>
  <c r="B3543" i="1"/>
  <c r="G3542" i="1"/>
  <c r="C3542" i="1"/>
  <c r="B3542" i="1"/>
  <c r="G3541" i="1"/>
  <c r="B3541" i="1"/>
  <c r="G3540" i="1"/>
  <c r="C3540" i="1"/>
  <c r="B3540" i="1"/>
  <c r="G3539" i="1"/>
  <c r="C3539" i="1"/>
  <c r="B3539" i="1"/>
  <c r="G3538" i="1"/>
  <c r="C3538" i="1"/>
  <c r="B3538" i="1"/>
  <c r="G3537" i="1"/>
  <c r="B3537" i="1"/>
  <c r="G3536" i="1"/>
  <c r="B3536" i="1"/>
  <c r="G3535" i="1"/>
  <c r="C3535" i="1"/>
  <c r="B3535" i="1"/>
  <c r="G3534" i="1"/>
  <c r="B3534" i="1"/>
  <c r="G3533" i="1"/>
  <c r="C3533" i="1"/>
  <c r="B3533" i="1"/>
  <c r="G3532" i="1"/>
  <c r="C3532" i="1"/>
  <c r="B3532" i="1"/>
  <c r="G3531" i="1"/>
  <c r="C3531" i="1"/>
  <c r="B3531" i="1"/>
  <c r="G3530" i="1"/>
  <c r="B3530" i="1"/>
  <c r="G3529" i="1"/>
  <c r="C3529" i="1"/>
  <c r="B3529" i="1"/>
  <c r="G3528" i="1"/>
  <c r="C3528" i="1"/>
  <c r="B3528" i="1"/>
  <c r="G3527" i="1"/>
  <c r="B3527" i="1"/>
  <c r="G3526" i="1"/>
  <c r="C3526" i="1"/>
  <c r="B3526" i="1"/>
  <c r="G3525" i="1"/>
  <c r="C3525" i="1"/>
  <c r="B3525" i="1"/>
  <c r="G3524" i="1"/>
  <c r="B3524" i="1"/>
  <c r="G3523" i="1"/>
  <c r="C3523" i="1"/>
  <c r="B3523" i="1"/>
  <c r="G3522" i="1"/>
  <c r="B3522" i="1"/>
  <c r="G3521" i="1"/>
  <c r="C3521" i="1"/>
  <c r="B3521" i="1"/>
  <c r="G3520" i="1"/>
  <c r="C3520" i="1"/>
  <c r="B3520" i="1"/>
  <c r="G3519" i="1"/>
  <c r="C3519" i="1"/>
  <c r="B3519" i="1"/>
  <c r="G3518" i="1"/>
  <c r="B3518" i="1"/>
  <c r="G3517" i="1"/>
  <c r="B3517" i="1"/>
  <c r="G3516" i="1"/>
  <c r="C3516" i="1"/>
  <c r="B3516" i="1"/>
  <c r="G3515" i="1"/>
  <c r="C3515" i="1"/>
  <c r="B3515" i="1"/>
  <c r="G3514" i="1"/>
  <c r="C3514" i="1"/>
  <c r="B3514" i="1"/>
  <c r="G3513" i="1"/>
  <c r="B3513" i="1"/>
  <c r="G3512" i="1"/>
  <c r="C3512" i="1"/>
  <c r="B3512" i="1"/>
  <c r="G3511" i="1"/>
  <c r="B3511" i="1"/>
  <c r="G3510" i="1"/>
  <c r="C3510" i="1"/>
  <c r="B3510" i="1"/>
  <c r="G3509" i="1"/>
  <c r="C3509" i="1"/>
  <c r="B3509" i="1"/>
  <c r="G3508" i="1"/>
  <c r="B3508" i="1"/>
  <c r="G3507" i="1"/>
  <c r="C3507" i="1"/>
  <c r="B3507" i="1"/>
  <c r="G3506" i="1"/>
  <c r="B3506" i="1"/>
  <c r="G3505" i="1"/>
  <c r="B3505" i="1"/>
  <c r="G3504" i="1"/>
  <c r="C3504" i="1"/>
  <c r="B3504" i="1"/>
  <c r="G3503" i="1"/>
  <c r="C3503" i="1"/>
  <c r="B3503" i="1"/>
  <c r="G3502" i="1"/>
  <c r="B3502" i="1"/>
  <c r="G3501" i="1"/>
  <c r="C3501" i="1"/>
  <c r="B3501" i="1"/>
  <c r="G3500" i="1"/>
  <c r="C3500" i="1"/>
  <c r="B3500" i="1"/>
  <c r="G3499" i="1"/>
  <c r="B3499" i="1"/>
  <c r="G3498" i="1"/>
  <c r="C3498" i="1"/>
  <c r="B3498" i="1"/>
  <c r="G3497" i="1"/>
  <c r="C3497" i="1"/>
  <c r="B3497" i="1"/>
  <c r="G3496" i="1"/>
  <c r="C3496" i="1"/>
  <c r="B3496" i="1"/>
  <c r="G3495" i="1"/>
  <c r="C3495" i="1"/>
  <c r="B3495" i="1"/>
  <c r="G3494" i="1"/>
  <c r="C3494" i="1"/>
  <c r="B3494" i="1"/>
  <c r="G3493" i="1"/>
  <c r="B3493" i="1"/>
  <c r="G3492" i="1"/>
  <c r="C3492" i="1"/>
  <c r="B3492" i="1"/>
  <c r="G3491" i="1"/>
  <c r="C3491" i="1"/>
  <c r="B3491" i="1"/>
  <c r="G3490" i="1"/>
  <c r="C3490" i="1"/>
  <c r="B3490" i="1"/>
  <c r="G3489" i="1"/>
  <c r="C3489" i="1"/>
  <c r="B3489" i="1"/>
  <c r="G3488" i="1"/>
  <c r="C3488" i="1"/>
  <c r="B3488" i="1"/>
  <c r="G3487" i="1"/>
  <c r="C3487" i="1"/>
  <c r="B3487" i="1"/>
  <c r="G3486" i="1"/>
  <c r="C3486" i="1"/>
  <c r="B3486" i="1"/>
  <c r="G3485" i="1"/>
  <c r="B3485" i="1"/>
  <c r="G3484" i="1"/>
  <c r="C3484" i="1"/>
  <c r="B3484" i="1"/>
  <c r="G3483" i="1"/>
  <c r="B3483" i="1"/>
  <c r="G3482" i="1"/>
  <c r="B3482" i="1"/>
  <c r="G3481" i="1"/>
  <c r="C3481" i="1"/>
  <c r="B3481" i="1"/>
  <c r="G3480" i="1"/>
  <c r="B3480" i="1"/>
  <c r="G3479" i="1"/>
  <c r="B3479" i="1"/>
  <c r="G3478" i="1"/>
  <c r="C3478" i="1"/>
  <c r="B3478" i="1"/>
  <c r="G3477" i="1"/>
  <c r="B3477" i="1"/>
  <c r="G3476" i="1"/>
  <c r="B3476" i="1"/>
  <c r="G3475" i="1"/>
  <c r="C3475" i="1"/>
  <c r="B3475" i="1"/>
  <c r="G3474" i="1"/>
  <c r="C3474" i="1"/>
  <c r="B3474" i="1"/>
  <c r="G3473" i="1"/>
  <c r="C3473" i="1"/>
  <c r="B3473" i="1"/>
  <c r="G3472" i="1"/>
  <c r="C3472" i="1"/>
  <c r="B3472" i="1"/>
  <c r="G3471" i="1"/>
  <c r="C3471" i="1"/>
  <c r="B3471" i="1"/>
  <c r="G3470" i="1"/>
  <c r="C3470" i="1"/>
  <c r="B3470" i="1"/>
  <c r="G3469" i="1"/>
  <c r="B3469" i="1"/>
  <c r="G3468" i="1"/>
  <c r="C3468" i="1"/>
  <c r="B3468" i="1"/>
  <c r="G3467" i="1"/>
  <c r="C3467" i="1"/>
  <c r="B3467" i="1"/>
  <c r="G3466" i="1"/>
  <c r="C3466" i="1"/>
  <c r="B3466" i="1"/>
  <c r="G3465" i="1"/>
  <c r="C3465" i="1"/>
  <c r="B3465" i="1"/>
  <c r="G3464" i="1"/>
  <c r="C3464" i="1"/>
  <c r="B3464" i="1"/>
  <c r="G3463" i="1"/>
  <c r="C3463" i="1"/>
  <c r="B3463" i="1"/>
  <c r="G3462" i="1"/>
  <c r="B3462" i="1"/>
  <c r="G3461" i="1"/>
  <c r="B3461" i="1"/>
  <c r="G3460" i="1"/>
  <c r="C3460" i="1"/>
  <c r="B3460" i="1"/>
  <c r="G3459" i="1"/>
  <c r="C3459" i="1"/>
  <c r="B3459" i="1"/>
  <c r="G3458" i="1"/>
  <c r="C3458" i="1"/>
  <c r="B3458" i="1"/>
  <c r="G3457" i="1"/>
  <c r="B3457" i="1"/>
  <c r="G3456" i="1"/>
  <c r="C3456" i="1"/>
  <c r="B3456" i="1"/>
  <c r="G3455" i="1"/>
  <c r="C3455" i="1"/>
  <c r="B3455" i="1"/>
  <c r="G3454" i="1"/>
  <c r="C3454" i="1"/>
  <c r="B3454" i="1"/>
  <c r="G3453" i="1"/>
  <c r="C3453" i="1"/>
  <c r="B3453" i="1"/>
  <c r="G3452" i="1"/>
  <c r="B3452" i="1"/>
  <c r="G3451" i="1"/>
  <c r="C3451" i="1"/>
  <c r="B3451" i="1"/>
  <c r="G3450" i="1"/>
  <c r="C3450" i="1"/>
  <c r="B3450" i="1"/>
  <c r="G3449" i="1"/>
  <c r="B3449" i="1"/>
  <c r="G3448" i="1"/>
  <c r="B3448" i="1"/>
  <c r="G3447" i="1"/>
  <c r="C3447" i="1"/>
  <c r="B3447" i="1"/>
  <c r="G3446" i="1"/>
  <c r="C3446" i="1"/>
  <c r="B3446" i="1"/>
  <c r="G3445" i="1"/>
  <c r="C3445" i="1"/>
  <c r="B3445" i="1"/>
  <c r="G3444" i="1"/>
  <c r="C3444" i="1"/>
  <c r="B3444" i="1"/>
  <c r="G3443" i="1"/>
  <c r="C3443" i="1"/>
  <c r="B3443" i="1"/>
  <c r="G3442" i="1"/>
  <c r="B3442" i="1"/>
  <c r="G3441" i="1"/>
  <c r="C3441" i="1"/>
  <c r="B3441" i="1"/>
  <c r="G3440" i="1"/>
  <c r="C3440" i="1"/>
  <c r="B3440" i="1"/>
  <c r="G3439" i="1"/>
  <c r="C3439" i="1"/>
  <c r="B3439" i="1"/>
  <c r="G3438" i="1"/>
  <c r="C3438" i="1"/>
  <c r="B3438" i="1"/>
  <c r="G3437" i="1"/>
  <c r="C3437" i="1"/>
  <c r="B3437" i="1"/>
  <c r="G3436" i="1"/>
  <c r="C3436" i="1"/>
  <c r="B3436" i="1"/>
  <c r="G3435" i="1"/>
  <c r="C3435" i="1"/>
  <c r="B3435" i="1"/>
  <c r="G3434" i="1"/>
  <c r="C3434" i="1"/>
  <c r="B3434" i="1"/>
  <c r="G3433" i="1"/>
  <c r="C3433" i="1"/>
  <c r="B3433" i="1"/>
  <c r="G3432" i="1"/>
  <c r="C3432" i="1"/>
  <c r="B3432" i="1"/>
  <c r="G3431" i="1"/>
  <c r="B3431" i="1"/>
  <c r="G3430" i="1"/>
  <c r="C3430" i="1"/>
  <c r="B3430" i="1"/>
  <c r="G3429" i="1"/>
  <c r="C3429" i="1"/>
  <c r="B3429" i="1"/>
  <c r="G3428" i="1"/>
  <c r="C3428" i="1"/>
  <c r="B3428" i="1"/>
  <c r="G3427" i="1"/>
  <c r="B3427" i="1"/>
  <c r="G3426" i="1"/>
  <c r="B3426" i="1"/>
  <c r="G3425" i="1"/>
  <c r="B3425" i="1"/>
  <c r="G3424" i="1"/>
  <c r="C3424" i="1"/>
  <c r="B3424" i="1"/>
  <c r="G3423" i="1"/>
  <c r="B3423" i="1"/>
  <c r="G3422" i="1"/>
  <c r="B3422" i="1"/>
  <c r="G3421" i="1"/>
  <c r="B3421" i="1"/>
  <c r="G3420" i="1"/>
  <c r="B3420" i="1"/>
  <c r="G3419" i="1"/>
  <c r="B3419" i="1"/>
  <c r="G3418" i="1"/>
  <c r="B3418" i="1"/>
  <c r="G3417" i="1"/>
  <c r="C3417" i="1"/>
  <c r="B3417" i="1"/>
  <c r="G3416" i="1"/>
  <c r="C3416" i="1"/>
  <c r="B3416" i="1"/>
  <c r="G3415" i="1"/>
  <c r="C3415" i="1"/>
  <c r="B3415" i="1"/>
  <c r="G3414" i="1"/>
  <c r="C3414" i="1"/>
  <c r="B3414" i="1"/>
  <c r="G3413" i="1"/>
  <c r="C3413" i="1"/>
  <c r="B3413" i="1"/>
  <c r="G3412" i="1"/>
  <c r="B3412" i="1"/>
  <c r="G3411" i="1"/>
  <c r="C3411" i="1"/>
  <c r="B3411" i="1"/>
  <c r="G3410" i="1"/>
  <c r="C3410" i="1"/>
  <c r="B3410" i="1"/>
  <c r="G3409" i="1"/>
  <c r="C3409" i="1"/>
  <c r="B3409" i="1"/>
  <c r="G3408" i="1"/>
  <c r="B3408" i="1"/>
  <c r="G3407" i="1"/>
  <c r="C3407" i="1"/>
  <c r="B3407" i="1"/>
  <c r="G3406" i="1"/>
  <c r="C3406" i="1"/>
  <c r="B3406" i="1"/>
  <c r="G3405" i="1"/>
  <c r="C3405" i="1"/>
  <c r="B3405" i="1"/>
  <c r="G3404" i="1"/>
  <c r="C3404" i="1"/>
  <c r="B3404" i="1"/>
  <c r="G3403" i="1"/>
  <c r="C3403" i="1"/>
  <c r="B3403" i="1"/>
  <c r="G3402" i="1"/>
  <c r="B3402" i="1"/>
  <c r="G3401" i="1"/>
  <c r="C3401" i="1"/>
  <c r="B3401" i="1"/>
  <c r="G3400" i="1"/>
  <c r="C3400" i="1"/>
  <c r="B3400" i="1"/>
  <c r="G3399" i="1"/>
  <c r="B3399" i="1"/>
  <c r="G3398" i="1"/>
  <c r="C3398" i="1"/>
  <c r="B3398" i="1"/>
  <c r="G3397" i="1"/>
  <c r="C3397" i="1"/>
  <c r="B3397" i="1"/>
  <c r="G3396" i="1"/>
  <c r="C3396" i="1"/>
  <c r="B3396" i="1"/>
  <c r="G3395" i="1"/>
  <c r="C3395" i="1"/>
  <c r="B3395" i="1"/>
  <c r="G3394" i="1"/>
  <c r="C3394" i="1"/>
  <c r="B3394" i="1"/>
  <c r="G3393" i="1"/>
  <c r="C3393" i="1"/>
  <c r="B3393" i="1"/>
  <c r="G3392" i="1"/>
  <c r="C3392" i="1"/>
  <c r="B3392" i="1"/>
  <c r="G3391" i="1"/>
  <c r="B3391" i="1"/>
  <c r="G3390" i="1"/>
  <c r="B3390" i="1"/>
  <c r="G3389" i="1"/>
  <c r="B3389" i="1"/>
  <c r="G3388" i="1"/>
  <c r="C3388" i="1"/>
  <c r="B3388" i="1"/>
  <c r="G3387" i="1"/>
  <c r="C3387" i="1"/>
  <c r="B3387" i="1"/>
  <c r="G3386" i="1"/>
  <c r="C3386" i="1"/>
  <c r="B3386" i="1"/>
  <c r="G3385" i="1"/>
  <c r="B3385" i="1"/>
  <c r="G3384" i="1"/>
  <c r="B3384" i="1"/>
  <c r="G3383" i="1"/>
  <c r="B3383" i="1"/>
  <c r="G3382" i="1"/>
  <c r="B3382" i="1"/>
  <c r="G3381" i="1"/>
  <c r="C3381" i="1"/>
  <c r="B3381" i="1"/>
  <c r="G3380" i="1"/>
  <c r="C3380" i="1"/>
  <c r="B3380" i="1"/>
  <c r="G3379" i="1"/>
  <c r="C3379" i="1"/>
  <c r="B3379" i="1"/>
  <c r="G3378" i="1"/>
  <c r="C3378" i="1"/>
  <c r="B3378" i="1"/>
  <c r="G3377" i="1"/>
  <c r="C3377" i="1"/>
  <c r="B3377" i="1"/>
  <c r="G3376" i="1"/>
  <c r="C3376" i="1"/>
  <c r="B3376" i="1"/>
  <c r="G3375" i="1"/>
  <c r="C3375" i="1"/>
  <c r="B3375" i="1"/>
  <c r="G3374" i="1"/>
  <c r="B3374" i="1"/>
  <c r="G3373" i="1"/>
  <c r="C3373" i="1"/>
  <c r="B3373" i="1"/>
  <c r="G3372" i="1"/>
  <c r="C3372" i="1"/>
  <c r="B3372" i="1"/>
  <c r="G3371" i="1"/>
  <c r="C3371" i="1"/>
  <c r="B3371" i="1"/>
  <c r="G3370" i="1"/>
  <c r="C3370" i="1"/>
  <c r="B3370" i="1"/>
  <c r="G3369" i="1"/>
  <c r="C3369" i="1"/>
  <c r="B3369" i="1"/>
  <c r="G3368" i="1"/>
  <c r="C3368" i="1"/>
  <c r="B3368" i="1"/>
  <c r="G3367" i="1"/>
  <c r="C3367" i="1"/>
  <c r="B3367" i="1"/>
  <c r="G3366" i="1"/>
  <c r="C3366" i="1"/>
  <c r="B3366" i="1"/>
  <c r="G3365" i="1"/>
  <c r="B3365" i="1"/>
  <c r="G3364" i="1"/>
  <c r="C3364" i="1"/>
  <c r="B3364" i="1"/>
  <c r="G3363" i="1"/>
  <c r="B3363" i="1"/>
  <c r="G3362" i="1"/>
  <c r="C3362" i="1"/>
  <c r="B3362" i="1"/>
  <c r="G3361" i="1"/>
  <c r="C3361" i="1"/>
  <c r="B3361" i="1"/>
  <c r="G3360" i="1"/>
  <c r="C3360" i="1"/>
  <c r="B3360" i="1"/>
  <c r="G3359" i="1"/>
  <c r="C3359" i="1"/>
  <c r="B3359" i="1"/>
  <c r="G3358" i="1"/>
  <c r="C3358" i="1"/>
  <c r="B3358" i="1"/>
  <c r="G3357" i="1"/>
  <c r="C3357" i="1"/>
  <c r="B3357" i="1"/>
  <c r="G3356" i="1"/>
  <c r="C3356" i="1"/>
  <c r="B3356" i="1"/>
  <c r="G3355" i="1"/>
  <c r="C3355" i="1"/>
  <c r="B3355" i="1"/>
  <c r="G3354" i="1"/>
  <c r="C3354" i="1"/>
  <c r="B3354" i="1"/>
  <c r="G3353" i="1"/>
  <c r="C3353" i="1"/>
  <c r="B3353" i="1"/>
  <c r="G3352" i="1"/>
  <c r="C3352" i="1"/>
  <c r="B3352" i="1"/>
  <c r="G3351" i="1"/>
  <c r="C3351" i="1"/>
  <c r="B3351" i="1"/>
  <c r="G3350" i="1"/>
  <c r="C3350" i="1"/>
  <c r="B3350" i="1"/>
  <c r="G3349" i="1"/>
  <c r="C3349" i="1"/>
  <c r="B3349" i="1"/>
  <c r="G3348" i="1"/>
  <c r="C3348" i="1"/>
  <c r="B3348" i="1"/>
  <c r="G3347" i="1"/>
  <c r="B3347" i="1"/>
  <c r="G3346" i="1"/>
  <c r="C3346" i="1"/>
  <c r="B3346" i="1"/>
  <c r="G3345" i="1"/>
  <c r="C3345" i="1"/>
  <c r="B3345" i="1"/>
  <c r="G3344" i="1"/>
  <c r="C3344" i="1"/>
  <c r="B3344" i="1"/>
  <c r="G3343" i="1"/>
  <c r="B3343" i="1"/>
  <c r="G3342" i="1"/>
  <c r="B3342" i="1"/>
  <c r="G3341" i="1"/>
  <c r="C3341" i="1"/>
  <c r="B3341" i="1"/>
  <c r="G3340" i="1"/>
  <c r="C3340" i="1"/>
  <c r="B3340" i="1"/>
  <c r="G3339" i="1"/>
  <c r="C3339" i="1"/>
  <c r="B3339" i="1"/>
  <c r="G3338" i="1"/>
  <c r="C3338" i="1"/>
  <c r="B3338" i="1"/>
  <c r="G3337" i="1"/>
  <c r="C3337" i="1"/>
  <c r="B3337" i="1"/>
  <c r="G3336" i="1"/>
  <c r="B3336" i="1"/>
  <c r="G3335" i="1"/>
  <c r="C3335" i="1"/>
  <c r="B3335" i="1"/>
  <c r="G3334" i="1"/>
  <c r="C3334" i="1"/>
  <c r="B3334" i="1"/>
  <c r="G3333" i="1"/>
  <c r="B3333" i="1"/>
  <c r="G3332" i="1"/>
  <c r="C3332" i="1"/>
  <c r="B3332" i="1"/>
  <c r="G3331" i="1"/>
  <c r="C3331" i="1"/>
  <c r="B3331" i="1"/>
  <c r="G3330" i="1"/>
  <c r="C3330" i="1"/>
  <c r="B3330" i="1"/>
  <c r="G3329" i="1"/>
  <c r="C3329" i="1"/>
  <c r="B3329" i="1"/>
  <c r="G3328" i="1"/>
  <c r="C3328" i="1"/>
  <c r="B3328" i="1"/>
  <c r="G3327" i="1"/>
  <c r="B3327" i="1"/>
  <c r="G3326" i="1"/>
  <c r="C3326" i="1"/>
  <c r="B3326" i="1"/>
  <c r="G3325" i="1"/>
  <c r="C3325" i="1"/>
  <c r="B3325" i="1"/>
  <c r="G3324" i="1"/>
  <c r="B3324" i="1"/>
  <c r="G3323" i="1"/>
  <c r="C3323" i="1"/>
  <c r="B3323" i="1"/>
  <c r="G3322" i="1"/>
  <c r="C3322" i="1"/>
  <c r="B3322" i="1"/>
  <c r="G3321" i="1"/>
  <c r="C3321" i="1"/>
  <c r="B3321" i="1"/>
  <c r="G3320" i="1"/>
  <c r="C3320" i="1"/>
  <c r="B3320" i="1"/>
  <c r="G3319" i="1"/>
  <c r="C3319" i="1"/>
  <c r="B3319" i="1"/>
  <c r="G3318" i="1"/>
  <c r="B3318" i="1"/>
  <c r="G3317" i="1"/>
  <c r="C3317" i="1"/>
  <c r="B3317" i="1"/>
  <c r="G3316" i="1"/>
  <c r="B3316" i="1"/>
  <c r="G3315" i="1"/>
  <c r="C3315" i="1"/>
  <c r="B3315" i="1"/>
  <c r="G3314" i="1"/>
  <c r="C3314" i="1"/>
  <c r="B3314" i="1"/>
  <c r="G3313" i="1"/>
  <c r="B3313" i="1"/>
  <c r="G3312" i="1"/>
  <c r="C3312" i="1"/>
  <c r="B3312" i="1"/>
  <c r="G3311" i="1"/>
  <c r="B3311" i="1"/>
  <c r="G3310" i="1"/>
  <c r="C3310" i="1"/>
  <c r="B3310" i="1"/>
  <c r="G3309" i="1"/>
  <c r="B3309" i="1"/>
  <c r="G3308" i="1"/>
  <c r="C3308" i="1"/>
  <c r="B3308" i="1"/>
  <c r="G3307" i="1"/>
  <c r="C3307" i="1"/>
  <c r="B3307" i="1"/>
  <c r="G3306" i="1"/>
  <c r="B3306" i="1"/>
  <c r="G3305" i="1"/>
  <c r="C3305" i="1"/>
  <c r="B3305" i="1"/>
  <c r="G3304" i="1"/>
  <c r="C3304" i="1"/>
  <c r="B3304" i="1"/>
  <c r="G3303" i="1"/>
  <c r="B3303" i="1"/>
  <c r="G3302" i="1"/>
  <c r="C3302" i="1"/>
  <c r="B3302" i="1"/>
  <c r="G3301" i="1"/>
  <c r="C3301" i="1"/>
  <c r="B3301" i="1"/>
  <c r="G3300" i="1"/>
  <c r="C3300" i="1"/>
  <c r="B3300" i="1"/>
  <c r="G3299" i="1"/>
  <c r="C3299" i="1"/>
  <c r="B3299" i="1"/>
  <c r="G3298" i="1"/>
  <c r="C3298" i="1"/>
  <c r="B3298" i="1"/>
  <c r="G3297" i="1"/>
  <c r="C3297" i="1"/>
  <c r="B3297" i="1"/>
  <c r="G3296" i="1"/>
  <c r="C3296" i="1"/>
  <c r="B3296" i="1"/>
  <c r="G3295" i="1"/>
  <c r="C3295" i="1"/>
  <c r="B3295" i="1"/>
  <c r="G3294" i="1"/>
  <c r="C3294" i="1"/>
  <c r="B3294" i="1"/>
  <c r="G3293" i="1"/>
  <c r="C3293" i="1"/>
  <c r="B3293" i="1"/>
  <c r="G3292" i="1"/>
  <c r="C3292" i="1"/>
  <c r="B3292" i="1"/>
  <c r="G3291" i="1"/>
  <c r="C3291" i="1"/>
  <c r="B3291" i="1"/>
  <c r="G3290" i="1"/>
  <c r="B3290" i="1"/>
  <c r="G3289" i="1"/>
  <c r="C3289" i="1"/>
  <c r="B3289" i="1"/>
  <c r="G3288" i="1"/>
  <c r="B3288" i="1"/>
  <c r="G3287" i="1"/>
  <c r="C3287" i="1"/>
  <c r="B3287" i="1"/>
  <c r="G3286" i="1"/>
  <c r="C3286" i="1"/>
  <c r="B3286" i="1"/>
  <c r="G3285" i="1"/>
  <c r="B3285" i="1"/>
  <c r="G3284" i="1"/>
  <c r="C3284" i="1"/>
  <c r="B3284" i="1"/>
  <c r="G3283" i="1"/>
  <c r="C3283" i="1"/>
  <c r="B3283" i="1"/>
  <c r="G3282" i="1"/>
  <c r="C3282" i="1"/>
  <c r="B3282" i="1"/>
  <c r="G3281" i="1"/>
  <c r="C3281" i="1"/>
  <c r="B3281" i="1"/>
  <c r="G3280" i="1"/>
  <c r="C3280" i="1"/>
  <c r="B3280" i="1"/>
  <c r="G3279" i="1"/>
  <c r="B3279" i="1"/>
  <c r="G3278" i="1"/>
  <c r="B3278" i="1"/>
  <c r="G3277" i="1"/>
  <c r="C3277" i="1"/>
  <c r="B3277" i="1"/>
  <c r="G3276" i="1"/>
  <c r="C3276" i="1"/>
  <c r="B3276" i="1"/>
  <c r="G3275" i="1"/>
  <c r="B3275" i="1"/>
  <c r="G3274" i="1"/>
  <c r="C3274" i="1"/>
  <c r="B3274" i="1"/>
  <c r="G3273" i="1"/>
  <c r="C3273" i="1"/>
  <c r="B3273" i="1"/>
  <c r="G3272" i="1"/>
  <c r="B3272" i="1"/>
  <c r="G3271" i="1"/>
  <c r="C3271" i="1"/>
  <c r="B3271" i="1"/>
  <c r="G3270" i="1"/>
  <c r="C3270" i="1"/>
  <c r="B3270" i="1"/>
  <c r="G3269" i="1"/>
  <c r="B3269" i="1"/>
  <c r="G3268" i="1"/>
  <c r="B3268" i="1"/>
  <c r="G3267" i="1"/>
  <c r="B3267" i="1"/>
  <c r="G3266" i="1"/>
  <c r="C3266" i="1"/>
  <c r="B3266" i="1"/>
  <c r="G3265" i="1"/>
  <c r="C3265" i="1"/>
  <c r="B3265" i="1"/>
  <c r="G3264" i="1"/>
  <c r="B3264" i="1"/>
  <c r="G3263" i="1"/>
  <c r="C3263" i="1"/>
  <c r="B3263" i="1"/>
  <c r="G3262" i="1"/>
  <c r="C3262" i="1"/>
  <c r="B3262" i="1"/>
  <c r="G3261" i="1"/>
  <c r="B3261" i="1"/>
  <c r="G3260" i="1"/>
  <c r="C3260" i="1"/>
  <c r="B3260" i="1"/>
  <c r="G3259" i="1"/>
  <c r="C3259" i="1"/>
  <c r="B3259" i="1"/>
  <c r="G3258" i="1"/>
  <c r="B3258" i="1"/>
  <c r="G3257" i="1"/>
  <c r="C3257" i="1"/>
  <c r="B3257" i="1"/>
  <c r="G3256" i="1"/>
  <c r="B3256" i="1"/>
  <c r="G3255" i="1"/>
  <c r="C3255" i="1"/>
  <c r="B3255" i="1"/>
  <c r="G3254" i="1"/>
  <c r="C3254" i="1"/>
  <c r="B3254" i="1"/>
  <c r="G3253" i="1"/>
  <c r="C3253" i="1"/>
  <c r="B3253" i="1"/>
  <c r="G3252" i="1"/>
  <c r="B3252" i="1"/>
  <c r="G3251" i="1"/>
  <c r="C3251" i="1"/>
  <c r="B3251" i="1"/>
  <c r="G3250" i="1"/>
  <c r="C3250" i="1"/>
  <c r="B3250" i="1"/>
  <c r="G3249" i="1"/>
  <c r="C3249" i="1"/>
  <c r="B3249" i="1"/>
  <c r="G3248" i="1"/>
  <c r="B3248" i="1"/>
  <c r="G3247" i="1"/>
  <c r="C3247" i="1"/>
  <c r="B3247" i="1"/>
  <c r="G3246" i="1"/>
  <c r="C3246" i="1"/>
  <c r="B3246" i="1"/>
  <c r="G3245" i="1"/>
  <c r="C3245" i="1"/>
  <c r="B3245" i="1"/>
  <c r="G3244" i="1"/>
  <c r="C3244" i="1"/>
  <c r="B3244" i="1"/>
  <c r="G3243" i="1"/>
  <c r="C3243" i="1"/>
  <c r="B3243" i="1"/>
  <c r="G3242" i="1"/>
  <c r="C3242" i="1"/>
  <c r="B3242" i="1"/>
  <c r="G3241" i="1"/>
  <c r="C3241" i="1"/>
  <c r="B3241" i="1"/>
  <c r="G3240" i="1"/>
  <c r="B3240" i="1"/>
  <c r="G3239" i="1"/>
  <c r="C3239" i="1"/>
  <c r="B3239" i="1"/>
  <c r="G3238" i="1"/>
  <c r="C3238" i="1"/>
  <c r="B3238" i="1"/>
  <c r="G3237" i="1"/>
  <c r="C3237" i="1"/>
  <c r="B3237" i="1"/>
  <c r="G3236" i="1"/>
  <c r="B3236" i="1"/>
  <c r="G3235" i="1"/>
  <c r="B3235" i="1"/>
  <c r="G3234" i="1"/>
  <c r="B3234" i="1"/>
  <c r="G3233" i="1"/>
  <c r="C3233" i="1"/>
  <c r="B3233" i="1"/>
  <c r="G3232" i="1"/>
  <c r="B3232" i="1"/>
  <c r="G3231" i="1"/>
  <c r="B3231" i="1"/>
  <c r="G3230" i="1"/>
  <c r="C3230" i="1"/>
  <c r="B3230" i="1"/>
  <c r="G3229" i="1"/>
  <c r="C3229" i="1"/>
  <c r="B3229" i="1"/>
  <c r="G3228" i="1"/>
  <c r="C3228" i="1"/>
  <c r="B3228" i="1"/>
  <c r="G3227" i="1"/>
  <c r="C3227" i="1"/>
  <c r="B3227" i="1"/>
  <c r="G3226" i="1"/>
  <c r="C3226" i="1"/>
  <c r="B3226" i="1"/>
  <c r="G3225" i="1"/>
  <c r="B3225" i="1"/>
  <c r="G3224" i="1"/>
  <c r="C3224" i="1"/>
  <c r="B3224" i="1"/>
  <c r="G3223" i="1"/>
  <c r="C3223" i="1"/>
  <c r="B3223" i="1"/>
  <c r="G3222" i="1"/>
  <c r="C3222" i="1"/>
  <c r="B3222" i="1"/>
  <c r="G3221" i="1"/>
  <c r="C3221" i="1"/>
  <c r="B3221" i="1"/>
  <c r="G3220" i="1"/>
  <c r="C3220" i="1"/>
  <c r="B3220" i="1"/>
  <c r="G3219" i="1"/>
  <c r="C3219" i="1"/>
  <c r="B3219" i="1"/>
  <c r="G3218" i="1"/>
  <c r="B3218" i="1"/>
  <c r="G3217" i="1"/>
  <c r="C3217" i="1"/>
  <c r="B3217" i="1"/>
  <c r="G3216" i="1"/>
  <c r="B3216" i="1"/>
  <c r="G3215" i="1"/>
  <c r="C3215" i="1"/>
  <c r="B3215" i="1"/>
  <c r="G3214" i="1"/>
  <c r="B3214" i="1"/>
  <c r="G3213" i="1"/>
  <c r="C3213" i="1"/>
  <c r="B3213" i="1"/>
  <c r="G3212" i="1"/>
  <c r="B3212" i="1"/>
  <c r="G3211" i="1"/>
  <c r="C3211" i="1"/>
  <c r="B3211" i="1"/>
  <c r="G3210" i="1"/>
  <c r="B3210" i="1"/>
  <c r="G3209" i="1"/>
  <c r="B3209" i="1"/>
  <c r="G3208" i="1"/>
  <c r="B3208" i="1"/>
  <c r="G3207" i="1"/>
  <c r="C3207" i="1"/>
  <c r="B3207" i="1"/>
  <c r="G3206" i="1"/>
  <c r="C3206" i="1"/>
  <c r="B3206" i="1"/>
  <c r="G3205" i="1"/>
  <c r="C3205" i="1"/>
  <c r="B3205" i="1"/>
  <c r="G3204" i="1"/>
  <c r="B3204" i="1"/>
  <c r="G3203" i="1"/>
  <c r="C3203" i="1"/>
  <c r="B3203" i="1"/>
  <c r="G3202" i="1"/>
  <c r="B3202" i="1"/>
  <c r="G3201" i="1"/>
  <c r="C3201" i="1"/>
  <c r="B3201" i="1"/>
  <c r="G3200" i="1"/>
  <c r="C3200" i="1"/>
  <c r="B3200" i="1"/>
  <c r="G3199" i="1"/>
  <c r="C3199" i="1"/>
  <c r="B3199" i="1"/>
  <c r="G3198" i="1"/>
  <c r="C3198" i="1"/>
  <c r="B3198" i="1"/>
  <c r="G3197" i="1"/>
  <c r="C3197" i="1"/>
  <c r="B3197" i="1"/>
  <c r="G3196" i="1"/>
  <c r="C3196" i="1"/>
  <c r="B3196" i="1"/>
  <c r="G3195" i="1"/>
  <c r="C3195" i="1"/>
  <c r="B3195" i="1"/>
  <c r="G3194" i="1"/>
  <c r="B3194" i="1"/>
  <c r="G3193" i="1"/>
  <c r="B3193" i="1"/>
  <c r="G3192" i="1"/>
  <c r="C3192" i="1"/>
  <c r="B3192" i="1"/>
  <c r="G3191" i="1"/>
  <c r="C3191" i="1"/>
  <c r="B3191" i="1"/>
  <c r="G3190" i="1"/>
  <c r="C3190" i="1"/>
  <c r="B3190" i="1"/>
  <c r="G3189" i="1"/>
  <c r="C3189" i="1"/>
  <c r="B3189" i="1"/>
  <c r="G3188" i="1"/>
  <c r="C3188" i="1"/>
  <c r="B3188" i="1"/>
  <c r="G3187" i="1"/>
  <c r="C3187" i="1"/>
  <c r="B3187" i="1"/>
  <c r="G3186" i="1"/>
  <c r="C3186" i="1"/>
  <c r="B3186" i="1"/>
  <c r="G3185" i="1"/>
  <c r="C3185" i="1"/>
  <c r="B3185" i="1"/>
  <c r="G3184" i="1"/>
  <c r="B3184" i="1"/>
  <c r="G3183" i="1"/>
  <c r="C3183" i="1"/>
  <c r="B3183" i="1"/>
  <c r="G3182" i="1"/>
  <c r="C3182" i="1"/>
  <c r="B3182" i="1"/>
  <c r="G3181" i="1"/>
  <c r="B3181" i="1"/>
  <c r="G3180" i="1"/>
  <c r="B3180" i="1"/>
  <c r="G3179" i="1"/>
  <c r="C3179" i="1"/>
  <c r="B3179" i="1"/>
  <c r="G3178" i="1"/>
  <c r="B3178" i="1"/>
  <c r="G3177" i="1"/>
  <c r="B3177" i="1"/>
  <c r="G3176" i="1"/>
  <c r="C3176" i="1"/>
  <c r="B3176" i="1"/>
  <c r="G3175" i="1"/>
  <c r="C3175" i="1"/>
  <c r="B3175" i="1"/>
  <c r="G3174" i="1"/>
  <c r="C3174" i="1"/>
  <c r="B3174" i="1"/>
  <c r="G3173" i="1"/>
  <c r="C3173" i="1"/>
  <c r="B3173" i="1"/>
  <c r="G3172" i="1"/>
  <c r="C3172" i="1"/>
  <c r="B3172" i="1"/>
  <c r="G3171" i="1"/>
  <c r="B3171" i="1"/>
  <c r="G3170" i="1"/>
  <c r="C3170" i="1"/>
  <c r="B3170" i="1"/>
  <c r="G3169" i="1"/>
  <c r="C3169" i="1"/>
  <c r="B3169" i="1"/>
  <c r="G3168" i="1"/>
  <c r="C3168" i="1"/>
  <c r="B3168" i="1"/>
  <c r="G3167" i="1"/>
  <c r="B3167" i="1"/>
  <c r="G3166" i="1"/>
  <c r="C3166" i="1"/>
  <c r="B3166" i="1"/>
  <c r="G3165" i="1"/>
  <c r="C3165" i="1"/>
  <c r="B3165" i="1"/>
  <c r="G3164" i="1"/>
  <c r="B3164" i="1"/>
  <c r="G3163" i="1"/>
  <c r="B3163" i="1"/>
  <c r="G3162" i="1"/>
  <c r="B3162" i="1"/>
  <c r="G3161" i="1"/>
  <c r="C3161" i="1"/>
  <c r="B3161" i="1"/>
  <c r="G3160" i="1"/>
  <c r="B3160" i="1"/>
  <c r="G3159" i="1"/>
  <c r="B3159" i="1"/>
  <c r="G3158" i="1"/>
  <c r="C3158" i="1"/>
  <c r="B3158" i="1"/>
  <c r="G3157" i="1"/>
  <c r="B3157" i="1"/>
  <c r="G3156" i="1"/>
  <c r="C3156" i="1"/>
  <c r="B3156" i="1"/>
  <c r="G3155" i="1"/>
  <c r="C3155" i="1"/>
  <c r="B3155" i="1"/>
  <c r="G3154" i="1"/>
  <c r="B3154" i="1"/>
  <c r="G3153" i="1"/>
  <c r="B3153" i="1"/>
  <c r="G3152" i="1"/>
  <c r="C3152" i="1"/>
  <c r="B3152" i="1"/>
  <c r="G3151" i="1"/>
  <c r="B3151" i="1"/>
  <c r="G3150" i="1"/>
  <c r="B3150" i="1"/>
  <c r="G3149" i="1"/>
  <c r="B3149" i="1"/>
  <c r="G3148" i="1"/>
  <c r="C3148" i="1"/>
  <c r="B3148" i="1"/>
  <c r="G3147" i="1"/>
  <c r="B3147" i="1"/>
  <c r="G3146" i="1"/>
  <c r="C3146" i="1"/>
  <c r="B3146" i="1"/>
  <c r="G3145" i="1"/>
  <c r="C3145" i="1"/>
  <c r="B3145" i="1"/>
  <c r="G3144" i="1"/>
  <c r="C3144" i="1"/>
  <c r="B3144" i="1"/>
  <c r="G3143" i="1"/>
  <c r="C3143" i="1"/>
  <c r="B3143" i="1"/>
  <c r="G3142" i="1"/>
  <c r="B3142" i="1"/>
  <c r="G3141" i="1"/>
  <c r="C3141" i="1"/>
  <c r="B3141" i="1"/>
  <c r="G3140" i="1"/>
  <c r="C3140" i="1"/>
  <c r="B3140" i="1"/>
  <c r="G3139" i="1"/>
  <c r="C3139" i="1"/>
  <c r="B3139" i="1"/>
  <c r="G3138" i="1"/>
  <c r="C3138" i="1"/>
  <c r="B3138" i="1"/>
  <c r="G3137" i="1"/>
  <c r="B3137" i="1"/>
  <c r="G3136" i="1"/>
  <c r="B3136" i="1"/>
  <c r="G3135" i="1"/>
  <c r="C3135" i="1"/>
  <c r="B3135" i="1"/>
  <c r="G3134" i="1"/>
  <c r="B3134" i="1"/>
  <c r="G3133" i="1"/>
  <c r="C3133" i="1"/>
  <c r="B3133" i="1"/>
  <c r="G3132" i="1"/>
  <c r="C3132" i="1"/>
  <c r="B3132" i="1"/>
  <c r="G3131" i="1"/>
  <c r="C3131" i="1"/>
  <c r="B3131" i="1"/>
  <c r="G3130" i="1"/>
  <c r="C3130" i="1"/>
  <c r="B3130" i="1"/>
  <c r="G3129" i="1"/>
  <c r="C3129" i="1"/>
  <c r="B3129" i="1"/>
  <c r="G3128" i="1"/>
  <c r="B3128" i="1"/>
  <c r="G3127" i="1"/>
  <c r="C3127" i="1"/>
  <c r="B3127" i="1"/>
  <c r="G3126" i="1"/>
  <c r="C3126" i="1"/>
  <c r="B3126" i="1"/>
  <c r="G3125" i="1"/>
  <c r="C3125" i="1"/>
  <c r="B3125" i="1"/>
  <c r="G3124" i="1"/>
  <c r="C3124" i="1"/>
  <c r="B3124" i="1"/>
  <c r="G3123" i="1"/>
  <c r="B3123" i="1"/>
  <c r="G3122" i="1"/>
  <c r="C3122" i="1"/>
  <c r="B3122" i="1"/>
  <c r="G3121" i="1"/>
  <c r="B3121" i="1"/>
  <c r="G3120" i="1"/>
  <c r="B3120" i="1"/>
  <c r="G3119" i="1"/>
  <c r="C3119" i="1"/>
  <c r="B3119" i="1"/>
  <c r="G3118" i="1"/>
  <c r="B3118" i="1"/>
  <c r="G3117" i="1"/>
  <c r="C3117" i="1"/>
  <c r="B3117" i="1"/>
  <c r="G3116" i="1"/>
  <c r="C3116" i="1"/>
  <c r="B3116" i="1"/>
  <c r="G3115" i="1"/>
  <c r="B3115" i="1"/>
  <c r="G3114" i="1"/>
  <c r="C3114" i="1"/>
  <c r="B3114" i="1"/>
  <c r="G3113" i="1"/>
  <c r="C3113" i="1"/>
  <c r="B3113" i="1"/>
  <c r="G3112" i="1"/>
  <c r="C3112" i="1"/>
  <c r="B3112" i="1"/>
  <c r="G3111" i="1"/>
  <c r="C3111" i="1"/>
  <c r="B3111" i="1"/>
  <c r="G3110" i="1"/>
  <c r="C3110" i="1"/>
  <c r="B3110" i="1"/>
  <c r="G3109" i="1"/>
  <c r="C3109" i="1"/>
  <c r="B3109" i="1"/>
  <c r="G3108" i="1"/>
  <c r="B3108" i="1"/>
  <c r="G3107" i="1"/>
  <c r="C3107" i="1"/>
  <c r="B3107" i="1"/>
  <c r="G3106" i="1"/>
  <c r="B3106" i="1"/>
  <c r="G3105" i="1"/>
  <c r="C3105" i="1"/>
  <c r="B3105" i="1"/>
  <c r="G3104" i="1"/>
  <c r="C3104" i="1"/>
  <c r="B3104" i="1"/>
  <c r="G3103" i="1"/>
  <c r="C3103" i="1"/>
  <c r="B3103" i="1"/>
  <c r="G3102" i="1"/>
  <c r="C3102" i="1"/>
  <c r="B3102" i="1"/>
  <c r="G3101" i="1"/>
  <c r="C3101" i="1"/>
  <c r="B3101" i="1"/>
  <c r="G3100" i="1"/>
  <c r="B3100" i="1"/>
  <c r="G3099" i="1"/>
  <c r="B3099" i="1"/>
  <c r="G3098" i="1"/>
  <c r="C3098" i="1"/>
  <c r="B3098" i="1"/>
  <c r="G3097" i="1"/>
  <c r="B3097" i="1"/>
  <c r="G3096" i="1"/>
  <c r="C3096" i="1"/>
  <c r="B3096" i="1"/>
  <c r="G3095" i="1"/>
  <c r="C3095" i="1"/>
  <c r="B3095" i="1"/>
  <c r="G3094" i="1"/>
  <c r="C3094" i="1"/>
  <c r="B3094" i="1"/>
  <c r="G3093" i="1"/>
  <c r="C3093" i="1"/>
  <c r="B3093" i="1"/>
  <c r="G3092" i="1"/>
  <c r="C3092" i="1"/>
  <c r="B3092" i="1"/>
  <c r="G3091" i="1"/>
  <c r="C3091" i="1"/>
  <c r="B3091" i="1"/>
  <c r="G3090" i="1"/>
  <c r="C3090" i="1"/>
  <c r="B3090" i="1"/>
  <c r="G3089" i="1"/>
  <c r="B3089" i="1"/>
  <c r="G3088" i="1"/>
  <c r="C3088" i="1"/>
  <c r="B3088" i="1"/>
  <c r="G3087" i="1"/>
  <c r="C3087" i="1"/>
  <c r="B3087" i="1"/>
  <c r="G3086" i="1"/>
  <c r="C3086" i="1"/>
  <c r="B3086" i="1"/>
  <c r="G3085" i="1"/>
  <c r="B3085" i="1"/>
  <c r="G3084" i="1"/>
  <c r="C3084" i="1"/>
  <c r="B3084" i="1"/>
  <c r="G3083" i="1"/>
  <c r="C3083" i="1"/>
  <c r="B3083" i="1"/>
  <c r="G3082" i="1"/>
  <c r="C3082" i="1"/>
  <c r="B3082" i="1"/>
  <c r="G3081" i="1"/>
  <c r="B3081" i="1"/>
  <c r="G3080" i="1"/>
  <c r="C3080" i="1"/>
  <c r="B3080" i="1"/>
  <c r="G3079" i="1"/>
  <c r="C3079" i="1"/>
  <c r="B3079" i="1"/>
  <c r="G3078" i="1"/>
  <c r="B3078" i="1"/>
  <c r="G3077" i="1"/>
  <c r="C3077" i="1"/>
  <c r="B3077" i="1"/>
  <c r="G3076" i="1"/>
  <c r="B3076" i="1"/>
  <c r="G3075" i="1"/>
  <c r="C3075" i="1"/>
  <c r="B3075" i="1"/>
  <c r="G3074" i="1"/>
  <c r="C3074" i="1"/>
  <c r="B3074" i="1"/>
  <c r="G3073" i="1"/>
  <c r="C3073" i="1"/>
  <c r="B3073" i="1"/>
  <c r="G3072" i="1"/>
  <c r="C3072" i="1"/>
  <c r="B3072" i="1"/>
  <c r="G3071" i="1"/>
  <c r="C3071" i="1"/>
  <c r="B3071" i="1"/>
  <c r="G3070" i="1"/>
  <c r="C3070" i="1"/>
  <c r="B3070" i="1"/>
  <c r="G3069" i="1"/>
  <c r="C3069" i="1"/>
  <c r="B3069" i="1"/>
  <c r="G3068" i="1"/>
  <c r="C3068" i="1"/>
  <c r="B3068" i="1"/>
  <c r="G3067" i="1"/>
  <c r="C3067" i="1"/>
  <c r="B3067" i="1"/>
  <c r="G3066" i="1"/>
  <c r="C3066" i="1"/>
  <c r="B3066" i="1"/>
  <c r="G3065" i="1"/>
  <c r="B3065" i="1"/>
  <c r="G3064" i="1"/>
  <c r="C3064" i="1"/>
  <c r="B3064" i="1"/>
  <c r="G3063" i="1"/>
  <c r="C3063" i="1"/>
  <c r="B3063" i="1"/>
  <c r="G3062" i="1"/>
  <c r="C3062" i="1"/>
  <c r="B3062" i="1"/>
  <c r="G3061" i="1"/>
  <c r="C3061" i="1"/>
  <c r="B3061" i="1"/>
  <c r="G3060" i="1"/>
  <c r="C3060" i="1"/>
  <c r="B3060" i="1"/>
  <c r="G3059" i="1"/>
  <c r="B3059" i="1"/>
  <c r="G3058" i="1"/>
  <c r="C3058" i="1"/>
  <c r="B3058" i="1"/>
  <c r="G3057" i="1"/>
  <c r="C3057" i="1"/>
  <c r="B3057" i="1"/>
  <c r="G3056" i="1"/>
  <c r="B3056" i="1"/>
  <c r="G3055" i="1"/>
  <c r="C3055" i="1"/>
  <c r="B3055" i="1"/>
  <c r="G3054" i="1"/>
  <c r="B3054" i="1"/>
  <c r="G3053" i="1"/>
  <c r="C3053" i="1"/>
  <c r="B3053" i="1"/>
  <c r="G3052" i="1"/>
  <c r="C3052" i="1"/>
  <c r="B3052" i="1"/>
  <c r="G3051" i="1"/>
  <c r="B3051" i="1"/>
  <c r="G3050" i="1"/>
  <c r="C3050" i="1"/>
  <c r="B3050" i="1"/>
  <c r="G3049" i="1"/>
  <c r="C3049" i="1"/>
  <c r="B3049" i="1"/>
  <c r="G3048" i="1"/>
  <c r="C3048" i="1"/>
  <c r="B3048" i="1"/>
  <c r="G3047" i="1"/>
  <c r="C3047" i="1"/>
  <c r="B3047" i="1"/>
  <c r="G3046" i="1"/>
  <c r="C3046" i="1"/>
  <c r="B3046" i="1"/>
  <c r="G3045" i="1"/>
  <c r="C3045" i="1"/>
  <c r="B3045" i="1"/>
  <c r="G3044" i="1"/>
  <c r="C3044" i="1"/>
  <c r="B3044" i="1"/>
  <c r="G3043" i="1"/>
  <c r="C3043" i="1"/>
  <c r="B3043" i="1"/>
  <c r="G3042" i="1"/>
  <c r="C3042" i="1"/>
  <c r="B3042" i="1"/>
  <c r="G3041" i="1"/>
  <c r="B3041" i="1"/>
  <c r="G3040" i="1"/>
  <c r="C3040" i="1"/>
  <c r="B3040" i="1"/>
  <c r="G3039" i="1"/>
  <c r="C3039" i="1"/>
  <c r="B3039" i="1"/>
  <c r="G3038" i="1"/>
  <c r="C3038" i="1"/>
  <c r="B3038" i="1"/>
  <c r="G3037" i="1"/>
  <c r="C3037" i="1"/>
  <c r="B3037" i="1"/>
  <c r="G3036" i="1"/>
  <c r="B3036" i="1"/>
  <c r="G3035" i="1"/>
  <c r="C3035" i="1"/>
  <c r="B3035" i="1"/>
  <c r="G3034" i="1"/>
  <c r="B3034" i="1"/>
  <c r="G3033" i="1"/>
  <c r="B3033" i="1"/>
  <c r="G3032" i="1"/>
  <c r="C3032" i="1"/>
  <c r="B3032" i="1"/>
  <c r="G3031" i="1"/>
  <c r="B3031" i="1"/>
  <c r="G3030" i="1"/>
  <c r="C3030" i="1"/>
  <c r="B3030" i="1"/>
  <c r="G3029" i="1"/>
  <c r="B3029" i="1"/>
  <c r="G3028" i="1"/>
  <c r="B3028" i="1"/>
  <c r="G3027" i="1"/>
  <c r="C3027" i="1"/>
  <c r="B3027" i="1"/>
  <c r="G3026" i="1"/>
  <c r="C3026" i="1"/>
  <c r="B3026" i="1"/>
  <c r="G3025" i="1"/>
  <c r="C3025" i="1"/>
  <c r="B3025" i="1"/>
  <c r="G3024" i="1"/>
  <c r="C3024" i="1"/>
  <c r="B3024" i="1"/>
  <c r="G3023" i="1"/>
  <c r="C3023" i="1"/>
  <c r="B3023" i="1"/>
  <c r="G3022" i="1"/>
  <c r="C3022" i="1"/>
  <c r="B3022" i="1"/>
  <c r="G3021" i="1"/>
  <c r="C3021" i="1"/>
  <c r="B3021" i="1"/>
  <c r="G3020" i="1"/>
  <c r="B3020" i="1"/>
  <c r="G3019" i="1"/>
  <c r="B3019" i="1"/>
  <c r="G3018" i="1"/>
  <c r="C3018" i="1"/>
  <c r="B3018" i="1"/>
  <c r="G3017" i="1"/>
  <c r="C3017" i="1"/>
  <c r="B3017" i="1"/>
  <c r="G3016" i="1"/>
  <c r="C3016" i="1"/>
  <c r="B3016" i="1"/>
  <c r="G3015" i="1"/>
  <c r="C3015" i="1"/>
  <c r="B3015" i="1"/>
  <c r="G3014" i="1"/>
  <c r="B3014" i="1"/>
  <c r="G3013" i="1"/>
  <c r="C3013" i="1"/>
  <c r="B3013" i="1"/>
  <c r="G3012" i="1"/>
  <c r="B3012" i="1"/>
  <c r="G3011" i="1"/>
  <c r="C3011" i="1"/>
  <c r="B3011" i="1"/>
  <c r="G3010" i="1"/>
  <c r="C3010" i="1"/>
  <c r="B3010" i="1"/>
  <c r="G3009" i="1"/>
  <c r="C3009" i="1"/>
  <c r="B3009" i="1"/>
  <c r="G3008" i="1"/>
  <c r="B3008" i="1"/>
  <c r="G3007" i="1"/>
  <c r="C3007" i="1"/>
  <c r="B3007" i="1"/>
  <c r="G3006" i="1"/>
  <c r="C3006" i="1"/>
  <c r="B3006" i="1"/>
  <c r="G3005" i="1"/>
  <c r="C3005" i="1"/>
  <c r="B3005" i="1"/>
  <c r="G3004" i="1"/>
  <c r="B3004" i="1"/>
  <c r="G3003" i="1"/>
  <c r="B3003" i="1"/>
  <c r="G3002" i="1"/>
  <c r="C3002" i="1"/>
  <c r="B3002" i="1"/>
  <c r="G3001" i="1"/>
  <c r="C3001" i="1"/>
  <c r="B3001" i="1"/>
  <c r="G3000" i="1"/>
  <c r="C3000" i="1"/>
  <c r="B3000" i="1"/>
  <c r="G2999" i="1"/>
  <c r="B2999" i="1"/>
  <c r="G2998" i="1"/>
  <c r="C2998" i="1"/>
  <c r="B2998" i="1"/>
  <c r="G2997" i="1"/>
  <c r="C2997" i="1"/>
  <c r="B2997" i="1"/>
  <c r="G2996" i="1"/>
  <c r="C2996" i="1"/>
  <c r="B2996" i="1"/>
  <c r="G2995" i="1"/>
  <c r="C2995" i="1"/>
  <c r="B2995" i="1"/>
  <c r="G2994" i="1"/>
  <c r="C2994" i="1"/>
  <c r="B2994" i="1"/>
  <c r="G2993" i="1"/>
  <c r="C2993" i="1"/>
  <c r="B2993" i="1"/>
  <c r="G2992" i="1"/>
  <c r="C2992" i="1"/>
  <c r="B2992" i="1"/>
  <c r="G2991" i="1"/>
  <c r="B2991" i="1"/>
  <c r="G2990" i="1"/>
  <c r="C2990" i="1"/>
  <c r="B2990" i="1"/>
  <c r="G2989" i="1"/>
  <c r="C2989" i="1"/>
  <c r="B2989" i="1"/>
  <c r="G2988" i="1"/>
  <c r="B2988" i="1"/>
  <c r="G2987" i="1"/>
  <c r="C2987" i="1"/>
  <c r="B2987" i="1"/>
  <c r="G2986" i="1"/>
  <c r="B2986" i="1"/>
  <c r="G2985" i="1"/>
  <c r="C2985" i="1"/>
  <c r="B2985" i="1"/>
  <c r="G2984" i="1"/>
  <c r="C2984" i="1"/>
  <c r="B2984" i="1"/>
  <c r="G2983" i="1"/>
  <c r="B2983" i="1"/>
  <c r="G2982" i="1"/>
  <c r="C2982" i="1"/>
  <c r="B2982" i="1"/>
  <c r="G2981" i="1"/>
  <c r="C2981" i="1"/>
  <c r="B2981" i="1"/>
  <c r="G2980" i="1"/>
  <c r="C2980" i="1"/>
  <c r="B2980" i="1"/>
  <c r="G2979" i="1"/>
  <c r="B2979" i="1"/>
  <c r="G2978" i="1"/>
  <c r="C2978" i="1"/>
  <c r="B2978" i="1"/>
  <c r="G2977" i="1"/>
  <c r="B2977" i="1"/>
  <c r="G2976" i="1"/>
  <c r="C2976" i="1"/>
  <c r="B2976" i="1"/>
  <c r="G2975" i="1"/>
  <c r="B2975" i="1"/>
  <c r="G2974" i="1"/>
  <c r="C2974" i="1"/>
  <c r="B2974" i="1"/>
  <c r="G2973" i="1"/>
  <c r="C2973" i="1"/>
  <c r="B2973" i="1"/>
  <c r="G2972" i="1"/>
  <c r="C2972" i="1"/>
  <c r="B2972" i="1"/>
  <c r="G2971" i="1"/>
  <c r="C2971" i="1"/>
  <c r="B2971" i="1"/>
  <c r="G2970" i="1"/>
  <c r="B2970" i="1"/>
  <c r="G2969" i="1"/>
  <c r="B2969" i="1"/>
  <c r="G2968" i="1"/>
  <c r="C2968" i="1"/>
  <c r="B2968" i="1"/>
  <c r="G2967" i="1"/>
  <c r="C2967" i="1"/>
  <c r="B2967" i="1"/>
  <c r="G2966" i="1"/>
  <c r="B2966" i="1"/>
  <c r="G2965" i="1"/>
  <c r="C2965" i="1"/>
  <c r="B2965" i="1"/>
  <c r="G2964" i="1"/>
  <c r="C2964" i="1"/>
  <c r="B2964" i="1"/>
  <c r="G2963" i="1"/>
  <c r="C2963" i="1"/>
  <c r="B2963" i="1"/>
  <c r="G2962" i="1"/>
  <c r="B2962" i="1"/>
  <c r="G2961" i="1"/>
  <c r="C2961" i="1"/>
  <c r="B2961" i="1"/>
  <c r="G2960" i="1"/>
  <c r="C2960" i="1"/>
  <c r="B2960" i="1"/>
  <c r="G2959" i="1"/>
  <c r="C2959" i="1"/>
  <c r="B2959" i="1"/>
  <c r="G2958" i="1"/>
  <c r="C2958" i="1"/>
  <c r="B2958" i="1"/>
  <c r="G2957" i="1"/>
  <c r="C2957" i="1"/>
  <c r="B2957" i="1"/>
  <c r="G2956" i="1"/>
  <c r="C2956" i="1"/>
  <c r="B2956" i="1"/>
  <c r="G2955" i="1"/>
  <c r="C2955" i="1"/>
  <c r="B2955" i="1"/>
  <c r="G2954" i="1"/>
  <c r="B2954" i="1"/>
  <c r="G2953" i="1"/>
  <c r="B2953" i="1"/>
  <c r="G2952" i="1"/>
  <c r="C2952" i="1"/>
  <c r="B2952" i="1"/>
  <c r="G2951" i="1"/>
  <c r="B2951" i="1"/>
  <c r="G2950" i="1"/>
  <c r="B2950" i="1"/>
  <c r="G2949" i="1"/>
  <c r="C2949" i="1"/>
  <c r="B2949" i="1"/>
  <c r="G2948" i="1"/>
  <c r="C2948" i="1"/>
  <c r="B2948" i="1"/>
  <c r="G2947" i="1"/>
  <c r="C2947" i="1"/>
  <c r="B2947" i="1"/>
  <c r="G2946" i="1"/>
  <c r="B2946" i="1"/>
  <c r="G2945" i="1"/>
  <c r="B2945" i="1"/>
  <c r="G2944" i="1"/>
  <c r="B2944" i="1"/>
  <c r="G2943" i="1"/>
  <c r="C2943" i="1"/>
  <c r="B2943" i="1"/>
  <c r="G2942" i="1"/>
  <c r="B2942" i="1"/>
  <c r="G2941" i="1"/>
  <c r="C2941" i="1"/>
  <c r="B2941" i="1"/>
  <c r="G2940" i="1"/>
  <c r="C2940" i="1"/>
  <c r="B2940" i="1"/>
  <c r="G2939" i="1"/>
  <c r="C2939" i="1"/>
  <c r="B2939" i="1"/>
  <c r="G2938" i="1"/>
  <c r="C2938" i="1"/>
  <c r="B2938" i="1"/>
  <c r="G2937" i="1"/>
  <c r="C2937" i="1"/>
  <c r="B2937" i="1"/>
  <c r="G2936" i="1"/>
  <c r="C2936" i="1"/>
  <c r="B2936" i="1"/>
  <c r="G2935" i="1"/>
  <c r="C2935" i="1"/>
  <c r="B2935" i="1"/>
  <c r="G2934" i="1"/>
  <c r="C2934" i="1"/>
  <c r="B2934" i="1"/>
  <c r="G2933" i="1"/>
  <c r="B2933" i="1"/>
  <c r="G2932" i="1"/>
  <c r="B2932" i="1"/>
  <c r="G2931" i="1"/>
  <c r="B2931" i="1"/>
  <c r="G2930" i="1"/>
  <c r="C2930" i="1"/>
  <c r="B2930" i="1"/>
  <c r="G2929" i="1"/>
  <c r="C2929" i="1"/>
  <c r="B2929" i="1"/>
  <c r="G2928" i="1"/>
  <c r="C2928" i="1"/>
  <c r="B2928" i="1"/>
  <c r="G2927" i="1"/>
  <c r="C2927" i="1"/>
  <c r="B2927" i="1"/>
  <c r="G2926" i="1"/>
  <c r="C2926" i="1"/>
  <c r="B2926" i="1"/>
  <c r="G2925" i="1"/>
  <c r="B2925" i="1"/>
  <c r="G2924" i="1"/>
  <c r="C2924" i="1"/>
  <c r="B2924" i="1"/>
  <c r="G2923" i="1"/>
  <c r="B2923" i="1"/>
  <c r="G2922" i="1"/>
  <c r="B2922" i="1"/>
  <c r="G2921" i="1"/>
  <c r="C2921" i="1"/>
  <c r="B2921" i="1"/>
  <c r="G2920" i="1"/>
  <c r="C2920" i="1"/>
  <c r="B2920" i="1"/>
  <c r="G2919" i="1"/>
  <c r="C2919" i="1"/>
  <c r="B2919" i="1"/>
  <c r="G2918" i="1"/>
  <c r="C2918" i="1"/>
  <c r="B2918" i="1"/>
  <c r="G2917" i="1"/>
  <c r="C2917" i="1"/>
  <c r="B2917" i="1"/>
  <c r="G2916" i="1"/>
  <c r="C2916" i="1"/>
  <c r="B2916" i="1"/>
  <c r="G2915" i="1"/>
  <c r="B2915" i="1"/>
  <c r="G2914" i="1"/>
  <c r="C2914" i="1"/>
  <c r="B2914" i="1"/>
  <c r="G2913" i="1"/>
  <c r="C2913" i="1"/>
  <c r="B2913" i="1"/>
  <c r="G2912" i="1"/>
  <c r="B2912" i="1"/>
  <c r="G2911" i="1"/>
  <c r="B2911" i="1"/>
  <c r="G2910" i="1"/>
  <c r="B2910" i="1"/>
  <c r="G2909" i="1"/>
  <c r="C2909" i="1"/>
  <c r="B2909" i="1"/>
  <c r="G2908" i="1"/>
  <c r="B2908" i="1"/>
  <c r="G2907" i="1"/>
  <c r="C2907" i="1"/>
  <c r="B2907" i="1"/>
  <c r="G2906" i="1"/>
  <c r="C2906" i="1"/>
  <c r="B2906" i="1"/>
  <c r="G2905" i="1"/>
  <c r="C2905" i="1"/>
  <c r="B2905" i="1"/>
  <c r="G2904" i="1"/>
  <c r="C2904" i="1"/>
  <c r="B2904" i="1"/>
  <c r="G2903" i="1"/>
  <c r="C2903" i="1"/>
  <c r="B2903" i="1"/>
  <c r="G2902" i="1"/>
  <c r="C2902" i="1"/>
  <c r="B2902" i="1"/>
  <c r="G2901" i="1"/>
  <c r="C2901" i="1"/>
  <c r="B2901" i="1"/>
  <c r="G2900" i="1"/>
  <c r="C2900" i="1"/>
  <c r="B2900" i="1"/>
  <c r="G2899" i="1"/>
  <c r="C2899" i="1"/>
  <c r="B2899" i="1"/>
  <c r="G2898" i="1"/>
  <c r="C2898" i="1"/>
  <c r="B2898" i="1"/>
  <c r="G2897" i="1"/>
  <c r="C2897" i="1"/>
  <c r="B2897" i="1"/>
  <c r="G2896" i="1"/>
  <c r="C2896" i="1"/>
  <c r="B2896" i="1"/>
  <c r="G2895" i="1"/>
  <c r="C2895" i="1"/>
  <c r="B2895" i="1"/>
  <c r="G2894" i="1"/>
  <c r="C2894" i="1"/>
  <c r="B2894" i="1"/>
  <c r="G2893" i="1"/>
  <c r="B2893" i="1"/>
  <c r="G2892" i="1"/>
  <c r="C2892" i="1"/>
  <c r="B2892" i="1"/>
  <c r="G2891" i="1"/>
  <c r="B2891" i="1"/>
  <c r="G2890" i="1"/>
  <c r="C2890" i="1"/>
  <c r="B2890" i="1"/>
  <c r="G2889" i="1"/>
  <c r="B2889" i="1"/>
  <c r="G2888" i="1"/>
  <c r="C2888" i="1"/>
  <c r="B2888" i="1"/>
  <c r="G2887" i="1"/>
  <c r="C2887" i="1"/>
  <c r="B2887" i="1"/>
  <c r="G2886" i="1"/>
  <c r="C2886" i="1"/>
  <c r="B2886" i="1"/>
  <c r="G2885" i="1"/>
  <c r="C2885" i="1"/>
  <c r="B2885" i="1"/>
  <c r="G2884" i="1"/>
  <c r="C2884" i="1"/>
  <c r="B2884" i="1"/>
  <c r="G2883" i="1"/>
  <c r="C2883" i="1"/>
  <c r="B2883" i="1"/>
  <c r="G2882" i="1"/>
  <c r="C2882" i="1"/>
  <c r="B2882" i="1"/>
  <c r="G2881" i="1"/>
  <c r="C2881" i="1"/>
  <c r="B2881" i="1"/>
  <c r="G2880" i="1"/>
  <c r="B2880" i="1"/>
  <c r="G2879" i="1"/>
  <c r="B2879" i="1"/>
  <c r="G2878" i="1"/>
  <c r="C2878" i="1"/>
  <c r="B2878" i="1"/>
  <c r="G2877" i="1"/>
  <c r="C2877" i="1"/>
  <c r="B2877" i="1"/>
  <c r="G2876" i="1"/>
  <c r="C2876" i="1"/>
  <c r="B2876" i="1"/>
  <c r="G2875" i="1"/>
  <c r="B2875" i="1"/>
  <c r="G2874" i="1"/>
  <c r="B2874" i="1"/>
  <c r="G2873" i="1"/>
  <c r="B2873" i="1"/>
  <c r="G2872" i="1"/>
  <c r="C2872" i="1"/>
  <c r="B2872" i="1"/>
  <c r="G2871" i="1"/>
  <c r="C2871" i="1"/>
  <c r="B2871" i="1"/>
  <c r="G2870" i="1"/>
  <c r="B2870" i="1"/>
  <c r="G2869" i="1"/>
  <c r="C2869" i="1"/>
  <c r="B2869" i="1"/>
  <c r="G2868" i="1"/>
  <c r="C2868" i="1"/>
  <c r="B2868" i="1"/>
  <c r="G2867" i="1"/>
  <c r="C2867" i="1"/>
  <c r="B2867" i="1"/>
  <c r="G2866" i="1"/>
  <c r="C2866" i="1"/>
  <c r="B2866" i="1"/>
  <c r="G2865" i="1"/>
  <c r="B2865" i="1"/>
  <c r="G2864" i="1"/>
  <c r="C2864" i="1"/>
  <c r="B2864" i="1"/>
  <c r="G2863" i="1"/>
  <c r="B2863" i="1"/>
  <c r="G2862" i="1"/>
  <c r="B2862" i="1"/>
  <c r="G2861" i="1"/>
  <c r="C2861" i="1"/>
  <c r="B2861" i="1"/>
  <c r="G2860" i="1"/>
  <c r="C2860" i="1"/>
  <c r="B2860" i="1"/>
  <c r="G2859" i="1"/>
  <c r="B2859" i="1"/>
  <c r="G2858" i="1"/>
  <c r="C2858" i="1"/>
  <c r="B2858" i="1"/>
  <c r="G2857" i="1"/>
  <c r="C2857" i="1"/>
  <c r="B2857" i="1"/>
  <c r="G2856" i="1"/>
  <c r="C2856" i="1"/>
  <c r="B2856" i="1"/>
  <c r="G2855" i="1"/>
  <c r="C2855" i="1"/>
  <c r="B2855" i="1"/>
  <c r="G2854" i="1"/>
  <c r="B2854" i="1"/>
  <c r="G2853" i="1"/>
  <c r="C2853" i="1"/>
  <c r="B2853" i="1"/>
  <c r="G2852" i="1"/>
  <c r="C2852" i="1"/>
  <c r="B2852" i="1"/>
  <c r="G2851" i="1"/>
  <c r="C2851" i="1"/>
  <c r="B2851" i="1"/>
  <c r="G2850" i="1"/>
  <c r="C2850" i="1"/>
  <c r="B2850" i="1"/>
  <c r="G2849" i="1"/>
  <c r="B2849" i="1"/>
  <c r="G2848" i="1"/>
  <c r="C2848" i="1"/>
  <c r="B2848" i="1"/>
  <c r="G2847" i="1"/>
  <c r="C2847" i="1"/>
  <c r="B2847" i="1"/>
  <c r="G2846" i="1"/>
  <c r="C2846" i="1"/>
  <c r="B2846" i="1"/>
  <c r="G2845" i="1"/>
  <c r="C2845" i="1"/>
  <c r="B2845" i="1"/>
  <c r="G2844" i="1"/>
  <c r="B2844" i="1"/>
  <c r="G2843" i="1"/>
  <c r="C2843" i="1"/>
  <c r="B2843" i="1"/>
  <c r="G2842" i="1"/>
  <c r="C2842" i="1"/>
  <c r="B2842" i="1"/>
  <c r="G2841" i="1"/>
  <c r="C2841" i="1"/>
  <c r="B2841" i="1"/>
  <c r="G2840" i="1"/>
  <c r="C2840" i="1"/>
  <c r="B2840" i="1"/>
  <c r="G2839" i="1"/>
  <c r="B2839" i="1"/>
  <c r="G2838" i="1"/>
  <c r="C2838" i="1"/>
  <c r="B2838" i="1"/>
  <c r="G2837" i="1"/>
  <c r="C2837" i="1"/>
  <c r="B2837" i="1"/>
  <c r="G2836" i="1"/>
  <c r="C2836" i="1"/>
  <c r="B2836" i="1"/>
  <c r="G2835" i="1"/>
  <c r="C2835" i="1"/>
  <c r="B2835" i="1"/>
  <c r="G2834" i="1"/>
  <c r="B2834" i="1"/>
  <c r="G2833" i="1"/>
  <c r="B2833" i="1"/>
  <c r="G2832" i="1"/>
  <c r="B2832" i="1"/>
  <c r="G2831" i="1"/>
  <c r="C2831" i="1"/>
  <c r="B2831" i="1"/>
  <c r="G2830" i="1"/>
  <c r="C2830" i="1"/>
  <c r="B2830" i="1"/>
  <c r="G2829" i="1"/>
  <c r="C2829" i="1"/>
  <c r="B2829" i="1"/>
  <c r="G2828" i="1"/>
  <c r="C2828" i="1"/>
  <c r="B2828" i="1"/>
  <c r="G2827" i="1"/>
  <c r="C2827" i="1"/>
  <c r="B2827" i="1"/>
  <c r="G2826" i="1"/>
  <c r="C2826" i="1"/>
  <c r="B2826" i="1"/>
  <c r="G2825" i="1"/>
  <c r="C2825" i="1"/>
  <c r="B2825" i="1"/>
  <c r="G2824" i="1"/>
  <c r="C2824" i="1"/>
  <c r="B2824" i="1"/>
  <c r="G2823" i="1"/>
  <c r="C2823" i="1"/>
  <c r="B2823" i="1"/>
  <c r="G2822" i="1"/>
  <c r="C2822" i="1"/>
  <c r="B2822" i="1"/>
  <c r="G2821" i="1"/>
  <c r="C2821" i="1"/>
  <c r="B2821" i="1"/>
  <c r="G2820" i="1"/>
  <c r="B2820" i="1"/>
  <c r="G2819" i="1"/>
  <c r="C2819" i="1"/>
  <c r="B2819" i="1"/>
  <c r="G2818" i="1"/>
  <c r="C2818" i="1"/>
  <c r="B2818" i="1"/>
  <c r="G2817" i="1"/>
  <c r="C2817" i="1"/>
  <c r="B2817" i="1"/>
  <c r="G2816" i="1"/>
  <c r="C2816" i="1"/>
  <c r="B2816" i="1"/>
  <c r="G2815" i="1"/>
  <c r="C2815" i="1"/>
  <c r="B2815" i="1"/>
  <c r="G2814" i="1"/>
  <c r="C2814" i="1"/>
  <c r="B2814" i="1"/>
  <c r="G2813" i="1"/>
  <c r="B2813" i="1"/>
  <c r="G2812" i="1"/>
  <c r="B2812" i="1"/>
  <c r="G2811" i="1"/>
  <c r="C2811" i="1"/>
  <c r="B2811" i="1"/>
  <c r="G2810" i="1"/>
  <c r="C2810" i="1"/>
  <c r="B2810" i="1"/>
  <c r="G2809" i="1"/>
  <c r="C2809" i="1"/>
  <c r="B2809" i="1"/>
  <c r="G2808" i="1"/>
  <c r="C2808" i="1"/>
  <c r="B2808" i="1"/>
  <c r="G2807" i="1"/>
  <c r="C2807" i="1"/>
  <c r="B2807" i="1"/>
  <c r="G2806" i="1"/>
  <c r="C2806" i="1"/>
  <c r="B2806" i="1"/>
  <c r="G2805" i="1"/>
  <c r="C2805" i="1"/>
  <c r="B2805" i="1"/>
  <c r="G2804" i="1"/>
  <c r="C2804" i="1"/>
  <c r="B2804" i="1"/>
  <c r="G2803" i="1"/>
  <c r="C2803" i="1"/>
  <c r="B2803" i="1"/>
  <c r="G2802" i="1"/>
  <c r="B2802" i="1"/>
  <c r="G2801" i="1"/>
  <c r="B2801" i="1"/>
  <c r="G2800" i="1"/>
  <c r="C2800" i="1"/>
  <c r="B2800" i="1"/>
  <c r="G2799" i="1"/>
  <c r="C2799" i="1"/>
  <c r="B2799" i="1"/>
  <c r="G2798" i="1"/>
  <c r="B2798" i="1"/>
  <c r="G2797" i="1"/>
  <c r="C2797" i="1"/>
  <c r="B2797" i="1"/>
  <c r="G2796" i="1"/>
  <c r="B2796" i="1"/>
  <c r="G2795" i="1"/>
  <c r="C2795" i="1"/>
  <c r="B2795" i="1"/>
  <c r="G2794" i="1"/>
  <c r="C2794" i="1"/>
  <c r="B2794" i="1"/>
  <c r="G2793" i="1"/>
  <c r="C2793" i="1"/>
  <c r="B2793" i="1"/>
  <c r="G2792" i="1"/>
  <c r="C2792" i="1"/>
  <c r="B2792" i="1"/>
  <c r="G2791" i="1"/>
  <c r="C2791" i="1"/>
  <c r="B2791" i="1"/>
  <c r="G2790" i="1"/>
  <c r="B2790" i="1"/>
  <c r="G2789" i="1"/>
  <c r="C2789" i="1"/>
  <c r="B2789" i="1"/>
  <c r="G2788" i="1"/>
  <c r="C2788" i="1"/>
  <c r="B2788" i="1"/>
  <c r="G2787" i="1"/>
  <c r="B2787" i="1"/>
  <c r="G2786" i="1"/>
  <c r="B2786" i="1"/>
  <c r="G2785" i="1"/>
  <c r="C2785" i="1"/>
  <c r="B2785" i="1"/>
  <c r="G2784" i="1"/>
  <c r="C2784" i="1"/>
  <c r="B2784" i="1"/>
  <c r="G2783" i="1"/>
  <c r="C2783" i="1"/>
  <c r="B2783" i="1"/>
  <c r="G2782" i="1"/>
  <c r="B2782" i="1"/>
  <c r="G2781" i="1"/>
  <c r="B2781" i="1"/>
  <c r="G2780" i="1"/>
  <c r="B2780" i="1"/>
  <c r="G2779" i="1"/>
  <c r="C2779" i="1"/>
  <c r="B2779" i="1"/>
  <c r="G2778" i="1"/>
  <c r="C2778" i="1"/>
  <c r="B2778" i="1"/>
  <c r="G2777" i="1"/>
  <c r="C2777" i="1"/>
  <c r="B2777" i="1"/>
  <c r="G2776" i="1"/>
  <c r="C2776" i="1"/>
  <c r="B2776" i="1"/>
  <c r="G2775" i="1"/>
  <c r="B2775" i="1"/>
  <c r="G2774" i="1"/>
  <c r="C2774" i="1"/>
  <c r="B2774" i="1"/>
  <c r="G2773" i="1"/>
  <c r="B2773" i="1"/>
  <c r="G2772" i="1"/>
  <c r="C2772" i="1"/>
  <c r="B2772" i="1"/>
  <c r="G2771" i="1"/>
  <c r="C2771" i="1"/>
  <c r="B2771" i="1"/>
  <c r="G2770" i="1"/>
  <c r="C2770" i="1"/>
  <c r="B2770" i="1"/>
  <c r="G2769" i="1"/>
  <c r="C2769" i="1"/>
  <c r="B2769" i="1"/>
  <c r="G2768" i="1"/>
  <c r="C2768" i="1"/>
  <c r="B2768" i="1"/>
  <c r="G2767" i="1"/>
  <c r="B2767" i="1"/>
  <c r="G2766" i="1"/>
  <c r="C2766" i="1"/>
  <c r="B2766" i="1"/>
  <c r="G2765" i="1"/>
  <c r="C2765" i="1"/>
  <c r="B2765" i="1"/>
  <c r="G2764" i="1"/>
  <c r="B2764" i="1"/>
  <c r="G2763" i="1"/>
  <c r="C2763" i="1"/>
  <c r="B2763" i="1"/>
  <c r="G2762" i="1"/>
  <c r="C2762" i="1"/>
  <c r="B2762" i="1"/>
  <c r="G2761" i="1"/>
  <c r="B2761" i="1"/>
  <c r="G2760" i="1"/>
  <c r="C2760" i="1"/>
  <c r="B2760" i="1"/>
  <c r="G2759" i="1"/>
  <c r="B2759" i="1"/>
  <c r="G2758" i="1"/>
  <c r="B2758" i="1"/>
  <c r="G2757" i="1"/>
  <c r="C2757" i="1"/>
  <c r="B2757" i="1"/>
  <c r="G2756" i="1"/>
  <c r="C2756" i="1"/>
  <c r="B2756" i="1"/>
  <c r="G2755" i="1"/>
  <c r="C2755" i="1"/>
  <c r="B2755" i="1"/>
  <c r="G2754" i="1"/>
  <c r="C2754" i="1"/>
  <c r="B2754" i="1"/>
  <c r="G2753" i="1"/>
  <c r="C2753" i="1"/>
  <c r="B2753" i="1"/>
  <c r="G2752" i="1"/>
  <c r="B2752" i="1"/>
  <c r="G2751" i="1"/>
  <c r="C2751" i="1"/>
  <c r="B2751" i="1"/>
  <c r="G2750" i="1"/>
  <c r="C2750" i="1"/>
  <c r="B2750" i="1"/>
  <c r="G2749" i="1"/>
  <c r="C2749" i="1"/>
  <c r="B2749" i="1"/>
  <c r="G2748" i="1"/>
  <c r="C2748" i="1"/>
  <c r="B2748" i="1"/>
  <c r="G2747" i="1"/>
  <c r="C2747" i="1"/>
  <c r="B2747" i="1"/>
  <c r="G2746" i="1"/>
  <c r="C2746" i="1"/>
  <c r="B2746" i="1"/>
  <c r="G2745" i="1"/>
  <c r="C2745" i="1"/>
  <c r="B2745" i="1"/>
  <c r="G2744" i="1"/>
  <c r="C2744" i="1"/>
  <c r="B2744" i="1"/>
  <c r="G2743" i="1"/>
  <c r="C2743" i="1"/>
  <c r="B2743" i="1"/>
  <c r="G2742" i="1"/>
  <c r="C2742" i="1"/>
  <c r="B2742" i="1"/>
  <c r="G2741" i="1"/>
  <c r="C2741" i="1"/>
  <c r="B2741" i="1"/>
  <c r="G2740" i="1"/>
  <c r="C2740" i="1"/>
  <c r="B2740" i="1"/>
  <c r="G2739" i="1"/>
  <c r="C2739" i="1"/>
  <c r="B2739" i="1"/>
  <c r="G2738" i="1"/>
  <c r="C2738" i="1"/>
  <c r="B2738" i="1"/>
  <c r="G2737" i="1"/>
  <c r="B2737" i="1"/>
  <c r="G2736" i="1"/>
  <c r="B2736" i="1"/>
  <c r="G2735" i="1"/>
  <c r="C2735" i="1"/>
  <c r="B2735" i="1"/>
  <c r="G2734" i="1"/>
  <c r="C2734" i="1"/>
  <c r="B2734" i="1"/>
  <c r="G2733" i="1"/>
  <c r="C2733" i="1"/>
  <c r="B2733" i="1"/>
  <c r="G2732" i="1"/>
  <c r="C2732" i="1"/>
  <c r="B2732" i="1"/>
  <c r="G2731" i="1"/>
  <c r="B2731" i="1"/>
  <c r="G2730" i="1"/>
  <c r="C2730" i="1"/>
  <c r="B2730" i="1"/>
  <c r="G2729" i="1"/>
  <c r="C2729" i="1"/>
  <c r="B2729" i="1"/>
  <c r="G2728" i="1"/>
  <c r="C2728" i="1"/>
  <c r="B2728" i="1"/>
  <c r="G2727" i="1"/>
  <c r="C2727" i="1"/>
  <c r="B2727" i="1"/>
  <c r="G2726" i="1"/>
  <c r="C2726" i="1"/>
  <c r="B2726" i="1"/>
  <c r="G2725" i="1"/>
  <c r="B2725" i="1"/>
  <c r="G2724" i="1"/>
  <c r="B2724" i="1"/>
  <c r="G2723" i="1"/>
  <c r="C2723" i="1"/>
  <c r="B2723" i="1"/>
  <c r="G2722" i="1"/>
  <c r="C2722" i="1"/>
  <c r="B2722" i="1"/>
  <c r="G2721" i="1"/>
  <c r="C2721" i="1"/>
  <c r="B2721" i="1"/>
  <c r="G2720" i="1"/>
  <c r="C2720" i="1"/>
  <c r="B2720" i="1"/>
  <c r="G2719" i="1"/>
  <c r="C2719" i="1"/>
  <c r="B2719" i="1"/>
  <c r="G2718" i="1"/>
  <c r="C2718" i="1"/>
  <c r="B2718" i="1"/>
  <c r="G2717" i="1"/>
  <c r="B2717" i="1"/>
  <c r="G2716" i="1"/>
  <c r="B2716" i="1"/>
  <c r="G2715" i="1"/>
  <c r="C2715" i="1"/>
  <c r="B2715" i="1"/>
  <c r="G2714" i="1"/>
  <c r="C2714" i="1"/>
  <c r="B2714" i="1"/>
  <c r="G2713" i="1"/>
  <c r="C2713" i="1"/>
  <c r="B2713" i="1"/>
  <c r="G2712" i="1"/>
  <c r="C2712" i="1"/>
  <c r="B2712" i="1"/>
  <c r="G2711" i="1"/>
  <c r="C2711" i="1"/>
  <c r="B2711" i="1"/>
  <c r="G2710" i="1"/>
  <c r="C2710" i="1"/>
  <c r="B2710" i="1"/>
  <c r="G2709" i="1"/>
  <c r="B2709" i="1"/>
  <c r="G2708" i="1"/>
  <c r="B2708" i="1"/>
  <c r="G2707" i="1"/>
  <c r="C2707" i="1"/>
  <c r="B2707" i="1"/>
  <c r="G2706" i="1"/>
  <c r="B2706" i="1"/>
  <c r="G2705" i="1"/>
  <c r="C2705" i="1"/>
  <c r="B2705" i="1"/>
  <c r="G2704" i="1"/>
  <c r="C2704" i="1"/>
  <c r="B2704" i="1"/>
  <c r="G2703" i="1"/>
  <c r="C2703" i="1"/>
  <c r="B2703" i="1"/>
  <c r="G2702" i="1"/>
  <c r="B2702" i="1"/>
  <c r="G2701" i="1"/>
  <c r="B2701" i="1"/>
  <c r="G2700" i="1"/>
  <c r="C2700" i="1"/>
  <c r="B2700" i="1"/>
  <c r="G2699" i="1"/>
  <c r="C2699" i="1"/>
  <c r="B2699" i="1"/>
  <c r="G2698" i="1"/>
  <c r="C2698" i="1"/>
  <c r="B2698" i="1"/>
  <c r="G2697" i="1"/>
  <c r="B2697" i="1"/>
  <c r="G2696" i="1"/>
  <c r="C2696" i="1"/>
  <c r="B2696" i="1"/>
  <c r="G2695" i="1"/>
  <c r="C2695" i="1"/>
  <c r="B2695" i="1"/>
  <c r="G2694" i="1"/>
  <c r="C2694" i="1"/>
  <c r="B2694" i="1"/>
  <c r="G2693" i="1"/>
  <c r="B2693" i="1"/>
  <c r="G2692" i="1"/>
  <c r="B2692" i="1"/>
  <c r="G2691" i="1"/>
  <c r="B2691" i="1"/>
  <c r="G2690" i="1"/>
  <c r="C2690" i="1"/>
  <c r="B2690" i="1"/>
  <c r="G2689" i="1"/>
  <c r="C2689" i="1"/>
  <c r="B2689" i="1"/>
  <c r="G2688" i="1"/>
  <c r="B2688" i="1"/>
  <c r="G2687" i="1"/>
  <c r="B2687" i="1"/>
  <c r="G2686" i="1"/>
  <c r="B2686" i="1"/>
  <c r="G2685" i="1"/>
  <c r="C2685" i="1"/>
  <c r="B2685" i="1"/>
  <c r="G2684" i="1"/>
  <c r="B2684" i="1"/>
  <c r="G2683" i="1"/>
  <c r="C2683" i="1"/>
  <c r="B2683" i="1"/>
  <c r="G2682" i="1"/>
  <c r="C2682" i="1"/>
  <c r="B2682" i="1"/>
  <c r="G2681" i="1"/>
  <c r="B2681" i="1"/>
  <c r="G2680" i="1"/>
  <c r="C2680" i="1"/>
  <c r="B2680" i="1"/>
  <c r="G2679" i="1"/>
  <c r="B2679" i="1"/>
  <c r="G2678" i="1"/>
  <c r="C2678" i="1"/>
  <c r="B2678" i="1"/>
  <c r="G2677" i="1"/>
  <c r="C2677" i="1"/>
  <c r="B2677" i="1"/>
  <c r="G2676" i="1"/>
  <c r="B2676" i="1"/>
  <c r="G2675" i="1"/>
  <c r="B2675" i="1"/>
  <c r="G2674" i="1"/>
  <c r="B2674" i="1"/>
  <c r="G2673" i="1"/>
  <c r="C2673" i="1"/>
  <c r="B2673" i="1"/>
  <c r="G2672" i="1"/>
  <c r="B2672" i="1"/>
  <c r="G2671" i="1"/>
  <c r="C2671" i="1"/>
  <c r="B2671" i="1"/>
  <c r="G2670" i="1"/>
  <c r="C2670" i="1"/>
  <c r="B2670" i="1"/>
  <c r="G2669" i="1"/>
  <c r="C2669" i="1"/>
  <c r="B2669" i="1"/>
  <c r="G2668" i="1"/>
  <c r="C2668" i="1"/>
  <c r="B2668" i="1"/>
  <c r="G2667" i="1"/>
  <c r="B2667" i="1"/>
  <c r="G2666" i="1"/>
  <c r="B2666" i="1"/>
  <c r="G2665" i="1"/>
  <c r="B2665" i="1"/>
  <c r="G2664" i="1"/>
  <c r="B2664" i="1"/>
  <c r="G2663" i="1"/>
  <c r="B2663" i="1"/>
  <c r="G2662" i="1"/>
  <c r="C2662" i="1"/>
  <c r="B2662" i="1"/>
  <c r="G2661" i="1"/>
  <c r="C2661" i="1"/>
  <c r="B2661" i="1"/>
  <c r="G2660" i="1"/>
  <c r="C2660" i="1"/>
  <c r="B2660" i="1"/>
  <c r="G2659" i="1"/>
  <c r="C2659" i="1"/>
  <c r="B2659" i="1"/>
  <c r="G2658" i="1"/>
  <c r="C2658" i="1"/>
  <c r="B2658" i="1"/>
  <c r="G2657" i="1"/>
  <c r="B2657" i="1"/>
  <c r="G2656" i="1"/>
  <c r="B2656" i="1"/>
  <c r="G2655" i="1"/>
  <c r="B2655" i="1"/>
  <c r="G2654" i="1"/>
  <c r="B2654" i="1"/>
  <c r="G2653" i="1"/>
  <c r="C2653" i="1"/>
  <c r="B2653" i="1"/>
  <c r="G2652" i="1"/>
  <c r="C2652" i="1"/>
  <c r="B2652" i="1"/>
  <c r="G2651" i="1"/>
  <c r="C2651" i="1"/>
  <c r="B2651" i="1"/>
  <c r="G2650" i="1"/>
  <c r="B2650" i="1"/>
  <c r="G2649" i="1"/>
  <c r="C2649" i="1"/>
  <c r="B2649" i="1"/>
  <c r="G2648" i="1"/>
  <c r="C2648" i="1"/>
  <c r="B2648" i="1"/>
  <c r="G2647" i="1"/>
  <c r="C2647" i="1"/>
  <c r="B2647" i="1"/>
  <c r="G2646" i="1"/>
  <c r="B2646" i="1"/>
  <c r="G2645" i="1"/>
  <c r="B2645" i="1"/>
  <c r="G2644" i="1"/>
  <c r="C2644" i="1"/>
  <c r="B2644" i="1"/>
  <c r="G2643" i="1"/>
  <c r="B2643" i="1"/>
  <c r="G2642" i="1"/>
  <c r="C2642" i="1"/>
  <c r="B2642" i="1"/>
  <c r="G2641" i="1"/>
  <c r="C2641" i="1"/>
  <c r="B2641" i="1"/>
  <c r="G2640" i="1"/>
  <c r="B2640" i="1"/>
  <c r="G2639" i="1"/>
  <c r="B2639" i="1"/>
  <c r="G2638" i="1"/>
  <c r="C2638" i="1"/>
  <c r="B2638" i="1"/>
  <c r="G2637" i="1"/>
  <c r="B2637" i="1"/>
  <c r="G2636" i="1"/>
  <c r="B2636" i="1"/>
  <c r="G2635" i="1"/>
  <c r="B2635" i="1"/>
  <c r="G2634" i="1"/>
  <c r="C2634" i="1"/>
  <c r="B2634" i="1"/>
  <c r="G2633" i="1"/>
  <c r="C2633" i="1"/>
  <c r="B2633" i="1"/>
  <c r="G2632" i="1"/>
  <c r="B2632" i="1"/>
  <c r="G2631" i="1"/>
  <c r="C2631" i="1"/>
  <c r="B2631" i="1"/>
  <c r="G2630" i="1"/>
  <c r="B2630" i="1"/>
  <c r="G2629" i="1"/>
  <c r="C2629" i="1"/>
  <c r="B2629" i="1"/>
  <c r="G2628" i="1"/>
  <c r="C2628" i="1"/>
  <c r="B2628" i="1"/>
  <c r="G2627" i="1"/>
  <c r="C2627" i="1"/>
  <c r="B2627" i="1"/>
  <c r="G2626" i="1"/>
  <c r="B2626" i="1"/>
  <c r="G2625" i="1"/>
  <c r="C2625" i="1"/>
  <c r="B2625" i="1"/>
  <c r="G2624" i="1"/>
  <c r="C2624" i="1"/>
  <c r="B2624" i="1"/>
  <c r="G2623" i="1"/>
  <c r="C2623" i="1"/>
  <c r="B2623" i="1"/>
  <c r="G2622" i="1"/>
  <c r="C2622" i="1"/>
  <c r="B2622" i="1"/>
  <c r="G2621" i="1"/>
  <c r="B2621" i="1"/>
  <c r="G2620" i="1"/>
  <c r="B2620" i="1"/>
  <c r="G2619" i="1"/>
  <c r="C2619" i="1"/>
  <c r="B2619" i="1"/>
  <c r="G2618" i="1"/>
  <c r="B2618" i="1"/>
  <c r="G2617" i="1"/>
  <c r="B2617" i="1"/>
  <c r="G2616" i="1"/>
  <c r="C2616" i="1"/>
  <c r="B2616" i="1"/>
  <c r="G2615" i="1"/>
  <c r="C2615" i="1"/>
  <c r="B2615" i="1"/>
  <c r="G2614" i="1"/>
  <c r="C2614" i="1"/>
  <c r="B2614" i="1"/>
  <c r="G2613" i="1"/>
  <c r="C2613" i="1"/>
  <c r="B2613" i="1"/>
  <c r="G2612" i="1"/>
  <c r="B2612" i="1"/>
  <c r="G2611" i="1"/>
  <c r="C2611" i="1"/>
  <c r="B2611" i="1"/>
  <c r="G2610" i="1"/>
  <c r="C2610" i="1"/>
  <c r="B2610" i="1"/>
  <c r="G2609" i="1"/>
  <c r="C2609" i="1"/>
  <c r="B2609" i="1"/>
  <c r="G2608" i="1"/>
  <c r="C2608" i="1"/>
  <c r="B2608" i="1"/>
  <c r="G2607" i="1"/>
  <c r="B2607" i="1"/>
  <c r="G2606" i="1"/>
  <c r="C2606" i="1"/>
  <c r="B2606" i="1"/>
  <c r="G2605" i="1"/>
  <c r="C2605" i="1"/>
  <c r="B2605" i="1"/>
  <c r="G2604" i="1"/>
  <c r="C2604" i="1"/>
  <c r="B2604" i="1"/>
  <c r="G2603" i="1"/>
  <c r="C2603" i="1"/>
  <c r="B2603" i="1"/>
  <c r="G2602" i="1"/>
  <c r="C2602" i="1"/>
  <c r="B2602" i="1"/>
  <c r="G2601" i="1"/>
  <c r="B2601" i="1"/>
  <c r="G2600" i="1"/>
  <c r="C2600" i="1"/>
  <c r="B2600" i="1"/>
  <c r="G2599" i="1"/>
  <c r="C2599" i="1"/>
  <c r="B2599" i="1"/>
  <c r="G2598" i="1"/>
  <c r="C2598" i="1"/>
  <c r="B2598" i="1"/>
  <c r="G2597" i="1"/>
  <c r="C2597" i="1"/>
  <c r="B2597" i="1"/>
  <c r="G2596" i="1"/>
  <c r="B2596" i="1"/>
  <c r="G2595" i="1"/>
  <c r="C2595" i="1"/>
  <c r="B2595" i="1"/>
  <c r="G2594" i="1"/>
  <c r="B2594" i="1"/>
  <c r="G2593" i="1"/>
  <c r="C2593" i="1"/>
  <c r="B2593" i="1"/>
  <c r="G2592" i="1"/>
  <c r="C2592" i="1"/>
  <c r="B2592" i="1"/>
  <c r="G2591" i="1"/>
  <c r="C2591" i="1"/>
  <c r="B2591" i="1"/>
  <c r="G2590" i="1"/>
  <c r="C2590" i="1"/>
  <c r="B2590" i="1"/>
  <c r="G2589" i="1"/>
  <c r="C2589" i="1"/>
  <c r="B2589" i="1"/>
  <c r="G2588" i="1"/>
  <c r="B2588" i="1"/>
  <c r="G2587" i="1"/>
  <c r="C2587" i="1"/>
  <c r="B2587" i="1"/>
  <c r="G2586" i="1"/>
  <c r="B2586" i="1"/>
  <c r="G2585" i="1"/>
  <c r="C2585" i="1"/>
  <c r="B2585" i="1"/>
  <c r="G2584" i="1"/>
  <c r="C2584" i="1"/>
  <c r="B2584" i="1"/>
  <c r="G2583" i="1"/>
  <c r="C2583" i="1"/>
  <c r="B2583" i="1"/>
  <c r="G2582" i="1"/>
  <c r="B2582" i="1"/>
  <c r="G2581" i="1"/>
  <c r="B2581" i="1"/>
  <c r="G2580" i="1"/>
  <c r="C2580" i="1"/>
  <c r="B2580" i="1"/>
  <c r="G2579" i="1"/>
  <c r="B2579" i="1"/>
  <c r="G2578" i="1"/>
  <c r="C2578" i="1"/>
  <c r="B2578" i="1"/>
  <c r="G2577" i="1"/>
  <c r="C2577" i="1"/>
  <c r="B2577" i="1"/>
  <c r="G2576" i="1"/>
  <c r="C2576" i="1"/>
  <c r="B2576" i="1"/>
  <c r="G2575" i="1"/>
  <c r="C2575" i="1"/>
  <c r="B2575" i="1"/>
  <c r="G2574" i="1"/>
  <c r="C2574" i="1"/>
  <c r="B2574" i="1"/>
  <c r="G2573" i="1"/>
  <c r="B2573" i="1"/>
  <c r="G2572" i="1"/>
  <c r="C2572" i="1"/>
  <c r="B2572" i="1"/>
  <c r="G2571" i="1"/>
  <c r="C2571" i="1"/>
  <c r="B2571" i="1"/>
  <c r="G2570" i="1"/>
  <c r="C2570" i="1"/>
  <c r="B2570" i="1"/>
  <c r="G2569" i="1"/>
  <c r="C2569" i="1"/>
  <c r="B2569" i="1"/>
  <c r="G2568" i="1"/>
  <c r="B2568" i="1"/>
  <c r="G2567" i="1"/>
  <c r="C2567" i="1"/>
  <c r="B2567" i="1"/>
  <c r="G2566" i="1"/>
  <c r="B2566" i="1"/>
  <c r="G2565" i="1"/>
  <c r="C2565" i="1"/>
  <c r="B2565" i="1"/>
  <c r="G2564" i="1"/>
  <c r="B2564" i="1"/>
  <c r="G2563" i="1"/>
  <c r="B2563" i="1"/>
  <c r="G2562" i="1"/>
  <c r="B2562" i="1"/>
  <c r="G2561" i="1"/>
  <c r="B2561" i="1"/>
  <c r="G2560" i="1"/>
  <c r="B2560" i="1"/>
  <c r="G2559" i="1"/>
  <c r="C2559" i="1"/>
  <c r="B2559" i="1"/>
  <c r="G2558" i="1"/>
  <c r="C2558" i="1"/>
  <c r="B2558" i="1"/>
  <c r="G2557" i="1"/>
  <c r="C2557" i="1"/>
  <c r="B2557" i="1"/>
  <c r="G2556" i="1"/>
  <c r="C2556" i="1"/>
  <c r="B2556" i="1"/>
  <c r="G2555" i="1"/>
  <c r="C2555" i="1"/>
  <c r="B2555" i="1"/>
  <c r="G2554" i="1"/>
  <c r="B2554" i="1"/>
  <c r="G2553" i="1"/>
  <c r="B2553" i="1"/>
  <c r="G2552" i="1"/>
  <c r="B2552" i="1"/>
  <c r="G2551" i="1"/>
  <c r="C2551" i="1"/>
  <c r="B2551" i="1"/>
  <c r="G2550" i="1"/>
  <c r="C2550" i="1"/>
  <c r="B2550" i="1"/>
  <c r="G2549" i="1"/>
  <c r="C2549" i="1"/>
  <c r="B2549" i="1"/>
  <c r="G2548" i="1"/>
  <c r="C2548" i="1"/>
  <c r="B2548" i="1"/>
  <c r="G2547" i="1"/>
  <c r="C2547" i="1"/>
  <c r="B2547" i="1"/>
  <c r="G2546" i="1"/>
  <c r="B2546" i="1"/>
  <c r="G2545" i="1"/>
  <c r="C2545" i="1"/>
  <c r="B2545" i="1"/>
  <c r="G2544" i="1"/>
  <c r="C2544" i="1"/>
  <c r="B2544" i="1"/>
  <c r="G2543" i="1"/>
  <c r="C2543" i="1"/>
  <c r="B2543" i="1"/>
  <c r="G2542" i="1"/>
  <c r="C2542" i="1"/>
  <c r="B2542" i="1"/>
  <c r="G2541" i="1"/>
  <c r="C2541" i="1"/>
  <c r="B2541" i="1"/>
  <c r="G2540" i="1"/>
  <c r="C2540" i="1"/>
  <c r="B2540" i="1"/>
  <c r="G2539" i="1"/>
  <c r="B2539" i="1"/>
  <c r="G2538" i="1"/>
  <c r="C2538" i="1"/>
  <c r="B2538" i="1"/>
  <c r="G2537" i="1"/>
  <c r="C2537" i="1"/>
  <c r="B2537" i="1"/>
  <c r="G2536" i="1"/>
  <c r="C2536" i="1"/>
  <c r="B2536" i="1"/>
  <c r="G2535" i="1"/>
  <c r="C2535" i="1"/>
  <c r="B2535" i="1"/>
  <c r="G2534" i="1"/>
  <c r="C2534" i="1"/>
  <c r="B2534" i="1"/>
  <c r="G2533" i="1"/>
  <c r="C2533" i="1"/>
  <c r="B2533" i="1"/>
  <c r="G2532" i="1"/>
  <c r="C2532" i="1"/>
  <c r="B2532" i="1"/>
  <c r="G2531" i="1"/>
  <c r="C2531" i="1"/>
  <c r="B2531" i="1"/>
  <c r="G2530" i="1"/>
  <c r="C2530" i="1"/>
  <c r="B2530" i="1"/>
  <c r="G2529" i="1"/>
  <c r="C2529" i="1"/>
  <c r="B2529" i="1"/>
  <c r="G2528" i="1"/>
  <c r="B2528" i="1"/>
  <c r="G2527" i="1"/>
  <c r="C2527" i="1"/>
  <c r="B2527" i="1"/>
  <c r="G2526" i="1"/>
  <c r="B2526" i="1"/>
  <c r="G2525" i="1"/>
  <c r="C2525" i="1"/>
  <c r="B2525" i="1"/>
  <c r="G2524" i="1"/>
  <c r="C2524" i="1"/>
  <c r="B2524" i="1"/>
  <c r="G2523" i="1"/>
  <c r="C2523" i="1"/>
  <c r="B2523" i="1"/>
  <c r="G2522" i="1"/>
  <c r="B2522" i="1"/>
  <c r="G2521" i="1"/>
  <c r="C2521" i="1"/>
  <c r="B2521" i="1"/>
  <c r="G2520" i="1"/>
  <c r="C2520" i="1"/>
  <c r="B2520" i="1"/>
  <c r="G2519" i="1"/>
  <c r="C2519" i="1"/>
  <c r="B2519" i="1"/>
  <c r="G2518" i="1"/>
  <c r="C2518" i="1"/>
  <c r="B2518" i="1"/>
  <c r="G2517" i="1"/>
  <c r="C2517" i="1"/>
  <c r="B2517" i="1"/>
  <c r="G2516" i="1"/>
  <c r="B2516" i="1"/>
  <c r="G2515" i="1"/>
  <c r="C2515" i="1"/>
  <c r="B2515" i="1"/>
  <c r="G2514" i="1"/>
  <c r="C2514" i="1"/>
  <c r="B2514" i="1"/>
  <c r="G2513" i="1"/>
  <c r="C2513" i="1"/>
  <c r="B2513" i="1"/>
  <c r="G2512" i="1"/>
  <c r="C2512" i="1"/>
  <c r="B2512" i="1"/>
  <c r="G2511" i="1"/>
  <c r="B2511" i="1"/>
  <c r="G2510" i="1"/>
  <c r="C2510" i="1"/>
  <c r="B2510" i="1"/>
  <c r="G2509" i="1"/>
  <c r="C2509" i="1"/>
  <c r="B2509" i="1"/>
  <c r="G2508" i="1"/>
  <c r="C2508" i="1"/>
  <c r="B2508" i="1"/>
  <c r="G2507" i="1"/>
  <c r="C2507" i="1"/>
  <c r="B2507" i="1"/>
  <c r="G2506" i="1"/>
  <c r="C2506" i="1"/>
  <c r="B2506" i="1"/>
  <c r="G2505" i="1"/>
  <c r="B2505" i="1"/>
  <c r="G2504" i="1"/>
  <c r="B2504" i="1"/>
  <c r="G2503" i="1"/>
  <c r="B2503" i="1"/>
  <c r="G2502" i="1"/>
  <c r="C2502" i="1"/>
  <c r="B2502" i="1"/>
  <c r="G2501" i="1"/>
  <c r="B2501" i="1"/>
  <c r="G2500" i="1"/>
  <c r="C2500" i="1"/>
  <c r="B2500" i="1"/>
  <c r="G2499" i="1"/>
  <c r="B2499" i="1"/>
  <c r="G2498" i="1"/>
  <c r="C2498" i="1"/>
  <c r="B2498" i="1"/>
  <c r="G2497" i="1"/>
  <c r="B2497" i="1"/>
  <c r="G2496" i="1"/>
  <c r="C2496" i="1"/>
  <c r="B2496" i="1"/>
  <c r="G2495" i="1"/>
  <c r="C2495" i="1"/>
  <c r="B2495" i="1"/>
  <c r="G2494" i="1"/>
  <c r="C2494" i="1"/>
  <c r="B2494" i="1"/>
  <c r="G2493" i="1"/>
  <c r="C2493" i="1"/>
  <c r="B2493" i="1"/>
  <c r="G2492" i="1"/>
  <c r="C2492" i="1"/>
  <c r="B2492" i="1"/>
  <c r="G2491" i="1"/>
  <c r="C2491" i="1"/>
  <c r="B2491" i="1"/>
  <c r="G2490" i="1"/>
  <c r="C2490" i="1"/>
  <c r="B2490" i="1"/>
  <c r="G2489" i="1"/>
  <c r="C2489" i="1"/>
  <c r="B2489" i="1"/>
  <c r="G2488" i="1"/>
  <c r="C2488" i="1"/>
  <c r="B2488" i="1"/>
  <c r="G2487" i="1"/>
  <c r="C2487" i="1"/>
  <c r="B2487" i="1"/>
  <c r="G2486" i="1"/>
  <c r="C2486" i="1"/>
  <c r="B2486" i="1"/>
  <c r="G2485" i="1"/>
  <c r="B2485" i="1"/>
  <c r="G2484" i="1"/>
  <c r="C2484" i="1"/>
  <c r="B2484" i="1"/>
  <c r="G2483" i="1"/>
  <c r="C2483" i="1"/>
  <c r="B2483" i="1"/>
  <c r="G2482" i="1"/>
  <c r="C2482" i="1"/>
  <c r="B2482" i="1"/>
  <c r="G2481" i="1"/>
  <c r="C2481" i="1"/>
  <c r="B2481" i="1"/>
  <c r="G2480" i="1"/>
  <c r="B2480" i="1"/>
  <c r="G2479" i="1"/>
  <c r="B2479" i="1"/>
  <c r="G2478" i="1"/>
  <c r="C2478" i="1"/>
  <c r="B2478" i="1"/>
  <c r="G2477" i="1"/>
  <c r="C2477" i="1"/>
  <c r="B2477" i="1"/>
  <c r="G2476" i="1"/>
  <c r="B2476" i="1"/>
  <c r="G2475" i="1"/>
  <c r="B2475" i="1"/>
  <c r="G2474" i="1"/>
  <c r="B2474" i="1"/>
  <c r="G2473" i="1"/>
  <c r="B2473" i="1"/>
  <c r="G2472" i="1"/>
  <c r="C2472" i="1"/>
  <c r="B2472" i="1"/>
  <c r="G2471" i="1"/>
  <c r="C2471" i="1"/>
  <c r="B2471" i="1"/>
  <c r="G2470" i="1"/>
  <c r="C2470" i="1"/>
  <c r="B2470" i="1"/>
  <c r="G2469" i="1"/>
  <c r="B2469" i="1"/>
  <c r="G2468" i="1"/>
  <c r="B2468" i="1"/>
  <c r="G2467" i="1"/>
  <c r="C2467" i="1"/>
  <c r="B2467" i="1"/>
  <c r="G2466" i="1"/>
  <c r="C2466" i="1"/>
  <c r="B2466" i="1"/>
  <c r="G2465" i="1"/>
  <c r="C2465" i="1"/>
  <c r="B2465" i="1"/>
  <c r="G2464" i="1"/>
  <c r="B2464" i="1"/>
  <c r="G2463" i="1"/>
  <c r="C2463" i="1"/>
  <c r="B2463" i="1"/>
  <c r="G2462" i="1"/>
  <c r="C2462" i="1"/>
  <c r="B2462" i="1"/>
  <c r="G2461" i="1"/>
  <c r="C2461" i="1"/>
  <c r="B2461" i="1"/>
  <c r="G2460" i="1"/>
  <c r="C2460" i="1"/>
  <c r="B2460" i="1"/>
  <c r="G2459" i="1"/>
  <c r="C2459" i="1"/>
  <c r="B2459" i="1"/>
  <c r="G2458" i="1"/>
  <c r="C2458" i="1"/>
  <c r="B2458" i="1"/>
  <c r="G2457" i="1"/>
  <c r="C2457" i="1"/>
  <c r="B2457" i="1"/>
  <c r="G2456" i="1"/>
  <c r="B2456" i="1"/>
  <c r="G2455" i="1"/>
  <c r="C2455" i="1"/>
  <c r="B2455" i="1"/>
  <c r="G2454" i="1"/>
  <c r="C2454" i="1"/>
  <c r="B2454" i="1"/>
  <c r="G2453" i="1"/>
  <c r="C2453" i="1"/>
  <c r="B2453" i="1"/>
  <c r="G2452" i="1"/>
  <c r="C2452" i="1"/>
  <c r="B2452" i="1"/>
  <c r="G2451" i="1"/>
  <c r="B2451" i="1"/>
  <c r="G2450" i="1"/>
  <c r="C2450" i="1"/>
  <c r="B2450" i="1"/>
  <c r="G2449" i="1"/>
  <c r="B2449" i="1"/>
  <c r="G2448" i="1"/>
  <c r="B2448" i="1"/>
  <c r="G2447" i="1"/>
  <c r="C2447" i="1"/>
  <c r="B2447" i="1"/>
  <c r="G2446" i="1"/>
  <c r="C2446" i="1"/>
  <c r="B2446" i="1"/>
  <c r="G2445" i="1"/>
  <c r="C2445" i="1"/>
  <c r="B2445" i="1"/>
  <c r="G2444" i="1"/>
  <c r="B2444" i="1"/>
  <c r="G2443" i="1"/>
  <c r="C2443" i="1"/>
  <c r="B2443" i="1"/>
  <c r="G2442" i="1"/>
  <c r="C2442" i="1"/>
  <c r="B2442" i="1"/>
  <c r="G2441" i="1"/>
  <c r="C2441" i="1"/>
  <c r="B2441" i="1"/>
  <c r="G2440" i="1"/>
  <c r="C2440" i="1"/>
  <c r="B2440" i="1"/>
  <c r="G2439" i="1"/>
  <c r="C2439" i="1"/>
  <c r="B2439" i="1"/>
  <c r="G2438" i="1"/>
  <c r="C2438" i="1"/>
  <c r="B2438" i="1"/>
  <c r="G2437" i="1"/>
  <c r="B2437" i="1"/>
  <c r="G2436" i="1"/>
  <c r="C2436" i="1"/>
  <c r="B2436" i="1"/>
  <c r="G2435" i="1"/>
  <c r="C2435" i="1"/>
  <c r="B2435" i="1"/>
  <c r="G2434" i="1"/>
  <c r="C2434" i="1"/>
  <c r="B2434" i="1"/>
  <c r="G2433" i="1"/>
  <c r="C2433" i="1"/>
  <c r="B2433" i="1"/>
  <c r="G2432" i="1"/>
  <c r="B2432" i="1"/>
  <c r="G2431" i="1"/>
  <c r="C2431" i="1"/>
  <c r="B2431" i="1"/>
  <c r="G2430" i="1"/>
  <c r="C2430" i="1"/>
  <c r="B2430" i="1"/>
  <c r="G2429" i="1"/>
  <c r="C2429" i="1"/>
  <c r="B2429" i="1"/>
  <c r="G2428" i="1"/>
  <c r="C2428" i="1"/>
  <c r="B2428" i="1"/>
  <c r="G2427" i="1"/>
  <c r="B2427" i="1"/>
  <c r="G2426" i="1"/>
  <c r="C2426" i="1"/>
  <c r="B2426" i="1"/>
  <c r="G2425" i="1"/>
  <c r="C2425" i="1"/>
  <c r="B2425" i="1"/>
  <c r="G2424" i="1"/>
  <c r="C2424" i="1"/>
  <c r="B2424" i="1"/>
  <c r="G2423" i="1"/>
  <c r="C2423" i="1"/>
  <c r="B2423" i="1"/>
  <c r="G2422" i="1"/>
  <c r="B2422" i="1"/>
  <c r="G2421" i="1"/>
  <c r="C2421" i="1"/>
  <c r="B2421" i="1"/>
  <c r="G2420" i="1"/>
  <c r="C2420" i="1"/>
  <c r="B2420" i="1"/>
  <c r="G2419" i="1"/>
  <c r="B2419" i="1"/>
  <c r="G2418" i="1"/>
  <c r="B2418" i="1"/>
  <c r="G2417" i="1"/>
  <c r="C2417" i="1"/>
  <c r="B2417" i="1"/>
  <c r="G2416" i="1"/>
  <c r="C2416" i="1"/>
  <c r="B2416" i="1"/>
  <c r="G2415" i="1"/>
  <c r="B2415" i="1"/>
  <c r="G2414" i="1"/>
  <c r="C2414" i="1"/>
  <c r="B2414" i="1"/>
  <c r="G2413" i="1"/>
  <c r="C2413" i="1"/>
  <c r="B2413" i="1"/>
  <c r="G2412" i="1"/>
  <c r="C2412" i="1"/>
  <c r="B2412" i="1"/>
  <c r="G2411" i="1"/>
  <c r="C2411" i="1"/>
  <c r="B2411" i="1"/>
  <c r="G2410" i="1"/>
  <c r="C2410" i="1"/>
  <c r="B2410" i="1"/>
  <c r="G2409" i="1"/>
  <c r="C2409" i="1"/>
  <c r="B2409" i="1"/>
  <c r="G2408" i="1"/>
  <c r="C2408" i="1"/>
  <c r="B2408" i="1"/>
  <c r="G2407" i="1"/>
  <c r="C2407" i="1"/>
  <c r="B2407" i="1"/>
  <c r="G2406" i="1"/>
  <c r="C2406" i="1"/>
  <c r="B2406" i="1"/>
  <c r="G2405" i="1"/>
  <c r="B2405" i="1"/>
  <c r="G2404" i="1"/>
  <c r="C2404" i="1"/>
  <c r="B2404" i="1"/>
  <c r="G2403" i="1"/>
  <c r="C2403" i="1"/>
  <c r="B2403" i="1"/>
  <c r="G2402" i="1"/>
  <c r="B2402" i="1"/>
  <c r="G2401" i="1"/>
  <c r="C2401" i="1"/>
  <c r="B2401" i="1"/>
  <c r="G2400" i="1"/>
  <c r="B2400" i="1"/>
  <c r="G2399" i="1"/>
  <c r="C2399" i="1"/>
  <c r="B2399" i="1"/>
  <c r="G2398" i="1"/>
  <c r="C2398" i="1"/>
  <c r="B2398" i="1"/>
  <c r="G2397" i="1"/>
  <c r="C2397" i="1"/>
  <c r="B2397" i="1"/>
  <c r="G2396" i="1"/>
  <c r="B2396" i="1"/>
  <c r="G2395" i="1"/>
  <c r="C2395" i="1"/>
  <c r="B2395" i="1"/>
  <c r="G2394" i="1"/>
  <c r="C2394" i="1"/>
  <c r="B2394" i="1"/>
  <c r="G2393" i="1"/>
  <c r="C2393" i="1"/>
  <c r="B2393" i="1"/>
  <c r="G2392" i="1"/>
  <c r="C2392" i="1"/>
  <c r="B2392" i="1"/>
  <c r="G2391" i="1"/>
  <c r="C2391" i="1"/>
  <c r="B2391" i="1"/>
  <c r="G2390" i="1"/>
  <c r="C2390" i="1"/>
  <c r="B2390" i="1"/>
  <c r="G2389" i="1"/>
  <c r="C2389" i="1"/>
  <c r="B2389" i="1"/>
  <c r="G2388" i="1"/>
  <c r="C2388" i="1"/>
  <c r="B2388" i="1"/>
  <c r="G2387" i="1"/>
  <c r="C2387" i="1"/>
  <c r="B2387" i="1"/>
  <c r="G2386" i="1"/>
  <c r="C2386" i="1"/>
  <c r="B2386" i="1"/>
  <c r="G2385" i="1"/>
  <c r="C2385" i="1"/>
  <c r="B2385" i="1"/>
  <c r="G2384" i="1"/>
  <c r="C2384" i="1"/>
  <c r="B2384" i="1"/>
  <c r="G2383" i="1"/>
  <c r="C2383" i="1"/>
  <c r="B2383" i="1"/>
  <c r="G2382" i="1"/>
  <c r="C2382" i="1"/>
  <c r="B2382" i="1"/>
  <c r="G2381" i="1"/>
  <c r="C2381" i="1"/>
  <c r="B2381" i="1"/>
  <c r="G2380" i="1"/>
  <c r="C2380" i="1"/>
  <c r="B2380" i="1"/>
  <c r="G2379" i="1"/>
  <c r="B2379" i="1"/>
  <c r="G2378" i="1"/>
  <c r="B2378" i="1"/>
  <c r="G2377" i="1"/>
  <c r="B2377" i="1"/>
  <c r="G2376" i="1"/>
  <c r="C2376" i="1"/>
  <c r="B2376" i="1"/>
  <c r="G2375" i="1"/>
  <c r="B2375" i="1"/>
  <c r="G2374" i="1"/>
  <c r="C2374" i="1"/>
  <c r="B2374" i="1"/>
  <c r="G2373" i="1"/>
  <c r="C2373" i="1"/>
  <c r="B2373" i="1"/>
  <c r="G2372" i="1"/>
  <c r="C2372" i="1"/>
  <c r="B2372" i="1"/>
  <c r="G2371" i="1"/>
  <c r="C2371" i="1"/>
  <c r="B2371" i="1"/>
  <c r="G2370" i="1"/>
  <c r="C2370" i="1"/>
  <c r="B2370" i="1"/>
  <c r="G2369" i="1"/>
  <c r="C2369" i="1"/>
  <c r="B2369" i="1"/>
  <c r="G2368" i="1"/>
  <c r="C2368" i="1"/>
  <c r="B2368" i="1"/>
  <c r="G2367" i="1"/>
  <c r="C2367" i="1"/>
  <c r="B2367" i="1"/>
  <c r="G2366" i="1"/>
  <c r="C2366" i="1"/>
  <c r="B2366" i="1"/>
  <c r="G2365" i="1"/>
  <c r="B2365" i="1"/>
  <c r="G2364" i="1"/>
  <c r="C2364" i="1"/>
  <c r="B2364" i="1"/>
  <c r="G2363" i="1"/>
  <c r="B2363" i="1"/>
  <c r="G2362" i="1"/>
  <c r="B2362" i="1"/>
  <c r="G2361" i="1"/>
  <c r="C2361" i="1"/>
  <c r="B2361" i="1"/>
  <c r="G2360" i="1"/>
  <c r="C2360" i="1"/>
  <c r="B2360" i="1"/>
  <c r="G2359" i="1"/>
  <c r="C2359" i="1"/>
  <c r="B2359" i="1"/>
  <c r="G2358" i="1"/>
  <c r="C2358" i="1"/>
  <c r="B2358" i="1"/>
  <c r="G2357" i="1"/>
  <c r="B2357" i="1"/>
  <c r="G2356" i="1"/>
  <c r="C2356" i="1"/>
  <c r="B2356" i="1"/>
  <c r="G2355" i="1"/>
  <c r="B2355" i="1"/>
  <c r="G2354" i="1"/>
  <c r="C2354" i="1"/>
  <c r="B2354" i="1"/>
  <c r="G2353" i="1"/>
  <c r="B2353" i="1"/>
  <c r="G2352" i="1"/>
  <c r="B2352" i="1"/>
  <c r="G2351" i="1"/>
  <c r="C2351" i="1"/>
  <c r="B2351" i="1"/>
  <c r="G2350" i="1"/>
  <c r="C2350" i="1"/>
  <c r="B2350" i="1"/>
  <c r="G2349" i="1"/>
  <c r="B2349" i="1"/>
  <c r="G2348" i="1"/>
  <c r="C2348" i="1"/>
  <c r="B2348" i="1"/>
  <c r="G2347" i="1"/>
  <c r="B2347" i="1"/>
  <c r="G2346" i="1"/>
  <c r="C2346" i="1"/>
  <c r="B2346" i="1"/>
  <c r="G2345" i="1"/>
  <c r="C2345" i="1"/>
  <c r="B2345" i="1"/>
  <c r="G2344" i="1"/>
  <c r="C2344" i="1"/>
  <c r="B2344" i="1"/>
  <c r="G2343" i="1"/>
  <c r="C2343" i="1"/>
  <c r="B2343" i="1"/>
  <c r="G2342" i="1"/>
  <c r="C2342" i="1"/>
  <c r="B2342" i="1"/>
  <c r="G2341" i="1"/>
  <c r="C2341" i="1"/>
  <c r="B2341" i="1"/>
  <c r="G2340" i="1"/>
  <c r="B2340" i="1"/>
  <c r="G2339" i="1"/>
  <c r="C2339" i="1"/>
  <c r="B2339" i="1"/>
  <c r="G2338" i="1"/>
  <c r="C2338" i="1"/>
  <c r="B2338" i="1"/>
  <c r="G2337" i="1"/>
  <c r="C2337" i="1"/>
  <c r="B2337" i="1"/>
  <c r="G2336" i="1"/>
  <c r="C2336" i="1"/>
  <c r="B2336" i="1"/>
  <c r="G2335" i="1"/>
  <c r="C2335" i="1"/>
  <c r="B2335" i="1"/>
  <c r="G2334" i="1"/>
  <c r="C2334" i="1"/>
  <c r="B2334" i="1"/>
  <c r="G2333" i="1"/>
  <c r="C2333" i="1"/>
  <c r="B2333" i="1"/>
  <c r="G2332" i="1"/>
  <c r="C2332" i="1"/>
  <c r="B2332" i="1"/>
  <c r="G2331" i="1"/>
  <c r="B2331" i="1"/>
  <c r="G2330" i="1"/>
  <c r="B2330" i="1"/>
  <c r="G2329" i="1"/>
  <c r="B2329" i="1"/>
  <c r="G2328" i="1"/>
  <c r="B2328" i="1"/>
  <c r="G2327" i="1"/>
  <c r="C2327" i="1"/>
  <c r="B2327" i="1"/>
  <c r="G2326" i="1"/>
  <c r="C2326" i="1"/>
  <c r="B2326" i="1"/>
  <c r="G2325" i="1"/>
  <c r="C2325" i="1"/>
  <c r="B2325" i="1"/>
  <c r="G2324" i="1"/>
  <c r="B2324" i="1"/>
  <c r="G2323" i="1"/>
  <c r="C2323" i="1"/>
  <c r="B2323" i="1"/>
  <c r="G2322" i="1"/>
  <c r="C2322" i="1"/>
  <c r="B2322" i="1"/>
  <c r="G2321" i="1"/>
  <c r="C2321" i="1"/>
  <c r="B2321" i="1"/>
  <c r="G2320" i="1"/>
  <c r="C2320" i="1"/>
  <c r="B2320" i="1"/>
  <c r="G2319" i="1"/>
  <c r="B2319" i="1"/>
  <c r="G2318" i="1"/>
  <c r="C2318" i="1"/>
  <c r="B2318" i="1"/>
  <c r="G2317" i="1"/>
  <c r="B2317" i="1"/>
  <c r="G2316" i="1"/>
  <c r="C2316" i="1"/>
  <c r="B2316" i="1"/>
  <c r="G2315" i="1"/>
  <c r="B2315" i="1"/>
  <c r="G2314" i="1"/>
  <c r="C2314" i="1"/>
  <c r="B2314" i="1"/>
  <c r="G2313" i="1"/>
  <c r="C2313" i="1"/>
  <c r="B2313" i="1"/>
  <c r="G2312" i="1"/>
  <c r="B2312" i="1"/>
  <c r="G2311" i="1"/>
  <c r="C2311" i="1"/>
  <c r="B2311" i="1"/>
  <c r="G2310" i="1"/>
  <c r="C2310" i="1"/>
  <c r="B2310" i="1"/>
  <c r="G2309" i="1"/>
  <c r="C2309" i="1"/>
  <c r="B2309" i="1"/>
  <c r="G2308" i="1"/>
  <c r="C2308" i="1"/>
  <c r="B2308" i="1"/>
  <c r="G2307" i="1"/>
  <c r="C2307" i="1"/>
  <c r="B2307" i="1"/>
  <c r="G2306" i="1"/>
  <c r="C2306" i="1"/>
  <c r="B2306" i="1"/>
  <c r="G2305" i="1"/>
  <c r="C2305" i="1"/>
  <c r="B2305" i="1"/>
  <c r="G2304" i="1"/>
  <c r="C2304" i="1"/>
  <c r="B2304" i="1"/>
  <c r="G2303" i="1"/>
  <c r="C2303" i="1"/>
  <c r="B2303" i="1"/>
  <c r="G2302" i="1"/>
  <c r="C2302" i="1"/>
  <c r="B2302" i="1"/>
  <c r="G2301" i="1"/>
  <c r="C2301" i="1"/>
  <c r="B2301" i="1"/>
  <c r="G2300" i="1"/>
  <c r="C2300" i="1"/>
  <c r="B2300" i="1"/>
  <c r="G2299" i="1"/>
  <c r="C2299" i="1"/>
  <c r="B2299" i="1"/>
  <c r="G2298" i="1"/>
  <c r="C2298" i="1"/>
  <c r="B2298" i="1"/>
  <c r="G2297" i="1"/>
  <c r="C2297" i="1"/>
  <c r="B2297" i="1"/>
  <c r="G2296" i="1"/>
  <c r="C2296" i="1"/>
  <c r="B2296" i="1"/>
  <c r="G2295" i="1"/>
  <c r="C2295" i="1"/>
  <c r="B2295" i="1"/>
  <c r="G2294" i="1"/>
  <c r="C2294" i="1"/>
  <c r="B2294" i="1"/>
  <c r="G2293" i="1"/>
  <c r="C2293" i="1"/>
  <c r="B2293" i="1"/>
  <c r="G2292" i="1"/>
  <c r="C2292" i="1"/>
  <c r="B2292" i="1"/>
  <c r="G2291" i="1"/>
  <c r="B2291" i="1"/>
  <c r="G2290" i="1"/>
  <c r="C2290" i="1"/>
  <c r="B2290" i="1"/>
  <c r="G2289" i="1"/>
  <c r="B2289" i="1"/>
  <c r="G2288" i="1"/>
  <c r="C2288" i="1"/>
  <c r="B2288" i="1"/>
  <c r="G2287" i="1"/>
  <c r="C2287" i="1"/>
  <c r="B2287" i="1"/>
  <c r="G2286" i="1"/>
  <c r="B2286" i="1"/>
  <c r="G2285" i="1"/>
  <c r="B2285" i="1"/>
  <c r="G2284" i="1"/>
  <c r="C2284" i="1"/>
  <c r="B2284" i="1"/>
  <c r="G2283" i="1"/>
  <c r="B2283" i="1"/>
  <c r="G2282" i="1"/>
  <c r="C2282" i="1"/>
  <c r="B2282" i="1"/>
  <c r="G2281" i="1"/>
  <c r="B2281" i="1"/>
  <c r="G2280" i="1"/>
  <c r="C2280" i="1"/>
  <c r="B2280" i="1"/>
  <c r="G2279" i="1"/>
  <c r="C2279" i="1"/>
  <c r="B2279" i="1"/>
  <c r="G2278" i="1"/>
  <c r="C2278" i="1"/>
  <c r="B2278" i="1"/>
  <c r="G2277" i="1"/>
  <c r="C2277" i="1"/>
  <c r="B2277" i="1"/>
  <c r="G2276" i="1"/>
  <c r="C2276" i="1"/>
  <c r="B2276" i="1"/>
  <c r="G2275" i="1"/>
  <c r="B2275" i="1"/>
  <c r="G2274" i="1"/>
  <c r="B2274" i="1"/>
  <c r="G2273" i="1"/>
  <c r="C2273" i="1"/>
  <c r="B2273" i="1"/>
  <c r="G2272" i="1"/>
  <c r="C2272" i="1"/>
  <c r="B2272" i="1"/>
  <c r="G2271" i="1"/>
  <c r="B2271" i="1"/>
  <c r="G2270" i="1"/>
  <c r="B2270" i="1"/>
  <c r="G2269" i="1"/>
  <c r="B2269" i="1"/>
  <c r="G2268" i="1"/>
  <c r="B2268" i="1"/>
  <c r="G2267" i="1"/>
  <c r="B2267" i="1"/>
  <c r="G2266" i="1"/>
  <c r="C2266" i="1"/>
  <c r="B2266" i="1"/>
  <c r="G2265" i="1"/>
  <c r="C2265" i="1"/>
  <c r="B2265" i="1"/>
  <c r="G2264" i="1"/>
  <c r="C2264" i="1"/>
  <c r="B2264" i="1"/>
  <c r="G2263" i="1"/>
  <c r="C2263" i="1"/>
  <c r="B2263" i="1"/>
  <c r="G2262" i="1"/>
  <c r="C2262" i="1"/>
  <c r="B2262" i="1"/>
  <c r="G2261" i="1"/>
  <c r="B2261" i="1"/>
  <c r="G2260" i="1"/>
  <c r="C2260" i="1"/>
  <c r="B2260" i="1"/>
  <c r="G2259" i="1"/>
  <c r="C2259" i="1"/>
  <c r="B2259" i="1"/>
  <c r="G2258" i="1"/>
  <c r="C2258" i="1"/>
  <c r="B2258" i="1"/>
  <c r="G2257" i="1"/>
  <c r="B2257" i="1"/>
  <c r="G2256" i="1"/>
  <c r="C2256" i="1"/>
  <c r="B2256" i="1"/>
  <c r="G2255" i="1"/>
  <c r="B2255" i="1"/>
  <c r="G2254" i="1"/>
  <c r="C2254" i="1"/>
  <c r="B2254" i="1"/>
  <c r="G2253" i="1"/>
  <c r="B2253" i="1"/>
  <c r="G2252" i="1"/>
  <c r="B2252" i="1"/>
  <c r="G2251" i="1"/>
  <c r="C2251" i="1"/>
  <c r="B2251" i="1"/>
  <c r="G2250" i="1"/>
  <c r="C2250" i="1"/>
  <c r="B2250" i="1"/>
  <c r="G2249" i="1"/>
  <c r="C2249" i="1"/>
  <c r="B2249" i="1"/>
  <c r="G2248" i="1"/>
  <c r="C2248" i="1"/>
  <c r="B2248" i="1"/>
  <c r="G2247" i="1"/>
  <c r="B2247" i="1"/>
  <c r="G2246" i="1"/>
  <c r="C2246" i="1"/>
  <c r="B2246" i="1"/>
  <c r="G2245" i="1"/>
  <c r="C2245" i="1"/>
  <c r="B2245" i="1"/>
  <c r="G2244" i="1"/>
  <c r="C2244" i="1"/>
  <c r="B2244" i="1"/>
  <c r="G2243" i="1"/>
  <c r="C2243" i="1"/>
  <c r="B2243" i="1"/>
  <c r="G2242" i="1"/>
  <c r="C2242" i="1"/>
  <c r="B2242" i="1"/>
  <c r="G2241" i="1"/>
  <c r="C2241" i="1"/>
  <c r="B2241" i="1"/>
  <c r="G2240" i="1"/>
  <c r="C2240" i="1"/>
  <c r="B2240" i="1"/>
  <c r="G2239" i="1"/>
  <c r="B2239" i="1"/>
  <c r="G2238" i="1"/>
  <c r="B2238" i="1"/>
  <c r="G2237" i="1"/>
  <c r="B2237" i="1"/>
  <c r="G2236" i="1"/>
  <c r="C2236" i="1"/>
  <c r="B2236" i="1"/>
  <c r="G2235" i="1"/>
  <c r="C2235" i="1"/>
  <c r="B2235" i="1"/>
  <c r="G2234" i="1"/>
  <c r="C2234" i="1"/>
  <c r="B2234" i="1"/>
  <c r="G2233" i="1"/>
  <c r="C2233" i="1"/>
  <c r="B2233" i="1"/>
  <c r="G2232" i="1"/>
  <c r="B2232" i="1"/>
  <c r="G2231" i="1"/>
  <c r="B2231" i="1"/>
  <c r="G2230" i="1"/>
  <c r="C2230" i="1"/>
  <c r="B2230" i="1"/>
  <c r="G2229" i="1"/>
  <c r="B2229" i="1"/>
  <c r="G2228" i="1"/>
  <c r="C2228" i="1"/>
  <c r="B2228" i="1"/>
  <c r="G2227" i="1"/>
  <c r="B2227" i="1"/>
  <c r="G2226" i="1"/>
  <c r="C2226" i="1"/>
  <c r="B2226" i="1"/>
  <c r="G2225" i="1"/>
  <c r="C2225" i="1"/>
  <c r="B2225" i="1"/>
  <c r="G2224" i="1"/>
  <c r="C2224" i="1"/>
  <c r="B2224" i="1"/>
  <c r="G2223" i="1"/>
  <c r="C2223" i="1"/>
  <c r="B2223" i="1"/>
  <c r="G2222" i="1"/>
  <c r="C2222" i="1"/>
  <c r="B2222" i="1"/>
  <c r="G2221" i="1"/>
  <c r="C2221" i="1"/>
  <c r="B2221" i="1"/>
  <c r="G2220" i="1"/>
  <c r="C2220" i="1"/>
  <c r="B2220" i="1"/>
  <c r="G2219" i="1"/>
  <c r="C2219" i="1"/>
  <c r="B2219" i="1"/>
  <c r="G2218" i="1"/>
  <c r="C2218" i="1"/>
  <c r="B2218" i="1"/>
  <c r="G2217" i="1"/>
  <c r="B2217" i="1"/>
  <c r="G2216" i="1"/>
  <c r="C2216" i="1"/>
  <c r="B2216" i="1"/>
  <c r="G2215" i="1"/>
  <c r="B2215" i="1"/>
  <c r="G2214" i="1"/>
  <c r="C2214" i="1"/>
  <c r="B2214" i="1"/>
  <c r="G2213" i="1"/>
  <c r="C2213" i="1"/>
  <c r="B2213" i="1"/>
  <c r="G2212" i="1"/>
  <c r="C2212" i="1"/>
  <c r="B2212" i="1"/>
  <c r="G2211" i="1"/>
  <c r="C2211" i="1"/>
  <c r="B2211" i="1"/>
  <c r="G2210" i="1"/>
  <c r="B2210" i="1"/>
  <c r="G2209" i="1"/>
  <c r="C2209" i="1"/>
  <c r="B2209" i="1"/>
  <c r="G2208" i="1"/>
  <c r="B2208" i="1"/>
  <c r="G2207" i="1"/>
  <c r="C2207" i="1"/>
  <c r="B2207" i="1"/>
  <c r="G2206" i="1"/>
  <c r="C2206" i="1"/>
  <c r="B2206" i="1"/>
  <c r="G2205" i="1"/>
  <c r="C2205" i="1"/>
  <c r="B2205" i="1"/>
  <c r="G2204" i="1"/>
  <c r="C2204" i="1"/>
  <c r="B2204" i="1"/>
  <c r="G2203" i="1"/>
  <c r="C2203" i="1"/>
  <c r="B2203" i="1"/>
  <c r="G2202" i="1"/>
  <c r="B2202" i="1"/>
  <c r="G2201" i="1"/>
  <c r="B2201" i="1"/>
  <c r="G2200" i="1"/>
  <c r="C2200" i="1"/>
  <c r="B2200" i="1"/>
  <c r="G2199" i="1"/>
  <c r="C2199" i="1"/>
  <c r="B2199" i="1"/>
  <c r="G2198" i="1"/>
  <c r="C2198" i="1"/>
  <c r="B2198" i="1"/>
  <c r="G2197" i="1"/>
  <c r="C2197" i="1"/>
  <c r="B2197" i="1"/>
  <c r="G2196" i="1"/>
  <c r="C2196" i="1"/>
  <c r="B2196" i="1"/>
  <c r="G2195" i="1"/>
  <c r="C2195" i="1"/>
  <c r="B2195" i="1"/>
  <c r="G2194" i="1"/>
  <c r="C2194" i="1"/>
  <c r="B2194" i="1"/>
  <c r="G2193" i="1"/>
  <c r="C2193" i="1"/>
  <c r="B2193" i="1"/>
  <c r="G2192" i="1"/>
  <c r="C2192" i="1"/>
  <c r="B2192" i="1"/>
  <c r="G2191" i="1"/>
  <c r="C2191" i="1"/>
  <c r="B2191" i="1"/>
  <c r="G2190" i="1"/>
  <c r="C2190" i="1"/>
  <c r="B2190" i="1"/>
  <c r="G2189" i="1"/>
  <c r="C2189" i="1"/>
  <c r="B2189" i="1"/>
  <c r="G2188" i="1"/>
  <c r="C2188" i="1"/>
  <c r="B2188" i="1"/>
  <c r="G2187" i="1"/>
  <c r="B2187" i="1"/>
  <c r="G2186" i="1"/>
  <c r="C2186" i="1"/>
  <c r="B2186" i="1"/>
  <c r="G2185" i="1"/>
  <c r="B2185" i="1"/>
  <c r="G2184" i="1"/>
  <c r="B2184" i="1"/>
  <c r="G2183" i="1"/>
  <c r="C2183" i="1"/>
  <c r="B2183" i="1"/>
  <c r="G2182" i="1"/>
  <c r="C2182" i="1"/>
  <c r="B2182" i="1"/>
  <c r="G2181" i="1"/>
  <c r="B2181" i="1"/>
  <c r="G2180" i="1"/>
  <c r="C2180" i="1"/>
  <c r="B2180" i="1"/>
  <c r="G2179" i="1"/>
  <c r="B2179" i="1"/>
  <c r="G2178" i="1"/>
  <c r="B2178" i="1"/>
  <c r="G2177" i="1"/>
  <c r="B2177" i="1"/>
  <c r="G2176" i="1"/>
  <c r="C2176" i="1"/>
  <c r="B2176" i="1"/>
  <c r="G2175" i="1"/>
  <c r="C2175" i="1"/>
  <c r="B2175" i="1"/>
  <c r="G2174" i="1"/>
  <c r="C2174" i="1"/>
  <c r="B2174" i="1"/>
  <c r="G2173" i="1"/>
  <c r="C2173" i="1"/>
  <c r="B2173" i="1"/>
  <c r="G2172" i="1"/>
  <c r="C2172" i="1"/>
  <c r="B2172" i="1"/>
  <c r="G2171" i="1"/>
  <c r="C2171" i="1"/>
  <c r="B2171" i="1"/>
  <c r="G2170" i="1"/>
  <c r="C2170" i="1"/>
  <c r="B2170" i="1"/>
  <c r="G2169" i="1"/>
  <c r="B2169" i="1"/>
  <c r="G2168" i="1"/>
  <c r="C2168" i="1"/>
  <c r="B2168" i="1"/>
  <c r="G2167" i="1"/>
  <c r="C2167" i="1"/>
  <c r="B2167" i="1"/>
  <c r="G2166" i="1"/>
  <c r="C2166" i="1"/>
  <c r="B2166" i="1"/>
  <c r="G2165" i="1"/>
  <c r="B2165" i="1"/>
  <c r="G2164" i="1"/>
  <c r="C2164" i="1"/>
  <c r="B2164" i="1"/>
  <c r="G2163" i="1"/>
  <c r="C2163" i="1"/>
  <c r="B2163" i="1"/>
  <c r="G2162" i="1"/>
  <c r="C2162" i="1"/>
  <c r="B2162" i="1"/>
  <c r="G2161" i="1"/>
  <c r="C2161" i="1"/>
  <c r="B2161" i="1"/>
  <c r="G2160" i="1"/>
  <c r="C2160" i="1"/>
  <c r="B2160" i="1"/>
  <c r="G2159" i="1"/>
  <c r="B2159" i="1"/>
  <c r="G2158" i="1"/>
  <c r="C2158" i="1"/>
  <c r="B2158" i="1"/>
  <c r="G2157" i="1"/>
  <c r="C2157" i="1"/>
  <c r="B2157" i="1"/>
  <c r="G2156" i="1"/>
  <c r="C2156" i="1"/>
  <c r="B2156" i="1"/>
  <c r="G2155" i="1"/>
  <c r="C2155" i="1"/>
  <c r="B2155" i="1"/>
  <c r="G2154" i="1"/>
  <c r="B2154" i="1"/>
  <c r="G2153" i="1"/>
  <c r="C2153" i="1"/>
  <c r="B2153" i="1"/>
  <c r="G2152" i="1"/>
  <c r="C2152" i="1"/>
  <c r="B2152" i="1"/>
  <c r="G2151" i="1"/>
  <c r="C2151" i="1"/>
  <c r="B2151" i="1"/>
  <c r="G2150" i="1"/>
  <c r="C2150" i="1"/>
  <c r="B2150" i="1"/>
  <c r="G2149" i="1"/>
  <c r="C2149" i="1"/>
  <c r="B2149" i="1"/>
  <c r="G2148" i="1"/>
  <c r="C2148" i="1"/>
  <c r="B2148" i="1"/>
  <c r="G2147" i="1"/>
  <c r="C2147" i="1"/>
  <c r="B2147" i="1"/>
  <c r="G2146" i="1"/>
  <c r="C2146" i="1"/>
  <c r="B2146" i="1"/>
  <c r="G2145" i="1"/>
  <c r="B2145" i="1"/>
  <c r="G2144" i="1"/>
  <c r="C2144" i="1"/>
  <c r="B2144" i="1"/>
  <c r="G2143" i="1"/>
  <c r="C2143" i="1"/>
  <c r="B2143" i="1"/>
  <c r="G2142" i="1"/>
  <c r="C2142" i="1"/>
  <c r="B2142" i="1"/>
  <c r="G2141" i="1"/>
  <c r="B2141" i="1"/>
  <c r="G2140" i="1"/>
  <c r="B2140" i="1"/>
  <c r="G2139" i="1"/>
  <c r="C2139" i="1"/>
  <c r="B2139" i="1"/>
  <c r="G2138" i="1"/>
  <c r="C2138" i="1"/>
  <c r="B2138" i="1"/>
  <c r="G2137" i="1"/>
  <c r="B2137" i="1"/>
  <c r="G2136" i="1"/>
  <c r="C2136" i="1"/>
  <c r="B2136" i="1"/>
  <c r="G2135" i="1"/>
  <c r="C2135" i="1"/>
  <c r="B2135" i="1"/>
  <c r="G2134" i="1"/>
  <c r="C2134" i="1"/>
  <c r="B2134" i="1"/>
  <c r="G2133" i="1"/>
  <c r="C2133" i="1"/>
  <c r="B2133" i="1"/>
  <c r="G2132" i="1"/>
  <c r="C2132" i="1"/>
  <c r="B2132" i="1"/>
  <c r="G2131" i="1"/>
  <c r="C2131" i="1"/>
  <c r="B2131" i="1"/>
  <c r="G2130" i="1"/>
  <c r="C2130" i="1"/>
  <c r="B2130" i="1"/>
  <c r="G2129" i="1"/>
  <c r="C2129" i="1"/>
  <c r="B2129" i="1"/>
  <c r="G2128" i="1"/>
  <c r="B2128" i="1"/>
  <c r="G2127" i="1"/>
  <c r="C2127" i="1"/>
  <c r="B2127" i="1"/>
  <c r="G2126" i="1"/>
  <c r="C2126" i="1"/>
  <c r="B2126" i="1"/>
  <c r="G2125" i="1"/>
  <c r="B2125" i="1"/>
  <c r="G2124" i="1"/>
  <c r="C2124" i="1"/>
  <c r="B2124" i="1"/>
  <c r="G2123" i="1"/>
  <c r="C2123" i="1"/>
  <c r="B2123" i="1"/>
  <c r="G2122" i="1"/>
  <c r="C2122" i="1"/>
  <c r="B2122" i="1"/>
  <c r="G2121" i="1"/>
  <c r="C2121" i="1"/>
  <c r="B2121" i="1"/>
  <c r="G2120" i="1"/>
  <c r="C2120" i="1"/>
  <c r="B2120" i="1"/>
  <c r="G2119" i="1"/>
  <c r="B2119" i="1"/>
  <c r="G2118" i="1"/>
  <c r="C2118" i="1"/>
  <c r="B2118" i="1"/>
  <c r="G2117" i="1"/>
  <c r="B2117" i="1"/>
  <c r="G2116" i="1"/>
  <c r="C2116" i="1"/>
  <c r="B2116" i="1"/>
  <c r="G2115" i="1"/>
  <c r="B2115" i="1"/>
  <c r="G2114" i="1"/>
  <c r="C2114" i="1"/>
  <c r="B2114" i="1"/>
  <c r="G2113" i="1"/>
  <c r="C2113" i="1"/>
  <c r="B2113" i="1"/>
  <c r="G2112" i="1"/>
  <c r="B2112" i="1"/>
  <c r="G2111" i="1"/>
  <c r="B2111" i="1"/>
  <c r="G2110" i="1"/>
  <c r="C2110" i="1"/>
  <c r="B2110" i="1"/>
  <c r="G2109" i="1"/>
  <c r="B2109" i="1"/>
  <c r="G2108" i="1"/>
  <c r="B2108" i="1"/>
  <c r="G2107" i="1"/>
  <c r="B2107" i="1"/>
  <c r="G2106" i="1"/>
  <c r="C2106" i="1"/>
  <c r="B2106" i="1"/>
  <c r="G2105" i="1"/>
  <c r="C2105" i="1"/>
  <c r="B2105" i="1"/>
  <c r="G2104" i="1"/>
  <c r="C2104" i="1"/>
  <c r="B2104" i="1"/>
  <c r="G2103" i="1"/>
  <c r="C2103" i="1"/>
  <c r="B2103" i="1"/>
  <c r="G2102" i="1"/>
  <c r="C2102" i="1"/>
  <c r="B2102" i="1"/>
  <c r="G2101" i="1"/>
  <c r="C2101" i="1"/>
  <c r="B2101" i="1"/>
  <c r="G2100" i="1"/>
  <c r="C2100" i="1"/>
  <c r="B2100" i="1"/>
  <c r="G2099" i="1"/>
  <c r="C2099" i="1"/>
  <c r="B2099" i="1"/>
  <c r="G2098" i="1"/>
  <c r="C2098" i="1"/>
  <c r="B2098" i="1"/>
  <c r="G2097" i="1"/>
  <c r="C2097" i="1"/>
  <c r="B2097" i="1"/>
  <c r="G2096" i="1"/>
  <c r="C2096" i="1"/>
  <c r="B2096" i="1"/>
  <c r="G2095" i="1"/>
  <c r="C2095" i="1"/>
  <c r="B2095" i="1"/>
  <c r="G2094" i="1"/>
  <c r="C2094" i="1"/>
  <c r="B2094" i="1"/>
  <c r="G2093" i="1"/>
  <c r="C2093" i="1"/>
  <c r="B2093" i="1"/>
  <c r="G2092" i="1"/>
  <c r="B2092" i="1"/>
  <c r="G2091" i="1"/>
  <c r="C2091" i="1"/>
  <c r="B2091" i="1"/>
  <c r="G2090" i="1"/>
  <c r="C2090" i="1"/>
  <c r="B2090" i="1"/>
  <c r="G2089" i="1"/>
  <c r="C2089" i="1"/>
  <c r="B2089" i="1"/>
  <c r="G2088" i="1"/>
  <c r="C2088" i="1"/>
  <c r="B2088" i="1"/>
  <c r="G2087" i="1"/>
  <c r="C2087" i="1"/>
  <c r="B2087" i="1"/>
  <c r="G2086" i="1"/>
  <c r="C2086" i="1"/>
  <c r="B2086" i="1"/>
  <c r="G2085" i="1"/>
  <c r="C2085" i="1"/>
  <c r="B2085" i="1"/>
  <c r="G2084" i="1"/>
  <c r="C2084" i="1"/>
  <c r="B2084" i="1"/>
  <c r="G2083" i="1"/>
  <c r="C2083" i="1"/>
  <c r="B2083" i="1"/>
  <c r="G2082" i="1"/>
  <c r="C2082" i="1"/>
  <c r="B2082" i="1"/>
  <c r="G2081" i="1"/>
  <c r="C2081" i="1"/>
  <c r="B2081" i="1"/>
  <c r="G2080" i="1"/>
  <c r="C2080" i="1"/>
  <c r="B2080" i="1"/>
  <c r="G2079" i="1"/>
  <c r="C2079" i="1"/>
  <c r="B2079" i="1"/>
  <c r="G2078" i="1"/>
  <c r="C2078" i="1"/>
  <c r="B2078" i="1"/>
  <c r="G2077" i="1"/>
  <c r="B2077" i="1"/>
  <c r="G2076" i="1"/>
  <c r="C2076" i="1"/>
  <c r="B2076" i="1"/>
  <c r="G2075" i="1"/>
  <c r="C2075" i="1"/>
  <c r="B2075" i="1"/>
  <c r="G2074" i="1"/>
  <c r="C2074" i="1"/>
  <c r="B2074" i="1"/>
  <c r="G2073" i="1"/>
  <c r="C2073" i="1"/>
  <c r="B2073" i="1"/>
  <c r="G2072" i="1"/>
  <c r="C2072" i="1"/>
  <c r="B2072" i="1"/>
  <c r="G2071" i="1"/>
  <c r="B2071" i="1"/>
  <c r="G2070" i="1"/>
  <c r="B2070" i="1"/>
  <c r="G2069" i="1"/>
  <c r="C2069" i="1"/>
  <c r="B2069" i="1"/>
  <c r="G2068" i="1"/>
  <c r="C2068" i="1"/>
  <c r="B2068" i="1"/>
  <c r="G2067" i="1"/>
  <c r="B2067" i="1"/>
  <c r="G2066" i="1"/>
  <c r="C2066" i="1"/>
  <c r="B2066" i="1"/>
  <c r="G2065" i="1"/>
  <c r="C2065" i="1"/>
  <c r="B2065" i="1"/>
  <c r="G2064" i="1"/>
  <c r="C2064" i="1"/>
  <c r="B2064" i="1"/>
  <c r="G2063" i="1"/>
  <c r="C2063" i="1"/>
  <c r="B2063" i="1"/>
  <c r="G2062" i="1"/>
  <c r="B2062" i="1"/>
  <c r="G2061" i="1"/>
  <c r="C2061" i="1"/>
  <c r="B2061" i="1"/>
  <c r="G2060" i="1"/>
  <c r="C2060" i="1"/>
  <c r="B2060" i="1"/>
  <c r="G2059" i="1"/>
  <c r="B2059" i="1"/>
  <c r="G2058" i="1"/>
  <c r="C2058" i="1"/>
  <c r="B2058" i="1"/>
  <c r="G2057" i="1"/>
  <c r="C2057" i="1"/>
  <c r="B2057" i="1"/>
  <c r="G2056" i="1"/>
  <c r="C2056" i="1"/>
  <c r="B2056" i="1"/>
  <c r="G2055" i="1"/>
  <c r="C2055" i="1"/>
  <c r="B2055" i="1"/>
  <c r="G2054" i="1"/>
  <c r="C2054" i="1"/>
  <c r="B2054" i="1"/>
  <c r="G2053" i="1"/>
  <c r="C2053" i="1"/>
  <c r="B2053" i="1"/>
  <c r="G2052" i="1"/>
  <c r="C2052" i="1"/>
  <c r="B2052" i="1"/>
  <c r="G2051" i="1"/>
  <c r="C2051" i="1"/>
  <c r="B2051" i="1"/>
  <c r="G2050" i="1"/>
  <c r="B2050" i="1"/>
  <c r="G2049" i="1"/>
  <c r="C2049" i="1"/>
  <c r="B2049" i="1"/>
  <c r="G2048" i="1"/>
  <c r="C2048" i="1"/>
  <c r="B2048" i="1"/>
  <c r="G2047" i="1"/>
  <c r="B2047" i="1"/>
  <c r="G2046" i="1"/>
  <c r="C2046" i="1"/>
  <c r="B2046" i="1"/>
  <c r="G2045" i="1"/>
  <c r="C2045" i="1"/>
  <c r="B2045" i="1"/>
  <c r="G2044" i="1"/>
  <c r="C2044" i="1"/>
  <c r="B2044" i="1"/>
  <c r="G2043" i="1"/>
  <c r="C2043" i="1"/>
  <c r="B2043" i="1"/>
  <c r="G2042" i="1"/>
  <c r="C2042" i="1"/>
  <c r="B2042" i="1"/>
  <c r="G2041" i="1"/>
  <c r="C2041" i="1"/>
  <c r="B2041" i="1"/>
  <c r="G2040" i="1"/>
  <c r="C2040" i="1"/>
  <c r="B2040" i="1"/>
  <c r="G2039" i="1"/>
  <c r="B2039" i="1"/>
  <c r="G2038" i="1"/>
  <c r="C2038" i="1"/>
  <c r="B2038" i="1"/>
  <c r="G2037" i="1"/>
  <c r="C2037" i="1"/>
  <c r="B2037" i="1"/>
  <c r="G2036" i="1"/>
  <c r="B2036" i="1"/>
  <c r="G2035" i="1"/>
  <c r="B2035" i="1"/>
  <c r="G2034" i="1"/>
  <c r="B2034" i="1"/>
  <c r="G2033" i="1"/>
  <c r="C2033" i="1"/>
  <c r="B2033" i="1"/>
  <c r="G2032" i="1"/>
  <c r="C2032" i="1"/>
  <c r="B2032" i="1"/>
  <c r="G2031" i="1"/>
  <c r="C2031" i="1"/>
  <c r="B2031" i="1"/>
  <c r="G2030" i="1"/>
  <c r="C2030" i="1"/>
  <c r="B2030" i="1"/>
  <c r="G2029" i="1"/>
  <c r="C2029" i="1"/>
  <c r="B2029" i="1"/>
  <c r="G2028" i="1"/>
  <c r="C2028" i="1"/>
  <c r="B2028" i="1"/>
  <c r="G2027" i="1"/>
  <c r="C2027" i="1"/>
  <c r="B2027" i="1"/>
  <c r="G2026" i="1"/>
  <c r="C2026" i="1"/>
  <c r="B2026" i="1"/>
  <c r="G2025" i="1"/>
  <c r="C2025" i="1"/>
  <c r="B2025" i="1"/>
  <c r="G2024" i="1"/>
  <c r="C2024" i="1"/>
  <c r="B2024" i="1"/>
  <c r="G2023" i="1"/>
  <c r="B2023" i="1"/>
  <c r="G2022" i="1"/>
  <c r="C2022" i="1"/>
  <c r="B2022" i="1"/>
  <c r="G2021" i="1"/>
  <c r="C2021" i="1"/>
  <c r="B2021" i="1"/>
  <c r="G2020" i="1"/>
  <c r="C2020" i="1"/>
  <c r="B2020" i="1"/>
  <c r="G2019" i="1"/>
  <c r="C2019" i="1"/>
  <c r="B2019" i="1"/>
  <c r="G2018" i="1"/>
  <c r="C2018" i="1"/>
  <c r="B2018" i="1"/>
  <c r="G2017" i="1"/>
  <c r="C2017" i="1"/>
  <c r="B2017" i="1"/>
  <c r="G2016" i="1"/>
  <c r="C2016" i="1"/>
  <c r="B2016" i="1"/>
  <c r="G2015" i="1"/>
  <c r="B2015" i="1"/>
  <c r="G2014" i="1"/>
  <c r="C2014" i="1"/>
  <c r="B2014" i="1"/>
  <c r="G2013" i="1"/>
  <c r="B2013" i="1"/>
  <c r="G2012" i="1"/>
  <c r="B2012" i="1"/>
  <c r="G2011" i="1"/>
  <c r="B2011" i="1"/>
  <c r="G2010" i="1"/>
  <c r="C2010" i="1"/>
  <c r="B2010" i="1"/>
  <c r="G2009" i="1"/>
  <c r="C2009" i="1"/>
  <c r="B2009" i="1"/>
  <c r="G2008" i="1"/>
  <c r="C2008" i="1"/>
  <c r="B2008" i="1"/>
  <c r="G2007" i="1"/>
  <c r="C2007" i="1"/>
  <c r="B2007" i="1"/>
  <c r="G2006" i="1"/>
  <c r="C2006" i="1"/>
  <c r="B2006" i="1"/>
  <c r="G2005" i="1"/>
  <c r="C2005" i="1"/>
  <c r="B2005" i="1"/>
  <c r="G2004" i="1"/>
  <c r="C2004" i="1"/>
  <c r="B2004" i="1"/>
  <c r="G2003" i="1"/>
  <c r="B2003" i="1"/>
  <c r="G2002" i="1"/>
  <c r="C2002" i="1"/>
  <c r="B2002" i="1"/>
  <c r="G2001" i="1"/>
  <c r="C2001" i="1"/>
  <c r="B2001" i="1"/>
  <c r="G2000" i="1"/>
  <c r="C2000" i="1"/>
  <c r="B2000" i="1"/>
  <c r="G1999" i="1"/>
  <c r="B1999" i="1"/>
  <c r="G1998" i="1"/>
  <c r="C1998" i="1"/>
  <c r="B1998" i="1"/>
  <c r="G1997" i="1"/>
  <c r="C1997" i="1"/>
  <c r="B1997" i="1"/>
  <c r="G1996" i="1"/>
  <c r="C1996" i="1"/>
  <c r="B1996" i="1"/>
  <c r="G1995" i="1"/>
  <c r="C1995" i="1"/>
  <c r="B1995" i="1"/>
  <c r="G1994" i="1"/>
  <c r="C1994" i="1"/>
  <c r="B1994" i="1"/>
  <c r="G1993" i="1"/>
  <c r="C1993" i="1"/>
  <c r="B1993" i="1"/>
  <c r="G1992" i="1"/>
  <c r="C1992" i="1"/>
  <c r="B1992" i="1"/>
  <c r="G1991" i="1"/>
  <c r="B1991" i="1"/>
  <c r="G1990" i="1"/>
  <c r="C1990" i="1"/>
  <c r="B1990" i="1"/>
  <c r="G1989" i="1"/>
  <c r="C1989" i="1"/>
  <c r="B1989" i="1"/>
  <c r="G1988" i="1"/>
  <c r="C1988" i="1"/>
  <c r="B1988" i="1"/>
  <c r="G1987" i="1"/>
  <c r="C1987" i="1"/>
  <c r="B1987" i="1"/>
  <c r="G1986" i="1"/>
  <c r="C1986" i="1"/>
  <c r="B1986" i="1"/>
  <c r="G1985" i="1"/>
  <c r="C1985" i="1"/>
  <c r="B1985" i="1"/>
  <c r="G1984" i="1"/>
  <c r="B1984" i="1"/>
  <c r="G1983" i="1"/>
  <c r="C1983" i="1"/>
  <c r="B1983" i="1"/>
  <c r="G1982" i="1"/>
  <c r="C1982" i="1"/>
  <c r="B1982" i="1"/>
  <c r="G1981" i="1"/>
  <c r="C1981" i="1"/>
  <c r="B1981" i="1"/>
  <c r="G1980" i="1"/>
  <c r="C1980" i="1"/>
  <c r="B1980" i="1"/>
  <c r="G1979" i="1"/>
  <c r="C1979" i="1"/>
  <c r="B1979" i="1"/>
  <c r="G1978" i="1"/>
  <c r="C1978" i="1"/>
  <c r="B1978" i="1"/>
  <c r="G1977" i="1"/>
  <c r="C1977" i="1"/>
  <c r="B1977" i="1"/>
  <c r="G1976" i="1"/>
  <c r="C1976" i="1"/>
  <c r="B1976" i="1"/>
  <c r="G1975" i="1"/>
  <c r="C1975" i="1"/>
  <c r="B1975" i="1"/>
  <c r="G1974" i="1"/>
  <c r="B1974" i="1"/>
  <c r="G1973" i="1"/>
  <c r="C1973" i="1"/>
  <c r="B1973" i="1"/>
  <c r="G1972" i="1"/>
  <c r="B1972" i="1"/>
  <c r="G1971" i="1"/>
  <c r="B1971" i="1"/>
  <c r="G1970" i="1"/>
  <c r="B1970" i="1"/>
  <c r="G1969" i="1"/>
  <c r="C1969" i="1"/>
  <c r="B1969" i="1"/>
  <c r="G1968" i="1"/>
  <c r="C1968" i="1"/>
  <c r="B1968" i="1"/>
  <c r="G1967" i="1"/>
  <c r="C1967" i="1"/>
  <c r="B1967" i="1"/>
  <c r="G1966" i="1"/>
  <c r="C1966" i="1"/>
  <c r="B1966" i="1"/>
  <c r="G1965" i="1"/>
  <c r="C1965" i="1"/>
  <c r="B1965" i="1"/>
  <c r="G1964" i="1"/>
  <c r="B1964" i="1"/>
  <c r="G1963" i="1"/>
  <c r="C1963" i="1"/>
  <c r="B1963" i="1"/>
  <c r="G1962" i="1"/>
  <c r="C1962" i="1"/>
  <c r="B1962" i="1"/>
  <c r="G1961" i="1"/>
  <c r="B1961" i="1"/>
  <c r="G1960" i="1"/>
  <c r="C1960" i="1"/>
  <c r="B1960" i="1"/>
  <c r="G1959" i="1"/>
  <c r="C1959" i="1"/>
  <c r="B1959" i="1"/>
  <c r="G1958" i="1"/>
  <c r="B1958" i="1"/>
  <c r="G1957" i="1"/>
  <c r="C1957" i="1"/>
  <c r="B1957" i="1"/>
  <c r="G1956" i="1"/>
  <c r="C1956" i="1"/>
  <c r="B1956" i="1"/>
  <c r="G1955" i="1"/>
  <c r="C1955" i="1"/>
  <c r="B1955" i="1"/>
  <c r="G1954" i="1"/>
  <c r="C1954" i="1"/>
  <c r="B1954" i="1"/>
  <c r="G1953" i="1"/>
  <c r="C1953" i="1"/>
  <c r="B1953" i="1"/>
  <c r="G1952" i="1"/>
  <c r="C1952" i="1"/>
  <c r="B1952" i="1"/>
  <c r="G1951" i="1"/>
  <c r="C1951" i="1"/>
  <c r="B1951" i="1"/>
  <c r="G1950" i="1"/>
  <c r="C1950" i="1"/>
  <c r="B1950" i="1"/>
  <c r="G1949" i="1"/>
  <c r="C1949" i="1"/>
  <c r="B1949" i="1"/>
  <c r="G1948" i="1"/>
  <c r="C1948" i="1"/>
  <c r="B1948" i="1"/>
  <c r="G1947" i="1"/>
  <c r="B1947" i="1"/>
  <c r="G1946" i="1"/>
  <c r="C1946" i="1"/>
  <c r="B1946" i="1"/>
  <c r="G1945" i="1"/>
  <c r="C1945" i="1"/>
  <c r="B1945" i="1"/>
  <c r="G1944" i="1"/>
  <c r="B1944" i="1"/>
  <c r="G1943" i="1"/>
  <c r="C1943" i="1"/>
  <c r="B1943" i="1"/>
  <c r="G1942" i="1"/>
  <c r="B1942" i="1"/>
  <c r="G1941" i="1"/>
  <c r="C1941" i="1"/>
  <c r="B1941" i="1"/>
  <c r="G1940" i="1"/>
  <c r="C1940" i="1"/>
  <c r="B1940" i="1"/>
  <c r="G1939" i="1"/>
  <c r="C1939" i="1"/>
  <c r="B1939" i="1"/>
  <c r="G1938" i="1"/>
  <c r="C1938" i="1"/>
  <c r="B1938" i="1"/>
  <c r="G1937" i="1"/>
  <c r="C1937" i="1"/>
  <c r="B1937" i="1"/>
  <c r="G1936" i="1"/>
  <c r="C1936" i="1"/>
  <c r="B1936" i="1"/>
  <c r="G1935" i="1"/>
  <c r="C1935" i="1"/>
  <c r="B1935" i="1"/>
  <c r="G1934" i="1"/>
  <c r="C1934" i="1"/>
  <c r="B1934" i="1"/>
  <c r="G1933" i="1"/>
  <c r="C1933" i="1"/>
  <c r="B1933" i="1"/>
  <c r="G1932" i="1"/>
  <c r="C1932" i="1"/>
  <c r="B1932" i="1"/>
  <c r="G1931" i="1"/>
  <c r="C1931" i="1"/>
  <c r="B1931" i="1"/>
  <c r="G1930" i="1"/>
  <c r="B1930" i="1"/>
  <c r="G1929" i="1"/>
  <c r="C1929" i="1"/>
  <c r="B1929" i="1"/>
  <c r="G1928" i="1"/>
  <c r="B1928" i="1"/>
  <c r="G1927" i="1"/>
  <c r="C1927" i="1"/>
  <c r="B1927" i="1"/>
  <c r="G1926" i="1"/>
  <c r="C1926" i="1"/>
  <c r="B1926" i="1"/>
  <c r="G1925" i="1"/>
  <c r="C1925" i="1"/>
  <c r="B1925" i="1"/>
  <c r="G1924" i="1"/>
  <c r="C1924" i="1"/>
  <c r="B1924" i="1"/>
  <c r="G1923" i="1"/>
  <c r="C1923" i="1"/>
  <c r="B1923" i="1"/>
  <c r="G1922" i="1"/>
  <c r="B1922" i="1"/>
  <c r="G1921" i="1"/>
  <c r="C1921" i="1"/>
  <c r="B1921" i="1"/>
  <c r="G1920" i="1"/>
  <c r="C1920" i="1"/>
  <c r="B1920" i="1"/>
  <c r="G1919" i="1"/>
  <c r="C1919" i="1"/>
  <c r="B1919" i="1"/>
  <c r="G1918" i="1"/>
  <c r="C1918" i="1"/>
  <c r="B1918" i="1"/>
  <c r="G1917" i="1"/>
  <c r="C1917" i="1"/>
  <c r="B1917" i="1"/>
  <c r="G1916" i="1"/>
  <c r="C1916" i="1"/>
  <c r="B1916" i="1"/>
  <c r="G1915" i="1"/>
  <c r="C1915" i="1"/>
  <c r="B1915" i="1"/>
  <c r="G1914" i="1"/>
  <c r="C1914" i="1"/>
  <c r="B1914" i="1"/>
  <c r="G1913" i="1"/>
  <c r="C1913" i="1"/>
  <c r="B1913" i="1"/>
  <c r="G1912" i="1"/>
  <c r="C1912" i="1"/>
  <c r="B1912" i="1"/>
  <c r="G1911" i="1"/>
  <c r="C1911" i="1"/>
  <c r="B1911" i="1"/>
  <c r="G1910" i="1"/>
  <c r="B1910" i="1"/>
  <c r="G1909" i="1"/>
  <c r="C1909" i="1"/>
  <c r="B1909" i="1"/>
  <c r="G1908" i="1"/>
  <c r="B1908" i="1"/>
  <c r="G1907" i="1"/>
  <c r="C1907" i="1"/>
  <c r="B1907" i="1"/>
  <c r="G1906" i="1"/>
  <c r="C1906" i="1"/>
  <c r="B1906" i="1"/>
  <c r="G1905" i="1"/>
  <c r="C1905" i="1"/>
  <c r="B1905" i="1"/>
  <c r="G1904" i="1"/>
  <c r="C1904" i="1"/>
  <c r="B1904" i="1"/>
  <c r="G1903" i="1"/>
  <c r="C1903" i="1"/>
  <c r="B1903" i="1"/>
  <c r="G1902" i="1"/>
  <c r="B1902" i="1"/>
  <c r="G1901" i="1"/>
  <c r="C1901" i="1"/>
  <c r="B1901" i="1"/>
  <c r="G1900" i="1"/>
  <c r="C1900" i="1"/>
  <c r="B1900" i="1"/>
  <c r="G1899" i="1"/>
  <c r="B1899" i="1"/>
  <c r="G1898" i="1"/>
  <c r="C1898" i="1"/>
  <c r="B1898" i="1"/>
  <c r="G1897" i="1"/>
  <c r="C1897" i="1"/>
  <c r="B1897" i="1"/>
  <c r="G1896" i="1"/>
  <c r="C1896" i="1"/>
  <c r="B1896" i="1"/>
  <c r="G1895" i="1"/>
  <c r="C1895" i="1"/>
  <c r="B1895" i="1"/>
  <c r="G1894" i="1"/>
  <c r="B1894" i="1"/>
  <c r="G1893" i="1"/>
  <c r="B1893" i="1"/>
  <c r="G1892" i="1"/>
  <c r="C1892" i="1"/>
  <c r="B1892" i="1"/>
  <c r="G1891" i="1"/>
  <c r="C1891" i="1"/>
  <c r="B1891" i="1"/>
  <c r="G1890" i="1"/>
  <c r="C1890" i="1"/>
  <c r="B1890" i="1"/>
  <c r="G1889" i="1"/>
  <c r="C1889" i="1"/>
  <c r="B1889" i="1"/>
  <c r="G1888" i="1"/>
  <c r="C1888" i="1"/>
  <c r="B1888" i="1"/>
  <c r="G1887" i="1"/>
  <c r="C1887" i="1"/>
  <c r="B1887" i="1"/>
  <c r="G1886" i="1"/>
  <c r="C1886" i="1"/>
  <c r="B1886" i="1"/>
  <c r="G1885" i="1"/>
  <c r="B1885" i="1"/>
  <c r="G1884" i="1"/>
  <c r="C1884" i="1"/>
  <c r="B1884" i="1"/>
  <c r="G1883" i="1"/>
  <c r="C1883" i="1"/>
  <c r="B1883" i="1"/>
  <c r="G1882" i="1"/>
  <c r="C1882" i="1"/>
  <c r="B1882" i="1"/>
  <c r="G1881" i="1"/>
  <c r="C1881" i="1"/>
  <c r="B1881" i="1"/>
  <c r="G1880" i="1"/>
  <c r="C1880" i="1"/>
  <c r="B1880" i="1"/>
  <c r="G1879" i="1"/>
  <c r="C1879" i="1"/>
  <c r="B1879" i="1"/>
  <c r="G1878" i="1"/>
  <c r="C1878" i="1"/>
  <c r="B1878" i="1"/>
  <c r="G1877" i="1"/>
  <c r="C1877" i="1"/>
  <c r="B1877" i="1"/>
  <c r="G1876" i="1"/>
  <c r="B1876" i="1"/>
  <c r="G1875" i="1"/>
  <c r="B1875" i="1"/>
  <c r="G1874" i="1"/>
  <c r="C1874" i="1"/>
  <c r="B1874" i="1"/>
  <c r="G1873" i="1"/>
  <c r="C1873" i="1"/>
  <c r="B1873" i="1"/>
  <c r="G1872" i="1"/>
  <c r="B1872" i="1"/>
  <c r="G1871" i="1"/>
  <c r="B1871" i="1"/>
  <c r="G1870" i="1"/>
  <c r="C1870" i="1"/>
  <c r="B1870" i="1"/>
  <c r="G1869" i="1"/>
  <c r="C1869" i="1"/>
  <c r="B1869" i="1"/>
  <c r="G1868" i="1"/>
  <c r="B1868" i="1"/>
  <c r="G1867" i="1"/>
  <c r="C1867" i="1"/>
  <c r="B1867" i="1"/>
  <c r="G1866" i="1"/>
  <c r="C1866" i="1"/>
  <c r="B1866" i="1"/>
  <c r="G1865" i="1"/>
  <c r="C1865" i="1"/>
  <c r="B1865" i="1"/>
  <c r="G1864" i="1"/>
  <c r="C1864" i="1"/>
  <c r="B1864" i="1"/>
  <c r="G1863" i="1"/>
  <c r="C1863" i="1"/>
  <c r="B1863" i="1"/>
  <c r="G1862" i="1"/>
  <c r="C1862" i="1"/>
  <c r="B1862" i="1"/>
  <c r="G1861" i="1"/>
  <c r="B1861" i="1"/>
  <c r="G1860" i="1"/>
  <c r="B1860" i="1"/>
  <c r="G1859" i="1"/>
  <c r="C1859" i="1"/>
  <c r="B1859" i="1"/>
  <c r="G1858" i="1"/>
  <c r="C1858" i="1"/>
  <c r="B1858" i="1"/>
  <c r="G1857" i="1"/>
  <c r="B1857" i="1"/>
  <c r="G1856" i="1"/>
  <c r="C1856" i="1"/>
  <c r="B1856" i="1"/>
  <c r="G1855" i="1"/>
  <c r="C1855" i="1"/>
  <c r="B1855" i="1"/>
  <c r="G1854" i="1"/>
  <c r="C1854" i="1"/>
  <c r="B1854" i="1"/>
  <c r="G1853" i="1"/>
  <c r="B1853" i="1"/>
  <c r="G1852" i="1"/>
  <c r="C1852" i="1"/>
  <c r="B1852" i="1"/>
  <c r="G1851" i="1"/>
  <c r="C1851" i="1"/>
  <c r="B1851" i="1"/>
  <c r="G1850" i="1"/>
  <c r="B1850" i="1"/>
  <c r="G1849" i="1"/>
  <c r="C1849" i="1"/>
  <c r="B1849" i="1"/>
  <c r="G1848" i="1"/>
  <c r="C1848" i="1"/>
  <c r="B1848" i="1"/>
  <c r="G1847" i="1"/>
  <c r="C1847" i="1"/>
  <c r="B1847" i="1"/>
  <c r="G1846" i="1"/>
  <c r="C1846" i="1"/>
  <c r="B1846" i="1"/>
  <c r="G1845" i="1"/>
  <c r="C1845" i="1"/>
  <c r="B1845" i="1"/>
  <c r="G1844" i="1"/>
  <c r="C1844" i="1"/>
  <c r="B1844" i="1"/>
  <c r="G1843" i="1"/>
  <c r="C1843" i="1"/>
  <c r="B1843" i="1"/>
  <c r="G1842" i="1"/>
  <c r="C1842" i="1"/>
  <c r="B1842" i="1"/>
  <c r="G1841" i="1"/>
  <c r="C1841" i="1"/>
  <c r="B1841" i="1"/>
  <c r="G1840" i="1"/>
  <c r="B1840" i="1"/>
  <c r="G1839" i="1"/>
  <c r="C1839" i="1"/>
  <c r="B1839" i="1"/>
  <c r="G1838" i="1"/>
  <c r="C1838" i="1"/>
  <c r="B1838" i="1"/>
  <c r="G1837" i="1"/>
  <c r="C1837" i="1"/>
  <c r="B1837" i="1"/>
  <c r="G1836" i="1"/>
  <c r="C1836" i="1"/>
  <c r="B1836" i="1"/>
  <c r="G1835" i="1"/>
  <c r="C1835" i="1"/>
  <c r="B1835" i="1"/>
  <c r="G1834" i="1"/>
  <c r="C1834" i="1"/>
  <c r="B1834" i="1"/>
  <c r="G1833" i="1"/>
  <c r="C1833" i="1"/>
  <c r="B1833" i="1"/>
  <c r="G1832" i="1"/>
  <c r="B1832" i="1"/>
  <c r="G1831" i="1"/>
  <c r="C1831" i="1"/>
  <c r="B1831" i="1"/>
  <c r="G1830" i="1"/>
  <c r="C1830" i="1"/>
  <c r="B1830" i="1"/>
  <c r="G1829" i="1"/>
  <c r="C1829" i="1"/>
  <c r="B1829" i="1"/>
  <c r="G1828" i="1"/>
  <c r="C1828" i="1"/>
  <c r="B1828" i="1"/>
  <c r="G1827" i="1"/>
  <c r="B1827" i="1"/>
  <c r="G1826" i="1"/>
  <c r="C1826" i="1"/>
  <c r="B1826" i="1"/>
  <c r="G1825" i="1"/>
  <c r="C1825" i="1"/>
  <c r="B1825" i="1"/>
  <c r="G1824" i="1"/>
  <c r="C1824" i="1"/>
  <c r="B1824" i="1"/>
  <c r="G1823" i="1"/>
  <c r="C1823" i="1"/>
  <c r="B1823" i="1"/>
  <c r="G1822" i="1"/>
  <c r="C1822" i="1"/>
  <c r="B1822" i="1"/>
  <c r="G1821" i="1"/>
  <c r="C1821" i="1"/>
  <c r="B1821" i="1"/>
  <c r="G1820" i="1"/>
  <c r="C1820" i="1"/>
  <c r="B1820" i="1"/>
  <c r="G1819" i="1"/>
  <c r="C1819" i="1"/>
  <c r="B1819" i="1"/>
  <c r="G1818" i="1"/>
  <c r="B1818" i="1"/>
  <c r="G1817" i="1"/>
  <c r="C1817" i="1"/>
  <c r="B1817" i="1"/>
  <c r="G1816" i="1"/>
  <c r="C1816" i="1"/>
  <c r="B1816" i="1"/>
  <c r="G1815" i="1"/>
  <c r="C1815" i="1"/>
  <c r="B1815" i="1"/>
  <c r="G1814" i="1"/>
  <c r="C1814" i="1"/>
  <c r="B1814" i="1"/>
  <c r="G1813" i="1"/>
  <c r="C1813" i="1"/>
  <c r="B1813" i="1"/>
  <c r="G1812" i="1"/>
  <c r="C1812" i="1"/>
  <c r="B1812" i="1"/>
  <c r="G1811" i="1"/>
  <c r="C1811" i="1"/>
  <c r="B1811" i="1"/>
  <c r="G1810" i="1"/>
  <c r="C1810" i="1"/>
  <c r="B1810" i="1"/>
  <c r="G1809" i="1"/>
  <c r="C1809" i="1"/>
  <c r="B1809" i="1"/>
  <c r="G1808" i="1"/>
  <c r="C1808" i="1"/>
  <c r="B1808" i="1"/>
  <c r="G1807" i="1"/>
  <c r="C1807" i="1"/>
  <c r="B1807" i="1"/>
  <c r="G1806" i="1"/>
  <c r="C1806" i="1"/>
  <c r="B1806" i="1"/>
  <c r="G1805" i="1"/>
  <c r="C1805" i="1"/>
  <c r="B1805" i="1"/>
  <c r="G1804" i="1"/>
  <c r="B1804" i="1"/>
  <c r="G1803" i="1"/>
  <c r="C1803" i="1"/>
  <c r="B1803" i="1"/>
  <c r="G1802" i="1"/>
  <c r="C1802" i="1"/>
  <c r="B1802" i="1"/>
  <c r="G1801" i="1"/>
  <c r="C1801" i="1"/>
  <c r="B1801" i="1"/>
  <c r="G1800" i="1"/>
  <c r="C1800" i="1"/>
  <c r="B1800" i="1"/>
  <c r="G1799" i="1"/>
  <c r="C1799" i="1"/>
  <c r="B1799" i="1"/>
  <c r="G1798" i="1"/>
  <c r="C1798" i="1"/>
  <c r="B1798" i="1"/>
  <c r="G1797" i="1"/>
  <c r="C1797" i="1"/>
  <c r="B1797" i="1"/>
  <c r="G1796" i="1"/>
  <c r="C1796" i="1"/>
  <c r="B1796" i="1"/>
  <c r="G1795" i="1"/>
  <c r="C1795" i="1"/>
  <c r="B1795" i="1"/>
  <c r="G1794" i="1"/>
  <c r="C1794" i="1"/>
  <c r="B1794" i="1"/>
  <c r="G1793" i="1"/>
  <c r="C1793" i="1"/>
  <c r="B1793" i="1"/>
  <c r="G1792" i="1"/>
  <c r="C1792" i="1"/>
  <c r="B1792" i="1"/>
  <c r="G1791" i="1"/>
  <c r="C1791" i="1"/>
  <c r="B1791" i="1"/>
  <c r="G1790" i="1"/>
  <c r="B1790" i="1"/>
  <c r="G1789" i="1"/>
  <c r="C1789" i="1"/>
  <c r="B1789" i="1"/>
  <c r="G1788" i="1"/>
  <c r="C1788" i="1"/>
  <c r="B1788" i="1"/>
  <c r="G1787" i="1"/>
  <c r="B1787" i="1"/>
  <c r="G1786" i="1"/>
  <c r="C1786" i="1"/>
  <c r="B1786" i="1"/>
  <c r="G1785" i="1"/>
  <c r="C1785" i="1"/>
  <c r="B1785" i="1"/>
  <c r="G1784" i="1"/>
  <c r="C1784" i="1"/>
  <c r="B1784" i="1"/>
  <c r="G1783" i="1"/>
  <c r="C1783" i="1"/>
  <c r="B1783" i="1"/>
  <c r="G1782" i="1"/>
  <c r="C1782" i="1"/>
  <c r="B1782" i="1"/>
  <c r="G1781" i="1"/>
  <c r="C1781" i="1"/>
  <c r="B1781" i="1"/>
  <c r="G1780" i="1"/>
  <c r="C1780" i="1"/>
  <c r="B1780" i="1"/>
  <c r="G1779" i="1"/>
  <c r="C1779" i="1"/>
  <c r="B1779" i="1"/>
  <c r="G1778" i="1"/>
  <c r="C1778" i="1"/>
  <c r="B1778" i="1"/>
  <c r="G1777" i="1"/>
  <c r="B1777" i="1"/>
  <c r="G1776" i="1"/>
  <c r="C1776" i="1"/>
  <c r="B1776" i="1"/>
  <c r="G1775" i="1"/>
  <c r="C1775" i="1"/>
  <c r="B1775" i="1"/>
  <c r="G1774" i="1"/>
  <c r="C1774" i="1"/>
  <c r="B1774" i="1"/>
  <c r="G1773" i="1"/>
  <c r="C1773" i="1"/>
  <c r="B1773" i="1"/>
  <c r="G1772" i="1"/>
  <c r="C1772" i="1"/>
  <c r="B1772" i="1"/>
  <c r="G1771" i="1"/>
  <c r="C1771" i="1"/>
  <c r="B1771" i="1"/>
  <c r="G1770" i="1"/>
  <c r="C1770" i="1"/>
  <c r="B1770" i="1"/>
  <c r="G1769" i="1"/>
  <c r="C1769" i="1"/>
  <c r="B1769" i="1"/>
  <c r="G1768" i="1"/>
  <c r="C1768" i="1"/>
  <c r="B1768" i="1"/>
  <c r="G1767" i="1"/>
  <c r="C1767" i="1"/>
  <c r="B1767" i="1"/>
  <c r="G1766" i="1"/>
  <c r="C1766" i="1"/>
  <c r="B1766" i="1"/>
  <c r="G1765" i="1"/>
  <c r="C1765" i="1"/>
  <c r="B1765" i="1"/>
  <c r="G1764" i="1"/>
  <c r="C1764" i="1"/>
  <c r="B1764" i="1"/>
  <c r="G1763" i="1"/>
  <c r="B1763" i="1"/>
  <c r="G1762" i="1"/>
  <c r="C1762" i="1"/>
  <c r="B1762" i="1"/>
  <c r="G1761" i="1"/>
  <c r="C1761" i="1"/>
  <c r="B1761" i="1"/>
  <c r="G1760" i="1"/>
  <c r="C1760" i="1"/>
  <c r="B1760" i="1"/>
  <c r="G1759" i="1"/>
  <c r="C1759" i="1"/>
  <c r="B1759" i="1"/>
  <c r="G1758" i="1"/>
  <c r="B1758" i="1"/>
  <c r="G1757" i="1"/>
  <c r="C1757" i="1"/>
  <c r="B1757" i="1"/>
  <c r="G1756" i="1"/>
  <c r="B1756" i="1"/>
  <c r="G1755" i="1"/>
  <c r="C1755" i="1"/>
  <c r="B1755" i="1"/>
  <c r="G1754" i="1"/>
  <c r="C1754" i="1"/>
  <c r="B1754" i="1"/>
  <c r="G1753" i="1"/>
  <c r="C1753" i="1"/>
  <c r="B1753" i="1"/>
  <c r="G1752" i="1"/>
  <c r="C1752" i="1"/>
  <c r="B1752" i="1"/>
  <c r="G1751" i="1"/>
  <c r="C1751" i="1"/>
  <c r="B1751" i="1"/>
  <c r="G1750" i="1"/>
  <c r="C1750" i="1"/>
  <c r="B1750" i="1"/>
  <c r="G1749" i="1"/>
  <c r="C1749" i="1"/>
  <c r="B1749" i="1"/>
  <c r="G1748" i="1"/>
  <c r="C1748" i="1"/>
  <c r="B1748" i="1"/>
  <c r="G1747" i="1"/>
  <c r="B1747" i="1"/>
  <c r="G1746" i="1"/>
  <c r="C1746" i="1"/>
  <c r="B1746" i="1"/>
  <c r="G1745" i="1"/>
  <c r="C1745" i="1"/>
  <c r="B1745" i="1"/>
  <c r="G1744" i="1"/>
  <c r="B1744" i="1"/>
  <c r="G1743" i="1"/>
  <c r="C1743" i="1"/>
  <c r="B1743" i="1"/>
  <c r="G1742" i="1"/>
  <c r="C1742" i="1"/>
  <c r="B1742" i="1"/>
  <c r="G1741" i="1"/>
  <c r="C1741" i="1"/>
  <c r="B1741" i="1"/>
  <c r="G1740" i="1"/>
  <c r="C1740" i="1"/>
  <c r="B1740" i="1"/>
  <c r="G1739" i="1"/>
  <c r="C1739" i="1"/>
  <c r="B1739" i="1"/>
  <c r="G1738" i="1"/>
  <c r="B1738" i="1"/>
  <c r="G1737" i="1"/>
  <c r="C1737" i="1"/>
  <c r="B1737" i="1"/>
  <c r="G1736" i="1"/>
  <c r="C1736" i="1"/>
  <c r="B1736" i="1"/>
  <c r="G1735" i="1"/>
  <c r="B1735" i="1"/>
  <c r="G1734" i="1"/>
  <c r="C1734" i="1"/>
  <c r="B1734" i="1"/>
  <c r="G1733" i="1"/>
  <c r="B1733" i="1"/>
  <c r="G1732" i="1"/>
  <c r="C1732" i="1"/>
  <c r="B1732" i="1"/>
  <c r="G1731" i="1"/>
  <c r="B1731" i="1"/>
  <c r="G1730" i="1"/>
  <c r="C1730" i="1"/>
  <c r="B1730" i="1"/>
  <c r="G1729" i="1"/>
  <c r="C1729" i="1"/>
  <c r="B1729" i="1"/>
  <c r="G1728" i="1"/>
  <c r="C1728" i="1"/>
  <c r="B1728" i="1"/>
  <c r="G1727" i="1"/>
  <c r="C1727" i="1"/>
  <c r="B1727" i="1"/>
  <c r="G1726" i="1"/>
  <c r="C1726" i="1"/>
  <c r="B1726" i="1"/>
  <c r="G1725" i="1"/>
  <c r="C1725" i="1"/>
  <c r="B1725" i="1"/>
  <c r="G1724" i="1"/>
  <c r="B1724" i="1"/>
  <c r="G1723" i="1"/>
  <c r="C1723" i="1"/>
  <c r="B1723" i="1"/>
  <c r="G1722" i="1"/>
  <c r="C1722" i="1"/>
  <c r="B1722" i="1"/>
  <c r="G1721" i="1"/>
  <c r="C1721" i="1"/>
  <c r="B1721" i="1"/>
  <c r="G1720" i="1"/>
  <c r="C1720" i="1"/>
  <c r="B1720" i="1"/>
  <c r="G1719" i="1"/>
  <c r="C1719" i="1"/>
  <c r="B1719" i="1"/>
  <c r="G1718" i="1"/>
  <c r="C1718" i="1"/>
  <c r="B1718" i="1"/>
  <c r="G1717" i="1"/>
  <c r="C1717" i="1"/>
  <c r="B1717" i="1"/>
  <c r="G1716" i="1"/>
  <c r="C1716" i="1"/>
  <c r="B1716" i="1"/>
  <c r="G1715" i="1"/>
  <c r="B1715" i="1"/>
  <c r="G1714" i="1"/>
  <c r="B1714" i="1"/>
  <c r="G1713" i="1"/>
  <c r="C1713" i="1"/>
  <c r="B1713" i="1"/>
  <c r="G1712" i="1"/>
  <c r="B1712" i="1"/>
  <c r="G1711" i="1"/>
  <c r="B1711" i="1"/>
  <c r="G1710" i="1"/>
  <c r="C1710" i="1"/>
  <c r="B1710" i="1"/>
  <c r="G1709" i="1"/>
  <c r="C1709" i="1"/>
  <c r="B1709" i="1"/>
  <c r="G1708" i="1"/>
  <c r="C1708" i="1"/>
  <c r="B1708" i="1"/>
  <c r="G1707" i="1"/>
  <c r="C1707" i="1"/>
  <c r="B1707" i="1"/>
  <c r="G1706" i="1"/>
  <c r="C1706" i="1"/>
  <c r="B1706" i="1"/>
  <c r="G1705" i="1"/>
  <c r="C1705" i="1"/>
  <c r="B1705" i="1"/>
  <c r="G1704" i="1"/>
  <c r="C1704" i="1"/>
  <c r="B1704" i="1"/>
  <c r="G1703" i="1"/>
  <c r="C1703" i="1"/>
  <c r="B1703" i="1"/>
  <c r="G1702" i="1"/>
  <c r="C1702" i="1"/>
  <c r="B1702" i="1"/>
  <c r="G1701" i="1"/>
  <c r="C1701" i="1"/>
  <c r="B1701" i="1"/>
  <c r="G1700" i="1"/>
  <c r="B1700" i="1"/>
  <c r="G1699" i="1"/>
  <c r="C1699" i="1"/>
  <c r="B1699" i="1"/>
  <c r="G1698" i="1"/>
  <c r="C1698" i="1"/>
  <c r="B1698" i="1"/>
  <c r="G1697" i="1"/>
  <c r="C1697" i="1"/>
  <c r="B1697" i="1"/>
  <c r="G1696" i="1"/>
  <c r="C1696" i="1"/>
  <c r="B1696" i="1"/>
  <c r="G1695" i="1"/>
  <c r="C1695" i="1"/>
  <c r="B1695" i="1"/>
  <c r="G1694" i="1"/>
  <c r="B1694" i="1"/>
  <c r="G1693" i="1"/>
  <c r="C1693" i="1"/>
  <c r="B1693" i="1"/>
  <c r="G1692" i="1"/>
  <c r="C1692" i="1"/>
  <c r="B1692" i="1"/>
  <c r="G1691" i="1"/>
  <c r="B1691" i="1"/>
  <c r="G1690" i="1"/>
  <c r="B1690" i="1"/>
  <c r="G1689" i="1"/>
  <c r="C1689" i="1"/>
  <c r="B1689" i="1"/>
  <c r="G1688" i="1"/>
  <c r="C1688" i="1"/>
  <c r="B1688" i="1"/>
  <c r="G1687" i="1"/>
  <c r="B1687" i="1"/>
  <c r="G1686" i="1"/>
  <c r="C1686" i="1"/>
  <c r="B1686" i="1"/>
  <c r="G1685" i="1"/>
  <c r="B1685" i="1"/>
  <c r="G1684" i="1"/>
  <c r="C1684" i="1"/>
  <c r="B1684" i="1"/>
  <c r="G1683" i="1"/>
  <c r="C1683" i="1"/>
  <c r="B1683" i="1"/>
  <c r="G1682" i="1"/>
  <c r="C1682" i="1"/>
  <c r="B1682" i="1"/>
  <c r="G1681" i="1"/>
  <c r="B1681" i="1"/>
  <c r="G1680" i="1"/>
  <c r="B1680" i="1"/>
  <c r="G1679" i="1"/>
  <c r="B1679" i="1"/>
  <c r="G1678" i="1"/>
  <c r="C1678" i="1"/>
  <c r="B1678" i="1"/>
  <c r="G1677" i="1"/>
  <c r="C1677" i="1"/>
  <c r="B1677" i="1"/>
  <c r="G1676" i="1"/>
  <c r="C1676" i="1"/>
  <c r="B1676" i="1"/>
  <c r="G1675" i="1"/>
  <c r="C1675" i="1"/>
  <c r="B1675" i="1"/>
  <c r="G1674" i="1"/>
  <c r="C1674" i="1"/>
  <c r="B1674" i="1"/>
  <c r="G1673" i="1"/>
  <c r="C1673" i="1"/>
  <c r="B1673" i="1"/>
  <c r="G1672" i="1"/>
  <c r="B1672" i="1"/>
  <c r="G1671" i="1"/>
  <c r="C1671" i="1"/>
  <c r="B1671" i="1"/>
  <c r="G1670" i="1"/>
  <c r="B1670" i="1"/>
  <c r="G1669" i="1"/>
  <c r="C1669" i="1"/>
  <c r="B1669" i="1"/>
  <c r="G1668" i="1"/>
  <c r="C1668" i="1"/>
  <c r="B1668" i="1"/>
  <c r="G1667" i="1"/>
  <c r="C1667" i="1"/>
  <c r="B1667" i="1"/>
  <c r="G1666" i="1"/>
  <c r="C1666" i="1"/>
  <c r="B1666" i="1"/>
  <c r="G1665" i="1"/>
  <c r="C1665" i="1"/>
  <c r="B1665" i="1"/>
  <c r="G1664" i="1"/>
  <c r="C1664" i="1"/>
  <c r="B1664" i="1"/>
  <c r="G1663" i="1"/>
  <c r="C1663" i="1"/>
  <c r="B1663" i="1"/>
  <c r="G1662" i="1"/>
  <c r="C1662" i="1"/>
  <c r="B1662" i="1"/>
  <c r="G1661" i="1"/>
  <c r="C1661" i="1"/>
  <c r="B1661" i="1"/>
  <c r="G1660" i="1"/>
  <c r="C1660" i="1"/>
  <c r="B1660" i="1"/>
  <c r="G1659" i="1"/>
  <c r="C1659" i="1"/>
  <c r="B1659" i="1"/>
  <c r="G1658" i="1"/>
  <c r="C1658" i="1"/>
  <c r="B1658" i="1"/>
  <c r="G1657" i="1"/>
  <c r="C1657" i="1"/>
  <c r="B1657" i="1"/>
  <c r="G1656" i="1"/>
  <c r="C1656" i="1"/>
  <c r="B1656" i="1"/>
  <c r="G1655" i="1"/>
  <c r="B1655" i="1"/>
  <c r="G1654" i="1"/>
  <c r="C1654" i="1"/>
  <c r="B1654" i="1"/>
  <c r="G1653" i="1"/>
  <c r="B1653" i="1"/>
  <c r="G1652" i="1"/>
  <c r="C1652" i="1"/>
  <c r="B1652" i="1"/>
  <c r="G1651" i="1"/>
  <c r="B1651" i="1"/>
  <c r="G1650" i="1"/>
  <c r="C1650" i="1"/>
  <c r="B1650" i="1"/>
  <c r="G1649" i="1"/>
  <c r="B1649" i="1"/>
  <c r="G1648" i="1"/>
  <c r="C1648" i="1"/>
  <c r="B1648" i="1"/>
  <c r="G1647" i="1"/>
  <c r="C1647" i="1"/>
  <c r="B1647" i="1"/>
  <c r="G1646" i="1"/>
  <c r="B1646" i="1"/>
  <c r="G1645" i="1"/>
  <c r="C1645" i="1"/>
  <c r="B1645" i="1"/>
  <c r="G1644" i="1"/>
  <c r="C1644" i="1"/>
  <c r="B1644" i="1"/>
  <c r="G1643" i="1"/>
  <c r="B1643" i="1"/>
  <c r="G1642" i="1"/>
  <c r="C1642" i="1"/>
  <c r="B1642" i="1"/>
  <c r="G1641" i="1"/>
  <c r="C1641" i="1"/>
  <c r="B1641" i="1"/>
  <c r="G1640" i="1"/>
  <c r="C1640" i="1"/>
  <c r="B1640" i="1"/>
  <c r="G1639" i="1"/>
  <c r="B1639" i="1"/>
  <c r="G1638" i="1"/>
  <c r="C1638" i="1"/>
  <c r="B1638" i="1"/>
  <c r="G1637" i="1"/>
  <c r="C1637" i="1"/>
  <c r="B1637" i="1"/>
  <c r="G1636" i="1"/>
  <c r="C1636" i="1"/>
  <c r="B1636" i="1"/>
  <c r="G1635" i="1"/>
  <c r="C1635" i="1"/>
  <c r="B1635" i="1"/>
  <c r="G1634" i="1"/>
  <c r="C1634" i="1"/>
  <c r="B1634" i="1"/>
  <c r="G1633" i="1"/>
  <c r="B1633" i="1"/>
  <c r="G1632" i="1"/>
  <c r="C1632" i="1"/>
  <c r="B1632" i="1"/>
  <c r="G1631" i="1"/>
  <c r="C1631" i="1"/>
  <c r="B1631" i="1"/>
  <c r="G1630" i="1"/>
  <c r="C1630" i="1"/>
  <c r="B1630" i="1"/>
  <c r="G1629" i="1"/>
  <c r="B1629" i="1"/>
  <c r="G1628" i="1"/>
  <c r="C1628" i="1"/>
  <c r="B1628" i="1"/>
  <c r="G1627" i="1"/>
  <c r="C1627" i="1"/>
  <c r="B1627" i="1"/>
  <c r="G1626" i="1"/>
  <c r="C1626" i="1"/>
  <c r="B1626" i="1"/>
  <c r="G1625" i="1"/>
  <c r="C1625" i="1"/>
  <c r="B1625" i="1"/>
  <c r="G1624" i="1"/>
  <c r="C1624" i="1"/>
  <c r="B1624" i="1"/>
  <c r="G1623" i="1"/>
  <c r="C1623" i="1"/>
  <c r="B1623" i="1"/>
  <c r="G1622" i="1"/>
  <c r="B1622" i="1"/>
  <c r="G1621" i="1"/>
  <c r="B1621" i="1"/>
  <c r="G1620" i="1"/>
  <c r="C1620" i="1"/>
  <c r="B1620" i="1"/>
  <c r="G1619" i="1"/>
  <c r="C1619" i="1"/>
  <c r="B1619" i="1"/>
  <c r="G1618" i="1"/>
  <c r="B1618" i="1"/>
  <c r="G1617" i="1"/>
  <c r="C1617" i="1"/>
  <c r="B1617" i="1"/>
  <c r="G1616" i="1"/>
  <c r="B1616" i="1"/>
  <c r="G1615" i="1"/>
  <c r="C1615" i="1"/>
  <c r="B1615" i="1"/>
  <c r="G1614" i="1"/>
  <c r="C1614" i="1"/>
  <c r="B1614" i="1"/>
  <c r="G1613" i="1"/>
  <c r="B1613" i="1"/>
  <c r="G1612" i="1"/>
  <c r="C1612" i="1"/>
  <c r="B1612" i="1"/>
  <c r="G1611" i="1"/>
  <c r="C1611" i="1"/>
  <c r="B1611" i="1"/>
  <c r="G1610" i="1"/>
  <c r="C1610" i="1"/>
  <c r="B1610" i="1"/>
  <c r="G1609" i="1"/>
  <c r="C1609" i="1"/>
  <c r="B1609" i="1"/>
  <c r="G1608" i="1"/>
  <c r="C1608" i="1"/>
  <c r="B1608" i="1"/>
  <c r="G1607" i="1"/>
  <c r="C1607" i="1"/>
  <c r="B1607" i="1"/>
  <c r="G1606" i="1"/>
  <c r="C1606" i="1"/>
  <c r="B1606" i="1"/>
  <c r="G1605" i="1"/>
  <c r="B1605" i="1"/>
  <c r="G1604" i="1"/>
  <c r="C1604" i="1"/>
  <c r="B1604" i="1"/>
  <c r="G1603" i="1"/>
  <c r="C1603" i="1"/>
  <c r="B1603" i="1"/>
  <c r="G1602" i="1"/>
  <c r="C1602" i="1"/>
  <c r="B1602" i="1"/>
  <c r="G1601" i="1"/>
  <c r="B1601" i="1"/>
  <c r="G1600" i="1"/>
  <c r="C1600" i="1"/>
  <c r="B1600" i="1"/>
  <c r="G1599" i="1"/>
  <c r="C1599" i="1"/>
  <c r="B1599" i="1"/>
  <c r="G1598" i="1"/>
  <c r="C1598" i="1"/>
  <c r="B1598" i="1"/>
  <c r="G1597" i="1"/>
  <c r="C1597" i="1"/>
  <c r="B1597" i="1"/>
  <c r="G1596" i="1"/>
  <c r="C1596" i="1"/>
  <c r="B1596" i="1"/>
  <c r="G1595" i="1"/>
  <c r="C1595" i="1"/>
  <c r="B1595" i="1"/>
  <c r="G1594" i="1"/>
  <c r="C1594" i="1"/>
  <c r="B1594" i="1"/>
  <c r="G1593" i="1"/>
  <c r="B1593" i="1"/>
  <c r="G1592" i="1"/>
  <c r="C1592" i="1"/>
  <c r="B1592" i="1"/>
  <c r="G1591" i="1"/>
  <c r="B1591" i="1"/>
  <c r="G1590" i="1"/>
  <c r="B1590" i="1"/>
  <c r="G1589" i="1"/>
  <c r="C1589" i="1"/>
  <c r="B1589" i="1"/>
  <c r="G1588" i="1"/>
  <c r="C1588" i="1"/>
  <c r="B1588" i="1"/>
  <c r="G1587" i="1"/>
  <c r="B1587" i="1"/>
  <c r="G1586" i="1"/>
  <c r="C1586" i="1"/>
  <c r="B1586" i="1"/>
  <c r="G1585" i="1"/>
  <c r="C1585" i="1"/>
  <c r="B1585" i="1"/>
  <c r="G1584" i="1"/>
  <c r="B1584" i="1"/>
  <c r="G1583" i="1"/>
  <c r="C1583" i="1"/>
  <c r="B1583" i="1"/>
  <c r="G1582" i="1"/>
  <c r="C1582" i="1"/>
  <c r="B1582" i="1"/>
  <c r="G1581" i="1"/>
  <c r="C1581" i="1"/>
  <c r="B1581" i="1"/>
  <c r="G1580" i="1"/>
  <c r="C1580" i="1"/>
  <c r="B1580" i="1"/>
  <c r="G1579" i="1"/>
  <c r="C1579" i="1"/>
  <c r="B1579" i="1"/>
  <c r="G1578" i="1"/>
  <c r="B1578" i="1"/>
  <c r="G1577" i="1"/>
  <c r="C1577" i="1"/>
  <c r="B1577" i="1"/>
  <c r="G1576" i="1"/>
  <c r="B1576" i="1"/>
  <c r="G1575" i="1"/>
  <c r="C1575" i="1"/>
  <c r="B1575" i="1"/>
  <c r="G1574" i="1"/>
  <c r="C1574" i="1"/>
  <c r="B1574" i="1"/>
  <c r="G1573" i="1"/>
  <c r="B1573" i="1"/>
  <c r="G1572" i="1"/>
  <c r="B1572" i="1"/>
  <c r="G1571" i="1"/>
  <c r="C1571" i="1"/>
  <c r="B1571" i="1"/>
  <c r="G1570" i="1"/>
  <c r="C1570" i="1"/>
  <c r="B1570" i="1"/>
  <c r="G1569" i="1"/>
  <c r="C1569" i="1"/>
  <c r="B1569" i="1"/>
  <c r="G1568" i="1"/>
  <c r="C1568" i="1"/>
  <c r="B1568" i="1"/>
  <c r="G1567" i="1"/>
  <c r="C1567" i="1"/>
  <c r="B1567" i="1"/>
  <c r="G1566" i="1"/>
  <c r="C1566" i="1"/>
  <c r="B1566" i="1"/>
  <c r="G1565" i="1"/>
  <c r="C1565" i="1"/>
  <c r="B1565" i="1"/>
  <c r="G1564" i="1"/>
  <c r="C1564" i="1"/>
  <c r="B1564" i="1"/>
  <c r="G1563" i="1"/>
  <c r="C1563" i="1"/>
  <c r="B1563" i="1"/>
  <c r="G1562" i="1"/>
  <c r="C1562" i="1"/>
  <c r="B1562" i="1"/>
  <c r="G1561" i="1"/>
  <c r="C1561" i="1"/>
  <c r="B1561" i="1"/>
  <c r="G1560" i="1"/>
  <c r="B1560" i="1"/>
  <c r="G1559" i="1"/>
  <c r="C1559" i="1"/>
  <c r="B1559" i="1"/>
  <c r="G1558" i="1"/>
  <c r="B1558" i="1"/>
  <c r="G1557" i="1"/>
  <c r="C1557" i="1"/>
  <c r="B1557" i="1"/>
  <c r="G1556" i="1"/>
  <c r="C1556" i="1"/>
  <c r="B1556" i="1"/>
  <c r="G1555" i="1"/>
  <c r="C1555" i="1"/>
  <c r="B1555" i="1"/>
  <c r="G1554" i="1"/>
  <c r="C1554" i="1"/>
  <c r="B1554" i="1"/>
  <c r="G1553" i="1"/>
  <c r="C1553" i="1"/>
  <c r="B1553" i="1"/>
  <c r="G1552" i="1"/>
  <c r="C1552" i="1"/>
  <c r="B1552" i="1"/>
  <c r="G1551" i="1"/>
  <c r="C1551" i="1"/>
  <c r="B1551" i="1"/>
  <c r="G1550" i="1"/>
  <c r="C1550" i="1"/>
  <c r="B1550" i="1"/>
  <c r="G1549" i="1"/>
  <c r="C1549" i="1"/>
  <c r="B1549" i="1"/>
  <c r="G1548" i="1"/>
  <c r="C1548" i="1"/>
  <c r="B1548" i="1"/>
  <c r="G1547" i="1"/>
  <c r="B1547" i="1"/>
  <c r="G1546" i="1"/>
  <c r="C1546" i="1"/>
  <c r="B1546" i="1"/>
  <c r="G1545" i="1"/>
  <c r="C1545" i="1"/>
  <c r="B1545" i="1"/>
  <c r="G1544" i="1"/>
  <c r="C1544" i="1"/>
  <c r="B1544" i="1"/>
  <c r="G1543" i="1"/>
  <c r="B1543" i="1"/>
  <c r="G1542" i="1"/>
  <c r="C1542" i="1"/>
  <c r="B1542" i="1"/>
  <c r="G1541" i="1"/>
  <c r="B1541" i="1"/>
  <c r="G1540" i="1"/>
  <c r="C1540" i="1"/>
  <c r="B1540" i="1"/>
  <c r="G1539" i="1"/>
  <c r="C1539" i="1"/>
  <c r="B1539" i="1"/>
  <c r="G1538" i="1"/>
  <c r="C1538" i="1"/>
  <c r="B1538" i="1"/>
  <c r="G1537" i="1"/>
  <c r="B1537" i="1"/>
  <c r="G1536" i="1"/>
  <c r="C1536" i="1"/>
  <c r="B1536" i="1"/>
  <c r="G1535" i="1"/>
  <c r="C1535" i="1"/>
  <c r="B1535" i="1"/>
  <c r="G1534" i="1"/>
  <c r="C1534" i="1"/>
  <c r="B1534" i="1"/>
  <c r="G1533" i="1"/>
  <c r="C1533" i="1"/>
  <c r="B1533" i="1"/>
  <c r="G1532" i="1"/>
  <c r="B1532" i="1"/>
  <c r="G1531" i="1"/>
  <c r="C1531" i="1"/>
  <c r="B1531" i="1"/>
  <c r="G1530" i="1"/>
  <c r="C1530" i="1"/>
  <c r="B1530" i="1"/>
  <c r="G1529" i="1"/>
  <c r="C1529" i="1"/>
  <c r="B1529" i="1"/>
  <c r="G1528" i="1"/>
  <c r="C1528" i="1"/>
  <c r="B1528" i="1"/>
  <c r="G1527" i="1"/>
  <c r="C1527" i="1"/>
  <c r="B1527" i="1"/>
  <c r="G1526" i="1"/>
  <c r="C1526" i="1"/>
  <c r="B1526" i="1"/>
  <c r="G1525" i="1"/>
  <c r="C1525" i="1"/>
  <c r="B1525" i="1"/>
  <c r="G1524" i="1"/>
  <c r="B1524" i="1"/>
  <c r="G1523" i="1"/>
  <c r="C1523" i="1"/>
  <c r="B1523" i="1"/>
  <c r="G1522" i="1"/>
  <c r="B1522" i="1"/>
  <c r="G1521" i="1"/>
  <c r="C1521" i="1"/>
  <c r="B1521" i="1"/>
  <c r="G1520" i="1"/>
  <c r="C1520" i="1"/>
  <c r="B1520" i="1"/>
  <c r="G1519" i="1"/>
  <c r="C1519" i="1"/>
  <c r="B1519" i="1"/>
  <c r="G1518" i="1"/>
  <c r="C1518" i="1"/>
  <c r="B1518" i="1"/>
  <c r="G1517" i="1"/>
  <c r="B1517" i="1"/>
  <c r="G1516" i="1"/>
  <c r="C1516" i="1"/>
  <c r="B1516" i="1"/>
  <c r="G1515" i="1"/>
  <c r="C1515" i="1"/>
  <c r="B1515" i="1"/>
  <c r="G1514" i="1"/>
  <c r="C1514" i="1"/>
  <c r="B1514" i="1"/>
  <c r="G1513" i="1"/>
  <c r="C1513" i="1"/>
  <c r="B1513" i="1"/>
  <c r="G1512" i="1"/>
  <c r="B1512" i="1"/>
  <c r="G1511" i="1"/>
  <c r="C1511" i="1"/>
  <c r="B1511" i="1"/>
  <c r="G1510" i="1"/>
  <c r="C1510" i="1"/>
  <c r="B1510" i="1"/>
  <c r="G1509" i="1"/>
  <c r="C1509" i="1"/>
  <c r="B1509" i="1"/>
  <c r="G1508" i="1"/>
  <c r="C1508" i="1"/>
  <c r="B1508" i="1"/>
  <c r="G1507" i="1"/>
  <c r="B1507" i="1"/>
  <c r="G1506" i="1"/>
  <c r="C1506" i="1"/>
  <c r="B1506" i="1"/>
  <c r="G1505" i="1"/>
  <c r="C1505" i="1"/>
  <c r="B1505" i="1"/>
  <c r="G1504" i="1"/>
  <c r="C1504" i="1"/>
  <c r="B1504" i="1"/>
  <c r="G1503" i="1"/>
  <c r="C1503" i="1"/>
  <c r="B1503" i="1"/>
  <c r="G1502" i="1"/>
  <c r="C1502" i="1"/>
  <c r="B1502" i="1"/>
  <c r="G1501" i="1"/>
  <c r="C1501" i="1"/>
  <c r="B1501" i="1"/>
  <c r="G1500" i="1"/>
  <c r="C1500" i="1"/>
  <c r="B1500" i="1"/>
  <c r="G1499" i="1"/>
  <c r="B1499" i="1"/>
  <c r="G1498" i="1"/>
  <c r="C1498" i="1"/>
  <c r="B1498" i="1"/>
  <c r="G1497" i="1"/>
  <c r="C1497" i="1"/>
  <c r="B1497" i="1"/>
  <c r="G1496" i="1"/>
  <c r="C1496" i="1"/>
  <c r="B1496" i="1"/>
  <c r="G1495" i="1"/>
  <c r="C1495" i="1"/>
  <c r="B1495" i="1"/>
  <c r="G1494" i="1"/>
  <c r="C1494" i="1"/>
  <c r="B1494" i="1"/>
  <c r="G1493" i="1"/>
  <c r="C1493" i="1"/>
  <c r="B1493" i="1"/>
  <c r="G1492" i="1"/>
  <c r="C1492" i="1"/>
  <c r="B1492" i="1"/>
  <c r="G1491" i="1"/>
  <c r="B1491" i="1"/>
  <c r="G1490" i="1"/>
  <c r="C1490" i="1"/>
  <c r="B1490" i="1"/>
  <c r="G1489" i="1"/>
  <c r="B1489" i="1"/>
  <c r="G1488" i="1"/>
  <c r="C1488" i="1"/>
  <c r="B1488" i="1"/>
  <c r="G1487" i="1"/>
  <c r="B1487" i="1"/>
  <c r="G1486" i="1"/>
  <c r="C1486" i="1"/>
  <c r="B1486" i="1"/>
  <c r="G1485" i="1"/>
  <c r="B1485" i="1"/>
  <c r="G1484" i="1"/>
  <c r="C1484" i="1"/>
  <c r="B1484" i="1"/>
  <c r="G1483" i="1"/>
  <c r="C1483" i="1"/>
  <c r="B1483" i="1"/>
  <c r="G1482" i="1"/>
  <c r="C1482" i="1"/>
  <c r="B1482" i="1"/>
  <c r="G1481" i="1"/>
  <c r="B1481" i="1"/>
  <c r="G1480" i="1"/>
  <c r="C1480" i="1"/>
  <c r="B1480" i="1"/>
  <c r="G1479" i="1"/>
  <c r="B1479" i="1"/>
  <c r="G1478" i="1"/>
  <c r="C1478" i="1"/>
  <c r="B1478" i="1"/>
  <c r="G1477" i="1"/>
  <c r="C1477" i="1"/>
  <c r="B1477" i="1"/>
  <c r="G1476" i="1"/>
  <c r="C1476" i="1"/>
  <c r="B1476" i="1"/>
  <c r="G1475" i="1"/>
  <c r="C1475" i="1"/>
  <c r="B1475" i="1"/>
  <c r="G1474" i="1"/>
  <c r="C1474" i="1"/>
  <c r="B1474" i="1"/>
  <c r="G1473" i="1"/>
  <c r="C1473" i="1"/>
  <c r="B1473" i="1"/>
  <c r="G1472" i="1"/>
  <c r="C1472" i="1"/>
  <c r="B1472" i="1"/>
  <c r="G1471" i="1"/>
  <c r="C1471" i="1"/>
  <c r="B1471" i="1"/>
  <c r="G1470" i="1"/>
  <c r="C1470" i="1"/>
  <c r="B1470" i="1"/>
  <c r="G1469" i="1"/>
  <c r="C1469" i="1"/>
  <c r="B1469" i="1"/>
  <c r="G1468" i="1"/>
  <c r="C1468" i="1"/>
  <c r="B1468" i="1"/>
  <c r="G1467" i="1"/>
  <c r="C1467" i="1"/>
  <c r="B1467" i="1"/>
  <c r="G1466" i="1"/>
  <c r="C1466" i="1"/>
  <c r="B1466" i="1"/>
  <c r="G1465" i="1"/>
  <c r="C1465" i="1"/>
  <c r="B1465" i="1"/>
  <c r="G1464" i="1"/>
  <c r="C1464" i="1"/>
  <c r="B1464" i="1"/>
  <c r="G1463" i="1"/>
  <c r="C1463" i="1"/>
  <c r="B1463" i="1"/>
  <c r="G1462" i="1"/>
  <c r="C1462" i="1"/>
  <c r="B1462" i="1"/>
  <c r="G1461" i="1"/>
  <c r="B1461" i="1"/>
  <c r="G1460" i="1"/>
  <c r="C1460" i="1"/>
  <c r="B1460" i="1"/>
  <c r="G1459" i="1"/>
  <c r="B1459" i="1"/>
  <c r="G1458" i="1"/>
  <c r="B1458" i="1"/>
  <c r="G1457" i="1"/>
  <c r="C1457" i="1"/>
  <c r="B1457" i="1"/>
  <c r="G1456" i="1"/>
  <c r="C1456" i="1"/>
  <c r="B1456" i="1"/>
  <c r="G1455" i="1"/>
  <c r="C1455" i="1"/>
  <c r="B1455" i="1"/>
  <c r="G1454" i="1"/>
  <c r="B1454" i="1"/>
  <c r="G1453" i="1"/>
  <c r="C1453" i="1"/>
  <c r="B1453" i="1"/>
  <c r="G1452" i="1"/>
  <c r="C1452" i="1"/>
  <c r="B1452" i="1"/>
  <c r="G1451" i="1"/>
  <c r="C1451" i="1"/>
  <c r="B1451" i="1"/>
  <c r="G1450" i="1"/>
  <c r="B1450" i="1"/>
  <c r="G1449" i="1"/>
  <c r="C1449" i="1"/>
  <c r="B1449" i="1"/>
  <c r="G1448" i="1"/>
  <c r="C1448" i="1"/>
  <c r="B1448" i="1"/>
  <c r="G1447" i="1"/>
  <c r="C1447" i="1"/>
  <c r="B1447" i="1"/>
  <c r="G1446" i="1"/>
  <c r="C1446" i="1"/>
  <c r="B1446" i="1"/>
  <c r="G1445" i="1"/>
  <c r="C1445" i="1"/>
  <c r="B1445" i="1"/>
  <c r="G1444" i="1"/>
  <c r="C1444" i="1"/>
  <c r="B1444" i="1"/>
  <c r="G1443" i="1"/>
  <c r="C1443" i="1"/>
  <c r="B1443" i="1"/>
  <c r="G1442" i="1"/>
  <c r="C1442" i="1"/>
  <c r="B1442" i="1"/>
  <c r="G1441" i="1"/>
  <c r="C1441" i="1"/>
  <c r="B1441" i="1"/>
  <c r="G1440" i="1"/>
  <c r="C1440" i="1"/>
  <c r="B1440" i="1"/>
  <c r="G1439" i="1"/>
  <c r="B1439" i="1"/>
  <c r="G1438" i="1"/>
  <c r="C1438" i="1"/>
  <c r="B1438" i="1"/>
  <c r="G1437" i="1"/>
  <c r="C1437" i="1"/>
  <c r="B1437" i="1"/>
  <c r="G1436" i="1"/>
  <c r="B1436" i="1"/>
  <c r="G1435" i="1"/>
  <c r="B1435" i="1"/>
  <c r="G1434" i="1"/>
  <c r="C1434" i="1"/>
  <c r="B1434" i="1"/>
  <c r="G1433" i="1"/>
  <c r="B1433" i="1"/>
  <c r="G1432" i="1"/>
  <c r="C1432" i="1"/>
  <c r="B1432" i="1"/>
  <c r="G1431" i="1"/>
  <c r="C1431" i="1"/>
  <c r="B1431" i="1"/>
  <c r="G1430" i="1"/>
  <c r="C1430" i="1"/>
  <c r="B1430" i="1"/>
  <c r="G1429" i="1"/>
  <c r="C1429" i="1"/>
  <c r="B1429" i="1"/>
  <c r="G1428" i="1"/>
  <c r="C1428" i="1"/>
  <c r="B1428" i="1"/>
  <c r="G1427" i="1"/>
  <c r="B1427" i="1"/>
  <c r="G1426" i="1"/>
  <c r="C1426" i="1"/>
  <c r="B1426" i="1"/>
  <c r="G1425" i="1"/>
  <c r="C1425" i="1"/>
  <c r="B1425" i="1"/>
  <c r="G1424" i="1"/>
  <c r="C1424" i="1"/>
  <c r="B1424" i="1"/>
  <c r="G1423" i="1"/>
  <c r="C1423" i="1"/>
  <c r="B1423" i="1"/>
  <c r="G1422" i="1"/>
  <c r="C1422" i="1"/>
  <c r="B1422" i="1"/>
  <c r="G1421" i="1"/>
  <c r="C1421" i="1"/>
  <c r="B1421" i="1"/>
  <c r="G1420" i="1"/>
  <c r="B1420" i="1"/>
  <c r="G1419" i="1"/>
  <c r="C1419" i="1"/>
  <c r="B1419" i="1"/>
  <c r="G1418" i="1"/>
  <c r="C1418" i="1"/>
  <c r="B1418" i="1"/>
  <c r="G1417" i="1"/>
  <c r="C1417" i="1"/>
  <c r="B1417" i="1"/>
  <c r="G1416" i="1"/>
  <c r="B1416" i="1"/>
  <c r="G1415" i="1"/>
  <c r="C1415" i="1"/>
  <c r="B1415" i="1"/>
  <c r="G1414" i="1"/>
  <c r="C1414" i="1"/>
  <c r="B1414" i="1"/>
  <c r="G1413" i="1"/>
  <c r="C1413" i="1"/>
  <c r="B1413" i="1"/>
  <c r="G1412" i="1"/>
  <c r="C1412" i="1"/>
  <c r="B1412" i="1"/>
  <c r="G1411" i="1"/>
  <c r="C1411" i="1"/>
  <c r="B1411" i="1"/>
  <c r="G1410" i="1"/>
  <c r="C1410" i="1"/>
  <c r="B1410" i="1"/>
  <c r="G1409" i="1"/>
  <c r="C1409" i="1"/>
  <c r="B1409" i="1"/>
  <c r="G1408" i="1"/>
  <c r="C1408" i="1"/>
  <c r="B1408" i="1"/>
  <c r="G1407" i="1"/>
  <c r="C1407" i="1"/>
  <c r="B1407" i="1"/>
  <c r="G1406" i="1"/>
  <c r="C1406" i="1"/>
  <c r="B1406" i="1"/>
  <c r="G1405" i="1"/>
  <c r="B1405" i="1"/>
  <c r="G1404" i="1"/>
  <c r="C1404" i="1"/>
  <c r="B1404" i="1"/>
  <c r="G1403" i="1"/>
  <c r="B1403" i="1"/>
  <c r="G1402" i="1"/>
  <c r="C1402" i="1"/>
  <c r="B1402" i="1"/>
  <c r="G1401" i="1"/>
  <c r="C1401" i="1"/>
  <c r="B1401" i="1"/>
  <c r="G1400" i="1"/>
  <c r="C1400" i="1"/>
  <c r="B1400" i="1"/>
  <c r="G1399" i="1"/>
  <c r="C1399" i="1"/>
  <c r="B1399" i="1"/>
  <c r="G1398" i="1"/>
  <c r="C1398" i="1"/>
  <c r="B1398" i="1"/>
  <c r="G1397" i="1"/>
  <c r="C1397" i="1"/>
  <c r="B1397" i="1"/>
  <c r="G1396" i="1"/>
  <c r="C1396" i="1"/>
  <c r="B1396" i="1"/>
  <c r="G1395" i="1"/>
  <c r="C1395" i="1"/>
  <c r="B1395" i="1"/>
  <c r="G1394" i="1"/>
  <c r="C1394" i="1"/>
  <c r="B1394" i="1"/>
  <c r="G1393" i="1"/>
  <c r="C1393" i="1"/>
  <c r="B1393" i="1"/>
  <c r="G1392" i="1"/>
  <c r="C1392" i="1"/>
  <c r="B1392" i="1"/>
  <c r="G1391" i="1"/>
  <c r="C1391" i="1"/>
  <c r="B1391" i="1"/>
  <c r="G1390" i="1"/>
  <c r="C1390" i="1"/>
  <c r="B1390" i="1"/>
  <c r="G1389" i="1"/>
  <c r="C1389" i="1"/>
  <c r="B1389" i="1"/>
  <c r="G1388" i="1"/>
  <c r="C1388" i="1"/>
  <c r="B1388" i="1"/>
  <c r="G1387" i="1"/>
  <c r="C1387" i="1"/>
  <c r="B1387" i="1"/>
  <c r="G1386" i="1"/>
  <c r="C1386" i="1"/>
  <c r="B1386" i="1"/>
  <c r="G1385" i="1"/>
  <c r="C1385" i="1"/>
  <c r="B1385" i="1"/>
  <c r="G1384" i="1"/>
  <c r="C1384" i="1"/>
  <c r="B1384" i="1"/>
  <c r="G1383" i="1"/>
  <c r="C1383" i="1"/>
  <c r="B1383" i="1"/>
  <c r="G1382" i="1"/>
  <c r="C1382" i="1"/>
  <c r="B1382" i="1"/>
  <c r="G1381" i="1"/>
  <c r="C1381" i="1"/>
  <c r="B1381" i="1"/>
  <c r="G1380" i="1"/>
  <c r="C1380" i="1"/>
  <c r="B1380" i="1"/>
  <c r="G1379" i="1"/>
  <c r="C1379" i="1"/>
  <c r="B1379" i="1"/>
  <c r="G1378" i="1"/>
  <c r="C1378" i="1"/>
  <c r="B1378" i="1"/>
  <c r="G1377" i="1"/>
  <c r="C1377" i="1"/>
  <c r="B1377" i="1"/>
  <c r="G1376" i="1"/>
  <c r="C1376" i="1"/>
  <c r="B1376" i="1"/>
  <c r="G1375" i="1"/>
  <c r="C1375" i="1"/>
  <c r="B1375" i="1"/>
  <c r="G1374" i="1"/>
  <c r="B1374" i="1"/>
  <c r="G1373" i="1"/>
  <c r="C1373" i="1"/>
  <c r="B1373" i="1"/>
  <c r="G1372" i="1"/>
  <c r="C1372" i="1"/>
  <c r="B1372" i="1"/>
  <c r="G1371" i="1"/>
  <c r="C1371" i="1"/>
  <c r="B1371" i="1"/>
  <c r="G1370" i="1"/>
  <c r="C1370" i="1"/>
  <c r="B1370" i="1"/>
  <c r="G1369" i="1"/>
  <c r="C1369" i="1"/>
  <c r="B1369" i="1"/>
  <c r="G1368" i="1"/>
  <c r="C1368" i="1"/>
  <c r="B1368" i="1"/>
  <c r="G1367" i="1"/>
  <c r="C1367" i="1"/>
  <c r="B1367" i="1"/>
  <c r="G1366" i="1"/>
  <c r="C1366" i="1"/>
  <c r="B1366" i="1"/>
  <c r="G1365" i="1"/>
  <c r="C1365" i="1"/>
  <c r="B1365" i="1"/>
  <c r="G1364" i="1"/>
  <c r="C1364" i="1"/>
  <c r="B1364" i="1"/>
  <c r="G1363" i="1"/>
  <c r="C1363" i="1"/>
  <c r="B1363" i="1"/>
  <c r="G1362" i="1"/>
  <c r="C1362" i="1"/>
  <c r="B1362" i="1"/>
  <c r="G1361" i="1"/>
  <c r="C1361" i="1"/>
  <c r="B1361" i="1"/>
  <c r="G1360" i="1"/>
  <c r="C1360" i="1"/>
  <c r="B1360" i="1"/>
  <c r="G1359" i="1"/>
  <c r="C1359" i="1"/>
  <c r="B1359" i="1"/>
  <c r="G1358" i="1"/>
  <c r="C1358" i="1"/>
  <c r="B1358" i="1"/>
  <c r="G1357" i="1"/>
  <c r="C1357" i="1"/>
  <c r="B1357" i="1"/>
  <c r="G1356" i="1"/>
  <c r="C1356" i="1"/>
  <c r="B1356" i="1"/>
  <c r="G1355" i="1"/>
  <c r="C1355" i="1"/>
  <c r="B1355" i="1"/>
  <c r="G1354" i="1"/>
  <c r="C1354" i="1"/>
  <c r="B1354" i="1"/>
  <c r="G1353" i="1"/>
  <c r="C1353" i="1"/>
  <c r="B1353" i="1"/>
  <c r="G1352" i="1"/>
  <c r="C1352" i="1"/>
  <c r="B1352" i="1"/>
  <c r="G1351" i="1"/>
  <c r="C1351" i="1"/>
  <c r="B1351" i="1"/>
  <c r="G1350" i="1"/>
  <c r="B1350" i="1"/>
  <c r="G1349" i="1"/>
  <c r="B1349" i="1"/>
  <c r="G1348" i="1"/>
  <c r="C1348" i="1"/>
  <c r="B1348" i="1"/>
  <c r="G1347" i="1"/>
  <c r="C1347" i="1"/>
  <c r="B1347" i="1"/>
  <c r="G1346" i="1"/>
  <c r="C1346" i="1"/>
  <c r="B1346" i="1"/>
  <c r="G1345" i="1"/>
  <c r="C1345" i="1"/>
  <c r="B1345" i="1"/>
  <c r="G1344" i="1"/>
  <c r="C1344" i="1"/>
  <c r="B1344" i="1"/>
  <c r="G1343" i="1"/>
  <c r="C1343" i="1"/>
  <c r="B1343" i="1"/>
  <c r="G1342" i="1"/>
  <c r="C1342" i="1"/>
  <c r="B1342" i="1"/>
  <c r="G1341" i="1"/>
  <c r="C1341" i="1"/>
  <c r="B1341" i="1"/>
  <c r="G1340" i="1"/>
  <c r="C1340" i="1"/>
  <c r="B1340" i="1"/>
  <c r="G1339" i="1"/>
  <c r="B1339" i="1"/>
  <c r="G1338" i="1"/>
  <c r="C1338" i="1"/>
  <c r="B1338" i="1"/>
  <c r="G1337" i="1"/>
  <c r="B1337" i="1"/>
  <c r="G1336" i="1"/>
  <c r="C1336" i="1"/>
  <c r="B1336" i="1"/>
  <c r="G1335" i="1"/>
  <c r="B1335" i="1"/>
  <c r="G1334" i="1"/>
  <c r="C1334" i="1"/>
  <c r="B1334" i="1"/>
  <c r="G1333" i="1"/>
  <c r="C1333" i="1"/>
  <c r="B1333" i="1"/>
  <c r="G1332" i="1"/>
  <c r="C1332" i="1"/>
  <c r="B1332" i="1"/>
  <c r="G1331" i="1"/>
  <c r="C1331" i="1"/>
  <c r="B1331" i="1"/>
  <c r="G1330" i="1"/>
  <c r="B1330" i="1"/>
  <c r="G1329" i="1"/>
  <c r="C1329" i="1"/>
  <c r="B1329" i="1"/>
  <c r="G1328" i="1"/>
  <c r="C1328" i="1"/>
  <c r="B1328" i="1"/>
  <c r="G1327" i="1"/>
  <c r="C1327" i="1"/>
  <c r="B1327" i="1"/>
  <c r="G1326" i="1"/>
  <c r="C1326" i="1"/>
  <c r="B1326" i="1"/>
  <c r="G1325" i="1"/>
  <c r="C1325" i="1"/>
  <c r="B1325" i="1"/>
  <c r="G1324" i="1"/>
  <c r="C1324" i="1"/>
  <c r="B1324" i="1"/>
  <c r="G1323" i="1"/>
  <c r="C1323" i="1"/>
  <c r="B1323" i="1"/>
  <c r="G1322" i="1"/>
  <c r="C1322" i="1"/>
  <c r="B1322" i="1"/>
  <c r="G1321" i="1"/>
  <c r="B1321" i="1"/>
  <c r="G1320" i="1"/>
  <c r="B1320" i="1"/>
  <c r="G1319" i="1"/>
  <c r="C1319" i="1"/>
  <c r="B1319" i="1"/>
  <c r="G1318" i="1"/>
  <c r="B1318" i="1"/>
  <c r="G1317" i="1"/>
  <c r="C1317" i="1"/>
  <c r="B1317" i="1"/>
  <c r="G1316" i="1"/>
  <c r="B1316" i="1"/>
  <c r="G1315" i="1"/>
  <c r="C1315" i="1"/>
  <c r="B1315" i="1"/>
  <c r="G1314" i="1"/>
  <c r="B1314" i="1"/>
  <c r="G1313" i="1"/>
  <c r="C1313" i="1"/>
  <c r="B1313" i="1"/>
  <c r="G1312" i="1"/>
  <c r="C1312" i="1"/>
  <c r="B1312" i="1"/>
  <c r="G1311" i="1"/>
  <c r="C1311" i="1"/>
  <c r="B1311" i="1"/>
  <c r="G1310" i="1"/>
  <c r="C1310" i="1"/>
  <c r="B1310" i="1"/>
  <c r="G1309" i="1"/>
  <c r="C1309" i="1"/>
  <c r="B1309" i="1"/>
  <c r="G1308" i="1"/>
  <c r="C1308" i="1"/>
  <c r="B1308" i="1"/>
  <c r="G1307" i="1"/>
  <c r="C1307" i="1"/>
  <c r="B1307" i="1"/>
  <c r="G1306" i="1"/>
  <c r="C1306" i="1"/>
  <c r="B1306" i="1"/>
  <c r="G1305" i="1"/>
  <c r="B1305" i="1"/>
  <c r="G1304" i="1"/>
  <c r="C1304" i="1"/>
  <c r="B1304" i="1"/>
  <c r="G1303" i="1"/>
  <c r="C1303" i="1"/>
  <c r="B1303" i="1"/>
  <c r="G1302" i="1"/>
  <c r="B1302" i="1"/>
  <c r="G1301" i="1"/>
  <c r="C1301" i="1"/>
  <c r="B1301" i="1"/>
  <c r="G1300" i="1"/>
  <c r="C1300" i="1"/>
  <c r="B1300" i="1"/>
  <c r="G1299" i="1"/>
  <c r="C1299" i="1"/>
  <c r="B1299" i="1"/>
  <c r="G1298" i="1"/>
  <c r="C1298" i="1"/>
  <c r="B1298" i="1"/>
  <c r="G1297" i="1"/>
  <c r="C1297" i="1"/>
  <c r="B1297" i="1"/>
  <c r="G1296" i="1"/>
  <c r="C1296" i="1"/>
  <c r="B1296" i="1"/>
  <c r="G1295" i="1"/>
  <c r="B1295" i="1"/>
  <c r="G1294" i="1"/>
  <c r="C1294" i="1"/>
  <c r="B1294" i="1"/>
  <c r="G1293" i="1"/>
  <c r="C1293" i="1"/>
  <c r="B1293" i="1"/>
  <c r="G1292" i="1"/>
  <c r="C1292" i="1"/>
  <c r="B1292" i="1"/>
  <c r="G1291" i="1"/>
  <c r="C1291" i="1"/>
  <c r="B1291" i="1"/>
  <c r="G1290" i="1"/>
  <c r="B1290" i="1"/>
  <c r="G1289" i="1"/>
  <c r="C1289" i="1"/>
  <c r="B1289" i="1"/>
  <c r="G1288" i="1"/>
  <c r="B1288" i="1"/>
  <c r="G1287" i="1"/>
  <c r="C1287" i="1"/>
  <c r="B1287" i="1"/>
  <c r="G1286" i="1"/>
  <c r="B1286" i="1"/>
  <c r="G1285" i="1"/>
  <c r="C1285" i="1"/>
  <c r="B1285" i="1"/>
  <c r="G1284" i="1"/>
  <c r="C1284" i="1"/>
  <c r="B1284" i="1"/>
  <c r="G1283" i="1"/>
  <c r="B1283" i="1"/>
  <c r="G1282" i="1"/>
  <c r="B1282" i="1"/>
  <c r="G1281" i="1"/>
  <c r="C1281" i="1"/>
  <c r="B1281" i="1"/>
  <c r="G1280" i="1"/>
  <c r="C1280" i="1"/>
  <c r="B1280" i="1"/>
  <c r="G1279" i="1"/>
  <c r="C1279" i="1"/>
  <c r="B1279" i="1"/>
  <c r="G1278" i="1"/>
  <c r="C1278" i="1"/>
  <c r="B1278" i="1"/>
  <c r="G1277" i="1"/>
  <c r="C1277" i="1"/>
  <c r="B1277" i="1"/>
  <c r="G1276" i="1"/>
  <c r="C1276" i="1"/>
  <c r="B1276" i="1"/>
  <c r="G1275" i="1"/>
  <c r="B1275" i="1"/>
  <c r="G1274" i="1"/>
  <c r="B1274" i="1"/>
  <c r="G1273" i="1"/>
  <c r="C1273" i="1"/>
  <c r="B1273" i="1"/>
  <c r="G1272" i="1"/>
  <c r="C1272" i="1"/>
  <c r="B1272" i="1"/>
  <c r="G1271" i="1"/>
  <c r="B1271" i="1"/>
  <c r="G1270" i="1"/>
  <c r="C1270" i="1"/>
  <c r="B1270" i="1"/>
  <c r="G1269" i="1"/>
  <c r="C1269" i="1"/>
  <c r="B1269" i="1"/>
  <c r="G1268" i="1"/>
  <c r="C1268" i="1"/>
  <c r="B1268" i="1"/>
  <c r="G1267" i="1"/>
  <c r="C1267" i="1"/>
  <c r="B1267" i="1"/>
  <c r="G1266" i="1"/>
  <c r="C1266" i="1"/>
  <c r="B1266" i="1"/>
  <c r="G1265" i="1"/>
  <c r="C1265" i="1"/>
  <c r="B1265" i="1"/>
  <c r="G1264" i="1"/>
  <c r="C1264" i="1"/>
  <c r="B1264" i="1"/>
  <c r="G1263" i="1"/>
  <c r="C1263" i="1"/>
  <c r="B1263" i="1"/>
  <c r="G1262" i="1"/>
  <c r="B1262" i="1"/>
  <c r="G1261" i="1"/>
  <c r="C1261" i="1"/>
  <c r="B1261" i="1"/>
  <c r="G1260" i="1"/>
  <c r="C1260" i="1"/>
  <c r="B1260" i="1"/>
  <c r="G1259" i="1"/>
  <c r="C1259" i="1"/>
  <c r="B1259" i="1"/>
  <c r="G1258" i="1"/>
  <c r="C1258" i="1"/>
  <c r="B1258" i="1"/>
  <c r="G1257" i="1"/>
  <c r="C1257" i="1"/>
  <c r="B1257" i="1"/>
  <c r="G1256" i="1"/>
  <c r="C1256" i="1"/>
  <c r="B1256" i="1"/>
  <c r="G1255" i="1"/>
  <c r="B1255" i="1"/>
  <c r="G1254" i="1"/>
  <c r="C1254" i="1"/>
  <c r="B1254" i="1"/>
  <c r="G1253" i="1"/>
  <c r="C1253" i="1"/>
  <c r="B1253" i="1"/>
  <c r="G1252" i="1"/>
  <c r="C1252" i="1"/>
  <c r="B1252" i="1"/>
  <c r="G1251" i="1"/>
  <c r="C1251" i="1"/>
  <c r="B1251" i="1"/>
  <c r="G1250" i="1"/>
  <c r="C1250" i="1"/>
  <c r="B1250" i="1"/>
  <c r="G1249" i="1"/>
  <c r="C1249" i="1"/>
  <c r="B1249" i="1"/>
  <c r="G1248" i="1"/>
  <c r="C1248" i="1"/>
  <c r="B1248" i="1"/>
  <c r="G1247" i="1"/>
  <c r="C1247" i="1"/>
  <c r="B1247" i="1"/>
  <c r="G1246" i="1"/>
  <c r="C1246" i="1"/>
  <c r="B1246" i="1"/>
  <c r="G1245" i="1"/>
  <c r="C1245" i="1"/>
  <c r="B1245" i="1"/>
  <c r="G1244" i="1"/>
  <c r="B1244" i="1"/>
  <c r="G1243" i="1"/>
  <c r="C1243" i="1"/>
  <c r="B1243" i="1"/>
  <c r="G1242" i="1"/>
  <c r="C1242" i="1"/>
  <c r="B1242" i="1"/>
  <c r="G1241" i="1"/>
  <c r="C1241" i="1"/>
  <c r="B1241" i="1"/>
  <c r="G1240" i="1"/>
  <c r="B1240" i="1"/>
  <c r="G1239" i="1"/>
  <c r="B1239" i="1"/>
  <c r="G1238" i="1"/>
  <c r="C1238" i="1"/>
  <c r="B1238" i="1"/>
  <c r="G1237" i="1"/>
  <c r="C1237" i="1"/>
  <c r="B1237" i="1"/>
  <c r="G1236" i="1"/>
  <c r="B1236" i="1"/>
  <c r="G1235" i="1"/>
  <c r="C1235" i="1"/>
  <c r="B1235" i="1"/>
  <c r="G1234" i="1"/>
  <c r="C1234" i="1"/>
  <c r="B1234" i="1"/>
  <c r="G1233" i="1"/>
  <c r="C1233" i="1"/>
  <c r="B1233" i="1"/>
  <c r="G1232" i="1"/>
  <c r="C1232" i="1"/>
  <c r="B1232" i="1"/>
  <c r="G1231" i="1"/>
  <c r="B1231" i="1"/>
  <c r="G1230" i="1"/>
  <c r="C1230" i="1"/>
  <c r="B1230" i="1"/>
  <c r="G1229" i="1"/>
  <c r="C1229" i="1"/>
  <c r="B1229" i="1"/>
  <c r="G1228" i="1"/>
  <c r="C1228" i="1"/>
  <c r="B1228" i="1"/>
  <c r="G1227" i="1"/>
  <c r="C1227" i="1"/>
  <c r="B1227" i="1"/>
  <c r="G1226" i="1"/>
  <c r="C1226" i="1"/>
  <c r="B1226" i="1"/>
  <c r="G1225" i="1"/>
  <c r="C1225" i="1"/>
  <c r="B1225" i="1"/>
  <c r="G1224" i="1"/>
  <c r="C1224" i="1"/>
  <c r="B1224" i="1"/>
  <c r="G1223" i="1"/>
  <c r="C1223" i="1"/>
  <c r="B1223" i="1"/>
  <c r="G1222" i="1"/>
  <c r="C1222" i="1"/>
  <c r="B1222" i="1"/>
  <c r="G1221" i="1"/>
  <c r="B1221" i="1"/>
  <c r="G1220" i="1"/>
  <c r="C1220" i="1"/>
  <c r="B1220" i="1"/>
  <c r="G1219" i="1"/>
  <c r="C1219" i="1"/>
  <c r="B1219" i="1"/>
  <c r="G1218" i="1"/>
  <c r="C1218" i="1"/>
  <c r="B1218" i="1"/>
  <c r="G1217" i="1"/>
  <c r="C1217" i="1"/>
  <c r="B1217" i="1"/>
  <c r="G1216" i="1"/>
  <c r="C1216" i="1"/>
  <c r="B1216" i="1"/>
  <c r="G1215" i="1"/>
  <c r="B1215" i="1"/>
  <c r="G1214" i="1"/>
  <c r="C1214" i="1"/>
  <c r="B1214" i="1"/>
  <c r="G1213" i="1"/>
  <c r="C1213" i="1"/>
  <c r="B1213" i="1"/>
  <c r="G1212" i="1"/>
  <c r="C1212" i="1"/>
  <c r="B1212" i="1"/>
  <c r="G1211" i="1"/>
  <c r="C1211" i="1"/>
  <c r="B1211" i="1"/>
  <c r="G1210" i="1"/>
  <c r="C1210" i="1"/>
  <c r="B1210" i="1"/>
  <c r="G1209" i="1"/>
  <c r="C1209" i="1"/>
  <c r="B1209" i="1"/>
  <c r="G1208" i="1"/>
  <c r="C1208" i="1"/>
  <c r="B1208" i="1"/>
  <c r="G1207" i="1"/>
  <c r="C1207" i="1"/>
  <c r="B1207" i="1"/>
  <c r="G1206" i="1"/>
  <c r="B1206" i="1"/>
  <c r="G1205" i="1"/>
  <c r="C1205" i="1"/>
  <c r="B1205" i="1"/>
  <c r="G1204" i="1"/>
  <c r="C1204" i="1"/>
  <c r="B1204" i="1"/>
  <c r="G1203" i="1"/>
  <c r="B1203" i="1"/>
  <c r="G1202" i="1"/>
  <c r="B1202" i="1"/>
  <c r="G1201" i="1"/>
  <c r="C1201" i="1"/>
  <c r="B1201" i="1"/>
  <c r="G1200" i="1"/>
  <c r="C1200" i="1"/>
  <c r="B1200" i="1"/>
  <c r="G1199" i="1"/>
  <c r="C1199" i="1"/>
  <c r="B1199" i="1"/>
  <c r="G1198" i="1"/>
  <c r="C1198" i="1"/>
  <c r="B1198" i="1"/>
  <c r="G1197" i="1"/>
  <c r="C1197" i="1"/>
  <c r="B1197" i="1"/>
  <c r="G1196" i="1"/>
  <c r="C1196" i="1"/>
  <c r="B1196" i="1"/>
  <c r="G1195" i="1"/>
  <c r="C1195" i="1"/>
  <c r="B1195" i="1"/>
  <c r="G1194" i="1"/>
  <c r="C1194" i="1"/>
  <c r="B1194" i="1"/>
  <c r="G1193" i="1"/>
  <c r="C1193" i="1"/>
  <c r="B1193" i="1"/>
  <c r="G1192" i="1"/>
  <c r="C1192" i="1"/>
  <c r="B1192" i="1"/>
  <c r="G1191" i="1"/>
  <c r="B1191" i="1"/>
  <c r="G1190" i="1"/>
  <c r="C1190" i="1"/>
  <c r="B1190" i="1"/>
  <c r="G1189" i="1"/>
  <c r="B1189" i="1"/>
  <c r="G1188" i="1"/>
  <c r="C1188" i="1"/>
  <c r="B1188" i="1"/>
  <c r="G1187" i="1"/>
  <c r="C1187" i="1"/>
  <c r="B1187" i="1"/>
  <c r="G1186" i="1"/>
  <c r="C1186" i="1"/>
  <c r="B1186" i="1"/>
  <c r="G1185" i="1"/>
  <c r="C1185" i="1"/>
  <c r="B1185" i="1"/>
  <c r="G1184" i="1"/>
  <c r="B1184" i="1"/>
  <c r="G1183" i="1"/>
  <c r="C1183" i="1"/>
  <c r="B1183" i="1"/>
  <c r="G1182" i="1"/>
  <c r="C1182" i="1"/>
  <c r="B1182" i="1"/>
  <c r="G1181" i="1"/>
  <c r="C1181" i="1"/>
  <c r="B1181" i="1"/>
  <c r="G1180" i="1"/>
  <c r="C1180" i="1"/>
  <c r="B1180" i="1"/>
  <c r="G1179" i="1"/>
  <c r="C1179" i="1"/>
  <c r="B1179" i="1"/>
  <c r="G1178" i="1"/>
  <c r="B1178" i="1"/>
  <c r="G1177" i="1"/>
  <c r="C1177" i="1"/>
  <c r="B1177" i="1"/>
  <c r="G1176" i="1"/>
  <c r="C1176" i="1"/>
  <c r="B1176" i="1"/>
  <c r="G1175" i="1"/>
  <c r="B1175" i="1"/>
  <c r="G1174" i="1"/>
  <c r="B1174" i="1"/>
  <c r="G1173" i="1"/>
  <c r="B1173" i="1"/>
  <c r="G1172" i="1"/>
  <c r="C1172" i="1"/>
  <c r="B1172" i="1"/>
  <c r="G1171" i="1"/>
  <c r="B1171" i="1"/>
  <c r="G1170" i="1"/>
  <c r="C1170" i="1"/>
  <c r="B1170" i="1"/>
  <c r="G1169" i="1"/>
  <c r="C1169" i="1"/>
  <c r="B1169" i="1"/>
  <c r="G1168" i="1"/>
  <c r="C1168" i="1"/>
  <c r="B1168" i="1"/>
  <c r="G1167" i="1"/>
  <c r="B1167" i="1"/>
  <c r="G1166" i="1"/>
  <c r="C1166" i="1"/>
  <c r="B1166" i="1"/>
  <c r="G1165" i="1"/>
  <c r="C1165" i="1"/>
  <c r="B1165" i="1"/>
  <c r="G1164" i="1"/>
  <c r="C1164" i="1"/>
  <c r="B1164" i="1"/>
  <c r="G1163" i="1"/>
  <c r="B1163" i="1"/>
  <c r="G1162" i="1"/>
  <c r="C1162" i="1"/>
  <c r="B1162" i="1"/>
  <c r="G1161" i="1"/>
  <c r="C1161" i="1"/>
  <c r="B1161" i="1"/>
  <c r="G1160" i="1"/>
  <c r="B1160" i="1"/>
  <c r="G1159" i="1"/>
  <c r="C1159" i="1"/>
  <c r="B1159" i="1"/>
  <c r="G1158" i="1"/>
  <c r="C1158" i="1"/>
  <c r="B1158" i="1"/>
  <c r="G1157" i="1"/>
  <c r="C1157" i="1"/>
  <c r="B1157" i="1"/>
  <c r="G1156" i="1"/>
  <c r="C1156" i="1"/>
  <c r="B1156" i="1"/>
  <c r="G1155" i="1"/>
  <c r="B1155" i="1"/>
  <c r="G1154" i="1"/>
  <c r="C1154" i="1"/>
  <c r="B1154" i="1"/>
  <c r="G1153" i="1"/>
  <c r="C1153" i="1"/>
  <c r="B1153" i="1"/>
  <c r="G1152" i="1"/>
  <c r="B1152" i="1"/>
  <c r="G1151" i="1"/>
  <c r="C1151" i="1"/>
  <c r="B1151" i="1"/>
  <c r="G1150" i="1"/>
  <c r="C1150" i="1"/>
  <c r="B1150" i="1"/>
  <c r="G1149" i="1"/>
  <c r="B1149" i="1"/>
  <c r="G1148" i="1"/>
  <c r="C1148" i="1"/>
  <c r="B1148" i="1"/>
  <c r="G1147" i="1"/>
  <c r="B1147" i="1"/>
  <c r="G1146" i="1"/>
  <c r="C1146" i="1"/>
  <c r="B1146" i="1"/>
  <c r="G1145" i="1"/>
  <c r="C1145" i="1"/>
  <c r="B1145" i="1"/>
  <c r="G1144" i="1"/>
  <c r="C1144" i="1"/>
  <c r="B1144" i="1"/>
  <c r="G1143" i="1"/>
  <c r="B1143" i="1"/>
  <c r="G1142" i="1"/>
  <c r="C1142" i="1"/>
  <c r="B1142" i="1"/>
  <c r="G1141" i="1"/>
  <c r="C1141" i="1"/>
  <c r="B1141" i="1"/>
  <c r="G1140" i="1"/>
  <c r="C1140" i="1"/>
  <c r="B1140" i="1"/>
  <c r="G1139" i="1"/>
  <c r="C1139" i="1"/>
  <c r="B1139" i="1"/>
  <c r="G1138" i="1"/>
  <c r="C1138" i="1"/>
  <c r="B1138" i="1"/>
  <c r="G1137" i="1"/>
  <c r="C1137" i="1"/>
  <c r="B1137" i="1"/>
  <c r="G1136" i="1"/>
  <c r="C1136" i="1"/>
  <c r="B1136" i="1"/>
  <c r="G1135" i="1"/>
  <c r="C1135" i="1"/>
  <c r="B1135" i="1"/>
  <c r="G1134" i="1"/>
  <c r="C1134" i="1"/>
  <c r="B1134" i="1"/>
  <c r="G1133" i="1"/>
  <c r="C1133" i="1"/>
  <c r="B1133" i="1"/>
  <c r="G1132" i="1"/>
  <c r="C1132" i="1"/>
  <c r="B1132" i="1"/>
  <c r="G1131" i="1"/>
  <c r="C1131" i="1"/>
  <c r="B1131" i="1"/>
  <c r="G1130" i="1"/>
  <c r="B1130" i="1"/>
  <c r="G1129" i="1"/>
  <c r="C1129" i="1"/>
  <c r="B1129" i="1"/>
  <c r="G1128" i="1"/>
  <c r="C1128" i="1"/>
  <c r="B1128" i="1"/>
  <c r="G1127" i="1"/>
  <c r="C1127" i="1"/>
  <c r="B1127" i="1"/>
  <c r="G1126" i="1"/>
  <c r="C1126" i="1"/>
  <c r="B1126" i="1"/>
  <c r="G1125" i="1"/>
  <c r="C1125" i="1"/>
  <c r="B1125" i="1"/>
  <c r="G1124" i="1"/>
  <c r="B1124" i="1"/>
  <c r="G1123" i="1"/>
  <c r="C1123" i="1"/>
  <c r="B1123" i="1"/>
  <c r="G1122" i="1"/>
  <c r="C1122" i="1"/>
  <c r="B1122" i="1"/>
  <c r="G1121" i="1"/>
  <c r="C1121" i="1"/>
  <c r="B1121" i="1"/>
  <c r="G1120" i="1"/>
  <c r="C1120" i="1"/>
  <c r="B1120" i="1"/>
  <c r="G1119" i="1"/>
  <c r="C1119" i="1"/>
  <c r="B1119" i="1"/>
  <c r="G1118" i="1"/>
  <c r="C1118" i="1"/>
  <c r="B1118" i="1"/>
  <c r="G1117" i="1"/>
  <c r="B1117" i="1"/>
  <c r="G1116" i="1"/>
  <c r="C1116" i="1"/>
  <c r="B1116" i="1"/>
  <c r="G1115" i="1"/>
  <c r="C1115" i="1"/>
  <c r="B1115" i="1"/>
  <c r="G1114" i="1"/>
  <c r="C1114" i="1"/>
  <c r="B1114" i="1"/>
  <c r="G1113" i="1"/>
  <c r="C1113" i="1"/>
  <c r="B1113" i="1"/>
  <c r="G1112" i="1"/>
  <c r="B1112" i="1"/>
  <c r="G1111" i="1"/>
  <c r="C1111" i="1"/>
  <c r="B1111" i="1"/>
  <c r="G1110" i="1"/>
  <c r="C1110" i="1"/>
  <c r="B1110" i="1"/>
  <c r="G1109" i="1"/>
  <c r="C1109" i="1"/>
  <c r="B1109" i="1"/>
  <c r="G1108" i="1"/>
  <c r="B1108" i="1"/>
  <c r="G1107" i="1"/>
  <c r="C1107" i="1"/>
  <c r="B1107" i="1"/>
  <c r="G1106" i="1"/>
  <c r="C1106" i="1"/>
  <c r="B1106" i="1"/>
  <c r="G1105" i="1"/>
  <c r="B1105" i="1"/>
  <c r="G1104" i="1"/>
  <c r="C1104" i="1"/>
  <c r="B1104" i="1"/>
  <c r="G1103" i="1"/>
  <c r="C1103" i="1"/>
  <c r="B1103" i="1"/>
  <c r="G1102" i="1"/>
  <c r="C1102" i="1"/>
  <c r="B1102" i="1"/>
  <c r="G1101" i="1"/>
  <c r="C1101" i="1"/>
  <c r="B1101" i="1"/>
  <c r="G1100" i="1"/>
  <c r="B1100" i="1"/>
  <c r="G1099" i="1"/>
  <c r="B1099" i="1"/>
  <c r="G1098" i="1"/>
  <c r="C1098" i="1"/>
  <c r="B1098" i="1"/>
  <c r="G1097" i="1"/>
  <c r="C1097" i="1"/>
  <c r="B1097" i="1"/>
  <c r="G1096" i="1"/>
  <c r="C1096" i="1"/>
  <c r="B1096" i="1"/>
  <c r="G1095" i="1"/>
  <c r="B1095" i="1"/>
  <c r="G1094" i="1"/>
  <c r="C1094" i="1"/>
  <c r="B1094" i="1"/>
  <c r="G1093" i="1"/>
  <c r="C1093" i="1"/>
  <c r="B1093" i="1"/>
  <c r="G1092" i="1"/>
  <c r="C1092" i="1"/>
  <c r="B1092" i="1"/>
  <c r="G1091" i="1"/>
  <c r="C1091" i="1"/>
  <c r="B1091" i="1"/>
  <c r="G1090" i="1"/>
  <c r="C1090" i="1"/>
  <c r="B1090" i="1"/>
  <c r="G1089" i="1"/>
  <c r="C1089" i="1"/>
  <c r="B1089" i="1"/>
  <c r="G1088" i="1"/>
  <c r="B1088" i="1"/>
  <c r="G1087" i="1"/>
  <c r="C1087" i="1"/>
  <c r="B1087" i="1"/>
  <c r="G1086" i="1"/>
  <c r="C1086" i="1"/>
  <c r="B1086" i="1"/>
  <c r="G1085" i="1"/>
  <c r="B1085" i="1"/>
  <c r="G1084" i="1"/>
  <c r="C1084" i="1"/>
  <c r="B1084" i="1"/>
  <c r="G1083" i="1"/>
  <c r="C1083" i="1"/>
  <c r="B1083" i="1"/>
  <c r="G1082" i="1"/>
  <c r="B1082" i="1"/>
  <c r="G1081" i="1"/>
  <c r="C1081" i="1"/>
  <c r="B1081" i="1"/>
  <c r="G1080" i="1"/>
  <c r="C1080" i="1"/>
  <c r="B1080" i="1"/>
  <c r="G1079" i="1"/>
  <c r="B1079" i="1"/>
  <c r="G1078" i="1"/>
  <c r="B1078" i="1"/>
  <c r="G1077" i="1"/>
  <c r="C1077" i="1"/>
  <c r="B1077" i="1"/>
  <c r="G1076" i="1"/>
  <c r="C1076" i="1"/>
  <c r="B1076" i="1"/>
  <c r="G1075" i="1"/>
  <c r="B1075" i="1"/>
  <c r="G1074" i="1"/>
  <c r="C1074" i="1"/>
  <c r="B1074" i="1"/>
  <c r="G1073" i="1"/>
  <c r="C1073" i="1"/>
  <c r="B1073" i="1"/>
  <c r="G1072" i="1"/>
  <c r="B1072" i="1"/>
  <c r="G1071" i="1"/>
  <c r="C1071" i="1"/>
  <c r="B1071" i="1"/>
  <c r="G1070" i="1"/>
  <c r="C1070" i="1"/>
  <c r="B1070" i="1"/>
  <c r="G1069" i="1"/>
  <c r="C1069" i="1"/>
  <c r="B1069" i="1"/>
  <c r="G1068" i="1"/>
  <c r="C1068" i="1"/>
  <c r="B1068" i="1"/>
  <c r="G1067" i="1"/>
  <c r="C1067" i="1"/>
  <c r="B1067" i="1"/>
  <c r="G1066" i="1"/>
  <c r="C1066" i="1"/>
  <c r="B1066" i="1"/>
  <c r="G1065" i="1"/>
  <c r="C1065" i="1"/>
  <c r="B1065" i="1"/>
  <c r="G1064" i="1"/>
  <c r="C1064" i="1"/>
  <c r="B1064" i="1"/>
  <c r="G1063" i="1"/>
  <c r="B1063" i="1"/>
  <c r="G1062" i="1"/>
  <c r="B1062" i="1"/>
  <c r="G1061" i="1"/>
  <c r="C1061" i="1"/>
  <c r="B1061" i="1"/>
  <c r="G1060" i="1"/>
  <c r="C1060" i="1"/>
  <c r="B1060" i="1"/>
  <c r="G1059" i="1"/>
  <c r="B1059" i="1"/>
  <c r="G1058" i="1"/>
  <c r="C1058" i="1"/>
  <c r="B1058" i="1"/>
  <c r="G1057" i="1"/>
  <c r="C1057" i="1"/>
  <c r="B1057" i="1"/>
  <c r="G1056" i="1"/>
  <c r="C1056" i="1"/>
  <c r="B1056" i="1"/>
  <c r="G1055" i="1"/>
  <c r="C1055" i="1"/>
  <c r="B1055" i="1"/>
  <c r="G1054" i="1"/>
  <c r="B1054" i="1"/>
  <c r="G1053" i="1"/>
  <c r="C1053" i="1"/>
  <c r="B1053" i="1"/>
  <c r="G1052" i="1"/>
  <c r="C1052" i="1"/>
  <c r="B1052" i="1"/>
  <c r="G1051" i="1"/>
  <c r="C1051" i="1"/>
  <c r="B1051" i="1"/>
  <c r="G1050" i="1"/>
  <c r="C1050" i="1"/>
  <c r="B1050" i="1"/>
  <c r="G1049" i="1"/>
  <c r="C1049" i="1"/>
  <c r="B1049" i="1"/>
  <c r="G1048" i="1"/>
  <c r="C1048" i="1"/>
  <c r="B1048" i="1"/>
  <c r="G1047" i="1"/>
  <c r="C1047" i="1"/>
  <c r="B1047" i="1"/>
  <c r="G1046" i="1"/>
  <c r="B1046" i="1"/>
  <c r="G1045" i="1"/>
  <c r="C1045" i="1"/>
  <c r="B1045" i="1"/>
  <c r="G1044" i="1"/>
  <c r="C1044" i="1"/>
  <c r="B1044" i="1"/>
  <c r="G1043" i="1"/>
  <c r="C1043" i="1"/>
  <c r="B1043" i="1"/>
  <c r="G1042" i="1"/>
  <c r="C1042" i="1"/>
  <c r="B1042" i="1"/>
  <c r="G1041" i="1"/>
  <c r="C1041" i="1"/>
  <c r="B1041" i="1"/>
  <c r="G1040" i="1"/>
  <c r="C1040" i="1"/>
  <c r="B1040" i="1"/>
  <c r="G1039" i="1"/>
  <c r="C1039" i="1"/>
  <c r="B1039" i="1"/>
  <c r="G1038" i="1"/>
  <c r="C1038" i="1"/>
  <c r="B1038" i="1"/>
  <c r="G1037" i="1"/>
  <c r="C1037" i="1"/>
  <c r="B1037" i="1"/>
  <c r="G1036" i="1"/>
  <c r="B1036" i="1"/>
  <c r="G1035" i="1"/>
  <c r="C1035" i="1"/>
  <c r="B1035" i="1"/>
  <c r="G1034" i="1"/>
  <c r="B1034" i="1"/>
  <c r="G1033" i="1"/>
  <c r="C1033" i="1"/>
  <c r="B1033" i="1"/>
  <c r="G1032" i="1"/>
  <c r="C1032" i="1"/>
  <c r="B1032" i="1"/>
  <c r="G1031" i="1"/>
  <c r="B1031" i="1"/>
  <c r="G1030" i="1"/>
  <c r="C1030" i="1"/>
  <c r="B1030" i="1"/>
  <c r="G1029" i="1"/>
  <c r="C1029" i="1"/>
  <c r="B1029" i="1"/>
  <c r="G1028" i="1"/>
  <c r="C1028" i="1"/>
  <c r="B1028" i="1"/>
  <c r="G1027" i="1"/>
  <c r="C1027" i="1"/>
  <c r="B1027" i="1"/>
  <c r="G1026" i="1"/>
  <c r="C1026" i="1"/>
  <c r="B1026" i="1"/>
  <c r="G1025" i="1"/>
  <c r="C1025" i="1"/>
  <c r="B1025" i="1"/>
  <c r="G1024" i="1"/>
  <c r="C1024" i="1"/>
  <c r="B1024" i="1"/>
  <c r="G1023" i="1"/>
  <c r="C1023" i="1"/>
  <c r="B1023" i="1"/>
  <c r="G1022" i="1"/>
  <c r="B1022" i="1"/>
  <c r="G1021" i="1"/>
  <c r="C1021" i="1"/>
  <c r="B1021" i="1"/>
  <c r="G1020" i="1"/>
  <c r="C1020" i="1"/>
  <c r="B1020" i="1"/>
  <c r="G1019" i="1"/>
  <c r="C1019" i="1"/>
  <c r="B1019" i="1"/>
  <c r="G1018" i="1"/>
  <c r="B1018" i="1"/>
  <c r="G1017" i="1"/>
  <c r="C1017" i="1"/>
  <c r="B1017" i="1"/>
  <c r="G1016" i="1"/>
  <c r="C1016" i="1"/>
  <c r="B1016" i="1"/>
  <c r="G1015" i="1"/>
  <c r="B1015" i="1"/>
  <c r="G1014" i="1"/>
  <c r="C1014" i="1"/>
  <c r="B1014" i="1"/>
  <c r="G1013" i="1"/>
  <c r="B1013" i="1"/>
  <c r="G1012" i="1"/>
  <c r="C1012" i="1"/>
  <c r="B1012" i="1"/>
  <c r="G1011" i="1"/>
  <c r="C1011" i="1"/>
  <c r="B1011" i="1"/>
  <c r="G1010" i="1"/>
  <c r="B1010" i="1"/>
  <c r="G1009" i="1"/>
  <c r="C1009" i="1"/>
  <c r="B1009" i="1"/>
  <c r="G1008" i="1"/>
  <c r="B1008" i="1"/>
  <c r="G1007" i="1"/>
  <c r="C1007" i="1"/>
  <c r="B1007" i="1"/>
  <c r="G1006" i="1"/>
  <c r="C1006" i="1"/>
  <c r="B1006" i="1"/>
  <c r="G1005" i="1"/>
  <c r="C1005" i="1"/>
  <c r="B1005" i="1"/>
  <c r="G1004" i="1"/>
  <c r="C1004" i="1"/>
  <c r="B1004" i="1"/>
  <c r="G1003" i="1"/>
  <c r="C1003" i="1"/>
  <c r="B1003" i="1"/>
  <c r="G1002" i="1"/>
  <c r="C1002" i="1"/>
  <c r="B1002" i="1"/>
  <c r="G1001" i="1"/>
  <c r="C1001" i="1"/>
  <c r="B1001" i="1"/>
  <c r="G1000" i="1"/>
  <c r="C1000" i="1"/>
  <c r="B1000" i="1"/>
  <c r="G999" i="1"/>
  <c r="B999" i="1"/>
  <c r="G998" i="1"/>
  <c r="C998" i="1"/>
  <c r="B998" i="1"/>
  <c r="G997" i="1"/>
  <c r="B997" i="1"/>
  <c r="G996" i="1"/>
  <c r="B996" i="1"/>
  <c r="G995" i="1"/>
  <c r="C995" i="1"/>
  <c r="B995" i="1"/>
  <c r="G994" i="1"/>
  <c r="C994" i="1"/>
  <c r="B994" i="1"/>
  <c r="G993" i="1"/>
  <c r="C993" i="1"/>
  <c r="B993" i="1"/>
  <c r="G992" i="1"/>
  <c r="C992" i="1"/>
  <c r="B992" i="1"/>
  <c r="G991" i="1"/>
  <c r="C991" i="1"/>
  <c r="B991" i="1"/>
  <c r="G990" i="1"/>
  <c r="C990" i="1"/>
  <c r="B990" i="1"/>
  <c r="G989" i="1"/>
  <c r="C989" i="1"/>
  <c r="B989" i="1"/>
  <c r="G988" i="1"/>
  <c r="C988" i="1"/>
  <c r="B988" i="1"/>
  <c r="G987" i="1"/>
  <c r="C987" i="1"/>
  <c r="B987" i="1"/>
  <c r="G986" i="1"/>
  <c r="B986" i="1"/>
  <c r="G985" i="1"/>
  <c r="C985" i="1"/>
  <c r="B985" i="1"/>
  <c r="G984" i="1"/>
  <c r="B984" i="1"/>
  <c r="G983" i="1"/>
  <c r="C983" i="1"/>
  <c r="B983" i="1"/>
  <c r="G982" i="1"/>
  <c r="C982" i="1"/>
  <c r="B982" i="1"/>
  <c r="G981" i="1"/>
  <c r="B981" i="1"/>
  <c r="G980" i="1"/>
  <c r="C980" i="1"/>
  <c r="B980" i="1"/>
  <c r="G979" i="1"/>
  <c r="C979" i="1"/>
  <c r="B979" i="1"/>
  <c r="G978" i="1"/>
  <c r="C978" i="1"/>
  <c r="B978" i="1"/>
  <c r="G977" i="1"/>
  <c r="C977" i="1"/>
  <c r="B977" i="1"/>
  <c r="G976" i="1"/>
  <c r="B976" i="1"/>
  <c r="G975" i="1"/>
  <c r="C975" i="1"/>
  <c r="B975" i="1"/>
  <c r="G974" i="1"/>
  <c r="C974" i="1"/>
  <c r="B974" i="1"/>
  <c r="G973" i="1"/>
  <c r="B973" i="1"/>
  <c r="G972" i="1"/>
  <c r="C972" i="1"/>
  <c r="B972" i="1"/>
  <c r="G971" i="1"/>
  <c r="C971" i="1"/>
  <c r="B971" i="1"/>
  <c r="G970" i="1"/>
  <c r="C970" i="1"/>
  <c r="B970" i="1"/>
  <c r="G969" i="1"/>
  <c r="C969" i="1"/>
  <c r="B969" i="1"/>
  <c r="G968" i="1"/>
  <c r="C968" i="1"/>
  <c r="B968" i="1"/>
  <c r="G967" i="1"/>
  <c r="B967" i="1"/>
  <c r="G966" i="1"/>
  <c r="C966" i="1"/>
  <c r="B966" i="1"/>
  <c r="G965" i="1"/>
  <c r="B965" i="1"/>
  <c r="G964" i="1"/>
  <c r="C964" i="1"/>
  <c r="B964" i="1"/>
  <c r="G963" i="1"/>
  <c r="C963" i="1"/>
  <c r="B963" i="1"/>
  <c r="G962" i="1"/>
  <c r="C962" i="1"/>
  <c r="B962" i="1"/>
  <c r="G961" i="1"/>
  <c r="C961" i="1"/>
  <c r="B961" i="1"/>
  <c r="G960" i="1"/>
  <c r="C960" i="1"/>
  <c r="B960" i="1"/>
  <c r="G959" i="1"/>
  <c r="C959" i="1"/>
  <c r="B959" i="1"/>
  <c r="G958" i="1"/>
  <c r="B958" i="1"/>
  <c r="G957" i="1"/>
  <c r="C957" i="1"/>
  <c r="B957" i="1"/>
  <c r="G956" i="1"/>
  <c r="B956" i="1"/>
  <c r="G955" i="1"/>
  <c r="C955" i="1"/>
  <c r="B955" i="1"/>
  <c r="G954" i="1"/>
  <c r="C954" i="1"/>
  <c r="B954" i="1"/>
  <c r="G953" i="1"/>
  <c r="C953" i="1"/>
  <c r="B953" i="1"/>
  <c r="G952" i="1"/>
  <c r="C952" i="1"/>
  <c r="B952" i="1"/>
  <c r="G951" i="1"/>
  <c r="B951" i="1"/>
  <c r="G950" i="1"/>
  <c r="C950" i="1"/>
  <c r="B950" i="1"/>
  <c r="G949" i="1"/>
  <c r="C949" i="1"/>
  <c r="B949" i="1"/>
  <c r="G948" i="1"/>
  <c r="B948" i="1"/>
  <c r="G947" i="1"/>
  <c r="C947" i="1"/>
  <c r="B947" i="1"/>
  <c r="G946" i="1"/>
  <c r="C946" i="1"/>
  <c r="B946" i="1"/>
  <c r="G945" i="1"/>
  <c r="C945" i="1"/>
  <c r="B945" i="1"/>
  <c r="G944" i="1"/>
  <c r="B944" i="1"/>
  <c r="G943" i="1"/>
  <c r="B943" i="1"/>
  <c r="G942" i="1"/>
  <c r="C942" i="1"/>
  <c r="B942" i="1"/>
  <c r="G941" i="1"/>
  <c r="C941" i="1"/>
  <c r="B941" i="1"/>
  <c r="G940" i="1"/>
  <c r="B940" i="1"/>
  <c r="G939" i="1"/>
  <c r="C939" i="1"/>
  <c r="B939" i="1"/>
  <c r="G938" i="1"/>
  <c r="C938" i="1"/>
  <c r="B938" i="1"/>
  <c r="G937" i="1"/>
  <c r="B937" i="1"/>
  <c r="G936" i="1"/>
  <c r="C936" i="1"/>
  <c r="B936" i="1"/>
  <c r="G935" i="1"/>
  <c r="C935" i="1"/>
  <c r="B935" i="1"/>
  <c r="G934" i="1"/>
  <c r="C934" i="1"/>
  <c r="B934" i="1"/>
  <c r="G933" i="1"/>
  <c r="C933" i="1"/>
  <c r="B933" i="1"/>
  <c r="G932" i="1"/>
  <c r="C932" i="1"/>
  <c r="B932" i="1"/>
  <c r="G931" i="1"/>
  <c r="C931" i="1"/>
  <c r="B931" i="1"/>
  <c r="G930" i="1"/>
  <c r="C930" i="1"/>
  <c r="B930" i="1"/>
  <c r="G929" i="1"/>
  <c r="C929" i="1"/>
  <c r="B929" i="1"/>
  <c r="G928" i="1"/>
  <c r="C928" i="1"/>
  <c r="B928" i="1"/>
  <c r="G927" i="1"/>
  <c r="B927" i="1"/>
  <c r="G926" i="1"/>
  <c r="C926" i="1"/>
  <c r="B926" i="1"/>
  <c r="G925" i="1"/>
  <c r="B925" i="1"/>
  <c r="G924" i="1"/>
  <c r="C924" i="1"/>
  <c r="B924" i="1"/>
  <c r="G923" i="1"/>
  <c r="B923" i="1"/>
  <c r="G922" i="1"/>
  <c r="C922" i="1"/>
  <c r="B922" i="1"/>
  <c r="G921" i="1"/>
  <c r="C921" i="1"/>
  <c r="B921" i="1"/>
  <c r="G920" i="1"/>
  <c r="C920" i="1"/>
  <c r="B920" i="1"/>
  <c r="G919" i="1"/>
  <c r="B919" i="1"/>
  <c r="G918" i="1"/>
  <c r="C918" i="1"/>
  <c r="B918" i="1"/>
  <c r="G917" i="1"/>
  <c r="C917" i="1"/>
  <c r="B917" i="1"/>
  <c r="G916" i="1"/>
  <c r="C916" i="1"/>
  <c r="B916" i="1"/>
  <c r="G915" i="1"/>
  <c r="B915" i="1"/>
  <c r="G914" i="1"/>
  <c r="B914" i="1"/>
  <c r="G913" i="1"/>
  <c r="C913" i="1"/>
  <c r="B913" i="1"/>
  <c r="G912" i="1"/>
  <c r="C912" i="1"/>
  <c r="B912" i="1"/>
  <c r="G911" i="1"/>
  <c r="C911" i="1"/>
  <c r="B911" i="1"/>
  <c r="G910" i="1"/>
  <c r="C910" i="1"/>
  <c r="B910" i="1"/>
  <c r="G909" i="1"/>
  <c r="C909" i="1"/>
  <c r="B909" i="1"/>
  <c r="G908" i="1"/>
  <c r="C908" i="1"/>
  <c r="B908" i="1"/>
  <c r="G907" i="1"/>
  <c r="C907" i="1"/>
  <c r="B907" i="1"/>
  <c r="G906" i="1"/>
  <c r="B906" i="1"/>
  <c r="G905" i="1"/>
  <c r="C905" i="1"/>
  <c r="B905" i="1"/>
  <c r="G904" i="1"/>
  <c r="B904" i="1"/>
  <c r="G903" i="1"/>
  <c r="B903" i="1"/>
  <c r="G902" i="1"/>
  <c r="C902" i="1"/>
  <c r="B902" i="1"/>
  <c r="G901" i="1"/>
  <c r="C901" i="1"/>
  <c r="B901" i="1"/>
  <c r="G900" i="1"/>
  <c r="B900" i="1"/>
  <c r="G899" i="1"/>
  <c r="C899" i="1"/>
  <c r="B899" i="1"/>
  <c r="G898" i="1"/>
  <c r="C898" i="1"/>
  <c r="B898" i="1"/>
  <c r="G897" i="1"/>
  <c r="C897" i="1"/>
  <c r="B897" i="1"/>
  <c r="G896" i="1"/>
  <c r="B896" i="1"/>
  <c r="G895" i="1"/>
  <c r="B895" i="1"/>
  <c r="G894" i="1"/>
  <c r="C894" i="1"/>
  <c r="B894" i="1"/>
  <c r="G893" i="1"/>
  <c r="C893" i="1"/>
  <c r="B893" i="1"/>
  <c r="G892" i="1"/>
  <c r="B892" i="1"/>
  <c r="G891" i="1"/>
  <c r="B891" i="1"/>
  <c r="G890" i="1"/>
  <c r="C890" i="1"/>
  <c r="B890" i="1"/>
  <c r="G889" i="1"/>
  <c r="C889" i="1"/>
  <c r="B889" i="1"/>
  <c r="G888" i="1"/>
  <c r="C888" i="1"/>
  <c r="B888" i="1"/>
  <c r="G887" i="1"/>
  <c r="C887" i="1"/>
  <c r="B887" i="1"/>
  <c r="G886" i="1"/>
  <c r="B886" i="1"/>
  <c r="G885" i="1"/>
  <c r="C885" i="1"/>
  <c r="B885" i="1"/>
  <c r="G884" i="1"/>
  <c r="C884" i="1"/>
  <c r="B884" i="1"/>
  <c r="G883" i="1"/>
  <c r="C883" i="1"/>
  <c r="B883" i="1"/>
  <c r="G882" i="1"/>
  <c r="C882" i="1"/>
  <c r="B882" i="1"/>
  <c r="G881" i="1"/>
  <c r="C881" i="1"/>
  <c r="B881" i="1"/>
  <c r="G880" i="1"/>
  <c r="C880" i="1"/>
  <c r="B880" i="1"/>
  <c r="G879" i="1"/>
  <c r="C879" i="1"/>
  <c r="B879" i="1"/>
  <c r="G878" i="1"/>
  <c r="B878" i="1"/>
  <c r="G877" i="1"/>
  <c r="C877" i="1"/>
  <c r="B877" i="1"/>
  <c r="G876" i="1"/>
  <c r="B876" i="1"/>
  <c r="G875" i="1"/>
  <c r="C875" i="1"/>
  <c r="B875" i="1"/>
  <c r="G874" i="1"/>
  <c r="C874" i="1"/>
  <c r="B874" i="1"/>
  <c r="G873" i="1"/>
  <c r="C873" i="1"/>
  <c r="B873" i="1"/>
  <c r="G872" i="1"/>
  <c r="C872" i="1"/>
  <c r="B872" i="1"/>
  <c r="G871" i="1"/>
  <c r="B871" i="1"/>
  <c r="G870" i="1"/>
  <c r="C870" i="1"/>
  <c r="B870" i="1"/>
  <c r="G869" i="1"/>
  <c r="C869" i="1"/>
  <c r="B869" i="1"/>
  <c r="G868" i="1"/>
  <c r="C868" i="1"/>
  <c r="B868" i="1"/>
  <c r="G867" i="1"/>
  <c r="C867" i="1"/>
  <c r="B867" i="1"/>
  <c r="G866" i="1"/>
  <c r="C866" i="1"/>
  <c r="B866" i="1"/>
  <c r="G865" i="1"/>
  <c r="C865" i="1"/>
  <c r="B865" i="1"/>
  <c r="G864" i="1"/>
  <c r="B864" i="1"/>
  <c r="G863" i="1"/>
  <c r="B863" i="1"/>
  <c r="G862" i="1"/>
  <c r="B862" i="1"/>
  <c r="G861" i="1"/>
  <c r="C861" i="1"/>
  <c r="B861" i="1"/>
  <c r="G860" i="1"/>
  <c r="B860" i="1"/>
  <c r="G859" i="1"/>
  <c r="C859" i="1"/>
  <c r="B859" i="1"/>
  <c r="G858" i="1"/>
  <c r="C858" i="1"/>
  <c r="B858" i="1"/>
  <c r="G857" i="1"/>
  <c r="C857" i="1"/>
  <c r="B857" i="1"/>
  <c r="G856" i="1"/>
  <c r="B856" i="1"/>
  <c r="G855" i="1"/>
  <c r="C855" i="1"/>
  <c r="B855" i="1"/>
  <c r="G854" i="1"/>
  <c r="C854" i="1"/>
  <c r="B854" i="1"/>
  <c r="G853" i="1"/>
  <c r="B853" i="1"/>
  <c r="G852" i="1"/>
  <c r="C852" i="1"/>
  <c r="B852" i="1"/>
  <c r="G851" i="1"/>
  <c r="C851" i="1"/>
  <c r="B851" i="1"/>
  <c r="G850" i="1"/>
  <c r="C850" i="1"/>
  <c r="B850" i="1"/>
  <c r="G849" i="1"/>
  <c r="B849" i="1"/>
  <c r="G848" i="1"/>
  <c r="B848" i="1"/>
  <c r="G847" i="1"/>
  <c r="C847" i="1"/>
  <c r="B847" i="1"/>
  <c r="G846" i="1"/>
  <c r="C846" i="1"/>
  <c r="B846" i="1"/>
  <c r="G845" i="1"/>
  <c r="C845" i="1"/>
  <c r="B845" i="1"/>
  <c r="G844" i="1"/>
  <c r="C844" i="1"/>
  <c r="B844" i="1"/>
  <c r="G843" i="1"/>
  <c r="C843" i="1"/>
  <c r="B843" i="1"/>
  <c r="G842" i="1"/>
  <c r="B842" i="1"/>
  <c r="G841" i="1"/>
  <c r="C841" i="1"/>
  <c r="B841" i="1"/>
  <c r="G840" i="1"/>
  <c r="C840" i="1"/>
  <c r="B840" i="1"/>
  <c r="G839" i="1"/>
  <c r="C839" i="1"/>
  <c r="B839" i="1"/>
  <c r="G838" i="1"/>
  <c r="B838" i="1"/>
  <c r="G837" i="1"/>
  <c r="C837" i="1"/>
  <c r="B837" i="1"/>
  <c r="G836" i="1"/>
  <c r="C836" i="1"/>
  <c r="B836" i="1"/>
  <c r="G835" i="1"/>
  <c r="C835" i="1"/>
  <c r="B835" i="1"/>
  <c r="G834" i="1"/>
  <c r="C834" i="1"/>
  <c r="B834" i="1"/>
  <c r="G833" i="1"/>
  <c r="C833" i="1"/>
  <c r="B833" i="1"/>
  <c r="G832" i="1"/>
  <c r="C832" i="1"/>
  <c r="B832" i="1"/>
  <c r="G831" i="1"/>
  <c r="C831" i="1"/>
  <c r="B831" i="1"/>
  <c r="G830" i="1"/>
  <c r="C830" i="1"/>
  <c r="B830" i="1"/>
  <c r="G829" i="1"/>
  <c r="B829" i="1"/>
  <c r="G828" i="1"/>
  <c r="C828" i="1"/>
  <c r="B828" i="1"/>
  <c r="G827" i="1"/>
  <c r="C827" i="1"/>
  <c r="B827" i="1"/>
  <c r="G826" i="1"/>
  <c r="C826" i="1"/>
  <c r="B826" i="1"/>
  <c r="G825" i="1"/>
  <c r="C825" i="1"/>
  <c r="B825" i="1"/>
  <c r="G824" i="1"/>
  <c r="B824" i="1"/>
  <c r="G823" i="1"/>
  <c r="C823" i="1"/>
  <c r="B823" i="1"/>
  <c r="G822" i="1"/>
  <c r="C822" i="1"/>
  <c r="B822" i="1"/>
  <c r="G821" i="1"/>
  <c r="C821" i="1"/>
  <c r="B821" i="1"/>
  <c r="G820" i="1"/>
  <c r="C820" i="1"/>
  <c r="B820" i="1"/>
  <c r="G819" i="1"/>
  <c r="C819" i="1"/>
  <c r="B819" i="1"/>
  <c r="G818" i="1"/>
  <c r="B818" i="1"/>
  <c r="G817" i="1"/>
  <c r="C817" i="1"/>
  <c r="B817" i="1"/>
  <c r="G816" i="1"/>
  <c r="B816" i="1"/>
  <c r="G815" i="1"/>
  <c r="B815" i="1"/>
  <c r="G814" i="1"/>
  <c r="C814" i="1"/>
  <c r="B814" i="1"/>
  <c r="G813" i="1"/>
  <c r="C813" i="1"/>
  <c r="B813" i="1"/>
  <c r="G812" i="1"/>
  <c r="C812" i="1"/>
  <c r="B812" i="1"/>
  <c r="G811" i="1"/>
  <c r="C811" i="1"/>
  <c r="B811" i="1"/>
  <c r="G810" i="1"/>
  <c r="C810" i="1"/>
  <c r="B810" i="1"/>
  <c r="G809" i="1"/>
  <c r="C809" i="1"/>
  <c r="B809" i="1"/>
  <c r="G808" i="1"/>
  <c r="C808" i="1"/>
  <c r="B808" i="1"/>
  <c r="G807" i="1"/>
  <c r="C807" i="1"/>
  <c r="B807" i="1"/>
  <c r="G806" i="1"/>
  <c r="C806" i="1"/>
  <c r="B806" i="1"/>
  <c r="G805" i="1"/>
  <c r="C805" i="1"/>
  <c r="B805" i="1"/>
  <c r="G804" i="1"/>
  <c r="C804" i="1"/>
  <c r="B804" i="1"/>
  <c r="G803" i="1"/>
  <c r="C803" i="1"/>
  <c r="B803" i="1"/>
  <c r="G802" i="1"/>
  <c r="B802" i="1"/>
  <c r="G801" i="1"/>
  <c r="C801" i="1"/>
  <c r="B801" i="1"/>
  <c r="G800" i="1"/>
  <c r="C800" i="1"/>
  <c r="B800" i="1"/>
  <c r="G799" i="1"/>
  <c r="C799" i="1"/>
  <c r="B799" i="1"/>
  <c r="G798" i="1"/>
  <c r="B798" i="1"/>
  <c r="G797" i="1"/>
  <c r="C797" i="1"/>
  <c r="B797" i="1"/>
  <c r="G796" i="1"/>
  <c r="C796" i="1"/>
  <c r="B796" i="1"/>
  <c r="G795" i="1"/>
  <c r="C795" i="1"/>
  <c r="B795" i="1"/>
  <c r="G794" i="1"/>
  <c r="B794" i="1"/>
  <c r="G793" i="1"/>
  <c r="B793" i="1"/>
  <c r="G792" i="1"/>
  <c r="C792" i="1"/>
  <c r="B792" i="1"/>
  <c r="G791" i="1"/>
  <c r="B791" i="1"/>
  <c r="G790" i="1"/>
  <c r="C790" i="1"/>
  <c r="B790" i="1"/>
  <c r="G789" i="1"/>
  <c r="C789" i="1"/>
  <c r="B789" i="1"/>
  <c r="G788" i="1"/>
  <c r="C788" i="1"/>
  <c r="B788" i="1"/>
  <c r="G787" i="1"/>
  <c r="B787" i="1"/>
  <c r="G786" i="1"/>
  <c r="B786" i="1"/>
  <c r="G785" i="1"/>
  <c r="C785" i="1"/>
  <c r="B785" i="1"/>
  <c r="G784" i="1"/>
  <c r="C784" i="1"/>
  <c r="B784" i="1"/>
  <c r="G783" i="1"/>
  <c r="C783" i="1"/>
  <c r="B783" i="1"/>
  <c r="G782" i="1"/>
  <c r="C782" i="1"/>
  <c r="B782" i="1"/>
  <c r="G781" i="1"/>
  <c r="C781" i="1"/>
  <c r="B781" i="1"/>
  <c r="G780" i="1"/>
  <c r="B780" i="1"/>
  <c r="G779" i="1"/>
  <c r="C779" i="1"/>
  <c r="B779" i="1"/>
  <c r="G778" i="1"/>
  <c r="C778" i="1"/>
  <c r="B778" i="1"/>
  <c r="G777" i="1"/>
  <c r="C777" i="1"/>
  <c r="B777" i="1"/>
  <c r="G776" i="1"/>
  <c r="B776" i="1"/>
  <c r="G775" i="1"/>
  <c r="C775" i="1"/>
  <c r="B775" i="1"/>
  <c r="G774" i="1"/>
  <c r="C774" i="1"/>
  <c r="B774" i="1"/>
  <c r="G773" i="1"/>
  <c r="B773" i="1"/>
  <c r="G772" i="1"/>
  <c r="B772" i="1"/>
  <c r="G771" i="1"/>
  <c r="B771" i="1"/>
  <c r="G770" i="1"/>
  <c r="C770" i="1"/>
  <c r="B770" i="1"/>
  <c r="G769" i="1"/>
  <c r="C769" i="1"/>
  <c r="B769" i="1"/>
  <c r="G768" i="1"/>
  <c r="C768" i="1"/>
  <c r="B768" i="1"/>
  <c r="G767" i="1"/>
  <c r="C767" i="1"/>
  <c r="B767" i="1"/>
  <c r="G766" i="1"/>
  <c r="C766" i="1"/>
  <c r="B766" i="1"/>
  <c r="G765" i="1"/>
  <c r="B765" i="1"/>
  <c r="G764" i="1"/>
  <c r="C764" i="1"/>
  <c r="B764" i="1"/>
  <c r="G763" i="1"/>
  <c r="C763" i="1"/>
  <c r="B763" i="1"/>
  <c r="G762" i="1"/>
  <c r="B762" i="1"/>
  <c r="G761" i="1"/>
  <c r="C761" i="1"/>
  <c r="B761" i="1"/>
  <c r="G760" i="1"/>
  <c r="C760" i="1"/>
  <c r="B760" i="1"/>
  <c r="G759" i="1"/>
  <c r="C759" i="1"/>
  <c r="B759" i="1"/>
  <c r="G758" i="1"/>
  <c r="B758" i="1"/>
  <c r="G757" i="1"/>
  <c r="B757" i="1"/>
  <c r="G756" i="1"/>
  <c r="C756" i="1"/>
  <c r="B756" i="1"/>
  <c r="G755" i="1"/>
  <c r="C755" i="1"/>
  <c r="B755" i="1"/>
  <c r="G754" i="1"/>
  <c r="C754" i="1"/>
  <c r="B754" i="1"/>
  <c r="G753" i="1"/>
  <c r="C753" i="1"/>
  <c r="B753" i="1"/>
  <c r="G752" i="1"/>
  <c r="B752" i="1"/>
  <c r="G751" i="1"/>
  <c r="C751" i="1"/>
  <c r="B751" i="1"/>
  <c r="G750" i="1"/>
  <c r="B750" i="1"/>
  <c r="G749" i="1"/>
  <c r="B749" i="1"/>
  <c r="G748" i="1"/>
  <c r="C748" i="1"/>
  <c r="B748" i="1"/>
  <c r="G747" i="1"/>
  <c r="C747" i="1"/>
  <c r="B747" i="1"/>
  <c r="G746" i="1"/>
  <c r="B746" i="1"/>
  <c r="G745" i="1"/>
  <c r="C745" i="1"/>
  <c r="B745" i="1"/>
  <c r="G744" i="1"/>
  <c r="C744" i="1"/>
  <c r="B744" i="1"/>
  <c r="G743" i="1"/>
  <c r="C743" i="1"/>
  <c r="B743" i="1"/>
  <c r="G742" i="1"/>
  <c r="C742" i="1"/>
  <c r="B742" i="1"/>
  <c r="G741" i="1"/>
  <c r="C741" i="1"/>
  <c r="B741" i="1"/>
  <c r="G740" i="1"/>
  <c r="C740" i="1"/>
  <c r="B740" i="1"/>
  <c r="G739" i="1"/>
  <c r="C739" i="1"/>
  <c r="B739" i="1"/>
  <c r="G738" i="1"/>
  <c r="B738" i="1"/>
  <c r="G737" i="1"/>
  <c r="C737" i="1"/>
  <c r="B737" i="1"/>
  <c r="G736" i="1"/>
  <c r="C736" i="1"/>
  <c r="B736" i="1"/>
  <c r="G735" i="1"/>
  <c r="B735" i="1"/>
  <c r="G734" i="1"/>
  <c r="C734" i="1"/>
  <c r="B734" i="1"/>
  <c r="G733" i="1"/>
  <c r="C733" i="1"/>
  <c r="B733" i="1"/>
  <c r="G732" i="1"/>
  <c r="C732" i="1"/>
  <c r="B732" i="1"/>
  <c r="G731" i="1"/>
  <c r="B731" i="1"/>
  <c r="G730" i="1"/>
  <c r="B730" i="1"/>
  <c r="G729" i="1"/>
  <c r="C729" i="1"/>
  <c r="B729" i="1"/>
  <c r="G728" i="1"/>
  <c r="C728" i="1"/>
  <c r="B728" i="1"/>
  <c r="G727" i="1"/>
  <c r="B727" i="1"/>
  <c r="G726" i="1"/>
  <c r="C726" i="1"/>
  <c r="B726" i="1"/>
  <c r="G725" i="1"/>
  <c r="C725" i="1"/>
  <c r="B725" i="1"/>
  <c r="G724" i="1"/>
  <c r="C724" i="1"/>
  <c r="B724" i="1"/>
  <c r="G723" i="1"/>
  <c r="C723" i="1"/>
  <c r="B723" i="1"/>
  <c r="G722" i="1"/>
  <c r="C722" i="1"/>
  <c r="B722" i="1"/>
  <c r="G721" i="1"/>
  <c r="B721" i="1"/>
  <c r="G720" i="1"/>
  <c r="C720" i="1"/>
  <c r="B720" i="1"/>
  <c r="G719" i="1"/>
  <c r="C719" i="1"/>
  <c r="B719" i="1"/>
  <c r="G718" i="1"/>
  <c r="C718" i="1"/>
  <c r="B718" i="1"/>
  <c r="G717" i="1"/>
  <c r="C717" i="1"/>
  <c r="B717" i="1"/>
  <c r="G716" i="1"/>
  <c r="B716" i="1"/>
  <c r="G715" i="1"/>
  <c r="B715" i="1"/>
  <c r="G714" i="1"/>
  <c r="C714" i="1"/>
  <c r="B714" i="1"/>
  <c r="G713" i="1"/>
  <c r="B713" i="1"/>
  <c r="G712" i="1"/>
  <c r="B712" i="1"/>
  <c r="G711" i="1"/>
  <c r="C711" i="1"/>
  <c r="B711" i="1"/>
  <c r="G710" i="1"/>
  <c r="C710" i="1"/>
  <c r="B710" i="1"/>
  <c r="G709" i="1"/>
  <c r="B709" i="1"/>
  <c r="G708" i="1"/>
  <c r="C708" i="1"/>
  <c r="B708" i="1"/>
  <c r="G707" i="1"/>
  <c r="B707" i="1"/>
  <c r="G706" i="1"/>
  <c r="C706" i="1"/>
  <c r="B706" i="1"/>
  <c r="G705" i="1"/>
  <c r="C705" i="1"/>
  <c r="B705" i="1"/>
  <c r="G704" i="1"/>
  <c r="C704" i="1"/>
  <c r="B704" i="1"/>
  <c r="G703" i="1"/>
  <c r="C703" i="1"/>
  <c r="B703" i="1"/>
  <c r="G702" i="1"/>
  <c r="C702" i="1"/>
  <c r="B702" i="1"/>
  <c r="G701" i="1"/>
  <c r="C701" i="1"/>
  <c r="B701" i="1"/>
  <c r="G700" i="1"/>
  <c r="B700" i="1"/>
  <c r="G699" i="1"/>
  <c r="C699" i="1"/>
  <c r="B699" i="1"/>
  <c r="G698" i="1"/>
  <c r="C698" i="1"/>
  <c r="B698" i="1"/>
  <c r="G697" i="1"/>
  <c r="C697" i="1"/>
  <c r="B697" i="1"/>
  <c r="G696" i="1"/>
  <c r="C696" i="1"/>
  <c r="B696" i="1"/>
  <c r="G695" i="1"/>
  <c r="C695" i="1"/>
  <c r="B695" i="1"/>
  <c r="G694" i="1"/>
  <c r="C694" i="1"/>
  <c r="B694" i="1"/>
  <c r="G693" i="1"/>
  <c r="C693" i="1"/>
  <c r="B693" i="1"/>
  <c r="G692" i="1"/>
  <c r="C692" i="1"/>
  <c r="B692" i="1"/>
  <c r="G691" i="1"/>
  <c r="C691" i="1"/>
  <c r="B691" i="1"/>
  <c r="G690" i="1"/>
  <c r="C690" i="1"/>
  <c r="B690" i="1"/>
  <c r="G689" i="1"/>
  <c r="B689" i="1"/>
  <c r="G688" i="1"/>
  <c r="C688" i="1"/>
  <c r="B688" i="1"/>
  <c r="G687" i="1"/>
  <c r="C687" i="1"/>
  <c r="B687" i="1"/>
  <c r="G686" i="1"/>
  <c r="B686" i="1"/>
  <c r="G685" i="1"/>
  <c r="C685" i="1"/>
  <c r="B685" i="1"/>
  <c r="G684" i="1"/>
  <c r="C684" i="1"/>
  <c r="B684" i="1"/>
  <c r="G683" i="1"/>
  <c r="C683" i="1"/>
  <c r="B683" i="1"/>
  <c r="G682" i="1"/>
  <c r="C682" i="1"/>
  <c r="B682" i="1"/>
  <c r="G681" i="1"/>
  <c r="C681" i="1"/>
  <c r="B681" i="1"/>
  <c r="G680" i="1"/>
  <c r="C680" i="1"/>
  <c r="B680" i="1"/>
  <c r="G679" i="1"/>
  <c r="C679" i="1"/>
  <c r="B679" i="1"/>
  <c r="G678" i="1"/>
  <c r="C678" i="1"/>
  <c r="B678" i="1"/>
  <c r="G677" i="1"/>
  <c r="C677" i="1"/>
  <c r="B677" i="1"/>
  <c r="G676" i="1"/>
  <c r="B676" i="1"/>
  <c r="G675" i="1"/>
  <c r="B675" i="1"/>
  <c r="G674" i="1"/>
  <c r="B674" i="1"/>
  <c r="G673" i="1"/>
  <c r="C673" i="1"/>
  <c r="B673" i="1"/>
  <c r="G672" i="1"/>
  <c r="B672" i="1"/>
  <c r="G671" i="1"/>
  <c r="B671" i="1"/>
  <c r="G670" i="1"/>
  <c r="B670" i="1"/>
  <c r="G669" i="1"/>
  <c r="B669" i="1"/>
  <c r="G668" i="1"/>
  <c r="C668" i="1"/>
  <c r="B668" i="1"/>
  <c r="G667" i="1"/>
  <c r="C667" i="1"/>
  <c r="B667" i="1"/>
  <c r="G666" i="1"/>
  <c r="B666" i="1"/>
  <c r="G665" i="1"/>
  <c r="C665" i="1"/>
  <c r="B665" i="1"/>
  <c r="G664" i="1"/>
  <c r="B664" i="1"/>
  <c r="G663" i="1"/>
  <c r="C663" i="1"/>
  <c r="B663" i="1"/>
  <c r="G662" i="1"/>
  <c r="C662" i="1"/>
  <c r="B662" i="1"/>
  <c r="G661" i="1"/>
  <c r="C661" i="1"/>
  <c r="B661" i="1"/>
  <c r="G660" i="1"/>
  <c r="C660" i="1"/>
  <c r="B660" i="1"/>
  <c r="G659" i="1"/>
  <c r="C659" i="1"/>
  <c r="B659" i="1"/>
  <c r="G658" i="1"/>
  <c r="C658" i="1"/>
  <c r="B658" i="1"/>
  <c r="G657" i="1"/>
  <c r="B657" i="1"/>
  <c r="G656" i="1"/>
  <c r="B656" i="1"/>
  <c r="G655" i="1"/>
  <c r="C655" i="1"/>
  <c r="B655" i="1"/>
  <c r="G654" i="1"/>
  <c r="C654" i="1"/>
  <c r="B654" i="1"/>
  <c r="G653" i="1"/>
  <c r="C653" i="1"/>
  <c r="B653" i="1"/>
  <c r="G652" i="1"/>
  <c r="B652" i="1"/>
  <c r="G651" i="1"/>
  <c r="C651" i="1"/>
  <c r="B651" i="1"/>
  <c r="G650" i="1"/>
  <c r="B650" i="1"/>
  <c r="G649" i="1"/>
  <c r="C649" i="1"/>
  <c r="B649" i="1"/>
  <c r="G648" i="1"/>
  <c r="B648" i="1"/>
  <c r="G647" i="1"/>
  <c r="C647" i="1"/>
  <c r="B647" i="1"/>
  <c r="G646" i="1"/>
  <c r="C646" i="1"/>
  <c r="B646" i="1"/>
  <c r="G645" i="1"/>
  <c r="C645" i="1"/>
  <c r="B645" i="1"/>
  <c r="G644" i="1"/>
  <c r="B644" i="1"/>
  <c r="G643" i="1"/>
  <c r="C643" i="1"/>
  <c r="B643" i="1"/>
  <c r="G642" i="1"/>
  <c r="C642" i="1"/>
  <c r="B642" i="1"/>
  <c r="G641" i="1"/>
  <c r="C641" i="1"/>
  <c r="B641" i="1"/>
  <c r="G640" i="1"/>
  <c r="B640" i="1"/>
  <c r="G639" i="1"/>
  <c r="B639" i="1"/>
  <c r="G638" i="1"/>
  <c r="C638" i="1"/>
  <c r="B638" i="1"/>
  <c r="G637" i="1"/>
  <c r="B637" i="1"/>
  <c r="G636" i="1"/>
  <c r="C636" i="1"/>
  <c r="B636" i="1"/>
  <c r="G635" i="1"/>
  <c r="B635" i="1"/>
  <c r="G634" i="1"/>
  <c r="C634" i="1"/>
  <c r="B634" i="1"/>
  <c r="G633" i="1"/>
  <c r="C633" i="1"/>
  <c r="B633" i="1"/>
  <c r="G632" i="1"/>
  <c r="C632" i="1"/>
  <c r="B632" i="1"/>
  <c r="G631" i="1"/>
  <c r="C631" i="1"/>
  <c r="B631" i="1"/>
  <c r="G630" i="1"/>
  <c r="C630" i="1"/>
  <c r="B630" i="1"/>
  <c r="G629" i="1"/>
  <c r="C629" i="1"/>
  <c r="B629" i="1"/>
  <c r="G628" i="1"/>
  <c r="C628" i="1"/>
  <c r="B628" i="1"/>
  <c r="G627" i="1"/>
  <c r="B627" i="1"/>
  <c r="G626" i="1"/>
  <c r="B626" i="1"/>
  <c r="G625" i="1"/>
  <c r="B625" i="1"/>
  <c r="G624" i="1"/>
  <c r="C624" i="1"/>
  <c r="B624" i="1"/>
  <c r="G623" i="1"/>
  <c r="C623" i="1"/>
  <c r="B623" i="1"/>
  <c r="G622" i="1"/>
  <c r="C622" i="1"/>
  <c r="B622" i="1"/>
  <c r="G621" i="1"/>
  <c r="C621" i="1"/>
  <c r="B621" i="1"/>
  <c r="G620" i="1"/>
  <c r="B620" i="1"/>
  <c r="G619" i="1"/>
  <c r="C619" i="1"/>
  <c r="B619" i="1"/>
  <c r="G618" i="1"/>
  <c r="C618" i="1"/>
  <c r="B618" i="1"/>
  <c r="G617" i="1"/>
  <c r="C617" i="1"/>
  <c r="B617" i="1"/>
  <c r="G616" i="1"/>
  <c r="C616" i="1"/>
  <c r="B616" i="1"/>
  <c r="G615" i="1"/>
  <c r="B615" i="1"/>
  <c r="G614" i="1"/>
  <c r="C614" i="1"/>
  <c r="B614" i="1"/>
  <c r="G613" i="1"/>
  <c r="C613" i="1"/>
  <c r="B613" i="1"/>
  <c r="G612" i="1"/>
  <c r="B612" i="1"/>
  <c r="G611" i="1"/>
  <c r="C611" i="1"/>
  <c r="B611" i="1"/>
  <c r="G610" i="1"/>
  <c r="C610" i="1"/>
  <c r="B610" i="1"/>
  <c r="G609" i="1"/>
  <c r="C609" i="1"/>
  <c r="B609" i="1"/>
  <c r="G608" i="1"/>
  <c r="C608" i="1"/>
  <c r="B608" i="1"/>
  <c r="G607" i="1"/>
  <c r="B607" i="1"/>
  <c r="G606" i="1"/>
  <c r="C606" i="1"/>
  <c r="B606" i="1"/>
  <c r="G605" i="1"/>
  <c r="B605" i="1"/>
  <c r="G604" i="1"/>
  <c r="C604" i="1"/>
  <c r="B604" i="1"/>
  <c r="G603" i="1"/>
  <c r="C603" i="1"/>
  <c r="B603" i="1"/>
  <c r="G602" i="1"/>
  <c r="C602" i="1"/>
  <c r="B602" i="1"/>
  <c r="G601" i="1"/>
  <c r="C601" i="1"/>
  <c r="B601" i="1"/>
  <c r="G600" i="1"/>
  <c r="B600" i="1"/>
  <c r="G599" i="1"/>
  <c r="B599" i="1"/>
  <c r="G598" i="1"/>
  <c r="C598" i="1"/>
  <c r="B598" i="1"/>
  <c r="G597" i="1"/>
  <c r="C597" i="1"/>
  <c r="B597" i="1"/>
  <c r="G596" i="1"/>
  <c r="C596" i="1"/>
  <c r="B596" i="1"/>
  <c r="G595" i="1"/>
  <c r="B595" i="1"/>
  <c r="G594" i="1"/>
  <c r="B594" i="1"/>
  <c r="G593" i="1"/>
  <c r="C593" i="1"/>
  <c r="B593" i="1"/>
  <c r="G592" i="1"/>
  <c r="B592" i="1"/>
  <c r="G591" i="1"/>
  <c r="C591" i="1"/>
  <c r="B591" i="1"/>
  <c r="G590" i="1"/>
  <c r="B590" i="1"/>
  <c r="G589" i="1"/>
  <c r="C589" i="1"/>
  <c r="B589" i="1"/>
  <c r="G588" i="1"/>
  <c r="C588" i="1"/>
  <c r="B588" i="1"/>
  <c r="G587" i="1"/>
  <c r="C587" i="1"/>
  <c r="B587" i="1"/>
  <c r="G586" i="1"/>
  <c r="C586" i="1"/>
  <c r="B586" i="1"/>
  <c r="G585" i="1"/>
  <c r="B585" i="1"/>
  <c r="G584" i="1"/>
  <c r="C584" i="1"/>
  <c r="B584" i="1"/>
  <c r="G583" i="1"/>
  <c r="C583" i="1"/>
  <c r="B583" i="1"/>
  <c r="G582" i="1"/>
  <c r="C582" i="1"/>
  <c r="B582" i="1"/>
  <c r="G581" i="1"/>
  <c r="B581" i="1"/>
  <c r="G580" i="1"/>
  <c r="C580" i="1"/>
  <c r="B580" i="1"/>
  <c r="G579" i="1"/>
  <c r="C579" i="1"/>
  <c r="B579" i="1"/>
  <c r="G578" i="1"/>
  <c r="C578" i="1"/>
  <c r="B578" i="1"/>
  <c r="G577" i="1"/>
  <c r="B577" i="1"/>
  <c r="G576" i="1"/>
  <c r="B576" i="1"/>
  <c r="G575" i="1"/>
  <c r="C575" i="1"/>
  <c r="B575" i="1"/>
  <c r="G574" i="1"/>
  <c r="C574" i="1"/>
  <c r="B574" i="1"/>
  <c r="G573" i="1"/>
  <c r="C573" i="1"/>
  <c r="B573" i="1"/>
  <c r="G572" i="1"/>
  <c r="C572" i="1"/>
  <c r="B572" i="1"/>
  <c r="G571" i="1"/>
  <c r="B571" i="1"/>
  <c r="G570" i="1"/>
  <c r="C570" i="1"/>
  <c r="B570" i="1"/>
  <c r="G569" i="1"/>
  <c r="B569" i="1"/>
  <c r="G568" i="1"/>
  <c r="B568" i="1"/>
  <c r="G567" i="1"/>
  <c r="C567" i="1"/>
  <c r="B567" i="1"/>
  <c r="G566" i="1"/>
  <c r="C566" i="1"/>
  <c r="B566" i="1"/>
  <c r="G565" i="1"/>
  <c r="C565" i="1"/>
  <c r="B565" i="1"/>
  <c r="G564" i="1"/>
  <c r="C564" i="1"/>
  <c r="B564" i="1"/>
  <c r="G563" i="1"/>
  <c r="C563" i="1"/>
  <c r="B563" i="1"/>
  <c r="G562" i="1"/>
  <c r="C562" i="1"/>
  <c r="B562" i="1"/>
  <c r="G561" i="1"/>
  <c r="C561" i="1"/>
  <c r="B561" i="1"/>
  <c r="G560" i="1"/>
  <c r="B560" i="1"/>
  <c r="G559" i="1"/>
  <c r="C559" i="1"/>
  <c r="B559" i="1"/>
  <c r="G558" i="1"/>
  <c r="B558" i="1"/>
  <c r="G557" i="1"/>
  <c r="B557" i="1"/>
  <c r="G556" i="1"/>
  <c r="C556" i="1"/>
  <c r="B556" i="1"/>
  <c r="G555" i="1"/>
  <c r="C555" i="1"/>
  <c r="B555" i="1"/>
  <c r="G554" i="1"/>
  <c r="B554" i="1"/>
  <c r="G553" i="1"/>
  <c r="B553" i="1"/>
  <c r="G552" i="1"/>
  <c r="B552" i="1"/>
  <c r="G551" i="1"/>
  <c r="B551" i="1"/>
  <c r="G550" i="1"/>
  <c r="C550" i="1"/>
  <c r="B550" i="1"/>
  <c r="G549" i="1"/>
  <c r="B549" i="1"/>
  <c r="G548" i="1"/>
  <c r="B548" i="1"/>
  <c r="G547" i="1"/>
  <c r="C547" i="1"/>
  <c r="B547" i="1"/>
  <c r="G546" i="1"/>
  <c r="C546" i="1"/>
  <c r="B546" i="1"/>
  <c r="G545" i="1"/>
  <c r="C545" i="1"/>
  <c r="B545" i="1"/>
  <c r="G544" i="1"/>
  <c r="C544" i="1"/>
  <c r="B544" i="1"/>
  <c r="G543" i="1"/>
  <c r="C543" i="1"/>
  <c r="B543" i="1"/>
  <c r="G542" i="1"/>
  <c r="C542" i="1"/>
  <c r="B542" i="1"/>
  <c r="G541" i="1"/>
  <c r="C541" i="1"/>
  <c r="B541" i="1"/>
  <c r="G540" i="1"/>
  <c r="B540" i="1"/>
  <c r="G539" i="1"/>
  <c r="C539" i="1"/>
  <c r="B539" i="1"/>
  <c r="G538" i="1"/>
  <c r="B538" i="1"/>
  <c r="G537" i="1"/>
  <c r="C537" i="1"/>
  <c r="B537" i="1"/>
  <c r="G536" i="1"/>
  <c r="C536" i="1"/>
  <c r="B536" i="1"/>
  <c r="G535" i="1"/>
  <c r="C535" i="1"/>
  <c r="B535" i="1"/>
  <c r="G534" i="1"/>
  <c r="C534" i="1"/>
  <c r="B534" i="1"/>
  <c r="G533" i="1"/>
  <c r="C533" i="1"/>
  <c r="B533" i="1"/>
  <c r="G532" i="1"/>
  <c r="C532" i="1"/>
  <c r="B532" i="1"/>
  <c r="G531" i="1"/>
  <c r="C531" i="1"/>
  <c r="B531" i="1"/>
  <c r="G530" i="1"/>
  <c r="B530" i="1"/>
  <c r="G529" i="1"/>
  <c r="C529" i="1"/>
  <c r="B529" i="1"/>
  <c r="G528" i="1"/>
  <c r="C528" i="1"/>
  <c r="B528" i="1"/>
  <c r="G527" i="1"/>
  <c r="C527" i="1"/>
  <c r="B527" i="1"/>
  <c r="G526" i="1"/>
  <c r="C526" i="1"/>
  <c r="B526" i="1"/>
  <c r="G525" i="1"/>
  <c r="C525" i="1"/>
  <c r="B525" i="1"/>
  <c r="G524" i="1"/>
  <c r="C524" i="1"/>
  <c r="B524" i="1"/>
  <c r="G523" i="1"/>
  <c r="C523" i="1"/>
  <c r="B523" i="1"/>
  <c r="G522" i="1"/>
  <c r="B522" i="1"/>
  <c r="G521" i="1"/>
  <c r="C521" i="1"/>
  <c r="B521" i="1"/>
  <c r="G520" i="1"/>
  <c r="B520" i="1"/>
  <c r="G519" i="1"/>
  <c r="C519" i="1"/>
  <c r="B519" i="1"/>
  <c r="G518" i="1"/>
  <c r="C518" i="1"/>
  <c r="B518" i="1"/>
  <c r="G517" i="1"/>
  <c r="C517" i="1"/>
  <c r="B517" i="1"/>
  <c r="G516" i="1"/>
  <c r="C516" i="1"/>
  <c r="B516" i="1"/>
  <c r="G515" i="1"/>
  <c r="C515" i="1"/>
  <c r="B515" i="1"/>
  <c r="G514" i="1"/>
  <c r="B514" i="1"/>
  <c r="G513" i="1"/>
  <c r="C513" i="1"/>
  <c r="B513" i="1"/>
  <c r="G512" i="1"/>
  <c r="C512" i="1"/>
  <c r="B512" i="1"/>
  <c r="G511" i="1"/>
  <c r="C511" i="1"/>
  <c r="B511" i="1"/>
  <c r="G510" i="1"/>
  <c r="B510" i="1"/>
  <c r="G509" i="1"/>
  <c r="C509" i="1"/>
  <c r="B509" i="1"/>
  <c r="G508" i="1"/>
  <c r="C508" i="1"/>
  <c r="B508" i="1"/>
  <c r="G507" i="1"/>
  <c r="B507" i="1"/>
  <c r="G506" i="1"/>
  <c r="B506" i="1"/>
  <c r="G505" i="1"/>
  <c r="C505" i="1"/>
  <c r="B505" i="1"/>
  <c r="G504" i="1"/>
  <c r="C504" i="1"/>
  <c r="B504" i="1"/>
  <c r="G503" i="1"/>
  <c r="C503" i="1"/>
  <c r="B503" i="1"/>
  <c r="G502" i="1"/>
  <c r="C502" i="1"/>
  <c r="B502" i="1"/>
  <c r="G501" i="1"/>
  <c r="C501" i="1"/>
  <c r="B501" i="1"/>
  <c r="G500" i="1"/>
  <c r="B500" i="1"/>
  <c r="G499" i="1"/>
  <c r="C499" i="1"/>
  <c r="B499" i="1"/>
  <c r="G498" i="1"/>
  <c r="C498" i="1"/>
  <c r="B498" i="1"/>
  <c r="G497" i="1"/>
  <c r="C497" i="1"/>
  <c r="B497" i="1"/>
  <c r="G496" i="1"/>
  <c r="C496" i="1"/>
  <c r="B496" i="1"/>
  <c r="G495" i="1"/>
  <c r="B495" i="1"/>
  <c r="G494" i="1"/>
  <c r="B494" i="1"/>
  <c r="G493" i="1"/>
  <c r="C493" i="1"/>
  <c r="B493" i="1"/>
  <c r="G492" i="1"/>
  <c r="B492" i="1"/>
  <c r="G491" i="1"/>
  <c r="C491" i="1"/>
  <c r="B491" i="1"/>
  <c r="G490" i="1"/>
  <c r="B490" i="1"/>
  <c r="G489" i="1"/>
  <c r="C489" i="1"/>
  <c r="B489" i="1"/>
  <c r="G488" i="1"/>
  <c r="C488" i="1"/>
  <c r="B488" i="1"/>
  <c r="G487" i="1"/>
  <c r="B487" i="1"/>
  <c r="G486" i="1"/>
  <c r="C486" i="1"/>
  <c r="B486" i="1"/>
  <c r="G485" i="1"/>
  <c r="C485" i="1"/>
  <c r="B485" i="1"/>
  <c r="G484" i="1"/>
  <c r="B484" i="1"/>
  <c r="G483" i="1"/>
  <c r="C483" i="1"/>
  <c r="B483" i="1"/>
  <c r="G482" i="1"/>
  <c r="B482" i="1"/>
  <c r="G481" i="1"/>
  <c r="B481" i="1"/>
  <c r="G480" i="1"/>
  <c r="C480" i="1"/>
  <c r="B480" i="1"/>
  <c r="G479" i="1"/>
  <c r="C479" i="1"/>
  <c r="B479" i="1"/>
  <c r="G478" i="1"/>
  <c r="B478" i="1"/>
  <c r="G477" i="1"/>
  <c r="C477" i="1"/>
  <c r="B477" i="1"/>
  <c r="G476" i="1"/>
  <c r="C476" i="1"/>
  <c r="B476" i="1"/>
  <c r="G475" i="1"/>
  <c r="C475" i="1"/>
  <c r="B475" i="1"/>
  <c r="G474" i="1"/>
  <c r="C474" i="1"/>
  <c r="B474" i="1"/>
  <c r="G473" i="1"/>
  <c r="C473" i="1"/>
  <c r="B473" i="1"/>
  <c r="G472" i="1"/>
  <c r="B472" i="1"/>
  <c r="G471" i="1"/>
  <c r="C471" i="1"/>
  <c r="B471" i="1"/>
  <c r="G470" i="1"/>
  <c r="C470" i="1"/>
  <c r="B470" i="1"/>
  <c r="G469" i="1"/>
  <c r="C469" i="1"/>
  <c r="B469" i="1"/>
  <c r="G468" i="1"/>
  <c r="B468" i="1"/>
  <c r="G467" i="1"/>
  <c r="C467" i="1"/>
  <c r="B467" i="1"/>
  <c r="G466" i="1"/>
  <c r="B466" i="1"/>
  <c r="G465" i="1"/>
  <c r="C465" i="1"/>
  <c r="B465" i="1"/>
  <c r="G464" i="1"/>
  <c r="C464" i="1"/>
  <c r="B464" i="1"/>
  <c r="G463" i="1"/>
  <c r="C463" i="1"/>
  <c r="B463" i="1"/>
  <c r="G462" i="1"/>
  <c r="B462" i="1"/>
  <c r="G461" i="1"/>
  <c r="C461" i="1"/>
  <c r="B461" i="1"/>
  <c r="G460" i="1"/>
  <c r="C460" i="1"/>
  <c r="B460" i="1"/>
  <c r="G459" i="1"/>
  <c r="C459" i="1"/>
  <c r="B459" i="1"/>
  <c r="G458" i="1"/>
  <c r="C458" i="1"/>
  <c r="B458" i="1"/>
  <c r="G457" i="1"/>
  <c r="C457" i="1"/>
  <c r="B457" i="1"/>
  <c r="G456" i="1"/>
  <c r="B456" i="1"/>
  <c r="G455" i="1"/>
  <c r="C455" i="1"/>
  <c r="B455" i="1"/>
  <c r="G454" i="1"/>
  <c r="B454" i="1"/>
  <c r="G453" i="1"/>
  <c r="C453" i="1"/>
  <c r="B453" i="1"/>
  <c r="G452" i="1"/>
  <c r="C452" i="1"/>
  <c r="B452" i="1"/>
  <c r="G451" i="1"/>
  <c r="B451" i="1"/>
  <c r="G450" i="1"/>
  <c r="B450" i="1"/>
  <c r="G449" i="1"/>
  <c r="C449" i="1"/>
  <c r="B449" i="1"/>
  <c r="G448" i="1"/>
  <c r="C448" i="1"/>
  <c r="B448" i="1"/>
  <c r="G447" i="1"/>
  <c r="C447" i="1"/>
  <c r="B447" i="1"/>
  <c r="G446" i="1"/>
  <c r="C446" i="1"/>
  <c r="B446" i="1"/>
  <c r="G445" i="1"/>
  <c r="B445" i="1"/>
  <c r="G444" i="1"/>
  <c r="C444" i="1"/>
  <c r="B444" i="1"/>
  <c r="G443" i="1"/>
  <c r="B443" i="1"/>
  <c r="G442" i="1"/>
  <c r="B442" i="1"/>
  <c r="G441" i="1"/>
  <c r="C441" i="1"/>
  <c r="B441" i="1"/>
  <c r="G440" i="1"/>
  <c r="B440" i="1"/>
  <c r="G439" i="1"/>
  <c r="C439" i="1"/>
  <c r="B439" i="1"/>
  <c r="G438" i="1"/>
  <c r="B438" i="1"/>
  <c r="G437" i="1"/>
  <c r="C437" i="1"/>
  <c r="B437" i="1"/>
  <c r="G436" i="1"/>
  <c r="B436" i="1"/>
  <c r="G435" i="1"/>
  <c r="C435" i="1"/>
  <c r="B435" i="1"/>
  <c r="G434" i="1"/>
  <c r="C434" i="1"/>
  <c r="B434" i="1"/>
  <c r="G433" i="1"/>
  <c r="B433" i="1"/>
  <c r="G432" i="1"/>
  <c r="B432" i="1"/>
  <c r="G431" i="1"/>
  <c r="C431" i="1"/>
  <c r="B431" i="1"/>
  <c r="G430" i="1"/>
  <c r="C430" i="1"/>
  <c r="B430" i="1"/>
  <c r="G429" i="1"/>
  <c r="B429" i="1"/>
  <c r="G428" i="1"/>
  <c r="B428" i="1"/>
  <c r="G427" i="1"/>
  <c r="B427" i="1"/>
  <c r="G426" i="1"/>
  <c r="B426" i="1"/>
  <c r="G425" i="1"/>
  <c r="C425" i="1"/>
  <c r="B425" i="1"/>
  <c r="G424" i="1"/>
  <c r="C424" i="1"/>
  <c r="B424" i="1"/>
  <c r="G423" i="1"/>
  <c r="C423" i="1"/>
  <c r="B423" i="1"/>
  <c r="G422" i="1"/>
  <c r="C422" i="1"/>
  <c r="B422" i="1"/>
  <c r="G421" i="1"/>
  <c r="B421" i="1"/>
  <c r="G420" i="1"/>
  <c r="C420" i="1"/>
  <c r="B420" i="1"/>
  <c r="G419" i="1"/>
  <c r="B419" i="1"/>
  <c r="G418" i="1"/>
  <c r="B418" i="1"/>
  <c r="G417" i="1"/>
  <c r="B417" i="1"/>
  <c r="G416" i="1"/>
  <c r="C416" i="1"/>
  <c r="B416" i="1"/>
  <c r="G415" i="1"/>
  <c r="C415" i="1"/>
  <c r="B415" i="1"/>
  <c r="G414" i="1"/>
  <c r="C414" i="1"/>
  <c r="B414" i="1"/>
  <c r="G413" i="1"/>
  <c r="C413" i="1"/>
  <c r="B413" i="1"/>
  <c r="G412" i="1"/>
  <c r="C412" i="1"/>
  <c r="B412" i="1"/>
  <c r="G411" i="1"/>
  <c r="B411" i="1"/>
  <c r="G410" i="1"/>
  <c r="C410" i="1"/>
  <c r="B410" i="1"/>
  <c r="G409" i="1"/>
  <c r="C409" i="1"/>
  <c r="B409" i="1"/>
  <c r="G408" i="1"/>
  <c r="B408" i="1"/>
  <c r="G407" i="1"/>
  <c r="B407" i="1"/>
  <c r="G406" i="1"/>
  <c r="C406" i="1"/>
  <c r="B406" i="1"/>
  <c r="G405" i="1"/>
  <c r="B405" i="1"/>
  <c r="G404" i="1"/>
  <c r="C404" i="1"/>
  <c r="B404" i="1"/>
  <c r="G403" i="1"/>
  <c r="B403" i="1"/>
  <c r="G402" i="1"/>
  <c r="B402" i="1"/>
  <c r="G401" i="1"/>
  <c r="C401" i="1"/>
  <c r="B401" i="1"/>
  <c r="G400" i="1"/>
  <c r="B400" i="1"/>
  <c r="G399" i="1"/>
  <c r="B399" i="1"/>
  <c r="G398" i="1"/>
  <c r="B398" i="1"/>
  <c r="G397" i="1"/>
  <c r="B397" i="1"/>
  <c r="G396" i="1"/>
  <c r="C396" i="1"/>
  <c r="B396" i="1"/>
  <c r="G395" i="1"/>
  <c r="C395" i="1"/>
  <c r="B395" i="1"/>
  <c r="G394" i="1"/>
  <c r="B394" i="1"/>
  <c r="G393" i="1"/>
  <c r="C393" i="1"/>
  <c r="B393" i="1"/>
  <c r="G392" i="1"/>
  <c r="C392" i="1"/>
  <c r="B392" i="1"/>
  <c r="G391" i="1"/>
  <c r="B391" i="1"/>
  <c r="G390" i="1"/>
  <c r="C390" i="1"/>
  <c r="B390" i="1"/>
  <c r="G389" i="1"/>
  <c r="C389" i="1"/>
  <c r="B389" i="1"/>
  <c r="G388" i="1"/>
  <c r="C388" i="1"/>
  <c r="B388" i="1"/>
  <c r="G387" i="1"/>
  <c r="C387" i="1"/>
  <c r="B387" i="1"/>
  <c r="G386" i="1"/>
  <c r="C386" i="1"/>
  <c r="B386" i="1"/>
  <c r="G385" i="1"/>
  <c r="C385" i="1"/>
  <c r="B385" i="1"/>
  <c r="G384" i="1"/>
  <c r="C384" i="1"/>
  <c r="B384" i="1"/>
  <c r="G383" i="1"/>
  <c r="B383" i="1"/>
  <c r="G382" i="1"/>
  <c r="C382" i="1"/>
  <c r="B382" i="1"/>
  <c r="G381" i="1"/>
  <c r="B381" i="1"/>
  <c r="G380" i="1"/>
  <c r="C380" i="1"/>
  <c r="B380" i="1"/>
  <c r="G379" i="1"/>
  <c r="C379" i="1"/>
  <c r="B379" i="1"/>
  <c r="G378" i="1"/>
  <c r="B378" i="1"/>
  <c r="G377" i="1"/>
  <c r="C377" i="1"/>
  <c r="B377" i="1"/>
  <c r="G376" i="1"/>
  <c r="B376" i="1"/>
  <c r="G375" i="1"/>
  <c r="C375" i="1"/>
  <c r="B375" i="1"/>
  <c r="G374" i="1"/>
  <c r="C374" i="1"/>
  <c r="B374" i="1"/>
  <c r="G373" i="1"/>
  <c r="C373" i="1"/>
  <c r="B373" i="1"/>
  <c r="G372" i="1"/>
  <c r="B372" i="1"/>
  <c r="G371" i="1"/>
  <c r="B371" i="1"/>
  <c r="G370" i="1"/>
  <c r="C370" i="1"/>
  <c r="B370" i="1"/>
  <c r="G369" i="1"/>
  <c r="C369" i="1"/>
  <c r="B369" i="1"/>
  <c r="G368" i="1"/>
  <c r="B368" i="1"/>
  <c r="G367" i="1"/>
  <c r="C367" i="1"/>
  <c r="B367" i="1"/>
  <c r="G366" i="1"/>
  <c r="B366" i="1"/>
  <c r="G365" i="1"/>
  <c r="C365" i="1"/>
  <c r="B365" i="1"/>
  <c r="G364" i="1"/>
  <c r="C364" i="1"/>
  <c r="B364" i="1"/>
  <c r="G363" i="1"/>
  <c r="C363" i="1"/>
  <c r="B363" i="1"/>
  <c r="G362" i="1"/>
  <c r="C362" i="1"/>
  <c r="B362" i="1"/>
  <c r="G361" i="1"/>
  <c r="C361" i="1"/>
  <c r="B361" i="1"/>
  <c r="G360" i="1"/>
  <c r="C360" i="1"/>
  <c r="B360" i="1"/>
  <c r="G359" i="1"/>
  <c r="C359" i="1"/>
  <c r="B359" i="1"/>
  <c r="G358" i="1"/>
  <c r="C358" i="1"/>
  <c r="B358" i="1"/>
  <c r="G357" i="1"/>
  <c r="C357" i="1"/>
  <c r="B357" i="1"/>
  <c r="G356" i="1"/>
  <c r="B356" i="1"/>
  <c r="G355" i="1"/>
  <c r="B355" i="1"/>
  <c r="G354" i="1"/>
  <c r="B354" i="1"/>
  <c r="G353" i="1"/>
  <c r="C353" i="1"/>
  <c r="B353" i="1"/>
  <c r="G352" i="1"/>
  <c r="B352" i="1"/>
  <c r="G351" i="1"/>
  <c r="C351" i="1"/>
  <c r="B351" i="1"/>
  <c r="G350" i="1"/>
  <c r="C350" i="1"/>
  <c r="B350" i="1"/>
  <c r="G349" i="1"/>
  <c r="C349" i="1"/>
  <c r="B349" i="1"/>
  <c r="G348" i="1"/>
  <c r="C348" i="1"/>
  <c r="B348" i="1"/>
  <c r="G347" i="1"/>
  <c r="B347" i="1"/>
  <c r="G346" i="1"/>
  <c r="C346" i="1"/>
  <c r="B346" i="1"/>
  <c r="G345" i="1"/>
  <c r="B345" i="1"/>
  <c r="G344" i="1"/>
  <c r="C344" i="1"/>
  <c r="B344" i="1"/>
  <c r="G343" i="1"/>
  <c r="B343" i="1"/>
  <c r="G342" i="1"/>
  <c r="B342" i="1"/>
  <c r="G341" i="1"/>
  <c r="C341" i="1"/>
  <c r="B341" i="1"/>
  <c r="G340" i="1"/>
  <c r="C340" i="1"/>
  <c r="B340" i="1"/>
  <c r="G339" i="1"/>
  <c r="C339" i="1"/>
  <c r="B339" i="1"/>
  <c r="G338" i="1"/>
  <c r="C338" i="1"/>
  <c r="B338" i="1"/>
  <c r="G337" i="1"/>
  <c r="B337" i="1"/>
  <c r="G336" i="1"/>
  <c r="C336" i="1"/>
  <c r="B336" i="1"/>
  <c r="G335" i="1"/>
  <c r="C335" i="1"/>
  <c r="B335" i="1"/>
  <c r="G334" i="1"/>
  <c r="C334" i="1"/>
  <c r="B334" i="1"/>
  <c r="G333" i="1"/>
  <c r="B333" i="1"/>
  <c r="G332" i="1"/>
  <c r="B332" i="1"/>
  <c r="G331" i="1"/>
  <c r="C331" i="1"/>
  <c r="B331" i="1"/>
  <c r="G330" i="1"/>
  <c r="B330" i="1"/>
  <c r="G329" i="1"/>
  <c r="C329" i="1"/>
  <c r="B329" i="1"/>
  <c r="G328" i="1"/>
  <c r="C328" i="1"/>
  <c r="B328" i="1"/>
  <c r="G327" i="1"/>
  <c r="B327" i="1"/>
  <c r="G326" i="1"/>
  <c r="B326" i="1"/>
  <c r="G325" i="1"/>
  <c r="B325" i="1"/>
  <c r="G324" i="1"/>
  <c r="B324" i="1"/>
  <c r="G323" i="1"/>
  <c r="C323" i="1"/>
  <c r="B323" i="1"/>
  <c r="G322" i="1"/>
  <c r="C322" i="1"/>
  <c r="B322" i="1"/>
  <c r="G321" i="1"/>
  <c r="C321" i="1"/>
  <c r="B321" i="1"/>
  <c r="G320" i="1"/>
  <c r="B320" i="1"/>
  <c r="G319" i="1"/>
  <c r="B319" i="1"/>
  <c r="G318" i="1"/>
  <c r="C318" i="1"/>
  <c r="B318" i="1"/>
  <c r="G317" i="1"/>
  <c r="B317" i="1"/>
  <c r="G316" i="1"/>
  <c r="B316" i="1"/>
  <c r="G315" i="1"/>
  <c r="B315" i="1"/>
  <c r="G314" i="1"/>
  <c r="C314" i="1"/>
  <c r="B314" i="1"/>
  <c r="G313" i="1"/>
  <c r="C313" i="1"/>
  <c r="B313" i="1"/>
  <c r="G312" i="1"/>
  <c r="C312" i="1"/>
  <c r="B312" i="1"/>
  <c r="G311" i="1"/>
  <c r="C311" i="1"/>
  <c r="B311" i="1"/>
  <c r="G310" i="1"/>
  <c r="C310" i="1"/>
  <c r="B310" i="1"/>
  <c r="G309" i="1"/>
  <c r="C309" i="1"/>
  <c r="B309" i="1"/>
  <c r="G308" i="1"/>
  <c r="C308" i="1"/>
  <c r="B308" i="1"/>
  <c r="G307" i="1"/>
  <c r="C307" i="1"/>
  <c r="B307" i="1"/>
  <c r="G306" i="1"/>
  <c r="C306" i="1"/>
  <c r="B306" i="1"/>
  <c r="G305" i="1"/>
  <c r="B305" i="1"/>
  <c r="G304" i="1"/>
  <c r="C304" i="1"/>
  <c r="B304" i="1"/>
  <c r="G303" i="1"/>
  <c r="C303" i="1"/>
  <c r="B303" i="1"/>
  <c r="G302" i="1"/>
  <c r="C302" i="1"/>
  <c r="B302" i="1"/>
  <c r="G301" i="1"/>
  <c r="C301" i="1"/>
  <c r="B301" i="1"/>
  <c r="G300" i="1"/>
  <c r="C300" i="1"/>
  <c r="B300" i="1"/>
  <c r="G299" i="1"/>
  <c r="C299" i="1"/>
  <c r="B299" i="1"/>
  <c r="G298" i="1"/>
  <c r="C298" i="1"/>
  <c r="B298" i="1"/>
  <c r="G297" i="1"/>
  <c r="C297" i="1"/>
  <c r="B297" i="1"/>
  <c r="G296" i="1"/>
  <c r="C296" i="1"/>
  <c r="B296" i="1"/>
  <c r="G295" i="1"/>
  <c r="B295" i="1"/>
  <c r="G294" i="1"/>
  <c r="C294" i="1"/>
  <c r="B294" i="1"/>
  <c r="G293" i="1"/>
  <c r="B293" i="1"/>
  <c r="G292" i="1"/>
  <c r="C292" i="1"/>
  <c r="B292" i="1"/>
  <c r="G291" i="1"/>
  <c r="C291" i="1"/>
  <c r="B291" i="1"/>
  <c r="G290" i="1"/>
  <c r="C290" i="1"/>
  <c r="B290" i="1"/>
  <c r="G289" i="1"/>
  <c r="B289" i="1"/>
  <c r="G288" i="1"/>
  <c r="B288" i="1"/>
  <c r="G287" i="1"/>
  <c r="C287" i="1"/>
  <c r="B287" i="1"/>
  <c r="G286" i="1"/>
  <c r="C286" i="1"/>
  <c r="B286" i="1"/>
  <c r="G285" i="1"/>
  <c r="C285" i="1"/>
  <c r="B285" i="1"/>
  <c r="G284" i="1"/>
  <c r="C284" i="1"/>
  <c r="B284" i="1"/>
  <c r="G283" i="1"/>
  <c r="C283" i="1"/>
  <c r="B283" i="1"/>
  <c r="G282" i="1"/>
  <c r="C282" i="1"/>
  <c r="B282" i="1"/>
  <c r="G281" i="1"/>
  <c r="C281" i="1"/>
  <c r="B281" i="1"/>
  <c r="G280" i="1"/>
  <c r="C280" i="1"/>
  <c r="B280" i="1"/>
  <c r="G279" i="1"/>
  <c r="B279" i="1"/>
  <c r="G278" i="1"/>
  <c r="B278" i="1"/>
  <c r="G277" i="1"/>
  <c r="C277" i="1"/>
  <c r="B277" i="1"/>
  <c r="G276" i="1"/>
  <c r="B276" i="1"/>
  <c r="G275" i="1"/>
  <c r="C275" i="1"/>
  <c r="B275" i="1"/>
  <c r="G274" i="1"/>
  <c r="C274" i="1"/>
  <c r="B274" i="1"/>
  <c r="G273" i="1"/>
  <c r="B273" i="1"/>
  <c r="G272" i="1"/>
  <c r="C272" i="1"/>
  <c r="B272" i="1"/>
  <c r="G271" i="1"/>
  <c r="B271" i="1"/>
  <c r="G270" i="1"/>
  <c r="C270" i="1"/>
  <c r="B270" i="1"/>
  <c r="G269" i="1"/>
  <c r="C269" i="1"/>
  <c r="B269" i="1"/>
  <c r="G268" i="1"/>
  <c r="C268" i="1"/>
  <c r="B268" i="1"/>
  <c r="G267" i="1"/>
  <c r="C267" i="1"/>
  <c r="B267" i="1"/>
  <c r="G266" i="1"/>
  <c r="C266" i="1"/>
  <c r="B266" i="1"/>
  <c r="G265" i="1"/>
  <c r="C265" i="1"/>
  <c r="B265" i="1"/>
  <c r="G264" i="1"/>
  <c r="C264" i="1"/>
  <c r="B264" i="1"/>
  <c r="G263" i="1"/>
  <c r="C263" i="1"/>
  <c r="B263" i="1"/>
  <c r="G262" i="1"/>
  <c r="C262" i="1"/>
  <c r="B262" i="1"/>
  <c r="G261" i="1"/>
  <c r="C261" i="1"/>
  <c r="B261" i="1"/>
  <c r="G260" i="1"/>
  <c r="C260" i="1"/>
  <c r="B260" i="1"/>
  <c r="G259" i="1"/>
  <c r="B259" i="1"/>
  <c r="G258" i="1"/>
  <c r="C258" i="1"/>
  <c r="B258" i="1"/>
  <c r="G257" i="1"/>
  <c r="B257" i="1"/>
  <c r="G256" i="1"/>
  <c r="C256" i="1"/>
  <c r="B256" i="1"/>
  <c r="G255" i="1"/>
  <c r="C255" i="1"/>
  <c r="B255" i="1"/>
  <c r="G254" i="1"/>
  <c r="C254" i="1"/>
  <c r="B254" i="1"/>
  <c r="G253" i="1"/>
  <c r="B253" i="1"/>
  <c r="G252" i="1"/>
  <c r="B252" i="1"/>
  <c r="G251" i="1"/>
  <c r="C251" i="1"/>
  <c r="B251" i="1"/>
  <c r="G250" i="1"/>
  <c r="B250" i="1"/>
  <c r="G249" i="1"/>
  <c r="C249" i="1"/>
  <c r="B249" i="1"/>
  <c r="G248" i="1"/>
  <c r="C248" i="1"/>
  <c r="B248" i="1"/>
  <c r="G247" i="1"/>
  <c r="C247" i="1"/>
  <c r="B247" i="1"/>
  <c r="G246" i="1"/>
  <c r="B246" i="1"/>
  <c r="G245" i="1"/>
  <c r="C245" i="1"/>
  <c r="B245" i="1"/>
  <c r="G244" i="1"/>
  <c r="B244" i="1"/>
  <c r="G243" i="1"/>
  <c r="C243" i="1"/>
  <c r="B243" i="1"/>
  <c r="G242" i="1"/>
  <c r="B242" i="1"/>
  <c r="G241" i="1"/>
  <c r="B241" i="1"/>
  <c r="G240" i="1"/>
  <c r="C240" i="1"/>
  <c r="B240" i="1"/>
  <c r="G239" i="1"/>
  <c r="C239" i="1"/>
  <c r="B239" i="1"/>
  <c r="G238" i="1"/>
  <c r="C238" i="1"/>
  <c r="B238" i="1"/>
  <c r="G237" i="1"/>
  <c r="B237" i="1"/>
  <c r="G236" i="1"/>
  <c r="C236" i="1"/>
  <c r="B236" i="1"/>
  <c r="G235" i="1"/>
  <c r="B235" i="1"/>
  <c r="G234" i="1"/>
  <c r="C234" i="1"/>
  <c r="B234" i="1"/>
  <c r="G233" i="1"/>
  <c r="B233" i="1"/>
  <c r="G232" i="1"/>
  <c r="C232" i="1"/>
  <c r="B232" i="1"/>
  <c r="G231" i="1"/>
  <c r="C231" i="1"/>
  <c r="B231" i="1"/>
  <c r="G230" i="1"/>
  <c r="C230" i="1"/>
  <c r="B230" i="1"/>
  <c r="G229" i="1"/>
  <c r="C229" i="1"/>
  <c r="B229" i="1"/>
  <c r="G228" i="1"/>
  <c r="C228" i="1"/>
  <c r="B228" i="1"/>
  <c r="G227" i="1"/>
  <c r="C227" i="1"/>
  <c r="B227" i="1"/>
  <c r="G226" i="1"/>
  <c r="C226" i="1"/>
  <c r="B226" i="1"/>
  <c r="G225" i="1"/>
  <c r="C225" i="1"/>
  <c r="B225" i="1"/>
  <c r="G224" i="1"/>
  <c r="B224" i="1"/>
  <c r="G223" i="1"/>
  <c r="B223" i="1"/>
  <c r="G222" i="1"/>
  <c r="C222" i="1"/>
  <c r="B222" i="1"/>
  <c r="G221" i="1"/>
  <c r="C221" i="1"/>
  <c r="B221" i="1"/>
  <c r="G220" i="1"/>
  <c r="B220" i="1"/>
  <c r="G219" i="1"/>
  <c r="C219" i="1"/>
  <c r="B219" i="1"/>
  <c r="G218" i="1"/>
  <c r="C218" i="1"/>
  <c r="B218" i="1"/>
  <c r="G217" i="1"/>
  <c r="C217" i="1"/>
  <c r="B217" i="1"/>
  <c r="G216" i="1"/>
  <c r="C216" i="1"/>
  <c r="B216" i="1"/>
  <c r="G215" i="1"/>
  <c r="C215" i="1"/>
  <c r="B215" i="1"/>
  <c r="G214" i="1"/>
  <c r="C214" i="1"/>
  <c r="B214" i="1"/>
  <c r="G213" i="1"/>
  <c r="C213" i="1"/>
  <c r="B213" i="1"/>
  <c r="G212" i="1"/>
  <c r="C212" i="1"/>
  <c r="B212" i="1"/>
  <c r="G211" i="1"/>
  <c r="C211" i="1"/>
  <c r="B211" i="1"/>
  <c r="G210" i="1"/>
  <c r="C210" i="1"/>
  <c r="B210" i="1"/>
  <c r="G209" i="1"/>
  <c r="C209" i="1"/>
  <c r="B209" i="1"/>
  <c r="G208" i="1"/>
  <c r="B208" i="1"/>
  <c r="G207" i="1"/>
  <c r="C207" i="1"/>
  <c r="B207" i="1"/>
  <c r="G206" i="1"/>
  <c r="B206" i="1"/>
  <c r="G205" i="1"/>
  <c r="C205" i="1"/>
  <c r="B205" i="1"/>
  <c r="G204" i="1"/>
  <c r="C204" i="1"/>
  <c r="B204" i="1"/>
  <c r="G203" i="1"/>
  <c r="C203" i="1"/>
  <c r="B203" i="1"/>
  <c r="G202" i="1"/>
  <c r="B202" i="1"/>
  <c r="G201" i="1"/>
  <c r="C201" i="1"/>
  <c r="B201" i="1"/>
  <c r="G200" i="1"/>
  <c r="C200" i="1"/>
  <c r="B200" i="1"/>
  <c r="G199" i="1"/>
  <c r="B199" i="1"/>
  <c r="G198" i="1"/>
  <c r="B198" i="1"/>
  <c r="G197" i="1"/>
  <c r="B197" i="1"/>
  <c r="G196" i="1"/>
  <c r="B196" i="1"/>
  <c r="G195" i="1"/>
  <c r="B195" i="1"/>
  <c r="G194" i="1"/>
  <c r="C194" i="1"/>
  <c r="B194" i="1"/>
  <c r="G193" i="1"/>
  <c r="C193" i="1"/>
  <c r="B193" i="1"/>
  <c r="G192" i="1"/>
  <c r="B192" i="1"/>
  <c r="G191" i="1"/>
  <c r="B191" i="1"/>
  <c r="G190" i="1"/>
  <c r="B190" i="1"/>
  <c r="G189" i="1"/>
  <c r="C189" i="1"/>
  <c r="B189" i="1"/>
  <c r="G188" i="1"/>
  <c r="C188" i="1"/>
  <c r="B188" i="1"/>
  <c r="G187" i="1"/>
  <c r="B187" i="1"/>
  <c r="G186" i="1"/>
  <c r="C186" i="1"/>
  <c r="B186" i="1"/>
  <c r="G185" i="1"/>
  <c r="B185" i="1"/>
  <c r="G184" i="1"/>
  <c r="B184" i="1"/>
  <c r="G183" i="1"/>
  <c r="B183" i="1"/>
  <c r="G182" i="1"/>
  <c r="C182" i="1"/>
  <c r="B182" i="1"/>
  <c r="G181" i="1"/>
  <c r="B181" i="1"/>
  <c r="G180" i="1"/>
  <c r="C180" i="1"/>
  <c r="B180" i="1"/>
  <c r="G179" i="1"/>
  <c r="C179" i="1"/>
  <c r="B179" i="1"/>
  <c r="G178" i="1"/>
  <c r="C178" i="1"/>
  <c r="B178" i="1"/>
  <c r="G177" i="1"/>
  <c r="C177" i="1"/>
  <c r="B177" i="1"/>
  <c r="G176" i="1"/>
  <c r="B176" i="1"/>
  <c r="G175" i="1"/>
  <c r="C175" i="1"/>
  <c r="B175" i="1"/>
  <c r="G174" i="1"/>
  <c r="C174" i="1"/>
  <c r="B174" i="1"/>
  <c r="G173" i="1"/>
  <c r="C173" i="1"/>
  <c r="B173" i="1"/>
  <c r="G172" i="1"/>
  <c r="C172" i="1"/>
  <c r="B172" i="1"/>
  <c r="G171" i="1"/>
  <c r="B171" i="1"/>
  <c r="G170" i="1"/>
  <c r="B170" i="1"/>
  <c r="G169" i="1"/>
  <c r="B169" i="1"/>
  <c r="G168" i="1"/>
  <c r="C168" i="1"/>
  <c r="B168" i="1"/>
  <c r="G167" i="1"/>
  <c r="C167" i="1"/>
  <c r="B167" i="1"/>
  <c r="G166" i="1"/>
  <c r="C166" i="1"/>
  <c r="B166" i="1"/>
  <c r="G165" i="1"/>
  <c r="C165" i="1"/>
  <c r="B165" i="1"/>
  <c r="G164" i="1"/>
  <c r="C164" i="1"/>
  <c r="B164" i="1"/>
  <c r="G163" i="1"/>
  <c r="C163" i="1"/>
  <c r="B163" i="1"/>
  <c r="G162" i="1"/>
  <c r="C162" i="1"/>
  <c r="B162" i="1"/>
  <c r="G161" i="1"/>
  <c r="B161" i="1"/>
  <c r="G160" i="1"/>
  <c r="C160" i="1"/>
  <c r="B160" i="1"/>
  <c r="G159" i="1"/>
  <c r="B159" i="1"/>
  <c r="G158" i="1"/>
  <c r="B158" i="1"/>
  <c r="G157" i="1"/>
  <c r="C157" i="1"/>
  <c r="B157" i="1"/>
  <c r="G156" i="1"/>
  <c r="C156" i="1"/>
  <c r="B156" i="1"/>
  <c r="G155" i="1"/>
  <c r="B155" i="1"/>
  <c r="G154" i="1"/>
  <c r="C154" i="1"/>
  <c r="B154" i="1"/>
  <c r="G153" i="1"/>
  <c r="B153" i="1"/>
  <c r="G152" i="1"/>
  <c r="C152" i="1"/>
  <c r="B152" i="1"/>
  <c r="G151" i="1"/>
  <c r="B151" i="1"/>
  <c r="G150" i="1"/>
  <c r="B150" i="1"/>
  <c r="G149" i="1"/>
  <c r="B149" i="1"/>
  <c r="G148" i="1"/>
  <c r="C148" i="1"/>
  <c r="B148" i="1"/>
  <c r="G147" i="1"/>
  <c r="C147" i="1"/>
  <c r="B147" i="1"/>
  <c r="G146" i="1"/>
  <c r="C146" i="1"/>
  <c r="B146" i="1"/>
  <c r="G145" i="1"/>
  <c r="B145" i="1"/>
  <c r="G144" i="1"/>
  <c r="C144" i="1"/>
  <c r="B144" i="1"/>
  <c r="G143" i="1"/>
  <c r="C143" i="1"/>
  <c r="B143" i="1"/>
  <c r="G142" i="1"/>
  <c r="C142" i="1"/>
  <c r="B142" i="1"/>
  <c r="G141" i="1"/>
  <c r="C141" i="1"/>
  <c r="B141" i="1"/>
  <c r="G140" i="1"/>
  <c r="C140" i="1"/>
  <c r="B140" i="1"/>
  <c r="G139" i="1"/>
  <c r="C139" i="1"/>
  <c r="B139" i="1"/>
  <c r="G138" i="1"/>
  <c r="B138" i="1"/>
  <c r="G137" i="1"/>
  <c r="B137" i="1"/>
  <c r="G136" i="1"/>
  <c r="C136" i="1"/>
  <c r="B136" i="1"/>
  <c r="G135" i="1"/>
  <c r="C135" i="1"/>
  <c r="B135" i="1"/>
  <c r="G134" i="1"/>
  <c r="C134" i="1"/>
  <c r="B134" i="1"/>
  <c r="G133" i="1"/>
  <c r="B133" i="1"/>
  <c r="G132" i="1"/>
  <c r="B132" i="1"/>
  <c r="G131" i="1"/>
  <c r="B131" i="1"/>
  <c r="G130" i="1"/>
  <c r="B130" i="1"/>
  <c r="G129" i="1"/>
  <c r="C129" i="1"/>
  <c r="B129" i="1"/>
  <c r="G128" i="1"/>
  <c r="B128" i="1"/>
  <c r="G127" i="1"/>
  <c r="C127" i="1"/>
  <c r="B127" i="1"/>
  <c r="G126" i="1"/>
  <c r="B126" i="1"/>
  <c r="G125" i="1"/>
  <c r="C125" i="1"/>
  <c r="B125" i="1"/>
  <c r="G124" i="1"/>
  <c r="C124" i="1"/>
  <c r="B124" i="1"/>
  <c r="G123" i="1"/>
  <c r="B123" i="1"/>
  <c r="G122" i="1"/>
  <c r="B122" i="1"/>
  <c r="G121" i="1"/>
  <c r="B121" i="1"/>
  <c r="G120" i="1"/>
  <c r="B120" i="1"/>
  <c r="G119" i="1"/>
  <c r="C119" i="1"/>
  <c r="B119" i="1"/>
  <c r="G118" i="1"/>
  <c r="C118" i="1"/>
  <c r="B118" i="1"/>
  <c r="G117" i="1"/>
  <c r="B117" i="1"/>
  <c r="G116" i="1"/>
  <c r="B116" i="1"/>
  <c r="G115" i="1"/>
  <c r="B115" i="1"/>
  <c r="G114" i="1"/>
  <c r="C114" i="1"/>
  <c r="B114" i="1"/>
  <c r="G113" i="1"/>
  <c r="C113" i="1"/>
  <c r="B113" i="1"/>
  <c r="G112" i="1"/>
  <c r="B112" i="1"/>
  <c r="G111" i="1"/>
  <c r="C111" i="1"/>
  <c r="B111" i="1"/>
  <c r="G110" i="1"/>
  <c r="B110" i="1"/>
  <c r="G109" i="1"/>
  <c r="C109" i="1"/>
  <c r="B109" i="1"/>
  <c r="G108" i="1"/>
  <c r="B108" i="1"/>
  <c r="G107" i="1"/>
  <c r="C107" i="1"/>
  <c r="B107" i="1"/>
  <c r="G106" i="1"/>
  <c r="C106" i="1"/>
  <c r="B106" i="1"/>
  <c r="G105" i="1"/>
  <c r="B105" i="1"/>
  <c r="G104" i="1"/>
  <c r="C104" i="1"/>
  <c r="B104" i="1"/>
  <c r="G103" i="1"/>
  <c r="C103" i="1"/>
  <c r="B103" i="1"/>
  <c r="G102" i="1"/>
  <c r="B102" i="1"/>
  <c r="G101" i="1"/>
  <c r="C101" i="1"/>
  <c r="B101" i="1"/>
  <c r="G100" i="1"/>
  <c r="C100" i="1"/>
  <c r="B100" i="1"/>
  <c r="G99" i="1"/>
  <c r="B99" i="1"/>
  <c r="G98" i="1"/>
  <c r="C98" i="1"/>
  <c r="B98" i="1"/>
  <c r="G97" i="1"/>
  <c r="B97" i="1"/>
  <c r="G96" i="1"/>
  <c r="B96" i="1"/>
  <c r="G95" i="1"/>
  <c r="C95" i="1"/>
  <c r="B95" i="1"/>
  <c r="G94" i="1"/>
  <c r="C94" i="1"/>
  <c r="B94" i="1"/>
  <c r="G93" i="1"/>
  <c r="B93" i="1"/>
  <c r="G92" i="1"/>
  <c r="B92" i="1"/>
  <c r="G91" i="1"/>
  <c r="B91" i="1"/>
  <c r="G90" i="1"/>
  <c r="B90" i="1"/>
  <c r="G89" i="1"/>
  <c r="C89" i="1"/>
  <c r="B89" i="1"/>
  <c r="G88" i="1"/>
  <c r="B88" i="1"/>
  <c r="G87" i="1"/>
  <c r="C87" i="1"/>
  <c r="B87" i="1"/>
  <c r="G86" i="1"/>
  <c r="C86" i="1"/>
  <c r="B86" i="1"/>
  <c r="G85" i="1"/>
  <c r="B85" i="1"/>
  <c r="G84" i="1"/>
  <c r="C84" i="1"/>
  <c r="B84" i="1"/>
  <c r="G83" i="1"/>
  <c r="C83" i="1"/>
  <c r="B83" i="1"/>
  <c r="G82" i="1"/>
  <c r="B82" i="1"/>
  <c r="G81" i="1"/>
  <c r="B81" i="1"/>
  <c r="G80" i="1"/>
  <c r="C80" i="1"/>
  <c r="B80" i="1"/>
  <c r="G79" i="1"/>
  <c r="B79" i="1"/>
  <c r="G78" i="1"/>
  <c r="B78" i="1"/>
  <c r="G77" i="1"/>
  <c r="B77" i="1"/>
  <c r="G76" i="1"/>
  <c r="C76" i="1"/>
  <c r="B76" i="1"/>
  <c r="G75" i="1"/>
  <c r="B75" i="1"/>
  <c r="G74" i="1"/>
  <c r="C74" i="1"/>
  <c r="B74" i="1"/>
  <c r="G73" i="1"/>
  <c r="C73" i="1"/>
  <c r="B73" i="1"/>
  <c r="G72" i="1"/>
  <c r="C72" i="1"/>
  <c r="B72" i="1"/>
  <c r="G71" i="1"/>
  <c r="C71" i="1"/>
  <c r="B71" i="1"/>
  <c r="G70" i="1"/>
  <c r="B70" i="1"/>
  <c r="G69" i="1"/>
  <c r="C69" i="1"/>
  <c r="B69" i="1"/>
  <c r="G68" i="1"/>
  <c r="C68" i="1"/>
  <c r="B68" i="1"/>
  <c r="G67" i="1"/>
  <c r="B67" i="1"/>
  <c r="G66" i="1"/>
  <c r="C66" i="1"/>
  <c r="B66" i="1"/>
  <c r="G65" i="1"/>
  <c r="B65" i="1"/>
  <c r="G64" i="1"/>
  <c r="C64" i="1"/>
  <c r="B64" i="1"/>
  <c r="G63" i="1"/>
  <c r="C63" i="1"/>
  <c r="B63" i="1"/>
  <c r="G62" i="1"/>
  <c r="C62" i="1"/>
  <c r="B62" i="1"/>
  <c r="G61" i="1"/>
  <c r="C61" i="1"/>
  <c r="B61" i="1"/>
  <c r="G60" i="1"/>
  <c r="B60" i="1"/>
  <c r="G59" i="1"/>
  <c r="C59" i="1"/>
  <c r="B59" i="1"/>
  <c r="G58" i="1"/>
  <c r="B58" i="1"/>
  <c r="G57" i="1"/>
  <c r="B57" i="1"/>
  <c r="G56" i="1"/>
  <c r="C56" i="1"/>
  <c r="B56" i="1"/>
  <c r="G55" i="1"/>
  <c r="C55" i="1"/>
  <c r="B55" i="1"/>
  <c r="G54" i="1"/>
  <c r="C54" i="1"/>
  <c r="B54" i="1"/>
  <c r="G53" i="1"/>
  <c r="B53" i="1"/>
  <c r="G52" i="1"/>
  <c r="C52" i="1"/>
  <c r="B52" i="1"/>
  <c r="G51" i="1"/>
  <c r="B51" i="1"/>
  <c r="G50" i="1"/>
  <c r="C50" i="1"/>
  <c r="B50" i="1"/>
  <c r="G49" i="1"/>
  <c r="C49" i="1"/>
  <c r="B49" i="1"/>
  <c r="G48" i="1"/>
  <c r="B48" i="1"/>
  <c r="G47" i="1"/>
  <c r="B47" i="1"/>
  <c r="G46" i="1"/>
  <c r="B46" i="1"/>
  <c r="G45" i="1"/>
  <c r="B45" i="1"/>
  <c r="G44" i="1"/>
  <c r="C44" i="1"/>
  <c r="B44" i="1"/>
  <c r="G43" i="1"/>
  <c r="B43" i="1"/>
  <c r="G42" i="1"/>
  <c r="C42" i="1"/>
  <c r="B42" i="1"/>
  <c r="G41" i="1"/>
  <c r="C41" i="1"/>
  <c r="B41" i="1"/>
  <c r="G40" i="1"/>
  <c r="B40" i="1"/>
  <c r="G39" i="1"/>
  <c r="C39" i="1"/>
  <c r="B39" i="1"/>
  <c r="G38" i="1"/>
  <c r="B38" i="1"/>
  <c r="G37" i="1"/>
  <c r="C37" i="1"/>
  <c r="B37" i="1"/>
  <c r="G36" i="1"/>
  <c r="B36" i="1"/>
  <c r="G35" i="1"/>
  <c r="C35" i="1"/>
  <c r="B35" i="1"/>
  <c r="G34" i="1"/>
  <c r="C34" i="1"/>
  <c r="B34" i="1"/>
  <c r="G33" i="1"/>
  <c r="B33" i="1"/>
  <c r="G32" i="1"/>
  <c r="B32" i="1"/>
  <c r="G31" i="1"/>
  <c r="C31" i="1"/>
  <c r="B31" i="1"/>
  <c r="G30" i="1"/>
  <c r="C30" i="1"/>
  <c r="B30" i="1"/>
  <c r="G29" i="1"/>
  <c r="B29" i="1"/>
  <c r="G28" i="1"/>
  <c r="C28" i="1"/>
  <c r="B28" i="1"/>
  <c r="G27" i="1"/>
  <c r="B27" i="1"/>
  <c r="G26" i="1"/>
  <c r="C26" i="1"/>
  <c r="B26" i="1"/>
  <c r="G25" i="1"/>
  <c r="B25" i="1"/>
  <c r="G24" i="1"/>
  <c r="C24" i="1"/>
  <c r="B24" i="1"/>
  <c r="G23" i="1"/>
  <c r="B23" i="1"/>
  <c r="G22" i="1"/>
  <c r="C22" i="1"/>
  <c r="B22" i="1"/>
  <c r="G21" i="1"/>
  <c r="C21" i="1"/>
  <c r="B21" i="1"/>
  <c r="G20" i="1"/>
  <c r="C20" i="1"/>
  <c r="B20" i="1"/>
  <c r="G19" i="1"/>
  <c r="C19" i="1"/>
  <c r="B19" i="1"/>
  <c r="G18" i="1"/>
  <c r="C18" i="1"/>
  <c r="B18" i="1"/>
  <c r="G17" i="1"/>
  <c r="C17" i="1"/>
  <c r="B17" i="1"/>
  <c r="G16" i="1"/>
  <c r="C16" i="1"/>
  <c r="B16" i="1"/>
  <c r="G15" i="1"/>
  <c r="B15" i="1"/>
  <c r="G14" i="1"/>
  <c r="C14" i="1"/>
  <c r="B14" i="1"/>
  <c r="G13" i="1"/>
  <c r="C13" i="1"/>
  <c r="B13" i="1"/>
  <c r="G12" i="1"/>
  <c r="C12" i="1"/>
  <c r="B12" i="1"/>
  <c r="G11" i="1"/>
  <c r="B11" i="1"/>
  <c r="G10" i="1"/>
  <c r="B10" i="1"/>
  <c r="G9" i="1"/>
  <c r="C9" i="1"/>
  <c r="B9" i="1"/>
  <c r="G8" i="1"/>
  <c r="B8" i="1"/>
  <c r="G7" i="1"/>
  <c r="C7" i="1"/>
  <c r="B7" i="1"/>
  <c r="G6" i="1"/>
  <c r="C6" i="1"/>
  <c r="B6" i="1"/>
  <c r="G5" i="1"/>
  <c r="C5" i="1"/>
  <c r="B5" i="1"/>
  <c r="G4" i="1"/>
  <c r="B4" i="1"/>
  <c r="G3" i="1"/>
  <c r="C3" i="1"/>
  <c r="B3" i="1"/>
  <c r="G2" i="1"/>
  <c r="C2" i="1"/>
  <c r="B2" i="1"/>
  <c r="G1" i="1"/>
  <c r="B1" i="1"/>
</calcChain>
</file>

<file path=xl/sharedStrings.xml><?xml version="1.0" encoding="utf-8"?>
<sst xmlns="http://schemas.openxmlformats.org/spreadsheetml/2006/main" count="116925" uniqueCount="24976">
  <si>
    <t>是</t>
  </si>
  <si>
    <t>-</t>
  </si>
  <si>
    <t>王楠</t>
  </si>
  <si>
    <t>李志国</t>
  </si>
  <si>
    <t>张良</t>
  </si>
  <si>
    <t>赵雪松</t>
  </si>
  <si>
    <t>田雨</t>
  </si>
  <si>
    <t>李琪</t>
  </si>
  <si>
    <t>刘铭</t>
  </si>
  <si>
    <t>李丹</t>
  </si>
  <si>
    <t>杨超</t>
  </si>
  <si>
    <t>曾旭</t>
  </si>
  <si>
    <t>吴昊</t>
  </si>
  <si>
    <t>胡浩</t>
  </si>
  <si>
    <t>李鹏</t>
  </si>
  <si>
    <t>张东</t>
  </si>
  <si>
    <t>高伟</t>
  </si>
  <si>
    <t>张明</t>
  </si>
  <si>
    <t>张帅</t>
  </si>
  <si>
    <t>刘康</t>
  </si>
  <si>
    <t>张晶</t>
  </si>
  <si>
    <t>王飞</t>
  </si>
  <si>
    <t>林鹏</t>
  </si>
  <si>
    <t>李辉</t>
  </si>
  <si>
    <t>刘洋</t>
  </si>
  <si>
    <t>王创</t>
  </si>
  <si>
    <t>王俊</t>
  </si>
  <si>
    <t>杨磊</t>
  </si>
  <si>
    <t>张伟</t>
  </si>
  <si>
    <t>刘磊</t>
  </si>
  <si>
    <t>孙涛</t>
  </si>
  <si>
    <t>王森</t>
  </si>
  <si>
    <t>刘冬冬</t>
  </si>
  <si>
    <t>李华</t>
  </si>
  <si>
    <t>杨凯</t>
  </si>
  <si>
    <t>段蕾</t>
  </si>
  <si>
    <t>李毅</t>
  </si>
  <si>
    <t>张峰</t>
  </si>
  <si>
    <t>陈旺</t>
  </si>
  <si>
    <t>赵丽</t>
  </si>
  <si>
    <t>陈刚</t>
  </si>
  <si>
    <t>王越</t>
  </si>
  <si>
    <t>张恒</t>
  </si>
  <si>
    <t>王娜</t>
  </si>
  <si>
    <t>张林</t>
  </si>
  <si>
    <t>杨飞</t>
  </si>
  <si>
    <t>高祥</t>
  </si>
  <si>
    <t>陈丹</t>
  </si>
  <si>
    <t>罗超</t>
  </si>
  <si>
    <t>万鹏</t>
  </si>
  <si>
    <t>刘艳</t>
  </si>
  <si>
    <t>黄建雄</t>
  </si>
  <si>
    <t>王磊</t>
  </si>
  <si>
    <t>福建省厦门市思明区湖滨中路7号</t>
  </si>
  <si>
    <t>王志国</t>
  </si>
  <si>
    <t>于航</t>
  </si>
  <si>
    <t>陈健</t>
  </si>
  <si>
    <t>刘明明</t>
  </si>
  <si>
    <t>王鹏</t>
  </si>
  <si>
    <t>王敏</t>
  </si>
  <si>
    <t>张凯</t>
  </si>
  <si>
    <t>杨敏</t>
  </si>
  <si>
    <t>刘斌</t>
  </si>
  <si>
    <t>李飞</t>
  </si>
  <si>
    <t>胡帅</t>
  </si>
  <si>
    <t>赵仁杰</t>
  </si>
  <si>
    <t>杨淼</t>
  </si>
  <si>
    <t>杨光</t>
  </si>
  <si>
    <t>李川</t>
  </si>
  <si>
    <t>王涛</t>
  </si>
  <si>
    <t>王阳</t>
  </si>
  <si>
    <t>周楠</t>
  </si>
  <si>
    <t>张保</t>
  </si>
  <si>
    <t>胡丹</t>
  </si>
  <si>
    <t>杨晓东</t>
  </si>
  <si>
    <t>张宏伟</t>
  </si>
  <si>
    <t>刘莉</t>
  </si>
  <si>
    <t>程康</t>
  </si>
  <si>
    <t>李斌</t>
  </si>
  <si>
    <t>李小龙</t>
  </si>
  <si>
    <t>汪凯</t>
  </si>
  <si>
    <t>张海龙</t>
  </si>
  <si>
    <t>汪鑫</t>
  </si>
  <si>
    <t>张超</t>
  </si>
  <si>
    <t>杨洋</t>
  </si>
  <si>
    <t>张艳平</t>
  </si>
  <si>
    <t>张晓丽</t>
  </si>
  <si>
    <t>张雷</t>
  </si>
  <si>
    <t>王静</t>
  </si>
  <si>
    <t>李江</t>
  </si>
  <si>
    <t>杨辉</t>
  </si>
  <si>
    <t>周建</t>
  </si>
  <si>
    <t>刘鹏飞</t>
  </si>
  <si>
    <t>黄杰</t>
  </si>
  <si>
    <t>张杨</t>
  </si>
  <si>
    <t>武斌</t>
  </si>
  <si>
    <t>张涛</t>
  </si>
  <si>
    <t>王玉双</t>
  </si>
  <si>
    <t>孙宇</t>
  </si>
  <si>
    <t>齐鹏</t>
  </si>
  <si>
    <t>冯涛</t>
  </si>
  <si>
    <t>徐涛</t>
  </si>
  <si>
    <t>张宏</t>
  </si>
  <si>
    <t>李念</t>
  </si>
  <si>
    <t>刘军</t>
  </si>
  <si>
    <t>刘鹏</t>
  </si>
  <si>
    <t>王武</t>
  </si>
  <si>
    <t>李彬</t>
  </si>
  <si>
    <t>张岩</t>
  </si>
  <si>
    <t>刘建强</t>
  </si>
  <si>
    <t>王宏</t>
  </si>
  <si>
    <t>徐强</t>
  </si>
  <si>
    <t>杨威</t>
  </si>
  <si>
    <t>崔福利</t>
  </si>
  <si>
    <t>吴鑫</t>
  </si>
  <si>
    <t>陈卫平</t>
  </si>
  <si>
    <t>刘欢</t>
  </si>
  <si>
    <t>陈海生</t>
  </si>
  <si>
    <t>张亮</t>
  </si>
  <si>
    <t>赵鹏</t>
  </si>
  <si>
    <t>杨彪</t>
  </si>
  <si>
    <t>郭伟</t>
  </si>
  <si>
    <t>张杰明</t>
  </si>
  <si>
    <t>赵健</t>
  </si>
  <si>
    <t>刘鑫</t>
  </si>
  <si>
    <t>孙辉</t>
  </si>
  <si>
    <t>王海峰</t>
  </si>
  <si>
    <t>高强</t>
  </si>
  <si>
    <t>马超</t>
  </si>
  <si>
    <t>李星</t>
  </si>
  <si>
    <t>张学明</t>
  </si>
  <si>
    <t>李波</t>
  </si>
  <si>
    <t>陈雪仪</t>
  </si>
  <si>
    <t>王洋</t>
  </si>
  <si>
    <t>刘伟</t>
  </si>
  <si>
    <t>丛雷</t>
  </si>
  <si>
    <t>王超</t>
  </si>
  <si>
    <t>张晓东</t>
  </si>
  <si>
    <t>张亮亮</t>
  </si>
  <si>
    <t>李晓明</t>
  </si>
  <si>
    <t>王军</t>
  </si>
  <si>
    <t>刘丹丹</t>
  </si>
  <si>
    <t>周兰兰</t>
  </si>
  <si>
    <t>李倩</t>
  </si>
  <si>
    <t>李俊杰</t>
  </si>
  <si>
    <t>吴凯</t>
  </si>
  <si>
    <t>王伟</t>
  </si>
  <si>
    <t>颜超</t>
  </si>
  <si>
    <t>杨明</t>
  </si>
  <si>
    <t>王浩</t>
  </si>
  <si>
    <t>杨鑫</t>
  </si>
  <si>
    <t>王小龙</t>
  </si>
  <si>
    <t>陈雪</t>
  </si>
  <si>
    <t>孙金亮</t>
  </si>
  <si>
    <t>刘勇</t>
  </si>
  <si>
    <t>张建军</t>
  </si>
  <si>
    <t>黄成</t>
  </si>
  <si>
    <t>李平</t>
  </si>
  <si>
    <t>赵伟</t>
  </si>
  <si>
    <t>李静</t>
  </si>
  <si>
    <t>陈志坚</t>
  </si>
  <si>
    <t>金艳</t>
  </si>
  <si>
    <t>张哲</t>
  </si>
  <si>
    <t>刘涛</t>
  </si>
  <si>
    <t>李洋</t>
  </si>
  <si>
    <t>林峰</t>
  </si>
  <si>
    <t>杨志国</t>
  </si>
  <si>
    <t>吕亮</t>
  </si>
  <si>
    <t>高峰</t>
  </si>
  <si>
    <t>李建军</t>
  </si>
  <si>
    <t>李伟</t>
  </si>
  <si>
    <t>谢华</t>
  </si>
  <si>
    <t>郑金泉</t>
  </si>
  <si>
    <t>张波</t>
  </si>
  <si>
    <t>王慧</t>
  </si>
  <si>
    <t>罗勇</t>
  </si>
  <si>
    <t>李玥</t>
  </si>
  <si>
    <t>周聪</t>
  </si>
  <si>
    <t>刘俊</t>
  </si>
  <si>
    <t>陈林</t>
  </si>
  <si>
    <t>刘晶晶</t>
  </si>
  <si>
    <t>刘美玲</t>
  </si>
  <si>
    <t>刘峰</t>
  </si>
  <si>
    <t>陈丽丽</t>
  </si>
  <si>
    <t>王飞龙</t>
  </si>
  <si>
    <t>赵凯</t>
  </si>
  <si>
    <t>白蕊</t>
  </si>
  <si>
    <t>赵强</t>
  </si>
  <si>
    <t>蒋东东</t>
  </si>
  <si>
    <t>杨艳</t>
  </si>
  <si>
    <t>孙磊</t>
  </si>
  <si>
    <t>陈军</t>
  </si>
  <si>
    <t>张航</t>
  </si>
  <si>
    <t>李浩</t>
  </si>
  <si>
    <t>李佳</t>
  </si>
  <si>
    <t>吕彬</t>
  </si>
  <si>
    <t>赵星星</t>
  </si>
  <si>
    <t>张鹏飞</t>
  </si>
  <si>
    <t>王平</t>
  </si>
  <si>
    <t>杨维</t>
  </si>
  <si>
    <t>王松</t>
  </si>
  <si>
    <t>李岩</t>
  </si>
  <si>
    <t>杨浩</t>
  </si>
  <si>
    <t>李思</t>
  </si>
  <si>
    <t>谢强</t>
  </si>
  <si>
    <t>张旭</t>
  </si>
  <si>
    <t>王宇</t>
  </si>
  <si>
    <t>黄英</t>
  </si>
  <si>
    <t>张敏</t>
  </si>
  <si>
    <t>李涛</t>
  </si>
  <si>
    <t>刘晶</t>
  </si>
  <si>
    <t>王斌</t>
  </si>
  <si>
    <t>梁军</t>
  </si>
  <si>
    <t>刘永恒</t>
  </si>
  <si>
    <t>黄军</t>
  </si>
  <si>
    <t>赵辉</t>
  </si>
  <si>
    <t>陈超</t>
  </si>
  <si>
    <t>许可</t>
  </si>
  <si>
    <t>张晓芳</t>
  </si>
  <si>
    <t>周亮</t>
  </si>
  <si>
    <t>王强</t>
  </si>
  <si>
    <t>韩雪</t>
  </si>
  <si>
    <t>李旭</t>
  </si>
  <si>
    <t>彭星</t>
  </si>
  <si>
    <t>肖林</t>
  </si>
  <si>
    <t>张智慧</t>
  </si>
  <si>
    <t>张成龙</t>
  </si>
  <si>
    <t>陈辉</t>
  </si>
  <si>
    <t>张鑫</t>
  </si>
  <si>
    <t>陈志强</t>
  </si>
  <si>
    <t>黄丽娟</t>
  </si>
  <si>
    <t>徐辉</t>
  </si>
  <si>
    <t>张文</t>
  </si>
  <si>
    <t>赵娜</t>
  </si>
  <si>
    <t>张艳</t>
  </si>
  <si>
    <t>张琴</t>
  </si>
  <si>
    <t>韩磊</t>
  </si>
  <si>
    <t>孙鹏</t>
  </si>
  <si>
    <t>周阳</t>
  </si>
  <si>
    <t>何浩</t>
  </si>
  <si>
    <t>刘川</t>
  </si>
  <si>
    <t>王华杰</t>
  </si>
  <si>
    <t>陈鑫</t>
  </si>
  <si>
    <t>任艳</t>
  </si>
  <si>
    <t>李勇</t>
  </si>
  <si>
    <t>张成</t>
  </si>
  <si>
    <t>李腾</t>
  </si>
  <si>
    <t>李健</t>
  </si>
  <si>
    <t>李冬</t>
  </si>
  <si>
    <t>王艳</t>
  </si>
  <si>
    <t>刘璐</t>
  </si>
  <si>
    <t>王芳</t>
  </si>
  <si>
    <t>李璐</t>
  </si>
  <si>
    <t>刘江</t>
  </si>
  <si>
    <t>高磊</t>
  </si>
  <si>
    <t>杨斌</t>
  </si>
  <si>
    <t>张磊</t>
  </si>
  <si>
    <t>王丽珍</t>
  </si>
  <si>
    <t>王双</t>
  </si>
  <si>
    <t>白雪</t>
  </si>
  <si>
    <t>刘凯</t>
  </si>
  <si>
    <t>王洪</t>
  </si>
  <si>
    <t>杨杰</t>
  </si>
  <si>
    <t>李鑫</t>
  </si>
  <si>
    <t>刘阳</t>
  </si>
  <si>
    <t>王辉</t>
  </si>
  <si>
    <t>陈明辉</t>
  </si>
  <si>
    <t>王锋</t>
  </si>
  <si>
    <t>王波</t>
  </si>
  <si>
    <t>张国华</t>
  </si>
  <si>
    <t>王勇</t>
  </si>
  <si>
    <t>吴军</t>
  </si>
  <si>
    <t>李云龙</t>
  </si>
  <si>
    <t>杨静</t>
  </si>
  <si>
    <t>张燕</t>
  </si>
  <si>
    <t>冯洁</t>
  </si>
  <si>
    <t>李俊</t>
  </si>
  <si>
    <t>李磊</t>
  </si>
  <si>
    <t>张楠</t>
  </si>
  <si>
    <t>徐建</t>
  </si>
  <si>
    <t>吴强</t>
  </si>
  <si>
    <t>陈庆</t>
  </si>
  <si>
    <t>张斌</t>
  </si>
  <si>
    <t>刘志勇</t>
  </si>
  <si>
    <t>林清锦</t>
  </si>
  <si>
    <t>郭鑫</t>
  </si>
  <si>
    <t>李军</t>
  </si>
  <si>
    <t>张鹏</t>
  </si>
  <si>
    <t>周杰</t>
  </si>
  <si>
    <t>白羽</t>
  </si>
  <si>
    <t>梁超</t>
  </si>
  <si>
    <t>赵勇</t>
  </si>
  <si>
    <t>黄雷</t>
  </si>
  <si>
    <t>周杨</t>
  </si>
  <si>
    <t>郑彬</t>
  </si>
  <si>
    <t>李国强</t>
  </si>
  <si>
    <t>钱涛</t>
  </si>
  <si>
    <t>陈杰</t>
  </si>
  <si>
    <t>曹磊</t>
  </si>
  <si>
    <t>刘健</t>
  </si>
  <si>
    <t>唐广</t>
  </si>
  <si>
    <t>李敏</t>
  </si>
  <si>
    <t>黄超</t>
  </si>
  <si>
    <t>王海龙</t>
  </si>
  <si>
    <t>冯伟</t>
  </si>
  <si>
    <t>王雷</t>
  </si>
  <si>
    <t>刘冬</t>
  </si>
  <si>
    <t>吴燕</t>
  </si>
  <si>
    <t>李明明</t>
  </si>
  <si>
    <t>李珍</t>
  </si>
  <si>
    <t>马丹</t>
  </si>
  <si>
    <t>张辉</t>
  </si>
  <si>
    <t>陈洁</t>
  </si>
  <si>
    <t>张璐</t>
  </si>
  <si>
    <t>刘学锋</t>
  </si>
  <si>
    <t>杨平</t>
  </si>
  <si>
    <t>徐伟</t>
  </si>
  <si>
    <t>马振</t>
  </si>
  <si>
    <t>陈小军</t>
  </si>
  <si>
    <t>陈瑞娟</t>
  </si>
  <si>
    <t>刘开</t>
  </si>
  <si>
    <t>江苏省苏州市昆山市昆山市经济开发区南河路168号</t>
  </si>
  <si>
    <t>陈丽萍</t>
  </si>
  <si>
    <t>李聪</t>
  </si>
  <si>
    <t>张浩</t>
  </si>
  <si>
    <t>刘颖</t>
  </si>
  <si>
    <t>陈晓雪</t>
  </si>
  <si>
    <t>陈小燕</t>
  </si>
  <si>
    <t>王博</t>
  </si>
  <si>
    <t>刘畅</t>
  </si>
  <si>
    <t>赵龙</t>
  </si>
  <si>
    <t>王闯</t>
  </si>
  <si>
    <t>肖斌</t>
  </si>
  <si>
    <t>黄永华</t>
  </si>
  <si>
    <t>徐敏</t>
  </si>
  <si>
    <t>郑涛</t>
  </si>
  <si>
    <t>熊毅</t>
  </si>
  <si>
    <t>王春雨</t>
  </si>
  <si>
    <t>邓健</t>
  </si>
  <si>
    <t>王丽</t>
  </si>
  <si>
    <t>王小波</t>
  </si>
  <si>
    <t>张松</t>
  </si>
  <si>
    <t>徐斌</t>
  </si>
  <si>
    <t>周敏</t>
  </si>
  <si>
    <t>陈凯</t>
  </si>
  <si>
    <t>陈敏</t>
  </si>
  <si>
    <t>陈涛</t>
  </si>
  <si>
    <t>刘凤</t>
  </si>
  <si>
    <t>李红</t>
  </si>
  <si>
    <t>李琳</t>
  </si>
  <si>
    <t>陈伟</t>
  </si>
  <si>
    <t>张森</t>
  </si>
  <si>
    <t>刘龙</t>
  </si>
  <si>
    <t>周强</t>
  </si>
  <si>
    <t>刘敏</t>
  </si>
  <si>
    <t>张震</t>
  </si>
  <si>
    <t>肖刚</t>
  </si>
  <si>
    <t>于涛</t>
  </si>
  <si>
    <t>李萌</t>
  </si>
  <si>
    <t>刘志刚</t>
  </si>
  <si>
    <t>朱琳</t>
  </si>
  <si>
    <t>郭建</t>
  </si>
  <si>
    <t>胡勇</t>
  </si>
  <si>
    <t>张静</t>
  </si>
  <si>
    <t>张涵</t>
  </si>
  <si>
    <t>杨倩</t>
  </si>
  <si>
    <t>杨涛</t>
  </si>
  <si>
    <t>陈雷</t>
  </si>
  <si>
    <t>田浩</t>
  </si>
  <si>
    <t>黄帅</t>
  </si>
  <si>
    <t>刘杰</t>
  </si>
  <si>
    <t>刘志伟</t>
  </si>
  <si>
    <t>马龙</t>
  </si>
  <si>
    <t>徐静</t>
  </si>
  <si>
    <t>张海涛</t>
  </si>
  <si>
    <t>彭亮</t>
  </si>
  <si>
    <t>何立群</t>
  </si>
  <si>
    <t>李杰</t>
  </si>
  <si>
    <t>吴亚军</t>
  </si>
  <si>
    <t>周志鹏</t>
  </si>
  <si>
    <t>谢娟</t>
  </si>
  <si>
    <t>李良勇</t>
  </si>
  <si>
    <t>李娜</t>
  </si>
  <si>
    <t>金鹏</t>
  </si>
  <si>
    <t>李猛</t>
  </si>
  <si>
    <t>徐鹏飞</t>
  </si>
  <si>
    <t>刘盼</t>
  </si>
  <si>
    <t>陈亮</t>
  </si>
  <si>
    <t>赵丹</t>
  </si>
  <si>
    <t>刘博</t>
  </si>
  <si>
    <t>孙月</t>
  </si>
  <si>
    <t>杨军</t>
  </si>
  <si>
    <t>谢国强</t>
  </si>
  <si>
    <t>王海</t>
  </si>
  <si>
    <t>陈志辉</t>
  </si>
  <si>
    <t>刘波</t>
  </si>
  <si>
    <t>王灿</t>
  </si>
  <si>
    <t>黄佳</t>
  </si>
  <si>
    <t>王诚</t>
  </si>
  <si>
    <t>李响</t>
  </si>
  <si>
    <t>李志强</t>
  </si>
  <si>
    <t>王杰</t>
  </si>
  <si>
    <t>赵飞</t>
  </si>
  <si>
    <t>韩恒泰</t>
  </si>
  <si>
    <t>周健</t>
  </si>
  <si>
    <t>李志伟</t>
  </si>
  <si>
    <t>刘宁</t>
  </si>
  <si>
    <t>赵洋</t>
  </si>
  <si>
    <t>黄兵</t>
  </si>
  <si>
    <t>李虎</t>
  </si>
  <si>
    <t>黄艳</t>
  </si>
  <si>
    <t>包龙</t>
  </si>
  <si>
    <t>郭涛</t>
  </si>
  <si>
    <t>杨帆</t>
  </si>
  <si>
    <t>杨波</t>
  </si>
  <si>
    <t>肖飞</t>
  </si>
  <si>
    <t>郭海龙</t>
  </si>
  <si>
    <t>王光</t>
  </si>
  <si>
    <t>汪洋</t>
  </si>
  <si>
    <t>吴坤</t>
  </si>
  <si>
    <t>陈杨</t>
  </si>
  <si>
    <t>刘莹</t>
  </si>
  <si>
    <t>郑超</t>
  </si>
  <si>
    <t>张琪</t>
  </si>
  <si>
    <t>刘欣</t>
  </si>
  <si>
    <t>田超</t>
  </si>
  <si>
    <t>李志</t>
  </si>
  <si>
    <t>李晓龙</t>
  </si>
  <si>
    <t>陈聪</t>
  </si>
  <si>
    <t>徐旺</t>
  </si>
  <si>
    <t>钟明</t>
  </si>
  <si>
    <t>李莎莎</t>
  </si>
  <si>
    <t>陈彬</t>
  </si>
  <si>
    <t>陈志明</t>
  </si>
  <si>
    <t>李洋洋</t>
  </si>
  <si>
    <t>李永超</t>
  </si>
  <si>
    <t>张威</t>
  </si>
  <si>
    <t>郭超</t>
  </si>
  <si>
    <t>李良</t>
  </si>
  <si>
    <t>曾林</t>
  </si>
  <si>
    <t>李少华</t>
  </si>
  <si>
    <t>王俊杰</t>
  </si>
  <si>
    <t>周玲</t>
  </si>
  <si>
    <t>崔志刚</t>
  </si>
  <si>
    <t>刘洋洋</t>
  </si>
  <si>
    <t>王凯</t>
  </si>
  <si>
    <t>张洋</t>
  </si>
  <si>
    <t>周云</t>
  </si>
  <si>
    <t>孙浩</t>
  </si>
  <si>
    <t>王雪峰</t>
  </si>
  <si>
    <t>李淼</t>
  </si>
  <si>
    <t>张欣</t>
  </si>
  <si>
    <t>陈浩</t>
  </si>
  <si>
    <t>聂鑫</t>
  </si>
  <si>
    <t>杨阳</t>
  </si>
  <si>
    <t>张杰</t>
  </si>
  <si>
    <t>张荣</t>
  </si>
  <si>
    <t>张慧</t>
  </si>
  <si>
    <t>王雪</t>
  </si>
  <si>
    <t>王曼</t>
  </si>
  <si>
    <t>马刚</t>
  </si>
  <si>
    <t>张莉</t>
  </si>
  <si>
    <t>杨刚</t>
  </si>
  <si>
    <t>王卫</t>
  </si>
  <si>
    <t>孙超</t>
  </si>
  <si>
    <t>张兵</t>
  </si>
  <si>
    <t>胡蓉</t>
  </si>
  <si>
    <t>王凯凯</t>
  </si>
  <si>
    <t>徐志龙</t>
  </si>
  <si>
    <t>黄飞</t>
  </si>
  <si>
    <t>陈强</t>
  </si>
  <si>
    <t>杨虎</t>
  </si>
  <si>
    <t>石峰</t>
  </si>
  <si>
    <t>宋佳</t>
  </si>
  <si>
    <t>陈俊宇</t>
  </si>
  <si>
    <t>张勇</t>
  </si>
  <si>
    <t>赵莹</t>
  </si>
  <si>
    <t>黄维</t>
  </si>
  <si>
    <t>王野</t>
  </si>
  <si>
    <t>丁婧</t>
  </si>
  <si>
    <t>李龙</t>
  </si>
  <si>
    <t>赵云龙</t>
  </si>
  <si>
    <t>吴浩</t>
  </si>
  <si>
    <t>李艳梅</t>
  </si>
  <si>
    <t>郭强</t>
  </si>
  <si>
    <t>吴涛</t>
  </si>
  <si>
    <t>苏宁</t>
  </si>
  <si>
    <t>王栋</t>
  </si>
  <si>
    <t>王红梅</t>
  </si>
  <si>
    <t>李晓伟</t>
  </si>
  <si>
    <t>胡鹏</t>
  </si>
  <si>
    <t>张娜</t>
  </si>
  <si>
    <t>张媛媛</t>
  </si>
  <si>
    <t>张建红</t>
  </si>
  <si>
    <t>陈海波</t>
  </si>
  <si>
    <t>沈鹏</t>
  </si>
  <si>
    <t>武军</t>
  </si>
  <si>
    <t>杨勇</t>
  </si>
  <si>
    <t>何东</t>
  </si>
  <si>
    <t>陈勇</t>
  </si>
  <si>
    <t>李乐</t>
  </si>
  <si>
    <t>徐兵</t>
  </si>
  <si>
    <t>梁峰</t>
  </si>
  <si>
    <t>曹阳</t>
  </si>
  <si>
    <t>王君</t>
  </si>
  <si>
    <t>李超</t>
  </si>
  <si>
    <t>李燕</t>
  </si>
  <si>
    <t>李大伟</t>
  </si>
  <si>
    <t>陈毅</t>
  </si>
  <si>
    <t>李程</t>
  </si>
  <si>
    <t>张坤</t>
  </si>
  <si>
    <t>张玲</t>
  </si>
  <si>
    <t>吴杨</t>
  </si>
  <si>
    <t>刘娟</t>
  </si>
  <si>
    <t>张莹</t>
  </si>
  <si>
    <t>郭敏</t>
  </si>
  <si>
    <t>金淼</t>
  </si>
  <si>
    <t>刘娇</t>
  </si>
  <si>
    <t>陈欢</t>
  </si>
  <si>
    <t>孙健</t>
  </si>
  <si>
    <t>杨柳</t>
  </si>
  <si>
    <t>王小华</t>
  </si>
  <si>
    <t>周伟</t>
  </si>
  <si>
    <t>李林林</t>
  </si>
  <si>
    <t>金鑫</t>
  </si>
  <si>
    <t>黄国华</t>
  </si>
  <si>
    <t>李帅</t>
  </si>
  <si>
    <t>高爽</t>
  </si>
  <si>
    <t>刘飞</t>
  </si>
  <si>
    <t>陈明</t>
  </si>
  <si>
    <t>苏强</t>
  </si>
  <si>
    <t>王巍</t>
  </si>
  <si>
    <t>王丽丽</t>
  </si>
  <si>
    <t>王志强</t>
  </si>
  <si>
    <t>李永强</t>
  </si>
  <si>
    <t>张雨生</t>
  </si>
  <si>
    <t>刘林</t>
  </si>
  <si>
    <t>孙刚</t>
  </si>
  <si>
    <t>张凡</t>
  </si>
  <si>
    <t>王振</t>
  </si>
  <si>
    <t>王剑</t>
  </si>
  <si>
    <t>高军</t>
  </si>
  <si>
    <t>王娜娜</t>
  </si>
  <si>
    <t>王振宇</t>
  </si>
  <si>
    <t>徐杨</t>
  </si>
  <si>
    <t>马涛</t>
  </si>
  <si>
    <t>李晓宇</t>
  </si>
  <si>
    <t>王蓉</t>
  </si>
  <si>
    <t>张蕊</t>
  </si>
  <si>
    <t>吴健</t>
  </si>
  <si>
    <t>罗涛</t>
  </si>
  <si>
    <t>郑丹丹</t>
  </si>
  <si>
    <t>魏宇</t>
  </si>
  <si>
    <t>张庆华</t>
  </si>
  <si>
    <t>王玉华</t>
  </si>
  <si>
    <t>罗宇</t>
  </si>
  <si>
    <t>孙杰</t>
  </si>
  <si>
    <t>刘蒙</t>
  </si>
  <si>
    <t>赵阳</t>
  </si>
  <si>
    <t>李婷婷</t>
  </si>
  <si>
    <t>陈爽</t>
  </si>
  <si>
    <t>王莹</t>
  </si>
  <si>
    <t>张龙</t>
  </si>
  <si>
    <t>徐健</t>
  </si>
  <si>
    <t>刘柯</t>
  </si>
  <si>
    <t>王彪</t>
  </si>
  <si>
    <t>冯倩</t>
  </si>
  <si>
    <t>陈小龙</t>
  </si>
  <si>
    <t>黄鑫</t>
  </si>
  <si>
    <t>何勇</t>
  </si>
  <si>
    <t>杜卫东</t>
  </si>
  <si>
    <t>刘博文</t>
  </si>
  <si>
    <t>刘威</t>
  </si>
  <si>
    <t>王玉龙</t>
  </si>
  <si>
    <t>林志强</t>
  </si>
  <si>
    <t>龙威</t>
  </si>
  <si>
    <t>刘晓冬</t>
  </si>
  <si>
    <t>李智</t>
  </si>
  <si>
    <t>郭进</t>
  </si>
  <si>
    <t>刘宏伟</t>
  </si>
  <si>
    <t>张庆</t>
  </si>
  <si>
    <t>吴丽丽</t>
  </si>
  <si>
    <t>吴杰</t>
  </si>
  <si>
    <t>冯波</t>
  </si>
  <si>
    <t>张博</t>
  </si>
  <si>
    <t>张鹏程</t>
  </si>
  <si>
    <t>黄伟</t>
  </si>
  <si>
    <t>王东</t>
  </si>
  <si>
    <t>杨露</t>
  </si>
  <si>
    <t>李杨</t>
  </si>
  <si>
    <t>李国栋</t>
  </si>
  <si>
    <t>李欣</t>
  </si>
  <si>
    <t>赵颖</t>
  </si>
  <si>
    <t>李凯</t>
  </si>
  <si>
    <t>邱燕</t>
  </si>
  <si>
    <t>王彬</t>
  </si>
  <si>
    <t>田勇</t>
  </si>
  <si>
    <t>夏天</t>
  </si>
  <si>
    <t>陈学</t>
  </si>
  <si>
    <t>倪俊</t>
  </si>
  <si>
    <t>马锐</t>
  </si>
  <si>
    <t>张军</t>
  </si>
  <si>
    <t>李江华</t>
  </si>
  <si>
    <t>朱敏</t>
  </si>
  <si>
    <t>刘琳</t>
  </si>
  <si>
    <t>张丽</t>
  </si>
  <si>
    <t>孙建东</t>
  </si>
  <si>
    <t>杨海军</t>
  </si>
  <si>
    <t>杨芳</t>
  </si>
  <si>
    <t>何亮</t>
  </si>
  <si>
    <t>张春梅</t>
  </si>
  <si>
    <t>张宇</t>
  </si>
  <si>
    <t>陈康</t>
  </si>
  <si>
    <t>陈建</t>
  </si>
  <si>
    <t>李治春</t>
  </si>
  <si>
    <t>张帆</t>
  </si>
  <si>
    <t>曾建华</t>
  </si>
  <si>
    <t>刘娜娜</t>
  </si>
  <si>
    <t>刘昊</t>
  </si>
  <si>
    <t>王玲玲</t>
  </si>
  <si>
    <t>王旭</t>
  </si>
  <si>
    <t>张云龙</t>
  </si>
  <si>
    <t>高斌</t>
  </si>
  <si>
    <t>刘琴</t>
  </si>
  <si>
    <t>周鑫</t>
  </si>
  <si>
    <t>蔡杰</t>
  </si>
  <si>
    <t>李明</t>
  </si>
  <si>
    <t>李峰</t>
  </si>
  <si>
    <t>李博</t>
  </si>
  <si>
    <t>李锋</t>
  </si>
  <si>
    <t>刘倩</t>
  </si>
  <si>
    <t>张倩</t>
  </si>
  <si>
    <t>周鹏</t>
  </si>
  <si>
    <t>王丹</t>
  </si>
  <si>
    <t>张艳玲</t>
  </si>
  <si>
    <t>陈思雨</t>
  </si>
  <si>
    <t>刘世龙</t>
  </si>
  <si>
    <t>余松</t>
  </si>
  <si>
    <t>杨亚军</t>
  </si>
  <si>
    <t>闫磊</t>
  </si>
  <si>
    <t>于洋</t>
  </si>
  <si>
    <t>陆鹏</t>
  </si>
  <si>
    <t>王宁</t>
  </si>
  <si>
    <t>孟飞</t>
  </si>
  <si>
    <t>詹小龙</t>
  </si>
  <si>
    <t>陈锦华</t>
  </si>
  <si>
    <t>李亚锋</t>
  </si>
  <si>
    <t>王晨</t>
  </si>
  <si>
    <t>王燕华</t>
  </si>
  <si>
    <t>姜雪</t>
  </si>
  <si>
    <t>李兵兵</t>
  </si>
  <si>
    <t>杨盼</t>
  </si>
  <si>
    <t>周峰</t>
  </si>
  <si>
    <t>杨伟</t>
  </si>
  <si>
    <t>李永</t>
  </si>
  <si>
    <t>王佳</t>
  </si>
  <si>
    <t>王媛</t>
  </si>
  <si>
    <t>罗坤</t>
  </si>
  <si>
    <t>陈晶</t>
  </si>
  <si>
    <t>吴小军</t>
  </si>
  <si>
    <t>张力</t>
  </si>
  <si>
    <t>谭大鹏</t>
  </si>
  <si>
    <t>张秋爽</t>
  </si>
  <si>
    <t>李慧</t>
  </si>
  <si>
    <t>陈波</t>
  </si>
  <si>
    <t>李亮</t>
  </si>
  <si>
    <t>安明明</t>
  </si>
  <si>
    <t>周贤波</t>
  </si>
  <si>
    <t>周磊</t>
  </si>
  <si>
    <t>陈丽</t>
  </si>
  <si>
    <t>张维</t>
  </si>
  <si>
    <t>陈磊</t>
  </si>
  <si>
    <t>张学博</t>
  </si>
  <si>
    <t>张博文</t>
  </si>
  <si>
    <t>黄琳</t>
  </si>
  <si>
    <t>王伦</t>
  </si>
  <si>
    <t>唐军</t>
  </si>
  <si>
    <t>吴斌</t>
  </si>
  <si>
    <t>张园园</t>
  </si>
  <si>
    <t>邵炜</t>
  </si>
  <si>
    <t>张赛男</t>
  </si>
  <si>
    <t>王哲</t>
  </si>
  <si>
    <t>王建军</t>
  </si>
  <si>
    <t>王维</t>
  </si>
  <si>
    <t>杨洪</t>
  </si>
  <si>
    <t>曾文</t>
  </si>
  <si>
    <t>陈红</t>
  </si>
  <si>
    <t>徐磊</t>
  </si>
  <si>
    <t>胡强</t>
  </si>
  <si>
    <t>张俊</t>
  </si>
  <si>
    <t>陈松</t>
  </si>
  <si>
    <t>李菲</t>
  </si>
  <si>
    <t>王乐</t>
  </si>
  <si>
    <t>谢荣</t>
  </si>
  <si>
    <t>王荣华</t>
  </si>
  <si>
    <t>张海波</t>
  </si>
  <si>
    <t>陈勇华</t>
  </si>
  <si>
    <t>陈志华</t>
  </si>
  <si>
    <t>刘秋霞</t>
  </si>
  <si>
    <t>张健</t>
  </si>
  <si>
    <t>于淼</t>
  </si>
  <si>
    <t>湖南省衡阳市耒阳市耒阳市人民路68号</t>
  </si>
  <si>
    <t>张君</t>
  </si>
  <si>
    <t>何鹏</t>
  </si>
  <si>
    <t>吴猛</t>
  </si>
  <si>
    <t>陆兵</t>
  </si>
  <si>
    <t>王影</t>
  </si>
  <si>
    <t>张瑜</t>
  </si>
  <si>
    <t>陈珂</t>
  </si>
  <si>
    <t>陈程</t>
  </si>
  <si>
    <t>刘海龙</t>
  </si>
  <si>
    <t>郑伟</t>
  </si>
  <si>
    <t>刘长江</t>
  </si>
  <si>
    <t>朱威</t>
  </si>
  <si>
    <t>刘震</t>
  </si>
  <si>
    <t>胡波</t>
  </si>
  <si>
    <t>陈月</t>
  </si>
  <si>
    <t>李楠</t>
  </si>
  <si>
    <t>刘影</t>
  </si>
  <si>
    <t>陈旭</t>
  </si>
  <si>
    <t>廖文斌</t>
  </si>
  <si>
    <t>张志强</t>
  </si>
  <si>
    <t>杨松</t>
  </si>
  <si>
    <t>李成龙</t>
  </si>
  <si>
    <t>周斌</t>
  </si>
  <si>
    <t>欧璇</t>
  </si>
  <si>
    <t>杨荣</t>
  </si>
  <si>
    <t>李玲</t>
  </si>
  <si>
    <t>杨欢</t>
  </si>
  <si>
    <t>李彬彬</t>
  </si>
  <si>
    <t>李冕</t>
  </si>
  <si>
    <t>黄莹</t>
  </si>
  <si>
    <t>徐明明</t>
  </si>
  <si>
    <t>孙洋</t>
  </si>
  <si>
    <t>王洁</t>
  </si>
  <si>
    <t>陈瑶</t>
  </si>
  <si>
    <t>石勇</t>
  </si>
  <si>
    <t>李金</t>
  </si>
  <si>
    <t>张婷</t>
  </si>
  <si>
    <t>刘蕾</t>
  </si>
  <si>
    <t>王婷婷</t>
  </si>
  <si>
    <t>李志勇</t>
  </si>
  <si>
    <t>马宁</t>
  </si>
  <si>
    <t>刘恒</t>
  </si>
  <si>
    <t>袁伟</t>
  </si>
  <si>
    <t>李阳</t>
  </si>
  <si>
    <t>周向阳</t>
  </si>
  <si>
    <t>徐艳</t>
  </si>
  <si>
    <t>吕鑫</t>
  </si>
  <si>
    <t>李宏伟</t>
  </si>
  <si>
    <t>张红娟</t>
  </si>
  <si>
    <t>杨雷</t>
  </si>
  <si>
    <t>刘宇航</t>
  </si>
  <si>
    <t>胡涛</t>
  </si>
  <si>
    <t>刘霖</t>
  </si>
  <si>
    <t>刘然</t>
  </si>
  <si>
    <t>杨洁</t>
  </si>
  <si>
    <t>刘丽萍</t>
  </si>
  <si>
    <t>黄浩</t>
  </si>
  <si>
    <t>李想</t>
  </si>
  <si>
    <t>江苏省连云港市东海县和平东路110号</t>
  </si>
  <si>
    <t>江苏省连云港市东海县水晶名都36-1-301</t>
  </si>
  <si>
    <t>袁涛</t>
  </si>
  <si>
    <t>王帅</t>
  </si>
  <si>
    <t>韦海军</t>
  </si>
  <si>
    <t>李文静</t>
  </si>
  <si>
    <t>刘静</t>
  </si>
  <si>
    <t>李坤</t>
  </si>
  <si>
    <t>赵杰</t>
  </si>
  <si>
    <t>刘彬</t>
  </si>
  <si>
    <t>王姗姗</t>
  </si>
  <si>
    <t>马强</t>
  </si>
  <si>
    <t>张凌</t>
  </si>
  <si>
    <t>叶凯</t>
  </si>
  <si>
    <t>赵博</t>
  </si>
  <si>
    <t>王朝阳</t>
  </si>
  <si>
    <t>吴小龙</t>
  </si>
  <si>
    <t>刘华</t>
  </si>
  <si>
    <t>赵方方</t>
  </si>
  <si>
    <t>刘彪</t>
  </si>
  <si>
    <t>王颖</t>
  </si>
  <si>
    <t>谭宏俊</t>
  </si>
  <si>
    <t>张广超</t>
  </si>
  <si>
    <t>陈江</t>
  </si>
  <si>
    <t>杨瑞</t>
  </si>
  <si>
    <t>陈晓聪</t>
  </si>
  <si>
    <t>刘刚</t>
  </si>
  <si>
    <t>黄春艳</t>
  </si>
  <si>
    <t>刘文强</t>
  </si>
  <si>
    <t>刘兵</t>
  </si>
  <si>
    <t>罗维</t>
  </si>
  <si>
    <t>王贺</t>
  </si>
  <si>
    <t>王海波</t>
  </si>
  <si>
    <t>李宇</t>
  </si>
  <si>
    <t>曾国平</t>
  </si>
  <si>
    <t>刘旭</t>
  </si>
  <si>
    <t>曹雷</t>
  </si>
  <si>
    <t>李倩倩</t>
  </si>
  <si>
    <t>夏雨</t>
  </si>
  <si>
    <t>张烁</t>
  </si>
  <si>
    <t>李娇</t>
  </si>
  <si>
    <t>黄辉</t>
  </si>
  <si>
    <t>罗丹</t>
  </si>
  <si>
    <t>杨旭</t>
  </si>
  <si>
    <t>王健</t>
  </si>
  <si>
    <t>王建锋</t>
  </si>
  <si>
    <t>郭毅</t>
  </si>
  <si>
    <t>贾志刚</t>
  </si>
  <si>
    <t>黄娟</t>
  </si>
  <si>
    <t>林斌</t>
  </si>
  <si>
    <t>李昆</t>
  </si>
  <si>
    <t>刘建</t>
  </si>
  <si>
    <t>张洪</t>
  </si>
  <si>
    <t>李强</t>
  </si>
  <si>
    <t>陈国强</t>
  </si>
  <si>
    <t>徐丹</t>
  </si>
  <si>
    <t>陈颖</t>
  </si>
  <si>
    <t>李海洋</t>
  </si>
  <si>
    <t>朱彬</t>
  </si>
  <si>
    <t>沈涛</t>
  </si>
  <si>
    <t>刘伟建</t>
  </si>
  <si>
    <t>陈晨</t>
  </si>
  <si>
    <t>王华</t>
  </si>
  <si>
    <t>李刚</t>
  </si>
  <si>
    <t>陈璐</t>
  </si>
  <si>
    <t>李微</t>
  </si>
  <si>
    <t>李昊</t>
  </si>
  <si>
    <t>梁龙</t>
  </si>
  <si>
    <t>黄勇</t>
  </si>
  <si>
    <t>李翔</t>
  </si>
  <si>
    <t>李彪</t>
  </si>
  <si>
    <t>姜林</t>
  </si>
  <si>
    <t>郭健</t>
  </si>
  <si>
    <t>李春峰</t>
  </si>
  <si>
    <t>周志强</t>
  </si>
  <si>
    <t>郭帅</t>
  </si>
  <si>
    <t>王昆</t>
  </si>
  <si>
    <t>彭杰</t>
  </si>
  <si>
    <t>石磊</t>
  </si>
  <si>
    <t>张鸣</t>
  </si>
  <si>
    <t>张顺</t>
  </si>
  <si>
    <t>陈潇</t>
  </si>
  <si>
    <t>李泽荣</t>
  </si>
  <si>
    <t>孙凯</t>
  </si>
  <si>
    <t>刘强</t>
  </si>
  <si>
    <t>王琳</t>
  </si>
  <si>
    <t>吴月明</t>
  </si>
  <si>
    <t>陈琳</t>
  </si>
  <si>
    <t>陈翔</t>
  </si>
  <si>
    <t>王萍萍</t>
  </si>
  <si>
    <t>马东</t>
  </si>
  <si>
    <t>张建</t>
  </si>
  <si>
    <t>王梅</t>
  </si>
  <si>
    <t>陈洋</t>
  </si>
  <si>
    <t>王蕾</t>
  </si>
  <si>
    <t>王璐</t>
  </si>
  <si>
    <t>张丹</t>
  </si>
  <si>
    <t>陈怡</t>
  </si>
  <si>
    <t>梁鹏飞</t>
  </si>
  <si>
    <t>王洪伟</t>
  </si>
  <si>
    <t>张虎</t>
  </si>
  <si>
    <t>王坤</t>
  </si>
  <si>
    <t>马林</t>
  </si>
  <si>
    <t>施婧</t>
  </si>
  <si>
    <t>黎波</t>
  </si>
  <si>
    <t>王建</t>
  </si>
  <si>
    <t>张彦</t>
  </si>
  <si>
    <t>刘蒙蒙</t>
  </si>
  <si>
    <t>李雪</t>
  </si>
  <si>
    <t>吴宇</t>
  </si>
  <si>
    <t>龙伟</t>
  </si>
  <si>
    <t>李艳</t>
  </si>
  <si>
    <t>肖瑶</t>
  </si>
  <si>
    <t>邓飞</t>
  </si>
  <si>
    <t>吴彬</t>
  </si>
  <si>
    <t>苏威</t>
  </si>
  <si>
    <t>王鑫</t>
  </si>
  <si>
    <t>吴霞</t>
  </si>
  <si>
    <t>王丹丹</t>
  </si>
  <si>
    <t>于飞</t>
  </si>
  <si>
    <t>刘微</t>
  </si>
  <si>
    <t>高杨</t>
  </si>
  <si>
    <t>彭勇</t>
  </si>
  <si>
    <t>刘辉</t>
  </si>
  <si>
    <t>尚伟</t>
  </si>
  <si>
    <t>李晨</t>
  </si>
  <si>
    <t>赵盼盼</t>
  </si>
  <si>
    <t>罗帅</t>
  </si>
  <si>
    <t>李靓</t>
  </si>
  <si>
    <t>刘明</t>
  </si>
  <si>
    <t>徐丹丹</t>
  </si>
  <si>
    <t>徐莹</t>
  </si>
  <si>
    <t>程南</t>
  </si>
  <si>
    <t>孙伟</t>
  </si>
  <si>
    <t>李春艳</t>
  </si>
  <si>
    <t>陈鹏</t>
  </si>
  <si>
    <t>苗磊</t>
  </si>
  <si>
    <t>张毅</t>
  </si>
  <si>
    <t>吴勇</t>
  </si>
  <si>
    <t>许迪</t>
  </si>
  <si>
    <t>唐林</t>
  </si>
  <si>
    <t>李成坤</t>
  </si>
  <si>
    <t>潘军</t>
  </si>
  <si>
    <t>陈静</t>
  </si>
  <si>
    <t>徐晓丹</t>
  </si>
  <si>
    <t>苏鹏</t>
  </si>
  <si>
    <t>赵军</t>
  </si>
  <si>
    <t>周俊</t>
  </si>
  <si>
    <t>冯磊</t>
  </si>
  <si>
    <t>张华</t>
  </si>
  <si>
    <t>李威</t>
  </si>
  <si>
    <t>蔡涛</t>
  </si>
  <si>
    <t>陈诚</t>
  </si>
  <si>
    <t>吕涛</t>
  </si>
  <si>
    <t>田涛</t>
  </si>
  <si>
    <t>李琼</t>
  </si>
  <si>
    <t>赵煜</t>
  </si>
  <si>
    <t>全勇</t>
  </si>
  <si>
    <t>张宁</t>
  </si>
  <si>
    <t>邓彬</t>
  </si>
  <si>
    <t>梁伟</t>
  </si>
  <si>
    <t>龚强</t>
  </si>
  <si>
    <t>李宁</t>
  </si>
  <si>
    <t>曹文敏</t>
  </si>
  <si>
    <t>戴伟</t>
  </si>
  <si>
    <t>郑炜</t>
  </si>
  <si>
    <t>李龑</t>
  </si>
  <si>
    <t>孙安平</t>
  </si>
  <si>
    <t>周欣</t>
  </si>
  <si>
    <t>高岩</t>
  </si>
  <si>
    <t>邱玲</t>
  </si>
  <si>
    <t>熊勇</t>
  </si>
  <si>
    <t>李国鑫</t>
  </si>
  <si>
    <t>姚宇</t>
  </si>
  <si>
    <t>陈娅</t>
  </si>
  <si>
    <t>孙海涛</t>
  </si>
  <si>
    <t>陈莉萍</t>
  </si>
  <si>
    <t>刘超</t>
  </si>
  <si>
    <t>倪娜</t>
  </si>
  <si>
    <t>张娇</t>
  </si>
  <si>
    <t>孙晓亮</t>
  </si>
  <si>
    <t>卢磊</t>
  </si>
  <si>
    <t>彭涛</t>
  </si>
  <si>
    <t>刘婷婷</t>
  </si>
  <si>
    <t>赵涛</t>
  </si>
  <si>
    <t>张强</t>
  </si>
  <si>
    <t>徐江</t>
  </si>
  <si>
    <t>李美玲</t>
  </si>
  <si>
    <t>薛晶晶</t>
  </si>
  <si>
    <t>陈思</t>
  </si>
  <si>
    <t>刘通</t>
  </si>
  <si>
    <t>邓磊</t>
  </si>
  <si>
    <t>王彦</t>
  </si>
  <si>
    <t>王腾</t>
  </si>
  <si>
    <t>李康</t>
  </si>
  <si>
    <t>张文龙</t>
  </si>
  <si>
    <t>李越</t>
  </si>
  <si>
    <t>陈坤</t>
  </si>
  <si>
    <t>周璇</t>
  </si>
  <si>
    <t>刘俊杰</t>
  </si>
  <si>
    <t>陈玉凤</t>
  </si>
  <si>
    <t>陈丽君</t>
  </si>
  <si>
    <t>王瑶</t>
  </si>
  <si>
    <t>刘小平</t>
  </si>
  <si>
    <t>陈亚平</t>
  </si>
  <si>
    <t>李海鹏</t>
  </si>
  <si>
    <t>刘国栋</t>
  </si>
  <si>
    <t>罗婷</t>
  </si>
  <si>
    <t>陈龙</t>
  </si>
  <si>
    <t>王兵</t>
  </si>
  <si>
    <t>张奇</t>
  </si>
  <si>
    <t>吴伟伟</t>
  </si>
  <si>
    <t>陈文杰</t>
  </si>
  <si>
    <t>康凯</t>
  </si>
  <si>
    <t>张猛</t>
  </si>
  <si>
    <t>刘晓</t>
  </si>
  <si>
    <t>刘楠</t>
  </si>
  <si>
    <t>周恒</t>
  </si>
  <si>
    <t>范强</t>
  </si>
  <si>
    <t>内蒙古包头市昆都仑区河西工业园区</t>
  </si>
  <si>
    <t>李晓芳</t>
  </si>
  <si>
    <t>王倩</t>
  </si>
  <si>
    <t>李金栋</t>
  </si>
  <si>
    <t>杨佳</t>
  </si>
  <si>
    <t>姜鹏</t>
  </si>
  <si>
    <t>杨泽华</t>
  </si>
  <si>
    <t>龙森</t>
  </si>
  <si>
    <t>赵磊</t>
  </si>
  <si>
    <t>赵丽娜</t>
  </si>
  <si>
    <t>黄静</t>
  </si>
  <si>
    <t>李广全</t>
  </si>
  <si>
    <t>张飞</t>
  </si>
  <si>
    <t>王聪</t>
  </si>
  <si>
    <t>王志</t>
  </si>
  <si>
    <t>黄平</t>
  </si>
  <si>
    <t>陈英</t>
  </si>
  <si>
    <t>李亚飞</t>
  </si>
  <si>
    <t>李春雨</t>
  </si>
  <si>
    <t>张少华</t>
  </si>
  <si>
    <t>刘菲</t>
  </si>
  <si>
    <t>赵龙飞</t>
  </si>
  <si>
    <t>李冬冬</t>
  </si>
  <si>
    <t>胡柳</t>
  </si>
  <si>
    <t>李钊</t>
  </si>
  <si>
    <t>陈佳佳</t>
  </si>
  <si>
    <t>叶云</t>
  </si>
  <si>
    <t>徐洪波</t>
  </si>
  <si>
    <t>曹志国</t>
  </si>
  <si>
    <t>郭凯</t>
  </si>
  <si>
    <t>周宁</t>
  </si>
  <si>
    <t>孙鑫</t>
  </si>
  <si>
    <t>邢伟</t>
  </si>
  <si>
    <t>刘晓琴</t>
  </si>
  <si>
    <t>林伟</t>
  </si>
  <si>
    <t>曹志勇</t>
  </si>
  <si>
    <t>刘义</t>
  </si>
  <si>
    <t>杨杨</t>
  </si>
  <si>
    <t>唐玲</t>
  </si>
  <si>
    <t>吴旭</t>
  </si>
  <si>
    <t>朱涛</t>
  </si>
  <si>
    <t>李向阳</t>
  </si>
  <si>
    <t>杨扬</t>
  </si>
  <si>
    <t>陈金龙</t>
  </si>
  <si>
    <t>徐祥</t>
  </si>
  <si>
    <t>李建</t>
  </si>
  <si>
    <t>屈斌</t>
  </si>
  <si>
    <t>徐晓明</t>
  </si>
  <si>
    <t>杨晨</t>
  </si>
  <si>
    <t>刘浩</t>
  </si>
  <si>
    <t>王成</t>
  </si>
  <si>
    <t>王志明</t>
  </si>
  <si>
    <t>张亚飞</t>
  </si>
  <si>
    <t>王海涛</t>
  </si>
  <si>
    <t>刘芳</t>
  </si>
  <si>
    <t>吴世杰</t>
  </si>
  <si>
    <t>林宇</t>
  </si>
  <si>
    <t>彭锦</t>
  </si>
  <si>
    <t>王发明</t>
  </si>
  <si>
    <t>程刚</t>
  </si>
  <si>
    <t>蒋安</t>
  </si>
  <si>
    <t>李伦</t>
  </si>
  <si>
    <t>李德华</t>
  </si>
  <si>
    <t>刘亮</t>
  </si>
  <si>
    <t>赵璐</t>
  </si>
  <si>
    <t>陈凤</t>
  </si>
  <si>
    <t>高建</t>
  </si>
  <si>
    <t>杨林</t>
  </si>
  <si>
    <t>江苏省苏州市吴中区长阳街9号</t>
  </si>
  <si>
    <t>徐威</t>
  </si>
  <si>
    <t>王瑞</t>
  </si>
  <si>
    <t>杨慧</t>
  </si>
  <si>
    <t>刘福生</t>
  </si>
  <si>
    <t>王林</t>
  </si>
  <si>
    <t>陈俊文</t>
  </si>
  <si>
    <t>吴刚</t>
  </si>
  <si>
    <t>陈小明</t>
  </si>
  <si>
    <t>李剑</t>
  </si>
  <si>
    <t>王成伟</t>
  </si>
  <si>
    <t>杨晓峰</t>
  </si>
  <si>
    <t>林毅</t>
  </si>
  <si>
    <t>李娟</t>
  </si>
  <si>
    <t>黄茜</t>
  </si>
  <si>
    <t>黄海</t>
  </si>
  <si>
    <t>李俊峰</t>
  </si>
  <si>
    <t>刘金华</t>
  </si>
  <si>
    <t>吴楠</t>
  </si>
  <si>
    <t>黄晶</t>
  </si>
  <si>
    <t>任鹏飞</t>
  </si>
  <si>
    <t>马瑞</t>
  </si>
  <si>
    <t>李海</t>
  </si>
  <si>
    <t>徐虎</t>
  </si>
  <si>
    <t>孙雪峰</t>
  </si>
  <si>
    <t>张文涛</t>
  </si>
  <si>
    <t>吴磊</t>
  </si>
  <si>
    <t>张翔</t>
  </si>
  <si>
    <t>谢辉</t>
  </si>
  <si>
    <t>张川</t>
  </si>
  <si>
    <t>李小燕</t>
  </si>
  <si>
    <t>白杰</t>
  </si>
  <si>
    <t>宋平</t>
  </si>
  <si>
    <t>杨雪</t>
  </si>
  <si>
    <t>李肖</t>
  </si>
  <si>
    <t>陈思宇</t>
  </si>
  <si>
    <t>徐海</t>
  </si>
  <si>
    <t>何磊</t>
  </si>
  <si>
    <t>马明</t>
  </si>
  <si>
    <t>黄柱</t>
  </si>
  <si>
    <t>杨俊</t>
  </si>
  <si>
    <t>田鑫</t>
  </si>
  <si>
    <t>王晓青</t>
  </si>
  <si>
    <t>朱伟</t>
  </si>
  <si>
    <t>陈华</t>
  </si>
  <si>
    <t>李春生</t>
  </si>
  <si>
    <t>曹伟</t>
  </si>
  <si>
    <t>张海明</t>
  </si>
  <si>
    <t>王雨</t>
  </si>
  <si>
    <t>王欢</t>
  </si>
  <si>
    <t>张小朋</t>
  </si>
  <si>
    <t>周辉</t>
  </si>
  <si>
    <t>张晓磊</t>
  </si>
  <si>
    <t>杨华</t>
  </si>
  <si>
    <t>周宇</t>
  </si>
  <si>
    <t>李晓楠</t>
  </si>
  <si>
    <t>杜明</t>
  </si>
  <si>
    <t>王悦</t>
  </si>
  <si>
    <t>王翔</t>
  </si>
  <si>
    <t>沈俊杰</t>
  </si>
  <si>
    <t>陈青</t>
  </si>
  <si>
    <t>吴琼</t>
  </si>
  <si>
    <t>罗斌</t>
  </si>
  <si>
    <t>邓杰</t>
  </si>
  <si>
    <t>郑海军</t>
  </si>
  <si>
    <t>叶辉</t>
  </si>
  <si>
    <t>王妍</t>
  </si>
  <si>
    <t>何明明</t>
  </si>
  <si>
    <t>王晶晶</t>
  </si>
  <si>
    <t>王岩</t>
  </si>
  <si>
    <t>叶海涛</t>
  </si>
  <si>
    <t>梁明</t>
  </si>
  <si>
    <t>刘扬</t>
  </si>
  <si>
    <t>郭龙</t>
  </si>
  <si>
    <t>张宇航</t>
  </si>
  <si>
    <t>魏刚</t>
  </si>
  <si>
    <t>王胜</t>
  </si>
  <si>
    <t>吴志康</t>
  </si>
  <si>
    <t>王建明</t>
  </si>
  <si>
    <t>孙畅</t>
  </si>
  <si>
    <t>张霞</t>
  </si>
  <si>
    <t>高鹏</t>
  </si>
  <si>
    <t>陈婷婷</t>
  </si>
  <si>
    <t>赵鹏飞</t>
  </si>
  <si>
    <t>吴婷</t>
  </si>
  <si>
    <t>吴建辉</t>
  </si>
  <si>
    <t>刘云龙</t>
  </si>
  <si>
    <t>胡俊</t>
  </si>
  <si>
    <t>李文浩</t>
  </si>
  <si>
    <t>张光银</t>
  </si>
  <si>
    <t>宋凯</t>
  </si>
  <si>
    <t>王瑾</t>
  </si>
  <si>
    <t>黄宇</t>
  </si>
  <si>
    <t>周凯</t>
  </si>
  <si>
    <t>赵琴</t>
  </si>
  <si>
    <t>李振</t>
  </si>
  <si>
    <t>李泳诗</t>
  </si>
  <si>
    <t>胡海滨</t>
  </si>
  <si>
    <t>陈国荣</t>
  </si>
  <si>
    <t>朱彩霞</t>
  </si>
  <si>
    <t>李瑞</t>
  </si>
  <si>
    <t>张野</t>
  </si>
  <si>
    <t>李诚</t>
  </si>
  <si>
    <t>谢海涛</t>
  </si>
  <si>
    <t>李云</t>
  </si>
  <si>
    <t>向兵</t>
  </si>
  <si>
    <t>罗辉</t>
  </si>
  <si>
    <t>吴义明</t>
  </si>
  <si>
    <t>张吉磊</t>
  </si>
  <si>
    <t>李金龙</t>
  </si>
  <si>
    <t>张春涛</t>
  </si>
  <si>
    <t>黄海燕</t>
  </si>
  <si>
    <t>徐娜</t>
  </si>
  <si>
    <t>何海龙</t>
  </si>
  <si>
    <t>王蒙</t>
  </si>
  <si>
    <t>李洪</t>
  </si>
  <si>
    <t>周冬</t>
  </si>
  <si>
    <t>高阳</t>
  </si>
  <si>
    <t>张海飞</t>
  </si>
  <si>
    <t>王友</t>
  </si>
  <si>
    <t>林丹</t>
  </si>
  <si>
    <t>李洁</t>
  </si>
  <si>
    <t>陈俊杰</t>
  </si>
  <si>
    <t>陈小庆</t>
  </si>
  <si>
    <t>张海林</t>
  </si>
  <si>
    <t>刘大伟</t>
  </si>
  <si>
    <t>余浩</t>
  </si>
  <si>
    <t>周涛</t>
  </si>
  <si>
    <t>王继红</t>
  </si>
  <si>
    <t>黄建</t>
  </si>
  <si>
    <t>郭明明</t>
  </si>
  <si>
    <t>孙菲</t>
  </si>
  <si>
    <t>李永祥</t>
  </si>
  <si>
    <t>李志鹏</t>
  </si>
  <si>
    <t>张家铭</t>
  </si>
  <si>
    <t>朱亮亮</t>
  </si>
  <si>
    <t>曹帅</t>
  </si>
  <si>
    <t>李海涛</t>
  </si>
  <si>
    <t>李丹丹</t>
  </si>
  <si>
    <t>董辉</t>
  </si>
  <si>
    <t>刘玉龙</t>
  </si>
  <si>
    <t>钟涛</t>
  </si>
  <si>
    <t>李月</t>
  </si>
  <si>
    <t>郭亚杰</t>
  </si>
  <si>
    <t>陈小康</t>
  </si>
  <si>
    <t>高健</t>
  </si>
  <si>
    <t>秦伟</t>
  </si>
  <si>
    <t>瞿祥</t>
  </si>
  <si>
    <t>王荣</t>
  </si>
  <si>
    <t>张武</t>
  </si>
  <si>
    <t>李睿</t>
  </si>
  <si>
    <t>马倩</t>
  </si>
  <si>
    <t>杨鹏飞</t>
  </si>
  <si>
    <t>钟慧</t>
  </si>
  <si>
    <t>付伟</t>
  </si>
  <si>
    <t>周超</t>
  </si>
  <si>
    <t>王龙</t>
  </si>
  <si>
    <t>田丰</t>
  </si>
  <si>
    <t>黄杨</t>
  </si>
  <si>
    <t>李锦阳</t>
  </si>
  <si>
    <t>杨蕊</t>
  </si>
  <si>
    <t>张琳</t>
  </si>
  <si>
    <t>陈晓龙</t>
  </si>
  <si>
    <t>孙明</t>
  </si>
  <si>
    <t>雷涛</t>
  </si>
  <si>
    <t>图力古尔</t>
  </si>
  <si>
    <t>孙彬</t>
  </si>
  <si>
    <t>李小波</t>
  </si>
  <si>
    <t>陈娟</t>
  </si>
  <si>
    <t>王泽红</t>
  </si>
  <si>
    <t>刘文</t>
  </si>
  <si>
    <t>王菲</t>
  </si>
  <si>
    <t>刘朝阳</t>
  </si>
  <si>
    <t>吴波</t>
  </si>
  <si>
    <t>陈豪杰</t>
  </si>
  <si>
    <t>夏鹏</t>
  </si>
  <si>
    <t>王华伟</t>
  </si>
  <si>
    <t>黄双龙</t>
  </si>
  <si>
    <t>李祥</t>
  </si>
  <si>
    <t>王燚</t>
  </si>
  <si>
    <t>刘猛</t>
  </si>
  <si>
    <t>李文杰</t>
  </si>
  <si>
    <t>胡楠</t>
  </si>
  <si>
    <t>崔倩</t>
  </si>
  <si>
    <t>陈飞</t>
  </si>
  <si>
    <t>张驰</t>
  </si>
  <si>
    <t>高俊</t>
  </si>
  <si>
    <t>杨亮</t>
  </si>
  <si>
    <t>刘园园</t>
  </si>
  <si>
    <t>李世杰</t>
  </si>
  <si>
    <t>周亚</t>
  </si>
  <si>
    <t>高荣华</t>
  </si>
  <si>
    <t>张志伟</t>
  </si>
  <si>
    <t>刘聪</t>
  </si>
  <si>
    <t>李煜</t>
  </si>
  <si>
    <t>马艳丽</t>
  </si>
  <si>
    <t>刘婷</t>
  </si>
  <si>
    <t>孙强</t>
  </si>
  <si>
    <t>董鹏</t>
  </si>
  <si>
    <t>宋伟</t>
  </si>
  <si>
    <t>唐建军</t>
  </si>
  <si>
    <t>李达</t>
  </si>
  <si>
    <t>陈利娟</t>
  </si>
  <si>
    <t>孙志强</t>
  </si>
  <si>
    <t>吕帅</t>
  </si>
  <si>
    <t>陶磊</t>
  </si>
  <si>
    <t>朱静</t>
  </si>
  <si>
    <t>白冰</t>
  </si>
  <si>
    <t>张瑞</t>
  </si>
  <si>
    <t>王晶</t>
  </si>
  <si>
    <t>刘星</t>
  </si>
  <si>
    <t>朱亮</t>
  </si>
  <si>
    <t>魏威</t>
  </si>
  <si>
    <t>王洋洋</t>
  </si>
  <si>
    <t>刘群</t>
  </si>
  <si>
    <t>李永亮</t>
  </si>
  <si>
    <t>马健</t>
  </si>
  <si>
    <t>徐杰</t>
  </si>
  <si>
    <t>吴畏</t>
  </si>
  <si>
    <t>刘腾飞</t>
  </si>
  <si>
    <t>刘侠</t>
  </si>
  <si>
    <t>沈浩</t>
  </si>
  <si>
    <t>黄小波</t>
  </si>
  <si>
    <t>何丹</t>
  </si>
  <si>
    <t>宋洁</t>
  </si>
  <si>
    <t>李光</t>
  </si>
  <si>
    <t>李伟龙</t>
  </si>
  <si>
    <t>秦昊</t>
  </si>
  <si>
    <t>王春梅</t>
  </si>
  <si>
    <t>黄强</t>
  </si>
  <si>
    <t>曹亮</t>
  </si>
  <si>
    <t>王亮</t>
  </si>
  <si>
    <t>袁凯</t>
  </si>
  <si>
    <t>许鹏飞</t>
  </si>
  <si>
    <t>林燕</t>
  </si>
  <si>
    <t>程浩</t>
  </si>
  <si>
    <t>唐敏</t>
  </si>
  <si>
    <t>刘冰</t>
  </si>
  <si>
    <t>陈立</t>
  </si>
  <si>
    <t>熊伟</t>
  </si>
  <si>
    <t>王萌</t>
  </si>
  <si>
    <t>王建辉</t>
  </si>
  <si>
    <t>胡南</t>
  </si>
  <si>
    <t>张锦</t>
  </si>
  <si>
    <t>白宇</t>
  </si>
  <si>
    <t>李谦</t>
  </si>
  <si>
    <t>赵锋</t>
  </si>
  <si>
    <t>陈镇</t>
  </si>
  <si>
    <t>李琛</t>
  </si>
  <si>
    <t>徐梅</t>
  </si>
  <si>
    <t>李小东</t>
  </si>
  <si>
    <t>陈小东</t>
  </si>
  <si>
    <t>李晓兰</t>
  </si>
  <si>
    <t>赵彬</t>
  </si>
  <si>
    <t>孙建峰</t>
  </si>
  <si>
    <t>李晶</t>
  </si>
  <si>
    <t>杨卓</t>
  </si>
  <si>
    <t>曾小伟</t>
  </si>
  <si>
    <t>张东东</t>
  </si>
  <si>
    <t>徐刚</t>
  </si>
  <si>
    <t>彭建东</t>
  </si>
  <si>
    <t>杨琳</t>
  </si>
  <si>
    <t>熊俊</t>
  </si>
  <si>
    <t>宋斌</t>
  </si>
  <si>
    <t>刘燕</t>
  </si>
  <si>
    <t>蔡小燕</t>
  </si>
  <si>
    <t>刘芬</t>
  </si>
  <si>
    <t>刘振东</t>
  </si>
  <si>
    <t>朱明星</t>
  </si>
  <si>
    <t>朱林</t>
  </si>
  <si>
    <t>刘广</t>
  </si>
  <si>
    <t>李永利</t>
  </si>
  <si>
    <t>施健</t>
  </si>
  <si>
    <t>尚宇</t>
  </si>
  <si>
    <t>程志</t>
  </si>
  <si>
    <t>吴海燕</t>
  </si>
  <si>
    <t>吴松</t>
  </si>
  <si>
    <t>王亚</t>
  </si>
  <si>
    <t>彭丹</t>
  </si>
  <si>
    <t>周华</t>
  </si>
  <si>
    <t>邹文辉</t>
  </si>
  <si>
    <t>赵立新</t>
  </si>
  <si>
    <t>崔磊</t>
  </si>
  <si>
    <t>孙岩</t>
  </si>
  <si>
    <t>张正</t>
  </si>
  <si>
    <t>牛颖</t>
  </si>
  <si>
    <t>陈美</t>
  </si>
  <si>
    <t>雷凯</t>
  </si>
  <si>
    <t>黄春雷</t>
  </si>
  <si>
    <t>黄波</t>
  </si>
  <si>
    <t>雷军</t>
  </si>
  <si>
    <t>王程</t>
  </si>
  <si>
    <t>高鑫</t>
  </si>
  <si>
    <t>张平</t>
  </si>
  <si>
    <t>徐志祥</t>
  </si>
  <si>
    <t>刘国辉</t>
  </si>
  <si>
    <t>吴飞</t>
  </si>
  <si>
    <t>李轩</t>
  </si>
  <si>
    <t>张志国</t>
  </si>
  <si>
    <t>李春梅</t>
  </si>
  <si>
    <t>张乐</t>
  </si>
  <si>
    <t>李洪波</t>
  </si>
  <si>
    <t>王英</t>
  </si>
  <si>
    <t>刘岩</t>
  </si>
  <si>
    <t>任超</t>
  </si>
  <si>
    <t>游华</t>
  </si>
  <si>
    <t>周毅</t>
  </si>
  <si>
    <t>王冠</t>
  </si>
  <si>
    <t>王璐璐</t>
  </si>
  <si>
    <t>王志敏</t>
  </si>
  <si>
    <t>曹静</t>
  </si>
  <si>
    <t>赵益</t>
  </si>
  <si>
    <t>杜鹏</t>
  </si>
  <si>
    <t>吴海军</t>
  </si>
  <si>
    <t>赵平</t>
  </si>
  <si>
    <t>刘雪梅</t>
  </si>
  <si>
    <t>高洋</t>
  </si>
  <si>
    <t>朱俊</t>
  </si>
  <si>
    <t>王晓东</t>
  </si>
  <si>
    <t>李保</t>
  </si>
  <si>
    <t>黄恒</t>
  </si>
  <si>
    <t>吴俊杰</t>
  </si>
  <si>
    <t>董飞</t>
  </si>
  <si>
    <t>杨红亮</t>
  </si>
  <si>
    <t>袁野</t>
  </si>
  <si>
    <t>张娟</t>
  </si>
  <si>
    <t>金旭</t>
  </si>
  <si>
    <t>刘攀</t>
  </si>
  <si>
    <t>张永军</t>
  </si>
  <si>
    <t>李兵</t>
  </si>
  <si>
    <t>周欢</t>
  </si>
  <si>
    <t>朱金平</t>
  </si>
  <si>
    <t>李佩</t>
  </si>
  <si>
    <t>张伟光</t>
  </si>
  <si>
    <t>刘宇</t>
  </si>
  <si>
    <t>黄金玉</t>
  </si>
  <si>
    <t>赵云</t>
  </si>
  <si>
    <t>王能</t>
  </si>
  <si>
    <t>朱进</t>
  </si>
  <si>
    <t>殷鹏</t>
  </si>
  <si>
    <t>李航</t>
  </si>
  <si>
    <t>江浩</t>
  </si>
  <si>
    <t>王阳光</t>
  </si>
  <si>
    <t>赵爽</t>
  </si>
  <si>
    <t>王浩宇</t>
  </si>
  <si>
    <t>刘丹</t>
  </si>
  <si>
    <t>朱海波</t>
  </si>
  <si>
    <t>杨鹏</t>
  </si>
  <si>
    <t>王泽东</t>
  </si>
  <si>
    <t>陈俊峰</t>
  </si>
  <si>
    <t>马伟</t>
  </si>
  <si>
    <t>程静</t>
  </si>
  <si>
    <t>李玉新</t>
  </si>
  <si>
    <t>刘志超</t>
  </si>
  <si>
    <t>杨晓</t>
  </si>
  <si>
    <t>罗志刚</t>
  </si>
  <si>
    <t>张蕾</t>
  </si>
  <si>
    <t>方超</t>
  </si>
  <si>
    <t>陈亚超</t>
  </si>
  <si>
    <t>杨晶</t>
  </si>
  <si>
    <t>胡国兵</t>
  </si>
  <si>
    <t>雷敏</t>
  </si>
  <si>
    <t>李海峰</t>
  </si>
  <si>
    <t>王丽玲</t>
  </si>
  <si>
    <t>刘启森</t>
  </si>
  <si>
    <t>张英</t>
  </si>
  <si>
    <t>陈腾飞</t>
  </si>
  <si>
    <t>刘双</t>
  </si>
  <si>
    <t>赵建飞</t>
  </si>
  <si>
    <t>刘苇</t>
  </si>
  <si>
    <t>李欢</t>
  </si>
  <si>
    <t>王金波</t>
  </si>
  <si>
    <t>张晓霞</t>
  </si>
  <si>
    <t>陈志文</t>
  </si>
  <si>
    <t>张达</t>
  </si>
  <si>
    <t>周璐</t>
  </si>
  <si>
    <t>丁聪</t>
  </si>
  <si>
    <t>赵鑫</t>
  </si>
  <si>
    <t>彭辉</t>
  </si>
  <si>
    <t>何杰</t>
  </si>
  <si>
    <t>王奇</t>
  </si>
  <si>
    <t>杨秋</t>
  </si>
  <si>
    <t>刘晓明</t>
  </si>
  <si>
    <t>张春雨</t>
  </si>
  <si>
    <t>杨丽娜</t>
  </si>
  <si>
    <t>周航</t>
  </si>
  <si>
    <t>张燕燕</t>
  </si>
  <si>
    <t>李晓华</t>
  </si>
  <si>
    <t>王海洋</t>
  </si>
  <si>
    <t>刘志强</t>
  </si>
  <si>
    <t>周翔</t>
  </si>
  <si>
    <t>田飞</t>
  </si>
  <si>
    <t>刘韬</t>
  </si>
  <si>
    <t>何建军</t>
  </si>
  <si>
    <t>张婕</t>
  </si>
  <si>
    <t>杨丽</t>
  </si>
  <si>
    <t>周静</t>
  </si>
  <si>
    <t>潘超</t>
  </si>
  <si>
    <t>张莉萍</t>
  </si>
  <si>
    <t>王毅</t>
  </si>
  <si>
    <t>杨龙</t>
  </si>
  <si>
    <t>蒋超</t>
  </si>
  <si>
    <t>卢明</t>
  </si>
  <si>
    <t>刘朋</t>
  </si>
  <si>
    <t>赵雪</t>
  </si>
  <si>
    <t>张雄</t>
  </si>
  <si>
    <t>吴鹏</t>
  </si>
  <si>
    <t>周刚</t>
  </si>
  <si>
    <t>王媛媛</t>
  </si>
  <si>
    <t>程明</t>
  </si>
  <si>
    <t>龚胜</t>
  </si>
  <si>
    <t>林涛</t>
  </si>
  <si>
    <t>陕西省宝鸡市渭滨区西宝路8号</t>
  </si>
  <si>
    <t>李新</t>
  </si>
  <si>
    <t>黄亮</t>
  </si>
  <si>
    <t>王婷</t>
  </si>
  <si>
    <t>王德</t>
  </si>
  <si>
    <t>李思敏</t>
  </si>
  <si>
    <t>李根</t>
  </si>
  <si>
    <t>刘学</t>
  </si>
  <si>
    <t>王卓</t>
  </si>
  <si>
    <t>李振东</t>
  </si>
  <si>
    <t>王卫东</t>
  </si>
  <si>
    <t>王文君</t>
  </si>
  <si>
    <t>杨娜</t>
  </si>
  <si>
    <t>李浩然</t>
  </si>
  <si>
    <t>何庆</t>
  </si>
  <si>
    <t>黄立增</t>
  </si>
  <si>
    <t>刘小龙</t>
  </si>
  <si>
    <t>罗川</t>
  </si>
  <si>
    <t>陈兵</t>
  </si>
  <si>
    <t>刘东波</t>
  </si>
  <si>
    <t>肖伟</t>
  </si>
  <si>
    <t>罗成</t>
  </si>
  <si>
    <t>陈东</t>
  </si>
  <si>
    <t>李文博</t>
  </si>
  <si>
    <t>胡毅</t>
  </si>
  <si>
    <t>贺鹏</t>
  </si>
  <si>
    <t>刘锦辉</t>
  </si>
  <si>
    <t>张婷婷</t>
  </si>
  <si>
    <t>王昊</t>
  </si>
  <si>
    <t>杨璐</t>
  </si>
  <si>
    <t>薛超</t>
  </si>
  <si>
    <t>王文娟</t>
  </si>
  <si>
    <t>侯杰</t>
  </si>
  <si>
    <t>张颖</t>
  </si>
  <si>
    <t>张越</t>
  </si>
  <si>
    <t>王方</t>
  </si>
  <si>
    <t>李志文</t>
  </si>
  <si>
    <t>唐勇</t>
  </si>
  <si>
    <t>张然</t>
  </si>
  <si>
    <t>陈蕾</t>
  </si>
  <si>
    <t>杨青</t>
  </si>
  <si>
    <t>陈志</t>
  </si>
  <si>
    <t>吴静</t>
  </si>
  <si>
    <t>乔雪</t>
  </si>
  <si>
    <t>蒋伟</t>
  </si>
  <si>
    <t>魏超</t>
  </si>
  <si>
    <t>吴俊</t>
  </si>
  <si>
    <t>苏超</t>
  </si>
  <si>
    <t>肖敏</t>
  </si>
  <si>
    <t>孙倩</t>
  </si>
  <si>
    <t>李洪刚</t>
  </si>
  <si>
    <t>刘建军</t>
  </si>
  <si>
    <t>朱英杰</t>
  </si>
  <si>
    <t>张锐</t>
  </si>
  <si>
    <t>孙捷</t>
  </si>
  <si>
    <t>张皓</t>
  </si>
  <si>
    <t>杨玲</t>
  </si>
  <si>
    <t>杨峰</t>
  </si>
  <si>
    <t>陈建军</t>
  </si>
  <si>
    <t>张梅</t>
  </si>
  <si>
    <t>张丽华</t>
  </si>
  <si>
    <t>杨晓梅</t>
  </si>
  <si>
    <t>徐雯</t>
  </si>
  <si>
    <t>郭蕾</t>
  </si>
  <si>
    <t>杨翠</t>
  </si>
  <si>
    <t>王爽</t>
  </si>
  <si>
    <t>余东</t>
  </si>
  <si>
    <t>刘东旭</t>
  </si>
  <si>
    <t>张彬</t>
  </si>
  <si>
    <t>钱凯</t>
  </si>
  <si>
    <t>孙楠</t>
  </si>
  <si>
    <t>张权</t>
  </si>
  <si>
    <t>毛波</t>
  </si>
  <si>
    <t>曹明</t>
  </si>
  <si>
    <t>陈春</t>
  </si>
  <si>
    <t>张锋</t>
  </si>
  <si>
    <t>曾小江</t>
  </si>
  <si>
    <t>沈杰</t>
  </si>
  <si>
    <t>周华锋</t>
  </si>
  <si>
    <t>刘昭</t>
  </si>
  <si>
    <t>崔健</t>
  </si>
  <si>
    <t>余强</t>
  </si>
  <si>
    <t>郭燕</t>
  </si>
  <si>
    <t>刘坤</t>
  </si>
  <si>
    <t>郭志强</t>
  </si>
  <si>
    <t>叶超</t>
  </si>
  <si>
    <t>王锐</t>
  </si>
  <si>
    <t>梁燕</t>
  </si>
  <si>
    <t>何欣</t>
  </si>
  <si>
    <t>陈海燕</t>
  </si>
  <si>
    <t>李宗鹏</t>
  </si>
  <si>
    <t>孙彪</t>
  </si>
  <si>
    <t>杨丹</t>
  </si>
  <si>
    <t>王丽娜</t>
  </si>
  <si>
    <t>张贝</t>
  </si>
  <si>
    <t>李志敏</t>
  </si>
  <si>
    <t>王春阳</t>
  </si>
  <si>
    <t>黄鹏</t>
  </si>
  <si>
    <t>李鹏伟</t>
  </si>
  <si>
    <t>黄龙</t>
  </si>
  <si>
    <t>何健</t>
  </si>
  <si>
    <t>周浩</t>
  </si>
  <si>
    <t>李营</t>
  </si>
  <si>
    <t>朱磊</t>
  </si>
  <si>
    <t>王耀</t>
  </si>
  <si>
    <t>周龙</t>
  </si>
  <si>
    <t>刘琳琳</t>
  </si>
  <si>
    <t>洪亮</t>
  </si>
  <si>
    <t>王刚</t>
  </si>
  <si>
    <t>秦涛</t>
  </si>
  <si>
    <t>周晓波</t>
  </si>
  <si>
    <t>崔雷</t>
  </si>
  <si>
    <t>刘宽</t>
  </si>
  <si>
    <t>张明磊</t>
  </si>
  <si>
    <t>李玉涛</t>
  </si>
  <si>
    <t>王靖</t>
  </si>
  <si>
    <t>曹旭</t>
  </si>
  <si>
    <t>宋婷</t>
  </si>
  <si>
    <t>河南省驻马店市西平县柏城大道与解放路交叉口</t>
  </si>
  <si>
    <t>高松</t>
  </si>
  <si>
    <t>杨振华</t>
  </si>
  <si>
    <t>陈海涛</t>
  </si>
  <si>
    <t>张祺</t>
  </si>
  <si>
    <t>王秋平</t>
  </si>
  <si>
    <t>唐伟</t>
  </si>
  <si>
    <t>张增辉</t>
  </si>
  <si>
    <t>贾伟</t>
  </si>
  <si>
    <t>王圆圆</t>
  </si>
  <si>
    <t>王洪亮</t>
  </si>
  <si>
    <t>张明明</t>
  </si>
  <si>
    <t>曾鑫</t>
  </si>
  <si>
    <t>陈科</t>
  </si>
  <si>
    <t>张利锋</t>
  </si>
  <si>
    <t>李萌萌</t>
  </si>
  <si>
    <t>徐玲</t>
  </si>
  <si>
    <t>刘萍</t>
  </si>
  <si>
    <t>刘金辉</t>
  </si>
  <si>
    <t>黄志强</t>
  </si>
  <si>
    <t>陈树强</t>
  </si>
  <si>
    <t>陈志敏</t>
  </si>
  <si>
    <t>胡建</t>
  </si>
  <si>
    <t>程勇</t>
  </si>
  <si>
    <t>王玉英</t>
  </si>
  <si>
    <t>韩宇</t>
  </si>
  <si>
    <t>杨莉</t>
  </si>
  <si>
    <t>浙江省嘉兴市桐乡市汇宇都市太阳湖21幢502</t>
  </si>
  <si>
    <t>王洪佳</t>
  </si>
  <si>
    <t>李平平</t>
  </si>
  <si>
    <t>周艳</t>
  </si>
  <si>
    <t>郭少敏</t>
  </si>
  <si>
    <t>吴国友</t>
  </si>
  <si>
    <t>徐达成</t>
  </si>
  <si>
    <t>林杰</t>
  </si>
  <si>
    <t>张媛</t>
  </si>
  <si>
    <t>黄培聪</t>
  </si>
  <si>
    <t>杨坚</t>
  </si>
  <si>
    <t>陈俊明</t>
  </si>
  <si>
    <t>赵瑞</t>
  </si>
  <si>
    <t>李迎迎</t>
  </si>
  <si>
    <t>程桂芳</t>
  </si>
  <si>
    <t>王秀</t>
  </si>
  <si>
    <t>王皓</t>
  </si>
  <si>
    <t>陈海清</t>
  </si>
  <si>
    <t>陈均</t>
  </si>
  <si>
    <t>王胜利</t>
  </si>
  <si>
    <t>赵云飞</t>
  </si>
  <si>
    <t>杨迪</t>
  </si>
  <si>
    <t>刘彤</t>
  </si>
  <si>
    <t>马军</t>
  </si>
  <si>
    <t>刘慧</t>
  </si>
  <si>
    <t>魏鹏</t>
  </si>
  <si>
    <t>陈凌</t>
  </si>
  <si>
    <t>李华良</t>
  </si>
  <si>
    <t>李闯</t>
  </si>
  <si>
    <t>刘瑜</t>
  </si>
  <si>
    <t>赵成</t>
  </si>
  <si>
    <t>刘志军</t>
  </si>
  <si>
    <t>冯浩</t>
  </si>
  <si>
    <t>张迪</t>
  </si>
  <si>
    <t>王峰</t>
  </si>
  <si>
    <t>罗乐</t>
  </si>
  <si>
    <t>陈源</t>
  </si>
  <si>
    <t>郭俊</t>
  </si>
  <si>
    <t>徐旭</t>
  </si>
  <si>
    <t>刘剑</t>
  </si>
  <si>
    <t>吴永辉</t>
  </si>
  <si>
    <t>李迎春</t>
  </si>
  <si>
    <t>王东东</t>
  </si>
  <si>
    <t>王明</t>
  </si>
  <si>
    <t>杨庆华</t>
  </si>
  <si>
    <t>张小刚</t>
  </si>
  <si>
    <t>辽宁省沈阳市铁西区兴顺街创富中心D303</t>
  </si>
  <si>
    <t>张晨</t>
  </si>
  <si>
    <t>何静</t>
  </si>
  <si>
    <t>陈晓明</t>
  </si>
  <si>
    <t>任俊</t>
  </si>
  <si>
    <t>李赟</t>
  </si>
  <si>
    <t>张飞飞</t>
  </si>
  <si>
    <t>刘欢欢</t>
  </si>
  <si>
    <t>潘龙</t>
  </si>
  <si>
    <t>丁峰</t>
  </si>
  <si>
    <t>赵岩</t>
  </si>
  <si>
    <t>李卫</t>
  </si>
  <si>
    <t>王文杰</t>
  </si>
  <si>
    <t>刘尧</t>
  </si>
  <si>
    <t>秦超</t>
  </si>
  <si>
    <t>李珍珍</t>
  </si>
  <si>
    <t>孙海龙</t>
  </si>
  <si>
    <t>王洪宝</t>
  </si>
  <si>
    <t>赵春艳</t>
  </si>
  <si>
    <t>彭甜</t>
  </si>
  <si>
    <t>崔莹</t>
  </si>
  <si>
    <t>郝杰</t>
  </si>
  <si>
    <t>马建斌</t>
  </si>
  <si>
    <t>刘哲</t>
  </si>
  <si>
    <t>朱健</t>
  </si>
  <si>
    <t>李奎</t>
  </si>
  <si>
    <t>朱超</t>
  </si>
  <si>
    <t>胡超</t>
  </si>
  <si>
    <t>徐珊珊</t>
  </si>
  <si>
    <t>朱凯</t>
  </si>
  <si>
    <t>张欢</t>
  </si>
  <si>
    <t>张浩然</t>
  </si>
  <si>
    <t>刘虎</t>
  </si>
  <si>
    <t>吕杰</t>
  </si>
  <si>
    <t>江华</t>
  </si>
  <si>
    <t>冉涛</t>
  </si>
  <si>
    <t>李婷</t>
  </si>
  <si>
    <t>胡炜</t>
  </si>
  <si>
    <t>彭婷婷</t>
  </si>
  <si>
    <t>李成</t>
  </si>
  <si>
    <t>刘婧</t>
  </si>
  <si>
    <t>刘建鹏</t>
  </si>
  <si>
    <t>王云</t>
  </si>
  <si>
    <t>杨金山</t>
  </si>
  <si>
    <t>秦凯</t>
  </si>
  <si>
    <t>王茜</t>
  </si>
  <si>
    <t>金鹏飞</t>
  </si>
  <si>
    <t>张艳艳</t>
  </si>
  <si>
    <t>王冰</t>
  </si>
  <si>
    <t>刘妍</t>
  </si>
  <si>
    <t>杨诚</t>
  </si>
  <si>
    <t>顾鹏</t>
  </si>
  <si>
    <t>刘琪</t>
  </si>
  <si>
    <t>广东省江门市新会区睦洲镇丰达路1号</t>
  </si>
  <si>
    <t>孙昊</t>
  </si>
  <si>
    <t>王琦</t>
  </si>
  <si>
    <t>刘晓亮</t>
  </si>
  <si>
    <t>章杰</t>
  </si>
  <si>
    <t>刘佳</t>
  </si>
  <si>
    <t>姚亮</t>
  </si>
  <si>
    <t>胡博</t>
  </si>
  <si>
    <t>尹涛</t>
  </si>
  <si>
    <t>杨丹丹</t>
  </si>
  <si>
    <t>张卫平</t>
  </si>
  <si>
    <t>李正刚</t>
  </si>
  <si>
    <t>杨鹏博</t>
  </si>
  <si>
    <t>郭勇</t>
  </si>
  <si>
    <t>李丽</t>
  </si>
  <si>
    <t>王俭</t>
  </si>
  <si>
    <t>王星</t>
  </si>
  <si>
    <t>黄林</t>
  </si>
  <si>
    <t>刘耀</t>
  </si>
  <si>
    <t>谢斌</t>
  </si>
  <si>
    <t>魏亮</t>
  </si>
  <si>
    <t>樊晓娟</t>
  </si>
  <si>
    <t>山西省运城市稷山县西社镇西社村</t>
  </si>
  <si>
    <t>吴金涛</t>
  </si>
  <si>
    <t>王娟</t>
  </si>
  <si>
    <t>张贺</t>
  </si>
  <si>
    <t>郭立鹏</t>
  </si>
  <si>
    <t>王金勇</t>
  </si>
  <si>
    <t>周波</t>
  </si>
  <si>
    <t>曹飞</t>
  </si>
  <si>
    <t>陈洪</t>
  </si>
  <si>
    <t>李锐</t>
  </si>
  <si>
    <t>刘雪峰</t>
  </si>
  <si>
    <t>刘邦</t>
  </si>
  <si>
    <t>李伟杰</t>
  </si>
  <si>
    <t>朱强</t>
  </si>
  <si>
    <t>曾炜</t>
  </si>
  <si>
    <t>上海市上海市浦东新区上海市浦东新区陆家嘴环路168号</t>
  </si>
  <si>
    <t>刘春华</t>
  </si>
  <si>
    <t>郑霞</t>
  </si>
  <si>
    <t>胡磊</t>
  </si>
  <si>
    <t>胡斌</t>
  </si>
  <si>
    <t>黄晓</t>
  </si>
  <si>
    <t>王祥</t>
  </si>
  <si>
    <t>王志成</t>
  </si>
  <si>
    <t>马春艳</t>
  </si>
  <si>
    <t>陈智</t>
  </si>
  <si>
    <t>陈立国</t>
  </si>
  <si>
    <t>杨智</t>
  </si>
  <si>
    <t>杨明明</t>
  </si>
  <si>
    <t>陈豪</t>
  </si>
  <si>
    <t>姚林</t>
  </si>
  <si>
    <t>赵玉涛</t>
  </si>
  <si>
    <t>刘艳云</t>
  </si>
  <si>
    <t>丁小兵</t>
  </si>
  <si>
    <t>陈露</t>
  </si>
  <si>
    <t>王钊</t>
  </si>
  <si>
    <t>张晓军</t>
  </si>
  <si>
    <t>杨梅</t>
  </si>
  <si>
    <t>王胜军</t>
  </si>
  <si>
    <t>王威</t>
  </si>
  <si>
    <t>李宁宁</t>
  </si>
  <si>
    <t>张海清</t>
  </si>
  <si>
    <t>孙洪洋</t>
  </si>
  <si>
    <t>余伟</t>
  </si>
  <si>
    <t>高辉</t>
  </si>
  <si>
    <t>孙建伟</t>
  </si>
  <si>
    <t>王苗苗</t>
  </si>
  <si>
    <t>姜雷</t>
  </si>
  <si>
    <t>黄金</t>
  </si>
  <si>
    <t>杨丽丽</t>
  </si>
  <si>
    <t>宋长彦</t>
  </si>
  <si>
    <t>曾伟</t>
  </si>
  <si>
    <t>刘俊豪</t>
  </si>
  <si>
    <t>刘海鹏</t>
  </si>
  <si>
    <t>李建明</t>
  </si>
  <si>
    <t>李青</t>
  </si>
  <si>
    <t>李国斌</t>
  </si>
  <si>
    <t>张永强</t>
  </si>
  <si>
    <t>徐帅</t>
  </si>
  <si>
    <t>刘玉琴</t>
  </si>
  <si>
    <t>何超</t>
  </si>
  <si>
    <t>唐小平</t>
  </si>
  <si>
    <t>张雪</t>
  </si>
  <si>
    <t>杨琛</t>
  </si>
  <si>
    <t>周泽坤</t>
  </si>
  <si>
    <t>肖鹏</t>
  </si>
  <si>
    <t>李梁</t>
  </si>
  <si>
    <t>李疆</t>
  </si>
  <si>
    <t>陈吉</t>
  </si>
  <si>
    <t>彭帅</t>
  </si>
  <si>
    <t>杨立</t>
  </si>
  <si>
    <t>王鹏宇</t>
  </si>
  <si>
    <t>张诚</t>
  </si>
  <si>
    <t>闫鑫</t>
  </si>
  <si>
    <t>张晶晶</t>
  </si>
  <si>
    <t>李林</t>
  </si>
  <si>
    <t>李贝贝</t>
  </si>
  <si>
    <t>丁磊</t>
  </si>
  <si>
    <t>孙德强</t>
  </si>
  <si>
    <t>李海亮</t>
  </si>
  <si>
    <t>王红</t>
  </si>
  <si>
    <t>何飞</t>
  </si>
  <si>
    <t>李元</t>
  </si>
  <si>
    <t>许小飞</t>
  </si>
  <si>
    <t>阿木古冷</t>
  </si>
  <si>
    <t>刘丽</t>
  </si>
  <si>
    <t>李晓杰</t>
  </si>
  <si>
    <t>刘庆伟</t>
  </si>
  <si>
    <t>王鹏程</t>
  </si>
  <si>
    <t>彭霞</t>
  </si>
  <si>
    <t>李文超</t>
  </si>
  <si>
    <t>黄松</t>
  </si>
  <si>
    <t>李国民</t>
  </si>
  <si>
    <t>张红兵</t>
  </si>
  <si>
    <t>辽宁省大连市甘井子区华北路291号</t>
  </si>
  <si>
    <t>苏斌</t>
  </si>
  <si>
    <t>孙鹏飞</t>
  </si>
  <si>
    <t>宋涛</t>
  </si>
  <si>
    <t>刘闯</t>
  </si>
  <si>
    <t>王晓峰</t>
  </si>
  <si>
    <t>黄慧</t>
  </si>
  <si>
    <t>高寒</t>
  </si>
  <si>
    <t>彭小芳</t>
  </si>
  <si>
    <t>陈艳</t>
  </si>
  <si>
    <t>杨金</t>
  </si>
  <si>
    <t>宋鹏程</t>
  </si>
  <si>
    <t>李壮</t>
  </si>
  <si>
    <t>杨坤</t>
  </si>
  <si>
    <t>王俊博</t>
  </si>
  <si>
    <t>王雪松</t>
  </si>
  <si>
    <t>林虎</t>
  </si>
  <si>
    <t>王义超</t>
  </si>
  <si>
    <t>李品</t>
  </si>
  <si>
    <t>刘景元</t>
  </si>
  <si>
    <t>黄欢</t>
  </si>
  <si>
    <t>李娜娜</t>
  </si>
  <si>
    <t>陈卓</t>
  </si>
  <si>
    <t>金旺</t>
  </si>
  <si>
    <t>王成成</t>
  </si>
  <si>
    <t>李铮</t>
  </si>
  <si>
    <t>薛伟</t>
  </si>
  <si>
    <t>朱松林</t>
  </si>
  <si>
    <t>王鹏飞</t>
  </si>
  <si>
    <t>邓伟</t>
  </si>
  <si>
    <t>孟冉</t>
  </si>
  <si>
    <t>孟杰</t>
  </si>
  <si>
    <t>吴祥</t>
  </si>
  <si>
    <t>徐松</t>
  </si>
  <si>
    <t>马良</t>
  </si>
  <si>
    <t>刘平</t>
  </si>
  <si>
    <t>李迪</t>
  </si>
  <si>
    <t>郭静</t>
  </si>
  <si>
    <t>李建华</t>
  </si>
  <si>
    <t>张雨</t>
  </si>
  <si>
    <t>赵永新</t>
  </si>
  <si>
    <t>田薇</t>
  </si>
  <si>
    <t>刘琼</t>
  </si>
  <si>
    <t>于海涛</t>
  </si>
  <si>
    <t>王青</t>
  </si>
  <si>
    <t>杨君</t>
  </si>
  <si>
    <t>杨乐乐</t>
  </si>
  <si>
    <t>杨小东</t>
  </si>
  <si>
    <t>程强</t>
  </si>
  <si>
    <t>李松</t>
  </si>
  <si>
    <t>王成龙</t>
  </si>
  <si>
    <t>刘浪</t>
  </si>
  <si>
    <t>王顺</t>
  </si>
  <si>
    <t>陈佳</t>
  </si>
  <si>
    <t>张小妮</t>
  </si>
  <si>
    <t>杨宇</t>
  </si>
  <si>
    <t>刘为</t>
  </si>
  <si>
    <t>刘馨</t>
  </si>
  <si>
    <t>刘营</t>
  </si>
  <si>
    <t>孙阳</t>
  </si>
  <si>
    <t>程翠云</t>
  </si>
  <si>
    <t>云南省红河哈尼族彝族自治州弥勒县九号路三期10栋3号</t>
  </si>
  <si>
    <t>云南省红河哈尼族彝族自治州石屏县二环东路179号</t>
  </si>
  <si>
    <t>李函</t>
  </si>
  <si>
    <t>刘德鑫</t>
  </si>
  <si>
    <t>黑龙江省齐齐哈尔市龙沙区新工路58号</t>
  </si>
  <si>
    <t>黑龙江省齐齐哈尔市龙沙区火电安居小区16号楼</t>
  </si>
  <si>
    <t>喻松</t>
  </si>
  <si>
    <t>李现民</t>
  </si>
  <si>
    <t>兰晓玲</t>
  </si>
  <si>
    <t>李佳佳</t>
  </si>
  <si>
    <t>山东省青岛市平度市青岛胶州市常州路2号</t>
  </si>
  <si>
    <t>山东省青岛市平度市麻兰镇徐戈庄村47号</t>
  </si>
  <si>
    <t>雷会兵</t>
  </si>
  <si>
    <t>戴宝航</t>
  </si>
  <si>
    <t>山东省潍坊市奎文区鸿鸢商务大厦1703</t>
  </si>
  <si>
    <t>山东省潍坊市奎文区东风东街7536号4号楼3单元302</t>
  </si>
  <si>
    <t>张钊</t>
  </si>
  <si>
    <t>谢成斌</t>
  </si>
  <si>
    <t>王竹存</t>
  </si>
  <si>
    <t>邵长峰</t>
  </si>
  <si>
    <t>袁宠淇</t>
  </si>
  <si>
    <t>白晓利</t>
  </si>
  <si>
    <t>金荣祥</t>
  </si>
  <si>
    <t>程波</t>
  </si>
  <si>
    <t>吴卫平</t>
  </si>
  <si>
    <t>徐原</t>
  </si>
  <si>
    <t>董小齐</t>
  </si>
  <si>
    <t>王继伟</t>
  </si>
  <si>
    <t>戴凯澄</t>
  </si>
  <si>
    <t>郑坤煌</t>
  </si>
  <si>
    <t>周诗琪</t>
  </si>
  <si>
    <t>江苏省南京市浦口区星火路星火E座907</t>
  </si>
  <si>
    <t>江苏省南京市浦口区旭日上城二期11栋2003</t>
  </si>
  <si>
    <t>张玉胜</t>
  </si>
  <si>
    <t>伍恩德</t>
  </si>
  <si>
    <t>贾雄辉</t>
  </si>
  <si>
    <t>历燕</t>
  </si>
  <si>
    <t>夏霆胜</t>
  </si>
  <si>
    <t>新疆乌鲁木齐市新市区劳动街新泉站点</t>
  </si>
  <si>
    <t>新疆昌吉回族自治州阜康市新城花园</t>
  </si>
  <si>
    <t>俞书猛</t>
  </si>
  <si>
    <t>赵群凌</t>
  </si>
  <si>
    <t>胡敏</t>
  </si>
  <si>
    <t>邹红儿</t>
  </si>
  <si>
    <t>广东省揭阳市揭东县揭阳移动产业园龙尾镇老圩龙大公路供销社一楼09号房</t>
  </si>
  <si>
    <t>广东省揭阳市揭东县白塔镇红坡村大队后细寨四二号</t>
  </si>
  <si>
    <t>方敏</t>
  </si>
  <si>
    <t>四川省成都市崇州市力兴之家工业区d区72号</t>
  </si>
  <si>
    <t>四川省成都市崇州市崇州市金鸡万人小区华兴路3号</t>
  </si>
  <si>
    <t>温丽丽</t>
  </si>
  <si>
    <t>叶果</t>
  </si>
  <si>
    <t>王先强</t>
  </si>
  <si>
    <t>梁洁</t>
  </si>
  <si>
    <t>贾宗朝</t>
  </si>
  <si>
    <t>谢旭明</t>
  </si>
  <si>
    <t>柴望</t>
  </si>
  <si>
    <t>宋艳丽</t>
  </si>
  <si>
    <t>杨浏</t>
  </si>
  <si>
    <t>永垚</t>
  </si>
  <si>
    <t>北京市北京市丰台区角门北路8号院正旗大厦</t>
  </si>
  <si>
    <t>北京市北京市丰台区角门北路3号院1号楼</t>
  </si>
  <si>
    <t>杨海雷</t>
  </si>
  <si>
    <t>广东省深圳市宝安区松岗镇东方街道大田洋工业区田洋二路17号</t>
  </si>
  <si>
    <t>河南省焦作市武陟县乔苗乡杨湾三街中心三街09号</t>
  </si>
  <si>
    <t>张双清</t>
  </si>
  <si>
    <t>黄金龙</t>
  </si>
  <si>
    <t>宋银龙</t>
  </si>
  <si>
    <t>李冬娇</t>
  </si>
  <si>
    <t>游俊杰</t>
  </si>
  <si>
    <t>田思龙</t>
  </si>
  <si>
    <t>张成成</t>
  </si>
  <si>
    <t>李小冬</t>
  </si>
  <si>
    <t>王智松</t>
  </si>
  <si>
    <t>巩瑞</t>
  </si>
  <si>
    <t>陈炳光</t>
  </si>
  <si>
    <t>山东省济宁市曲阜市创业大道16号</t>
  </si>
  <si>
    <t>山东省济宁市曲阜市龙虎小区35号楼203室</t>
  </si>
  <si>
    <t>徐文婷</t>
  </si>
  <si>
    <t>淳奇</t>
  </si>
  <si>
    <t>楼梦婷</t>
  </si>
  <si>
    <t>于晓会</t>
  </si>
  <si>
    <t>凤城市百利家侧门</t>
  </si>
  <si>
    <t>凤城市青城子镇白云山村七组</t>
  </si>
  <si>
    <t>林显意</t>
  </si>
  <si>
    <t>广东省东莞市长安镇锦夏社区锦绣路259号</t>
  </si>
  <si>
    <t>广东省东莞市长安镇莲峰路四巷四号</t>
  </si>
  <si>
    <t>彭申</t>
  </si>
  <si>
    <t>薛刚</t>
  </si>
  <si>
    <t>陈鑫烁</t>
  </si>
  <si>
    <t>江西省赣州市安远县欣山镇龙泉西路B2-19号</t>
  </si>
  <si>
    <t>江西省赣州市安远县欣山镇九龙路上陈屋小区41号</t>
  </si>
  <si>
    <t>王健彬</t>
  </si>
  <si>
    <t>黄丽菊</t>
  </si>
  <si>
    <t>施发勇</t>
  </si>
  <si>
    <t>鲁维敏</t>
  </si>
  <si>
    <t>陈茜</t>
  </si>
  <si>
    <t>段楠</t>
  </si>
  <si>
    <t>齐洋</t>
  </si>
  <si>
    <t>马云朋</t>
  </si>
  <si>
    <t>汪金锋</t>
  </si>
  <si>
    <t>才明</t>
  </si>
  <si>
    <t>谷猛</t>
  </si>
  <si>
    <t>黄洋平</t>
  </si>
  <si>
    <t>潘家伊</t>
  </si>
  <si>
    <t>蔡俊斌</t>
  </si>
  <si>
    <t>庞军</t>
  </si>
  <si>
    <t>梁焯明</t>
  </si>
  <si>
    <t>广东省江门市新会区广东省江门市新会区双水镇大堂管理区大堂村</t>
  </si>
  <si>
    <t>广东省江门市新会区双水镇大堂管理区大堂村94号</t>
  </si>
  <si>
    <t>蔡国亮</t>
  </si>
  <si>
    <t>钟宗卫</t>
  </si>
  <si>
    <t>陈文影</t>
  </si>
  <si>
    <t>伍糖</t>
  </si>
  <si>
    <t>云南省玉溪市易门县浦贝乡新街子114号</t>
  </si>
  <si>
    <t>云南省玉溪市易门县浦贝乡下浦贝村民小组二组11号</t>
  </si>
  <si>
    <t>李国钰</t>
  </si>
  <si>
    <t>梁汉荣</t>
  </si>
  <si>
    <t>黄卫荣</t>
  </si>
  <si>
    <t>李维军</t>
  </si>
  <si>
    <t>陆化仙</t>
  </si>
  <si>
    <t>关雨萌</t>
  </si>
  <si>
    <t>盛清</t>
  </si>
  <si>
    <t>梁伟尧</t>
  </si>
  <si>
    <t>党兴跃</t>
  </si>
  <si>
    <t>包秉轩</t>
  </si>
  <si>
    <t>福建省福州市晋安区福州客运段</t>
  </si>
  <si>
    <t>福建省福州市晋安区祥园新苑四栋</t>
  </si>
  <si>
    <t>李列</t>
  </si>
  <si>
    <t>温世博</t>
  </si>
  <si>
    <t>杨胜军</t>
  </si>
  <si>
    <t>张素平</t>
  </si>
  <si>
    <t>李新新</t>
  </si>
  <si>
    <t>河南省郑州市金水区东风路百脑汇52号</t>
  </si>
  <si>
    <t>河南省郑州市二七区航海南路2号院85号楼34号</t>
  </si>
  <si>
    <t>方成孝</t>
  </si>
  <si>
    <t>唐启林</t>
  </si>
  <si>
    <t>四川省成都市新都区班竹园顺江村6组6号</t>
  </si>
  <si>
    <t>周延军</t>
  </si>
  <si>
    <t>朱锁荣</t>
  </si>
  <si>
    <t>穆会珍</t>
  </si>
  <si>
    <t>李国才</t>
  </si>
  <si>
    <t>饶华生</t>
  </si>
  <si>
    <t>王海国</t>
  </si>
  <si>
    <t>冯玲</t>
  </si>
  <si>
    <t>林海侠</t>
  </si>
  <si>
    <t>广东省湛江市徐闻县徐闻县徐城城东大道中段</t>
  </si>
  <si>
    <t>广东省湛江市徐闻县西连镇北插下村117</t>
  </si>
  <si>
    <t>朱明月</t>
  </si>
  <si>
    <t>盛瑶</t>
  </si>
  <si>
    <t>包景赛</t>
  </si>
  <si>
    <t>李有有</t>
  </si>
  <si>
    <t>陕西省榆林市榆阳区高新区水晶国际14楼B室</t>
  </si>
  <si>
    <t>陕西省榆林市榆阳区红山东路北冻洋家属区3排10号</t>
  </si>
  <si>
    <t>蔡泽君</t>
  </si>
  <si>
    <t>孙海坤</t>
  </si>
  <si>
    <t>赵青威</t>
  </si>
  <si>
    <t>郭行民</t>
  </si>
  <si>
    <t>杜亚芹</t>
  </si>
  <si>
    <t>卞蓓蓉</t>
  </si>
  <si>
    <t>阳静</t>
  </si>
  <si>
    <t>李珊</t>
  </si>
  <si>
    <t>黑龙江省哈尔滨市南岗区西大直街512号</t>
  </si>
  <si>
    <t>黑龙江省哈尔滨市南岗区东大直街122-1号5单元302室</t>
  </si>
  <si>
    <t>段萌</t>
  </si>
  <si>
    <t>潘演旭</t>
  </si>
  <si>
    <t>卢晓敏</t>
  </si>
  <si>
    <t>陈羊</t>
  </si>
  <si>
    <t>严春荣</t>
  </si>
  <si>
    <t>窦春龙</t>
  </si>
  <si>
    <t>黑龙江省哈尔滨市道里区抚顺街道安详街11-1号</t>
  </si>
  <si>
    <t>黑龙江省哈尔滨市香坊区顺水街二号楼二单元403室</t>
  </si>
  <si>
    <t>梁平</t>
  </si>
  <si>
    <t>邱志相</t>
  </si>
  <si>
    <t>谭力</t>
  </si>
  <si>
    <t>徐凯</t>
  </si>
  <si>
    <t>王海惠</t>
  </si>
  <si>
    <t>陈和堂</t>
  </si>
  <si>
    <t>弓林林</t>
  </si>
  <si>
    <t>孙晨</t>
  </si>
  <si>
    <t>曹红琴</t>
  </si>
  <si>
    <t>湖北省宜昌市夷陵区邓村乡集镇邓大路</t>
  </si>
  <si>
    <t>湖北省宜昌市西陵区邓村乡集镇小渔村二组</t>
  </si>
  <si>
    <t>董黎</t>
  </si>
  <si>
    <t>彭乾斌</t>
  </si>
  <si>
    <t>贵州省黔西南布依族苗族自治州兴义市贵州省兴义市延安路46号</t>
  </si>
  <si>
    <t>贵州省黔西南布依族苗族自治州兴义市桔山镇讯浩村坡岸组60号</t>
  </si>
  <si>
    <t>马雁雄</t>
  </si>
  <si>
    <t>张斌兵</t>
  </si>
  <si>
    <t>余年生</t>
  </si>
  <si>
    <t>江苏省苏州市常熟市谢桥镇银杏路18卢</t>
  </si>
  <si>
    <t>江苏省苏州市常熟市海虞镇望虞水岸6帖502</t>
  </si>
  <si>
    <t>李树君</t>
  </si>
  <si>
    <t>山东省淄博市张店区华夏国际2540室</t>
  </si>
  <si>
    <t>山东省淄博市张店区联通路丽景翠苑8号楼一单元401</t>
  </si>
  <si>
    <t>马雪梅</t>
  </si>
  <si>
    <t>广东省深圳市宝安区西乡街道黄麻布簕竹角东面新村1巷6号</t>
  </si>
  <si>
    <t>广东省深圳市罗湖区西乡街道黄麻布簕竹角东面新村</t>
  </si>
  <si>
    <t>郑亚楠</t>
  </si>
  <si>
    <t>赵爱明</t>
  </si>
  <si>
    <t>陕西省西安市雁塔区甘家寨东一8号楼二单元底商</t>
  </si>
  <si>
    <t>陕西省西安市雁塔区甘家寨东二15号楼五单元303</t>
  </si>
  <si>
    <t>杨方星</t>
  </si>
  <si>
    <t>河北省邢台市清河县河北省邢台市清河县嵩山路滨江花园对面唯美造型</t>
  </si>
  <si>
    <t>河北省邢台市清河县杨二庄镇杨二庄工贸区清杨路120号</t>
  </si>
  <si>
    <t>陈周</t>
  </si>
  <si>
    <t>周千千</t>
  </si>
  <si>
    <t>汪黎</t>
  </si>
  <si>
    <t>王能波</t>
  </si>
  <si>
    <t>梁新妮</t>
  </si>
  <si>
    <t>郑秀群</t>
  </si>
  <si>
    <t>兰强</t>
  </si>
  <si>
    <t>周伟军</t>
  </si>
  <si>
    <t>覃富勇</t>
  </si>
  <si>
    <t>曹巧芸</t>
  </si>
  <si>
    <t>高满昌</t>
  </si>
  <si>
    <t>裘挺</t>
  </si>
  <si>
    <t>高德林</t>
  </si>
  <si>
    <t>管小云</t>
  </si>
  <si>
    <t>唐休平</t>
  </si>
  <si>
    <t>江苏省镇江市京口区大港街道五峰山路18号</t>
  </si>
  <si>
    <t>江苏省镇江市京口区大港街道逸翠园38栋一单园14号</t>
  </si>
  <si>
    <t>刘扬圳</t>
  </si>
  <si>
    <t>张祥春</t>
  </si>
  <si>
    <t>洪瑞璞</t>
  </si>
  <si>
    <t>唐麒麟</t>
  </si>
  <si>
    <t>苏东东</t>
  </si>
  <si>
    <t>邓学敏</t>
  </si>
  <si>
    <t>谷荣盛</t>
  </si>
  <si>
    <t>陈志成</t>
  </si>
  <si>
    <t>陈瑶瑶</t>
  </si>
  <si>
    <t>彭春</t>
  </si>
  <si>
    <t>许绍伟</t>
  </si>
  <si>
    <t>广东省湛江市廉江市廉江市和寮镇风飞管区</t>
  </si>
  <si>
    <t>广东省湛江市廉江市廉江市和寮镇</t>
  </si>
  <si>
    <t>李长利</t>
  </si>
  <si>
    <t>李义林</t>
  </si>
  <si>
    <t>刘彩霞</t>
  </si>
  <si>
    <t>陈前超</t>
  </si>
  <si>
    <t>邬光辉</t>
  </si>
  <si>
    <t>唐文军</t>
  </si>
  <si>
    <t>浙江省温州市龙湾区滨海大道二道</t>
  </si>
  <si>
    <t>浙江省温州市龙湾区万科润园2幢1007</t>
  </si>
  <si>
    <t>李文涛</t>
  </si>
  <si>
    <t>郑东</t>
  </si>
  <si>
    <t>刘旭珍</t>
  </si>
  <si>
    <t>周苗苗</t>
  </si>
  <si>
    <t>沈海新</t>
  </si>
  <si>
    <t>胡娟</t>
  </si>
  <si>
    <t>胡雷收</t>
  </si>
  <si>
    <t>上海市浦东新区陆家嘴环路168号</t>
  </si>
  <si>
    <t>杨活记</t>
  </si>
  <si>
    <t>江波</t>
  </si>
  <si>
    <t>李翠娴</t>
  </si>
  <si>
    <t>杨笙</t>
  </si>
  <si>
    <t>广西南宁市江南区吴圩镇永安路</t>
  </si>
  <si>
    <t>广西南宁市江南区圭贝路5号南国花园康城7栋41号房</t>
  </si>
  <si>
    <t>邢永贵</t>
  </si>
  <si>
    <t>王总力</t>
  </si>
  <si>
    <t>杨耀旗</t>
  </si>
  <si>
    <t>潘政豪</t>
  </si>
  <si>
    <t>何仰元</t>
  </si>
  <si>
    <t>杨培思</t>
  </si>
  <si>
    <t>云南省昆明市官渡区海伦国际12号地3坐1203室</t>
  </si>
  <si>
    <t>云南省昆明市官渡区云南省昆明市官渡区日新村447号</t>
  </si>
  <si>
    <t>李道武</t>
  </si>
  <si>
    <t>赵妍红</t>
  </si>
  <si>
    <t>张天华</t>
  </si>
  <si>
    <t>重庆市重庆市南岸区桃源路22号</t>
  </si>
  <si>
    <t>重庆市重庆市南岸区金紫街42栋4-2号</t>
  </si>
  <si>
    <t>曾钦光</t>
  </si>
  <si>
    <t>尚子民</t>
  </si>
  <si>
    <t>赵想</t>
  </si>
  <si>
    <t>张文选</t>
  </si>
  <si>
    <t>广东省梅州市大埔县湖寮镇莒村</t>
  </si>
  <si>
    <t>广东省梅州市大埔县城北路352号701房</t>
  </si>
  <si>
    <t>曹震震</t>
  </si>
  <si>
    <t>殷文康</t>
  </si>
  <si>
    <t>云南省文山壮族苗族自治州丘北县普碳路吉大观庭县医院对面</t>
  </si>
  <si>
    <t>云南省文山壮族苗族自治州丘北县八道哨乡洋洞村小组</t>
  </si>
  <si>
    <t>郭泗存</t>
  </si>
  <si>
    <t>山东省泰安市肥城市肥城市新城街道办事处凤山西街75号</t>
  </si>
  <si>
    <t>山东省泰安市肥城市新城街道办事处聚商城</t>
  </si>
  <si>
    <t>邵行一</t>
  </si>
  <si>
    <t>荣佳</t>
  </si>
  <si>
    <t>尹锦全</t>
  </si>
  <si>
    <t>天津市天津市静海县禹州尊府31号楼2004</t>
  </si>
  <si>
    <t>夏彐燕</t>
  </si>
  <si>
    <t>宋加明</t>
  </si>
  <si>
    <t>苏俊伟</t>
  </si>
  <si>
    <t>邓斌斌</t>
  </si>
  <si>
    <t>甘肃省天水市麦积区花牛镇二十里铺</t>
  </si>
  <si>
    <t>甘肃省天水市麦积区花牛镇二十里铺东大彩钢厂</t>
  </si>
  <si>
    <t>祝天</t>
  </si>
  <si>
    <t>湖北省武汉市江夏区纸坊大街复江道特一号</t>
  </si>
  <si>
    <t>湖北省武汉市江夏区纸坊大街新北巷29号</t>
  </si>
  <si>
    <t>马玉海</t>
  </si>
  <si>
    <t>甘肃省临夏回族自治州临夏市新华街256号</t>
  </si>
  <si>
    <t>甘肃省临夏回族自治州临夏市南栅门9号</t>
  </si>
  <si>
    <t>王宝君</t>
  </si>
  <si>
    <t>河北省唐山市滦南县滦南县城南唐港高速公路出口</t>
  </si>
  <si>
    <t>河北省唐山市滦南县姚王庄镇石桥村82号</t>
  </si>
  <si>
    <t>于海东</t>
  </si>
  <si>
    <t>童琴</t>
  </si>
  <si>
    <t>湖南省益阳市资阳区桥北步行街</t>
  </si>
  <si>
    <t>湖南省益阳市资阳区桥北大水平实验小学</t>
  </si>
  <si>
    <t>李祖元</t>
  </si>
  <si>
    <t>陈兴煌</t>
  </si>
  <si>
    <t>于晓冰</t>
  </si>
  <si>
    <t>宁猛</t>
  </si>
  <si>
    <t>范斌</t>
  </si>
  <si>
    <t>倪锋</t>
  </si>
  <si>
    <t>江苏省无锡市宜兴市宜兴市宜广公路善卷段西侧63号</t>
  </si>
  <si>
    <t>江苏省无锡市宜兴市张渚镇金犊新村15单元305</t>
  </si>
  <si>
    <t>卜飞</t>
  </si>
  <si>
    <t>曾应龙</t>
  </si>
  <si>
    <t>许春红</t>
  </si>
  <si>
    <t>钟远兵</t>
  </si>
  <si>
    <t>广东省广州市海珠区工业大道北106号乐峰广场</t>
  </si>
  <si>
    <t>广东省广州市海珠区宝业路马涌东涌边6号202</t>
  </si>
  <si>
    <t>熊方平</t>
  </si>
  <si>
    <t>黄千华</t>
  </si>
  <si>
    <t>刘忠鹏</t>
  </si>
  <si>
    <t>廖天明</t>
  </si>
  <si>
    <t>陈文琴</t>
  </si>
  <si>
    <t>舒成</t>
  </si>
  <si>
    <t>曹霞</t>
  </si>
  <si>
    <t>龚欢庆</t>
  </si>
  <si>
    <t>湖北省武汉市洪山区邮科院路88号</t>
  </si>
  <si>
    <t>湖北省武汉市洪山区徐东大街51号武铁佳苑3栋601</t>
  </si>
  <si>
    <t>徐超</t>
  </si>
  <si>
    <t>官金燕</t>
  </si>
  <si>
    <t>尹志强</t>
  </si>
  <si>
    <t>钟灵</t>
  </si>
  <si>
    <t>张泉</t>
  </si>
  <si>
    <t>孔祥太</t>
  </si>
  <si>
    <t>胡小平</t>
  </si>
  <si>
    <t>浙江省湖州市长兴县雉城镇姚家桥向西400米</t>
  </si>
  <si>
    <t>浙江省湖州市长兴县林城镇方山窑村方山窑自然村40号</t>
  </si>
  <si>
    <t>李石华</t>
  </si>
  <si>
    <t>官佳林</t>
  </si>
  <si>
    <t>姬明辉</t>
  </si>
  <si>
    <t>河南省驻马店市确山县拥军路与爱民路交叉口南二百米</t>
  </si>
  <si>
    <t>河南省驻马店市确山县三里河乡办事处尚庄村委大肖组</t>
  </si>
  <si>
    <t>周新伟</t>
  </si>
  <si>
    <t>陈国龙</t>
  </si>
  <si>
    <t>山东省枣庄市滕州市善国路68号</t>
  </si>
  <si>
    <t>山东省枣庄市滕州市大坞镇大市庄村298号</t>
  </si>
  <si>
    <t>瞿月月</t>
  </si>
  <si>
    <t>赵晓东</t>
  </si>
  <si>
    <t>孙仁寿</t>
  </si>
  <si>
    <t>张贵华</t>
  </si>
  <si>
    <t>武超</t>
  </si>
  <si>
    <t>卞苗苗</t>
  </si>
  <si>
    <t>沈龙祥</t>
  </si>
  <si>
    <t>四川省德阳市绵竹市东北镇万安广场288号</t>
  </si>
  <si>
    <t>四川省德阳市旌阳区汉旺镇滨河路2号附41号</t>
  </si>
  <si>
    <t>曾宪银</t>
  </si>
  <si>
    <t>邱兆勇</t>
  </si>
  <si>
    <t>安徽省宿州市灵璧县渔沟镇尤渔路</t>
  </si>
  <si>
    <t>安徽省宿州市灵璧县绘沟镇二王村3组</t>
  </si>
  <si>
    <t>戈清</t>
  </si>
  <si>
    <t>叶顺城</t>
  </si>
  <si>
    <t>褚朋朋</t>
  </si>
  <si>
    <t>陈祖军</t>
  </si>
  <si>
    <t>吴泽军</t>
  </si>
  <si>
    <t>吴耀杰</t>
  </si>
  <si>
    <t>贺生海</t>
  </si>
  <si>
    <t>康浩</t>
  </si>
  <si>
    <t>陈长心</t>
  </si>
  <si>
    <t>薛品</t>
  </si>
  <si>
    <t>张沙沙</t>
  </si>
  <si>
    <t>梁海波</t>
  </si>
  <si>
    <t>山西省运城市盐湖区运城市南风广场财富大厦8801室</t>
  </si>
  <si>
    <t>山西省运城市盐湖区运城市盐湖区南环东路99号</t>
  </si>
  <si>
    <t>张辉男</t>
  </si>
  <si>
    <t>白忠义</t>
  </si>
  <si>
    <t>邹梦琳</t>
  </si>
  <si>
    <t>雷振云</t>
  </si>
  <si>
    <t>李川林</t>
  </si>
  <si>
    <t>李祖家</t>
  </si>
  <si>
    <t>谢莎莎</t>
  </si>
  <si>
    <t>王露慧</t>
  </si>
  <si>
    <t>刘国青</t>
  </si>
  <si>
    <t>莫斌</t>
  </si>
  <si>
    <t>周渊</t>
  </si>
  <si>
    <t>周合满</t>
  </si>
  <si>
    <t>宋明洋</t>
  </si>
  <si>
    <t>汤志军</t>
  </si>
  <si>
    <t>邓镇南</t>
  </si>
  <si>
    <t>辽宁省盘锦市兴隆台区平安街道欢喜岭钻井二公司探井项目部</t>
  </si>
  <si>
    <t>辽宁省盘锦市兴隆台区石油大街邮政小区a座三单元702</t>
  </si>
  <si>
    <t>龙庆坪</t>
  </si>
  <si>
    <t>刀敏昌</t>
  </si>
  <si>
    <t>姜沣玮</t>
  </si>
  <si>
    <t>王家栋</t>
  </si>
  <si>
    <t>宋芳</t>
  </si>
  <si>
    <t>卓亮亮</t>
  </si>
  <si>
    <t>李伟豪</t>
  </si>
  <si>
    <t>邰虎山</t>
  </si>
  <si>
    <t>鲁德贵</t>
  </si>
  <si>
    <t>薛继龙</t>
  </si>
  <si>
    <t>门传连</t>
  </si>
  <si>
    <t>杨奕</t>
  </si>
  <si>
    <t>杨妙奇</t>
  </si>
  <si>
    <t>浙江省绍兴市诸暨市保安新村八号</t>
  </si>
  <si>
    <t>浙江省绍兴市诸暨市赵家镇新绛霞村</t>
  </si>
  <si>
    <t>袁玉婷</t>
  </si>
  <si>
    <t>齐柏竣</t>
  </si>
  <si>
    <t>赖鑫莹</t>
  </si>
  <si>
    <t>广东省广州市增城市广州市增城市永宁大道泥坑社区</t>
  </si>
  <si>
    <t>江西省赣州市安远县重石乡幸福街14号</t>
  </si>
  <si>
    <t>朱建帅</t>
  </si>
  <si>
    <t>河北省邢台市桥东区固城镇孟村</t>
  </si>
  <si>
    <t>河北省邢台市隆尧县魏家庄镇王尹村</t>
  </si>
  <si>
    <t>赵玉泉</t>
  </si>
  <si>
    <t>张法强</t>
  </si>
  <si>
    <t>黎子帅</t>
  </si>
  <si>
    <t>汤声优</t>
  </si>
  <si>
    <t>罗健</t>
  </si>
  <si>
    <t>潘炳中</t>
  </si>
  <si>
    <t>广东省广州市花都区花都区凤凰步行街</t>
  </si>
  <si>
    <t>四川省成都市新津县新平镇董大桥村6组</t>
  </si>
  <si>
    <t>耿方圆</t>
  </si>
  <si>
    <t>朱汕辉</t>
  </si>
  <si>
    <t>任德兵</t>
  </si>
  <si>
    <t>廖明金</t>
  </si>
  <si>
    <t>巴特孟克</t>
  </si>
  <si>
    <t>新疆塔城地区乌苏市乌苏市新区中医院黄河东路1126号</t>
  </si>
  <si>
    <t>新疆塔城地区乌苏市新疆乌苏市新区锦绣华庭1号楼二单元601室</t>
  </si>
  <si>
    <t>周启振</t>
  </si>
  <si>
    <t>吴金龙</t>
  </si>
  <si>
    <t>范天佑</t>
  </si>
  <si>
    <t>云南省昆明市官渡区融城金阶a座5.7.8楼</t>
  </si>
  <si>
    <t>云南省西双版纳傣族自治州景洪市梦云南雨林澜山三期a组528号</t>
  </si>
  <si>
    <t>王小茸</t>
  </si>
  <si>
    <t>杨韧</t>
  </si>
  <si>
    <t>孟显新</t>
  </si>
  <si>
    <t>金文颖</t>
  </si>
  <si>
    <t>李胜白</t>
  </si>
  <si>
    <t>广西柳州市柳南区飞鹅二路荣兴商业大厦五楼502</t>
  </si>
  <si>
    <t>广西柳州市鱼峰区西江路二号一栋一单元401室</t>
  </si>
  <si>
    <t>黄明辉</t>
  </si>
  <si>
    <t>广东省潮州市饶平县黄冈镇饶平大道23号</t>
  </si>
  <si>
    <t>广东省潮州市饶平县钱东镇黄冈大道李厝村26号</t>
  </si>
  <si>
    <t>韦峰</t>
  </si>
  <si>
    <t>虎宾成</t>
  </si>
  <si>
    <t>宁夏银川市金凤区正源南街宝湖锦园102营业房</t>
  </si>
  <si>
    <t>宁夏银川市金凤区福州南街福通小区九号楼302</t>
  </si>
  <si>
    <t>罗小东</t>
  </si>
  <si>
    <t>任明磊</t>
  </si>
  <si>
    <t>李之杰</t>
  </si>
  <si>
    <t>蒋瀚锋</t>
  </si>
  <si>
    <t>吴业兴</t>
  </si>
  <si>
    <t>魏小宝</t>
  </si>
  <si>
    <t>勉县老夜市凯撒音乐之都</t>
  </si>
  <si>
    <t>陕西省汉中市勉县新铺镇菜坝沟村三组028号</t>
  </si>
  <si>
    <t>张文金</t>
  </si>
  <si>
    <t>赵百六</t>
  </si>
  <si>
    <t>浙江省台州市玉环县玉城街道钱塘洋村</t>
  </si>
  <si>
    <t>浙江省台州市玉环县玉城街道环东中路2号</t>
  </si>
  <si>
    <t>周广辉</t>
  </si>
  <si>
    <t>司静</t>
  </si>
  <si>
    <t>储著林</t>
  </si>
  <si>
    <t>魏永群</t>
  </si>
  <si>
    <t>黄林武</t>
  </si>
  <si>
    <t>顾圣懿</t>
  </si>
  <si>
    <t>邱兆清</t>
  </si>
  <si>
    <t>福建省宁德市古田县建设路4号外贸大厦2层</t>
  </si>
  <si>
    <t>福建省宁德市古田县城东街道坑里村前街13号</t>
  </si>
  <si>
    <t>何超超</t>
  </si>
  <si>
    <t>忽其林</t>
  </si>
  <si>
    <t>陈焕飘</t>
  </si>
  <si>
    <t>温学丹</t>
  </si>
  <si>
    <t>王继国</t>
  </si>
  <si>
    <t>浙江省湖州市吴兴区二环西路776号</t>
  </si>
  <si>
    <t>浙江省湖州市吴兴区凤凰路太阳城12栋2单元5905室</t>
  </si>
  <si>
    <t>翁云锋</t>
  </si>
  <si>
    <t>袁黎一帆</t>
  </si>
  <si>
    <t>陈有祥</t>
  </si>
  <si>
    <t>林木丽</t>
  </si>
  <si>
    <t>勾金波</t>
  </si>
  <si>
    <t>蔡克新</t>
  </si>
  <si>
    <t>王晓刚</t>
  </si>
  <si>
    <t>区洁平</t>
  </si>
  <si>
    <t>何纯辉</t>
  </si>
  <si>
    <t>广东省河源市源城区源南镇双下村桂山路口旁</t>
  </si>
  <si>
    <t>广东省河源市源城区源南镇双下村桂山路口旁宿舍206室</t>
  </si>
  <si>
    <t>何申贤</t>
  </si>
  <si>
    <t>福建省福州市福清市龙江街道龙江路336号骏洋厂</t>
  </si>
  <si>
    <t>福建省福州市福清市龙江街道龙江路336号</t>
  </si>
  <si>
    <t>毛新</t>
  </si>
  <si>
    <t>何法伟</t>
  </si>
  <si>
    <t>广东省清远市清新县广东省清远市清新区太平镇太平工业园</t>
  </si>
  <si>
    <t>广东省清远市清新县广东省清远市清新区太平镇冯屋村</t>
  </si>
  <si>
    <t>钟金惠</t>
  </si>
  <si>
    <t>周国林</t>
  </si>
  <si>
    <t>汪自泳</t>
  </si>
  <si>
    <t>郑袁</t>
  </si>
  <si>
    <t>涂晓芳</t>
  </si>
  <si>
    <t>黄志峰</t>
  </si>
  <si>
    <t>范德梦</t>
  </si>
  <si>
    <t>韦丽敏</t>
  </si>
  <si>
    <t>张晓庆</t>
  </si>
  <si>
    <t>陈登熠</t>
  </si>
  <si>
    <t>胡银彩</t>
  </si>
  <si>
    <t>镇军</t>
  </si>
  <si>
    <t>梁锡斌</t>
  </si>
  <si>
    <t>吴东升</t>
  </si>
  <si>
    <t>陈焕志</t>
  </si>
  <si>
    <t>洪小杨</t>
  </si>
  <si>
    <t>澎祥松</t>
  </si>
  <si>
    <t>蒋正虎</t>
  </si>
  <si>
    <t>刘雪妃</t>
  </si>
  <si>
    <t>陈庆庆</t>
  </si>
  <si>
    <t>吴华平</t>
  </si>
  <si>
    <t>安徽省合肥市蜀山区经开区华宇未来城14栋110</t>
  </si>
  <si>
    <t>胡加康</t>
  </si>
  <si>
    <t>闫佳明</t>
  </si>
  <si>
    <t>张妙珍</t>
  </si>
  <si>
    <t>海南省海口市秀英区高新区药谷一路11号</t>
  </si>
  <si>
    <t>黄炳扬</t>
  </si>
  <si>
    <t>广东省东莞市石碣镇西南村深潭路10号4楼</t>
  </si>
  <si>
    <t>广东省东莞市石碣镇西南村龙眼路19号</t>
  </si>
  <si>
    <t>李俊海</t>
  </si>
  <si>
    <t>郝继北</t>
  </si>
  <si>
    <t>李友平</t>
  </si>
  <si>
    <t>顾茂新</t>
  </si>
  <si>
    <t>李栋</t>
  </si>
  <si>
    <t>徐润娇</t>
  </si>
  <si>
    <t>徐振财</t>
  </si>
  <si>
    <t>莫崇</t>
  </si>
  <si>
    <t>王星斌</t>
  </si>
  <si>
    <t>重庆市重庆市云阳县重庆市云阳县人和镇人和大道25号</t>
  </si>
  <si>
    <t>重庆市重庆市云阳县重庆市云阳县人和镇木古村九组</t>
  </si>
  <si>
    <t>杞明龙</t>
  </si>
  <si>
    <t>广东省惠州市博罗县龙溪镇龙岗大道</t>
  </si>
  <si>
    <t>云南省昆明市石林彝族自治县鹿阜镇路美邑村</t>
  </si>
  <si>
    <t>田皓</t>
  </si>
  <si>
    <t>莫廷二</t>
  </si>
  <si>
    <t>贺明堂</t>
  </si>
  <si>
    <t>郭雷</t>
  </si>
  <si>
    <t>赵永平</t>
  </si>
  <si>
    <t>段春萍</t>
  </si>
  <si>
    <t>冯练</t>
  </si>
  <si>
    <t>王喜科</t>
  </si>
  <si>
    <t>杨子凡</t>
  </si>
  <si>
    <t>路姗姗</t>
  </si>
  <si>
    <t>周立</t>
  </si>
  <si>
    <t>江苏省盐城市大丰市草堰镇双垛村十组</t>
  </si>
  <si>
    <t>江苏省盐城市大丰市新丰镇乐丰村四组35号</t>
  </si>
  <si>
    <t>侯俊杰</t>
  </si>
  <si>
    <t>王乐康</t>
  </si>
  <si>
    <t>河北省沧州市新华区永辉新天地21栋11号商铺</t>
  </si>
  <si>
    <t>河北省沧州市东光县河北省东光县综合市场13号楼四单元301室</t>
  </si>
  <si>
    <t>王伟超</t>
  </si>
  <si>
    <t>史斌</t>
  </si>
  <si>
    <t>俞树昌</t>
  </si>
  <si>
    <t>甘肃省兰州市城关区骆驼滩恒驰汽车用品城103</t>
  </si>
  <si>
    <t>甘肃省兰州市城关区北面滩389</t>
  </si>
  <si>
    <t>张花娟</t>
  </si>
  <si>
    <t>廖世钦</t>
  </si>
  <si>
    <t>梁文聪</t>
  </si>
  <si>
    <t>孙艳丽</t>
  </si>
  <si>
    <t>梁桂海</t>
  </si>
  <si>
    <t>广东省佛山市南海区狮山镇科技大道东36号-1</t>
  </si>
  <si>
    <t>广东省佛山市南海区狮山镇招大招南六巷3号</t>
  </si>
  <si>
    <t>宋国震</t>
  </si>
  <si>
    <t>陈蛟龙</t>
  </si>
  <si>
    <t>项灵敏</t>
  </si>
  <si>
    <t>柳忠卫</t>
  </si>
  <si>
    <t>钱科龙</t>
  </si>
  <si>
    <t>刘帅含</t>
  </si>
  <si>
    <t>内蒙古赤峰市红山区火车站出站口东20米路北</t>
  </si>
  <si>
    <t>内蒙古赤峰市红山区五中街电业小区4号楼1单元4楼142室</t>
  </si>
  <si>
    <t>董川港</t>
  </si>
  <si>
    <t>陈海兰</t>
  </si>
  <si>
    <t>贾佳佳</t>
  </si>
  <si>
    <t>河南省驻马店市西平县环城乡王店村委贾庄58号</t>
  </si>
  <si>
    <t>尚南南</t>
  </si>
  <si>
    <t>赵晨伟</t>
  </si>
  <si>
    <t>陈秀聪</t>
  </si>
  <si>
    <t>毛智勇</t>
  </si>
  <si>
    <t>陈叶海</t>
  </si>
  <si>
    <t>王佶</t>
  </si>
  <si>
    <t>吴同炜</t>
  </si>
  <si>
    <t>顾海林</t>
  </si>
  <si>
    <t>周劲羽</t>
  </si>
  <si>
    <t>蔡建伟</t>
  </si>
  <si>
    <t>周文川</t>
  </si>
  <si>
    <t>郭永林</t>
  </si>
  <si>
    <t>任俊炜</t>
  </si>
  <si>
    <t>广东省深圳市罗湖区中山横栏镇长安北路153号</t>
  </si>
  <si>
    <t>湖南省常德市安乡县常德市安乡县下鱼口镇国兴13组130008号</t>
  </si>
  <si>
    <t>袁仁峰</t>
  </si>
  <si>
    <t>刘勇喜</t>
  </si>
  <si>
    <t>张炎凯</t>
  </si>
  <si>
    <t>河南省郑州市新郑市航空港区迎宾大道206号西段28号</t>
  </si>
  <si>
    <t>河南省郑州市新郑市航空港区润丰锦尚7号楼10楼西户</t>
  </si>
  <si>
    <t>张明月</t>
  </si>
  <si>
    <t>陈霄</t>
  </si>
  <si>
    <t>陕西省西安市灞桥区席王街道办席王村</t>
  </si>
  <si>
    <t>陕西省西安市新城区席王街道办席王村</t>
  </si>
  <si>
    <t>卢志鹏</t>
  </si>
  <si>
    <t>江苏省徐州市云龙区万达写字楼B座1408</t>
  </si>
  <si>
    <t>江苏省徐州市鼓楼区殷庄社区236号</t>
  </si>
  <si>
    <t>河北省秦皇岛市海港区大龙道小区六号楼一单元</t>
  </si>
  <si>
    <t>河北省秦皇岛市海港区工人街向阳苑一号楼一单元四号</t>
  </si>
  <si>
    <t>梁丹</t>
  </si>
  <si>
    <t>湖北省武汉市青山区工人村路钢谷建材城28幢</t>
  </si>
  <si>
    <t>湖北省武汉市青山区建设十一路七星天兴花园31栋604</t>
  </si>
  <si>
    <t>兰均</t>
  </si>
  <si>
    <t>缪旭阳</t>
  </si>
  <si>
    <t>蔡海飞</t>
  </si>
  <si>
    <t>刘晓刚</t>
  </si>
  <si>
    <t>林彬彬</t>
  </si>
  <si>
    <t>肖子渊</t>
  </si>
  <si>
    <t>朱先锋</t>
  </si>
  <si>
    <t>胡贻闻</t>
  </si>
  <si>
    <t>杨苗</t>
  </si>
  <si>
    <t>杨小娟</t>
  </si>
  <si>
    <t>王兆雄</t>
  </si>
  <si>
    <t>杨海君</t>
  </si>
  <si>
    <t>罗志钊</t>
  </si>
  <si>
    <t>李双彩</t>
  </si>
  <si>
    <t>云南省玉溪市红塔区北城镇榕昌街80号</t>
  </si>
  <si>
    <t>云南省玉溪市澄江县右所镇旧城村委会跨马村55号</t>
  </si>
  <si>
    <t>刘莹莹</t>
  </si>
  <si>
    <t>河南省驻马店市驿城区金河街道与通达路交叉口迪斯尼欢乐城2楼</t>
  </si>
  <si>
    <t>河南省驻马店市驿城区文明路与迅达路交叉口养生园小区6号楼701室</t>
  </si>
  <si>
    <t>陈佳丰</t>
  </si>
  <si>
    <t>戴菲菲</t>
  </si>
  <si>
    <t>黄国航</t>
  </si>
  <si>
    <t>潘玉清</t>
  </si>
  <si>
    <t>山东省烟台市莱州市莱州市沙河镇路旺</t>
  </si>
  <si>
    <t>山东省烟台市莱州市莱州市山水国际1201</t>
  </si>
  <si>
    <t>刘有良</t>
  </si>
  <si>
    <t>北京市北京市昌平区昌平区回龙观镇科星西路106号院2号楼12层1201</t>
  </si>
  <si>
    <t>北京市北京市平谷区山东庄镇大北关北街217号</t>
  </si>
  <si>
    <t>蔡晓君</t>
  </si>
  <si>
    <t>湖北省鄂州市鄂城区西山街办鄂钢桥村五组</t>
  </si>
  <si>
    <t>湖北省鄂州市鄂城区武昌大道化工小区18栋1单元101</t>
  </si>
  <si>
    <t>赵猛龙</t>
  </si>
  <si>
    <t>内蒙古赤峰市巴林左旗林东镇党政综合楼C座215室</t>
  </si>
  <si>
    <t>内蒙古赤峰市巴林左旗林东镇京华小区八号楼四单元602室</t>
  </si>
  <si>
    <t>胡美云</t>
  </si>
  <si>
    <t>山东省荷泽市东明县渔沃办事处对过</t>
  </si>
  <si>
    <t>山东省荷泽市东明县五四路东31号</t>
  </si>
  <si>
    <t>柯国兴</t>
  </si>
  <si>
    <t>上海市上海市宝山区上海市宝山区毛家路125弄79号</t>
  </si>
  <si>
    <t>上海市上海市嘉定区上海市嘉定区徐行镇钱桥村二组556号</t>
  </si>
  <si>
    <t>江志颖</t>
  </si>
  <si>
    <t>四川省成都市成华区成华区双林南支路22号附7号</t>
  </si>
  <si>
    <t>四川省成都市成华区成都市成华区上东三期6栋</t>
  </si>
  <si>
    <t>覃连军</t>
  </si>
  <si>
    <t>向承键</t>
  </si>
  <si>
    <t>重庆市重庆市璧山县福顺大道6号</t>
  </si>
  <si>
    <t>重庆市重庆市璧山县机电学院还建房3栋4单元302</t>
  </si>
  <si>
    <t>朱兵</t>
  </si>
  <si>
    <t>李福良</t>
  </si>
  <si>
    <t>夏青</t>
  </si>
  <si>
    <t>于杰</t>
  </si>
  <si>
    <t>薛学纪</t>
  </si>
  <si>
    <t>任寿艳</t>
  </si>
  <si>
    <t>程利峰</t>
  </si>
  <si>
    <t>山西省晋中市榆次区山西省晋中市榆次区乌金山官窑煤业有限公司</t>
  </si>
  <si>
    <t>山西省晋中市榆次区山西省晋中市榆次区蕴华街电机厂宿舍二号楼1单元102室</t>
  </si>
  <si>
    <t>杨贺天</t>
  </si>
  <si>
    <t>王祖凤</t>
  </si>
  <si>
    <t>董孬旦</t>
  </si>
  <si>
    <t>吕宁</t>
  </si>
  <si>
    <t>河南省驻马店市驿城区文明大道南段尚品名烟名酒</t>
  </si>
  <si>
    <t>河南省驻马店市驿城区南海安楼村委安楼北组149号</t>
  </si>
  <si>
    <t>戚斯睿</t>
  </si>
  <si>
    <t>高飞</t>
  </si>
  <si>
    <t>李洪斌</t>
  </si>
  <si>
    <t>苏丽娜</t>
  </si>
  <si>
    <t>毕舒为</t>
  </si>
  <si>
    <t>肖尧</t>
  </si>
  <si>
    <t>黄光昱</t>
  </si>
  <si>
    <t>杨哲</t>
  </si>
  <si>
    <t>李敏君</t>
  </si>
  <si>
    <t>滕存国</t>
  </si>
  <si>
    <t>罗鑫</t>
  </si>
  <si>
    <t>韩利霞</t>
  </si>
  <si>
    <t>河南省安阳市安阳县吕村镇吕村蓝天小学东350米</t>
  </si>
  <si>
    <t>河南省安阳市安阳县吕村镇吕村集村西大街8号</t>
  </si>
  <si>
    <t>聂文教</t>
  </si>
  <si>
    <t>留健</t>
  </si>
  <si>
    <t>浙江省丽水市青田县新大街29号</t>
  </si>
  <si>
    <t>浙江省丽水市青田县鹤城镇西门外江桥路44号</t>
  </si>
  <si>
    <t>程苏伟</t>
  </si>
  <si>
    <t>肖兴磊</t>
  </si>
  <si>
    <t>朱增年</t>
  </si>
  <si>
    <t>信东钧</t>
  </si>
  <si>
    <t>刘贺</t>
  </si>
  <si>
    <t>蔡长</t>
  </si>
  <si>
    <t>刘冬阳</t>
  </si>
  <si>
    <t>赵旭东</t>
  </si>
  <si>
    <t>向洪</t>
  </si>
  <si>
    <t>重庆市重庆市渝中区解放碑201号</t>
  </si>
  <si>
    <t>重庆市重庆市沙坪坝区中梁镇龙泉村龙井湾组49号</t>
  </si>
  <si>
    <t>高敏聪</t>
  </si>
  <si>
    <t>赵振伟</t>
  </si>
  <si>
    <t>黄坚洲</t>
  </si>
  <si>
    <t>张明杰</t>
  </si>
  <si>
    <t>辽宁省沈阳市和平区中山路111号1433</t>
  </si>
  <si>
    <t>辽宁省沈阳市和平区和平北大街九纬路保环社区1号楼3单元501</t>
  </si>
  <si>
    <t>许豪男</t>
  </si>
  <si>
    <t>福建省泉州市晋江市安海镇可慕村工业区116号</t>
  </si>
  <si>
    <t>福建省泉州市晋江市安海镇可慕村金相级制革有限公司</t>
  </si>
  <si>
    <t>孙建君</t>
  </si>
  <si>
    <t>甘肃省兰州市红古区平安路12号</t>
  </si>
  <si>
    <t>甘肃省兰州市安宁区文化巷37号</t>
  </si>
  <si>
    <t>江亮亮</t>
  </si>
  <si>
    <t>张海达</t>
  </si>
  <si>
    <t>郭旻晨</t>
  </si>
  <si>
    <t>季清兰</t>
  </si>
  <si>
    <t>李洪勋</t>
  </si>
  <si>
    <t>靳二超</t>
  </si>
  <si>
    <t>陈德才</t>
  </si>
  <si>
    <t>杨彬</t>
  </si>
  <si>
    <t>张晓美</t>
  </si>
  <si>
    <t>辽宁省鞍山市铁西区达到湾达旗街22</t>
  </si>
  <si>
    <t>辽宁省鞍山市铁西区十道街二十七栋三单元302</t>
  </si>
  <si>
    <t>高永赵</t>
  </si>
  <si>
    <t>海南省三亚市庄大村</t>
  </si>
  <si>
    <t>海南省三亚市海南省三亚市海棠湾镇庄大村</t>
  </si>
  <si>
    <t>陆飞</t>
  </si>
  <si>
    <t>刘昱辰</t>
  </si>
  <si>
    <t>吴林</t>
  </si>
  <si>
    <t>郭秀琴</t>
  </si>
  <si>
    <t>曹裕卫</t>
  </si>
  <si>
    <t>凌永鹏</t>
  </si>
  <si>
    <t>李品芳</t>
  </si>
  <si>
    <t>贾力</t>
  </si>
  <si>
    <t>钱云华</t>
  </si>
  <si>
    <t>刘珩靓</t>
  </si>
  <si>
    <t>湖北省武汉市江汉区常青路66号</t>
  </si>
  <si>
    <t>湖北省武汉市硚口区古田四路香港印象15栋806室</t>
  </si>
  <si>
    <t>秦鹏</t>
  </si>
  <si>
    <t>湖北省十堰市竹溪县城关镇人民路69号</t>
  </si>
  <si>
    <t>湖北省十堰市竹溪县城关镇新广场好来屋超市楼上501室</t>
  </si>
  <si>
    <t>王生河</t>
  </si>
  <si>
    <t>陈锦</t>
  </si>
  <si>
    <t>贵州省遵义市红花岗区国酒南路126号</t>
  </si>
  <si>
    <t>贵州省遵义市仁怀市贵州省遵义市仁怀市国酒中路665号盛圆商埠8栋2单元802</t>
  </si>
  <si>
    <t>刘袁江</t>
  </si>
  <si>
    <t>冯群</t>
  </si>
  <si>
    <t>陈上桂</t>
  </si>
  <si>
    <t>董安安</t>
  </si>
  <si>
    <t>陈业盛</t>
  </si>
  <si>
    <t>蒲希</t>
  </si>
  <si>
    <t>董超</t>
  </si>
  <si>
    <t>陕西省西安市莲湖区桃园北路258号鑫苑大都会7-10113</t>
  </si>
  <si>
    <t>陕西省西安市未央区矿山路上东大道小区8号楼905</t>
  </si>
  <si>
    <t>雷华高</t>
  </si>
  <si>
    <t>冯铭杰</t>
  </si>
  <si>
    <t>石广聪</t>
  </si>
  <si>
    <t>曹天鹏</t>
  </si>
  <si>
    <t>袁能</t>
  </si>
  <si>
    <t>车伟伟</t>
  </si>
  <si>
    <t>邢晓丽</t>
  </si>
  <si>
    <t>李健炜</t>
  </si>
  <si>
    <t>刘庆辉</t>
  </si>
  <si>
    <t>张开敏</t>
  </si>
  <si>
    <t>郑鹏程</t>
  </si>
  <si>
    <t>上海市上海市青浦区崧泽大道7699号</t>
  </si>
  <si>
    <t>上海市上海市青浦区崧泽华城秀娟路338弄</t>
  </si>
  <si>
    <t>朱海艳</t>
  </si>
  <si>
    <t>甘肃省张掖市甘州区东大街煌嘉一楼</t>
  </si>
  <si>
    <t>甘肃省张掖市甘州区梁家墩镇太和村六社</t>
  </si>
  <si>
    <t>刘佳文</t>
  </si>
  <si>
    <t>孙锦培</t>
  </si>
  <si>
    <t>海南省海口市琼山区海南省海口市琼山区南海大道9号明光国际大厦一层</t>
  </si>
  <si>
    <t>海南省海口市龙华区龙昆南路88号和信广场6栋1201室</t>
  </si>
  <si>
    <t>蒋彦夫</t>
  </si>
  <si>
    <t>蒋英杰</t>
  </si>
  <si>
    <t>魏奔</t>
  </si>
  <si>
    <t>王佩君</t>
  </si>
  <si>
    <t>彭康键</t>
  </si>
  <si>
    <t>广东省深圳市龙岗区南联恒裕科技园区T栋一楼</t>
  </si>
  <si>
    <t>广东省深圳市龙岗区南联恒裕科技园区T栋五楼511号</t>
  </si>
  <si>
    <t>刁彬</t>
  </si>
  <si>
    <t>山西省晋中市榆次区晋中万达广场556号</t>
  </si>
  <si>
    <t>山西省晋中市榆次区唐宁大道二期一单元1202</t>
  </si>
  <si>
    <t>陈久东</t>
  </si>
  <si>
    <t>谭薇</t>
  </si>
  <si>
    <t>史宏峰</t>
  </si>
  <si>
    <t>邓高慧</t>
  </si>
  <si>
    <t>湖北省武汉市汉阳区龙阳大道特15号汉商21购物中心</t>
  </si>
  <si>
    <t>湖北省武汉市汉阳区鹦鹉大道373号18栋1单元301</t>
  </si>
  <si>
    <t>关星鹏</t>
  </si>
  <si>
    <t>王振南</t>
  </si>
  <si>
    <t>张少煜</t>
  </si>
  <si>
    <t>胡佳伟</t>
  </si>
  <si>
    <t>浙江省嘉兴市桐乡市桐乡市和平路632号</t>
  </si>
  <si>
    <t>浙江省嘉兴市桐乡市大麻镇永丰村胡家庄14号</t>
  </si>
  <si>
    <t>张烨</t>
  </si>
  <si>
    <t>赵水平</t>
  </si>
  <si>
    <t>冯再霞</t>
  </si>
  <si>
    <t>山东省济宁市汶上县杨店镇彩山村东200米</t>
  </si>
  <si>
    <t>山东省济宁市汶上县北一环路北辰花园小区13栋一单元102室</t>
  </si>
  <si>
    <t>覃显杰</t>
  </si>
  <si>
    <t>肖特</t>
  </si>
  <si>
    <t>陶宇星</t>
  </si>
  <si>
    <t>陆冰慧</t>
  </si>
  <si>
    <t>崔璐璐</t>
  </si>
  <si>
    <t>向雯</t>
  </si>
  <si>
    <t>高献坤</t>
  </si>
  <si>
    <t>杨世金</t>
  </si>
  <si>
    <t>吴万友</t>
  </si>
  <si>
    <t>刘斌杰</t>
  </si>
  <si>
    <t>宋德领</t>
  </si>
  <si>
    <t>广东省深圳市宝安区观澜牛湖高尔夫大道228号</t>
  </si>
  <si>
    <t>广东省深圳市宝安区观澜新田谷湖龙二村32栋403</t>
  </si>
  <si>
    <t>孙丹</t>
  </si>
  <si>
    <t>黄镜毅</t>
  </si>
  <si>
    <t>广东省江门市新会区永安花园12号106</t>
  </si>
  <si>
    <t>广东省江门市新会区会城冈州大道中15号</t>
  </si>
  <si>
    <t>林鑫鹏</t>
  </si>
  <si>
    <t>孙琴琴</t>
  </si>
  <si>
    <t>申江涛</t>
  </si>
  <si>
    <t>王里</t>
  </si>
  <si>
    <t>刘佳城</t>
  </si>
  <si>
    <t>陈庆奎</t>
  </si>
  <si>
    <t>韩精妹</t>
  </si>
  <si>
    <t>贵州省毕节市大方县七星关区威西路4号门面</t>
  </si>
  <si>
    <t>贵州省毕节市大方县七星关区文峰路701号</t>
  </si>
  <si>
    <t>张启辉</t>
  </si>
  <si>
    <t>郭双</t>
  </si>
  <si>
    <t>蒋进义</t>
  </si>
  <si>
    <t>叶俊斌</t>
  </si>
  <si>
    <t>梁玉贤</t>
  </si>
  <si>
    <t>曹光吉</t>
  </si>
  <si>
    <t>毛洁文</t>
  </si>
  <si>
    <t>郑铭</t>
  </si>
  <si>
    <t>张一帆</t>
  </si>
  <si>
    <t>陕西省渭南市临渭区信达世纪购物中心</t>
  </si>
  <si>
    <t>陕西省渭南市临渭区步前社区三组</t>
  </si>
  <si>
    <t>王艺潼</t>
  </si>
  <si>
    <t>王振芳</t>
  </si>
  <si>
    <t>广西玉林市兴业县北市容塘</t>
  </si>
  <si>
    <t>广西玉林市博白县人民中路115号</t>
  </si>
  <si>
    <t>何芳名</t>
  </si>
  <si>
    <t>陈国虎</t>
  </si>
  <si>
    <t>杨振雪</t>
  </si>
  <si>
    <t>周佩茵</t>
  </si>
  <si>
    <t>陈孪霁</t>
  </si>
  <si>
    <t>李二辉</t>
  </si>
  <si>
    <t>章烈楚</t>
  </si>
  <si>
    <t>武冉阳</t>
  </si>
  <si>
    <t>山西省太原市杏花岭区胜利街1号</t>
  </si>
  <si>
    <t>山西省太原市小店区滨河东路北段12号院8号楼3单元9号</t>
  </si>
  <si>
    <t>尹健</t>
  </si>
  <si>
    <t>广东省深圳市宝安区大浪街道石凹同富工业区11栋</t>
  </si>
  <si>
    <t>广东省深圳市宝安区大浪街道赖屋山东区52栋</t>
  </si>
  <si>
    <t>杨佳新</t>
  </si>
  <si>
    <t>戴志跃</t>
  </si>
  <si>
    <t>何应钦</t>
  </si>
  <si>
    <t>内蒙古鄂尔多斯市东胜区棋盘井镇双欣大酒店</t>
  </si>
  <si>
    <t>内蒙古鄂尔多斯市鄂托克旗棋盘井镇御景园七号楼三单元102</t>
  </si>
  <si>
    <t>龚德均</t>
  </si>
  <si>
    <t>钟承波</t>
  </si>
  <si>
    <t>曾海</t>
  </si>
  <si>
    <t>四川省成都市彭州市四川省彭州市濛阳镇凤凰大道濛阳镇镇政府第三办公区</t>
  </si>
  <si>
    <t>四川省成都市彭州市四川省彭州市濛阳镇凤霞3组27号</t>
  </si>
  <si>
    <t>浙江省嘉兴市秀洲区运河路989号二幢</t>
  </si>
  <si>
    <t>段亚森</t>
  </si>
  <si>
    <t>汤宁宁</t>
  </si>
  <si>
    <t>田永鹏</t>
  </si>
  <si>
    <t>毛奇</t>
  </si>
  <si>
    <t>向君</t>
  </si>
  <si>
    <t>广东省深圳市福田区侨香大道国华大厦5栋306</t>
  </si>
  <si>
    <t>广东省深圳市南山区南山大道奥海明村366</t>
  </si>
  <si>
    <t>牟国强</t>
  </si>
  <si>
    <t>高星</t>
  </si>
  <si>
    <t>胡世均</t>
  </si>
  <si>
    <t>范利辉</t>
  </si>
  <si>
    <t>刘天罡</t>
  </si>
  <si>
    <t>简莹莹</t>
  </si>
  <si>
    <t>钟艺珉</t>
  </si>
  <si>
    <t>肖娴</t>
  </si>
  <si>
    <t>温善恒</t>
  </si>
  <si>
    <t>吴小芳</t>
  </si>
  <si>
    <t>李勇超</t>
  </si>
  <si>
    <t>袁宇</t>
  </si>
  <si>
    <t>湖南省常德市鼎城区桥南工业园洪福路以北永兴路以西</t>
  </si>
  <si>
    <t>湖南省常德市鼎城区武陵镇郭家溶村二组28号</t>
  </si>
  <si>
    <t>贾庆</t>
  </si>
  <si>
    <t>周扬</t>
  </si>
  <si>
    <t>林明森</t>
  </si>
  <si>
    <t>唐晓明</t>
  </si>
  <si>
    <t>陶慈</t>
  </si>
  <si>
    <t>杨白雪</t>
  </si>
  <si>
    <t>罗玉锋</t>
  </si>
  <si>
    <t>吴建拷</t>
  </si>
  <si>
    <t>刘九龙</t>
  </si>
  <si>
    <t>曾纪荣</t>
  </si>
  <si>
    <t>江西省赣州市于都县贡江镇西入口1031-4</t>
  </si>
  <si>
    <t>江西省赣州市于都县禾丰镇园领村新中组老屋1号</t>
  </si>
  <si>
    <t>邱建</t>
  </si>
  <si>
    <t>重庆市重庆市渝中区管家巷9号</t>
  </si>
  <si>
    <t>重庆市重庆市南岸区南坪五小区海韵豪园</t>
  </si>
  <si>
    <t>李瑶瑶</t>
  </si>
  <si>
    <t>史文劲</t>
  </si>
  <si>
    <t>陕西省西安市新城区万寿北路76号</t>
  </si>
  <si>
    <t>陕西省西安市新城区太乙路太乙嘉园A座1104</t>
  </si>
  <si>
    <t>张小龙</t>
  </si>
  <si>
    <t>刘膑</t>
  </si>
  <si>
    <t>丁亚伟</t>
  </si>
  <si>
    <t>山东省济宁市兖州市兴隆镇兴隆路8号</t>
  </si>
  <si>
    <t>山东省济宁市兖州市兴隆镇魏井村77号</t>
  </si>
  <si>
    <t>黄新态</t>
  </si>
  <si>
    <t>广东省惠州市惠东县大领镇沙梨园工业区花果场10号门牌</t>
  </si>
  <si>
    <t>广东省惠东县大领镇老桥头老公路5号门牌</t>
  </si>
  <si>
    <t>王启威</t>
  </si>
  <si>
    <t>张秋博</t>
  </si>
  <si>
    <t>董涛</t>
  </si>
  <si>
    <t>安徽省合肥市蜀山区望江西路交叉口万科金色明君小区物业办公室</t>
  </si>
  <si>
    <t>安徽省合肥市长丰县双墩镇北城世纪城二期吉徽苑16栋2904室</t>
  </si>
  <si>
    <t>刘罗生</t>
  </si>
  <si>
    <t>湖南省长沙市长沙县星沙二区兴隆路58栋485号</t>
  </si>
  <si>
    <t>湖南省长沙市长沙县星沙二区兴隆路59栋486号</t>
  </si>
  <si>
    <t>山东省莱芜市莱城区文化南路8号</t>
  </si>
  <si>
    <t>山东省莱芜市莱城区鹏泉街道办事处郭家庄村古槐东路71号</t>
  </si>
  <si>
    <t>王小文</t>
  </si>
  <si>
    <t>黄壮</t>
  </si>
  <si>
    <t>邱鑫祥</t>
  </si>
  <si>
    <t>王驰阔</t>
  </si>
  <si>
    <t>曹文婧</t>
  </si>
  <si>
    <t>麻富宏</t>
  </si>
  <si>
    <t>严加珍</t>
  </si>
  <si>
    <t>山东省济宁市汶上县杨店镇彩山村东南首</t>
  </si>
  <si>
    <t>山东省济宁市汶上县北一环路北辰花园小区</t>
  </si>
  <si>
    <t>范华明</t>
  </si>
  <si>
    <t>福建省泉州市鲤城区泉秀街道26号</t>
  </si>
  <si>
    <t>福建省泉州市丰泽区院前村院前路14号</t>
  </si>
  <si>
    <t>华锦</t>
  </si>
  <si>
    <t>浙江省杭州市江干区下沙金沙湖一号3栋1103</t>
  </si>
  <si>
    <t>浙江省杭州市江干区下沙财通中心1617</t>
  </si>
  <si>
    <t>范冰</t>
  </si>
  <si>
    <t>江苏省无锡市锡山区东亭中路10号</t>
  </si>
  <si>
    <t>江苏省无锡市锡山区东亭柏木南苑小区27栋</t>
  </si>
  <si>
    <t>龚平安</t>
  </si>
  <si>
    <t>李议论</t>
  </si>
  <si>
    <t>沈栋栋</t>
  </si>
  <si>
    <t>雷利雄</t>
  </si>
  <si>
    <t>白钢</t>
  </si>
  <si>
    <t>河南省郑州市金水区郑州市金水区翠花路7号华林都市家园24号</t>
  </si>
  <si>
    <t>河南省郑州市金水区华林都市家园5号楼2单元701室</t>
  </si>
  <si>
    <t>何从熙</t>
  </si>
  <si>
    <t>汪怡芝</t>
  </si>
  <si>
    <t>邱枫</t>
  </si>
  <si>
    <t>陈莺</t>
  </si>
  <si>
    <t>任广坤</t>
  </si>
  <si>
    <t>郑斌</t>
  </si>
  <si>
    <t>黄煦棠</t>
  </si>
  <si>
    <t>于绘勤</t>
  </si>
  <si>
    <t>梁尚辉</t>
  </si>
  <si>
    <t>赵廷鹏</t>
  </si>
  <si>
    <t>青海省海西蒙古族藏族自治州德令哈市大柴旦行委饮马峡工业园区</t>
  </si>
  <si>
    <t>青海省海西蒙古族藏族自治州乌兰县柯柯镇兴乐村一社</t>
  </si>
  <si>
    <t>万连杰</t>
  </si>
  <si>
    <t>叶春雨</t>
  </si>
  <si>
    <t>上海市上海市长宁区共和新路4710号</t>
  </si>
  <si>
    <t>江苏省宿迁市沭阳县上海市三林镇联丰村徐隆昌队徐隆昌143号109室</t>
  </si>
  <si>
    <t>吴育潮</t>
  </si>
  <si>
    <t>王仁军</t>
  </si>
  <si>
    <t>陈世镇</t>
  </si>
  <si>
    <t>郭星</t>
  </si>
  <si>
    <t>雷佳</t>
  </si>
  <si>
    <t>李承鑫</t>
  </si>
  <si>
    <t>熊文武</t>
  </si>
  <si>
    <t>贾向波</t>
  </si>
  <si>
    <t>温明润</t>
  </si>
  <si>
    <t>袁彤彤</t>
  </si>
  <si>
    <t>黄健均</t>
  </si>
  <si>
    <t>杨仪宇</t>
  </si>
  <si>
    <t>福建省泉州市鲤城区南环路元福北路一号</t>
  </si>
  <si>
    <t>张浩男</t>
  </si>
  <si>
    <t>郭睿</t>
  </si>
  <si>
    <t>李云昆</t>
  </si>
  <si>
    <t>梁仕宇</t>
  </si>
  <si>
    <t>邓焕文</t>
  </si>
  <si>
    <t>龙也</t>
  </si>
  <si>
    <t>钟岩勇</t>
  </si>
  <si>
    <t>吴瑞海</t>
  </si>
  <si>
    <t>袁燊</t>
  </si>
  <si>
    <t>李其光</t>
  </si>
  <si>
    <t>王俊锟</t>
  </si>
  <si>
    <t>辽宁省抚顺市新宾满族自治县新宾镇胜利路23号</t>
  </si>
  <si>
    <t>辽宁省抚顺市新抚区新宾镇肇兴路109-2栋8号</t>
  </si>
  <si>
    <t>李忠磊</t>
  </si>
  <si>
    <t>梅雪</t>
  </si>
  <si>
    <t>杨文春</t>
  </si>
  <si>
    <t>侯佳</t>
  </si>
  <si>
    <t>贵州省六盘水市钟山区聚伦大厦</t>
  </si>
  <si>
    <t>贵州省六盘水市钟山区凤凰山怡景小区</t>
  </si>
  <si>
    <t>杨亚卫</t>
  </si>
  <si>
    <t>周海阳</t>
  </si>
  <si>
    <t>周海锋</t>
  </si>
  <si>
    <t>林合良</t>
  </si>
  <si>
    <t>福建省泉州市泉港区福炼生活区南区25栋</t>
  </si>
  <si>
    <t>福建省泉州市泉港区山腰东方明珠35栋806室</t>
  </si>
  <si>
    <t>林瑞明</t>
  </si>
  <si>
    <t>郑彩霞</t>
  </si>
  <si>
    <t>张晓天</t>
  </si>
  <si>
    <t>陈乙宁</t>
  </si>
  <si>
    <t>叶蕾</t>
  </si>
  <si>
    <t>浙江省温州市鹿城区温州市鹿城区滨江街道欧洲城中心大楼一楼</t>
  </si>
  <si>
    <t>浙江省温州市鹿城区温州市鹿城区滨江街道欧洲城东明路十八家新村6栋103室</t>
  </si>
  <si>
    <t>何璇</t>
  </si>
  <si>
    <t>蔡长青</t>
  </si>
  <si>
    <t>王胜世</t>
  </si>
  <si>
    <t>张苏涛</t>
  </si>
  <si>
    <t>刘婕</t>
  </si>
  <si>
    <t>河北省石家庄市桥西区红旗大街汇丰路8号</t>
  </si>
  <si>
    <t>河北省石家庄市桥西区红旗大街平和路31号</t>
  </si>
  <si>
    <t>张国志</t>
  </si>
  <si>
    <t>林娜</t>
  </si>
  <si>
    <t>彭绍良</t>
  </si>
  <si>
    <t>林中金</t>
  </si>
  <si>
    <t>盛超</t>
  </si>
  <si>
    <t>张德鹏</t>
  </si>
  <si>
    <t>武子伟</t>
  </si>
  <si>
    <t>芦伟飞</t>
  </si>
  <si>
    <t>杜秋</t>
  </si>
  <si>
    <t>曹锦堂</t>
  </si>
  <si>
    <t>高原</t>
  </si>
  <si>
    <t>河北省石家庄市裕华区槐岭路万达广场B2南区2号楼1单元2802</t>
  </si>
  <si>
    <t>河北省石家庄市裕华区体育南大街209号道桥宿舍7号楼1单元103</t>
  </si>
  <si>
    <t>彭王问</t>
  </si>
  <si>
    <t>单绍华</t>
  </si>
  <si>
    <t>徐佳佳</t>
  </si>
  <si>
    <t>张占风</t>
  </si>
  <si>
    <t>单冬冬</t>
  </si>
  <si>
    <t>韩朝阳</t>
  </si>
  <si>
    <t>黑龙江省哈尔滨市南岗区长江路157号一层</t>
  </si>
  <si>
    <t>黑龙江省哈尔滨市道外区宏伟路宇轩花园3号楼四单元202</t>
  </si>
  <si>
    <t>危正陈</t>
  </si>
  <si>
    <t>毛远为</t>
  </si>
  <si>
    <t>王巨勋</t>
  </si>
  <si>
    <t>河北省沧州市运河区解放西路颐和国际a座711</t>
  </si>
  <si>
    <t>河北省沧州市运河区解放西路颐和家园2号楼703</t>
  </si>
  <si>
    <t>吴申伟</t>
  </si>
  <si>
    <t>郁逸超</t>
  </si>
  <si>
    <t>郑方鸣</t>
  </si>
  <si>
    <t>范文艳</t>
  </si>
  <si>
    <t>张帅中</t>
  </si>
  <si>
    <t>李建栋</t>
  </si>
  <si>
    <t>朱浩杰</t>
  </si>
  <si>
    <t>邱文龙</t>
  </si>
  <si>
    <t>刘炎</t>
  </si>
  <si>
    <t>郑晓杰</t>
  </si>
  <si>
    <t>项中进</t>
  </si>
  <si>
    <t>牟伟涛</t>
  </si>
  <si>
    <t>陈彩谦</t>
  </si>
  <si>
    <t>杜文成</t>
  </si>
  <si>
    <t>张龙江</t>
  </si>
  <si>
    <t>谢民民</t>
  </si>
  <si>
    <t>马利华</t>
  </si>
  <si>
    <t>生静</t>
  </si>
  <si>
    <t>周宇霖</t>
  </si>
  <si>
    <t>黄崇洋</t>
  </si>
  <si>
    <t>张瑞平</t>
  </si>
  <si>
    <t>宁夏吴忠市利通区吴忠市利通区南环路北侧木材市场西侧综合楼</t>
  </si>
  <si>
    <t>宁夏吴忠市利通区宁夏吴忠市利通区裕民西路水岸花城小区10号楼一单元601室</t>
  </si>
  <si>
    <t>杨昱</t>
  </si>
  <si>
    <t>杨雷雷</t>
  </si>
  <si>
    <t>新疆伊犁哈萨克自治州伊宁市利群路经典花园3-11</t>
  </si>
  <si>
    <t>新疆伊犁哈萨克自治州伊宁市平安街北苑北区44号楼二单元502</t>
  </si>
  <si>
    <t>廖伟雷</t>
  </si>
  <si>
    <t>林椿杰</t>
  </si>
  <si>
    <t>冯刚</t>
  </si>
  <si>
    <t>王宏玉</t>
  </si>
  <si>
    <t>缪文军</t>
  </si>
  <si>
    <t>黄国芬</t>
  </si>
  <si>
    <t>吴海东</t>
  </si>
  <si>
    <t>于连彬</t>
  </si>
  <si>
    <t>张文野</t>
  </si>
  <si>
    <t>杨群</t>
  </si>
  <si>
    <t>浙江省衢州市衢江区府前路6号</t>
  </si>
  <si>
    <t>浙江省衢州市柯城区中河沿综合楼五单元602室</t>
  </si>
  <si>
    <t>宋明霞</t>
  </si>
  <si>
    <t>毕子星</t>
  </si>
  <si>
    <t>曹杨</t>
  </si>
  <si>
    <t>张洋洋</t>
  </si>
  <si>
    <t>王振帅</t>
  </si>
  <si>
    <t>杨利中</t>
  </si>
  <si>
    <t>张家林</t>
  </si>
  <si>
    <t>龚冰溶</t>
  </si>
  <si>
    <t>胡皓</t>
  </si>
  <si>
    <t>杨其文</t>
  </si>
  <si>
    <t>廉莲</t>
  </si>
  <si>
    <t>张雄威</t>
  </si>
  <si>
    <t>银峰</t>
  </si>
  <si>
    <t>陈亚文</t>
  </si>
  <si>
    <t>山东省济南市历下区华信路62号</t>
  </si>
  <si>
    <t>山东省济南市历下区海信都市阳光2号楼2单元1303</t>
  </si>
  <si>
    <t>叶品</t>
  </si>
  <si>
    <t>江苏省宿迁市沭阳县沭城镇集中区B区桃源路2号</t>
  </si>
  <si>
    <t>江苏省宿迁市沭阳县耿圩镇小宅村六组014号</t>
  </si>
  <si>
    <t>路杨</t>
  </si>
  <si>
    <t>吴来宽</t>
  </si>
  <si>
    <t>贾佳宝</t>
  </si>
  <si>
    <t>王哈达</t>
  </si>
  <si>
    <t>王利鹏</t>
  </si>
  <si>
    <t>山东省青岛市黄岛区辛安街道前湾港路315号</t>
  </si>
  <si>
    <t>山东省青岛市黄岛区辛安街道团结路港头臧社区62号</t>
  </si>
  <si>
    <t>史松柏</t>
  </si>
  <si>
    <t>陶锋</t>
  </si>
  <si>
    <t>唐津</t>
  </si>
  <si>
    <t>龙仕登</t>
  </si>
  <si>
    <t>牟祥龙</t>
  </si>
  <si>
    <t>高丹丹</t>
  </si>
  <si>
    <t>河南省郑州市管城回族区商都路中兴南路建正东方中心C座905室</t>
  </si>
  <si>
    <t>河南省郑州市管城回族区航海东路2号院59号楼158号</t>
  </si>
  <si>
    <t>钱萌婕</t>
  </si>
  <si>
    <t>河南省新乡市卫辉市卫辉市孙杏村镇堡上村32号</t>
  </si>
  <si>
    <t>河南省新乡市延津县小潭乡小吴村红旗路4号</t>
  </si>
  <si>
    <t>谢冬</t>
  </si>
  <si>
    <t>丁招峰</t>
  </si>
  <si>
    <t>尹池</t>
  </si>
  <si>
    <t>覃月条</t>
  </si>
  <si>
    <t>刘振华</t>
  </si>
  <si>
    <t>湖南省湘潭市岳塘区建设路口莲城步行街不b1栋c1122</t>
  </si>
  <si>
    <t>湖南省湘潭市岳塘区下摄司街道b1栋505</t>
  </si>
  <si>
    <t>秦正红</t>
  </si>
  <si>
    <t>叶宇迪</t>
  </si>
  <si>
    <t>刘仁超</t>
  </si>
  <si>
    <t>刘晨</t>
  </si>
  <si>
    <t>林文滔</t>
  </si>
  <si>
    <t>郑坤</t>
  </si>
  <si>
    <t>姜萍</t>
  </si>
  <si>
    <t>魏金伟</t>
  </si>
  <si>
    <t>江德雨</t>
  </si>
  <si>
    <t>黑龙江省哈尔滨市道外区南十九道街69号</t>
  </si>
  <si>
    <t>黑龙江省哈尔滨市道外区礼化街9号楼四单元404室</t>
  </si>
  <si>
    <t>隋剑蕊</t>
  </si>
  <si>
    <t>山西省长治市长治县南宋乡长青村</t>
  </si>
  <si>
    <t>山西省长治市壶关县百尺镇东坡村酒壶上头3号</t>
  </si>
  <si>
    <t>张保格</t>
  </si>
  <si>
    <t>廖洋</t>
  </si>
  <si>
    <t>杨文珍</t>
  </si>
  <si>
    <t>贵州省黔东南苗族侗族自治州凯里市贵州凯里市北京中路振华国际2单元305室</t>
  </si>
  <si>
    <t>贵州省黔东南苗族侗族自治州凯里市贵州省剑河县南明镇小湳村</t>
  </si>
  <si>
    <t>黎晨光</t>
  </si>
  <si>
    <t>李加梦</t>
  </si>
  <si>
    <t>邹文兵</t>
  </si>
  <si>
    <t>宋立永</t>
  </si>
  <si>
    <t>霍东升</t>
  </si>
  <si>
    <t>赵庆峰</t>
  </si>
  <si>
    <t>张登乾</t>
  </si>
  <si>
    <t>徐丽芳</t>
  </si>
  <si>
    <t>江苏省苏州市吴中区苏州大道东月廊街8号诚品书店二楼爱上阅</t>
  </si>
  <si>
    <t>江苏省苏州市吴中区青剑湖B区113栋104室</t>
  </si>
  <si>
    <t>魏民</t>
  </si>
  <si>
    <t>庞耀均</t>
  </si>
  <si>
    <t>广东省湛江市廉江市广东省廉江市北部湾大道</t>
  </si>
  <si>
    <t>广东省湛江市廉江市广东省廉江市新兴北街东十一巷八号</t>
  </si>
  <si>
    <t>刘君炎</t>
  </si>
  <si>
    <t>李甲龙</t>
  </si>
  <si>
    <t>潘乌力吉巴图</t>
  </si>
  <si>
    <t>贤柱健</t>
  </si>
  <si>
    <t>魏焕龙</t>
  </si>
  <si>
    <t>侯凌</t>
  </si>
  <si>
    <t>王运涛</t>
  </si>
  <si>
    <t>黄淦钲</t>
  </si>
  <si>
    <t>李光燊</t>
  </si>
  <si>
    <t>米源</t>
  </si>
  <si>
    <t>程天</t>
  </si>
  <si>
    <t>陈智为</t>
  </si>
  <si>
    <t>李康太</t>
  </si>
  <si>
    <t>王亚奇</t>
  </si>
  <si>
    <t>山西省大同市广灵县缙云大盘鸡面食</t>
  </si>
  <si>
    <t>山西省大同市广灵县医院门口大盘鸡</t>
  </si>
  <si>
    <t>王伟康</t>
  </si>
  <si>
    <t>邱家裕</t>
  </si>
  <si>
    <t>广东省深圳市福田区深圳市福田区景田路景西大厦23h</t>
  </si>
  <si>
    <t>广东省佛山市三水区乐平镇百合嘉园嘉诚阁1座104</t>
  </si>
  <si>
    <t>彭修旋</t>
  </si>
  <si>
    <t>蔡文洪</t>
  </si>
  <si>
    <t>胡浩楠</t>
  </si>
  <si>
    <t>宁夏银川市兴庆区中心巷中房富力城b座1605</t>
  </si>
  <si>
    <t>宁夏银川市兴庆区南薰街天都十六区东区4号楼2204</t>
  </si>
  <si>
    <t>张欠欠</t>
  </si>
  <si>
    <t>黄耀东</t>
  </si>
  <si>
    <t>河南省濮阳市华龙区中原路西段118号</t>
  </si>
  <si>
    <t>河南省濮阳市华龙区胜利东路中原油田四公司卫城小区16号楼4单元1号</t>
  </si>
  <si>
    <t>钟晴晴</t>
  </si>
  <si>
    <t>李广鹏</t>
  </si>
  <si>
    <t>赖文</t>
  </si>
  <si>
    <t>广东省深圳市宝安区西乡固戍沙湾北五巷3号八楼</t>
  </si>
  <si>
    <t>广东省深圳市宝安区西乡固戍一路476号</t>
  </si>
  <si>
    <t>王文斌</t>
  </si>
  <si>
    <t>海南省海口市琼山区海口市桂林洋经济开发区灵桂大道南端一号</t>
  </si>
  <si>
    <t>海南省海口市美兰区海口市美兰区龙岐村179号</t>
  </si>
  <si>
    <t>余明杨</t>
  </si>
  <si>
    <t>迪丽努尔</t>
  </si>
  <si>
    <t>彭晶</t>
  </si>
  <si>
    <t>王晓炜</t>
  </si>
  <si>
    <t>李念祖</t>
  </si>
  <si>
    <t>张荣刚</t>
  </si>
  <si>
    <t>裴恒宝</t>
  </si>
  <si>
    <t>袁凯凯</t>
  </si>
  <si>
    <t>王海珍</t>
  </si>
  <si>
    <t>李远</t>
  </si>
  <si>
    <t>陈瑜</t>
  </si>
  <si>
    <t>王艳艳</t>
  </si>
  <si>
    <t>蒋泽昕</t>
  </si>
  <si>
    <t>崔世泽</t>
  </si>
  <si>
    <t>张军机</t>
  </si>
  <si>
    <t>裴向英</t>
  </si>
  <si>
    <t>叶成浩</t>
  </si>
  <si>
    <t>上海市上海市徐汇区凯旋路1669号天星城二楼</t>
  </si>
  <si>
    <t>上海市上海市徐汇区虹桥路411弄1号楼801</t>
  </si>
  <si>
    <t>迟君丽</t>
  </si>
  <si>
    <t>吕孟</t>
  </si>
  <si>
    <t>张庆波</t>
  </si>
  <si>
    <t>杨俊培</t>
  </si>
  <si>
    <t>吴凡</t>
  </si>
  <si>
    <t>河南省郑州市新郑市金城路231号</t>
  </si>
  <si>
    <t>河南省郑州市新郑市新烟办烟厂大街16号</t>
  </si>
  <si>
    <t>张利</t>
  </si>
  <si>
    <t>陕西省铜川市耀州区新区新都会西门</t>
  </si>
  <si>
    <t>陕西省铜川市耀州区新区龙记学府城五号楼一单元1002</t>
  </si>
  <si>
    <t>杨启浪</t>
  </si>
  <si>
    <t>福建省三明市大田县雪山南路20号</t>
  </si>
  <si>
    <t>福建省三明市大田县宝山路150号</t>
  </si>
  <si>
    <t>王少泽</t>
  </si>
  <si>
    <t>宋骏楠</t>
  </si>
  <si>
    <t>山东省青岛市四方区四流南路102号</t>
  </si>
  <si>
    <t>山东省青岛市市南区四方区开平路19号2号楼301</t>
  </si>
  <si>
    <t>王义栓</t>
  </si>
  <si>
    <t>符坤</t>
  </si>
  <si>
    <t>薛艳刚</t>
  </si>
  <si>
    <t>陈金玲</t>
  </si>
  <si>
    <t>杨建华</t>
  </si>
  <si>
    <t>云南省楚雄彝族自治州楚雄市云南省楚雄州楚雄市开发区</t>
  </si>
  <si>
    <t>云南省楚雄彝族自治州元谋县云南省楚雄州元谋县凉山乡那迪村委会一丘田村</t>
  </si>
  <si>
    <t>王亚宾</t>
  </si>
  <si>
    <t>浙江省丽水市缙云县五云街道谢山路35号</t>
  </si>
  <si>
    <t>浙江省丽水市城西路100号</t>
  </si>
  <si>
    <t>顾成伟</t>
  </si>
  <si>
    <t>郎咸民</t>
  </si>
  <si>
    <t>王小结</t>
  </si>
  <si>
    <t>赵海东</t>
  </si>
  <si>
    <t>兰芳丽</t>
  </si>
  <si>
    <t>广西南宁市青秀区金花路3号建管大厦404</t>
  </si>
  <si>
    <t>广西南宁市兴宁区长堽路五里一号</t>
  </si>
  <si>
    <t>孟威</t>
  </si>
  <si>
    <t>湖北省武汉市东西湖区径河街道泰和工业园</t>
  </si>
  <si>
    <t>湖北省襄阳市宜城市雷河发展区辛常村十组</t>
  </si>
  <si>
    <t>张勤稳</t>
  </si>
  <si>
    <t>栾洪杰</t>
  </si>
  <si>
    <t>山西省太原市迎泽区郝庄南四街</t>
  </si>
  <si>
    <t>山西省太原市迎泽区郝庄昕利小区</t>
  </si>
  <si>
    <t>郭小斌</t>
  </si>
  <si>
    <t>李元胜</t>
  </si>
  <si>
    <t>山西省临汾市洪洞县虹通南路与朝阳东街交叉口（虹通大厦）</t>
  </si>
  <si>
    <t>山西省临汾市洪洞县大槐树镇梗壁村008号</t>
  </si>
  <si>
    <t>曾传刚</t>
  </si>
  <si>
    <t>刘远平</t>
  </si>
  <si>
    <t>叶涛</t>
  </si>
  <si>
    <t>王忠新</t>
  </si>
  <si>
    <t>魏全友</t>
  </si>
  <si>
    <t>林春武</t>
  </si>
  <si>
    <t>山东省烟台市福山区嘉陵江路8号</t>
  </si>
  <si>
    <t>山东省烟台市福山区黄河路深蓝数码酒店旁瑞鑫公寓6号楼8605室</t>
  </si>
  <si>
    <t>李正超</t>
  </si>
  <si>
    <t>周乾正</t>
  </si>
  <si>
    <t>张梅华</t>
  </si>
  <si>
    <t>郎金豆</t>
  </si>
  <si>
    <t>陈晓杨</t>
  </si>
  <si>
    <t>杨文龙</t>
  </si>
  <si>
    <t>云南省文山壮族苗族自治州文山市河西路70号</t>
  </si>
  <si>
    <t>云南省文山壮族苗族自治州文山市朱店坡小时代</t>
  </si>
  <si>
    <t>习静</t>
  </si>
  <si>
    <t>许小星</t>
  </si>
  <si>
    <t>宋发胜</t>
  </si>
  <si>
    <t>沈进</t>
  </si>
  <si>
    <t>罗国光</t>
  </si>
  <si>
    <t>李侠</t>
  </si>
  <si>
    <t>许亚雄</t>
  </si>
  <si>
    <t>代国妮</t>
  </si>
  <si>
    <t>周四七</t>
  </si>
  <si>
    <t>安徽省芜湖市镜湖区芜湖市弋江区中央城财富街2栋3楼</t>
  </si>
  <si>
    <t>安徽省芜湖市弋江区火龙岗镇龙桥行政村潘村31号</t>
  </si>
  <si>
    <t>赵新亮</t>
  </si>
  <si>
    <t>陕西省西安市雁塔区公园南路南段1号与西影路交叉处</t>
  </si>
  <si>
    <t>陕西省西安市雁塔区西影路1号阳光小区</t>
  </si>
  <si>
    <t>张岩松</t>
  </si>
  <si>
    <t>角银华</t>
  </si>
  <si>
    <t>李伟国</t>
  </si>
  <si>
    <t>韦银正</t>
  </si>
  <si>
    <t>贺成贵</t>
  </si>
  <si>
    <t>单波涛</t>
  </si>
  <si>
    <t>杨文芬</t>
  </si>
  <si>
    <t>李君龙</t>
  </si>
  <si>
    <t>徐波</t>
  </si>
  <si>
    <t>卢炳彬</t>
  </si>
  <si>
    <t>蒋海文</t>
  </si>
  <si>
    <t>蹇文潮</t>
  </si>
  <si>
    <t>谢光辉</t>
  </si>
  <si>
    <t>湖北省十堰市茅箭区朝阳中路15号武当国际园中央商务区</t>
  </si>
  <si>
    <t>湖北省十堰市郧阳区青曲镇王家山村二组117号</t>
  </si>
  <si>
    <t>张喻</t>
  </si>
  <si>
    <t>李华强</t>
  </si>
  <si>
    <t>严滔</t>
  </si>
  <si>
    <t>广东省深圳市福田区梅林街道梅林路5号</t>
  </si>
  <si>
    <t>广东省深圳市龙岗区布吉街道长龙新村112栋302房</t>
  </si>
  <si>
    <t>内蒙古巴彦淖尔市五原县巴彦淖尔市五原县庆原小区四号楼301</t>
  </si>
  <si>
    <t>巴彦淖尔市五原县</t>
  </si>
  <si>
    <t>木巴那克·吾木尔汗</t>
  </si>
  <si>
    <t>北京市北京市通州区北京市通州区经海七路星海集团东门</t>
  </si>
  <si>
    <t>北京市北京市通州区通州区小周易村60号</t>
  </si>
  <si>
    <t>席松琦</t>
  </si>
  <si>
    <t>戚涛</t>
  </si>
  <si>
    <t>尹守辉</t>
  </si>
  <si>
    <t>吴登来</t>
  </si>
  <si>
    <t>吴勃</t>
  </si>
  <si>
    <t>张宝良</t>
  </si>
  <si>
    <t>苏浙平</t>
  </si>
  <si>
    <t>廖亦冠</t>
  </si>
  <si>
    <t>福建省三明市尤溪县城关镇建设东街58号</t>
  </si>
  <si>
    <t>福建省三明市尤溪县紫阳公园7栋5单元503室</t>
  </si>
  <si>
    <t>戴耀</t>
  </si>
  <si>
    <t>湖北省武汉市武昌区中北路凯德1818中心18楼</t>
  </si>
  <si>
    <t>湖北省武汉市青山区和平大道建设十一路青宜居26栋三单元304室</t>
  </si>
  <si>
    <t>杨叼</t>
  </si>
  <si>
    <t>苏玉香</t>
  </si>
  <si>
    <t>王先德</t>
  </si>
  <si>
    <t>苏金敏</t>
  </si>
  <si>
    <t>云南省昆明市晋宁县昆阳街道办事处渠东村</t>
  </si>
  <si>
    <t>云南省昆明市晋宁县昆阳街道办事处甸心居委会河泊所村141号</t>
  </si>
  <si>
    <t>黄锐文</t>
  </si>
  <si>
    <t>廖帮航</t>
  </si>
  <si>
    <t>陈陈</t>
  </si>
  <si>
    <t>徐小飞</t>
  </si>
  <si>
    <t>丁剑峰</t>
  </si>
  <si>
    <t>唐丹丹</t>
  </si>
  <si>
    <t>胡肇华</t>
  </si>
  <si>
    <t>杜鹏程</t>
  </si>
  <si>
    <t>曹滢滢</t>
  </si>
  <si>
    <t>刘覃东</t>
  </si>
  <si>
    <t>四川省成都市彭州市九尺镇林杨路166号</t>
  </si>
  <si>
    <t>四川省绵阳市安县塔水镇阳光小区D栋2单元1-2</t>
  </si>
  <si>
    <t>许增杰</t>
  </si>
  <si>
    <t>蔡绍兰</t>
  </si>
  <si>
    <t>李超凡</t>
  </si>
  <si>
    <t>山东省日照市岚山区山东省日照市岚山区岚山国际403室</t>
  </si>
  <si>
    <t>山东省日照市岚山区安东卫街道李家庄子166号</t>
  </si>
  <si>
    <t>黄彬彬</t>
  </si>
  <si>
    <t>熊焕森</t>
  </si>
  <si>
    <t>王月</t>
  </si>
  <si>
    <t>蔡金宇</t>
  </si>
  <si>
    <t>北京市北京市丰台区菜户营58号1102室</t>
  </si>
  <si>
    <t>北京市北京市朝阳区王四营双合村甲六号院5门</t>
  </si>
  <si>
    <t>李家增</t>
  </si>
  <si>
    <t>任栖贤</t>
  </si>
  <si>
    <t>牛朝祥</t>
  </si>
  <si>
    <t>何娟</t>
  </si>
  <si>
    <t>祝漫丽</t>
  </si>
  <si>
    <t>夏爱武</t>
  </si>
  <si>
    <t>湖北省武汉市江岸区中小企业城48号</t>
  </si>
  <si>
    <t>湖北省武汉市东西湖区中小企业城84栋201</t>
  </si>
  <si>
    <t>黄远政</t>
  </si>
  <si>
    <t>广东省清远市阳山县阳山大道389号</t>
  </si>
  <si>
    <t>广东省清远市阳山县商业大道399号</t>
  </si>
  <si>
    <t>白翠华</t>
  </si>
  <si>
    <t>程洁</t>
  </si>
  <si>
    <t>吴雪巧</t>
  </si>
  <si>
    <t>蒲相印</t>
  </si>
  <si>
    <t>白家顺</t>
  </si>
  <si>
    <t>莫章延</t>
  </si>
  <si>
    <t>陈友梦</t>
  </si>
  <si>
    <t>左贵福</t>
  </si>
  <si>
    <t>山东省临沂市罗庄区罗庄区西外环206沂光电缆对过</t>
  </si>
  <si>
    <t>山东省临沂市罗庄区化武路罗七路交汇刘三岗小区3号楼4单元101</t>
  </si>
  <si>
    <t>雷鸿</t>
  </si>
  <si>
    <t>朱海燕</t>
  </si>
  <si>
    <t>赵丰</t>
  </si>
  <si>
    <t>容承波</t>
  </si>
  <si>
    <t>高慧</t>
  </si>
  <si>
    <t>江苏省南京市栖霞区和燕路256号</t>
  </si>
  <si>
    <t>崔子良</t>
  </si>
  <si>
    <t>尚子朝</t>
  </si>
  <si>
    <t>单莹莹</t>
  </si>
  <si>
    <t>宋英炜</t>
  </si>
  <si>
    <t>赵芳池</t>
  </si>
  <si>
    <t>赵清波</t>
  </si>
  <si>
    <t>田小杰</t>
  </si>
  <si>
    <t>马冬冬</t>
  </si>
  <si>
    <t>内蒙古鄂尔多斯市东胜区天骄北路创世纪大厦19楼</t>
  </si>
  <si>
    <t>林荫街达拉特旗北路104小区</t>
  </si>
  <si>
    <t>孙扬</t>
  </si>
  <si>
    <t>蔡华亮</t>
  </si>
  <si>
    <t>刘嗣</t>
  </si>
  <si>
    <t>甘肃省酒泉市肃州区公园路26号</t>
  </si>
  <si>
    <t>甘肃省酒泉市肃州区雄关路55号10栋253号</t>
  </si>
  <si>
    <t>唐福建</t>
  </si>
  <si>
    <t>尚俊东</t>
  </si>
  <si>
    <t>王洪涛</t>
  </si>
  <si>
    <t>江苏省苏州市昆山市昆山市城北路707号</t>
  </si>
  <si>
    <t>江苏省苏州市昆山市昆山市育才路17号</t>
  </si>
  <si>
    <t>赵永强</t>
  </si>
  <si>
    <t>内蒙古包头市昆都仑区团结大街团八稀土楼</t>
  </si>
  <si>
    <t>张闯</t>
  </si>
  <si>
    <t>梅安祺</t>
  </si>
  <si>
    <t>于晶明</t>
  </si>
  <si>
    <t>王金旋</t>
  </si>
  <si>
    <t>程晓明</t>
  </si>
  <si>
    <t>王旦秋</t>
  </si>
  <si>
    <t>范建华</t>
  </si>
  <si>
    <t>江苏省南通市海安县海安镇中坝南路十八号</t>
  </si>
  <si>
    <t>江苏省南通市海安县城东镇洪旺村十八组三十号</t>
  </si>
  <si>
    <t>李家海</t>
  </si>
  <si>
    <t>刘霜</t>
  </si>
  <si>
    <t>李璐璐</t>
  </si>
  <si>
    <t>侯军</t>
  </si>
  <si>
    <t>辽宁省本溪市平山区曙光路金鼎大厦26楼</t>
  </si>
  <si>
    <t>辽宁省本溪市溪湖区东山峪中一道街9号楼一单元3号</t>
  </si>
  <si>
    <t>刘荣振</t>
  </si>
  <si>
    <t>邱东平</t>
  </si>
  <si>
    <t>席北龙</t>
  </si>
  <si>
    <t>侯童童</t>
  </si>
  <si>
    <t>何荣畏</t>
  </si>
  <si>
    <t>姚志远</t>
  </si>
  <si>
    <t>胡婷婷</t>
  </si>
  <si>
    <t>封涛</t>
  </si>
  <si>
    <t>浙江省丽水市缙云县壶镇西二路1号</t>
  </si>
  <si>
    <t>浙江省丽水市缙云县壶镇中王村68号</t>
  </si>
  <si>
    <t>马红梅</t>
  </si>
  <si>
    <t>赵晨光</t>
  </si>
  <si>
    <t>马昌梅</t>
  </si>
  <si>
    <t>王仲周</t>
  </si>
  <si>
    <t>巫琦琦</t>
  </si>
  <si>
    <t>许彬</t>
  </si>
  <si>
    <t>赵新红</t>
  </si>
  <si>
    <t>许正权</t>
  </si>
  <si>
    <t>李春伟</t>
  </si>
  <si>
    <t>廖志强</t>
  </si>
  <si>
    <t>琚高林</t>
  </si>
  <si>
    <t>胡文平</t>
  </si>
  <si>
    <t>周琳</t>
  </si>
  <si>
    <t>何景</t>
  </si>
  <si>
    <t>冯勇</t>
  </si>
  <si>
    <t>山东省烟台市福山区福山区嘉兴路9号</t>
  </si>
  <si>
    <t>山东省烟台市福山区福山区卓越家园二号楼三单元334室</t>
  </si>
  <si>
    <t>夏婷婷</t>
  </si>
  <si>
    <t>叶锦喜</t>
  </si>
  <si>
    <t>方涛</t>
  </si>
  <si>
    <t>兰吓妹</t>
  </si>
  <si>
    <t>钱浩</t>
  </si>
  <si>
    <t>叶恩允</t>
  </si>
  <si>
    <t>河南省郑州市中原区建设西路118号2号楼2501</t>
  </si>
  <si>
    <t>河南省郑州市中原区帝湖花园西王府806号楼3单元903</t>
  </si>
  <si>
    <t>毛庆利</t>
  </si>
  <si>
    <t>马新文</t>
  </si>
  <si>
    <t>易宏扬</t>
  </si>
  <si>
    <t>桂翠芳</t>
  </si>
  <si>
    <t>佘顺祥</t>
  </si>
  <si>
    <t>唐纯杰</t>
  </si>
  <si>
    <t>眭荣飞</t>
  </si>
  <si>
    <t>车连宝</t>
  </si>
  <si>
    <t>李瑞旺</t>
  </si>
  <si>
    <t>曾冬芳</t>
  </si>
  <si>
    <t>杨晓宇</t>
  </si>
  <si>
    <t>尤超鹏</t>
  </si>
  <si>
    <t>沈晓明</t>
  </si>
  <si>
    <t>上海市上海市闵行区曹建路189号</t>
  </si>
  <si>
    <t>上海市上海市闵行区莲花南路988弄1号401室</t>
  </si>
  <si>
    <t>付亮</t>
  </si>
  <si>
    <t>湖北省孝感市孝南区槐荫大道417号</t>
  </si>
  <si>
    <t>湖北省孝感市孝南区新华街城隍潭22号</t>
  </si>
  <si>
    <t>高庆文</t>
  </si>
  <si>
    <t>何王福</t>
  </si>
  <si>
    <t>陈香莲</t>
  </si>
  <si>
    <t>尹邦剑</t>
  </si>
  <si>
    <t>广东省广州市增城市南云三路</t>
  </si>
  <si>
    <t>广东省广州市越秀区三元里</t>
  </si>
  <si>
    <t>王世金</t>
  </si>
  <si>
    <t>吴庆林</t>
  </si>
  <si>
    <t>江西省上饶市婺源县龙天路工业园区</t>
  </si>
  <si>
    <t>江西省上饶市婺源县清华园小区</t>
  </si>
  <si>
    <t>陈国兵</t>
  </si>
  <si>
    <t>陆大伦</t>
  </si>
  <si>
    <t>范云林</t>
  </si>
  <si>
    <t>黄成勇</t>
  </si>
  <si>
    <t>吴俊惠</t>
  </si>
  <si>
    <t>肖剑</t>
  </si>
  <si>
    <t>尉明杰</t>
  </si>
  <si>
    <t>江苏省苏州市吴中区天鹅荡路54号</t>
  </si>
  <si>
    <t>江苏省苏州市吴中区新城郡未来小区13幢2103室</t>
  </si>
  <si>
    <t>努尔斯曼古丽·麦麦提敏</t>
  </si>
  <si>
    <t>贾东</t>
  </si>
  <si>
    <t>牟清松</t>
  </si>
  <si>
    <t>郑楚林</t>
  </si>
  <si>
    <t>刘祥英</t>
  </si>
  <si>
    <t>李鑫茹</t>
  </si>
  <si>
    <t>山东省泰安市泰山区虎山路19号</t>
  </si>
  <si>
    <t>山东省泰安市泰山区岱宗大街清真寺小区五号楼二单元301</t>
  </si>
  <si>
    <t>韩易辰</t>
  </si>
  <si>
    <t>陕西省西安市户县草堂镇工业园区</t>
  </si>
  <si>
    <t>陕西省西安市户县庞光镇西焦村四街213号</t>
  </si>
  <si>
    <t>袁长军</t>
  </si>
  <si>
    <t>刘松娟</t>
  </si>
  <si>
    <t>陈志川</t>
  </si>
  <si>
    <t>范富斌</t>
  </si>
  <si>
    <t>河南省开封市龙亭区北郊乡孙李唐村中心街</t>
  </si>
  <si>
    <t>河南省开封市龙亭区嘉泰新城37号楼一单元602</t>
  </si>
  <si>
    <t>何朝学</t>
  </si>
  <si>
    <t xml:space="preserve">浙江省金华市永康市古山镇经纬西路79号 </t>
  </si>
  <si>
    <t>浙江省金华市永康市古山镇西峰路45号</t>
  </si>
  <si>
    <t>浙江省湖州市长兴县泗安镇兴和广场三幢301</t>
  </si>
  <si>
    <t>浙江省湖州市长兴县泗安镇初康村竹墩自然村7号</t>
  </si>
  <si>
    <t>吴廉洁</t>
  </si>
  <si>
    <t>山东省淄博市张店区人民西路207号凯瑞碧园A2沿街房</t>
  </si>
  <si>
    <t>山东省淄博市张店区五里桥居民区19号楼1单元203</t>
  </si>
  <si>
    <t>徐德光</t>
  </si>
  <si>
    <t>云南省红河哈尼族彝族自治州蒙自县新安所镇永安路34号</t>
  </si>
  <si>
    <t>云南省红河哈尼族彝族自治州蒙自县新安所镇五一街41号</t>
  </si>
  <si>
    <t>刘家盟</t>
  </si>
  <si>
    <t>曾小芳</t>
  </si>
  <si>
    <t>湖南省长沙市岳麓区玉兰路312号</t>
  </si>
  <si>
    <t>湖南省长沙市岳麓区桐梓坡西路保利麓谷林语b7栋1106</t>
  </si>
  <si>
    <t>卢娜</t>
  </si>
  <si>
    <t>云南省曲靖市麒麟区教场西路交叉口</t>
  </si>
  <si>
    <t>云南省曲靖市麒麟区姜家巷农贸市场200号</t>
  </si>
  <si>
    <t>周士钒</t>
  </si>
  <si>
    <t>上海市上海市嘉定区上海市嘉定区叶城路1118号6楼</t>
  </si>
  <si>
    <t>上海市上海市杨浦区工农三村53号楼503室</t>
  </si>
  <si>
    <t>程杰</t>
  </si>
  <si>
    <t>李文阳</t>
  </si>
  <si>
    <t>何福涵</t>
  </si>
  <si>
    <t>杨康</t>
  </si>
  <si>
    <t>徐海龙</t>
  </si>
  <si>
    <t>丁荣怀</t>
  </si>
  <si>
    <t>曌晗</t>
  </si>
  <si>
    <t>罗锦国</t>
  </si>
  <si>
    <t>袁龙娣</t>
  </si>
  <si>
    <t>东莞市寮步镇横坑北门工业区E栋6楼</t>
  </si>
  <si>
    <t>东莞市寮步镇横坑村横中一路浩通汽修附近</t>
  </si>
  <si>
    <t>王董君</t>
  </si>
  <si>
    <t>韩华华</t>
  </si>
  <si>
    <t>喻家元</t>
  </si>
  <si>
    <t>赵小亚</t>
  </si>
  <si>
    <t>陈滢滢</t>
  </si>
  <si>
    <t>贵州省遵义市红花岗区东方建国大楼六楼301</t>
  </si>
  <si>
    <t>贵州省遵义市红花岗区海尔大道亿丰小区一栋三单元</t>
  </si>
  <si>
    <t>周欠文</t>
  </si>
  <si>
    <t>闻丹丹</t>
  </si>
  <si>
    <t>祝远阳</t>
  </si>
  <si>
    <t>王頔</t>
  </si>
  <si>
    <t>王凯平</t>
  </si>
  <si>
    <t>山东省济南市平阴县振兴街57号</t>
  </si>
  <si>
    <t>山东省济南市平阴县五岭路13号建工花苑小区顺街楼中单元四楼南户</t>
  </si>
  <si>
    <t>黄基权</t>
  </si>
  <si>
    <t>海南省海口市琼山区宗伯里59号</t>
  </si>
  <si>
    <t>海南省海口市琼山区朱云路朱云公寓B栋1504房</t>
  </si>
  <si>
    <t>陈阳华</t>
  </si>
  <si>
    <t>姚冰</t>
  </si>
  <si>
    <t>欧尔鑫</t>
  </si>
  <si>
    <t>钱威铭</t>
  </si>
  <si>
    <t>高彩峰</t>
  </si>
  <si>
    <t>柳海鑫</t>
  </si>
  <si>
    <t>刘西</t>
  </si>
  <si>
    <t>侯健</t>
  </si>
  <si>
    <t>王艺龙</t>
  </si>
  <si>
    <t>沈冬燕</t>
  </si>
  <si>
    <t>符媚</t>
  </si>
  <si>
    <t>朱亚运</t>
  </si>
  <si>
    <t>林建利</t>
  </si>
  <si>
    <t>浙江省杭州市江干区凯旋路145号</t>
  </si>
  <si>
    <t>浙江省杭州市桐庐县西湖弄银都商务公寓307</t>
  </si>
  <si>
    <t>王位平</t>
  </si>
  <si>
    <t>刘天文</t>
  </si>
  <si>
    <t>山东省临沂市兰山区三合屯</t>
  </si>
  <si>
    <t>山东省临沂市河东区中科印象13号楼一单元305</t>
  </si>
  <si>
    <t>陈梓杰</t>
  </si>
  <si>
    <t>郑友理</t>
  </si>
  <si>
    <t>梁潇林</t>
  </si>
  <si>
    <t>甘肃省张掖市临泽县玉米种子产业园09号</t>
  </si>
  <si>
    <t>甘肃省张掖市甘州区高铁西站怡水园小区1号楼三单元502</t>
  </si>
  <si>
    <t>邵明杰</t>
  </si>
  <si>
    <t>山东省临沂市罗庄区西高都镇临册路与罗城路交汇处向东200米路南</t>
  </si>
  <si>
    <t>山东省临沂市河东区郑旺镇邵家湾村269号</t>
  </si>
  <si>
    <t>孟鑫</t>
  </si>
  <si>
    <t>张国超</t>
  </si>
  <si>
    <t>李兴勇</t>
  </si>
  <si>
    <t>张东浩</t>
  </si>
  <si>
    <t>王娇</t>
  </si>
  <si>
    <t>梁志明</t>
  </si>
  <si>
    <t>张鹏鹏</t>
  </si>
  <si>
    <t>张阿福</t>
  </si>
  <si>
    <t>朱野</t>
  </si>
  <si>
    <t>郭子威</t>
  </si>
  <si>
    <t>由雯雯</t>
  </si>
  <si>
    <t>刘晓波</t>
  </si>
  <si>
    <t>刘姣姣</t>
  </si>
  <si>
    <t>范昌盛</t>
  </si>
  <si>
    <t>杨辛未</t>
  </si>
  <si>
    <t>河南省郑州市金水区经三路北61号31号楼53号</t>
  </si>
  <si>
    <t>河南省郑州市金水区商城路玉凤路沈庄8号楼1303</t>
  </si>
  <si>
    <t>项彩莲</t>
  </si>
  <si>
    <t>赵喜</t>
  </si>
  <si>
    <t>辽宁省朝阳市双塔区云水路19号</t>
  </si>
  <si>
    <t>辽宁省朝阳市双塔区兴安街57号楼3单元401室</t>
  </si>
  <si>
    <t>邓坷昕</t>
  </si>
  <si>
    <t>赵洪斌</t>
  </si>
  <si>
    <t>蒋海敏</t>
  </si>
  <si>
    <t>黎敏彪</t>
  </si>
  <si>
    <t>广东省深圳市宝安区宝安区沙井街道沙一社区长兴科技园</t>
  </si>
  <si>
    <t>广东省深圳市宝安区宝安区沙井街道万丰村17栋601</t>
  </si>
  <si>
    <t>廖来平</t>
  </si>
  <si>
    <t>伍华意</t>
  </si>
  <si>
    <t>广东省湛江市霞山区湛江市霞山区机场路17号</t>
  </si>
  <si>
    <t>广东省湛江市廉江市安铺镇谭蓬村162号</t>
  </si>
  <si>
    <t>孙保全</t>
  </si>
  <si>
    <t>河南省商丘市梁园区民主中路283号</t>
  </si>
  <si>
    <t>河南省商丘市虞城大杨集镇</t>
  </si>
  <si>
    <t>李江宏</t>
  </si>
  <si>
    <t>施文兵</t>
  </si>
  <si>
    <t>韩庆平</t>
  </si>
  <si>
    <t>王儒奇</t>
  </si>
  <si>
    <t>海南省三沙市陵水黎族自治县新村镇中山路286号</t>
  </si>
  <si>
    <t>海南省三沙市五指山市新村镇跃进路25号</t>
  </si>
  <si>
    <t>肖宇</t>
  </si>
  <si>
    <t>冯兰</t>
  </si>
  <si>
    <t>宋路光</t>
  </si>
  <si>
    <t>刘建永</t>
  </si>
  <si>
    <t>河北省廊坊市广阳区经济开发区华祥路72号</t>
  </si>
  <si>
    <t>河北省廊坊市安次区河北省廊坊市安次区落垡镇落垡村1组052室</t>
  </si>
  <si>
    <t>段少琪</t>
  </si>
  <si>
    <t>陕西省西安市雁塔区西安市南三环辅道30号</t>
  </si>
  <si>
    <t>陕西省西安市雁塔区科技路西口天朗蓝湖树小区三号楼二单元2504室</t>
  </si>
  <si>
    <t>刘锦龙</t>
  </si>
  <si>
    <t>周广栋</t>
  </si>
  <si>
    <t>田爱平</t>
  </si>
  <si>
    <t>吴部进</t>
  </si>
  <si>
    <t>山东省济宁市任城区供销路北首金宇创意设计园楼东</t>
  </si>
  <si>
    <t>山东省济宁市任城区接庄街道办事处后袁村上海路23号</t>
  </si>
  <si>
    <t>王保</t>
  </si>
  <si>
    <t>崔浩</t>
  </si>
  <si>
    <t>朱子彦</t>
  </si>
  <si>
    <t>李春江</t>
  </si>
  <si>
    <t>汪吉</t>
  </si>
  <si>
    <t>王继霞</t>
  </si>
  <si>
    <t>詹义成</t>
  </si>
  <si>
    <t>徐阳</t>
  </si>
  <si>
    <t>周婷</t>
  </si>
  <si>
    <t>朱建萍</t>
  </si>
  <si>
    <t>陈迎</t>
  </si>
  <si>
    <t>詹情</t>
  </si>
  <si>
    <t>江苏省徐州市铜山区大彭镇大彭村</t>
  </si>
  <si>
    <t>江苏省徐州市泉山区段庄小区九号楼1单元302</t>
  </si>
  <si>
    <t>赵启杨</t>
  </si>
  <si>
    <t>常龙飞</t>
  </si>
  <si>
    <t>雷兵</t>
  </si>
  <si>
    <t>杨叶</t>
  </si>
  <si>
    <t>重庆市重庆市江北区万丰一村6号</t>
  </si>
  <si>
    <t>重庆市重庆市江北区万丰一村7号1单元3-1</t>
  </si>
  <si>
    <t>朱熙</t>
  </si>
  <si>
    <t>廖伟</t>
  </si>
  <si>
    <t>刘建建</t>
  </si>
  <si>
    <t>常进</t>
  </si>
  <si>
    <t>潘陈浩</t>
  </si>
  <si>
    <t>穆文元</t>
  </si>
  <si>
    <t>孟永祥</t>
  </si>
  <si>
    <t>浙江省杭州市临安市玲珑街道玲珑山路768号</t>
  </si>
  <si>
    <t>浙江省杭州市临安市玲珑街道东山村8组潭村69号</t>
  </si>
  <si>
    <t>张守洋</t>
  </si>
  <si>
    <t>山东省临沂市莒南县天桥路与南环路交汇处南段500米</t>
  </si>
  <si>
    <t>山东省临沂市莒南县华泉祥和苑2号楼3单元201</t>
  </si>
  <si>
    <t>王泰瑜</t>
  </si>
  <si>
    <t>甘肃省兰州市城关区西固区庄浪路虹盛5楼</t>
  </si>
  <si>
    <t>甘肃省兰州市西固区西固中路兰棉厂家属院</t>
  </si>
  <si>
    <t>郭立山</t>
  </si>
  <si>
    <t>王梅芳</t>
  </si>
  <si>
    <t>孙清保</t>
  </si>
  <si>
    <t>范利光</t>
  </si>
  <si>
    <t>雷世升</t>
  </si>
  <si>
    <t>郝诗佳</t>
  </si>
  <si>
    <t>郝原红</t>
  </si>
  <si>
    <t>陕西省渭南市华县新闻街一道巷JQK男装</t>
  </si>
  <si>
    <t>陕西省渭南市华县陕西省渭南市华州区竹溪园小区二栋二单元二楼西户</t>
  </si>
  <si>
    <t>李石林</t>
  </si>
  <si>
    <t>何伟林</t>
  </si>
  <si>
    <t>张文彩</t>
  </si>
  <si>
    <t>陈松华</t>
  </si>
  <si>
    <t>张泽淼</t>
  </si>
  <si>
    <t>黄永杰</t>
  </si>
  <si>
    <t>王晓勇</t>
  </si>
  <si>
    <t>李丰</t>
  </si>
  <si>
    <t>郑红霞</t>
  </si>
  <si>
    <t>浙江省台州市路桥区浮桥路10号</t>
  </si>
  <si>
    <t>浙江省台州市椒江区浙江省台州市椒江区云西小区44号一单元302</t>
  </si>
  <si>
    <t>郭宏</t>
  </si>
  <si>
    <t>刘小珍</t>
  </si>
  <si>
    <t>荆定定</t>
  </si>
  <si>
    <t>贺瑶瑶</t>
  </si>
  <si>
    <t>吴敏</t>
  </si>
  <si>
    <t>郭飞</t>
  </si>
  <si>
    <t>赵军安</t>
  </si>
  <si>
    <t>陈嘉维</t>
  </si>
  <si>
    <t>韩志彬</t>
  </si>
  <si>
    <t>江镇岐</t>
  </si>
  <si>
    <t>毕海春</t>
  </si>
  <si>
    <t>赵大鹏</t>
  </si>
  <si>
    <t>天津市天津市南开区园荫道50号</t>
  </si>
  <si>
    <t>天津市天津市南开区盈江西里14号楼1门</t>
  </si>
  <si>
    <t>邱晓春</t>
  </si>
  <si>
    <t>李正欢</t>
  </si>
  <si>
    <t>代雨江</t>
  </si>
  <si>
    <t>凌云</t>
  </si>
  <si>
    <t>周劲</t>
  </si>
  <si>
    <t>天津市天津市滨海新区经济技术开发区西区夏青路80号</t>
  </si>
  <si>
    <t>天津市天津市河东区东瑞家园11号楼2601</t>
  </si>
  <si>
    <t>陈美吉</t>
  </si>
  <si>
    <t>福建省泉州市安溪县德苑工贸园安德物流往厦门方向1.5公里处</t>
  </si>
  <si>
    <t>福建省泉州市安溪县凤城镇河滨西路548号42幢401室</t>
  </si>
  <si>
    <t>郑在望</t>
  </si>
  <si>
    <t>谢龙</t>
  </si>
  <si>
    <t>湖北省武汉市青山区船厂村1号</t>
  </si>
  <si>
    <t>湖北省武汉市洪山区东方红东方雅园二期16栋一单元1703</t>
  </si>
  <si>
    <t>鄢晓雪</t>
  </si>
  <si>
    <t>徐富勇</t>
  </si>
  <si>
    <t>福建省福州市仓山区城门镇城门街399号</t>
  </si>
  <si>
    <t>福建省福州市仓山区友谊路27号305室</t>
  </si>
  <si>
    <t>郑建英</t>
  </si>
  <si>
    <t>赵柳佳</t>
  </si>
  <si>
    <t>岑海滨</t>
  </si>
  <si>
    <t>广西百色市靖西县广西百色靖西信发铝工业园区</t>
  </si>
  <si>
    <t>广西百色市靖西县凤凰路560</t>
  </si>
  <si>
    <t>王平获</t>
  </si>
  <si>
    <t>海南省海口市龙华区海口市滨海新村海景湾大厦</t>
  </si>
  <si>
    <t>海南省海口市龙华区海南省澄迈县金江镇大美村86号</t>
  </si>
  <si>
    <t>米康</t>
  </si>
  <si>
    <t>邵强</t>
  </si>
  <si>
    <t>刘明刚</t>
  </si>
  <si>
    <t>山东省济南市天桥区济南市天桥区药山街道无影山北路袁家庄西路9号</t>
  </si>
  <si>
    <t>山东省德州市陵县神头镇圈刘村</t>
  </si>
  <si>
    <t>宋光祺</t>
  </si>
  <si>
    <t>重庆市重庆市九龙坡区金凤电子园二期12栋一楼</t>
  </si>
  <si>
    <t>重庆市重庆市江北区观音桥红鼎国际B座二单元20-5</t>
  </si>
  <si>
    <t>周建明</t>
  </si>
  <si>
    <t>甘红鑫</t>
  </si>
  <si>
    <t>覃兰丰</t>
  </si>
  <si>
    <t>广西南宁市兴宁区广西南宁市兴宁区昆仑大道辅路200米</t>
  </si>
  <si>
    <t>广西南宁市西乡塘区广西上林县三里镇高仁村上布庄</t>
  </si>
  <si>
    <t>郭水木</t>
  </si>
  <si>
    <t>天津市天津市北辰区津京公路引河桥以北杨堤对过</t>
  </si>
  <si>
    <t>天津市天津市河东区龙山道绿萱园12号楼一单元501号</t>
  </si>
  <si>
    <t>王振华</t>
  </si>
  <si>
    <t>祁亚婷</t>
  </si>
  <si>
    <t>邓敏</t>
  </si>
  <si>
    <t>伍骐忆</t>
  </si>
  <si>
    <t>张亚鹏</t>
  </si>
  <si>
    <t>谢文滔</t>
  </si>
  <si>
    <t>湖南省娄底市娄星区涟钢北大桥8号大门1栋</t>
  </si>
  <si>
    <t>湖南省娄底市娄星区黄泥塘办事处东来村铜锣组</t>
  </si>
  <si>
    <t>王朝辉</t>
  </si>
  <si>
    <t>张燕龙</t>
  </si>
  <si>
    <t>谢碧莹</t>
  </si>
  <si>
    <t>许文强</t>
  </si>
  <si>
    <t>蔡鸿</t>
  </si>
  <si>
    <t>江西省上饶市信州区汪家园钟灵路锦江华庭2号</t>
  </si>
  <si>
    <t>江西省上饶市信州区名仕康城7栋A单元</t>
  </si>
  <si>
    <t>黄晓华</t>
  </si>
  <si>
    <t>福建省南平市建阳市潭城街道民主南路722号</t>
  </si>
  <si>
    <t>福建省南平市建阳市西桥西路86号</t>
  </si>
  <si>
    <t>向威</t>
  </si>
  <si>
    <t>杜美</t>
  </si>
  <si>
    <t>钟海香</t>
  </si>
  <si>
    <t>周孝国</t>
  </si>
  <si>
    <t>卞鹏</t>
  </si>
  <si>
    <t>黄沃健</t>
  </si>
  <si>
    <t>孔冲冲</t>
  </si>
  <si>
    <t>魏洁</t>
  </si>
  <si>
    <t>甘肃省酒泉市肃州区下河清供电所</t>
  </si>
  <si>
    <t>甘肃省酒泉市肃州区盘旋西路2号3排27号</t>
  </si>
  <si>
    <t>李璟毅</t>
  </si>
  <si>
    <t>周明玉</t>
  </si>
  <si>
    <t>翁毅</t>
  </si>
  <si>
    <t>常静</t>
  </si>
  <si>
    <t>浙江省绍兴市上虞市上虞市经济开发区北一路66号</t>
  </si>
  <si>
    <t>浙江省绍兴市上虞市曹娥街道聚英路595号</t>
  </si>
  <si>
    <t>王旭军</t>
  </si>
  <si>
    <t>康静</t>
  </si>
  <si>
    <t>王立平</t>
  </si>
  <si>
    <t>山西省晋中市左权县寒王乡</t>
  </si>
  <si>
    <t>山西省晋中市左权县寒王乡段峪村</t>
  </si>
  <si>
    <t>潘玉雪</t>
  </si>
  <si>
    <t>袁叙松</t>
  </si>
  <si>
    <t>关义涛</t>
  </si>
  <si>
    <t>河北省秦皇岛市海港区西张庄村102号</t>
  </si>
  <si>
    <t>河北省秦皇岛市海港区海阳镇侯庄村35号</t>
  </si>
  <si>
    <t>方力锋</t>
  </si>
  <si>
    <t>李济涛</t>
  </si>
  <si>
    <t>辜永坚</t>
  </si>
  <si>
    <t>何明东</t>
  </si>
  <si>
    <t>吴凤鸣</t>
  </si>
  <si>
    <t>甘肃省兰州市安宁区莫高大道海亮滨河一号502</t>
  </si>
  <si>
    <t>甘肃省兰州市安宁区莫高大道海亮滨河一号501</t>
  </si>
  <si>
    <t>李海超</t>
  </si>
  <si>
    <t>罗福强</t>
  </si>
  <si>
    <t>薛穿平</t>
  </si>
  <si>
    <t>曾山生</t>
  </si>
  <si>
    <t>周明阳</t>
  </si>
  <si>
    <t>河北省唐山市曹妃甸区唐山市路北区兴源道62号</t>
  </si>
  <si>
    <t>河北省唐山市曹妃甸区唐山市路北区建设北路和平南楼108楼1门302号</t>
  </si>
  <si>
    <t>韩大洪</t>
  </si>
  <si>
    <t>郭志鹏</t>
  </si>
  <si>
    <t>迟朋朋</t>
  </si>
  <si>
    <t>钱华</t>
  </si>
  <si>
    <t>邹轶</t>
  </si>
  <si>
    <t>邹江</t>
  </si>
  <si>
    <t>廖望</t>
  </si>
  <si>
    <t>江西省新余市渝水区高新开发区赛维大道1950号</t>
  </si>
  <si>
    <t>江西省新余市渝水区劳动北路1210号丁区53栋1号</t>
  </si>
  <si>
    <t>随善勇</t>
  </si>
  <si>
    <t>彭晨</t>
  </si>
  <si>
    <t>赵进林</t>
  </si>
  <si>
    <t>孙广虎</t>
  </si>
  <si>
    <t>山东省济宁市市中区城市华府1609号</t>
  </si>
  <si>
    <t>山东省济宁市任城区矿山机械厂宿舍2号楼一单元402</t>
  </si>
  <si>
    <t>油美玲</t>
  </si>
  <si>
    <t>杜伟菘</t>
  </si>
  <si>
    <t>孙智翔</t>
  </si>
  <si>
    <t>江苏省盐城市盐都区盐渎街道兴民社区物联大厦1208室</t>
  </si>
  <si>
    <t>江苏省盐城市盐都区康乐苑18栋206</t>
  </si>
  <si>
    <t>徐生</t>
  </si>
  <si>
    <t>叶庆湖</t>
  </si>
  <si>
    <t>广东省梅州市梅县广东省梅县高新技术产业园</t>
  </si>
  <si>
    <t>广东省梅州市梅县广东省梅县畲江镇上墩村官塘</t>
  </si>
  <si>
    <t>王兴宝</t>
  </si>
  <si>
    <t>韩高兴</t>
  </si>
  <si>
    <t>郭晓岩</t>
  </si>
  <si>
    <t>吴春花</t>
  </si>
  <si>
    <t>胡海峰</t>
  </si>
  <si>
    <t>傅莹</t>
  </si>
  <si>
    <t>黎家定</t>
  </si>
  <si>
    <t>金萍</t>
  </si>
  <si>
    <t>江苏省徐州市泉山区西安北路6号恒茂大厦718</t>
  </si>
  <si>
    <t>江苏省徐州市泉山区徐丰公路14号</t>
  </si>
  <si>
    <t>吴彼</t>
  </si>
  <si>
    <t>华康</t>
  </si>
  <si>
    <t>张剑峰</t>
  </si>
  <si>
    <t>山西省忻州市宁武县万佛洞街鼎新建筑有限公司</t>
  </si>
  <si>
    <t>山西省忻州市宁武县凤凰大街凤泽苑小区一号楼中单元201室</t>
  </si>
  <si>
    <t>王奕惠</t>
  </si>
  <si>
    <t>梁应松</t>
  </si>
  <si>
    <t>于志凯</t>
  </si>
  <si>
    <t>山东省德州市平原县平原县经济开发区桃园大道1号</t>
  </si>
  <si>
    <t>山东省德州市平原县平原县龙门街道南苑小区9号楼二单元502室</t>
  </si>
  <si>
    <t>李延东</t>
  </si>
  <si>
    <t>曲强</t>
  </si>
  <si>
    <t>余向洋</t>
  </si>
  <si>
    <t>杨三孩</t>
  </si>
  <si>
    <t>孙华鑫</t>
  </si>
  <si>
    <t>方先林</t>
  </si>
  <si>
    <t>魏文祥</t>
  </si>
  <si>
    <t>江西省南昌市南昌县振兴大道777号</t>
  </si>
  <si>
    <t>江西省南昌市青山湖区罗家镇慈母村未村自然村21号</t>
  </si>
  <si>
    <t>杜培霞</t>
  </si>
  <si>
    <t>高永玲</t>
  </si>
  <si>
    <t>李允洲</t>
  </si>
  <si>
    <t>兰晓俊</t>
  </si>
  <si>
    <t>黄沈斐</t>
  </si>
  <si>
    <t>刘增魁</t>
  </si>
  <si>
    <t>王润泽</t>
  </si>
  <si>
    <t>河北省石家庄市桥西区胜利南大街416号</t>
  </si>
  <si>
    <t>河北省石家庄市桥西区新石北路育丰巷一号4号楼二单元202</t>
  </si>
  <si>
    <t>史天富</t>
  </si>
  <si>
    <t>河北省张家口市蔚县建设北大街59号</t>
  </si>
  <si>
    <t>河北省张家口市蔚县康居北大街阳光新城十号楼四单元502</t>
  </si>
  <si>
    <t>杨国封</t>
  </si>
  <si>
    <t>杨鹏鹏</t>
  </si>
  <si>
    <t>周吕旺</t>
  </si>
  <si>
    <t>江西省南昌市西湖区灌婴路599号国际财讯中心901</t>
  </si>
  <si>
    <t>江西省南昌市西湖区云锦路248号中大云锦菀2701</t>
  </si>
  <si>
    <t>范洁</t>
  </si>
  <si>
    <t>曹彬</t>
  </si>
  <si>
    <t>内蒙古通辽市科尔沁区永清大街西1126号</t>
  </si>
  <si>
    <t>内蒙古通辽市科尔沁区建国路裕景花园34号楼4单元441</t>
  </si>
  <si>
    <t>吴庆艳</t>
  </si>
  <si>
    <t>洪秀梅</t>
  </si>
  <si>
    <t>高安琪</t>
  </si>
  <si>
    <t>艾昊</t>
  </si>
  <si>
    <t>贵州省安顺市平坝县鼓楼街道城市绿洲购物中心7栋负一层87、88号</t>
  </si>
  <si>
    <t>贵州省安顺市平坝县鼓楼街道城市绿洲3栋二单元15-5号</t>
  </si>
  <si>
    <t>苏开裕</t>
  </si>
  <si>
    <t>福建省厦门市湖里区福建省厦门市湖里区高崎北二路68号之六</t>
  </si>
  <si>
    <t>福建省漳州市龙海市福建省龙海市浮宫镇美山村青美苏153</t>
  </si>
  <si>
    <t>马一民</t>
  </si>
  <si>
    <t>高明珍</t>
  </si>
  <si>
    <t>刘正华</t>
  </si>
  <si>
    <t>钟达辉</t>
  </si>
  <si>
    <t>靳成龙</t>
  </si>
  <si>
    <t>满兴玉</t>
  </si>
  <si>
    <t>肖存</t>
  </si>
  <si>
    <t>彭琬云</t>
  </si>
  <si>
    <t>云南省玉溪市易门县龙泉镇龙泉东路18号</t>
  </si>
  <si>
    <t>云南省玉溪市易门县云南省玉溪市易门县龙泉镇西环路575号1幢2室</t>
  </si>
  <si>
    <t>张林青</t>
  </si>
  <si>
    <t>方子豪</t>
  </si>
  <si>
    <t>巫伟</t>
  </si>
  <si>
    <t>陕西省汉中市汉台区国瑞大厦401</t>
  </si>
  <si>
    <t>陕西省汉中市汉台区星星街青龙小区6号楼103</t>
  </si>
  <si>
    <t>马志淑</t>
  </si>
  <si>
    <t>杨洪斌</t>
  </si>
  <si>
    <t>新疆克拉玛依市克拉玛依区新疆克拉玛依市通讯路128号</t>
  </si>
  <si>
    <t>新疆克拉玛依市克拉玛依区克拉玛依市供应小区6栋12号</t>
  </si>
  <si>
    <t>肖禹</t>
  </si>
  <si>
    <t>李金华</t>
  </si>
  <si>
    <t>王康</t>
  </si>
  <si>
    <t>赵倩怡</t>
  </si>
  <si>
    <t>范存前</t>
  </si>
  <si>
    <t>山东省临沂市兰山区临西十路17号</t>
  </si>
  <si>
    <t>山东省临沂市兰山区砚台岭小区18号楼3单元302</t>
  </si>
  <si>
    <t>邹燕倩</t>
  </si>
  <si>
    <t>陈能飞</t>
  </si>
  <si>
    <t>段学超</t>
  </si>
  <si>
    <t>刘雪玲</t>
  </si>
  <si>
    <t>汪子晟</t>
  </si>
  <si>
    <t>叶前</t>
  </si>
  <si>
    <t>吉庚赐</t>
  </si>
  <si>
    <t>徐建国</t>
  </si>
  <si>
    <t>赵文洋</t>
  </si>
  <si>
    <t>田静楠</t>
  </si>
  <si>
    <t>罗启建</t>
  </si>
  <si>
    <t>李成丽</t>
  </si>
  <si>
    <t>山东省潍坊市诸城市诸城和平街30号</t>
  </si>
  <si>
    <t>山东省潍坊市诸城市繁荣路宝龙庄园f区1401</t>
  </si>
  <si>
    <t>李学强</t>
  </si>
  <si>
    <t>段紫琴</t>
  </si>
  <si>
    <t>杨士闯</t>
  </si>
  <si>
    <t>张宜民</t>
  </si>
  <si>
    <t>钟煌</t>
  </si>
  <si>
    <t>郭布超</t>
  </si>
  <si>
    <t>李叉</t>
  </si>
  <si>
    <t>刘建星</t>
  </si>
  <si>
    <t>朱燕冬</t>
  </si>
  <si>
    <t>余泽英</t>
  </si>
  <si>
    <t>四川省甘孜藏族自治州康定县四川省甘孜州康定县步行街120号</t>
  </si>
  <si>
    <t>四川省阿坝藏族羌族自治州小金县二组</t>
  </si>
  <si>
    <t>蒋基春</t>
  </si>
  <si>
    <t>阿查</t>
  </si>
  <si>
    <t>张珮瑢</t>
  </si>
  <si>
    <t>纪东华</t>
  </si>
  <si>
    <t>宋庆杰</t>
  </si>
  <si>
    <t>余洋</t>
  </si>
  <si>
    <t>刘瑞娜</t>
  </si>
  <si>
    <t>哈玉娟</t>
  </si>
  <si>
    <t>梁修业</t>
  </si>
  <si>
    <t>吴洪礼</t>
  </si>
  <si>
    <t>云南省昆明市嵩明县嵩阳镇木作居委会牛墩村居民小组</t>
  </si>
  <si>
    <t>云南省昆明市嵩明县嵩阳镇杨桥街道办事处</t>
  </si>
  <si>
    <t>陈雅飞</t>
  </si>
  <si>
    <t>付凯伟</t>
  </si>
  <si>
    <t>黄霞</t>
  </si>
  <si>
    <t>范磊</t>
  </si>
  <si>
    <t>黑龙江省大庆市肇州县大庆市肇州县</t>
  </si>
  <si>
    <t>黑龙江省大庆市肇州县大庆市肇州县建设街八委</t>
  </si>
  <si>
    <t>贾天泰</t>
  </si>
  <si>
    <t>吴培聪</t>
  </si>
  <si>
    <t>福建省南平市延平区闽江路3号交通大厦西侧</t>
  </si>
  <si>
    <t>福建省南平市延平区南平市延平区人民路紫芝巷10幢409室</t>
  </si>
  <si>
    <t>王金燕</t>
  </si>
  <si>
    <t>韩明均</t>
  </si>
  <si>
    <t>于浩鑫</t>
  </si>
  <si>
    <t>叶秋水</t>
  </si>
  <si>
    <t>张冬冬</t>
  </si>
  <si>
    <t>黄新雨</t>
  </si>
  <si>
    <t>张爽</t>
  </si>
  <si>
    <t>广东省广州市海珠区土华村华泰路9号</t>
  </si>
  <si>
    <t>广东省广州市海珠区土华村土华路130号</t>
  </si>
  <si>
    <t>李野</t>
  </si>
  <si>
    <t>赵显荣</t>
  </si>
  <si>
    <t>梁志峯</t>
  </si>
  <si>
    <t>王微</t>
  </si>
  <si>
    <t>杨洁君</t>
  </si>
  <si>
    <t>广东省深圳市罗湖区深圳名优工业产品采购展示中心A520</t>
  </si>
  <si>
    <t>广东省深圳市宝安区蚝三民主丰泽园2栋503</t>
  </si>
  <si>
    <t>王进伟</t>
  </si>
  <si>
    <t>徐健峰</t>
  </si>
  <si>
    <t>黄文财</t>
  </si>
  <si>
    <t>颜旭华</t>
  </si>
  <si>
    <t>田科显</t>
  </si>
  <si>
    <t>辽宁省朝阳市龙城区向阳路1号</t>
  </si>
  <si>
    <t>辽宁省朝阳市双塔区光明街一段水岸华城9号楼一单元601</t>
  </si>
  <si>
    <t>严华清</t>
  </si>
  <si>
    <t>王艳龙</t>
  </si>
  <si>
    <t>木合甫江·努尔拉</t>
  </si>
  <si>
    <t>山西省太原市古交市屯兰街道办公楼</t>
  </si>
  <si>
    <t>山西省太原市古交市屯兰屯翔苑一居207-4-601号</t>
  </si>
  <si>
    <t>向雪</t>
  </si>
  <si>
    <t>林波</t>
  </si>
  <si>
    <t>吴宝铨</t>
  </si>
  <si>
    <t>福建省宁德市福鼎市玉龙北路57号</t>
  </si>
  <si>
    <t>福建省宁德市福鼎市点头镇镇江路212号</t>
  </si>
  <si>
    <t>劳勇津</t>
  </si>
  <si>
    <t>梁后丽</t>
  </si>
  <si>
    <t>尚维平</t>
  </si>
  <si>
    <t>黄杏杰</t>
  </si>
  <si>
    <t>李业平</t>
  </si>
  <si>
    <t>肖力强</t>
  </si>
  <si>
    <t>翁添花</t>
  </si>
  <si>
    <t>福建省泉州市石狮市福建省石狮市嘉?路51号店面</t>
  </si>
  <si>
    <t>福建省泉州市石狮市石狮濠江路</t>
  </si>
  <si>
    <t>许建志</t>
  </si>
  <si>
    <t>赵红兵</t>
  </si>
  <si>
    <t>张润先</t>
  </si>
  <si>
    <t>林越华</t>
  </si>
  <si>
    <t>广东省韶关市武江区西河镇下坑村</t>
  </si>
  <si>
    <t>韶关市武江区西河镇下坑村501队29号</t>
  </si>
  <si>
    <t>赵宝宇</t>
  </si>
  <si>
    <t>杨平鸽</t>
  </si>
  <si>
    <t>洪晓滨</t>
  </si>
  <si>
    <t>许丽君</t>
  </si>
  <si>
    <t>孙逢江</t>
  </si>
  <si>
    <t>赵欣怡</t>
  </si>
  <si>
    <t>孙常金</t>
  </si>
  <si>
    <t>山东省聊城市阳谷县清河路与燕山路交叉口</t>
  </si>
  <si>
    <t>山东省聊城市东昌府区山东省阳谷县高庙王乡孙集村</t>
  </si>
  <si>
    <t>李保华</t>
  </si>
  <si>
    <t>李明亮</t>
  </si>
  <si>
    <t>河北省沧州市泊头市泊富路八里庄北侧</t>
  </si>
  <si>
    <t>河北省沧州市泊头市西辛店乡马村</t>
  </si>
  <si>
    <t>刘振远</t>
  </si>
  <si>
    <t>陈明亮</t>
  </si>
  <si>
    <t>李小振</t>
  </si>
  <si>
    <t>蒋志鹏</t>
  </si>
  <si>
    <t>陈海家</t>
  </si>
  <si>
    <t>程文</t>
  </si>
  <si>
    <t>刘蓬</t>
  </si>
  <si>
    <t>山东省济宁市兖州市小孟镇金泰路一号</t>
  </si>
  <si>
    <t>山东省济宁市兖州市西御桥北路156号楼五单元三楼东</t>
  </si>
  <si>
    <t>张文克</t>
  </si>
  <si>
    <t>陈广栋</t>
  </si>
  <si>
    <t>向红</t>
  </si>
  <si>
    <t>罗华</t>
  </si>
  <si>
    <t>霍元东</t>
  </si>
  <si>
    <t>郭宗萍</t>
  </si>
  <si>
    <t>王鹏展</t>
  </si>
  <si>
    <t>张龙河</t>
  </si>
  <si>
    <t>高丹峰</t>
  </si>
  <si>
    <t>刘鹏程</t>
  </si>
  <si>
    <t>黄世源</t>
  </si>
  <si>
    <t>王兴海</t>
  </si>
  <si>
    <t>汪毅</t>
  </si>
  <si>
    <t>祁伟涛</t>
  </si>
  <si>
    <t>福建省福州市长乐市松下镇码头</t>
  </si>
  <si>
    <t>福建省福州市长乐市江田镇友爱村新南街92号401</t>
  </si>
  <si>
    <t>杨憓峥</t>
  </si>
  <si>
    <t>常阳</t>
  </si>
  <si>
    <t>钱婷婷</t>
  </si>
  <si>
    <t>芦江涛</t>
  </si>
  <si>
    <t>河南省洛阳市汝阳县杜鹃大道西段</t>
  </si>
  <si>
    <t>河南省洛阳市汝阳县三屯乡丁沟村二组</t>
  </si>
  <si>
    <t>赵玉柱</t>
  </si>
  <si>
    <t>赵经伟</t>
  </si>
  <si>
    <t>陈迪凯</t>
  </si>
  <si>
    <t>晏军</t>
  </si>
  <si>
    <t>田宇</t>
  </si>
  <si>
    <t>肖治民</t>
  </si>
  <si>
    <t>湖南省长沙市雨花区高桥街道大桥四区31栋二单元4号</t>
  </si>
  <si>
    <t>湖南省长沙市芙蓉区黎托街道合丰安置小区c8栋</t>
  </si>
  <si>
    <t>付萍</t>
  </si>
  <si>
    <t>任宠</t>
  </si>
  <si>
    <t>朱少举</t>
  </si>
  <si>
    <t>程梦华</t>
  </si>
  <si>
    <t>安永升</t>
  </si>
  <si>
    <t>谭永忠</t>
  </si>
  <si>
    <t>王宇恒</t>
  </si>
  <si>
    <t>费强</t>
  </si>
  <si>
    <t>马航</t>
  </si>
  <si>
    <t>潘中杰</t>
  </si>
  <si>
    <t>李新明</t>
  </si>
  <si>
    <t>蔡明新</t>
  </si>
  <si>
    <t>林进华</t>
  </si>
  <si>
    <t>徐进学</t>
  </si>
  <si>
    <t>努尔艾力·艾散</t>
  </si>
  <si>
    <t>新疆喀什地区麦盖提县麦盖提县建设南路</t>
  </si>
  <si>
    <t>新疆喀什地区麦盖提县麦盖提县刀郎小区3号楼161号</t>
  </si>
  <si>
    <t>高德成</t>
  </si>
  <si>
    <t>罗宁锋</t>
  </si>
  <si>
    <t>曹雄</t>
  </si>
  <si>
    <t>甘肃省兰州市榆中县城关镇栖云北路华光小区16号</t>
  </si>
  <si>
    <t>甘肃省兰州市榆中县城关镇管家岘218号</t>
  </si>
  <si>
    <t>卢宣会</t>
  </si>
  <si>
    <t>尹晓红</t>
  </si>
  <si>
    <t>余勇</t>
  </si>
  <si>
    <t>贵州省黔南布依族苗族自治州惠水县惠水县和平镇程番</t>
  </si>
  <si>
    <t>贵州省惠水县羡塘乡甲奉村</t>
  </si>
  <si>
    <t>韦世祖</t>
  </si>
  <si>
    <t>魏启春</t>
  </si>
  <si>
    <t>李嘉嘉</t>
  </si>
  <si>
    <t>田宗德</t>
  </si>
  <si>
    <t>黄定炎</t>
  </si>
  <si>
    <t>朱立蔚</t>
  </si>
  <si>
    <t>焦军</t>
  </si>
  <si>
    <t>陈小鑫</t>
  </si>
  <si>
    <t>王思淘</t>
  </si>
  <si>
    <t>王臣</t>
  </si>
  <si>
    <t>唐朝</t>
  </si>
  <si>
    <t>广西南宁市西乡塘区创新路23号中关村4栋B座</t>
  </si>
  <si>
    <t>广西南宁市青秀区民族大道38-1 3栋3单元302号</t>
  </si>
  <si>
    <t>许晓飞</t>
  </si>
  <si>
    <t>山西省太原市小店区晋阳街和泰花园</t>
  </si>
  <si>
    <t>山西省太原市小店区太榆路金色丽城</t>
  </si>
  <si>
    <t>周奉林</t>
  </si>
  <si>
    <t>韩晓明</t>
  </si>
  <si>
    <t>孟庆超</t>
  </si>
  <si>
    <t>河北省唐山市开平区普光路116号</t>
  </si>
  <si>
    <t>河北省唐山市开平区开平镇大岔道村中街30号</t>
  </si>
  <si>
    <t>陆巍</t>
  </si>
  <si>
    <t>刘亚莉</t>
  </si>
  <si>
    <t>周小祥</t>
  </si>
  <si>
    <t>盖鹏英</t>
  </si>
  <si>
    <t>陈熔</t>
  </si>
  <si>
    <t>谭许文</t>
  </si>
  <si>
    <t>刘志辉</t>
  </si>
  <si>
    <t>云南省曲靖市麒麟区恒大名都99幢2201室</t>
  </si>
  <si>
    <t>云南省曲靖市麒麟区锦林花园一幢一单元402室</t>
  </si>
  <si>
    <t>安徽省合肥市包河区米各庄镇邮局北100米</t>
  </si>
  <si>
    <t>河北省沧州市河间市米各庄镇刘店村111号</t>
  </si>
  <si>
    <t>浙江省台州市温岭市泽国镇丹崖工业区</t>
  </si>
  <si>
    <t>浙江省台州市温岭市城东街道锦康花苑30栋291号</t>
  </si>
  <si>
    <t>林纪杰</t>
  </si>
  <si>
    <t>付仁兵</t>
  </si>
  <si>
    <t>邓泽</t>
  </si>
  <si>
    <t>李道宝</t>
  </si>
  <si>
    <t>辽宁省大连市甘井子区大连市甘井子区龙安路18-5</t>
  </si>
  <si>
    <t>辽宁省大连市中山区南关岭雁南园218号楼二单元401</t>
  </si>
  <si>
    <t>彭东俊</t>
  </si>
  <si>
    <t>许晓</t>
  </si>
  <si>
    <t>何梦秋</t>
  </si>
  <si>
    <t>闻石聪</t>
  </si>
  <si>
    <t>段德伦</t>
  </si>
  <si>
    <t>贵州省六盘水市钟山区钟山中路58号附2号902室</t>
  </si>
  <si>
    <t>贵州省六盘水市钟山区官林路22号附5号</t>
  </si>
  <si>
    <t>刘兴义</t>
  </si>
  <si>
    <t>李引</t>
  </si>
  <si>
    <t>唐和宝</t>
  </si>
  <si>
    <t>吕莹莹</t>
  </si>
  <si>
    <t>唐涛章</t>
  </si>
  <si>
    <t>邓金亮</t>
  </si>
  <si>
    <t>洪道荣</t>
  </si>
  <si>
    <t>刘梦蝶</t>
  </si>
  <si>
    <t>刘旭鹏</t>
  </si>
  <si>
    <t>刘学才</t>
  </si>
  <si>
    <t>兰文兵</t>
  </si>
  <si>
    <t>昝星强</t>
  </si>
  <si>
    <t>肖加龙</t>
  </si>
  <si>
    <t>锁宇超</t>
  </si>
  <si>
    <t>玛旦</t>
  </si>
  <si>
    <t>卓智伟</t>
  </si>
  <si>
    <t>黄恩伯</t>
  </si>
  <si>
    <t>云南省红河哈尼族彝族自治州蒙自县锦华路路口</t>
  </si>
  <si>
    <t>云南省红河哈尼族彝族自治州蒙自县红竺园28栋401号</t>
  </si>
  <si>
    <t>麦德华</t>
  </si>
  <si>
    <t>邵亚忠</t>
  </si>
  <si>
    <t>辽宁省锦州市古塔区锦州市古塔区长安红日小区2-120号</t>
  </si>
  <si>
    <t>辽宁省锦州市古塔区锦州市古塔区定安里76-34号</t>
  </si>
  <si>
    <t>李云志</t>
  </si>
  <si>
    <t>张河峰</t>
  </si>
  <si>
    <t>唐运海</t>
  </si>
  <si>
    <t>广西桂林市临桂县桂林市临桂区人民路22号</t>
  </si>
  <si>
    <t>广西桂林市临桂县桂林市临桂区山水凤凰城b10-505</t>
  </si>
  <si>
    <t>张胜楠</t>
  </si>
  <si>
    <t>李赛</t>
  </si>
  <si>
    <t>张玉雪</t>
  </si>
  <si>
    <t>赵飞燕</t>
  </si>
  <si>
    <t>侯守财</t>
  </si>
  <si>
    <t>姜海岗</t>
  </si>
  <si>
    <t>山东省青岛市黄岛区经济开发区华侨科技园前八里庄村3号</t>
  </si>
  <si>
    <t>山东省青岛市平度市同和路侯家站35号</t>
  </si>
  <si>
    <t>何鑫</t>
  </si>
  <si>
    <t>陈利</t>
  </si>
  <si>
    <t>王正科</t>
  </si>
  <si>
    <t>张新林</t>
  </si>
  <si>
    <t>谭琳</t>
  </si>
  <si>
    <t>宿亮星</t>
  </si>
  <si>
    <t>郭志琪</t>
  </si>
  <si>
    <t>马悦</t>
  </si>
  <si>
    <t>蒋伟红</t>
  </si>
  <si>
    <t>程艳丽</t>
  </si>
  <si>
    <t>唐红阳</t>
  </si>
  <si>
    <t>江苏省淮安市金湖县健康路便民巷一栋二单元</t>
  </si>
  <si>
    <t>江苏省淮安市金湖县健康路便民巷25号</t>
  </si>
  <si>
    <t>林正玲</t>
  </si>
  <si>
    <t>袁登伟</t>
  </si>
  <si>
    <t>王立楠</t>
  </si>
  <si>
    <t>龙坤</t>
  </si>
  <si>
    <t>刘晓培</t>
  </si>
  <si>
    <t>河北省沧州市泊头市泊头市泊富路八里庄北侧</t>
  </si>
  <si>
    <t>河北省沧州市泊头市河北省泊头市西辛店乡马村307号</t>
  </si>
  <si>
    <t>陈琴</t>
  </si>
  <si>
    <t>刘业俊</t>
  </si>
  <si>
    <t>郑诺沙</t>
  </si>
  <si>
    <t>陆张祺</t>
  </si>
  <si>
    <t>杨栋</t>
  </si>
  <si>
    <t>佟文利</t>
  </si>
  <si>
    <t>刘宏亮</t>
  </si>
  <si>
    <t>邓杨鹏</t>
  </si>
  <si>
    <t>郑卫丰</t>
  </si>
  <si>
    <t>江西省上饶市广丰县永丰大道185号</t>
  </si>
  <si>
    <t>江西省上饶市广丰县江西省上饶市广丰区横山镇上孚</t>
  </si>
  <si>
    <t>青海省西宁市湟中县甘河工业园区广鑫大道26号</t>
  </si>
  <si>
    <t>青海省西宁市城北区门源路26号2号楼四单元202室</t>
  </si>
  <si>
    <t>虞跃虹</t>
  </si>
  <si>
    <t>浙江省杭州市下城区天目山路152号</t>
  </si>
  <si>
    <t>浙江省杭州市上城区‘复兴街264号203</t>
  </si>
  <si>
    <t>王会兰</t>
  </si>
  <si>
    <t>宋勇凌</t>
  </si>
  <si>
    <t>赵晓龙</t>
  </si>
  <si>
    <t>刘晓翠</t>
  </si>
  <si>
    <t>何聪聪</t>
  </si>
  <si>
    <t>苗海鹏</t>
  </si>
  <si>
    <t>叶发赞</t>
  </si>
  <si>
    <t>广东省阳江市江城区城西街道漠江路15号</t>
  </si>
  <si>
    <t>广东省阳江市江城区漠江路城市华庭A501</t>
  </si>
  <si>
    <t>张光磊</t>
  </si>
  <si>
    <t>廖文刘</t>
  </si>
  <si>
    <t>唐作龙</t>
  </si>
  <si>
    <t>甘肃省白银市靖远县靖远县北城金域华府二楼</t>
  </si>
  <si>
    <t>甘肃省白银市靖远县靖远县北城国际城5号楼二单元601</t>
  </si>
  <si>
    <t>李希模</t>
  </si>
  <si>
    <t>张渤涵</t>
  </si>
  <si>
    <t>罗成凯</t>
  </si>
  <si>
    <t>云南省文山壮族苗族自治州文山市卧龙街道七花南路58号卧龙河畔小区A幢12号</t>
  </si>
  <si>
    <t>云南省文山壮族苗族自治州文山市卧龙街道七花南路72号凤凰铭座A2幢501室</t>
  </si>
  <si>
    <t>王健平</t>
  </si>
  <si>
    <t>广西桂林市七星区灵川县八里街川东五路锦绣前程东门229号</t>
  </si>
  <si>
    <t>广西桂林市七星区普陀路55号3-4-101</t>
  </si>
  <si>
    <t>云南省昆明市官渡区骏信国际汽配城B5栋A1-A6</t>
  </si>
  <si>
    <t>云南省昆明市官渡区高桥村A4栋22号</t>
  </si>
  <si>
    <t>冉崇芬</t>
  </si>
  <si>
    <t>赖泓</t>
  </si>
  <si>
    <t>谢继业</t>
  </si>
  <si>
    <t>宋芮</t>
  </si>
  <si>
    <t>柴丽君</t>
  </si>
  <si>
    <t>宋歌</t>
  </si>
  <si>
    <t>杨兆军</t>
  </si>
  <si>
    <t>敖玉飞</t>
  </si>
  <si>
    <t>重庆市重庆市綦江区文龙街道长生路88号</t>
  </si>
  <si>
    <t>重庆市重庆市綦江区文龙街道普惠小区3栋5/2</t>
  </si>
  <si>
    <t>张金凤</t>
  </si>
  <si>
    <t>黑龙江省哈尔滨市道外区太平大街街道东直路辅路323号</t>
  </si>
  <si>
    <t>黑龙江省哈尔滨市道外区永平小区90栋一单元401</t>
  </si>
  <si>
    <t>何肖肖</t>
  </si>
  <si>
    <t>向自升</t>
  </si>
  <si>
    <t>徐菊</t>
  </si>
  <si>
    <t>王启成</t>
  </si>
  <si>
    <t>段丽</t>
  </si>
  <si>
    <t>陈家和</t>
  </si>
  <si>
    <t>曾远志</t>
  </si>
  <si>
    <t>刘宏飞</t>
  </si>
  <si>
    <t>内蒙古呼和浩特市玉泉区小黑河镇后八里庄村元旺驾校</t>
  </si>
  <si>
    <t>内蒙古呼和浩特市玉泉区云中南路祥和苑小区九号楼一单元1901</t>
  </si>
  <si>
    <t>马笠</t>
  </si>
  <si>
    <t>毛小愈</t>
  </si>
  <si>
    <t>边玉春</t>
  </si>
  <si>
    <t>韦学森</t>
  </si>
  <si>
    <t>贾英杰</t>
  </si>
  <si>
    <t>广东省江门市开平市曙光东路131号108铺</t>
  </si>
  <si>
    <t>广东省江门市开平市长沙梅园路11号3楼</t>
  </si>
  <si>
    <t>徐云武</t>
  </si>
  <si>
    <t>黄志坚</t>
  </si>
  <si>
    <t>广东省佛山市顺德区容桂高新区朝桂南路2号</t>
  </si>
  <si>
    <t>广东省佛山市顺德区大良街道七八一七工厂10座701</t>
  </si>
  <si>
    <t>丁永华</t>
  </si>
  <si>
    <t>郑瑶</t>
  </si>
  <si>
    <t>王佰安</t>
  </si>
  <si>
    <t>王运良</t>
  </si>
  <si>
    <t>山东省济南市章丘市济王路9001号</t>
  </si>
  <si>
    <t>山东省济南市章丘市明水街道铭鑫花苑1号楼3单元9号</t>
  </si>
  <si>
    <t>杨贤钟</t>
  </si>
  <si>
    <t>重庆市重庆市涪陵区江东涪清路233号</t>
  </si>
  <si>
    <t>重庆市重庆市万州区敦仁街道南门山苏宁电器20楼11号</t>
  </si>
  <si>
    <t>葛宇双</t>
  </si>
  <si>
    <t>杨建波</t>
  </si>
  <si>
    <t>贾光明</t>
  </si>
  <si>
    <t>王丽媛</t>
  </si>
  <si>
    <t>于培勇</t>
  </si>
  <si>
    <t>河北省秦皇岛市海港区东环路68号</t>
  </si>
  <si>
    <t>河北省秦皇岛市海港区红旗西里22栋1单元301号</t>
  </si>
  <si>
    <t>叶金银</t>
  </si>
  <si>
    <t>阮勇健</t>
  </si>
  <si>
    <t>蔡建</t>
  </si>
  <si>
    <t>栗志远</t>
  </si>
  <si>
    <t>湖南省长沙市芙蓉区湘湖街道三湘大市场6栋302</t>
  </si>
  <si>
    <t>湖南省长沙市芙蓉区湘湖街道星典时代9栋604</t>
  </si>
  <si>
    <t>容健</t>
  </si>
  <si>
    <t>陈荣</t>
  </si>
  <si>
    <t>张宇国</t>
  </si>
  <si>
    <t>山西省晋中市祁县山西省晋中市祁县峪口乡王家岭村</t>
  </si>
  <si>
    <t>山西省晋中市祁县峪口乡王家岭村富康街4号</t>
  </si>
  <si>
    <t>傅茂盛</t>
  </si>
  <si>
    <t>苏梅珍</t>
  </si>
  <si>
    <t>李顺龙</t>
  </si>
  <si>
    <t>荣洁</t>
  </si>
  <si>
    <t>岳秀芳</t>
  </si>
  <si>
    <t>苗培涛</t>
  </si>
  <si>
    <t>陕西省榆林市榆阳区榆林市榆阳区芹河镇长海村</t>
  </si>
  <si>
    <t>榆林市榆阳区芹河镇长海村018号</t>
  </si>
  <si>
    <t>何帮金</t>
  </si>
  <si>
    <t>杨成艳</t>
  </si>
  <si>
    <t>边军</t>
  </si>
  <si>
    <t>蒋莉娜</t>
  </si>
  <si>
    <t>耿学梦</t>
  </si>
  <si>
    <t>马天宇</t>
  </si>
  <si>
    <t>徐玮康</t>
  </si>
  <si>
    <t>吴泽苗</t>
  </si>
  <si>
    <t>石丽美</t>
  </si>
  <si>
    <t>陈亚</t>
  </si>
  <si>
    <t>北京市北京市大兴区大兴区瀛海镇瀛嘉汇商业中心8号楼1205室</t>
  </si>
  <si>
    <t>湖北省荆州市松滋市北京市大兴区青云店镇小铺头村27号</t>
  </si>
  <si>
    <t>庞秋香</t>
  </si>
  <si>
    <t>胡士明</t>
  </si>
  <si>
    <t>杨骏腾</t>
  </si>
  <si>
    <t>安徽省合肥市蜀山区黄山路安建国际大厦408室</t>
  </si>
  <si>
    <t>安徽省合肥市庐阳区宿州路富世广场A座1909室</t>
  </si>
  <si>
    <t>董松涛</t>
  </si>
  <si>
    <t>姜龙卿</t>
  </si>
  <si>
    <t>浙江省衢州市江山市江山市江城北路125号</t>
  </si>
  <si>
    <t>浙江省衢州市江山市江山市江东五区25号</t>
  </si>
  <si>
    <t>云南省楚雄彝族自治州楚雄市丰胜路107号</t>
  </si>
  <si>
    <t>云南省楚雄彝族自治州楚雄市永盛花园27-1402号</t>
  </si>
  <si>
    <t>蒋正荣</t>
  </si>
  <si>
    <t>王吉南</t>
  </si>
  <si>
    <t>方志鹏</t>
  </si>
  <si>
    <t>陈新建</t>
  </si>
  <si>
    <t>陆劲</t>
  </si>
  <si>
    <t>上海市上海市嘉定区白银路通福大夏</t>
  </si>
  <si>
    <t>上海市上海市嘉定区迎园路迎园五八坊16号402室</t>
  </si>
  <si>
    <t>曾绍棚</t>
  </si>
  <si>
    <t>闫海文</t>
  </si>
  <si>
    <t>蒋劲龙</t>
  </si>
  <si>
    <t>刘雯雯</t>
  </si>
  <si>
    <t>赖文强</t>
  </si>
  <si>
    <t>广东省深圳市宝安区西乡街道西乡大道文滨油站c栋5楼</t>
  </si>
  <si>
    <t>广东省深圳市宝安区福永街道翠岗工业园4区20栋403</t>
  </si>
  <si>
    <t>赵宇</t>
  </si>
  <si>
    <t>贺志杰</t>
  </si>
  <si>
    <t>董国鹏</t>
  </si>
  <si>
    <t>杨旺龙</t>
  </si>
  <si>
    <t>陈淳</t>
  </si>
  <si>
    <t>陆德双</t>
  </si>
  <si>
    <t>顾星星</t>
  </si>
  <si>
    <t>许诗尧</t>
  </si>
  <si>
    <t>湖北省宜昌市西陵区湖北省宜昌市东山大道54号</t>
  </si>
  <si>
    <t>湖北省宜昌市望洲岗路84-303</t>
  </si>
  <si>
    <t>朱立芳</t>
  </si>
  <si>
    <t>董健涌</t>
  </si>
  <si>
    <t>朱燕</t>
  </si>
  <si>
    <t>辽宁省沈阳市沈河区青年大街51号商会总部大厦</t>
  </si>
  <si>
    <t>辽宁省沈阳市和平区南京北街228号钻石星座</t>
  </si>
  <si>
    <t>钟丽云</t>
  </si>
  <si>
    <t>刘佩佩</t>
  </si>
  <si>
    <t>杨显琴</t>
  </si>
  <si>
    <t>马晓伟</t>
  </si>
  <si>
    <t>庄仁渺</t>
  </si>
  <si>
    <t>福建省宁德市福鼎市福鼎市桐城街道古城南路17号</t>
  </si>
  <si>
    <t>福建省宁德市福鼎市店下镇亥窑村庄厝5号</t>
  </si>
  <si>
    <t>黎鹏</t>
  </si>
  <si>
    <t>曹汝辉</t>
  </si>
  <si>
    <t>苗小莉</t>
  </si>
  <si>
    <t>刘永刚</t>
  </si>
  <si>
    <t>陕西省西安市碑林区和平路和平大道134号</t>
  </si>
  <si>
    <t>陕西省西安市碑林区仁义路宏鑫花园7号楼2106</t>
  </si>
  <si>
    <t>丁国佳</t>
  </si>
  <si>
    <t>汪俊</t>
  </si>
  <si>
    <t>杨健</t>
  </si>
  <si>
    <t>浙江省衢州市柯城区三衢路497-6号</t>
  </si>
  <si>
    <t>浙江省衢州市柯城区石室乡二村</t>
  </si>
  <si>
    <t>张忠洲</t>
  </si>
  <si>
    <t>湖北省武汉市江夏区佛祖岭3路1号</t>
  </si>
  <si>
    <t>湖北省武汉市江夏区梁山头1区40号</t>
  </si>
  <si>
    <t>江苏省淮安市清河区越河街2号</t>
  </si>
  <si>
    <t>江苏省淮安市清河区环美小区2栋209室</t>
  </si>
  <si>
    <t>林尚友</t>
  </si>
  <si>
    <t>吴豪</t>
  </si>
  <si>
    <t>湖北省黄冈市黄州区青石镇狮山大道中国电信</t>
  </si>
  <si>
    <t>湖北省黄冈市蕲春县青石镇白塘村四组</t>
  </si>
  <si>
    <t>崔静波</t>
  </si>
  <si>
    <t>陈玉琴</t>
  </si>
  <si>
    <t>云南省昭通市镇雄县乌峰镇环城东路</t>
  </si>
  <si>
    <t>云南省昭通市镇雄县乌峰镇</t>
  </si>
  <si>
    <t>代云龙</t>
  </si>
  <si>
    <t>曾含珍</t>
  </si>
  <si>
    <t>浙江省台州市椒江区芦浦科技大楼</t>
  </si>
  <si>
    <t>浙江省台州市椒江区坎门许家路56号</t>
  </si>
  <si>
    <t>谢可</t>
  </si>
  <si>
    <t>梁治敏</t>
  </si>
  <si>
    <t>胡世洪</t>
  </si>
  <si>
    <t>骆涛</t>
  </si>
  <si>
    <t>刘珍华</t>
  </si>
  <si>
    <t>向玲</t>
  </si>
  <si>
    <t>代磊</t>
  </si>
  <si>
    <t>刘艳飞</t>
  </si>
  <si>
    <t>内蒙古赤峰市克什克腾旗经棚镇三义工业园区冶炼小区3号</t>
  </si>
  <si>
    <t>内蒙古赤峰市克什克腾旗经棚镇园林路居民委员会旗社家属楼4号楼二单元212</t>
  </si>
  <si>
    <t>张碧锋</t>
  </si>
  <si>
    <t>黎腾</t>
  </si>
  <si>
    <t>广东省阳江市阳西县织篢镇建新街107号</t>
  </si>
  <si>
    <t>广东省阳江市阳西县溪头镇马村村委会马村东巷9号</t>
  </si>
  <si>
    <t>朱万祥</t>
  </si>
  <si>
    <t>王家骥</t>
  </si>
  <si>
    <t>周立东</t>
  </si>
  <si>
    <t>武璐</t>
  </si>
  <si>
    <t>梁敏敏</t>
  </si>
  <si>
    <t>王江</t>
  </si>
  <si>
    <t>覃琳</t>
  </si>
  <si>
    <t>魏遥</t>
  </si>
  <si>
    <t>雷明洁</t>
  </si>
  <si>
    <t>湖南省郴州市临武县临武大道中段临武县人民法院(迴峰公园旁)</t>
  </si>
  <si>
    <t>湖南省郴州市临武县临武县华舜国际新城小区B栋1501室</t>
  </si>
  <si>
    <t>刘玉现</t>
  </si>
  <si>
    <t>邹小红</t>
  </si>
  <si>
    <t>金立颖</t>
  </si>
  <si>
    <t>彭洪波</t>
  </si>
  <si>
    <t>庄云龙</t>
  </si>
  <si>
    <t>浙江省杭州市江干区丁桥镇蕙兰雅路2号</t>
  </si>
  <si>
    <t>浙江省杭州市江干区丁桥镇丁桥兰苑</t>
  </si>
  <si>
    <t>李君峣</t>
  </si>
  <si>
    <t>湖北省武汉市洪山区现代光谷世贸中心E座1309</t>
  </si>
  <si>
    <t>湖北省武汉市洪山区光谷街康桥小区3栋1单元1303</t>
  </si>
  <si>
    <t>金真行</t>
  </si>
  <si>
    <t>杨士毅</t>
  </si>
  <si>
    <t>河北省保定市徐水县建民西路83号</t>
  </si>
  <si>
    <t>河北省保定市徐水县安肃镇永兴西路52号电力局家属院7号楼1单元102室</t>
  </si>
  <si>
    <t>江西省新余市渝水区站前东路城关轧花厂</t>
  </si>
  <si>
    <t>江西省新余市渝水区玉紫北路80号4单元501</t>
  </si>
  <si>
    <t>冯婷</t>
  </si>
  <si>
    <t>赵应霞</t>
  </si>
  <si>
    <t>邱义长</t>
  </si>
  <si>
    <t>福建省三明市尤溪县西城镇解建开发区14号</t>
  </si>
  <si>
    <t>福建省三明市尤溪县西城镇解建开发区七排六栋701</t>
  </si>
  <si>
    <t>葛金斗</t>
  </si>
  <si>
    <t>张先良</t>
  </si>
  <si>
    <t>钟勤</t>
  </si>
  <si>
    <t>美彩霞</t>
  </si>
  <si>
    <t>陈春茂</t>
  </si>
  <si>
    <t>刘壮</t>
  </si>
  <si>
    <t>缪妙琼</t>
  </si>
  <si>
    <t>潘东</t>
  </si>
  <si>
    <t>范琳琳</t>
  </si>
  <si>
    <t>孙小平</t>
  </si>
  <si>
    <t>梅曦</t>
  </si>
  <si>
    <t>曾宇才</t>
  </si>
  <si>
    <t>广东省阳江市阳春市阳春大道尚品爱琴海</t>
  </si>
  <si>
    <t>广东省阳江市阳春市春城街道尚品爱琴海工地</t>
  </si>
  <si>
    <t>毕彦腾</t>
  </si>
  <si>
    <t>邢明雷</t>
  </si>
  <si>
    <t>卢婉怡</t>
  </si>
  <si>
    <t>张丽燕</t>
  </si>
  <si>
    <t>戴坤龙</t>
  </si>
  <si>
    <t>王明刚</t>
  </si>
  <si>
    <t>商娟娟</t>
  </si>
  <si>
    <t>李晓磊</t>
  </si>
  <si>
    <t>袁韦</t>
  </si>
  <si>
    <t>山西省临汾市尧都区山西省临汾市尧都区秦蜀路17号</t>
  </si>
  <si>
    <t>山西省临汾市隰县山西省临汾市隰县黄土镇古县村152号</t>
  </si>
  <si>
    <t>李綦</t>
  </si>
  <si>
    <t>林洁</t>
  </si>
  <si>
    <t>邱开福</t>
  </si>
  <si>
    <t>王宇铎</t>
  </si>
  <si>
    <t>苏永涛</t>
  </si>
  <si>
    <t>河北省保定市定州市定州市自来佛街军悦华府</t>
  </si>
  <si>
    <t>河北省保定市定州市定州市邢邑镇北俱佑村3队183号</t>
  </si>
  <si>
    <t>代方正</t>
  </si>
  <si>
    <t>安徽省合肥市包河区望江东路金中环广场C座1006</t>
  </si>
  <si>
    <t>安徽省合肥市包河区马鞍山路与皖江路交叉口和地公寓15楼1506</t>
  </si>
  <si>
    <t>周从洋</t>
  </si>
  <si>
    <t>广东省佛山市顺德区北滘105国道林头路段嘉怡综合楼二楼</t>
  </si>
  <si>
    <t>广东省佛山市顺德区北滘太平路四巷3号401房</t>
  </si>
  <si>
    <t>邹琼</t>
  </si>
  <si>
    <t>张丽辉</t>
  </si>
  <si>
    <t>德布信</t>
  </si>
  <si>
    <t>陈立新</t>
  </si>
  <si>
    <t>魏瑞红</t>
  </si>
  <si>
    <t>山西省长治市沁县山西省长治市沁县宝昌镇中心站小区一号楼东行200米</t>
  </si>
  <si>
    <t>山西长治市沁县宝昌镇中心站小区三号楼一单元401</t>
  </si>
  <si>
    <t>林先鹏</t>
  </si>
  <si>
    <t>吴飞波</t>
  </si>
  <si>
    <t>陆明昌</t>
  </si>
  <si>
    <t>关阳静</t>
  </si>
  <si>
    <t>江苏省泰州市兴化市戴南镇新宏大路1号</t>
  </si>
  <si>
    <t>江苏省泰州市海陵区戴南镇不锈钢大市场1403</t>
  </si>
  <si>
    <t>刘汉捷</t>
  </si>
  <si>
    <t>甘莹</t>
  </si>
  <si>
    <t>张高</t>
  </si>
  <si>
    <t>许伟</t>
  </si>
  <si>
    <t>河北省衡水市桃城区维明街369号</t>
  </si>
  <si>
    <t>河北省衡水市桃城区京衡南大街400号3栋2单201</t>
  </si>
  <si>
    <t>陈建国</t>
  </si>
  <si>
    <t>梁伟嫦</t>
  </si>
  <si>
    <t>夏召虎</t>
  </si>
  <si>
    <t>江苏省徐州市沛县江苏省徐州沛县龙固镇龙飞大街</t>
  </si>
  <si>
    <t>江苏省徐州市沛县龙固镇魏庄92号</t>
  </si>
  <si>
    <t>田双</t>
  </si>
  <si>
    <t>吴骐安</t>
  </si>
  <si>
    <t>周肱生</t>
  </si>
  <si>
    <t>喻春丽</t>
  </si>
  <si>
    <t>蔡菠</t>
  </si>
  <si>
    <t>张海军</t>
  </si>
  <si>
    <t>张孝笑</t>
  </si>
  <si>
    <t>毕雪涛</t>
  </si>
  <si>
    <t>郭春燕</t>
  </si>
  <si>
    <t>范立</t>
  </si>
  <si>
    <t>四川省乐山市沙湾区乐山市沙湾区嘉兴路与燎原街交叉口南50米504号</t>
  </si>
  <si>
    <t>四川省乐山市沙湾区嘉农镇燎原村12组9号</t>
  </si>
  <si>
    <t>张赛赛</t>
  </si>
  <si>
    <t>申翠香</t>
  </si>
  <si>
    <t>沈金汉</t>
  </si>
  <si>
    <t>王隆辉</t>
  </si>
  <si>
    <t>湖南省常德市鼎城区深柳镇潺陵社区政法巷038号</t>
  </si>
  <si>
    <t>湖南省永州市冷水滩区长丰大道与袁家路交汇处</t>
  </si>
  <si>
    <t>张明力</t>
  </si>
  <si>
    <t>岳玲</t>
  </si>
  <si>
    <t>郑海贞</t>
  </si>
  <si>
    <t>彭登彩</t>
  </si>
  <si>
    <t>王柳冬</t>
  </si>
  <si>
    <t>刘亚翠</t>
  </si>
  <si>
    <t>丁言继</t>
  </si>
  <si>
    <t>黑龙江省哈尔滨市香坊区中山路93号保利科技大厦十二楼</t>
  </si>
  <si>
    <t>黑龙江省哈尔滨市道外区草市街2-4号702</t>
  </si>
  <si>
    <t>陈晶晶</t>
  </si>
  <si>
    <t>青海省海东地区民和回族土族自治县马场垣乡工业园区二台根村</t>
  </si>
  <si>
    <t>甘肃省兰州市永登县武胜驿镇富强堡村四社478号</t>
  </si>
  <si>
    <t>山东省青岛市城阳区锦宏东路88号</t>
  </si>
  <si>
    <t>山东省青岛市城阳区锦宏东路中车青岛6-1902</t>
  </si>
  <si>
    <t>殷正刚</t>
  </si>
  <si>
    <t>鲍秋红</t>
  </si>
  <si>
    <t>车效先</t>
  </si>
  <si>
    <t>谢镇</t>
  </si>
  <si>
    <t>四川省遂宁市射洪县太和镇新华上街103号</t>
  </si>
  <si>
    <t>四川省射洪县太和镇人民街建行小区2栋503号</t>
  </si>
  <si>
    <t>张富祥</t>
  </si>
  <si>
    <t>刘鸿鹏</t>
  </si>
  <si>
    <t>刘美霞</t>
  </si>
  <si>
    <t>张豪</t>
  </si>
  <si>
    <t>郑献伟</t>
  </si>
  <si>
    <t>河南省郑州市金水区登封路与新安路交叉口向东200米</t>
  </si>
  <si>
    <t>河南省郑州市上街区上街区登封路与新安路交叉口向东200九冶家属院</t>
  </si>
  <si>
    <t>张政伟</t>
  </si>
  <si>
    <t>郭海洋</t>
  </si>
  <si>
    <t>张祥伟</t>
  </si>
  <si>
    <t>黄柳成</t>
  </si>
  <si>
    <t>黄垂煌</t>
  </si>
  <si>
    <t>刘中宝</t>
  </si>
  <si>
    <t>山东省潍坊市临朐县东城街道东环路498号</t>
  </si>
  <si>
    <t>山东省潍坊市临朐县东城街道刘家河村</t>
  </si>
  <si>
    <t>朱传军</t>
  </si>
  <si>
    <t>范黎</t>
  </si>
  <si>
    <t>钟岩盐</t>
  </si>
  <si>
    <t>孙艳平</t>
  </si>
  <si>
    <t>朱全武</t>
  </si>
  <si>
    <t>周文彬</t>
  </si>
  <si>
    <t>福建省龙岩市连城县连城县北大西路c栋</t>
  </si>
  <si>
    <t>福建省龙岩市连城县莲南小区四栋三单元606</t>
  </si>
  <si>
    <t>黎忠云</t>
  </si>
  <si>
    <t>冯亚男</t>
  </si>
  <si>
    <t>覃俞荣</t>
  </si>
  <si>
    <t>张庆锋</t>
  </si>
  <si>
    <t>张煦</t>
  </si>
  <si>
    <t>钱增彦</t>
  </si>
  <si>
    <t>王军鹤</t>
  </si>
  <si>
    <t>王楚翔</t>
  </si>
  <si>
    <t>罗媛婷</t>
  </si>
  <si>
    <t>段海峰</t>
  </si>
  <si>
    <t>白熬</t>
  </si>
  <si>
    <t>广东省深圳市宝安区深圳市光明新区大洋二路5号</t>
  </si>
  <si>
    <t>钱王兴</t>
  </si>
  <si>
    <t>袁新保</t>
  </si>
  <si>
    <t>陈旺林</t>
  </si>
  <si>
    <t>梁燕清</t>
  </si>
  <si>
    <t>韩永奇</t>
  </si>
  <si>
    <t>陈纪山</t>
  </si>
  <si>
    <t>邢云东</t>
  </si>
  <si>
    <t>陈淼森</t>
  </si>
  <si>
    <t>衷敬耕</t>
  </si>
  <si>
    <t>王汝吉</t>
  </si>
  <si>
    <t>黑龙江省绥化市绥棱县繁盛大街257号</t>
  </si>
  <si>
    <t>黑龙江省绥化市绥棱县杭州花园4号楼2单元301</t>
  </si>
  <si>
    <t>冯晶</t>
  </si>
  <si>
    <t>黄敏</t>
  </si>
  <si>
    <t>四川省自贡市荣县旭阳镇嘉恒大道66-2-2-12号</t>
  </si>
  <si>
    <t>四川省自贡市荣县旭阳镇便民服务中心一栋二单元402</t>
  </si>
  <si>
    <t>余永泽</t>
  </si>
  <si>
    <t>李展博</t>
  </si>
  <si>
    <t>周卿</t>
  </si>
  <si>
    <t>欧文静</t>
  </si>
  <si>
    <t>安徽省亳州市谯城区安徽省亳州市魏武大道夜上海酒吧有限公司</t>
  </si>
  <si>
    <t>安徽省亳州市谯城区安徽省亳州市魏武大道海晶大厦</t>
  </si>
  <si>
    <t>邢国庆</t>
  </si>
  <si>
    <t>吴明</t>
  </si>
  <si>
    <t>胡媛媛</t>
  </si>
  <si>
    <t>冯智浩</t>
  </si>
  <si>
    <t>黑龙江省齐齐哈尔市龙沙区中汇城B区14栋112</t>
  </si>
  <si>
    <t>黑龙江省齐齐哈尔市龙沙区畅心园1号楼3单元501</t>
  </si>
  <si>
    <t>吴文标</t>
  </si>
  <si>
    <t>赵宣胜</t>
  </si>
  <si>
    <t>江苏省苏州市昆山市江兴东路1688号</t>
  </si>
  <si>
    <t>河南省濮阳市濮阳县清河头乡东清河头村</t>
  </si>
  <si>
    <t>曲泽华</t>
  </si>
  <si>
    <t>李城奇</t>
  </si>
  <si>
    <t>杜凤</t>
  </si>
  <si>
    <t>刘志艳</t>
  </si>
  <si>
    <t>肖涛</t>
  </si>
  <si>
    <t>灌先平</t>
  </si>
  <si>
    <t>山东省临沂市罗庄区盛庄街道豪德鑫界75A1106</t>
  </si>
  <si>
    <t>山东省临沂市兰山区五路开阳路金阳花园B座23楼2302</t>
  </si>
  <si>
    <t>杨子峰</t>
  </si>
  <si>
    <t>任潇威</t>
  </si>
  <si>
    <t>湖南省岳阳市岳阳楼区步行街君临新世界A栋801</t>
  </si>
  <si>
    <t>湖南省岳阳市岳阳楼区八字门社区茂盛小区3栋三单元701</t>
  </si>
  <si>
    <t>彭铁军</t>
  </si>
  <si>
    <t>湖南省长沙市天心区湖南省长沙市天心区新开铺路与雀园路交汇处</t>
  </si>
  <si>
    <t>湖南省长沙县黄兴大道紫东苑小区8栋1706</t>
  </si>
  <si>
    <t>黄泽宾</t>
  </si>
  <si>
    <t>广东省惠州市惠阳区淡水古井五路二号2楼</t>
  </si>
  <si>
    <t>广东省深圳市福田区西胪镇泉塘村第一住宅区四横巷8号</t>
  </si>
  <si>
    <t>庄丽菁</t>
  </si>
  <si>
    <t>葛军强</t>
  </si>
  <si>
    <t>黄燚</t>
  </si>
  <si>
    <t>杨冬冬</t>
  </si>
  <si>
    <t>李丰婧</t>
  </si>
  <si>
    <t>陈攀</t>
  </si>
  <si>
    <t>温农德</t>
  </si>
  <si>
    <t>广东省广州市海珠区广州大道南1276</t>
  </si>
  <si>
    <t>广东省广州市番禺区大石植村一路6号</t>
  </si>
  <si>
    <t>郭大伟</t>
  </si>
  <si>
    <t>王雪青</t>
  </si>
  <si>
    <t>车福强</t>
  </si>
  <si>
    <t>孙伟龙</t>
  </si>
  <si>
    <t>马新茹</t>
  </si>
  <si>
    <t>李芳芳</t>
  </si>
  <si>
    <t>谭宇</t>
  </si>
  <si>
    <t>王俊凤</t>
  </si>
  <si>
    <t>张启超</t>
  </si>
  <si>
    <t>胡成功</t>
  </si>
  <si>
    <t>段化鹏</t>
  </si>
  <si>
    <t>崔彦华</t>
  </si>
  <si>
    <t>李琴</t>
  </si>
  <si>
    <t>詹益镭</t>
  </si>
  <si>
    <t>北京市北京市顺义区顺西北路乙22号院居然之家七号门</t>
  </si>
  <si>
    <t>河南省信阳市商城县余集镇李湾村李湾一组</t>
  </si>
  <si>
    <t>刘慕杨</t>
  </si>
  <si>
    <t>初丹丹</t>
  </si>
  <si>
    <t>曾志浩</t>
  </si>
  <si>
    <t>农欣莜</t>
  </si>
  <si>
    <t>陈锦云</t>
  </si>
  <si>
    <t>张立志</t>
  </si>
  <si>
    <t>宁峰葵</t>
  </si>
  <si>
    <t>薛蛟</t>
  </si>
  <si>
    <t>山西省运城市盐湖区老东街126号</t>
  </si>
  <si>
    <t>山西省运城市盐湖区空港南区格林雅地2号楼2单元502</t>
  </si>
  <si>
    <t>杜海峰</t>
  </si>
  <si>
    <t>邵丽娜</t>
  </si>
  <si>
    <t>李明琼</t>
  </si>
  <si>
    <t>云南省昆明市官渡区大板桥民兴南路15号</t>
  </si>
  <si>
    <t>云南省昆明市官渡区小板桥鸣泉村786号</t>
  </si>
  <si>
    <t>任振斌</t>
  </si>
  <si>
    <t>河南省焦作市武陟县河南省焦作市武陟县产业集聚区工业北路198号</t>
  </si>
  <si>
    <t>河南省焦作市武陟县圪垱店乡耿村和平西二街94号</t>
  </si>
  <si>
    <t>陈利铎</t>
  </si>
  <si>
    <t>董增君</t>
  </si>
  <si>
    <t>杨盛荣</t>
  </si>
  <si>
    <t>何建伟</t>
  </si>
  <si>
    <t>汤为鹏</t>
  </si>
  <si>
    <t>宋燕秋</t>
  </si>
  <si>
    <t>陈作鸽</t>
  </si>
  <si>
    <t>任宁美</t>
  </si>
  <si>
    <t>于威</t>
  </si>
  <si>
    <t>河北省邯郸市魏县魏县魏州东路889号</t>
  </si>
  <si>
    <t>河北省邯郸市魏县魏县电兴小区一号楼一单元三楼东户</t>
  </si>
  <si>
    <t>方林霞</t>
  </si>
  <si>
    <t>安徽省铜陵市铜官山区铜陵市铜官区石城路电子工业园</t>
  </si>
  <si>
    <t>安徽省铜陵市铜官山区滨江花园66栋408</t>
  </si>
  <si>
    <t>夏占一</t>
  </si>
  <si>
    <t>吴少彬</t>
  </si>
  <si>
    <t>韩丽娜</t>
  </si>
  <si>
    <t>方丽</t>
  </si>
  <si>
    <t>张文雷</t>
  </si>
  <si>
    <t>李碧龙</t>
  </si>
  <si>
    <t>杨琴</t>
  </si>
  <si>
    <t>罗娟</t>
  </si>
  <si>
    <t>赛尔鹏·叶尔森</t>
  </si>
  <si>
    <t>张建仓</t>
  </si>
  <si>
    <t>刘宗央</t>
  </si>
  <si>
    <t>仝臻</t>
  </si>
  <si>
    <t>河北省邢台市隆尧县华龙食品城254省道交叉口</t>
  </si>
  <si>
    <t>河北省邢台市南和县河郭乡仝牌村68号</t>
  </si>
  <si>
    <t>李静霞</t>
  </si>
  <si>
    <t>陈赢</t>
  </si>
  <si>
    <t>刘斯萌</t>
  </si>
  <si>
    <t>龚艺</t>
  </si>
  <si>
    <t>张湘凡</t>
  </si>
  <si>
    <t>贺多</t>
  </si>
  <si>
    <t>林钊铭</t>
  </si>
  <si>
    <t>俞良</t>
  </si>
  <si>
    <t>周远洋</t>
  </si>
  <si>
    <t>海涛</t>
  </si>
  <si>
    <t>孔宁</t>
  </si>
  <si>
    <t>河南省郑州市新密市新密老电业局院内北楼</t>
  </si>
  <si>
    <t>河南省郑州市新密市矿区王沟街1号院7排141号</t>
  </si>
  <si>
    <t>黄仅沦</t>
  </si>
  <si>
    <t>广西桂林市七星区广西桂林市七星区南环路东边州17号</t>
  </si>
  <si>
    <t>广西桂林市七星区桂林市七星区南环路东边州村</t>
  </si>
  <si>
    <t>孔祥晶</t>
  </si>
  <si>
    <t>耿海超</t>
  </si>
  <si>
    <t>陈建立</t>
  </si>
  <si>
    <t>苏顺达</t>
  </si>
  <si>
    <t>王亚波</t>
  </si>
  <si>
    <t>生辉</t>
  </si>
  <si>
    <t>毕子明</t>
  </si>
  <si>
    <t>黄崇津</t>
  </si>
  <si>
    <t>孔高红</t>
  </si>
  <si>
    <t>寿玉瀚</t>
  </si>
  <si>
    <t>孙云</t>
  </si>
  <si>
    <t>李叶满</t>
  </si>
  <si>
    <t>程淑君</t>
  </si>
  <si>
    <t>重庆市秀山县中和街道岩马巷1号</t>
  </si>
  <si>
    <t>重庆市秀山县中和镇茶园巷109号附6号</t>
  </si>
  <si>
    <t>钟灿坤</t>
  </si>
  <si>
    <t>吴俊锋</t>
  </si>
  <si>
    <t>章星</t>
  </si>
  <si>
    <t>刘文江</t>
  </si>
  <si>
    <t>江苏省苏州市吴中区同盛路112号</t>
  </si>
  <si>
    <t>江苏省苏州市吴中区机场路板桥村乐天公寓</t>
  </si>
  <si>
    <t>李建伟</t>
  </si>
  <si>
    <t>内蒙古赤峰市松山区临潢大街西段</t>
  </si>
  <si>
    <t>内蒙古赤峰市松山区迎宾路中段芙蓉园小区1-2-201</t>
  </si>
  <si>
    <t>胡虎</t>
  </si>
  <si>
    <t>刘柱</t>
  </si>
  <si>
    <t>孟晓云</t>
  </si>
  <si>
    <t>乔山</t>
  </si>
  <si>
    <t>北京市北京市朝阳区裕民东路5号瑞德大厦404</t>
  </si>
  <si>
    <t>北京市北京市朝阳区武圣西里28号院3号楼304</t>
  </si>
  <si>
    <t>王苏权</t>
  </si>
  <si>
    <t>龚海</t>
  </si>
  <si>
    <t>江苏省无锡市滨湖区梅育路98号</t>
  </si>
  <si>
    <t>江苏省无锡市滨湖区梅村镇联心嘉园58栋</t>
  </si>
  <si>
    <t>邓丹</t>
  </si>
  <si>
    <t>张雯珏</t>
  </si>
  <si>
    <t>严科</t>
  </si>
  <si>
    <t>张俊峰</t>
  </si>
  <si>
    <t>兰森</t>
  </si>
  <si>
    <t>四川省乐山市峨眉山市报恩寺街6号</t>
  </si>
  <si>
    <t>四川省乐山市峨眉山市宝马南街8号3栋2单元202</t>
  </si>
  <si>
    <t>刘长浪</t>
  </si>
  <si>
    <t>上海市上海市杨浦区淞沪路1号巴黎春天5楼</t>
  </si>
  <si>
    <t>上海市上海市杨浦区上海市杨浦区政立路257弄4号210室</t>
  </si>
  <si>
    <t>马雪莲</t>
  </si>
  <si>
    <t>曹强</t>
  </si>
  <si>
    <t>郑卫</t>
  </si>
  <si>
    <t>刘津</t>
  </si>
  <si>
    <t>谈庆鹏</t>
  </si>
  <si>
    <t>于鹏</t>
  </si>
  <si>
    <t>胡安汗·阿达依</t>
  </si>
  <si>
    <t>四川省成都市龙泉驿区成龙大道三段177号</t>
  </si>
  <si>
    <t>四川省成都市龙泉驿区星光东路2号2栋1单元2楼3号</t>
  </si>
  <si>
    <t>廖成华</t>
  </si>
  <si>
    <t>湖北省武汉市洪山区青菱乡红霞村华中动力产业园1-2号</t>
  </si>
  <si>
    <t>湖北省武汉市青山区工业二路110街113门4号</t>
  </si>
  <si>
    <t>付宇光</t>
  </si>
  <si>
    <t>史彦</t>
  </si>
  <si>
    <t>四川省成都市金堂县十里大道华地财富</t>
  </si>
  <si>
    <t>四川省成都市金堂县现代名都</t>
  </si>
  <si>
    <t>付东晖</t>
  </si>
  <si>
    <t>姚尧</t>
  </si>
  <si>
    <t>汪忠</t>
  </si>
  <si>
    <t>湖北省荆门市钟祥市安陆府中路5号</t>
  </si>
  <si>
    <t>湖北省荆门市钟祥市文集镇青星村七组4号</t>
  </si>
  <si>
    <t>丁国强</t>
  </si>
  <si>
    <t>陕西省延安市黄陵县桥山镇呼家湾村</t>
  </si>
  <si>
    <t>代旭升</t>
  </si>
  <si>
    <t>张飞明</t>
  </si>
  <si>
    <t>陶波波</t>
  </si>
  <si>
    <t>乃比江·吾吉</t>
  </si>
  <si>
    <t>新疆巴音郭楞蒙古自治州轮台县新疆轮台县文化路</t>
  </si>
  <si>
    <t>新疆巴音郭楞蒙古自治州轮台县新疆轮台县团结东路13号院桃花园13栋2单元401室</t>
  </si>
  <si>
    <t>王伟昌</t>
  </si>
  <si>
    <t>周加林</t>
  </si>
  <si>
    <t>张平花</t>
  </si>
  <si>
    <t>云南省昆明市盘龙区穿金路小坝禧瑞都</t>
  </si>
  <si>
    <t>云南省昆明市盘龙区金刀营568号</t>
  </si>
  <si>
    <t>马彦斌</t>
  </si>
  <si>
    <t>黄建中</t>
  </si>
  <si>
    <t>孙旭峰</t>
  </si>
  <si>
    <t>山西省忻州市代县城南门外东街</t>
  </si>
  <si>
    <t>山西省忻州市代县阳光苑10号楼2单元</t>
  </si>
  <si>
    <t>戴俏玲</t>
  </si>
  <si>
    <t>郭向阳</t>
  </si>
  <si>
    <t>赵香明</t>
  </si>
  <si>
    <t>石欣雨</t>
  </si>
  <si>
    <t>宋璇</t>
  </si>
  <si>
    <t>王喃</t>
  </si>
  <si>
    <t>陈冠宏</t>
  </si>
  <si>
    <t>福建省厦门市湖里区兴隆路73号</t>
  </si>
  <si>
    <t>杨姿力</t>
  </si>
  <si>
    <t>朱一帆</t>
  </si>
  <si>
    <t>杨树香</t>
  </si>
  <si>
    <t>何少寒</t>
  </si>
  <si>
    <t>朱开猛</t>
  </si>
  <si>
    <t>赵科研</t>
  </si>
  <si>
    <t>肖霁鲜</t>
  </si>
  <si>
    <t>杜淑琴</t>
  </si>
  <si>
    <t>四川省成都市龙泉驿区十陵镇友谊路377号</t>
  </si>
  <si>
    <t>四川省成都市青羊区东马棚街14号1单元1楼1号</t>
  </si>
  <si>
    <t>夏路路</t>
  </si>
  <si>
    <t>王宏卫</t>
  </si>
  <si>
    <t>北京市北京市海淀区颐和园北宫门601场站</t>
  </si>
  <si>
    <t>北京市北京市房山区大石窝镇后石门村四区2号内2号</t>
  </si>
  <si>
    <t>郝明华</t>
  </si>
  <si>
    <t>吴焰生</t>
  </si>
  <si>
    <t>谢火辉</t>
  </si>
  <si>
    <t>陈强杰</t>
  </si>
  <si>
    <t>福建省泉州市晋江市晋江市磁灶镇永昇路145号</t>
  </si>
  <si>
    <t>福建省泉州市晋江市磁灶镇永昇路145号</t>
  </si>
  <si>
    <t>冯家圳</t>
  </si>
  <si>
    <t>麻伍松</t>
  </si>
  <si>
    <t>林伟鹏</t>
  </si>
  <si>
    <t>何明轩</t>
  </si>
  <si>
    <t>贾妍俊</t>
  </si>
  <si>
    <t>汪忠会</t>
  </si>
  <si>
    <t>王婧</t>
  </si>
  <si>
    <t>孙锦娴</t>
  </si>
  <si>
    <t>山西省晋中市和顺县和顺县义兴镇滨河路9号</t>
  </si>
  <si>
    <t>山西省晋中市榆次区榆次区南尧西街115号</t>
  </si>
  <si>
    <t>赵长进</t>
  </si>
  <si>
    <t>阳涛</t>
  </si>
  <si>
    <t>刁兴宁</t>
  </si>
  <si>
    <t>湖南省常德市武陵区育才西路611号</t>
  </si>
  <si>
    <t>湖南省常德市武陵区护城三岔路居委会十组</t>
  </si>
  <si>
    <t>虞松玭</t>
  </si>
  <si>
    <t>江苏省无锡市江阴市长山大道78号</t>
  </si>
  <si>
    <t>江苏省无锡市江阴市青阳镇建义邱家村48号</t>
  </si>
  <si>
    <t>蔡永军</t>
  </si>
  <si>
    <t>程冰茹</t>
  </si>
  <si>
    <t>宋国江</t>
  </si>
  <si>
    <t>张创业</t>
  </si>
  <si>
    <t>郑成</t>
  </si>
  <si>
    <t>吕昂</t>
  </si>
  <si>
    <t>符兰芳</t>
  </si>
  <si>
    <t>金国波</t>
  </si>
  <si>
    <t>广东省深圳市罗湖区红岭路红岗大厦1003号七楼715室</t>
  </si>
  <si>
    <t>广东省深圳市罗湖区红岭路红岗大厦1003号1905室</t>
  </si>
  <si>
    <t>吴三龙</t>
  </si>
  <si>
    <t>河北省邯郸市临漳县人民西路学府苑8号</t>
  </si>
  <si>
    <t>河北省邯郸市临漳县人民西路学府苑5号</t>
  </si>
  <si>
    <t>申宁</t>
  </si>
  <si>
    <t>伏雄</t>
  </si>
  <si>
    <t>云南省曲靖市陆良县中兴北路28号</t>
  </si>
  <si>
    <t>云南省曲靖市陆良县马街镇汤官箐村025号</t>
  </si>
  <si>
    <t>卢文榜</t>
  </si>
  <si>
    <t>肖常友</t>
  </si>
  <si>
    <t>林朝辉</t>
  </si>
  <si>
    <t>彭建蓉</t>
  </si>
  <si>
    <t>旺苍县东河镇新华街530号</t>
  </si>
  <si>
    <t>旺苍县委党校</t>
  </si>
  <si>
    <t>赵凯龙</t>
  </si>
  <si>
    <t>江西省南昌市西湖区站前西路59号</t>
  </si>
  <si>
    <t>江西省南昌市西湖区金盘路54号2单元402室</t>
  </si>
  <si>
    <t>陈希</t>
  </si>
  <si>
    <t>袁礼山</t>
  </si>
  <si>
    <t>苏剑华</t>
  </si>
  <si>
    <t>范元凯</t>
  </si>
  <si>
    <t>王永松</t>
  </si>
  <si>
    <t>张武良</t>
  </si>
  <si>
    <t>顾普芳</t>
  </si>
  <si>
    <t>罗云华</t>
  </si>
  <si>
    <t>信娜佳</t>
  </si>
  <si>
    <t>林晓敏</t>
  </si>
  <si>
    <t>郭振</t>
  </si>
  <si>
    <t>韩继磊</t>
  </si>
  <si>
    <t>马自象</t>
  </si>
  <si>
    <t>王文</t>
  </si>
  <si>
    <t>徐学</t>
  </si>
  <si>
    <t>张关平</t>
  </si>
  <si>
    <t>陈朝亮</t>
  </si>
  <si>
    <t>郑翔耀</t>
  </si>
  <si>
    <t>郭朝艮</t>
  </si>
  <si>
    <t>文水县南安镇谢家寨村村南50米</t>
  </si>
  <si>
    <t>山西省文水县南安镇谢家寨村57号</t>
  </si>
  <si>
    <t>沈玉良</t>
  </si>
  <si>
    <t>刘梦娟</t>
  </si>
  <si>
    <t>四川省资阳市雁江区外环路</t>
  </si>
  <si>
    <t>四川省资阳市雁江区车城小区3区二栋二单元</t>
  </si>
  <si>
    <t>胡睿章</t>
  </si>
  <si>
    <t>湖北省武汉市江汉区武汉市江汉区平安大厦1901室</t>
  </si>
  <si>
    <t>湖北省武汉市洪山区湖北省大冶市刘仁八镇郑沟村胡十六湾</t>
  </si>
  <si>
    <t>王吉</t>
  </si>
  <si>
    <t>王如聪</t>
  </si>
  <si>
    <t>黄集利</t>
  </si>
  <si>
    <t>高泉龙</t>
  </si>
  <si>
    <t>赵静</t>
  </si>
  <si>
    <t>山东省烟台市莱山区桂山路8号</t>
  </si>
  <si>
    <t>湖北省荆州区八岭山镇财政局宿舍1门201</t>
  </si>
  <si>
    <t>刘竟</t>
  </si>
  <si>
    <t>秦斌</t>
  </si>
  <si>
    <t>孟祥彬</t>
  </si>
  <si>
    <t>饶志文</t>
  </si>
  <si>
    <t>李开红</t>
  </si>
  <si>
    <t>吴耀坚</t>
  </si>
  <si>
    <t>广东省深圳市南山区科苑路科兴科学园b2</t>
  </si>
  <si>
    <t>广东省深圳市南山区桃园路大新新村83栋1007</t>
  </si>
  <si>
    <t>张向红</t>
  </si>
  <si>
    <t>楼彬锋</t>
  </si>
  <si>
    <t>王智超</t>
  </si>
  <si>
    <t>刘华强</t>
  </si>
  <si>
    <t>孔德智</t>
  </si>
  <si>
    <t>俞达飞</t>
  </si>
  <si>
    <t>浙江省杭州市西湖区文三路108号西溪数码港s292</t>
  </si>
  <si>
    <t>浙江省杭州市江干区九堡蓝桥名苑12-3-902</t>
  </si>
  <si>
    <t>潘琦</t>
  </si>
  <si>
    <t>徐拓</t>
  </si>
  <si>
    <t>周贤龙</t>
  </si>
  <si>
    <t>于山山</t>
  </si>
  <si>
    <t>杨秀生</t>
  </si>
  <si>
    <t>黄忠金</t>
  </si>
  <si>
    <t>王兴佩</t>
  </si>
  <si>
    <t>欧本立</t>
  </si>
  <si>
    <t>李霖敏</t>
  </si>
  <si>
    <t>俄亚君</t>
  </si>
  <si>
    <t>窦媚茜</t>
  </si>
  <si>
    <t>郑杭磊</t>
  </si>
  <si>
    <t>王春景</t>
  </si>
  <si>
    <t>王治磊</t>
  </si>
  <si>
    <t>湖北省黄冈市浠水县湖北省浠水县清泉镇丽文大道</t>
  </si>
  <si>
    <t>湖北省黄冈市浠水县湖北省浠水县散花镇钱坳村一组</t>
  </si>
  <si>
    <t>刘远芬</t>
  </si>
  <si>
    <t>李利</t>
  </si>
  <si>
    <t>黄宏宇</t>
  </si>
  <si>
    <t>竹庆亮</t>
  </si>
  <si>
    <t>河南省信阳市平桥区信阳市平桥区明港镇杨冲村</t>
  </si>
  <si>
    <t>河南省信阳市平桥区新六大街香格里拉2号楼二单元1007</t>
  </si>
  <si>
    <t>黄启正</t>
  </si>
  <si>
    <t>管慧</t>
  </si>
  <si>
    <t>高兴阵</t>
  </si>
  <si>
    <t>陈道德</t>
  </si>
  <si>
    <t>云南省昆明市官渡区昆明市官渡区太和街道</t>
  </si>
  <si>
    <t>云南省昆明市官渡区佴家湾路合金公寓</t>
  </si>
  <si>
    <t>彭丽英</t>
  </si>
  <si>
    <t>宁雪姣</t>
  </si>
  <si>
    <t>周邦文</t>
  </si>
  <si>
    <t>俞灶开</t>
  </si>
  <si>
    <t>赵天娇</t>
  </si>
  <si>
    <t>高东喜</t>
  </si>
  <si>
    <t>耿海涛</t>
  </si>
  <si>
    <t>吴挺秉</t>
  </si>
  <si>
    <t>海南省海口市琼山区美兰区海府路16-3亚希大厦</t>
  </si>
  <si>
    <t>海南省海口市琼山区凤翔街道下坎西路182号</t>
  </si>
  <si>
    <t>王建成</t>
  </si>
  <si>
    <t>杨元华</t>
  </si>
  <si>
    <t>刘启浈</t>
  </si>
  <si>
    <t>江苏省泰州市海陵区寺巷街道西寿村</t>
  </si>
  <si>
    <t>广西河池市金城江区文苑路一巷139号</t>
  </si>
  <si>
    <t>向永富</t>
  </si>
  <si>
    <t>浙江省金华市武义县泉溪镇王元工业区</t>
  </si>
  <si>
    <t>浙江省金华市武义县泉溪镇茆角村东夏线76号</t>
  </si>
  <si>
    <t>袁秋发</t>
  </si>
  <si>
    <t>广东省东莞市万江区莲子坊商业大道华美新村1号</t>
  </si>
  <si>
    <t>广东省东莞市万江区水蛇涌商业街七巷19号</t>
  </si>
  <si>
    <t>黎有良</t>
  </si>
  <si>
    <t>杨陈杰</t>
  </si>
  <si>
    <t>四川省成都市锦江区静安路万科城市花园98栋119号</t>
  </si>
  <si>
    <t>四川省成都市成华区建设南路20号5栋4单元602室</t>
  </si>
  <si>
    <t>周学华</t>
  </si>
  <si>
    <t>金磊</t>
  </si>
  <si>
    <t>徐昭胜</t>
  </si>
  <si>
    <t>张均华</t>
  </si>
  <si>
    <t>李秀峰</t>
  </si>
  <si>
    <t>曾泽强</t>
  </si>
  <si>
    <t>吴欧阳</t>
  </si>
  <si>
    <t>黄冰森</t>
  </si>
  <si>
    <t>杜江燕</t>
  </si>
  <si>
    <t>蒋淑容</t>
  </si>
  <si>
    <t>顾晶晶</t>
  </si>
  <si>
    <t>姚天天</t>
  </si>
  <si>
    <t>山东省临沂市兰山区临沂市兰山区西外环路兰田二手车交易市场D西区98号</t>
  </si>
  <si>
    <t>山东省临沂市兰山区临沂市兰山区临西九路南道小区2号楼2单元502室</t>
  </si>
  <si>
    <t>焦朋博</t>
  </si>
  <si>
    <t>柒青峰</t>
  </si>
  <si>
    <t>湖南省长沙市雨花区中意一路红星糖酒城一栋</t>
  </si>
  <si>
    <t>湖南省长沙市雨花区车站南路芒果雅苑一栋1401</t>
  </si>
  <si>
    <t>袁露蓉</t>
  </si>
  <si>
    <t>张甜甜</t>
  </si>
  <si>
    <t>吴蛟</t>
  </si>
  <si>
    <t>吴成鹏</t>
  </si>
  <si>
    <t>郭思豪</t>
  </si>
  <si>
    <t>上海市上海市虹口区虹口区逸仙路158号2201</t>
  </si>
  <si>
    <t>上海市上海市宝山区宝山区韶山路245弄44号1703</t>
  </si>
  <si>
    <t>陈财泉</t>
  </si>
  <si>
    <t>肖宁</t>
  </si>
  <si>
    <t>蒋浩澎</t>
  </si>
  <si>
    <t>陕西省西安市雁塔区西高新丈八沟街道科技六路37号</t>
  </si>
  <si>
    <t>陕西省西安市碑林区张家村街道含光北路96号11号楼四单元302室</t>
  </si>
  <si>
    <t>卢福博</t>
  </si>
  <si>
    <t>付洪超</t>
  </si>
  <si>
    <t>刘武艳</t>
  </si>
  <si>
    <t>徐家威</t>
  </si>
  <si>
    <t>钟雄杰</t>
  </si>
  <si>
    <t>于海艇</t>
  </si>
  <si>
    <t>段国川</t>
  </si>
  <si>
    <t>林赛群</t>
  </si>
  <si>
    <t>黄妙华</t>
  </si>
  <si>
    <t>王敏锦</t>
  </si>
  <si>
    <t>浙江省宁波市江东区世纪大道北段33号华东城1号1211</t>
  </si>
  <si>
    <t>浙江省宁波市江东区民安东路锦绣东城6号312</t>
  </si>
  <si>
    <t>彭少文</t>
  </si>
  <si>
    <t>浦嘉琦</t>
  </si>
  <si>
    <t>吴春</t>
  </si>
  <si>
    <t>孙忠哲</t>
  </si>
  <si>
    <t>杜青</t>
  </si>
  <si>
    <t>林家慧</t>
  </si>
  <si>
    <t>刁健忠</t>
  </si>
  <si>
    <t>罗旺</t>
  </si>
  <si>
    <t>刘菲菲</t>
  </si>
  <si>
    <t>张爱文</t>
  </si>
  <si>
    <t>曹勇</t>
  </si>
  <si>
    <t>四川省内江市东兴区内江市东兴区蟠龙路149号</t>
  </si>
  <si>
    <t>四川省内江市资中县资中县双河镇芦茅冲村</t>
  </si>
  <si>
    <t>曾炳文</t>
  </si>
  <si>
    <t>覃素梅</t>
  </si>
  <si>
    <t>张长龙</t>
  </si>
  <si>
    <t>池璐菲</t>
  </si>
  <si>
    <t>任妍</t>
  </si>
  <si>
    <t>邓俊杰</t>
  </si>
  <si>
    <t>邓宏绪</t>
  </si>
  <si>
    <t>福建省福州市晋安区福光南路上洋综合楼7楼</t>
  </si>
  <si>
    <t>福建省福州市晋安区鼓山镇前屿东路上洋小区4栋403</t>
  </si>
  <si>
    <t>蒋自旺</t>
  </si>
  <si>
    <t>王灿祥</t>
  </si>
  <si>
    <t>福建省龙岩市武平县武平县七坊路232号</t>
  </si>
  <si>
    <t>福建省龙岩市武平县武平县城厢镇东云村猪高岭16号</t>
  </si>
  <si>
    <t>罗敏</t>
  </si>
  <si>
    <t>黄美金</t>
  </si>
  <si>
    <t>周宏霖</t>
  </si>
  <si>
    <t>广西河池市都安瑶族自治县高岭镇都安北高速公路办公楼</t>
  </si>
  <si>
    <t>广西河池市都安瑶族自治县高岭镇都安北高速公路办公楼703室</t>
  </si>
  <si>
    <t>赖斐城</t>
  </si>
  <si>
    <t>呼金帅</t>
  </si>
  <si>
    <t>陈远俭</t>
  </si>
  <si>
    <t>左从飞</t>
  </si>
  <si>
    <t>侯荣臻</t>
  </si>
  <si>
    <t>薛晓燕</t>
  </si>
  <si>
    <t>宁夏银川市西夏区文萃北街马场路新村</t>
  </si>
  <si>
    <t>宁夏银川市兴庆区清净巷雅庆苑5-3-201</t>
  </si>
  <si>
    <t>郭松松</t>
  </si>
  <si>
    <t>孔晓宁</t>
  </si>
  <si>
    <t>黄宏磊</t>
  </si>
  <si>
    <t>河南省郑州市新郑市航空港八千南海大道北大附中南邻</t>
  </si>
  <si>
    <t>河南省郑州市管城回族区航海东路金色港湾1号院19幢</t>
  </si>
  <si>
    <t>王井中</t>
  </si>
  <si>
    <t>贺小亚</t>
  </si>
  <si>
    <t>任春美</t>
  </si>
  <si>
    <t>曹飞飘</t>
  </si>
  <si>
    <t>广东省河源市和平县广东省和平县阳明镇中山一路60号</t>
  </si>
  <si>
    <t>广东省河源市和平县广东省和平县阳明镇雅水村委会上曹28号</t>
  </si>
  <si>
    <t>李元山</t>
  </si>
  <si>
    <t>孔龙才</t>
  </si>
  <si>
    <t>李向红</t>
  </si>
  <si>
    <t>李林山</t>
  </si>
  <si>
    <t>郑江斌</t>
  </si>
  <si>
    <t>叶年华</t>
  </si>
  <si>
    <t>孙海波</t>
  </si>
  <si>
    <t>冯建荣</t>
  </si>
  <si>
    <t>靳丽丽</t>
  </si>
  <si>
    <t>汪维聪</t>
  </si>
  <si>
    <t>迟立伟</t>
  </si>
  <si>
    <t>张童童</t>
  </si>
  <si>
    <t>辽宁省沈阳市于洪区汪河路1甲号</t>
  </si>
  <si>
    <t>柳伟栋</t>
  </si>
  <si>
    <t>李劲</t>
  </si>
  <si>
    <t>陈劲松</t>
  </si>
  <si>
    <t>于省超</t>
  </si>
  <si>
    <t>张敦伟</t>
  </si>
  <si>
    <t>李罗强</t>
  </si>
  <si>
    <t>福建省漳州市芗城区南山路207国道左侧</t>
  </si>
  <si>
    <t>福建省漳州市华安县新村路四目坑37号</t>
  </si>
  <si>
    <t>许炎圭</t>
  </si>
  <si>
    <t>张顺杰</t>
  </si>
  <si>
    <t>山东省潍坊市诸城市密州东路欧美尔家居装饰城内圈</t>
  </si>
  <si>
    <t>四川省成都市锦江区麓山国际社区4栋1楼20号</t>
  </si>
  <si>
    <t>四川省成都市双流县中和镇祥和佳苑5栋1单元1503</t>
  </si>
  <si>
    <t>苏文举</t>
  </si>
  <si>
    <t>伍俊拓</t>
  </si>
  <si>
    <t>吕莹阳</t>
  </si>
  <si>
    <t>瞿鹏浩</t>
  </si>
  <si>
    <t>方燕</t>
  </si>
  <si>
    <t>吴春晨</t>
  </si>
  <si>
    <t>王忠慎</t>
  </si>
  <si>
    <t>陈威雨</t>
  </si>
  <si>
    <t>黄亚星</t>
  </si>
  <si>
    <t>河南省信阳市新县新县四桥北文广新局旁</t>
  </si>
  <si>
    <t>河南省信阳市新县新县城关首府路200号</t>
  </si>
  <si>
    <t>梁滇鹏</t>
  </si>
  <si>
    <t>湖北省黄冈市蕲春县漕河镇蕲阳中路57号</t>
  </si>
  <si>
    <t>湖北省黄冈市蕲春县漕河镇红旗桥针织街四楼402</t>
  </si>
  <si>
    <t>葛江龙</t>
  </si>
  <si>
    <t>裴广东</t>
  </si>
  <si>
    <t>鲁燕子</t>
  </si>
  <si>
    <t>陕西省西安市莲湖区海纳汽配城一部</t>
  </si>
  <si>
    <t>陕西省西安市雁塔区鱼化寨周宋村</t>
  </si>
  <si>
    <t>马红杰</t>
  </si>
  <si>
    <t>徐杨枚</t>
  </si>
  <si>
    <t>孙先国</t>
  </si>
  <si>
    <t>盘红智</t>
  </si>
  <si>
    <t>叶春祥</t>
  </si>
  <si>
    <t>王雄飞</t>
  </si>
  <si>
    <t>吴海辉</t>
  </si>
  <si>
    <t>唐源富</t>
  </si>
  <si>
    <t>于浩</t>
  </si>
  <si>
    <t>栗忠强</t>
  </si>
  <si>
    <t>张坚强</t>
  </si>
  <si>
    <t>黄珍青</t>
  </si>
  <si>
    <t>刘友青</t>
  </si>
  <si>
    <t>程翔</t>
  </si>
  <si>
    <t>周新竹</t>
  </si>
  <si>
    <t>湖北省武汉市东西湖区东西湖</t>
  </si>
  <si>
    <t>湖北省武汉市黄陂区湖北省武汉黄陂区罗汉寺</t>
  </si>
  <si>
    <t>戴程鹏</t>
  </si>
  <si>
    <t>曾宇</t>
  </si>
  <si>
    <t>广西南宁市江南区白沙大道天元国际二栋14楼</t>
  </si>
  <si>
    <t>广西南宁市西乡塘区朝阳路64号天成一品1313</t>
  </si>
  <si>
    <t>王雨顺</t>
  </si>
  <si>
    <t>陈国成</t>
  </si>
  <si>
    <t>甘肃省兰州市城关区白银路49号</t>
  </si>
  <si>
    <t>甘肃省兰州市城关区段家滩路450号欣欣茗园13号楼2202</t>
  </si>
  <si>
    <t>曾亚男</t>
  </si>
  <si>
    <t>黄金雷</t>
  </si>
  <si>
    <t>江西省上饶市万年县江西省上饶市万年县梓埠镇宋戴村委会旁</t>
  </si>
  <si>
    <t>江西省上饶市万年县江西省上饶市鄱阳县乐丰镇丰源高家村034号</t>
  </si>
  <si>
    <t>闫锦洋</t>
  </si>
  <si>
    <t>王蓉蓉</t>
  </si>
  <si>
    <t>成翠</t>
  </si>
  <si>
    <t>王利</t>
  </si>
  <si>
    <t>韦祖初</t>
  </si>
  <si>
    <t>郑啸康</t>
  </si>
  <si>
    <t>江苏省南京市栖霞区柳营100号俊峰大厦2层</t>
  </si>
  <si>
    <t>江苏省南京市秦淮区渡船口小区3号1101</t>
  </si>
  <si>
    <t>隋屹林</t>
  </si>
  <si>
    <t>赵状</t>
  </si>
  <si>
    <t>刘严羡</t>
  </si>
  <si>
    <t>李毅超</t>
  </si>
  <si>
    <t>邹继峰</t>
  </si>
  <si>
    <t>张俊阳</t>
  </si>
  <si>
    <t>北京市北京市通州区潞城镇后北营</t>
  </si>
  <si>
    <t>河南省周口市西华县田口乡宋营行政村宋营村213号</t>
  </si>
  <si>
    <t>胡敬怡</t>
  </si>
  <si>
    <t>郭书平</t>
  </si>
  <si>
    <t>福建省福州市福清市江镜镇玉桂村东宵路口</t>
  </si>
  <si>
    <t>福建省福州市福清市江镜镇玉桂村495号</t>
  </si>
  <si>
    <t>邓小兵</t>
  </si>
  <si>
    <t>黄巾花</t>
  </si>
  <si>
    <t>向松柏</t>
  </si>
  <si>
    <t>杨多</t>
  </si>
  <si>
    <t>袁冲</t>
  </si>
  <si>
    <t>张兴春</t>
  </si>
  <si>
    <t>贵州省黔西南布依族苗族自治州兴义市兴义市阳光电力酒店五楼</t>
  </si>
  <si>
    <t>贵州省黔西南布依族苗族自治州兴义市猪场坪乡堡山村高坎子组</t>
  </si>
  <si>
    <t>赵东丽</t>
  </si>
  <si>
    <t>葛志静</t>
  </si>
  <si>
    <t>江苏省无锡市南长区江溪街道哥伦布广场c幢402</t>
  </si>
  <si>
    <t>江苏省无锡市滨湖区水秀新村6号501</t>
  </si>
  <si>
    <t>熊长林</t>
  </si>
  <si>
    <t>鲁行航</t>
  </si>
  <si>
    <t>陈晓瑜</t>
  </si>
  <si>
    <t>严小青</t>
  </si>
  <si>
    <t>彭程</t>
  </si>
  <si>
    <t>梁榕</t>
  </si>
  <si>
    <t>吴利洋</t>
  </si>
  <si>
    <t>陈健雄</t>
  </si>
  <si>
    <t>李必鑫</t>
  </si>
  <si>
    <t>陈辉勇</t>
  </si>
  <si>
    <t>张秋营</t>
  </si>
  <si>
    <t>陈诗伟</t>
  </si>
  <si>
    <t>凹鹏智</t>
  </si>
  <si>
    <t>邹思宏</t>
  </si>
  <si>
    <t>云南省普洱市思茅区滨河路加油站二站</t>
  </si>
  <si>
    <t>云南省普洱市思茅区洗马河路19号</t>
  </si>
  <si>
    <t>赵福阳</t>
  </si>
  <si>
    <t>李洪运</t>
  </si>
  <si>
    <t>邓淑然</t>
  </si>
  <si>
    <t>广东省肇庆市怀集县怀城镇民安路二巷36号</t>
  </si>
  <si>
    <t>广东省肇庆市怀集县怀城镇城中永安居委会兴贤八队</t>
  </si>
  <si>
    <t>李相其</t>
  </si>
  <si>
    <t>陈召彬</t>
  </si>
  <si>
    <t>重庆市重庆市綦江区重庆市綦江区干坝村</t>
  </si>
  <si>
    <t>重庆市重庆市綦江区重庆市綦江区石角镇</t>
  </si>
  <si>
    <t>钱铖</t>
  </si>
  <si>
    <t>邢宇</t>
  </si>
  <si>
    <t>易勇</t>
  </si>
  <si>
    <t>程清明</t>
  </si>
  <si>
    <t>薛磊</t>
  </si>
  <si>
    <t>山西省晋中市榆次区顺城西街</t>
  </si>
  <si>
    <t>山西省晋中市榆次区开发区使赵村</t>
  </si>
  <si>
    <t>魏瑞伟</t>
  </si>
  <si>
    <t>梁兵杰</t>
  </si>
  <si>
    <t>秦鹏云</t>
  </si>
  <si>
    <t>孙代艳</t>
  </si>
  <si>
    <t>四川省自贡市富顺县富世镇海棠路261号</t>
  </si>
  <si>
    <t>四川省自贡市富顺县代寺镇茨篱村十八组23号</t>
  </si>
  <si>
    <t>刘白平</t>
  </si>
  <si>
    <t>张团国</t>
  </si>
  <si>
    <t>冷佳文</t>
  </si>
  <si>
    <t>熊贤发</t>
  </si>
  <si>
    <t>郑文惠</t>
  </si>
  <si>
    <t>潘庆</t>
  </si>
  <si>
    <t>安徽省合肥市蜀山区大通路11号肥叔锅贴对面</t>
  </si>
  <si>
    <t>安徽省合肥市瑶海区新蚌埠路与临泉路交叉口临泉花苑5栋一单元802</t>
  </si>
  <si>
    <t>董鑫</t>
  </si>
  <si>
    <t>董金亮</t>
  </si>
  <si>
    <t>朱春华</t>
  </si>
  <si>
    <t>楼成丰</t>
  </si>
  <si>
    <t>金万哲</t>
  </si>
  <si>
    <t>冯英锋</t>
  </si>
  <si>
    <t>郝印</t>
  </si>
  <si>
    <t>韩松</t>
  </si>
  <si>
    <t>白志国</t>
  </si>
  <si>
    <t>河北省保定市新市区乐凯北大街40号</t>
  </si>
  <si>
    <t>河北省保定市新市区七一路电厂生活二区8号楼15单元503</t>
  </si>
  <si>
    <t>黑龙江省哈尔滨市南岗区哈尔滨市香坊区嵩山路07号</t>
  </si>
  <si>
    <t>黑龙江省哈尔滨市道里区黑龙江哈尔滨市道里区华光小区6号楼4单元6楼右门</t>
  </si>
  <si>
    <t>史金平</t>
  </si>
  <si>
    <t>朱建志</t>
  </si>
  <si>
    <t>黄海桂</t>
  </si>
  <si>
    <t>广西贵港市桂平市长安工业区玮力裕科技园</t>
  </si>
  <si>
    <t>广西贵港市桂平市长安综合市场</t>
  </si>
  <si>
    <t>陈京</t>
  </si>
  <si>
    <t>许松</t>
  </si>
  <si>
    <t>江西省赣州市赣县阳埠乡许屋村许屋组</t>
  </si>
  <si>
    <t>江西省赣州市赣县阳埠乡许屋村许屋组56号</t>
  </si>
  <si>
    <t>郑晓悦</t>
  </si>
  <si>
    <t>王方方</t>
  </si>
  <si>
    <t>连莎</t>
  </si>
  <si>
    <t>罗肖</t>
  </si>
  <si>
    <t>魏星</t>
  </si>
  <si>
    <t>汪广群</t>
  </si>
  <si>
    <t>湖北省恩施土家族苗族自治州恩施市恩施市叶挺路60号众信地产</t>
  </si>
  <si>
    <t>湖北省恩施土家族苗族自治州恩施市凤凰城天籁园6栋401</t>
  </si>
  <si>
    <t>唐文浩</t>
  </si>
  <si>
    <t>赵镕涛</t>
  </si>
  <si>
    <t>明安安</t>
  </si>
  <si>
    <t>王李斌</t>
  </si>
  <si>
    <t>黄亚梅</t>
  </si>
  <si>
    <t>施冬平</t>
  </si>
  <si>
    <t>杨巧飞</t>
  </si>
  <si>
    <t>邱悦</t>
  </si>
  <si>
    <t>朱茂国</t>
  </si>
  <si>
    <t>黄科高</t>
  </si>
  <si>
    <t>方翔</t>
  </si>
  <si>
    <t>许路</t>
  </si>
  <si>
    <t>欧阳杰</t>
  </si>
  <si>
    <t>倪文华</t>
  </si>
  <si>
    <t>贵州省黔东南苗族侗族自治州黄平县兴隆路38号</t>
  </si>
  <si>
    <t>贵州省黔东南苗族侗族自治州黄平县新州镇四屏社区文化路</t>
  </si>
  <si>
    <t>陈世术</t>
  </si>
  <si>
    <t>吴福杰</t>
  </si>
  <si>
    <t>何如新</t>
  </si>
  <si>
    <t>新疆喀什地区叶城县英雄大道56号</t>
  </si>
  <si>
    <t>新疆喀什地区叶城县越程小区六栋二单元62061</t>
  </si>
  <si>
    <t>王对亮</t>
  </si>
  <si>
    <t>林昌明</t>
  </si>
  <si>
    <t>山梅</t>
  </si>
  <si>
    <t>郑高宗</t>
  </si>
  <si>
    <t>杨明兴</t>
  </si>
  <si>
    <t>秦坤</t>
  </si>
  <si>
    <t>徐群</t>
  </si>
  <si>
    <t>孙艳秋</t>
  </si>
  <si>
    <t>宋晋艳</t>
  </si>
  <si>
    <t>黑龙江省哈尔滨市阿城区胜利街清真二期兴和家园1号楼108</t>
  </si>
  <si>
    <t>黑龙江省哈尔滨市阿城区外资局家属楼5单元301</t>
  </si>
  <si>
    <t>薛琛</t>
  </si>
  <si>
    <t>黄子铭</t>
  </si>
  <si>
    <t>徐以晴</t>
  </si>
  <si>
    <t>童文杰</t>
  </si>
  <si>
    <t>海南省海口市秀英区海南省儋州市那大镇解放北路30号</t>
  </si>
  <si>
    <t>海南省海口市秀英区海南省儋州市那大镇人民中路28号二楼201房</t>
  </si>
  <si>
    <t>傅春来</t>
  </si>
  <si>
    <t>令狐远远</t>
  </si>
  <si>
    <t>许庆</t>
  </si>
  <si>
    <t>兰枝</t>
  </si>
  <si>
    <t>浙江省温州市龙湾区永中街道后章路169号</t>
  </si>
  <si>
    <t>浙江省温州市龙湾区永兴街道小塘村四组团一幢十号</t>
  </si>
  <si>
    <t>齐辉</t>
  </si>
  <si>
    <t>山东省聊城市茌平县华鲁街1号</t>
  </si>
  <si>
    <t>山东省聊城市茌平县安康小区3号楼三单元三楼302室</t>
  </si>
  <si>
    <t>潘骏明</t>
  </si>
  <si>
    <t>上海市上海市徐汇区上海市徐汇区宜山路638号</t>
  </si>
  <si>
    <t>上海市上海市闸北区上海市闸北区大宁路667弄15号302室</t>
  </si>
  <si>
    <t>海翎皓</t>
  </si>
  <si>
    <t>北京市北京市西城区西直门南小街22号</t>
  </si>
  <si>
    <t>北京市北京市平谷区白各庄新村6号楼4单元702</t>
  </si>
  <si>
    <t>钟宇</t>
  </si>
  <si>
    <t>广东省东莞市虎门镇大宁大板地一路</t>
  </si>
  <si>
    <t>郭丽丽</t>
  </si>
  <si>
    <t>李小伟</t>
  </si>
  <si>
    <t>李川东</t>
  </si>
  <si>
    <t>辽宁省大连市西岗区沿海街64号3层B号</t>
  </si>
  <si>
    <t>辽宁省大连市金州区北山路1404号1-7-1</t>
  </si>
  <si>
    <t>钟炳根</t>
  </si>
  <si>
    <t>梁顺根</t>
  </si>
  <si>
    <t>江西省宜春市袁州区宜阳大道88号</t>
  </si>
  <si>
    <t>江西省宜春市袁州区彬江镇霞塘金坑</t>
  </si>
  <si>
    <t>杨勤召</t>
  </si>
  <si>
    <t>张炎光</t>
  </si>
  <si>
    <t>陈泽康</t>
  </si>
  <si>
    <t>海口市琼山区龙昆南春源购物广场三楼</t>
  </si>
  <si>
    <t>海口市美兰分局群贤路40号</t>
  </si>
  <si>
    <t>于香兵</t>
  </si>
  <si>
    <t>段飞龙</t>
  </si>
  <si>
    <t>魏滔</t>
  </si>
  <si>
    <t>龙任基</t>
  </si>
  <si>
    <t>李俊强</t>
  </si>
  <si>
    <t>王天博</t>
  </si>
  <si>
    <t>湖北省神农架潜江市潜江市杨市办事处江湾一路华中家具产业园壹中心</t>
  </si>
  <si>
    <t>湖北省神农架潜江市潜江市园林街道红军路社区370号</t>
  </si>
  <si>
    <t>何春生</t>
  </si>
  <si>
    <t>许伯海</t>
  </si>
  <si>
    <t>向阳</t>
  </si>
  <si>
    <t>张芝帅</t>
  </si>
  <si>
    <t>浙江省杭州市下城区越都商务大厦11楼</t>
  </si>
  <si>
    <t>浙江省杭州市余杭区浙江省杭州市余杭区五常街道西溪雅苑54栋1单元302</t>
  </si>
  <si>
    <t>李江涛</t>
  </si>
  <si>
    <t>左钰</t>
  </si>
  <si>
    <t>上海市上海市静安区南京西路1168号中信泰富广场五层</t>
  </si>
  <si>
    <t>上海市上海市静安区新闸路1321号</t>
  </si>
  <si>
    <t>江苏省苏州市虎丘区竹园路99号</t>
  </si>
  <si>
    <t>江苏省苏州市姑苏区新华路东158号</t>
  </si>
  <si>
    <t>刘衍东</t>
  </si>
  <si>
    <t>四川省成都市双流县滨河路二段659</t>
  </si>
  <si>
    <t>四川省成都市金牛区近效民居五十栋一单元三号</t>
  </si>
  <si>
    <t>侯金玲</t>
  </si>
  <si>
    <t>杨运琦</t>
  </si>
  <si>
    <t>胡娇娇</t>
  </si>
  <si>
    <t>栾常委</t>
  </si>
  <si>
    <t>林俊滨</t>
  </si>
  <si>
    <t>王传新</t>
  </si>
  <si>
    <t>句成龙</t>
  </si>
  <si>
    <t>朱军平</t>
  </si>
  <si>
    <t>张潇珊</t>
  </si>
  <si>
    <t>何学森</t>
  </si>
  <si>
    <t>母泽生</t>
  </si>
  <si>
    <t>张开秀</t>
  </si>
  <si>
    <t>夏彬彬</t>
  </si>
  <si>
    <t>杨康平</t>
  </si>
  <si>
    <t>唐云昊</t>
  </si>
  <si>
    <t>北京市北京市东城区长春市二道区卡伦街道铁南工业区龙达路003号</t>
  </si>
  <si>
    <t>辽宁省沈阳市和平区长春市二道区卡伦街道铁南工业区龙达路003号</t>
  </si>
  <si>
    <t>商昌喜</t>
  </si>
  <si>
    <t>曾杰</t>
  </si>
  <si>
    <t>张文鹏</t>
  </si>
  <si>
    <t>赵符旺</t>
  </si>
  <si>
    <t>米运长</t>
  </si>
  <si>
    <t>何国裕</t>
  </si>
  <si>
    <t>仁小万</t>
  </si>
  <si>
    <t>王宏业</t>
  </si>
  <si>
    <t>高勇刚</t>
  </si>
  <si>
    <t>付毅飞</t>
  </si>
  <si>
    <t>山东省潍坊市寿光市农圣街道2199号</t>
  </si>
  <si>
    <t>山东省潍坊市寿光市台头镇付家茅坨村444号</t>
  </si>
  <si>
    <t>黄玉婷</t>
  </si>
  <si>
    <t>徐振伟</t>
  </si>
  <si>
    <t>金竹松</t>
  </si>
  <si>
    <t>王慧琳</t>
  </si>
  <si>
    <t>管秩涛</t>
  </si>
  <si>
    <t>盘玲玲</t>
  </si>
  <si>
    <t>艾卫星</t>
  </si>
  <si>
    <t>王秋玲</t>
  </si>
  <si>
    <t>修百月</t>
  </si>
  <si>
    <t>郑金科</t>
  </si>
  <si>
    <t>王晓雯</t>
  </si>
  <si>
    <t>陈其趸</t>
  </si>
  <si>
    <t>黄晶晶</t>
  </si>
  <si>
    <t>朱艳婷</t>
  </si>
  <si>
    <t>罗静</t>
  </si>
  <si>
    <t>朱小龙</t>
  </si>
  <si>
    <t>李红梅</t>
  </si>
  <si>
    <t>高金凤</t>
  </si>
  <si>
    <t>焦建强</t>
  </si>
  <si>
    <t>李展鹏</t>
  </si>
  <si>
    <t>者王晓</t>
  </si>
  <si>
    <t>林玉泉</t>
  </si>
  <si>
    <t>王洪明</t>
  </si>
  <si>
    <t>福建省泉州市鲤城区金龙金峰社区笋江路20号</t>
  </si>
  <si>
    <t>福建省泉州市鲤城区金龙街道常兴路455号</t>
  </si>
  <si>
    <t>折小龙</t>
  </si>
  <si>
    <t>陈朝栋</t>
  </si>
  <si>
    <t>尹立伟</t>
  </si>
  <si>
    <t>湖南省长沙市雨花区长沙市</t>
  </si>
  <si>
    <t>湖南省邵阳市双清区焦化厂一栋</t>
  </si>
  <si>
    <t>旷建伟</t>
  </si>
  <si>
    <t>袁月波</t>
  </si>
  <si>
    <t>钟木秀</t>
  </si>
  <si>
    <t>陈建勇</t>
  </si>
  <si>
    <t>张继龙</t>
  </si>
  <si>
    <t>广东省肇庆市高要市高要市金渡镇世纪大道旁</t>
  </si>
  <si>
    <t>广东省肇庆市高要市高要市金渡镇水边村12队</t>
  </si>
  <si>
    <t>万亮亮</t>
  </si>
  <si>
    <t>吕登第</t>
  </si>
  <si>
    <t>孔建勋</t>
  </si>
  <si>
    <t>罗芳</t>
  </si>
  <si>
    <t>董傲</t>
  </si>
  <si>
    <t>程小燕</t>
  </si>
  <si>
    <t>余露</t>
  </si>
  <si>
    <t>叶秦</t>
  </si>
  <si>
    <t>杨焕伍</t>
  </si>
  <si>
    <t>华飞</t>
  </si>
  <si>
    <t>罗飞</t>
  </si>
  <si>
    <t>姜洪发</t>
  </si>
  <si>
    <t>林庆杰</t>
  </si>
  <si>
    <t>曾淑娇</t>
  </si>
  <si>
    <t>吴骁腾</t>
  </si>
  <si>
    <t>燕双全</t>
  </si>
  <si>
    <t>林燕萍</t>
  </si>
  <si>
    <t>邢永丰</t>
  </si>
  <si>
    <t>王峰峰</t>
  </si>
  <si>
    <t>赖慧</t>
  </si>
  <si>
    <t>向劲松</t>
  </si>
  <si>
    <t>吴孟园</t>
  </si>
  <si>
    <t>颜叶</t>
  </si>
  <si>
    <t>河北省石家庄市新华区石清路68号汇君城E区2号楼</t>
  </si>
  <si>
    <t>河北省石家庄市新华区石清路68号汇君城E区2号楼1单元601</t>
  </si>
  <si>
    <t>沈旭林</t>
  </si>
  <si>
    <t>朱阁臻</t>
  </si>
  <si>
    <t>吴超国</t>
  </si>
  <si>
    <t>郭秋菊</t>
  </si>
  <si>
    <t>黄启善</t>
  </si>
  <si>
    <t>谭勇</t>
  </si>
  <si>
    <t>李思晗</t>
  </si>
  <si>
    <t>王世全</t>
  </si>
  <si>
    <t>杨明建</t>
  </si>
  <si>
    <t>浙江省温州市鹿城区万象城五楼522</t>
  </si>
  <si>
    <t>浙江省温州市瓯海区瓯海大道锦兴花园12栋1106</t>
  </si>
  <si>
    <t>李源深</t>
  </si>
  <si>
    <t>贾服贤</t>
  </si>
  <si>
    <t>刘利娟</t>
  </si>
  <si>
    <t>王志奇</t>
  </si>
  <si>
    <t>杨玥</t>
  </si>
  <si>
    <t>李志晨</t>
  </si>
  <si>
    <t>陈锦根</t>
  </si>
  <si>
    <t>浙江省杭州市余杭区乔司街道朝阳八组174号</t>
  </si>
  <si>
    <t>江西省上饶市婺源县浙江省杭州市余杭区乔司街道朝阳八组174号</t>
  </si>
  <si>
    <t>严冲飞</t>
  </si>
  <si>
    <t>郑林可</t>
  </si>
  <si>
    <t>韩诚</t>
  </si>
  <si>
    <t>齐阳</t>
  </si>
  <si>
    <t>彭伟华</t>
  </si>
  <si>
    <t>孟令君</t>
  </si>
  <si>
    <t>严国权</t>
  </si>
  <si>
    <t>福建省三明市尤溪县西城镇红土地工业园区</t>
  </si>
  <si>
    <t>福建省三明市尤溪县潘山口永兴家园</t>
  </si>
  <si>
    <t>何梓宁</t>
  </si>
  <si>
    <t>李满仓</t>
  </si>
  <si>
    <t>汪雪晴</t>
  </si>
  <si>
    <t>江明达</t>
  </si>
  <si>
    <t>张兴慧</t>
  </si>
  <si>
    <t>陈泳敏</t>
  </si>
  <si>
    <t>王柏洋</t>
  </si>
  <si>
    <t>冯承</t>
  </si>
  <si>
    <t>冷杰</t>
  </si>
  <si>
    <t>李如清</t>
  </si>
  <si>
    <t>重庆市重庆市江津区德感工业园</t>
  </si>
  <si>
    <t>重庆市重庆市江津区德感工业园赛迪装备一栋一单元226</t>
  </si>
  <si>
    <t>阿布力米提·麦合木提</t>
  </si>
  <si>
    <t>孔明君</t>
  </si>
  <si>
    <t>孔维彬</t>
  </si>
  <si>
    <t>李俊威</t>
  </si>
  <si>
    <t>艾孜买提·艾尔肯</t>
  </si>
  <si>
    <t>新疆乌鲁木齐市天山区大湾北路工商银行旁边TS-065警务站</t>
  </si>
  <si>
    <t>新疆乌鲁木齐市天山区大湾北路西域酒店876号三期1702室</t>
  </si>
  <si>
    <t>吴二磊</t>
  </si>
  <si>
    <t>冯少杰</t>
  </si>
  <si>
    <t>刘佳琨</t>
  </si>
  <si>
    <t>毛振宇</t>
  </si>
  <si>
    <t>唐斌</t>
  </si>
  <si>
    <t>陈振涛</t>
  </si>
  <si>
    <t>张永泽</t>
  </si>
  <si>
    <t>郑永鹏</t>
  </si>
  <si>
    <t>包清强</t>
  </si>
  <si>
    <t>张谷奇</t>
  </si>
  <si>
    <t>王光书</t>
  </si>
  <si>
    <t>周万鹏</t>
  </si>
  <si>
    <t>刘利峰</t>
  </si>
  <si>
    <t>朱学义</t>
  </si>
  <si>
    <t>田志超</t>
  </si>
  <si>
    <t>马晓燕</t>
  </si>
  <si>
    <t>甘肃省张掖市甘州区北辰丽家B区7号楼6层3-601室</t>
  </si>
  <si>
    <t>甘肃省张掖市甘州区碧水蓝湾小区5号楼三单元802室</t>
  </si>
  <si>
    <t>刘勇全</t>
  </si>
  <si>
    <t>张金发</t>
  </si>
  <si>
    <t>李增辉</t>
  </si>
  <si>
    <t>刘李</t>
  </si>
  <si>
    <t>四川省成都市成华区成致路1号</t>
  </si>
  <si>
    <t>四川省成都市成华区成华区万兴街6号3栋1606</t>
  </si>
  <si>
    <t>黄志敏</t>
  </si>
  <si>
    <t>倪翔</t>
  </si>
  <si>
    <t>唐梓杰</t>
  </si>
  <si>
    <t>湖北省荆门市京山县永隆镇湖北天地人和农业有限公司</t>
  </si>
  <si>
    <t>湖北省荆门市京山县永隆镇聂畈村六组37号</t>
  </si>
  <si>
    <t>吴云</t>
  </si>
  <si>
    <t>蔡振</t>
  </si>
  <si>
    <t>石书保</t>
  </si>
  <si>
    <t>彭心</t>
  </si>
  <si>
    <t>彭胜荣</t>
  </si>
  <si>
    <t>张之峰</t>
  </si>
  <si>
    <t>郑巨海</t>
  </si>
  <si>
    <t>湖南省株洲市芦淞区芦淞路35号</t>
  </si>
  <si>
    <t>湖南省株洲市芦淞区解放街鑫科大夏1501</t>
  </si>
  <si>
    <t>张朝翔</t>
  </si>
  <si>
    <t>方善鸿</t>
  </si>
  <si>
    <t>陈时节</t>
  </si>
  <si>
    <t>浙江省温州市平阳县鳌江镇江口路172-1号</t>
  </si>
  <si>
    <t>浙江省温州市苍南县龙港镇环河路100号</t>
  </si>
  <si>
    <t>艾合买提·买合木提</t>
  </si>
  <si>
    <t>新疆吐鲁番地区托克逊县新疆托克逊县阿拉慧镇</t>
  </si>
  <si>
    <t>新疆吐鲁番地区托克逊县新疆托克逊县丝绸路依浪巷199号</t>
  </si>
  <si>
    <t>张柱</t>
  </si>
  <si>
    <t>龙秀群</t>
  </si>
  <si>
    <t>韩显伟</t>
  </si>
  <si>
    <t>山东省青岛市市南区洪泽湖路13号</t>
  </si>
  <si>
    <t>郑才华</t>
  </si>
  <si>
    <t>范瑞晓</t>
  </si>
  <si>
    <t>周扬磊</t>
  </si>
  <si>
    <t>陈伟军</t>
  </si>
  <si>
    <t>王学虎</t>
  </si>
  <si>
    <t>龚慧敏</t>
  </si>
  <si>
    <t>高宇</t>
  </si>
  <si>
    <t>方贵业</t>
  </si>
  <si>
    <t>洪伟建</t>
  </si>
  <si>
    <t>方晓优</t>
  </si>
  <si>
    <t>李霖</t>
  </si>
  <si>
    <t>蔡家辉</t>
  </si>
  <si>
    <t>马小虎</t>
  </si>
  <si>
    <t>刘邦明</t>
  </si>
  <si>
    <t>吕利亚</t>
  </si>
  <si>
    <t>李漫娜</t>
  </si>
  <si>
    <t>况云杰</t>
  </si>
  <si>
    <t>黑龙江省哈尔滨市南岗区哈双路216号新苑小区老一号楼</t>
  </si>
  <si>
    <t>群力新苑A15栋一单元505</t>
  </si>
  <si>
    <t>翟雨</t>
  </si>
  <si>
    <t>邓龙位</t>
  </si>
  <si>
    <t>张钰</t>
  </si>
  <si>
    <t>刘毅</t>
  </si>
  <si>
    <t>段超越</t>
  </si>
  <si>
    <t>张楚平</t>
  </si>
  <si>
    <t>陈国深</t>
  </si>
  <si>
    <t>周日勤</t>
  </si>
  <si>
    <t>江西省九江市浔阳区长虹大道280号信华国际商务中心6楼</t>
  </si>
  <si>
    <t>江西省九江市浔阳区寻安小区11栋二单元201室</t>
  </si>
  <si>
    <t>俞聪益</t>
  </si>
  <si>
    <t>彭少华</t>
  </si>
  <si>
    <t>朱玉龙</t>
  </si>
  <si>
    <t>上官健鹏</t>
  </si>
  <si>
    <t>广东省佛山市三水区西南街道健力宝北路26号</t>
  </si>
  <si>
    <t>广东省佛山市三水区西南街道金芙蓉公寓2座505</t>
  </si>
  <si>
    <t>韦磊</t>
  </si>
  <si>
    <t>郇烽娇</t>
  </si>
  <si>
    <t>陆维初</t>
  </si>
  <si>
    <t>岑天明</t>
  </si>
  <si>
    <t>高迎春</t>
  </si>
  <si>
    <t>郭宏臣</t>
  </si>
  <si>
    <t>重庆市重庆市万州区外贸路69号</t>
  </si>
  <si>
    <t>重庆市重庆市万州区观音岩索特花园7单元5-1</t>
  </si>
  <si>
    <t>彭月留</t>
  </si>
  <si>
    <t>黄如斌</t>
  </si>
  <si>
    <t>邝勇</t>
  </si>
  <si>
    <t>广东省深圳市龙岗区坂田街道岗头社区雪岗北路52号</t>
  </si>
  <si>
    <t>广东省深圳市龙岗区坂田街道岗头社区风门坳村东三巷6号203</t>
  </si>
  <si>
    <t>舒敏</t>
  </si>
  <si>
    <t>李雪清</t>
  </si>
  <si>
    <t>四川省宜宾市翠屏区戎州路东段27号负一层</t>
  </si>
  <si>
    <t>四川省宜宾市翠屏区四川省宜宾市翠屏区南岸长江大道西段桂林园小区2栋2单元4楼12号</t>
  </si>
  <si>
    <t>许寒春</t>
  </si>
  <si>
    <t>纪建辉</t>
  </si>
  <si>
    <t>叶尔克西</t>
  </si>
  <si>
    <t>韦雪莉</t>
  </si>
  <si>
    <t>陕西省西安市临潼区陕西省西安市临潼区文化中路</t>
  </si>
  <si>
    <t>陕西省西安市临潼区陕西省西安市临潼西泉镇魏庄村王庄组</t>
  </si>
  <si>
    <t>容浩</t>
  </si>
  <si>
    <t>陈义</t>
  </si>
  <si>
    <t>许天成</t>
  </si>
  <si>
    <t>周艳秋</t>
  </si>
  <si>
    <t>向栩</t>
  </si>
  <si>
    <t>潘东方</t>
  </si>
  <si>
    <t>浙江省宁波市海曙区云林中路238号</t>
  </si>
  <si>
    <t>浙江省宁波市海曙区礼嘉桥三江购物四楼</t>
  </si>
  <si>
    <t>姚银洪</t>
  </si>
  <si>
    <t>陶智逢</t>
  </si>
  <si>
    <t>许子聪</t>
  </si>
  <si>
    <t>蔡斌</t>
  </si>
  <si>
    <t>汪宗千</t>
  </si>
  <si>
    <t>杨丽君</t>
  </si>
  <si>
    <t>胡龙</t>
  </si>
  <si>
    <t>朱志彬</t>
  </si>
  <si>
    <t>周红英</t>
  </si>
  <si>
    <t>王红艳</t>
  </si>
  <si>
    <t>江苏省淮安市清河区健康东路7号</t>
  </si>
  <si>
    <t>江苏省淮安市清河区柳树湾街道城北乡西交村一组92号</t>
  </si>
  <si>
    <t>孙露</t>
  </si>
  <si>
    <t>江苏省苏州市吴中区金鸡湖路205号</t>
  </si>
  <si>
    <t>金益新村108-406</t>
  </si>
  <si>
    <t>周燕妹</t>
  </si>
  <si>
    <t>袁洪涛</t>
  </si>
  <si>
    <t>四川省成都市青羊区贝森南路68号</t>
  </si>
  <si>
    <t>四川省成都市青羊区苏坡东路五号院</t>
  </si>
  <si>
    <t>黄晓军</t>
  </si>
  <si>
    <t>张幸华</t>
  </si>
  <si>
    <t>徐建龙</t>
  </si>
  <si>
    <t>常州西湖路8号</t>
  </si>
  <si>
    <t>江苏省常州市武进区莱蒙城19-2602</t>
  </si>
  <si>
    <t>闵得宁</t>
  </si>
  <si>
    <t>湖北省武汉市江岸区南京路9号</t>
  </si>
  <si>
    <t>湖北省武汉市洪山区欢乐大道欢乐星城16-1-1401</t>
  </si>
  <si>
    <t>李晓鹏</t>
  </si>
  <si>
    <t>张家贵</t>
  </si>
  <si>
    <t>江苏省南通市崇川区京扬数码广场D座432-433室</t>
  </si>
  <si>
    <t>江苏省南通市崇川区虹桥新村108栋506室</t>
  </si>
  <si>
    <t>单永吉</t>
  </si>
  <si>
    <t>朱金城</t>
  </si>
  <si>
    <t>黄海能</t>
  </si>
  <si>
    <t>程红伟</t>
  </si>
  <si>
    <t>卢焕</t>
  </si>
  <si>
    <t>韩菲菲</t>
  </si>
  <si>
    <t>薛立斌</t>
  </si>
  <si>
    <t>罗晓宇</t>
  </si>
  <si>
    <t>古向平</t>
  </si>
  <si>
    <t>曾国林</t>
  </si>
  <si>
    <t>蒋太菊</t>
  </si>
  <si>
    <t>四川省攀枝花市仁和区仁和区循环经济区橄榄坪园区西北侧250米</t>
  </si>
  <si>
    <t>四川省攀枝花市仁和区和苑路73号和苑小区3栋</t>
  </si>
  <si>
    <t>李俊晓</t>
  </si>
  <si>
    <t>董若尘</t>
  </si>
  <si>
    <t>林李阿</t>
  </si>
  <si>
    <t>宋守伟</t>
  </si>
  <si>
    <t>唐隆见</t>
  </si>
  <si>
    <t>俞哲颢</t>
  </si>
  <si>
    <t>叶小聪</t>
  </si>
  <si>
    <t>赵松</t>
  </si>
  <si>
    <t>河北省衡水市安平县安平县丝网大世界b区2号楼16号</t>
  </si>
  <si>
    <t>河北省衡水市安平县东黄城乡缇沃村279号</t>
  </si>
  <si>
    <t>云南省昭通市威信县朝阳路69号</t>
  </si>
  <si>
    <t>云南省昭通市昭阳区扎西街172号</t>
  </si>
  <si>
    <t>王文峰</t>
  </si>
  <si>
    <t>刘鑫宇</t>
  </si>
  <si>
    <t>河北省唐山市路南区新华道宝升昌8层</t>
  </si>
  <si>
    <t>河北省唐山市丰润区富康楼103楼2单元402</t>
  </si>
  <si>
    <t>张海中</t>
  </si>
  <si>
    <t>广西梧州市岑溪市马路镇义垌工业园</t>
  </si>
  <si>
    <t>广西梧州市岑溪市重庆市酉阳县偏柏乡柏溪村9组42号</t>
  </si>
  <si>
    <t>梁泽</t>
  </si>
  <si>
    <t>彭长欣</t>
  </si>
  <si>
    <t>武利军</t>
  </si>
  <si>
    <t>马金赫</t>
  </si>
  <si>
    <t>刘立平</t>
  </si>
  <si>
    <t>王差等</t>
  </si>
  <si>
    <t>石普庆</t>
  </si>
  <si>
    <t>班志翻</t>
  </si>
  <si>
    <t>广西百色市田东县平马镇乐德路129号</t>
  </si>
  <si>
    <t>广西百色市右江区那拔镇平王村甫必屯一组82号</t>
  </si>
  <si>
    <t>杨文博</t>
  </si>
  <si>
    <t>陈世杰</t>
  </si>
  <si>
    <t>程娇</t>
  </si>
  <si>
    <t>苑洋洋</t>
  </si>
  <si>
    <t>河北省邯郸市峰峰矿区大社镇大社村</t>
  </si>
  <si>
    <t>河北省邯郸市磁县岳城镇潘汪村一组52号</t>
  </si>
  <si>
    <t>钟艳虹</t>
  </si>
  <si>
    <t>王兴磊</t>
  </si>
  <si>
    <t>云南省文山壮族苗族自治州麻栗坡县玉尔贝路</t>
  </si>
  <si>
    <t>云南省麻栗坡县大岩矸</t>
  </si>
  <si>
    <t>叶霖骏</t>
  </si>
  <si>
    <t>钟航</t>
  </si>
  <si>
    <t>四川省资阳市简阳市安象街98号</t>
  </si>
  <si>
    <t>四川省资阳市简阳市雄州大道126号301室</t>
  </si>
  <si>
    <t>徐秋洋</t>
  </si>
  <si>
    <t>邓凯</t>
  </si>
  <si>
    <t>熊玉姣</t>
  </si>
  <si>
    <t>广东省深圳市宝安区石岩街道长城国际电脑工业园3号</t>
  </si>
  <si>
    <t>广东省深圳市宝安区石岩街道长城工业区菜市场九区26号</t>
  </si>
  <si>
    <t>上海市上海市青浦区青浦区公园路700号</t>
  </si>
  <si>
    <t>上海市上海市青浦区青浦区城北新村9号楼109室</t>
  </si>
  <si>
    <t>丛林</t>
  </si>
  <si>
    <t>秦栋</t>
  </si>
  <si>
    <t>广西桂林市荔蒲县滨江南路7号</t>
  </si>
  <si>
    <t>广西桂林市荔蒲县荔城填沙子岭140号</t>
  </si>
  <si>
    <t>余昆庆</t>
  </si>
  <si>
    <t>夏先超</t>
  </si>
  <si>
    <t>吉宁宁</t>
  </si>
  <si>
    <t>杨雄</t>
  </si>
  <si>
    <t>四川省成都市青羊区青羊工业园c区10栋</t>
  </si>
  <si>
    <t>四川省成都市蒲江县寿安镇丝栗村5组4号</t>
  </si>
  <si>
    <t>梁兵</t>
  </si>
  <si>
    <t>金革</t>
  </si>
  <si>
    <t>牛江雯</t>
  </si>
  <si>
    <t>黄思益</t>
  </si>
  <si>
    <t>林成龙</t>
  </si>
  <si>
    <t>姜立明</t>
  </si>
  <si>
    <t>李朝平</t>
  </si>
  <si>
    <t>谢志敏</t>
  </si>
  <si>
    <t>张二娃</t>
  </si>
  <si>
    <t>潘斌</t>
  </si>
  <si>
    <t>江西省宜春市袁州区官园街道宜阳大道翡翠城35栋202</t>
  </si>
  <si>
    <t>江西省宜春市袁州区秀江街道高士北路559号</t>
  </si>
  <si>
    <t>浙江省金华市婺城区水角村全村小区9栋28号</t>
  </si>
  <si>
    <t>浙江省金华市婺城区水角村全村小区3栋2号402室</t>
  </si>
  <si>
    <t>邓柏宁</t>
  </si>
  <si>
    <t>广东省广州市荔湾区东莞市黄江镇江海大道101号</t>
  </si>
  <si>
    <t>广东省广州市荔湾区东莞市大朗镇沙步土地坑村120号</t>
  </si>
  <si>
    <t>连环环</t>
  </si>
  <si>
    <t>福建省泉州市鲤城区温陵北路167号</t>
  </si>
  <si>
    <t>福建省泉州市鲤城区凤池巷58号108室</t>
  </si>
  <si>
    <t>黄小军</t>
  </si>
  <si>
    <t>关井华</t>
  </si>
  <si>
    <t>梁中磊</t>
  </si>
  <si>
    <t>罗勤</t>
  </si>
  <si>
    <t>蒋荣钢</t>
  </si>
  <si>
    <t>辛尚毅</t>
  </si>
  <si>
    <t>刘德钊</t>
  </si>
  <si>
    <t>广东省广州市海珠区官洲街道赤沙村赤沙路168号</t>
  </si>
  <si>
    <t>广东省广州市海珠区广州市海珠区官洲街道赤沙村南约三巷一号</t>
  </si>
  <si>
    <t>谭凌云</t>
  </si>
  <si>
    <t>江西省赣州市全南县龙泉二期商铺金晟科技</t>
  </si>
  <si>
    <t>江西省赣州市全南县老车站东路东升酒楼边上</t>
  </si>
  <si>
    <t>龙徽</t>
  </si>
  <si>
    <t>熊夏</t>
  </si>
  <si>
    <t>北京市北京市东城区雍和航星园2号楼三层</t>
  </si>
  <si>
    <t>北京市北京市丰台区海户西里9号楼301室</t>
  </si>
  <si>
    <t>刘建伟</t>
  </si>
  <si>
    <t>四川省自贡市自流井区舒平镇工业园区</t>
  </si>
  <si>
    <t>四川省自贡市大安区大安区广华大街28</t>
  </si>
  <si>
    <t>蔡清泉</t>
  </si>
  <si>
    <t>杨胜高</t>
  </si>
  <si>
    <t>邸娜辉</t>
  </si>
  <si>
    <t>魏威风</t>
  </si>
  <si>
    <t>蔡经浪</t>
  </si>
  <si>
    <t>吴钰滨</t>
  </si>
  <si>
    <t>谢文彬</t>
  </si>
  <si>
    <t>浙江省宁波市慈溪市长街镇开发区8号</t>
  </si>
  <si>
    <t>浙江省宁波市海曙区长街镇长街村13组66号</t>
  </si>
  <si>
    <t>覃紫晴</t>
  </si>
  <si>
    <t>韩苗</t>
  </si>
  <si>
    <t>韩丹</t>
  </si>
  <si>
    <t>江苏省连云港市新浦区郁州南路90号</t>
  </si>
  <si>
    <t>江苏省连云港市新浦区九龙城市乐园83栋</t>
  </si>
  <si>
    <t>吕志恒</t>
  </si>
  <si>
    <t>范帅芬</t>
  </si>
  <si>
    <t>肖卓君</t>
  </si>
  <si>
    <t>田学昊</t>
  </si>
  <si>
    <t>李文星</t>
  </si>
  <si>
    <t>王柱柱</t>
  </si>
  <si>
    <t>乔洁</t>
  </si>
  <si>
    <t>李卢俊</t>
  </si>
  <si>
    <t>俞刚</t>
  </si>
  <si>
    <t>朱靖</t>
  </si>
  <si>
    <t>朱金华</t>
  </si>
  <si>
    <t>广东省广州市白云区黄石西路268号飞马装饰城</t>
  </si>
  <si>
    <t>广东省广州市黄埔区东区东联路榕村北街20号</t>
  </si>
  <si>
    <t>苗秀</t>
  </si>
  <si>
    <t>白明光</t>
  </si>
  <si>
    <t>陶广山</t>
  </si>
  <si>
    <t>马正虎</t>
  </si>
  <si>
    <t>欧丽金</t>
  </si>
  <si>
    <t>左洋</t>
  </si>
  <si>
    <t>黄燕龙</t>
  </si>
  <si>
    <t>顾尧</t>
  </si>
  <si>
    <t>范李忠</t>
  </si>
  <si>
    <t>王以群</t>
  </si>
  <si>
    <t>湖北省恩施土家族苗族自治州恩施市恩施市学院路88号</t>
  </si>
  <si>
    <t>湖北省恩施土家族苗族自治州恩施市火车站二小区A栋103</t>
  </si>
  <si>
    <t>刘百顺</t>
  </si>
  <si>
    <t>黄煜钧</t>
  </si>
  <si>
    <t>肖海连</t>
  </si>
  <si>
    <t>福建省龙岩市长汀县大同镇腾飞一路52号</t>
  </si>
  <si>
    <t>福建省龙岩市长汀县河田镇窑下村洋梅坑3号</t>
  </si>
  <si>
    <t>姚辉</t>
  </si>
  <si>
    <t>马玉苗</t>
  </si>
  <si>
    <t>苏爱玉</t>
  </si>
  <si>
    <t>魏战胜</t>
  </si>
  <si>
    <t>安徽省合肥市庐江县黄山南路西侧1-107号</t>
  </si>
  <si>
    <t>安徽省合肥市庐江县移湖北路莲花别苑1栋304室</t>
  </si>
  <si>
    <t>刘于贺</t>
  </si>
  <si>
    <t>罗绍兵</t>
  </si>
  <si>
    <t>湖南省常德市临澧县临澧县月亮岛物业公司</t>
  </si>
  <si>
    <t>湖南省常德市临澧县修梅镇南江居委会五组</t>
  </si>
  <si>
    <t>张依琳</t>
  </si>
  <si>
    <t>范万兴</t>
  </si>
  <si>
    <t>甘肃省庆阳市西峰区优品二手（庆化大道）</t>
  </si>
  <si>
    <t>甘肃省庆阳市庆城县驿马镇安家村范滩组1号</t>
  </si>
  <si>
    <t>周桃</t>
  </si>
  <si>
    <t>山东省临沂市兰山区方城镇中西蒋村</t>
  </si>
  <si>
    <t>山东省临沂市费县胡阳镇幸福屯二组295号</t>
  </si>
  <si>
    <t>尹新新</t>
  </si>
  <si>
    <t>山东省济南市历下区济南市历城区西周南路77号</t>
  </si>
  <si>
    <t>山东省济南市济阳县济南市济阳县新市镇王楼村127号</t>
  </si>
  <si>
    <t>颜然</t>
  </si>
  <si>
    <t>畅徐东</t>
  </si>
  <si>
    <t>陈家红</t>
  </si>
  <si>
    <t>庞彩云</t>
  </si>
  <si>
    <t>周永红</t>
  </si>
  <si>
    <t>程海锦</t>
  </si>
  <si>
    <t>卢友路</t>
  </si>
  <si>
    <t>段昕</t>
  </si>
  <si>
    <t>杨云礼</t>
  </si>
  <si>
    <t>华升军</t>
  </si>
  <si>
    <t>郑祖庆</t>
  </si>
  <si>
    <t>苏文清</t>
  </si>
  <si>
    <t>何紫叶</t>
  </si>
  <si>
    <t>王和全</t>
  </si>
  <si>
    <t>重庆市重庆市九龙坡区重庆市龙坡区石坪桥正街116号骏逸新视界物管部</t>
  </si>
  <si>
    <t>重庆市重庆市九龙坡区重庆市龙坡区华福路民安华福C4一4一9</t>
  </si>
  <si>
    <t>石乔</t>
  </si>
  <si>
    <t>尤莉莎</t>
  </si>
  <si>
    <t>梁树勤</t>
  </si>
  <si>
    <t>施明伟</t>
  </si>
  <si>
    <t>罗进</t>
  </si>
  <si>
    <t>唐竹</t>
  </si>
  <si>
    <t>朱路为</t>
  </si>
  <si>
    <t>吕洪娥</t>
  </si>
  <si>
    <t>周保</t>
  </si>
  <si>
    <t>湖北省武汉市青山区湖北省武汉市青山区</t>
  </si>
  <si>
    <t>湖北省武汉市青山区和平大道1095青宜居</t>
  </si>
  <si>
    <t>朱志雄</t>
  </si>
  <si>
    <t>刘运</t>
  </si>
  <si>
    <t>重庆市重庆市渝北区龙山街道龙山一路296号</t>
  </si>
  <si>
    <t>重庆市重庆市渝北区龙山街道余松路465号2栋23杠3</t>
  </si>
  <si>
    <t>唐杰</t>
  </si>
  <si>
    <t>齐军</t>
  </si>
  <si>
    <t>王志勇</t>
  </si>
  <si>
    <t>辽宁省朝阳市双塔区辽宁省朝阳市双塔区友谊大街四段19号</t>
  </si>
  <si>
    <t>辽宁省朝阳市双塔区辽宁省朝阳市双塔区友谊大街四段49号盛德新村0661号</t>
  </si>
  <si>
    <t>李寿琪</t>
  </si>
  <si>
    <t>阿尔孜姑·麦麦提</t>
  </si>
  <si>
    <t>辛娟娟</t>
  </si>
  <si>
    <t>赵建</t>
  </si>
  <si>
    <t>龚文瀚</t>
  </si>
  <si>
    <t>潘益平</t>
  </si>
  <si>
    <t>湖南省常德市津市市车胤大道1191号</t>
  </si>
  <si>
    <t>湖南省常德市津市市三眼桥小区83号附501号</t>
  </si>
  <si>
    <t>拜利平</t>
  </si>
  <si>
    <t>綦浩文</t>
  </si>
  <si>
    <t>王胄邦</t>
  </si>
  <si>
    <t>浙江省杭州市江干区五星路198号瑞晶国际</t>
  </si>
  <si>
    <t>浙江省杭州市上城区浙江杭州上城区大学路燕子弄5-6-301</t>
  </si>
  <si>
    <t>左健庆</t>
  </si>
  <si>
    <t>屈柯灵</t>
  </si>
  <si>
    <t>白玉强</t>
  </si>
  <si>
    <t>内蒙古鄂尔多斯市东胜区准格尔路景泰园商住小区20号底商</t>
  </si>
  <si>
    <t>内蒙古鄂尔多斯市东胜区吉劳庆路东煤小区22号楼二单元301</t>
  </si>
  <si>
    <t>梁尚锋</t>
  </si>
  <si>
    <t>范兵玉</t>
  </si>
  <si>
    <t>石森</t>
  </si>
  <si>
    <t>新疆乌鲁木齐市新市区奥龙商务区1栋1806</t>
  </si>
  <si>
    <t>新疆乌鲁木齐市新市区迎宾路998号</t>
  </si>
  <si>
    <t>胡佳萍</t>
  </si>
  <si>
    <t>北京市北京市东城区和平里中街45号</t>
  </si>
  <si>
    <t>北京市北京市东城区方家胡同青炭局2号</t>
  </si>
  <si>
    <t>黄莎</t>
  </si>
  <si>
    <t>杨琪军</t>
  </si>
  <si>
    <t>潘海波</t>
  </si>
  <si>
    <t>河北省石家庄市行唐县上方乡北工业区1号</t>
  </si>
  <si>
    <t>河北省石家庄市行唐县市同乡高家庄村文明街23号</t>
  </si>
  <si>
    <t>侯焕兴</t>
  </si>
  <si>
    <t>韦彬杰</t>
  </si>
  <si>
    <t>广西贵港市港北区中山路</t>
  </si>
  <si>
    <t>广西贵港市港北区港城镇棉村北屯219号</t>
  </si>
  <si>
    <t>闫丹</t>
  </si>
  <si>
    <t>浙江省杭州市下城区延安路519</t>
  </si>
  <si>
    <t>浙江省杭州市余杭区亲亲家园2期</t>
  </si>
  <si>
    <t>李冬果</t>
  </si>
  <si>
    <t>戴建武</t>
  </si>
  <si>
    <t>隋佳彤</t>
  </si>
  <si>
    <t>辽宁省朝阳市双塔区朝阳大街四段1号</t>
  </si>
  <si>
    <t>辽宁省朝阳市双塔区长江路四段108号1单元303</t>
  </si>
  <si>
    <t>何刚刚</t>
  </si>
  <si>
    <t>杨小金</t>
  </si>
  <si>
    <t>黄一梵</t>
  </si>
  <si>
    <t>颜鲁伟</t>
  </si>
  <si>
    <t>赵新春</t>
  </si>
  <si>
    <t>许慧洁</t>
  </si>
  <si>
    <t>山东省青岛市市南区中山路街道鱼台路5号</t>
  </si>
  <si>
    <t>山东省青岛市市南区中山路街道鱼台路19号205</t>
  </si>
  <si>
    <t>喻飞</t>
  </si>
  <si>
    <t>黄剑伟</t>
  </si>
  <si>
    <t>韩亚萍</t>
  </si>
  <si>
    <t>赵雷</t>
  </si>
  <si>
    <t>许彩凤</t>
  </si>
  <si>
    <t>谷琴</t>
  </si>
  <si>
    <t>浙江省台州市临海市杜桥镇医化园东海第五大道15号</t>
  </si>
  <si>
    <t>黑龙江省牡丹江市宁安市宁安镇翰章路站北五胡同903号</t>
  </si>
  <si>
    <t>管富强</t>
  </si>
  <si>
    <t>钟拓</t>
  </si>
  <si>
    <t>郝文傅</t>
  </si>
  <si>
    <t>河北省石家庄市桥西区自强路6号</t>
  </si>
  <si>
    <t>河北省石家庄市桥东区裕华区裕东街道雅清街大马庄园15号楼1604</t>
  </si>
  <si>
    <t>黄建川</t>
  </si>
  <si>
    <t>李凯会</t>
  </si>
  <si>
    <t>淡小巧</t>
  </si>
  <si>
    <t>丁捷</t>
  </si>
  <si>
    <t>刘光耀</t>
  </si>
  <si>
    <t>张学超</t>
  </si>
  <si>
    <t>童芸</t>
  </si>
  <si>
    <t>郝帅</t>
  </si>
  <si>
    <t>湖北省襄阳市樊城区高新区邓城大道49号国际创新产业基地十一号楼</t>
  </si>
  <si>
    <t>湖北省襄阳市襄州区古驿镇王楼村八组</t>
  </si>
  <si>
    <t>吴付友</t>
  </si>
  <si>
    <t>孙西胜</t>
  </si>
  <si>
    <t>刘建立</t>
  </si>
  <si>
    <t>侯洁</t>
  </si>
  <si>
    <t>俞赢海</t>
  </si>
  <si>
    <t>熊志斌</t>
  </si>
  <si>
    <t>宁夏中卫市沙坡头区卫谢路民生花园14号</t>
  </si>
  <si>
    <t>宁夏中卫市沙坡头区阳光家园6号楼4单元442</t>
  </si>
  <si>
    <t>黄礼杰</t>
  </si>
  <si>
    <t>赵姗姗</t>
  </si>
  <si>
    <t>林永枫</t>
  </si>
  <si>
    <t>尹继成</t>
  </si>
  <si>
    <t>屈春雨</t>
  </si>
  <si>
    <t>河北省廊坊市广阳区开发区耀华道大长亭村委会一楼</t>
  </si>
  <si>
    <t>河北省廊坊市广阳区开发区美景家园小区3号楼602</t>
  </si>
  <si>
    <t>翁伟思</t>
  </si>
  <si>
    <t>黄云峰</t>
  </si>
  <si>
    <t>王志刚</t>
  </si>
  <si>
    <t>江苏省宿迁市宿城区黄河南路566号</t>
  </si>
  <si>
    <t>江苏省宿迁市宿豫区仰化镇同意四组40号</t>
  </si>
  <si>
    <t>李苗朵</t>
  </si>
  <si>
    <t>刘义波</t>
  </si>
  <si>
    <t>丁洁</t>
  </si>
  <si>
    <t>余文林</t>
  </si>
  <si>
    <t>董益</t>
  </si>
  <si>
    <t>山东省烟台市莱州市三山岛街道三山岛路999号</t>
  </si>
  <si>
    <t>山东省烟台市莱州市东苑路安邦名人家园5-1-702</t>
  </si>
  <si>
    <t>周宇国</t>
  </si>
  <si>
    <t>张亚</t>
  </si>
  <si>
    <t>魏亚南</t>
  </si>
  <si>
    <t>王海兵</t>
  </si>
  <si>
    <t>徐笃斌</t>
  </si>
  <si>
    <t>白利亚</t>
  </si>
  <si>
    <t>河北省邯郸市武安市中心路与富强路交叉口</t>
  </si>
  <si>
    <t>河北省邯郸市武安市武安市大同镇新里店村139号</t>
  </si>
  <si>
    <t>冀付坤</t>
  </si>
  <si>
    <t>山东省德州市齐河县山东省齐河县经济开发区名嘉西路中段</t>
  </si>
  <si>
    <t>山东省德州市齐河县晏城街道办事处小冀村96号</t>
  </si>
  <si>
    <t>权杨洋</t>
  </si>
  <si>
    <t>潘金亮</t>
  </si>
  <si>
    <t>马继承</t>
  </si>
  <si>
    <t>杨发成</t>
  </si>
  <si>
    <t>吴建</t>
  </si>
  <si>
    <t>朱根松</t>
  </si>
  <si>
    <t>沈文军</t>
  </si>
  <si>
    <t>焦小亮</t>
  </si>
  <si>
    <t>袁勋</t>
  </si>
  <si>
    <t>邵孔斌</t>
  </si>
  <si>
    <t>吴道利</t>
  </si>
  <si>
    <t>林志阳</t>
  </si>
  <si>
    <t>钟羊羊</t>
  </si>
  <si>
    <t>李敬起</t>
  </si>
  <si>
    <t>雷颖</t>
  </si>
  <si>
    <t>高波</t>
  </si>
  <si>
    <t>朱凯强</t>
  </si>
  <si>
    <t>刘佳伶</t>
  </si>
  <si>
    <t>石伟超</t>
  </si>
  <si>
    <t>张海娜</t>
  </si>
  <si>
    <t>杨益</t>
  </si>
  <si>
    <t>达文国</t>
  </si>
  <si>
    <t>彭国辉</t>
  </si>
  <si>
    <t>古和谦</t>
  </si>
  <si>
    <t>肖泽明</t>
  </si>
  <si>
    <t>孟轩</t>
  </si>
  <si>
    <t>郭颖娟</t>
  </si>
  <si>
    <t>尚晓枫</t>
  </si>
  <si>
    <t>张振兴</t>
  </si>
  <si>
    <t>李路遥</t>
  </si>
  <si>
    <t>安徽省合肥市包河区大众城市之光</t>
  </si>
  <si>
    <t>安徽省合肥市肥东县撮镇镇义和家园3栋302</t>
  </si>
  <si>
    <t>宋平安</t>
  </si>
  <si>
    <t>司璐茜</t>
  </si>
  <si>
    <t>凤蓉</t>
  </si>
  <si>
    <t>李宗声</t>
  </si>
  <si>
    <t>湖南省衡阳市石鼓区石鼓区华光街47号综合楼B栋</t>
  </si>
  <si>
    <t>湖南省衡阳市石鼓区常胜中路29号一单元403室</t>
  </si>
  <si>
    <t>丁宏杰</t>
  </si>
  <si>
    <t>罗绍全</t>
  </si>
  <si>
    <t>杨志风</t>
  </si>
  <si>
    <t>广东省广州市白云区机场路118号怡发国际一楼B143</t>
  </si>
  <si>
    <t>广东省广州市白云区太和镇大源村南坑街5号301</t>
  </si>
  <si>
    <t>熊虎</t>
  </si>
  <si>
    <t>郭建雄</t>
  </si>
  <si>
    <t>山西省吕梁市离石区北川河东路尚品嘉园</t>
  </si>
  <si>
    <t>山西省吕梁市离石区龙凤南大街龙凤嘉园405</t>
  </si>
  <si>
    <t>董昱仟</t>
  </si>
  <si>
    <t>张航航</t>
  </si>
  <si>
    <t>陈健华</t>
  </si>
  <si>
    <t>成波</t>
  </si>
  <si>
    <t>王文婵</t>
  </si>
  <si>
    <t>陈广通</t>
  </si>
  <si>
    <t>杨仁杰</t>
  </si>
  <si>
    <t>薛艳波</t>
  </si>
  <si>
    <t>周尚策</t>
  </si>
  <si>
    <t>苏书乐</t>
  </si>
  <si>
    <t>吴一新</t>
  </si>
  <si>
    <t>张国女</t>
  </si>
  <si>
    <t>马保东</t>
  </si>
  <si>
    <t>魏新兴</t>
  </si>
  <si>
    <t>张祎</t>
  </si>
  <si>
    <t>蔡俊</t>
  </si>
  <si>
    <t>李凯文</t>
  </si>
  <si>
    <t>韦笑</t>
  </si>
  <si>
    <t>胡婉童</t>
  </si>
  <si>
    <t>程栓柱</t>
  </si>
  <si>
    <t>许昆</t>
  </si>
  <si>
    <t>陈桂彪</t>
  </si>
  <si>
    <t>刘慎强</t>
  </si>
  <si>
    <t>陈鸿燊</t>
  </si>
  <si>
    <t>查先鑫</t>
  </si>
  <si>
    <t>赵金</t>
  </si>
  <si>
    <t>古兴龙</t>
  </si>
  <si>
    <t>贺晋红</t>
  </si>
  <si>
    <t>谷玉福</t>
  </si>
  <si>
    <t>山东省烟台市莱山区迎春大街219号</t>
  </si>
  <si>
    <t>山东省烟台市莱山区新天地都市广场小区3号楼2503室</t>
  </si>
  <si>
    <t>吴成勇</t>
  </si>
  <si>
    <t>艾凯峰</t>
  </si>
  <si>
    <t>齐红</t>
  </si>
  <si>
    <t>杨程祥</t>
  </si>
  <si>
    <t>朱诗钰</t>
  </si>
  <si>
    <t>祁鑫</t>
  </si>
  <si>
    <t>李周</t>
  </si>
  <si>
    <t>吴汗军</t>
  </si>
  <si>
    <t>云南省昆明市官渡区大都摩天4号楼1301</t>
  </si>
  <si>
    <t>云南省昆明市官渡区织布营300号</t>
  </si>
  <si>
    <t>魏中群</t>
  </si>
  <si>
    <t>刘海轩</t>
  </si>
  <si>
    <t>董晓蕾</t>
  </si>
  <si>
    <t>王万霞</t>
  </si>
  <si>
    <t>谭海旭</t>
  </si>
  <si>
    <t>符雁</t>
  </si>
  <si>
    <t>海南省海口市秀英区临高县临城镇解放路粮食局一楼铺面</t>
  </si>
  <si>
    <t>海南省海口市秀英区临高县临城镇解放路第一小学</t>
  </si>
  <si>
    <t>申玉全</t>
  </si>
  <si>
    <t>陈小毛</t>
  </si>
  <si>
    <t>湖北省孝感市安陆市安陆市碧涢路133-3</t>
  </si>
  <si>
    <t>湖北省孝感市安陆市安陆市东城水岸星城26栋1单元702</t>
  </si>
  <si>
    <t>叶淋</t>
  </si>
  <si>
    <t>包晓辉</t>
  </si>
  <si>
    <t>王佳文</t>
  </si>
  <si>
    <t>范海蓉</t>
  </si>
  <si>
    <t>阮亮</t>
  </si>
  <si>
    <t>史楠平</t>
  </si>
  <si>
    <t>贵州省贵阳市云岩区云谭南路贵发所</t>
  </si>
  <si>
    <t>贵州省贵阳市云岩区碧海花园黎阳家园十二组团19栋3单元403</t>
  </si>
  <si>
    <t>张灵杰</t>
  </si>
  <si>
    <t>钟成龙</t>
  </si>
  <si>
    <t>黄慕敏</t>
  </si>
  <si>
    <t>郭丹</t>
  </si>
  <si>
    <t>青海省西宁市城北区柴达木路366号</t>
  </si>
  <si>
    <t>陕西省宝鸡市扶风县法门镇杜城村阁中组</t>
  </si>
  <si>
    <t>张温朋</t>
  </si>
  <si>
    <t>徐扬</t>
  </si>
  <si>
    <t>何晓非</t>
  </si>
  <si>
    <t>何锋</t>
  </si>
  <si>
    <t>金菲</t>
  </si>
  <si>
    <t>北京市北京市丰台区诺德中心二期5号楼12层</t>
  </si>
  <si>
    <t>北京市北京市海淀区永定路22号3单元317</t>
  </si>
  <si>
    <t>张丽萍</t>
  </si>
  <si>
    <t>韦钰虹</t>
  </si>
  <si>
    <t>张治国</t>
  </si>
  <si>
    <t>黄胤权</t>
  </si>
  <si>
    <t>湖南省衡阳市蒸湘区湖南省衡阳市衡阳市蒸湘区蒸湘南路30号</t>
  </si>
  <si>
    <t>湖南省衡阳市雁峰区湖南省衡阳市雁峰区黄白路10号康新花园B栋1101室</t>
  </si>
  <si>
    <t>张水桥</t>
  </si>
  <si>
    <t>汪文敏</t>
  </si>
  <si>
    <t>段晓红</t>
  </si>
  <si>
    <t>曹小飞</t>
  </si>
  <si>
    <t>苗林峰</t>
  </si>
  <si>
    <t>江苏省无锡市惠山区百乐广场苏宁易购</t>
  </si>
  <si>
    <t>江苏省无锡市北塘区盛岸路惠景家园43号502</t>
  </si>
  <si>
    <t>黄广伦</t>
  </si>
  <si>
    <t>葛新</t>
  </si>
  <si>
    <t>陈少岗</t>
  </si>
  <si>
    <t>孔晨</t>
  </si>
  <si>
    <t>宋满泉</t>
  </si>
  <si>
    <t>李俊戈</t>
  </si>
  <si>
    <t>广东省佛山市南海区南海大道北68号</t>
  </si>
  <si>
    <t>广东省佛山市南海区佛山市南海区桂城石啃一村西庞地坊北街1号</t>
  </si>
  <si>
    <t>严明明</t>
  </si>
  <si>
    <t>张凤琼</t>
  </si>
  <si>
    <t>丁天然</t>
  </si>
  <si>
    <t>蔡志勇</t>
  </si>
  <si>
    <t>福建省漳州市芗城区石亭镇南山工业园</t>
  </si>
  <si>
    <t>福建省漳州市芗城区古塘村1202号</t>
  </si>
  <si>
    <t>北京市北京市平谷区岳各庄双河路一排一号</t>
  </si>
  <si>
    <t>北京市北京市平谷区大兴庄镇韩屯村252号</t>
  </si>
  <si>
    <t>陈广</t>
  </si>
  <si>
    <t>王爱青</t>
  </si>
  <si>
    <t>杨斌源</t>
  </si>
  <si>
    <t>周晶</t>
  </si>
  <si>
    <t>阮维祺</t>
  </si>
  <si>
    <t>桂寒英</t>
  </si>
  <si>
    <t>顾厚培</t>
  </si>
  <si>
    <t>唐仲伟</t>
  </si>
  <si>
    <t>王利辉</t>
  </si>
  <si>
    <t>张小明</t>
  </si>
  <si>
    <t>孔丽军</t>
  </si>
  <si>
    <t>童凯</t>
  </si>
  <si>
    <t>浙江省杭州市萧山区新宁路34号</t>
  </si>
  <si>
    <t>浙江省杭州市萧山区盈一佳苑29栋1101</t>
  </si>
  <si>
    <t>黄燕丽</t>
  </si>
  <si>
    <t>孙晓艳</t>
  </si>
  <si>
    <t>高萍萍</t>
  </si>
  <si>
    <t>李文康</t>
  </si>
  <si>
    <t>杜立志</t>
  </si>
  <si>
    <t>赵国善</t>
  </si>
  <si>
    <t>崇兴录</t>
  </si>
  <si>
    <t>新疆乌鲁木齐市天山区解放南路609号</t>
  </si>
  <si>
    <t>汤磊</t>
  </si>
  <si>
    <t>张飚</t>
  </si>
  <si>
    <t>栾龙龙</t>
  </si>
  <si>
    <t>余运栓</t>
  </si>
  <si>
    <t>江西省上饶市信州区万达广场五桂座2506</t>
  </si>
  <si>
    <t>江西省上饶市信州区米兰春天88栋1802</t>
  </si>
  <si>
    <t>山西省晋城市城区北大街23号</t>
  </si>
  <si>
    <t>山西省晋城市城区西马匠社区13号楼1单元501</t>
  </si>
  <si>
    <t>张煜明</t>
  </si>
  <si>
    <t>甘肃省张掖市甘州区甘肃省张掖市甘州区西大街244号</t>
  </si>
  <si>
    <t>甘肃省张掖市甘州区甘肃省张掖市甘州区东环路77号金沙苑小区11号楼</t>
  </si>
  <si>
    <t>李沂珈</t>
  </si>
  <si>
    <t>陈兴</t>
  </si>
  <si>
    <t>肖智文</t>
  </si>
  <si>
    <t>陕西省咸阳市秦都区统一大道东段1号</t>
  </si>
  <si>
    <t>陕西省咸阳市秦都区统一大道延长石油集团橡胶有限公司</t>
  </si>
  <si>
    <t>米玉</t>
  </si>
  <si>
    <t>张昌超</t>
  </si>
  <si>
    <t>陈雅苹</t>
  </si>
  <si>
    <t>河北省唐山市曹妃甸区路南区世博广场写字楼1814</t>
  </si>
  <si>
    <t>河北省唐山市路北区路北区世纪龙庭110楼3门1101</t>
  </si>
  <si>
    <t>丁文浩</t>
  </si>
  <si>
    <t>山东省烟台市福山区福海路永达街886号</t>
  </si>
  <si>
    <t>山东省烟台市福山区清洋街道天创国际城102号楼1-1701</t>
  </si>
  <si>
    <t>马彬</t>
  </si>
  <si>
    <t>秦艳辉</t>
  </si>
  <si>
    <t>贵州省黔南布依族苗族自治州龙里县龙山镇莱茵堡旁御龙足</t>
  </si>
  <si>
    <t>贵州省黔南布依族苗族自治州龙里县龙里县龙山镇余下村余下堡组</t>
  </si>
  <si>
    <t>赵佰秋</t>
  </si>
  <si>
    <t>李乐华</t>
  </si>
  <si>
    <t>王金华</t>
  </si>
  <si>
    <t>郎玉玲</t>
  </si>
  <si>
    <t>李梦园</t>
  </si>
  <si>
    <t>张靖宇</t>
  </si>
  <si>
    <t>林福华</t>
  </si>
  <si>
    <t>曾志博</t>
  </si>
  <si>
    <t>尹清海</t>
  </si>
  <si>
    <t>祖国良</t>
  </si>
  <si>
    <t>陈雯雯</t>
  </si>
  <si>
    <t>聂腊喜</t>
  </si>
  <si>
    <t>秦化如</t>
  </si>
  <si>
    <t>马胜才</t>
  </si>
  <si>
    <t>熊冲</t>
  </si>
  <si>
    <t>遆亚丽</t>
  </si>
  <si>
    <t>王彦武</t>
  </si>
  <si>
    <t>侯永杰</t>
  </si>
  <si>
    <t>许亚鸽</t>
  </si>
  <si>
    <t>冯金金</t>
  </si>
  <si>
    <t>陶盼盼</t>
  </si>
  <si>
    <t>山西省太原市古交市山西省古交市西曲矿西曲街108号</t>
  </si>
  <si>
    <t>山西省太原市古交市山西省古交市迎滨路60号19栋3单元103号2户</t>
  </si>
  <si>
    <t>田露玲</t>
  </si>
  <si>
    <t>贵州省铜仁市思南县思唐镇城北街金丰市场</t>
  </si>
  <si>
    <t>贵州省铜仁市思南县思唐街道办事处文化街77-1号</t>
  </si>
  <si>
    <t>周祖送</t>
  </si>
  <si>
    <t>湖北省咸宁市咸安区银泉大道618号</t>
  </si>
  <si>
    <t>湖北省咸宁市咸安区贺胜桥镇街道黄龙路2号</t>
  </si>
  <si>
    <t>陈金伟</t>
  </si>
  <si>
    <t>金文强</t>
  </si>
  <si>
    <t>邓柳美</t>
  </si>
  <si>
    <t>廖然</t>
  </si>
  <si>
    <t>程凯</t>
  </si>
  <si>
    <t>和彦中</t>
  </si>
  <si>
    <t>吴严</t>
  </si>
  <si>
    <t>汤方兵</t>
  </si>
  <si>
    <t>欧阳银田</t>
  </si>
  <si>
    <t>周略</t>
  </si>
  <si>
    <t>浙江省宁波市象山县新华路269号</t>
  </si>
  <si>
    <t>浙江省宁波市象山县西周镇湖边村</t>
  </si>
  <si>
    <t>吴丽新</t>
  </si>
  <si>
    <t>刘进前</t>
  </si>
  <si>
    <t>余方</t>
  </si>
  <si>
    <t>刘休顺</t>
  </si>
  <si>
    <t>柳婷婷</t>
  </si>
  <si>
    <t>刘安晴</t>
  </si>
  <si>
    <t>谷红岩</t>
  </si>
  <si>
    <t>何永琼</t>
  </si>
  <si>
    <t>王姜美子</t>
  </si>
  <si>
    <t>甘肃省定西市临洮县洮阳镇文峰东路仁和园小区</t>
  </si>
  <si>
    <t>甘肃省定西市临洮县洮阳镇新街润苑雅居北区七号楼一单元701</t>
  </si>
  <si>
    <t>农仁凤</t>
  </si>
  <si>
    <t>广东省广州市黄埔区广东省广州市黄埔区民权路18号</t>
  </si>
  <si>
    <t>广东省广州市黄埔区逢源商业街4号505室</t>
  </si>
  <si>
    <t>张能</t>
  </si>
  <si>
    <t>龙艳</t>
  </si>
  <si>
    <t>江西省南昌市青山湖区北京东路1588号世纪风情二期商业街</t>
  </si>
  <si>
    <t>江西省南昌市青山湖区北京东路1588号世纪风情二期3-1-502室</t>
  </si>
  <si>
    <t>周利伟</t>
  </si>
  <si>
    <t>浙江省绍兴市绍兴县柯桥区钱清中纺城西区</t>
  </si>
  <si>
    <t>浙江省绍兴市柯桥区夏履镇莲西村莲花126号</t>
  </si>
  <si>
    <t>章钟声</t>
  </si>
  <si>
    <t>福建省宁德市福安市甘棠镇北部104国道B1块地</t>
  </si>
  <si>
    <t>福建省宁德市福安市上杭陈厝中巷2号</t>
  </si>
  <si>
    <t>罗德伟</t>
  </si>
  <si>
    <t>广东省河源市东源县蓝口镇飞达矿业有限公司</t>
  </si>
  <si>
    <t>湖北省黄石市黄石港区湖滨大道18号天虹金地园1栋3单元302</t>
  </si>
  <si>
    <t>温晓颖</t>
  </si>
  <si>
    <t>云南省昆明市呈贡县云南省昆明市呈贡区马金铺街道昆明南收费站</t>
  </si>
  <si>
    <t>云南省昆明市晋宁县云南省昆明市晋宁区昆阳区兴隆村</t>
  </si>
  <si>
    <t>石红林</t>
  </si>
  <si>
    <t>欧阳玉文</t>
  </si>
  <si>
    <t>邹昉君</t>
  </si>
  <si>
    <t>夏子礼</t>
  </si>
  <si>
    <t>者晓莉</t>
  </si>
  <si>
    <t>陈侃</t>
  </si>
  <si>
    <t>王安钢</t>
  </si>
  <si>
    <t>湖南省株洲市醴陵市左权路38号</t>
  </si>
  <si>
    <t>湖南省株洲市醴陵市合心坝南路7号</t>
  </si>
  <si>
    <t>雷富国</t>
  </si>
  <si>
    <t>山西省朔州市应县应县杏寨乡安营村</t>
  </si>
  <si>
    <t>山西省朔州市应县昌南里四栋7排</t>
  </si>
  <si>
    <t>江伟伟</t>
  </si>
  <si>
    <t>卢婵月</t>
  </si>
  <si>
    <t>卢曾东</t>
  </si>
  <si>
    <t>黄野</t>
  </si>
  <si>
    <t>邱廷龙</t>
  </si>
  <si>
    <t>王代聪</t>
  </si>
  <si>
    <t>陈世攀</t>
  </si>
  <si>
    <t>重庆市重庆市永川区兴龙大道2177号</t>
  </si>
  <si>
    <t>重庆市重庆市永川区兴龙大道金科中央公园城29-25-4</t>
  </si>
  <si>
    <t>卢学谦</t>
  </si>
  <si>
    <t>刘艳斌</t>
  </si>
  <si>
    <t>季琳琳</t>
  </si>
  <si>
    <t>莫藐</t>
  </si>
  <si>
    <t>陈亚军</t>
  </si>
  <si>
    <t>谷晓伟</t>
  </si>
  <si>
    <t>叶虹美</t>
  </si>
  <si>
    <t>河南省郑州市中原区吉林省长春市二道区管理</t>
  </si>
  <si>
    <t>湖南省长沙市芙蓉区吉林省长春市二道区亚泰富苑</t>
  </si>
  <si>
    <t>勇中焕</t>
  </si>
  <si>
    <t>孙成涛</t>
  </si>
  <si>
    <t>山东省烟台市招远市罗峰路与玲珑路交口向西100米</t>
  </si>
  <si>
    <t>山东省烟台市招远市阜山镇北院庄村411号</t>
  </si>
  <si>
    <t>黄加星</t>
  </si>
  <si>
    <t>广东省深圳市宝安区石岩街道北环路上排鲤鱼抗工业区</t>
  </si>
  <si>
    <t>广东省深圳市宝安区石岩街道上排西8巷7号408</t>
  </si>
  <si>
    <t>王为大</t>
  </si>
  <si>
    <t>王彦涛</t>
  </si>
  <si>
    <t>王瑞华</t>
  </si>
  <si>
    <t>江方林</t>
  </si>
  <si>
    <t>王凤云</t>
  </si>
  <si>
    <t>山东省潍坊市安丘市景芝镇临浯街西</t>
  </si>
  <si>
    <t>山东省潍坊市安丘市景芝镇临浯镇苑家庄村62号</t>
  </si>
  <si>
    <t>李文进</t>
  </si>
  <si>
    <t>梁宇飞</t>
  </si>
  <si>
    <t>广东省广州市白云区三元里大道北百顺台花园内103室</t>
  </si>
  <si>
    <t>广东省广州市白云区紫薇一街6号801房</t>
  </si>
  <si>
    <t>陈幸红</t>
  </si>
  <si>
    <t>朱洪彪</t>
  </si>
  <si>
    <t>郑永敏</t>
  </si>
  <si>
    <t>江西省上饶市广丰县永丰街道鸟林新街149号</t>
  </si>
  <si>
    <t>江西省上饶市广丰县永丰街道西溪路142号</t>
  </si>
  <si>
    <t>夏辉</t>
  </si>
  <si>
    <t>徐冬</t>
  </si>
  <si>
    <t>河南省郑州市金水区未来路楷林国际19层</t>
  </si>
  <si>
    <t>山西省朔州市朔城区金山怡园小区9号楼5单元302</t>
  </si>
  <si>
    <t>郑波</t>
  </si>
  <si>
    <t>丛刘威</t>
  </si>
  <si>
    <t>山东省烟台市芝罘区新桥西路25号</t>
  </si>
  <si>
    <t>山东省烟台市芝罘区北马路永安里19号</t>
  </si>
  <si>
    <t>王文军</t>
  </si>
  <si>
    <t>刘雪娇</t>
  </si>
  <si>
    <t>彭玉尧</t>
  </si>
  <si>
    <t>徐勇勇</t>
  </si>
  <si>
    <t>加依达尔·努尔开力得</t>
  </si>
  <si>
    <t>杨腾飞</t>
  </si>
  <si>
    <t>湖北省襄阳市樊城区长虹路谷山大厦A座1403</t>
  </si>
  <si>
    <t>湖北省襄阳市襄州区湖北省襄阳市襄州区航空路7号</t>
  </si>
  <si>
    <t>江苏省扬州市邗江区司徒庙路南侧</t>
  </si>
  <si>
    <t>江苏省扬州市邗江区望月路美琪莱福苑小区</t>
  </si>
  <si>
    <t>崔东辉</t>
  </si>
  <si>
    <t>广东省茂名市电白县霞洞镇霞北衔波记美食</t>
  </si>
  <si>
    <t>广东省茂名市电白县电白县霞洞镇坡田乡上坡田村5号</t>
  </si>
  <si>
    <t>黄旭伟</t>
  </si>
  <si>
    <t>上海市上海市杨浦区鞍山路158号</t>
  </si>
  <si>
    <t>上海市上海市杨浦区鞍山路78弄5号901室</t>
  </si>
  <si>
    <t>梁特</t>
  </si>
  <si>
    <t>徐龙慧</t>
  </si>
  <si>
    <t>王翊霖</t>
  </si>
  <si>
    <t>王阳明</t>
  </si>
  <si>
    <t>冯琴</t>
  </si>
  <si>
    <t>浙江省金华市婺城区双龙南街1308号</t>
  </si>
  <si>
    <t>浙江省金华市婺城区项宅7幢1单元204</t>
  </si>
  <si>
    <t>张郭</t>
  </si>
  <si>
    <t>胡旭</t>
  </si>
  <si>
    <t>林俊杰</t>
  </si>
  <si>
    <t>湖北省武汉市东西湖区七雄路海峡创业城1栋12层</t>
  </si>
  <si>
    <t>湖北省荆州市荆州区郢城镇荆北村148号</t>
  </si>
  <si>
    <t>李广效</t>
  </si>
  <si>
    <t>王汝林</t>
  </si>
  <si>
    <t>云南省红河哈尼族彝族自治州建水县临安镇金银街a栋6号商铺</t>
  </si>
  <si>
    <t>云南省红河哈尼族彝族自治州建水县坡头乡花木脑村110号</t>
  </si>
  <si>
    <t>卢程</t>
  </si>
  <si>
    <t>陈红美</t>
  </si>
  <si>
    <t>杨少伟</t>
  </si>
  <si>
    <t>陈丽蓉</t>
  </si>
  <si>
    <t>杨坤鹏</t>
  </si>
  <si>
    <t>管士腾</t>
  </si>
  <si>
    <t>严运伟</t>
  </si>
  <si>
    <t>柴彤</t>
  </si>
  <si>
    <t>邓国弟</t>
  </si>
  <si>
    <t>唐尔江</t>
  </si>
  <si>
    <t>夏德硕</t>
  </si>
  <si>
    <t>河北省石家庄市长安区石家庄长安区建华大街百川大厦1102工作室</t>
  </si>
  <si>
    <t>河北省邢台市柏乡县河北省石家庄市建华大街百川大厦</t>
  </si>
  <si>
    <t>张长鑫</t>
  </si>
  <si>
    <t>黑龙江省齐齐哈尔市龙沙区龙江县通齐街217号</t>
  </si>
  <si>
    <t>黑龙江省齐齐哈尔市龙江县县府街金色家园小区12号楼三单元502室</t>
  </si>
  <si>
    <t>张曙光</t>
  </si>
  <si>
    <t>崔友志</t>
  </si>
  <si>
    <t>张思佳</t>
  </si>
  <si>
    <t>黄玉珠</t>
  </si>
  <si>
    <t>胡晓宇</t>
  </si>
  <si>
    <t>文小伟</t>
  </si>
  <si>
    <t>周春艺</t>
  </si>
  <si>
    <t>窦文超</t>
  </si>
  <si>
    <t>朱自敬</t>
  </si>
  <si>
    <t>李兆臣</t>
  </si>
  <si>
    <t>付骥晨</t>
  </si>
  <si>
    <t>江苏省扬州市邗江区望月路金俫阁B座306</t>
  </si>
  <si>
    <t>江苏省扬州市邗江区汊河镇宏溪新苑27栋303室</t>
  </si>
  <si>
    <t>姚冬冬</t>
  </si>
  <si>
    <t>魏廷荣</t>
  </si>
  <si>
    <t>应君红</t>
  </si>
  <si>
    <t>夏洪巧</t>
  </si>
  <si>
    <t>黄赛玉</t>
  </si>
  <si>
    <t>湖南省衡阳市珠晖区祝融路6号</t>
  </si>
  <si>
    <t>湖南省衡阳市雁峰区黄白路271号4栋3单元502户</t>
  </si>
  <si>
    <t>程进</t>
  </si>
  <si>
    <t>河南省南阳市宛城区新店乡苏庄村隐山</t>
  </si>
  <si>
    <t>河南省南阳市卧龙区人民路光武街道中兴社区邮电小区</t>
  </si>
  <si>
    <t>袁宏舰</t>
  </si>
  <si>
    <t>周寒艺</t>
  </si>
  <si>
    <t>四川省成都市青羊区冠城广场22b</t>
  </si>
  <si>
    <t>四川省成都市金牛区西北桥街33号3栋1单元201</t>
  </si>
  <si>
    <t>姜绮雯</t>
  </si>
  <si>
    <t>魏美燕</t>
  </si>
  <si>
    <t>缪相坤</t>
  </si>
  <si>
    <t>四川省泸州市江阳区江阳区星光路308号</t>
  </si>
  <si>
    <t>四川省泸州市江阳区酒城大道香山美树6号楼1单元802</t>
  </si>
  <si>
    <t>张富明</t>
  </si>
  <si>
    <t>石浩鑫</t>
  </si>
  <si>
    <t>劳泽雄</t>
  </si>
  <si>
    <t>浙江省金华市义乌市后宅街道北站四区156栋</t>
  </si>
  <si>
    <t>浙江省金华市义乌市后宅街道北站四区151栋</t>
  </si>
  <si>
    <t>简高卫</t>
  </si>
  <si>
    <t>邢秀霞</t>
  </si>
  <si>
    <t>尤家胜</t>
  </si>
  <si>
    <t>田文龙</t>
  </si>
  <si>
    <t>葛莹</t>
  </si>
  <si>
    <t>周培城</t>
  </si>
  <si>
    <t>余坤</t>
  </si>
  <si>
    <t>成帆</t>
  </si>
  <si>
    <t>李勋虎</t>
  </si>
  <si>
    <t>广东省深圳市龙岗区深圳市龙岗区宝龙二路京能工业园</t>
  </si>
  <si>
    <t>广东省深圳市龙岗区深圳市龙岗区炳坑村北区三巷二号106</t>
  </si>
  <si>
    <t>江苏省苏州市昆山市千灯镇石浦镇汇丰建材市场B栋19号</t>
  </si>
  <si>
    <t>刘顺治</t>
  </si>
  <si>
    <t>上海市上海市浦东新区金沪路1143号</t>
  </si>
  <si>
    <t>上海市上海市浦东新区曹路镇徐家宅15号101室</t>
  </si>
  <si>
    <t>冯明安</t>
  </si>
  <si>
    <t>李春涛</t>
  </si>
  <si>
    <t>周会武</t>
  </si>
  <si>
    <t>河南省洛阳市新安县磁间镇京津路一号</t>
  </si>
  <si>
    <t>河南省洛阳市宜阳县三乡镇南寨村</t>
  </si>
  <si>
    <t>贾菡</t>
  </si>
  <si>
    <t>林琦</t>
  </si>
  <si>
    <t>任凯凯</t>
  </si>
  <si>
    <t>袁帅营</t>
  </si>
  <si>
    <t>周学成</t>
  </si>
  <si>
    <t>于光旭</t>
  </si>
  <si>
    <t>湖北省武汉市江岸区金桥大道万国摩托车市场58号</t>
  </si>
  <si>
    <t>湖北省武汉市东西湖区将军一路将军花园C区三栋101</t>
  </si>
  <si>
    <t>才小光</t>
  </si>
  <si>
    <t>陈映红</t>
  </si>
  <si>
    <t>吕海强</t>
  </si>
  <si>
    <t>曾祥光</t>
  </si>
  <si>
    <t>广东省深圳市罗湖区宝安南路与笋岗东路交汇处华通大厦1楼维也纳酒店</t>
  </si>
  <si>
    <t>广东省深圳市罗湖区宝安南路与笋岗东路交汇处西湖大厦901</t>
  </si>
  <si>
    <t>宋江</t>
  </si>
  <si>
    <t>罗昌银</t>
  </si>
  <si>
    <t>李殿明</t>
  </si>
  <si>
    <t>赵峒樾</t>
  </si>
  <si>
    <t>陈冬玉</t>
  </si>
  <si>
    <t>湖北省武汉市洪山区光谷国际广场B座13楼</t>
  </si>
  <si>
    <t>湖北省武汉市洪山区金地天悦b11动201</t>
  </si>
  <si>
    <t>方志俊</t>
  </si>
  <si>
    <t>周永亮</t>
  </si>
  <si>
    <t>王茸茸</t>
  </si>
  <si>
    <t>白云舒</t>
  </si>
  <si>
    <t>山西省阳泉市矿区阳泉市矿区252号</t>
  </si>
  <si>
    <t>山西省阳泉市城区阳泉市城区泉中北路泉中花园东区一号楼402</t>
  </si>
  <si>
    <t>何伟芬</t>
  </si>
  <si>
    <t>唐文明</t>
  </si>
  <si>
    <t>董鹏程</t>
  </si>
  <si>
    <t>凤如福</t>
  </si>
  <si>
    <t>重庆市重庆市大足区重庆市大足区新城港湾10楼2-1</t>
  </si>
  <si>
    <t>重庆市重庆市大足区重庆市双桥区杉树村37号2-1</t>
  </si>
  <si>
    <t>吴双鹏</t>
  </si>
  <si>
    <t>翟东杰</t>
  </si>
  <si>
    <t>付新国</t>
  </si>
  <si>
    <t>周峥</t>
  </si>
  <si>
    <t>姜胜利</t>
  </si>
  <si>
    <t>陈秒锋</t>
  </si>
  <si>
    <t>魏丽娜</t>
  </si>
  <si>
    <t>杨纳</t>
  </si>
  <si>
    <t>赵天凡</t>
  </si>
  <si>
    <t>山东省济南市历下区经十路黄金时代广场D座802</t>
  </si>
  <si>
    <t>山东省淄博市张店区重庆路尚文苑小区33号楼三单元1002</t>
  </si>
  <si>
    <t>江苏省苏州市吴中区阳浦路56号</t>
  </si>
  <si>
    <t>江苏省苏州市吴中区尹东新村九期B区13栋206</t>
  </si>
  <si>
    <t>闫小非</t>
  </si>
  <si>
    <t>赵长江</t>
  </si>
  <si>
    <t>山西省太原市清徐县贯中大厦</t>
  </si>
  <si>
    <t>山西太原市清徐马峪乡刘家元村一街8号</t>
  </si>
  <si>
    <t>陈永丰</t>
  </si>
  <si>
    <t>浙江省金华市婺城区阳光路41号</t>
  </si>
  <si>
    <t>浙江省金华市兰溪市永昌街道童山村猪母山脚45号</t>
  </si>
  <si>
    <t>李霄珊</t>
  </si>
  <si>
    <t>胡军</t>
  </si>
  <si>
    <t>王会夫</t>
  </si>
  <si>
    <t>海南省海口市龙华区龙昆南路昌茂花园时代天骄首层</t>
  </si>
  <si>
    <t>海南省海口市龙华区龙昆南路昌茂花园9栋4号宿舍</t>
  </si>
  <si>
    <t>王康明</t>
  </si>
  <si>
    <t>邹枫</t>
  </si>
  <si>
    <t>杨宝兴</t>
  </si>
  <si>
    <t>江苏省无锡市滨湖区白云街道大东路85</t>
  </si>
  <si>
    <t>江苏省无锡市滨湖区贵州省盘县新民乡雨那村六组</t>
  </si>
  <si>
    <t>潘成</t>
  </si>
  <si>
    <t>丁小旭</t>
  </si>
  <si>
    <t>贵州省遵义市湄潭县贵州省湄潭县</t>
  </si>
  <si>
    <t>周玄</t>
  </si>
  <si>
    <t>白城市文化东路346号</t>
  </si>
  <si>
    <t>甘肃省白银市平川区陶瓷街467号1栋2单元231室</t>
  </si>
  <si>
    <t>杨志军</t>
  </si>
  <si>
    <t>楼旭飞</t>
  </si>
  <si>
    <t>浙江省金华市义乌市苏溪镇蒋宅东街7号</t>
  </si>
  <si>
    <t>浙江省金华市义乌市苏溪镇西山下村</t>
  </si>
  <si>
    <t>马雪姣</t>
  </si>
  <si>
    <t>罗应军</t>
  </si>
  <si>
    <t>江苏南通市通州区姜灶工业区三圩埭村28组</t>
  </si>
  <si>
    <t>重庆江津区杜市镇交通街394号</t>
  </si>
  <si>
    <t>贾俊超</t>
  </si>
  <si>
    <t>李万江</t>
  </si>
  <si>
    <t>四川省成都市彭州市四川省成都市彭州市蒙阳镇蒙阳新城宝兴街50号</t>
  </si>
  <si>
    <t>四川省成都市锦江区蒙阳镇电光村9组35号</t>
  </si>
  <si>
    <t>易璐</t>
  </si>
  <si>
    <t>湖南省长沙市芙蓉区解放东路282号</t>
  </si>
  <si>
    <t>湖南省长沙市天心区和美星城5栋206</t>
  </si>
  <si>
    <t>王永清</t>
  </si>
  <si>
    <t>李尧煌</t>
  </si>
  <si>
    <t>谢磊</t>
  </si>
  <si>
    <t>吴保财</t>
  </si>
  <si>
    <t>谢迪辉</t>
  </si>
  <si>
    <t>褚显阳</t>
  </si>
  <si>
    <t>黄秀芳</t>
  </si>
  <si>
    <t>叶绪秋</t>
  </si>
  <si>
    <t>范腾宇</t>
  </si>
  <si>
    <t>冉亚珂</t>
  </si>
  <si>
    <t>兰宇</t>
  </si>
  <si>
    <t>叶盛宇</t>
  </si>
  <si>
    <t>孔维超</t>
  </si>
  <si>
    <t>吕腾飞</t>
  </si>
  <si>
    <t>刘金刚</t>
  </si>
  <si>
    <t>赵家琪</t>
  </si>
  <si>
    <t>陆峰</t>
  </si>
  <si>
    <t>陈观明</t>
  </si>
  <si>
    <t>曹琳</t>
  </si>
  <si>
    <t>王煊武</t>
  </si>
  <si>
    <t>周春阳</t>
  </si>
  <si>
    <t>韩军</t>
  </si>
  <si>
    <t>辽宁省抚顺市望花区光明街</t>
  </si>
  <si>
    <t>抚顺市望花区大南嘉苑十五号楼三单元301</t>
  </si>
  <si>
    <t>彭秋屏</t>
  </si>
  <si>
    <t>熊稳</t>
  </si>
  <si>
    <t>广东省广州市越秀区广东国际大厦</t>
  </si>
  <si>
    <t>广东省广州市白云区人和达贤街86号</t>
  </si>
  <si>
    <t>于运涛</t>
  </si>
  <si>
    <t>河北省衡水市武强县新开街原政务中心三楼</t>
  </si>
  <si>
    <t>河北省衡水市武强县武强镇陈院村102号</t>
  </si>
  <si>
    <t>陈诚恩</t>
  </si>
  <si>
    <t>穆自宇</t>
  </si>
  <si>
    <t>文梦婷</t>
  </si>
  <si>
    <t>拾艾华</t>
  </si>
  <si>
    <t>刘远宝</t>
  </si>
  <si>
    <t>山东省济宁市梁山县馆驿镇西张村</t>
  </si>
  <si>
    <t>山东省济宁市梁山县青年路25号内101号</t>
  </si>
  <si>
    <t>温娟婷</t>
  </si>
  <si>
    <t>岳晓荣</t>
  </si>
  <si>
    <t>河南省安阳市文峰区平原路与人明路路口</t>
  </si>
  <si>
    <t>河南省安阳市殷都区纱厂一区九号楼</t>
  </si>
  <si>
    <t>秦忠洲</t>
  </si>
  <si>
    <t>孙传丽</t>
  </si>
  <si>
    <t>宋书生</t>
  </si>
  <si>
    <t>重庆市重庆市黔江区新华大道中段黔中名师楼A2</t>
  </si>
  <si>
    <t>重庆市黔江区城南街道南家1组</t>
  </si>
  <si>
    <t>谢烛英</t>
  </si>
  <si>
    <t>湖南省益阳市桃江县桃江县修山镇</t>
  </si>
  <si>
    <t>湖南省益阳市桃江县湖南省益阳市桃江县修山镇三官桥村</t>
  </si>
  <si>
    <t>曾琦</t>
  </si>
  <si>
    <t>叶千华</t>
  </si>
  <si>
    <t>辽宁省大连市西岗区保健街32号</t>
  </si>
  <si>
    <t>辽宁省大连市中山区大连市中山区五五路中化街29号1-2</t>
  </si>
  <si>
    <t>徐耀权</t>
  </si>
  <si>
    <t>周向咪</t>
  </si>
  <si>
    <t>赵荣辉</t>
  </si>
  <si>
    <t>何建秋</t>
  </si>
  <si>
    <t>李玉霞</t>
  </si>
  <si>
    <t>赖雨瑶</t>
  </si>
  <si>
    <t>严文西</t>
  </si>
  <si>
    <t>冯小杨</t>
  </si>
  <si>
    <t>李志豪</t>
  </si>
  <si>
    <t>上海市上海市闸北区上海市闸北区平陆路451号4号楼4楼</t>
  </si>
  <si>
    <t>上海市上海市闸北区上海市闸北区共康三村87号101室</t>
  </si>
  <si>
    <t>崔裕锋</t>
  </si>
  <si>
    <t>郭腾跃</t>
  </si>
  <si>
    <t>李昕</t>
  </si>
  <si>
    <t>周忠维</t>
  </si>
  <si>
    <t>杨聪坤</t>
  </si>
  <si>
    <t>任郎</t>
  </si>
  <si>
    <t>陈勇敢</t>
  </si>
  <si>
    <t>罗祖强</t>
  </si>
  <si>
    <t>严廷虎</t>
  </si>
  <si>
    <t>党稳定</t>
  </si>
  <si>
    <t>文小江</t>
  </si>
  <si>
    <t>贵州省遵义市汇川区珠海路还房小区</t>
  </si>
  <si>
    <t>贵州省遵义市汇川区高坪镇金塘村大丰组260号</t>
  </si>
  <si>
    <t>陈振</t>
  </si>
  <si>
    <t>辽宁省丹东市宽甸满族自治县下露河乡马架子村一组</t>
  </si>
  <si>
    <t>辽宁省丹东市宽甸县马架子村一组</t>
  </si>
  <si>
    <t>郭艳彬</t>
  </si>
  <si>
    <t>牛启凡</t>
  </si>
  <si>
    <t>广西百色市右江区城乡路81号</t>
  </si>
  <si>
    <t>广西百色市右江区西园路凤凰城小区10单元703室</t>
  </si>
  <si>
    <t>黄诗童</t>
  </si>
  <si>
    <t>重庆市重庆市江北区重庆市江北区北滨路金源时代购物广场天月茶城G1层B区53号</t>
  </si>
  <si>
    <t>重庆市重庆市江北区观音桥街道小苑2村质检所5单元7-2</t>
  </si>
  <si>
    <t>俞建方</t>
  </si>
  <si>
    <t>陈柳燕</t>
  </si>
  <si>
    <t>王贞芳</t>
  </si>
  <si>
    <t>熊翻</t>
  </si>
  <si>
    <t>章淡标</t>
  </si>
  <si>
    <t>郦晶晶</t>
  </si>
  <si>
    <t>全丽</t>
  </si>
  <si>
    <t>盖嘉伟</t>
  </si>
  <si>
    <t>赵一凡</t>
  </si>
  <si>
    <t>北京市北京市西城区槐柏树南里9-3-101</t>
  </si>
  <si>
    <t>北京市北京市丰台区宋家庄公寓后楼2616</t>
  </si>
  <si>
    <t>周毅磊</t>
  </si>
  <si>
    <t>骆国武</t>
  </si>
  <si>
    <t>湖北省武汉市洪山区洪山区环卫局东侧</t>
  </si>
  <si>
    <t>湖北省武汉市江夏区江夏区光谷二路富士康西门附近</t>
  </si>
  <si>
    <t>刘振宇</t>
  </si>
  <si>
    <t>卢巧云</t>
  </si>
  <si>
    <t>湖北省咸宁市通山县羊都大道98号</t>
  </si>
  <si>
    <t>湖北省咸宁市通山县幸福小区9幢6301室</t>
  </si>
  <si>
    <t>姚强</t>
  </si>
  <si>
    <t>赵泽旭</t>
  </si>
  <si>
    <t>邓艺</t>
  </si>
  <si>
    <t>韩伟亮</t>
  </si>
  <si>
    <t>季丽花</t>
  </si>
  <si>
    <t>蒋定荣</t>
  </si>
  <si>
    <t>梁玉霞</t>
  </si>
  <si>
    <t>王正</t>
  </si>
  <si>
    <t>辽宁省锦州市古塔区重庆路二段4-55号</t>
  </si>
  <si>
    <t>辽宁省锦州市古塔区锦华街52-23号</t>
  </si>
  <si>
    <t>付忠英</t>
  </si>
  <si>
    <t>骆利峰</t>
  </si>
  <si>
    <t>舒羽</t>
  </si>
  <si>
    <t>李珏蓉</t>
  </si>
  <si>
    <t>蔡伟娜</t>
  </si>
  <si>
    <t>周艺敏</t>
  </si>
  <si>
    <t>郑逢安</t>
  </si>
  <si>
    <t>杨澄栩</t>
  </si>
  <si>
    <t>龙通林</t>
  </si>
  <si>
    <t>周学涛</t>
  </si>
  <si>
    <t>周瑶</t>
  </si>
  <si>
    <t>杨振岭</t>
  </si>
  <si>
    <t>褚宇</t>
  </si>
  <si>
    <t>丁苏</t>
  </si>
  <si>
    <t>段绍钰</t>
  </si>
  <si>
    <t>任军平</t>
  </si>
  <si>
    <t>龚琼宇</t>
  </si>
  <si>
    <t>曹旺</t>
  </si>
  <si>
    <t>滑玉琨</t>
  </si>
  <si>
    <t>王美玲</t>
  </si>
  <si>
    <t>何艳梅</t>
  </si>
  <si>
    <t>谢勇鹏</t>
  </si>
  <si>
    <t>尚帅</t>
  </si>
  <si>
    <t>刘琨</t>
  </si>
  <si>
    <t>河南省周口市太康县谢安大道346-1</t>
  </si>
  <si>
    <t>河南省周口市太康县城关镇苗圃街电业局家属院四栋001</t>
  </si>
  <si>
    <t>杨存真</t>
  </si>
  <si>
    <t>许恒</t>
  </si>
  <si>
    <t>徐劲松</t>
  </si>
  <si>
    <t>周胜财</t>
  </si>
  <si>
    <t>董璎珊</t>
  </si>
  <si>
    <t>彭石生</t>
  </si>
  <si>
    <t>甘健孪</t>
  </si>
  <si>
    <t>何公平</t>
  </si>
  <si>
    <t>尧恩群</t>
  </si>
  <si>
    <t>福建省厦门市集美区光华路13号</t>
  </si>
  <si>
    <t>福建省厦门市集美区扶摇路46号</t>
  </si>
  <si>
    <t>赵建波</t>
  </si>
  <si>
    <t>梁慧敏</t>
  </si>
  <si>
    <t>邱晓丽</t>
  </si>
  <si>
    <t>姚波波</t>
  </si>
  <si>
    <t>胡克立</t>
  </si>
  <si>
    <t>杨文宪</t>
  </si>
  <si>
    <t>姜欢</t>
  </si>
  <si>
    <t>唐瑜</t>
  </si>
  <si>
    <t>浙江省金华市婺城区八一南街新都会3幢1单元2701室</t>
  </si>
  <si>
    <t>浙江省金华市婺城区东方前程26幢301室</t>
  </si>
  <si>
    <t>雷长鑫</t>
  </si>
  <si>
    <t>郭秋宇</t>
  </si>
  <si>
    <t>江苏省镇江市丹阳市开发区齐梁路999号</t>
  </si>
  <si>
    <t>江苏省镇江市丹阳市开发区四村头14号</t>
  </si>
  <si>
    <t>姚信宇</t>
  </si>
  <si>
    <t>梁翔群</t>
  </si>
  <si>
    <t>贵州省黔东南苗族侗族自治州凯里市北京西路中庭院3栋201</t>
  </si>
  <si>
    <t>贵州省黔东南苗族侗族自治州凯里市贵州省黔东南州凯里市府路金龙小区</t>
  </si>
  <si>
    <t>顾玛英</t>
  </si>
  <si>
    <t>王英豪</t>
  </si>
  <si>
    <t>山东省泰安市新泰市龙廷镇商业街联通营业厅</t>
  </si>
  <si>
    <t>山东省泰安市新泰市青云街道办事处新兴路418号2号楼4单元508室</t>
  </si>
  <si>
    <t>陈海斌</t>
  </si>
  <si>
    <t>韩广昌</t>
  </si>
  <si>
    <t>江西省赣州市瑞金市沙洲坝镇台商创业园金龙大道东侧</t>
  </si>
  <si>
    <t>江西省赣州市瑞金市大柏地乡横江村井面排小组14号</t>
  </si>
  <si>
    <t>甘召红</t>
  </si>
  <si>
    <t>王琳琳</t>
  </si>
  <si>
    <t>吴振宇</t>
  </si>
  <si>
    <t>张文辉</t>
  </si>
  <si>
    <t>严文强</t>
  </si>
  <si>
    <t>贺海涛</t>
  </si>
  <si>
    <t>广西南宁市兴宁区星湖路24号5楼</t>
  </si>
  <si>
    <t>广西南宁市江南区菠萝岭东街136号</t>
  </si>
  <si>
    <t>宋逸超</t>
  </si>
  <si>
    <t>邱圣国</t>
  </si>
  <si>
    <t>黄雪</t>
  </si>
  <si>
    <t>海南省海口市秀英区昌江县石碌镇育才小学</t>
  </si>
  <si>
    <t>海南省海口市秀英区昌江县石碌镇御南山小区</t>
  </si>
  <si>
    <t>华巾云</t>
  </si>
  <si>
    <t>吴文静</t>
  </si>
  <si>
    <t>陈德州</t>
  </si>
  <si>
    <t>广东省茂名市电白县海滨大道1号人民政府大楼三楼重点项目管理办公室</t>
  </si>
  <si>
    <t>广东省茂名市茂南区向阳街30号502房</t>
  </si>
  <si>
    <t>罗建伟</t>
  </si>
  <si>
    <t>叶雨凡</t>
  </si>
  <si>
    <t>广西梧州市长洲区银湖南路30号</t>
  </si>
  <si>
    <t>广西梧州市长洲区新兴三路神冠豪都A1栋2102</t>
  </si>
  <si>
    <t>樊雪连</t>
  </si>
  <si>
    <t>毛威胜</t>
  </si>
  <si>
    <t>浙江省绍兴市上虞市曹娥街道兴业北路555号</t>
  </si>
  <si>
    <t>浙江省绍兴市上虞市锦华路附近建开花园4号楼302</t>
  </si>
  <si>
    <t>吴培俊</t>
  </si>
  <si>
    <t>孙卫刚</t>
  </si>
  <si>
    <t>王天卓</t>
  </si>
  <si>
    <t>黑龙江省大庆市红岗区采油五厂萨大中路南758</t>
  </si>
  <si>
    <t>黑龙江省大庆市萨尔图区万宝三区24号楼4门301室</t>
  </si>
  <si>
    <t>陈伦波</t>
  </si>
  <si>
    <t>江西省宜春市袁州区经济开发区经发大道12号</t>
  </si>
  <si>
    <t>江西省宜春市袁州区官园街道袁山中路227号</t>
  </si>
  <si>
    <t>关明星</t>
  </si>
  <si>
    <t>湖北省孝感市云梦县东城便民服务中心</t>
  </si>
  <si>
    <t>湖北省孝感市云梦县梦泽大道二组51号</t>
  </si>
  <si>
    <t>谭国敏</t>
  </si>
  <si>
    <t>周家阳</t>
  </si>
  <si>
    <t>崔京艳</t>
  </si>
  <si>
    <t>刘海霞</t>
  </si>
  <si>
    <t>潘凤元</t>
  </si>
  <si>
    <t>吴堂松</t>
  </si>
  <si>
    <t>重庆市重庆市江津区武城大道78号</t>
  </si>
  <si>
    <t>重庆市重庆市江津区东门社区5号楼1单元6-1</t>
  </si>
  <si>
    <t>闵泊钦</t>
  </si>
  <si>
    <t>尉博</t>
  </si>
  <si>
    <t>及佳</t>
  </si>
  <si>
    <t>麻朋林</t>
  </si>
  <si>
    <t>魏付森</t>
  </si>
  <si>
    <t>江苏省南京市鼓楼区阳光广场7-3号链家地产</t>
  </si>
  <si>
    <t>江苏省南京市鼓楼区银城街54号银嘉公寓2204室</t>
  </si>
  <si>
    <t>唐亚茜</t>
  </si>
  <si>
    <t>拾辉辉</t>
  </si>
  <si>
    <t>山西省临汾市尧都区彩虹桥西侧临汾市人民医院</t>
  </si>
  <si>
    <t>山西省临汾市尧都区华洲路九洲花园10号楼704</t>
  </si>
  <si>
    <t>蒋梦蓝</t>
  </si>
  <si>
    <t>四川省成都市金牛区茶店子街道蜀汉路333号</t>
  </si>
  <si>
    <t>四川省成都市锦江区茶店子街道蜀兴西街185号</t>
  </si>
  <si>
    <t>古双宁</t>
  </si>
  <si>
    <t>路鹏程</t>
  </si>
  <si>
    <t>金辉</t>
  </si>
  <si>
    <t>崔莎莎</t>
  </si>
  <si>
    <t>陆东梅</t>
  </si>
  <si>
    <t>韩哲</t>
  </si>
  <si>
    <t>徐玖磊</t>
  </si>
  <si>
    <t>韩海林</t>
  </si>
  <si>
    <t>安徽省合肥市蜀山区天龙居2栋1501</t>
  </si>
  <si>
    <t>安徽省合肥市庐阳区橡树湾2期26栋2501</t>
  </si>
  <si>
    <t>申亚东</t>
  </si>
  <si>
    <t>王官</t>
  </si>
  <si>
    <t>江苏省南京市江宁区禄口航金大道88号</t>
  </si>
  <si>
    <t>江苏省南京市江宁区利源中路88号高尔夫国际花园4幢1101室</t>
  </si>
  <si>
    <t>蒙国兴</t>
  </si>
  <si>
    <t>张宝军</t>
  </si>
  <si>
    <t>黎太平</t>
  </si>
  <si>
    <t>郜振祥</t>
  </si>
  <si>
    <t>武利国</t>
  </si>
  <si>
    <t>李庆荣</t>
  </si>
  <si>
    <t>朱胜尧</t>
  </si>
  <si>
    <t>刘联</t>
  </si>
  <si>
    <t>四川省绵阳市涪城区跃进路北段59号</t>
  </si>
  <si>
    <t>四川省绵阳市涪城区长虹虹色嘉苑12栋1单元401</t>
  </si>
  <si>
    <t>王可可</t>
  </si>
  <si>
    <t>杜静芬</t>
  </si>
  <si>
    <t>辽宁省朝阳市建平县柏峰紫域东门北走50米</t>
  </si>
  <si>
    <t>辽宁省朝阳市建平县万寿街道华府天地七号楼四单元七楼东户</t>
  </si>
  <si>
    <t>李仁涛</t>
  </si>
  <si>
    <t>王镇</t>
  </si>
  <si>
    <t>范海燕</t>
  </si>
  <si>
    <t>柳志军</t>
  </si>
  <si>
    <t>黄春海</t>
  </si>
  <si>
    <t>湖南省常德市武陵区常德市武陵区武陵大道武陵阁左侧</t>
  </si>
  <si>
    <t>湖南省常德市汉寿县沧港镇潭坪湖村邓家组</t>
  </si>
  <si>
    <t>王志超</t>
  </si>
  <si>
    <t>宋亚强</t>
  </si>
  <si>
    <t>徐爽</t>
  </si>
  <si>
    <t>张京龙</t>
  </si>
  <si>
    <t>陈少卿</t>
  </si>
  <si>
    <t>山东省青岛市市南区崂山区松岭路163号</t>
  </si>
  <si>
    <t>山东省青岛市四方区人民路285号218甲</t>
  </si>
  <si>
    <t>陕西省西安市莲湖区伟邦新西城1栋15层</t>
  </si>
  <si>
    <t>陕西省西安市莲湖区华府御城3栋802</t>
  </si>
  <si>
    <t>唐俊超</t>
  </si>
  <si>
    <t>秦刚</t>
  </si>
  <si>
    <t>重庆市重庆市渝北区金山大道665号</t>
  </si>
  <si>
    <t>重庆市重庆市渝北区龙兴和合家园三期18栋21一3</t>
  </si>
  <si>
    <t>胡悦</t>
  </si>
  <si>
    <t>欧阳凯</t>
  </si>
  <si>
    <t>齐检</t>
  </si>
  <si>
    <t>陈文兵</t>
  </si>
  <si>
    <t>张宏占</t>
  </si>
  <si>
    <t>李俊慧</t>
  </si>
  <si>
    <t>吴孝丹</t>
  </si>
  <si>
    <t>李晓辉</t>
  </si>
  <si>
    <t>山东省临沂市兰山区白沙埠镇王府大酒店南20米路西</t>
  </si>
  <si>
    <t>山东省临沂市兰山区田家红埠寺村114号</t>
  </si>
  <si>
    <t>田盛君</t>
  </si>
  <si>
    <t>耿仁俊</t>
  </si>
  <si>
    <t>江苏省南京市秦淮区洪武大厦3楼</t>
  </si>
  <si>
    <t>江苏省南京市秦淮区曙光里6号202</t>
  </si>
  <si>
    <t>孟扬</t>
  </si>
  <si>
    <t>贾作军</t>
  </si>
  <si>
    <t>温甲冠</t>
  </si>
  <si>
    <t>汪秀方</t>
  </si>
  <si>
    <t>四川省资阳市雁江区西门桥街91号</t>
  </si>
  <si>
    <t>四川省资阳市雁江区达高国际二期</t>
  </si>
  <si>
    <t>叶海光</t>
  </si>
  <si>
    <t>黄志森</t>
  </si>
  <si>
    <t>陈爱霞</t>
  </si>
  <si>
    <t>湖北省宜昌市西陵区西陵一路19号亚洲广场B座</t>
  </si>
  <si>
    <t>湖北省宜昌市西陵区城东大道东山花园11_39_806</t>
  </si>
  <si>
    <t>刘铭杰</t>
  </si>
  <si>
    <t>靳永军</t>
  </si>
  <si>
    <t>毛寅业</t>
  </si>
  <si>
    <t>于志华</t>
  </si>
  <si>
    <t>任双双</t>
  </si>
  <si>
    <t>黑龙江省牡丹江市东安区太平路31号</t>
  </si>
  <si>
    <t>黑龙江省牡丹江市东安区零度三区41号楼一单元203</t>
  </si>
  <si>
    <t>黄嘉昊</t>
  </si>
  <si>
    <t>广西百色市右江区龙景东路10号</t>
  </si>
  <si>
    <t>广西百色市右江区川惠森林花园B2栋1401号</t>
  </si>
  <si>
    <t>丰征挥</t>
  </si>
  <si>
    <t>吕曦</t>
  </si>
  <si>
    <t>权仁钦</t>
  </si>
  <si>
    <t>薛文亮</t>
  </si>
  <si>
    <t>刘智辉</t>
  </si>
  <si>
    <t>陆青松</t>
  </si>
  <si>
    <t>曹福强</t>
  </si>
  <si>
    <t>杨立明</t>
  </si>
  <si>
    <t>云南省昆明市五华区五华区宝善街城市之星25楼2501</t>
  </si>
  <si>
    <t>云南省昆明市五华区银河大道和谐家园D5幢502</t>
  </si>
  <si>
    <t>邱文胜</t>
  </si>
  <si>
    <t>范国平</t>
  </si>
  <si>
    <t>邱蕾蕾</t>
  </si>
  <si>
    <t>钟铨</t>
  </si>
  <si>
    <t>张爱忠</t>
  </si>
  <si>
    <t>戴柔印</t>
  </si>
  <si>
    <t>武银龙</t>
  </si>
  <si>
    <t>梅占峰</t>
  </si>
  <si>
    <t>唐胜</t>
  </si>
  <si>
    <t>广东省广州市天河区荷花路5号大院首层</t>
  </si>
  <si>
    <t>广东省广州市天河区中山大道荷光路5号</t>
  </si>
  <si>
    <t>张静升</t>
  </si>
  <si>
    <t>高旭毅</t>
  </si>
  <si>
    <t>郑远超</t>
  </si>
  <si>
    <t>陈思霖</t>
  </si>
  <si>
    <t>广东省广州市天河区东莞庄路33号</t>
  </si>
  <si>
    <t>广东省广州市天河区燕都路50号a17房</t>
  </si>
  <si>
    <t>高家豪</t>
  </si>
  <si>
    <t>陈华杰</t>
  </si>
  <si>
    <t>广东省佛山市高明区三洲沧江工业园208号</t>
  </si>
  <si>
    <t>广东省佛山市高明区荷城街道文华路岗头凤村78号</t>
  </si>
  <si>
    <t>罗必泰</t>
  </si>
  <si>
    <t>张廷羽</t>
  </si>
  <si>
    <t>江苏省泰州市姜堰市姜官路100号</t>
  </si>
  <si>
    <t>江苏省泰州市姜堰市君安世纪城25栋204</t>
  </si>
  <si>
    <t>缪海波</t>
  </si>
  <si>
    <t>黄蓉</t>
  </si>
  <si>
    <t>云南省楚雄彝族自治州楚雄市经济开发区永安路6号</t>
  </si>
  <si>
    <t>云南省曲靖市麒麟区文昌街67号7单元401室</t>
  </si>
  <si>
    <t>李延昊</t>
  </si>
  <si>
    <t>山东省泰安市泰山区泰山区万力大厦府前街14号院内</t>
  </si>
  <si>
    <t>山东省泰安市泰山区泰山区龙潭路红专小区一号楼一单元202室</t>
  </si>
  <si>
    <t>叶华贵</t>
  </si>
  <si>
    <t>补建平</t>
  </si>
  <si>
    <t>奉永辉</t>
  </si>
  <si>
    <t>林小霞</t>
  </si>
  <si>
    <t>尹继玉</t>
  </si>
  <si>
    <t>乔洋</t>
  </si>
  <si>
    <t>白升波</t>
  </si>
  <si>
    <t>吴遂征</t>
  </si>
  <si>
    <t>尹容容</t>
  </si>
  <si>
    <t>庄鹤全</t>
  </si>
  <si>
    <t>于兆强</t>
  </si>
  <si>
    <t>陈邦奇</t>
  </si>
  <si>
    <t>吴泽欣</t>
  </si>
  <si>
    <t>付伟华</t>
  </si>
  <si>
    <t>苏蕴蝶</t>
  </si>
  <si>
    <t>朱晖</t>
  </si>
  <si>
    <t>云南省曲靖市麒麟区南城门附近潇湘时代广场B座</t>
  </si>
  <si>
    <t>云南省曲靖市麒麟区白石江街道丰登7队5组602</t>
  </si>
  <si>
    <t>李松松</t>
  </si>
  <si>
    <t>沈健</t>
  </si>
  <si>
    <t>安徽省马鞍山市花山区国际华城四村18-103</t>
  </si>
  <si>
    <t>安徽省马鞍山市雨山区翡翠园1-501</t>
  </si>
  <si>
    <t>谢仕浩</t>
  </si>
  <si>
    <t>肖亚特</t>
  </si>
  <si>
    <t>四川省雅安市雨城区中大街86号二楼</t>
  </si>
  <si>
    <t>四川省雅安市雨城区西门南路20号</t>
  </si>
  <si>
    <t>上海市上海市浦东新区浦东南路2280号B幢226室</t>
  </si>
  <si>
    <t>上海市上海市宝山区三门路555弄91号502室</t>
  </si>
  <si>
    <t>欧玉青</t>
  </si>
  <si>
    <t>许洋</t>
  </si>
  <si>
    <t>黄年乐</t>
  </si>
  <si>
    <t>廖伟松</t>
  </si>
  <si>
    <t>张志海</t>
  </si>
  <si>
    <t>广东省深圳市龙岗区龙城街道长兴北路3号</t>
  </si>
  <si>
    <t>广东省深圳市龙岗区龙城街道长兴北路3号19A102</t>
  </si>
  <si>
    <t>王亚非</t>
  </si>
  <si>
    <t>河北省石家庄市平山县平光路北行50米路东</t>
  </si>
  <si>
    <t>河北省石家庄市平山县桥东大街96号</t>
  </si>
  <si>
    <t>吉洋</t>
  </si>
  <si>
    <t>重庆市重庆市万州区重庆市沙坪坝曾广路88号广达生活区</t>
  </si>
  <si>
    <t>重庆市重庆市万州区重庆市合川区希尔安大道紫荆翰林院四单元5-2</t>
  </si>
  <si>
    <t>李开发</t>
  </si>
  <si>
    <t>高玉板</t>
  </si>
  <si>
    <t>云南省昆明市五华区吴井路长润街长村</t>
  </si>
  <si>
    <t>吴井路长润街长村119号</t>
  </si>
  <si>
    <t>李文娟</t>
  </si>
  <si>
    <t>吴杰华</t>
  </si>
  <si>
    <t>高永喜</t>
  </si>
  <si>
    <t>张作帅</t>
  </si>
  <si>
    <t>蒙华瑞</t>
  </si>
  <si>
    <t>袁丽芬</t>
  </si>
  <si>
    <t>周碧辉</t>
  </si>
  <si>
    <t>莫忠贤</t>
  </si>
  <si>
    <t>李小进</t>
  </si>
  <si>
    <t>庞浩焕</t>
  </si>
  <si>
    <t>广东省湛江市廉江市梧桐根村39号</t>
  </si>
  <si>
    <t>广东省湛江市廉江市农贸路9号</t>
  </si>
  <si>
    <t>顾红军</t>
  </si>
  <si>
    <t>赵丕超</t>
  </si>
  <si>
    <t>山东省青岛市城阳区红岛街道西大洋社区岙东南路</t>
  </si>
  <si>
    <t>山东省青岛市城阳区红岛街道西大洋社区467号</t>
  </si>
  <si>
    <t>陈再进</t>
  </si>
  <si>
    <t>福建省泉州市晋江市安海镇庵前工业区</t>
  </si>
  <si>
    <t>福建省泉州市晋江市安海镇瑶前村一区</t>
  </si>
  <si>
    <t>徐人杰</t>
  </si>
  <si>
    <t>梅日红</t>
  </si>
  <si>
    <t>湖北省咸宁市赤壁市卓尔赤壁文化旅游开发有限公司</t>
  </si>
  <si>
    <t>湖北省咸宁市赤壁市湖北省赤壁市柳山湖镇</t>
  </si>
  <si>
    <t>徐卫涛</t>
  </si>
  <si>
    <t>洪金龙</t>
  </si>
  <si>
    <t>陈兆钰</t>
  </si>
  <si>
    <t>曾学明</t>
  </si>
  <si>
    <t>钟蝶</t>
  </si>
  <si>
    <t>四川省广安市广安区华蓥市步行街对面25号</t>
  </si>
  <si>
    <t>四川省广安市华蓥市华蓥市滨河路258号</t>
  </si>
  <si>
    <t>罗炳青</t>
  </si>
  <si>
    <t>魏卓纹</t>
  </si>
  <si>
    <t>李二龙</t>
  </si>
  <si>
    <t>唐志翔</t>
  </si>
  <si>
    <t>湖南省株洲市荷塘区新华西路469号</t>
  </si>
  <si>
    <t>湖南省株洲市荷塘区慈菇塘街道长征村四栋402</t>
  </si>
  <si>
    <t>程秀秀</t>
  </si>
  <si>
    <t>张秋晗</t>
  </si>
  <si>
    <t>毛一涛</t>
  </si>
  <si>
    <t>贵州省黔南布依族苗族自治州都匀市都匀市小围寨仙和小区</t>
  </si>
  <si>
    <t>贵州省黔南布依族苗族自治州都匀市都匀市云宫花城小区</t>
  </si>
  <si>
    <t>陈思媚</t>
  </si>
  <si>
    <t>李梦飞</t>
  </si>
  <si>
    <t>时改顺</t>
  </si>
  <si>
    <t>张依莹</t>
  </si>
  <si>
    <t>黎玉群</t>
  </si>
  <si>
    <t>唐勇国</t>
  </si>
  <si>
    <t>夏火练</t>
  </si>
  <si>
    <t>湖北省鄂州市华容区湖北省鄂州市葛店经济开发区公务员唯品会</t>
  </si>
  <si>
    <t>湖北省鄂州市华容区湖北省鄂州市华容区段店镇百席村百席湾47号</t>
  </si>
  <si>
    <t>李萍萍</t>
  </si>
  <si>
    <t>刘春</t>
  </si>
  <si>
    <t>四川省成都市武侯区武侯区胜利路58号</t>
  </si>
  <si>
    <t>重庆市重庆市荣昌县田坝街万隆小区1单元2-1</t>
  </si>
  <si>
    <t>闻侗</t>
  </si>
  <si>
    <t>李术彬</t>
  </si>
  <si>
    <t>陈耀文</t>
  </si>
  <si>
    <t>陈高翔</t>
  </si>
  <si>
    <t>熊成欢</t>
  </si>
  <si>
    <t>丁英</t>
  </si>
  <si>
    <t>丁嘉宝</t>
  </si>
  <si>
    <t>宁夏银川市兴庆区新水桥新春林旧村部旁</t>
  </si>
  <si>
    <t>宁夏银川市兴庆区大新镇塔桥村05队</t>
  </si>
  <si>
    <t>陈奕明</t>
  </si>
  <si>
    <t>江苏省淮安市清浦区工业园区潘园路4号</t>
  </si>
  <si>
    <t>江苏省淮安市清浦区九龙湖校花园D区8栋302室</t>
  </si>
  <si>
    <t>庄利忠</t>
  </si>
  <si>
    <t>上海市上海市金山区上海市金山区漕泾镇中心西街39号</t>
  </si>
  <si>
    <t>上海市金山区漕泾镇阮巷明华村3036号</t>
  </si>
  <si>
    <t>王国东</t>
  </si>
  <si>
    <t>卫鹏程</t>
  </si>
  <si>
    <t>肖剑锋</t>
  </si>
  <si>
    <t>张生锦</t>
  </si>
  <si>
    <t>栗高旋</t>
  </si>
  <si>
    <t>朱诚</t>
  </si>
  <si>
    <t>赵大炎</t>
  </si>
  <si>
    <t>山东省济南市市中区陡沟街道办事处西山汽配城北1号仓库</t>
  </si>
  <si>
    <t>山东省济南市市中区西红庙184号</t>
  </si>
  <si>
    <t>张海敏</t>
  </si>
  <si>
    <t>张泉滔</t>
  </si>
  <si>
    <t>冼可耀</t>
  </si>
  <si>
    <t>颜豪锦</t>
  </si>
  <si>
    <t>陈建强</t>
  </si>
  <si>
    <t>王云豪</t>
  </si>
  <si>
    <t>赵创彬</t>
  </si>
  <si>
    <t>李秋林</t>
  </si>
  <si>
    <t>江苏省苏州市虎丘区通安镇华金路189号</t>
  </si>
  <si>
    <t>江苏省苏州市虎丘区通安镇华圩路6号603</t>
  </si>
  <si>
    <t>黄凯成</t>
  </si>
  <si>
    <t>广西崇左市宁明县广西建筑公司</t>
  </si>
  <si>
    <t>广西崇左市宁明县桐棉乡那么村</t>
  </si>
  <si>
    <t>吴明朝</t>
  </si>
  <si>
    <t>李笑笑</t>
  </si>
  <si>
    <t>郭万吉</t>
  </si>
  <si>
    <t>广东省深圳市宝安区沙井新桥芙蓉工业区赛尔康大道2号</t>
  </si>
  <si>
    <t>广东省深圳市宝安区沙井新桥芙蓉工业赛尔康大道中天B栋511</t>
  </si>
  <si>
    <t>何加果</t>
  </si>
  <si>
    <t>许利明</t>
  </si>
  <si>
    <t>蔡恒</t>
  </si>
  <si>
    <t>福建省厦门市思明区东渡路118号国检大厦10楼</t>
  </si>
  <si>
    <t>福建省厦门市思明区阳台佳苑21号之三292</t>
  </si>
  <si>
    <t>周朝海</t>
  </si>
  <si>
    <t>衡汝俊</t>
  </si>
  <si>
    <t>林鑫山</t>
  </si>
  <si>
    <t>林长蒴</t>
  </si>
  <si>
    <t>刘付金玉</t>
  </si>
  <si>
    <t>张亦意</t>
  </si>
  <si>
    <t>郭振江</t>
  </si>
  <si>
    <t>殷武洋</t>
  </si>
  <si>
    <t>杨卓林</t>
  </si>
  <si>
    <t>李晓梅</t>
  </si>
  <si>
    <t>李宗武</t>
  </si>
  <si>
    <t>江苏省苏州市昆山市综合保税区第二大道269号</t>
  </si>
  <si>
    <t>江苏省苏州市昆山市玉山镇泰山路神达宿舍</t>
  </si>
  <si>
    <t>朱生强</t>
  </si>
  <si>
    <t>程文硕</t>
  </si>
  <si>
    <t>厉孟</t>
  </si>
  <si>
    <t>钱秀新</t>
  </si>
  <si>
    <t>孙学智</t>
  </si>
  <si>
    <t>新疆昌吉回族自治州昌吉市昌吉市青年路嘉瑞花园门面房2-3</t>
  </si>
  <si>
    <t>新疆昌吉回族自治州昌吉市奇台县骆驼井109团育才路32号</t>
  </si>
  <si>
    <t>何承昌</t>
  </si>
  <si>
    <t>覃飞</t>
  </si>
  <si>
    <t>广东省中山市古镇冈南工业大道西二路四号</t>
  </si>
  <si>
    <t>赵永涛</t>
  </si>
  <si>
    <t>别克江·木黑</t>
  </si>
  <si>
    <t>新疆昌吉回族自治州玛纳斯县玛纳斯县玛电镇</t>
  </si>
  <si>
    <t>新疆昌吉回族自治州玛纳斯县新疆昌吉州玛纳斯县海润天玺小区9号楼二单元201室</t>
  </si>
  <si>
    <t>毛木琴</t>
  </si>
  <si>
    <t>何云清</t>
  </si>
  <si>
    <t>齐勇</t>
  </si>
  <si>
    <t>喻萌</t>
  </si>
  <si>
    <t>黄用鹏</t>
  </si>
  <si>
    <t>韩宇欣</t>
  </si>
  <si>
    <t>季向慧</t>
  </si>
  <si>
    <t>郭衍求</t>
  </si>
  <si>
    <t>湖北省黄石市大冶市大冶市金湖街道靠老曹家</t>
  </si>
  <si>
    <t>湖北省大冶市陈贵镇天台山村下庄屋湾132号</t>
  </si>
  <si>
    <t>蒋有权</t>
  </si>
  <si>
    <t>薛顺统</t>
  </si>
  <si>
    <t>青海省海东地区互助土族自治县互助县西街六号</t>
  </si>
  <si>
    <t>青海省海东地区互助土族自治县青海省海东市互助县五峰镇纳家村上官口庄53号</t>
  </si>
  <si>
    <t>吴周奎</t>
  </si>
  <si>
    <t>刘彩</t>
  </si>
  <si>
    <t>上海市上海市浦东新区北市街223号</t>
  </si>
  <si>
    <t>上海市上海市浦东新区李家宅185号</t>
  </si>
  <si>
    <t>邓险</t>
  </si>
  <si>
    <t>卢国卫</t>
  </si>
  <si>
    <t>金佩豪</t>
  </si>
  <si>
    <t>上海市上海市闵行区江川路791号</t>
  </si>
  <si>
    <t>上海市上海市闵行区山东省济宁市鱼台县双新小区8号楼1单元101室</t>
  </si>
  <si>
    <t>樊勇波</t>
  </si>
  <si>
    <t>王金芳</t>
  </si>
  <si>
    <t>云南省德宏傣族景颇族自治州瑞丽市云南省德宏州瑞丽市珠宝街</t>
  </si>
  <si>
    <t>云南省德宏傣族景颇族自治州瑞丽市云南省德宏州瑞丽市畹町镇回环村</t>
  </si>
  <si>
    <t>王先荣</t>
  </si>
  <si>
    <t>四川省成都市郫县合作路888号</t>
  </si>
  <si>
    <t>四川省成都市成华区荆竹小区7号苑10幢7单元2楼2号</t>
  </si>
  <si>
    <t>叶霜</t>
  </si>
  <si>
    <t>杨彦龙</t>
  </si>
  <si>
    <t>高奕晖</t>
  </si>
  <si>
    <t>肖建伟</t>
  </si>
  <si>
    <t>吴月月</t>
  </si>
  <si>
    <t>李红玉</t>
  </si>
  <si>
    <t>阿力木·阿布都热依木</t>
  </si>
  <si>
    <t>耿胜宾</t>
  </si>
  <si>
    <t>董奇</t>
  </si>
  <si>
    <t>王元元</t>
  </si>
  <si>
    <t>刘永兹</t>
  </si>
  <si>
    <t>薛春茂</t>
  </si>
  <si>
    <t>江苏省淮安市淮阴区经济开发区嫩江路127号</t>
  </si>
  <si>
    <t>江苏省淮安市淮阴区新渡乡三杨村薛庄72号</t>
  </si>
  <si>
    <t>李国超</t>
  </si>
  <si>
    <t>刘福建</t>
  </si>
  <si>
    <t>张惠刚</t>
  </si>
  <si>
    <t>吴顺拮</t>
  </si>
  <si>
    <t>钱嘉琪</t>
  </si>
  <si>
    <t>王俊伟</t>
  </si>
  <si>
    <t>谢葵芬</t>
  </si>
  <si>
    <t>黄俊东</t>
  </si>
  <si>
    <t>卜凡仑</t>
  </si>
  <si>
    <t>袁海文</t>
  </si>
  <si>
    <t>关翔飞</t>
  </si>
  <si>
    <t>李志荣</t>
  </si>
  <si>
    <t>福建省漳州市龙海市龙海市白水镇楼埭村工业区</t>
  </si>
  <si>
    <t>福建省漳州市龙海市福建省漳州市龙海白水镇楼埭村下尾42号</t>
  </si>
  <si>
    <t>邵莉</t>
  </si>
  <si>
    <t>曹小琪</t>
  </si>
  <si>
    <t>甘肃省平凉市泾川县泾川县城东小区32号楼下</t>
  </si>
  <si>
    <t>甘肃省平凉市泾川县泾川县丰台乡西门社</t>
  </si>
  <si>
    <t>李宛庭</t>
  </si>
  <si>
    <t>毕明强</t>
  </si>
  <si>
    <t>李正勇</t>
  </si>
  <si>
    <t>四川省雅安市雨城区东城街道张家山路170号</t>
  </si>
  <si>
    <t>四川省雅安市雨城区四川省雅安市雨城区张家山路200号1幢3单元3号</t>
  </si>
  <si>
    <t>刘平霞</t>
  </si>
  <si>
    <t>王维德</t>
  </si>
  <si>
    <t>陈雪光</t>
  </si>
  <si>
    <t>陈天明</t>
  </si>
  <si>
    <t>浙江省宁波市慈溪市观海卫镇湖东村</t>
  </si>
  <si>
    <t>高中贺</t>
  </si>
  <si>
    <t>何远明</t>
  </si>
  <si>
    <t>张振国</t>
  </si>
  <si>
    <t>内蒙古乌兰察布市察哈尔右翼中旗镶兰大街新星名苑16号</t>
  </si>
  <si>
    <t>内蒙古乌兰察布市察哈尔右翼中旗镶兰大街金隅时代1号楼1单元202</t>
  </si>
  <si>
    <t>卜娟娟</t>
  </si>
  <si>
    <t>吴玲玲</t>
  </si>
  <si>
    <t>赵敏</t>
  </si>
  <si>
    <t>四川省南充市阆中市四川南充市阆中市阆水中路10号</t>
  </si>
  <si>
    <t>四川省南充市阆中市四川南充市阆中市寿山寺街6号</t>
  </si>
  <si>
    <t>向柳容</t>
  </si>
  <si>
    <t>陶媛媛</t>
  </si>
  <si>
    <t>鲁慧</t>
  </si>
  <si>
    <t>李玲珠</t>
  </si>
  <si>
    <t>徐晓毅</t>
  </si>
  <si>
    <t>梁自祥</t>
  </si>
  <si>
    <t>宋建华</t>
  </si>
  <si>
    <t>李叶飞</t>
  </si>
  <si>
    <t>程亚蓉</t>
  </si>
  <si>
    <t>杨名高</t>
  </si>
  <si>
    <t>李红波</t>
  </si>
  <si>
    <t>李斯丽</t>
  </si>
  <si>
    <t>黄炜</t>
  </si>
  <si>
    <t>江苏省南京市秦淮区宏光路1-1号</t>
  </si>
  <si>
    <t>江苏省南京市秦淮区石门坎100-3号2栋602室</t>
  </si>
  <si>
    <t>张梁</t>
  </si>
  <si>
    <t>新疆乌鲁木齐市沙依巴克区泽普街耀和东方名城售楼部</t>
  </si>
  <si>
    <t>新疆乌鲁木齐市沙依巴克区平川路来源名都小区2-2-801</t>
  </si>
  <si>
    <t>杨黎</t>
  </si>
  <si>
    <t>云南省昆明市盘龙区万宏路万宏国际B座5楼</t>
  </si>
  <si>
    <t>云南省昆明市盘龙区金桥花园南区9栋3单元703</t>
  </si>
  <si>
    <t>邵明红</t>
  </si>
  <si>
    <t>熊威</t>
  </si>
  <si>
    <t>刘早彬</t>
  </si>
  <si>
    <t>宋威达</t>
  </si>
  <si>
    <t>刘佳慧</t>
  </si>
  <si>
    <t>倪维</t>
  </si>
  <si>
    <t>张笑孝</t>
  </si>
  <si>
    <t>安徽省六安市金安区迎宾大道与纬一路交叉口</t>
  </si>
  <si>
    <t>安徽省六安市金安区正阳路与皋城路交叉口远大雍景台12单元603</t>
  </si>
  <si>
    <t>钟志勇</t>
  </si>
  <si>
    <t>苏杰</t>
  </si>
  <si>
    <t>唐洋洋</t>
  </si>
  <si>
    <t>黑龙江省大庆市龙凤区万峰路昌升国际二区10栋27门</t>
  </si>
  <si>
    <t>黑龙江省大庆市萨尔图区热源街万宝小区2区26号4门601室</t>
  </si>
  <si>
    <t>侯圆圆</t>
  </si>
  <si>
    <t>杜丽娟</t>
  </si>
  <si>
    <t>赵木伟</t>
  </si>
  <si>
    <t>沈陶</t>
  </si>
  <si>
    <t>吴龙波</t>
  </si>
  <si>
    <t>刘和平</t>
  </si>
  <si>
    <t>杜小平</t>
  </si>
  <si>
    <t>文扬勇</t>
  </si>
  <si>
    <t>彭俊洪</t>
  </si>
  <si>
    <t>陆秋杏</t>
  </si>
  <si>
    <t>崔庆瑶</t>
  </si>
  <si>
    <t>云南省昆明市西山区老海埂路蓝光昆仑中心1302</t>
  </si>
  <si>
    <t>云南省昆明市西山区矣六街道永泰园2栋2单元1201</t>
  </si>
  <si>
    <t>魏天勇</t>
  </si>
  <si>
    <t>红果干沟桥高速路口旁224号</t>
  </si>
  <si>
    <t>贵州省六盘水市盘县红果三圆盘聚兴苑小区五单元611</t>
  </si>
  <si>
    <t>凌蓓</t>
  </si>
  <si>
    <t>钟敏</t>
  </si>
  <si>
    <t>薛纪娜</t>
  </si>
  <si>
    <t>张裕</t>
  </si>
  <si>
    <t>瞿车香</t>
  </si>
  <si>
    <t>刘慧琛</t>
  </si>
  <si>
    <t>上海市上海市奉贤区望园路1098弄9号楼</t>
  </si>
  <si>
    <t>上海市上海市奉贤区古华新村170号402</t>
  </si>
  <si>
    <t>李兴友</t>
  </si>
  <si>
    <t>邱小松</t>
  </si>
  <si>
    <t>饶林先</t>
  </si>
  <si>
    <t>贵州省六盘水市钟山区八冶能源公司大楼</t>
  </si>
  <si>
    <t>贵州省六盘水市钟山区巴西中路商住楼C幢401室</t>
  </si>
  <si>
    <t>孔贺贺</t>
  </si>
  <si>
    <t>江苏省徐州市鼓楼区三环东路61号</t>
  </si>
  <si>
    <t>江苏省徐州市贾汪区紫庄镇西油坊村六组58号</t>
  </si>
  <si>
    <t>苏黎辉</t>
  </si>
  <si>
    <t>陕西省咸阳市秦都区秦皇中路体育场什字</t>
  </si>
  <si>
    <t>陕西省咸阳市秦都区统一大道南北季村</t>
  </si>
  <si>
    <t>李逢春</t>
  </si>
  <si>
    <t>黄焱</t>
  </si>
  <si>
    <t>王字波</t>
  </si>
  <si>
    <t>吴康桓</t>
  </si>
  <si>
    <t>窦小锋</t>
  </si>
  <si>
    <t>四川省成都市金牛区银河北街华宇锦城名都a座2单元4栋3001</t>
  </si>
  <si>
    <t>四川省达州市渠县天星镇东城半岛望江庭6栋601</t>
  </si>
  <si>
    <t>杨银宝</t>
  </si>
  <si>
    <t>吴文松</t>
  </si>
  <si>
    <t>黄泰维</t>
  </si>
  <si>
    <t>卢林健</t>
  </si>
  <si>
    <t>刘业松</t>
  </si>
  <si>
    <t>卜银雯</t>
  </si>
  <si>
    <t>杨玉龙</t>
  </si>
  <si>
    <t>江苏省无锡市南长区红星路216号</t>
  </si>
  <si>
    <t>江苏省无锡市滨湖区江海新村129栋501</t>
  </si>
  <si>
    <t>安朔岐</t>
  </si>
  <si>
    <t>冯鑫沂</t>
  </si>
  <si>
    <t>徐彬杰</t>
  </si>
  <si>
    <t>敖磊</t>
  </si>
  <si>
    <t>丁德勇</t>
  </si>
  <si>
    <t>贾志尧</t>
  </si>
  <si>
    <t>陈诗</t>
  </si>
  <si>
    <t>韦维</t>
  </si>
  <si>
    <t>杜冰</t>
  </si>
  <si>
    <t>刘文军</t>
  </si>
  <si>
    <t>广东省韶关市翁源县建设一路湖滨广场4楼</t>
  </si>
  <si>
    <t>广东省韶关市翁源县建设一路东八巷42号</t>
  </si>
  <si>
    <t>张紫玉</t>
  </si>
  <si>
    <t>云南省曲靖市麒麟区麒麟东路21号</t>
  </si>
  <si>
    <t>云南省曲靖市马龙县旧县镇开发区紫云山庄</t>
  </si>
  <si>
    <t>郑韵文</t>
  </si>
  <si>
    <t>孔志毅</t>
  </si>
  <si>
    <t>广东省珠海市香洲区中山市东区博爱六路68号</t>
  </si>
  <si>
    <t>广东省珠海市金湾区碧湖正街一卡一号</t>
  </si>
  <si>
    <t>华嘉谊</t>
  </si>
  <si>
    <t>罗兰</t>
  </si>
  <si>
    <t>四川省资阳市雁江区建设北路124号</t>
  </si>
  <si>
    <t>四川省资阳市雁江区资阳市雁江区石岭群力村六组</t>
  </si>
  <si>
    <t>吴天贵</t>
  </si>
  <si>
    <t>徐敏婷</t>
  </si>
  <si>
    <t>黄国强</t>
  </si>
  <si>
    <t>王云霄</t>
  </si>
  <si>
    <t>徐纪盛</t>
  </si>
  <si>
    <t>钱本泉</t>
  </si>
  <si>
    <t>北京市北京市朝阳区北京市朝阳区十里堡国棉变电站</t>
  </si>
  <si>
    <t>北京朝阳区鼎城路6号院</t>
  </si>
  <si>
    <t>王士雷</t>
  </si>
  <si>
    <t>徐郁柏</t>
  </si>
  <si>
    <t>梁彤亮</t>
  </si>
  <si>
    <t>任清全</t>
  </si>
  <si>
    <t>张玲委</t>
  </si>
  <si>
    <t>郑日基</t>
  </si>
  <si>
    <t>陈彬岳</t>
  </si>
  <si>
    <t>徐汉</t>
  </si>
  <si>
    <t>胡北</t>
  </si>
  <si>
    <t>江苏省徐州市鼓楼区江苏省徐州市鼓楼区奔腾大道路华美生态园南门</t>
  </si>
  <si>
    <t>江苏省徐州市泉山区江苏省徐州市泉山区王新庄村一组80号</t>
  </si>
  <si>
    <t>白亮</t>
  </si>
  <si>
    <t>施圆圆</t>
  </si>
  <si>
    <t>谢基伟</t>
  </si>
  <si>
    <t>陈锦雄</t>
  </si>
  <si>
    <t>广东省深圳市龙岗区深圳市龙岗区天安数码城三栋A座1302</t>
  </si>
  <si>
    <t>广东省深圳市龙岗区坂田南坑村北巷34号501</t>
  </si>
  <si>
    <t>顾新</t>
  </si>
  <si>
    <t>江苏省镇江市京口区镇江市丁卯径十二路256号</t>
  </si>
  <si>
    <t>江苏省镇江市京口区香江花城56栋1004室</t>
  </si>
  <si>
    <t>崔鹏</t>
  </si>
  <si>
    <t>张敏敏</t>
  </si>
  <si>
    <t>吴美德</t>
  </si>
  <si>
    <t>方青松</t>
  </si>
  <si>
    <t>白玉龙</t>
  </si>
  <si>
    <t>吴俊鹏</t>
  </si>
  <si>
    <t>贵州省毕节市威宁彝族回族苗族自治县五里岗便民服务中心</t>
  </si>
  <si>
    <t>贵州省毕节市威宁彝族回族苗族自治县金钟镇金水村</t>
  </si>
  <si>
    <t>满迪</t>
  </si>
  <si>
    <t>赵尚贵</t>
  </si>
  <si>
    <t>郑芳</t>
  </si>
  <si>
    <t>黄俊皓</t>
  </si>
  <si>
    <t>广西柳州市鱼峰区蝴蝶山路 3-3 号 祥鸿房地产</t>
  </si>
  <si>
    <t>广西柳州市柳南区柳州市柳邕路新翔小区10栋一单元701室</t>
  </si>
  <si>
    <t>周勋华</t>
  </si>
  <si>
    <t>重庆市重庆市渝北区渝北区长福路2号</t>
  </si>
  <si>
    <t>重庆市重庆市北碚区北碚区蔡家岗镇嘉运一路2号2幢2单元</t>
  </si>
  <si>
    <t>杨发顺</t>
  </si>
  <si>
    <t>余佳慧</t>
  </si>
  <si>
    <t>杨雨凡</t>
  </si>
  <si>
    <t>程一名</t>
  </si>
  <si>
    <t>何欠欠</t>
  </si>
  <si>
    <t>王劲</t>
  </si>
  <si>
    <t>陈嘉喜</t>
  </si>
  <si>
    <t>蒯文山</t>
  </si>
  <si>
    <t>李欢迎</t>
  </si>
  <si>
    <t>邢付菊</t>
  </si>
  <si>
    <t>丁延豹</t>
  </si>
  <si>
    <t>内蒙古鄂尔多斯市东胜区民族路宋麻线东蒙泰煤电集团范家村煤矿</t>
  </si>
  <si>
    <t>安徽省淮北市杜集区段园镇施庄行政村二组43号</t>
  </si>
  <si>
    <t>韩永林</t>
  </si>
  <si>
    <t>米艳林</t>
  </si>
  <si>
    <t>王巧林</t>
  </si>
  <si>
    <t>刘生彬</t>
  </si>
  <si>
    <t>杜占国</t>
  </si>
  <si>
    <t>林思妍</t>
  </si>
  <si>
    <t>杨鹤</t>
  </si>
  <si>
    <t>魏晓伟</t>
  </si>
  <si>
    <t>肖永</t>
  </si>
  <si>
    <t>郭燕萍</t>
  </si>
  <si>
    <t>张意</t>
  </si>
  <si>
    <t>尹玉明</t>
  </si>
  <si>
    <t>唐润嫦</t>
  </si>
  <si>
    <t>郑林烽</t>
  </si>
  <si>
    <t>陶阳</t>
  </si>
  <si>
    <t>尹岳海</t>
  </si>
  <si>
    <t>福建省泉州市鲤城区清濛开发区特步集团德泰路431号</t>
  </si>
  <si>
    <t>周廷刚</t>
  </si>
  <si>
    <t>付连杰</t>
  </si>
  <si>
    <t>罗家赐</t>
  </si>
  <si>
    <t>柳亮亮</t>
  </si>
  <si>
    <t>许贺鹏</t>
  </si>
  <si>
    <t>吴永钢</t>
  </si>
  <si>
    <t>唐容</t>
  </si>
  <si>
    <t>安徽省合肥市包河区淝河路周谷堆淘街美食街</t>
  </si>
  <si>
    <t>安徽省合肥市包河区宁国路前进巷7号4栋402</t>
  </si>
  <si>
    <t>刘录</t>
  </si>
  <si>
    <t>许旭明</t>
  </si>
  <si>
    <t>黄辅林</t>
  </si>
  <si>
    <t>周燕超</t>
  </si>
  <si>
    <t>辽宁省丹东市元宝区锦山大街京剧院小区</t>
  </si>
  <si>
    <t>辽宁省丹东市元宝区山上街青龙新村小区15号楼306</t>
  </si>
  <si>
    <t>杨水珍</t>
  </si>
  <si>
    <t>黄兵才</t>
  </si>
  <si>
    <t>丰华</t>
  </si>
  <si>
    <t>曹林峰</t>
  </si>
  <si>
    <t>方燕青</t>
  </si>
  <si>
    <t>刘玥彤</t>
  </si>
  <si>
    <t>张冬男</t>
  </si>
  <si>
    <t>付雪梅</t>
  </si>
  <si>
    <t>许彦冬</t>
  </si>
  <si>
    <t>孔凡英</t>
  </si>
  <si>
    <t>孙娟娟</t>
  </si>
  <si>
    <t>李艳云</t>
  </si>
  <si>
    <t>林运龙</t>
  </si>
  <si>
    <t>海南省海口市秀英区海南省儋州市排浦镇南鸿搅拌站</t>
  </si>
  <si>
    <t>海南省海口市美兰区海甸二东路邮政家园505房</t>
  </si>
  <si>
    <t>姚梦宇</t>
  </si>
  <si>
    <t>胡玉恩</t>
  </si>
  <si>
    <t>覃草沙</t>
  </si>
  <si>
    <t>郑常达</t>
  </si>
  <si>
    <t>新疆乌鲁木齐市沙依巴克区乌鲁木齐市头屯河区九华山东街2350号</t>
  </si>
  <si>
    <t>新疆乌鲁木齐市沙依巴克区乌鲁木齐市沙依巴克区红庙子路3088号阳光雅润</t>
  </si>
  <si>
    <t>王福生</t>
  </si>
  <si>
    <t>王禹</t>
  </si>
  <si>
    <t>辽宁省沈阳市康平县张强镇张强街道</t>
  </si>
  <si>
    <t>辽宁省沈阳市康平县方家屯镇后旧门村233号</t>
  </si>
  <si>
    <t>丛蓉</t>
  </si>
  <si>
    <t>蒋鸿杰</t>
  </si>
  <si>
    <t>姜宁</t>
  </si>
  <si>
    <t>朱晓艳</t>
  </si>
  <si>
    <t>翁贵阳</t>
  </si>
  <si>
    <t>薄维范</t>
  </si>
  <si>
    <t>江苏省连云港市东海县房山镇南开发区78号</t>
  </si>
  <si>
    <t>江苏省连云港市东海县驼峰乡驼峰村</t>
  </si>
  <si>
    <t>潘孝存</t>
  </si>
  <si>
    <t>肖志英</t>
  </si>
  <si>
    <t>朱晓敏</t>
  </si>
  <si>
    <t>浙江省湖州市德清县武康镇商会大厦23楼</t>
  </si>
  <si>
    <t>浙江省湖州市德清县武康镇德华东方府2幢1003</t>
  </si>
  <si>
    <t>荣延鲁</t>
  </si>
  <si>
    <t>王超宏</t>
  </si>
  <si>
    <t>周文凯</t>
  </si>
  <si>
    <t>吴岩楠</t>
  </si>
  <si>
    <t>刘海</t>
  </si>
  <si>
    <t>闫桂莹</t>
  </si>
  <si>
    <t>牙祖兴</t>
  </si>
  <si>
    <t>广西南宁市青秀区双拥路36号绿城画卷1607室</t>
  </si>
  <si>
    <t>广西南宁市兴宁区长堽路157号长和商务楼2010室</t>
  </si>
  <si>
    <t>鄢朝旭</t>
  </si>
  <si>
    <t>曾炳旺</t>
  </si>
  <si>
    <t>黄振东</t>
  </si>
  <si>
    <t>广东省广州市海珠区凤浦中路681号</t>
  </si>
  <si>
    <t>广东省广州市天河区龙洞西街西成里20号</t>
  </si>
  <si>
    <t>洪克翔</t>
  </si>
  <si>
    <t>湖南省衡阳市耒阳市蔡伦北路413号</t>
  </si>
  <si>
    <t>湖南省衡阳市耒阳市五一北路金山现代城紫轩阁2010室</t>
  </si>
  <si>
    <t>叶曹勋</t>
  </si>
  <si>
    <t>何国芳</t>
  </si>
  <si>
    <t>林志雄</t>
  </si>
  <si>
    <t>广西南宁市青秀区 桂春路10号第2-3层(柏图家居旁)</t>
  </si>
  <si>
    <t>广西南宁市良庆区金象二区西平一街3号801房</t>
  </si>
  <si>
    <t>徐亚萍</t>
  </si>
  <si>
    <t>湖北省十堰市茅箭区十堰市茅箭区人民北路28号</t>
  </si>
  <si>
    <t>湖北省十堰市茅箭区上海路金座一栋一单元1605</t>
  </si>
  <si>
    <t>梁崇明</t>
  </si>
  <si>
    <t>高晓峰</t>
  </si>
  <si>
    <t>王军红</t>
  </si>
  <si>
    <t>候治国</t>
  </si>
  <si>
    <t>冯玉杰</t>
  </si>
  <si>
    <t>李金镇</t>
  </si>
  <si>
    <t>山东省济南市历下区华强电子世界四层Q4021</t>
  </si>
  <si>
    <t>山东省济南市历下区富润康城五号楼二单元903</t>
  </si>
  <si>
    <t>吴锋</t>
  </si>
  <si>
    <t>翟伟杰</t>
  </si>
  <si>
    <t>赵朋朋</t>
  </si>
  <si>
    <t>姚瑶</t>
  </si>
  <si>
    <t>浙江省嘉兴市桐乡市乍浦镇乍王路999号</t>
  </si>
  <si>
    <t>浙江省嘉兴市平湖市林埭镇新庄村1号</t>
  </si>
  <si>
    <t>张志丽</t>
  </si>
  <si>
    <t>任俊芳</t>
  </si>
  <si>
    <t>山西省太原市万柏林区千峰商务大厦766</t>
  </si>
  <si>
    <t>山西省太原市小店区桃园正街2号院2单元602</t>
  </si>
  <si>
    <t>蒋澍</t>
  </si>
  <si>
    <t>赖文东</t>
  </si>
  <si>
    <t>王宏雨</t>
  </si>
  <si>
    <t>谭洪平</t>
  </si>
  <si>
    <t>石新明</t>
  </si>
  <si>
    <t>陆春磊</t>
  </si>
  <si>
    <t>吐尼沙·谢里甫</t>
  </si>
  <si>
    <t>侯孙正</t>
  </si>
  <si>
    <t>马兴强</t>
  </si>
  <si>
    <t>赵玉斌</t>
  </si>
  <si>
    <t>张开军</t>
  </si>
  <si>
    <t>毛兴福</t>
  </si>
  <si>
    <t>赖南梅</t>
  </si>
  <si>
    <t>蔡虎</t>
  </si>
  <si>
    <t>吴诗华</t>
  </si>
  <si>
    <t>张萌</t>
  </si>
  <si>
    <t>宋娣娣</t>
  </si>
  <si>
    <t>罗伟荣</t>
  </si>
  <si>
    <t>何仕荣</t>
  </si>
  <si>
    <t>尚秀娟</t>
  </si>
  <si>
    <t>湖北省恩施土家族苗族自治州恩施市金桂大道汽车商贸城144号</t>
  </si>
  <si>
    <t>湖北省恩施土家族苗族自治州恩施市六角亭街道办事处书院社区居委会四组24号</t>
  </si>
  <si>
    <t>裴长河</t>
  </si>
  <si>
    <t>吴红波</t>
  </si>
  <si>
    <t>天津市天津市武清区汊沽港镇津永公路北侧10号</t>
  </si>
  <si>
    <t>天津市天津市武清区汊沽港镇津永公路北侧10号202室</t>
  </si>
  <si>
    <t>黄慧霞</t>
  </si>
  <si>
    <t>边守涛</t>
  </si>
  <si>
    <t>郑鲁康</t>
  </si>
  <si>
    <t>浙江省杭州市上城区杭州四季青服装市场</t>
  </si>
  <si>
    <t>浙江省杭州市江干区杭州市江干区笕桥镇黄家村3组58号</t>
  </si>
  <si>
    <t>刘金忠</t>
  </si>
  <si>
    <t>董华</t>
  </si>
  <si>
    <t>方国付</t>
  </si>
  <si>
    <t>周丽娜</t>
  </si>
  <si>
    <t>杨则彬</t>
  </si>
  <si>
    <t>董江</t>
  </si>
  <si>
    <t>李春波</t>
  </si>
  <si>
    <t>邵鹏</t>
  </si>
  <si>
    <t>王东起</t>
  </si>
  <si>
    <t>阳伟亮</t>
  </si>
  <si>
    <t>刘柏松</t>
  </si>
  <si>
    <t>刘海明</t>
  </si>
  <si>
    <t>谭小红</t>
  </si>
  <si>
    <t>谢颖</t>
  </si>
  <si>
    <t>杨俊康</t>
  </si>
  <si>
    <t>广东省广州市南沙区金岭北路95号卓才大厦二楼</t>
  </si>
  <si>
    <t>广东省广州市南沙区黄阁镇东风农场繁荣街32号</t>
  </si>
  <si>
    <t>陈国健</t>
  </si>
  <si>
    <t>许浪</t>
  </si>
  <si>
    <t>卢宗海</t>
  </si>
  <si>
    <t>吴贤超</t>
  </si>
  <si>
    <t>于长江</t>
  </si>
  <si>
    <t>张家翔</t>
  </si>
  <si>
    <t>刘永德</t>
  </si>
  <si>
    <t>祝伟杰</t>
  </si>
  <si>
    <t>曹骏</t>
  </si>
  <si>
    <t>胡万永</t>
  </si>
  <si>
    <t>卢昌发</t>
  </si>
  <si>
    <t>李发金</t>
  </si>
  <si>
    <t>何兴全</t>
  </si>
  <si>
    <t>宋清伦</t>
  </si>
  <si>
    <t>辽宁省大连市沙河口区高新园区</t>
  </si>
  <si>
    <t>辽宁省大连市庄河市城山镇</t>
  </si>
  <si>
    <t>朱远沈</t>
  </si>
  <si>
    <t>云南省昆明市五华区柏联广场A座901</t>
  </si>
  <si>
    <t>云南省昆明市五华区人民西路壹号广场6栋711</t>
  </si>
  <si>
    <t>徐燕霞</t>
  </si>
  <si>
    <t>林土金</t>
  </si>
  <si>
    <t>龙尚武</t>
  </si>
  <si>
    <t>湖南省衡阳市常宁市泉峰街道办事处冷水村</t>
  </si>
  <si>
    <t>湖南省衡阳市耒阳市泉峰街道办事处新村路15号</t>
  </si>
  <si>
    <t>赵美娟</t>
  </si>
  <si>
    <t>余洪波</t>
  </si>
  <si>
    <t>蔡启华</t>
  </si>
  <si>
    <t>左文峰</t>
  </si>
  <si>
    <t>曹成方</t>
  </si>
  <si>
    <t>侯月杰</t>
  </si>
  <si>
    <t>付勇</t>
  </si>
  <si>
    <t>贵州省贵阳市乌当区东风镇东风工业园</t>
  </si>
  <si>
    <t>贵州省安顺市西秀区运输路育英幼儿园二单元302</t>
  </si>
  <si>
    <t>陈延军</t>
  </si>
  <si>
    <t>焦萍萍</t>
  </si>
  <si>
    <t>江苏省泰州市靖江市江平路274号</t>
  </si>
  <si>
    <t>江苏省泰州市靖江市靖城镇靖南村10组交警大队住宅楼1幢101</t>
  </si>
  <si>
    <t>吴丰觉</t>
  </si>
  <si>
    <t>李付平</t>
  </si>
  <si>
    <t>袁建明</t>
  </si>
  <si>
    <t>穆锡林</t>
  </si>
  <si>
    <t>张继孔</t>
  </si>
  <si>
    <t>张科</t>
  </si>
  <si>
    <t>于忠华</t>
  </si>
  <si>
    <t>涂晓峰</t>
  </si>
  <si>
    <t>于新莲</t>
  </si>
  <si>
    <t>倪金光</t>
  </si>
  <si>
    <t>唐建新</t>
  </si>
  <si>
    <t>李忠元</t>
  </si>
  <si>
    <t>青海省海东地区民和回族土族自治县下川口工业园区天利硅业有限公司</t>
  </si>
  <si>
    <t>青海省海东地区平安县民和县马场垣乡磨湾子村01号</t>
  </si>
  <si>
    <t>杨清武</t>
  </si>
  <si>
    <t>田文元</t>
  </si>
  <si>
    <t>白天奇</t>
  </si>
  <si>
    <t>魏莹莹</t>
  </si>
  <si>
    <t>楚艳平</t>
  </si>
  <si>
    <t>曾立波</t>
  </si>
  <si>
    <t>邱珍珍</t>
  </si>
  <si>
    <t>胡献立</t>
  </si>
  <si>
    <t>江苏省苏州市吴江区香金花园东门</t>
  </si>
  <si>
    <t>河北省邯郸市魏县大辛庄乡南秦固村005号</t>
  </si>
  <si>
    <t>黄展</t>
  </si>
  <si>
    <t>江苏省泰州市兴化市周庄镇江孙庄村</t>
  </si>
  <si>
    <t>江苏省泰州市姜堰市罗塘街道南苑新村58幢104室</t>
  </si>
  <si>
    <t>严云飞</t>
  </si>
  <si>
    <t>纪亚东</t>
  </si>
  <si>
    <t>朱秀兴</t>
  </si>
  <si>
    <t>杜佳乐</t>
  </si>
  <si>
    <t>李克慧</t>
  </si>
  <si>
    <t>李颖</t>
  </si>
  <si>
    <t>山东省东营市广饶县民安路信义领秀城售楼处</t>
  </si>
  <si>
    <t>山东省东营市广饶县西苑小区22号楼</t>
  </si>
  <si>
    <t>李肖华</t>
  </si>
  <si>
    <t>河北省保定市高碑店市白沟镇金华街3号</t>
  </si>
  <si>
    <t>河北省保定市高碑店市白沟镇金利达公寓三单元602</t>
  </si>
  <si>
    <t>施文</t>
  </si>
  <si>
    <t>刘天宝</t>
  </si>
  <si>
    <t>马小平</t>
  </si>
  <si>
    <t>梁鹏</t>
  </si>
  <si>
    <t>李晨钢</t>
  </si>
  <si>
    <t>江苏省无锡市惠山区洛社镇石塘湾工业集中区</t>
  </si>
  <si>
    <t>江苏省无锡市惠山区洛社镇梅泾村中场巷38号</t>
  </si>
  <si>
    <t>丘伊丽</t>
  </si>
  <si>
    <t>蒋启凤</t>
  </si>
  <si>
    <t>广西南宁市青秀区广西南宁市青秀区金浦路125号新民大厦A座0710</t>
  </si>
  <si>
    <t>广西南宁市青秀区云景路三号12栋501</t>
  </si>
  <si>
    <t>王鹏文</t>
  </si>
  <si>
    <t>林文池</t>
  </si>
  <si>
    <t>福建省漳州市长泰县林墩工业区美宫村大枋</t>
  </si>
  <si>
    <t>福建省漳州市长泰县林墩工业区美宫村洋头20号</t>
  </si>
  <si>
    <t>王金苗</t>
  </si>
  <si>
    <t>四川省宜宾市翠屏区南广镇盐坪坝工业园区</t>
  </si>
  <si>
    <t>四川省宜宾市翠屏区南岸桂花小区2栋2单元4楼16号</t>
  </si>
  <si>
    <t>扶元</t>
  </si>
  <si>
    <t>湖南省娄底市冷水江市广场东路</t>
  </si>
  <si>
    <t>湖南省娄底市冷水江市冷水江街道涟溪桥居委会11组</t>
  </si>
  <si>
    <t>刘昌昊</t>
  </si>
  <si>
    <t>林南</t>
  </si>
  <si>
    <t>河北省廊坊市香河县安头屯镇环保产业园区</t>
  </si>
  <si>
    <t>河北省廊坊市香河县安平镇香汐花园20栋一单元1204</t>
  </si>
  <si>
    <t>刘玲玲</t>
  </si>
  <si>
    <t>许杨</t>
  </si>
  <si>
    <t>湖北省武汉市武昌区徐东路40号</t>
  </si>
  <si>
    <t>湖北省武汉市黄陂区盘龙城香奈天鹅湖413栋1单元401</t>
  </si>
  <si>
    <t>施光</t>
  </si>
  <si>
    <t>内蒙古通辽市霍林郭勒市大贸易街活动中心1号楼9号商</t>
  </si>
  <si>
    <t>内蒙古通辽市霍林郭勒市绿洲花园小区3号楼3单元605</t>
  </si>
  <si>
    <t>黄诗维</t>
  </si>
  <si>
    <t>文浩</t>
  </si>
  <si>
    <t>覃桂燕</t>
  </si>
  <si>
    <t>樊衍</t>
  </si>
  <si>
    <t>乙生政</t>
  </si>
  <si>
    <t>沈洋</t>
  </si>
  <si>
    <t>山东省枣庄市滕州市滕州市东沙河镇商业街289号</t>
  </si>
  <si>
    <t>山东省枣庄市滕州市荆河办事处幸福东区10号楼4单元307室</t>
  </si>
  <si>
    <t>蒲以飞</t>
  </si>
  <si>
    <t>周坤</t>
  </si>
  <si>
    <t>钟万荣</t>
  </si>
  <si>
    <t>白晨希</t>
  </si>
  <si>
    <t>李海娇</t>
  </si>
  <si>
    <t>云南省昆明市五华区高新区科医路52号</t>
  </si>
  <si>
    <t>云南省昆明市五华区正大紫都2栋2601</t>
  </si>
  <si>
    <t>许绍东</t>
  </si>
  <si>
    <t>邵晓宇</t>
  </si>
  <si>
    <t>江苏省淮安市洪泽县洪泽经济开发区</t>
  </si>
  <si>
    <t>江苏省淮安市洪泽县党校小区</t>
  </si>
  <si>
    <t>舒畅</t>
  </si>
  <si>
    <t>重庆市重庆市长寿区重庆市长寿区晏家工业园区化中一支路1号103室</t>
  </si>
  <si>
    <t>重庆市重庆市长寿区重庆市长寿区凤城镇望江路22号</t>
  </si>
  <si>
    <t>欧阳炜</t>
  </si>
  <si>
    <t>涂筱波</t>
  </si>
  <si>
    <t>河南省南阳市宛城区重阳乡香坊村</t>
  </si>
  <si>
    <t>河南省郑州市中原区农业南路万通街商都新城一号楼一单元</t>
  </si>
  <si>
    <t>任新旭</t>
  </si>
  <si>
    <t>叶敏</t>
  </si>
  <si>
    <t>司文赖</t>
  </si>
  <si>
    <t>河南省郑州市金水区玉凤路与福元路交叉口向南五十米路东</t>
  </si>
  <si>
    <t>河南省新乡市原阳县桥北乡杨庄村107号附01</t>
  </si>
  <si>
    <t>陈旭辉</t>
  </si>
  <si>
    <t>甘肃省兰州市城关区萃英门82号</t>
  </si>
  <si>
    <t>甘肃省兰州市城关区大沙坪兰监小区11-1</t>
  </si>
  <si>
    <t>孔李</t>
  </si>
  <si>
    <t>熊金柱</t>
  </si>
  <si>
    <t>庞伟辉</t>
  </si>
  <si>
    <t>湖南省常德市鼎城区广东省佛山市</t>
  </si>
  <si>
    <t>湖南省常德市鼎城区韩公渡镇双胜桥村</t>
  </si>
  <si>
    <t>何艳</t>
  </si>
  <si>
    <t>白金平</t>
  </si>
  <si>
    <t>肖江</t>
  </si>
  <si>
    <t>吴孟娜</t>
  </si>
  <si>
    <t>河南省郑州市登封市中岳办事处交河村1号</t>
  </si>
  <si>
    <t>河南省郑州市登封市中岳办事处交河村金水湾洗浴中心院内</t>
  </si>
  <si>
    <t>刘敬委</t>
  </si>
  <si>
    <t>刘国帅</t>
  </si>
  <si>
    <t>邱竹宇</t>
  </si>
  <si>
    <t>张铜</t>
  </si>
  <si>
    <t>江苏省南通市崇川区老教育路三号</t>
  </si>
  <si>
    <t>江苏省南通市港闸区和盛林荫水岸4幢902室</t>
  </si>
  <si>
    <t>谢军</t>
  </si>
  <si>
    <t>江西省新余市渝水区新安工业区工业路41号</t>
  </si>
  <si>
    <t>江西省新余市渝水区虎跃路姚家边新村44栋3单元401号</t>
  </si>
  <si>
    <t>第五召召</t>
  </si>
  <si>
    <t>宁夏吴忠市利通区凯越建材城</t>
  </si>
  <si>
    <t>宁夏吴忠市利通区胜利西路同心苑17号楼2单元101</t>
  </si>
  <si>
    <t>钟裕升</t>
  </si>
  <si>
    <t>孙跃</t>
  </si>
  <si>
    <t>毕波</t>
  </si>
  <si>
    <t>辽宁省沈阳市沈河区东新路24号6</t>
  </si>
  <si>
    <t>辽宁省沈阳市于洪区白山路151-2号133</t>
  </si>
  <si>
    <t>周仔涛</t>
  </si>
  <si>
    <t>云南省昭通市昭阳区威信路五号</t>
  </si>
  <si>
    <t>云南省昭通市镇雄县镇雄县碗厂镇碗西路五十号</t>
  </si>
  <si>
    <t>黄俊辉</t>
  </si>
  <si>
    <t>广西桂林市象山区雉山路72</t>
  </si>
  <si>
    <t>广西桂林市叠彩区胜利路东三里8栋1单元302</t>
  </si>
  <si>
    <t>邱金钟</t>
  </si>
  <si>
    <t>福建省莆田市城厢区西天尾南少林50米</t>
  </si>
  <si>
    <t>福建省莆田市仙游县游洋镇河星村顶厝25号</t>
  </si>
  <si>
    <t>韦远生</t>
  </si>
  <si>
    <t>李桥生</t>
  </si>
  <si>
    <t>石焰</t>
  </si>
  <si>
    <t>李佳桐</t>
  </si>
  <si>
    <t>柳红艳</t>
  </si>
  <si>
    <t>谢观香</t>
  </si>
  <si>
    <t>薛威</t>
  </si>
  <si>
    <t>内蒙古包头市九原区哈业胡同镇</t>
  </si>
  <si>
    <t>内蒙古包头市九原区内蒙古包头市九原区哈业胡同镇永丰五村130号</t>
  </si>
  <si>
    <t>杨继兵</t>
  </si>
  <si>
    <t>王聪利</t>
  </si>
  <si>
    <t>河南省郑州市登封市阳城工业区</t>
  </si>
  <si>
    <t>河南省郑州市登封市告成镇田家沟村63号</t>
  </si>
  <si>
    <t>邹欣妍</t>
  </si>
  <si>
    <t>李纬</t>
  </si>
  <si>
    <t>高占强</t>
  </si>
  <si>
    <t>宋玉琴</t>
  </si>
  <si>
    <t>王明建</t>
  </si>
  <si>
    <t>王慧玲</t>
  </si>
  <si>
    <t>白孟杰</t>
  </si>
  <si>
    <t>浙江省台州市玉环县浙江省台州市玉环县楚门镇飞龙家具广场大源物业</t>
  </si>
  <si>
    <t>浙江省台州市玉环县浙江省台州市玉环县楚门镇</t>
  </si>
  <si>
    <t>云南省西双版纳傣族自治州勐海县勐海县农贸市场3楼</t>
  </si>
  <si>
    <t>云南省西双版纳傣族自治州勐海县勐海镇欣城花园</t>
  </si>
  <si>
    <t>伍小敏</t>
  </si>
  <si>
    <t>张智骅</t>
  </si>
  <si>
    <t>刘晓艺</t>
  </si>
  <si>
    <t>翟希刚</t>
  </si>
  <si>
    <t>戴琳</t>
  </si>
  <si>
    <t>重庆市重庆市渝中区龙湖时代天街商务楼4栋16-17</t>
  </si>
  <si>
    <t>重庆市重庆市渝中区大黄路61号附3号5-3</t>
  </si>
  <si>
    <t>汪余鹏</t>
  </si>
  <si>
    <t>林芦芦</t>
  </si>
  <si>
    <t>浙江省台州市玉环县楚门镇中山菜场</t>
  </si>
  <si>
    <t>浙江省台州市玉环县楚门镇楚柚南路168号</t>
  </si>
  <si>
    <t>孙永杰</t>
  </si>
  <si>
    <t>刘祖江</t>
  </si>
  <si>
    <t>陈庆生</t>
  </si>
  <si>
    <t>石家庄桥西区长兴街东侧</t>
  </si>
  <si>
    <t>河北省石家庄市桥西区石家庄桥西区幸福城6-2-2002</t>
  </si>
  <si>
    <t>李军平</t>
  </si>
  <si>
    <t>牛兵兵</t>
  </si>
  <si>
    <t>陈雅</t>
  </si>
  <si>
    <t>欧阳远军</t>
  </si>
  <si>
    <t>邓文</t>
  </si>
  <si>
    <t>蒲胤</t>
  </si>
  <si>
    <t>贵州省贵阳市云岩区中华中路正新街娃娃国3楼</t>
  </si>
  <si>
    <t>贵州省贵阳市云岩区中坝路亨特萃山国际</t>
  </si>
  <si>
    <t>余亮亮</t>
  </si>
  <si>
    <t>景宁波</t>
  </si>
  <si>
    <t>陈川皇</t>
  </si>
  <si>
    <t>袁中强</t>
  </si>
  <si>
    <t>韦建武</t>
  </si>
  <si>
    <t>杨宝丽</t>
  </si>
  <si>
    <t>云南省楚雄彝族自治州元谋县元马镇龙川1号</t>
  </si>
  <si>
    <t>云南省楚雄彝族自治州元谋县元马镇发祥路199号</t>
  </si>
  <si>
    <t>薛佳骅</t>
  </si>
  <si>
    <t>王鑫涵</t>
  </si>
  <si>
    <t>山西省运城市垣曲县黄河路晋海大厦</t>
  </si>
  <si>
    <t>山西省运城市垣曲县长直乡原峪村</t>
  </si>
  <si>
    <t>刘正敏</t>
  </si>
  <si>
    <t>项载娟</t>
  </si>
  <si>
    <t>彭丹丹</t>
  </si>
  <si>
    <t>杨艳娇</t>
  </si>
  <si>
    <t>何颖仪</t>
  </si>
  <si>
    <t>刘珍艳</t>
  </si>
  <si>
    <t>顾广福</t>
  </si>
  <si>
    <t>贺永佳</t>
  </si>
  <si>
    <t>石兰柱</t>
  </si>
  <si>
    <t>姚飞</t>
  </si>
  <si>
    <t>北京市北京市顺义区4货运北路三号</t>
  </si>
  <si>
    <t>北京市北京市顺义区裕龙花园四区5栋5门502</t>
  </si>
  <si>
    <t>罗永坤</t>
  </si>
  <si>
    <t>张海瀛</t>
  </si>
  <si>
    <t>山东省青岛市胶州市广东路9号</t>
  </si>
  <si>
    <t>山东省青岛市胶州市广州北路汇英名郡5号楼402</t>
  </si>
  <si>
    <t>黄菠</t>
  </si>
  <si>
    <t>李佳俊</t>
  </si>
  <si>
    <t>李月鑫</t>
  </si>
  <si>
    <t>成腾晖</t>
  </si>
  <si>
    <t>浙江省台州市仙居县南峰街道省耕路209号</t>
  </si>
  <si>
    <t>浙江省台州市仙居县下各镇羊棚头村羊北片220号</t>
  </si>
  <si>
    <t>朱凯迪</t>
  </si>
  <si>
    <t>刘文娟</t>
  </si>
  <si>
    <t>廖培平</t>
  </si>
  <si>
    <t>广东省佛山市南海区沙涌镇大步创业路12号</t>
  </si>
  <si>
    <t>江西省宜春市万载县高城镇大坪村染店组号01号</t>
  </si>
  <si>
    <t>董兆国</t>
  </si>
  <si>
    <t>肖小明</t>
  </si>
  <si>
    <t>杨万斌</t>
  </si>
  <si>
    <t>邹万琨</t>
  </si>
  <si>
    <t>伍金合</t>
  </si>
  <si>
    <t>杨笑冬</t>
  </si>
  <si>
    <t>许丹丹</t>
  </si>
  <si>
    <t>刘嘉奇</t>
  </si>
  <si>
    <t>王锦</t>
  </si>
  <si>
    <t>梁振达</t>
  </si>
  <si>
    <t>重庆市重庆市铜梁县铜梁区东城街道迎春东街27-2-3</t>
  </si>
  <si>
    <t>重庆市重庆市铜梁县铜梁区巴川街道第一书香1栋14-3</t>
  </si>
  <si>
    <t>江苏省苏州市吴中区工业园区苏雅路318号赛格数码广场2楼</t>
  </si>
  <si>
    <t>江苏省苏州市吴中区工业园区苏雅路318号</t>
  </si>
  <si>
    <t>陆青</t>
  </si>
  <si>
    <t>江苏省苏州市吴中区滨河路88号</t>
  </si>
  <si>
    <t>江苏省苏州市吴中区木渎镇中街56号</t>
  </si>
  <si>
    <t>何志虎</t>
  </si>
  <si>
    <t>王国超</t>
  </si>
  <si>
    <t>孟令浩</t>
  </si>
  <si>
    <t>田志强</t>
  </si>
  <si>
    <t>祝琦琦</t>
  </si>
  <si>
    <t>康晶</t>
  </si>
  <si>
    <t>孙旦</t>
  </si>
  <si>
    <t>原文正</t>
  </si>
  <si>
    <t>黄金杰</t>
  </si>
  <si>
    <t>郝冲</t>
  </si>
  <si>
    <t>林立彬</t>
  </si>
  <si>
    <t>上海市上海市青浦区华新镇华隆路1728号</t>
  </si>
  <si>
    <t>上海市上海市青浦区华新镇华富街443号</t>
  </si>
  <si>
    <t>陈心威</t>
  </si>
  <si>
    <t>文仁杰</t>
  </si>
  <si>
    <t>刘夕飞</t>
  </si>
  <si>
    <t>温慧娟</t>
  </si>
  <si>
    <t>杨江红</t>
  </si>
  <si>
    <t>杜楠楠</t>
  </si>
  <si>
    <t>阮志成</t>
  </si>
  <si>
    <t>郑智文</t>
  </si>
  <si>
    <t>刘志丹</t>
  </si>
  <si>
    <t>东莞长安厦边银城一路兴业大厦501</t>
  </si>
  <si>
    <t>长安厦边银城一路兴业大厦</t>
  </si>
  <si>
    <t>俞兵</t>
  </si>
  <si>
    <t>安徽省合肥市瑶海区公园路香江生态丽景一期三栋118</t>
  </si>
  <si>
    <t>安徽省合肥市长丰县阜阳北路恒大帝景14栋2703</t>
  </si>
  <si>
    <t>倪志鸽</t>
  </si>
  <si>
    <t>什巴提·别尔德木拉提</t>
  </si>
  <si>
    <t>赵丽丽</t>
  </si>
  <si>
    <t>张宏祥</t>
  </si>
  <si>
    <t>吴坡</t>
  </si>
  <si>
    <t>邹庆吉</t>
  </si>
  <si>
    <t>四川省成都市龙泉驿区车城东一路1号</t>
  </si>
  <si>
    <t>四川省成都市龙泉驿区洛带镇菱角堰社区1栋9单元5号</t>
  </si>
  <si>
    <t>梁来富</t>
  </si>
  <si>
    <t>邵硕</t>
  </si>
  <si>
    <t>黄盛杰</t>
  </si>
  <si>
    <t>黄俊</t>
  </si>
  <si>
    <t>孙诗棋</t>
  </si>
  <si>
    <t>河南省三门峡市渑池县河南省灵宝市豫灵镇</t>
  </si>
  <si>
    <t>河南省三门峡市灵宝市河南省灵宝市豫灵镇太张</t>
  </si>
  <si>
    <t>张宇鑫</t>
  </si>
  <si>
    <t>山西省阳泉市郊区河底镇北庄村</t>
  </si>
  <si>
    <t>山西省阳泉市城区御康小区3号楼3单元2202</t>
  </si>
  <si>
    <t>林韵麒</t>
  </si>
  <si>
    <t>朱恩福</t>
  </si>
  <si>
    <t>侯东芳</t>
  </si>
  <si>
    <t>贾方芳</t>
  </si>
  <si>
    <t>雷禹</t>
  </si>
  <si>
    <t>贵州省遵义市红花岗区内环路193号</t>
  </si>
  <si>
    <t>贵州省遵义市汇川区香港路354号松庄小区3栋101号</t>
  </si>
  <si>
    <t>罗春财</t>
  </si>
  <si>
    <t>谢有为</t>
  </si>
  <si>
    <t>侯俊超</t>
  </si>
  <si>
    <t>朱云翔</t>
  </si>
  <si>
    <t>江苏省无锡市崇安区无锡市广瑞路1908号</t>
  </si>
  <si>
    <t>江苏省无锡市崇安区广益街道新明西路</t>
  </si>
  <si>
    <t>马艳波</t>
  </si>
  <si>
    <t>甘肃省张掖市甘州区西街延伸段瑞祥花园8号楼2楼</t>
  </si>
  <si>
    <t>甘肃省张掖市甘州区北环路畜牧站家属楼一单元302</t>
  </si>
  <si>
    <t>邢爱文</t>
  </si>
  <si>
    <t>白思雨</t>
  </si>
  <si>
    <t>孟维锴</t>
  </si>
  <si>
    <t>洪愈</t>
  </si>
  <si>
    <t>曾繁森</t>
  </si>
  <si>
    <t>曾新荣</t>
  </si>
  <si>
    <t>林均仕</t>
  </si>
  <si>
    <t>周春强</t>
  </si>
  <si>
    <t>朴毅</t>
  </si>
  <si>
    <t>邓基涛</t>
  </si>
  <si>
    <t>韦选浪</t>
  </si>
  <si>
    <t>廖锦鹏</t>
  </si>
  <si>
    <t>黄金朗</t>
  </si>
  <si>
    <t>谢祥勇</t>
  </si>
  <si>
    <t>谢政</t>
  </si>
  <si>
    <t>何阳</t>
  </si>
  <si>
    <t>孙松</t>
  </si>
  <si>
    <t>彭维文</t>
  </si>
  <si>
    <t>李友民</t>
  </si>
  <si>
    <t>张立</t>
  </si>
  <si>
    <t>左静</t>
  </si>
  <si>
    <t>四川省成都市成华区华油路财富又一城11楼</t>
  </si>
  <si>
    <t>四川省成都市武侯区菊乐路98号</t>
  </si>
  <si>
    <t>刘广茂</t>
  </si>
  <si>
    <t>山东省烟台市芝罘区东岳南路11号</t>
  </si>
  <si>
    <t>山东省烟台市牟平区金胜小区12号楼三单元502</t>
  </si>
  <si>
    <t>徐伊琼</t>
  </si>
  <si>
    <t>于雷</t>
  </si>
  <si>
    <t>刘清水</t>
  </si>
  <si>
    <t>熊博</t>
  </si>
  <si>
    <t>湖北省武汉市江汉区三眼桥北路27号</t>
  </si>
  <si>
    <t>湖北省武汉市黄陂区滠口街怀富里42号</t>
  </si>
  <si>
    <t>许雅荣</t>
  </si>
  <si>
    <t>黄健宇</t>
  </si>
  <si>
    <t>谢双龙</t>
  </si>
  <si>
    <t>马麒</t>
  </si>
  <si>
    <t>付凯</t>
  </si>
  <si>
    <t>谢桐</t>
  </si>
  <si>
    <t>王绪秋</t>
  </si>
  <si>
    <t>辽宁省鞍山市铁西区鞍山市铁西区千山西路285号</t>
  </si>
  <si>
    <t>辽宁省鞍山市铁西区睿达花园74号楼1单元301</t>
  </si>
  <si>
    <t>孙贺</t>
  </si>
  <si>
    <t>谢家成</t>
  </si>
  <si>
    <t>永喜</t>
  </si>
  <si>
    <t>常志强</t>
  </si>
  <si>
    <t>邱小林</t>
  </si>
  <si>
    <t>陆安</t>
  </si>
  <si>
    <t>王顺利</t>
  </si>
  <si>
    <t>杨宏武</t>
  </si>
  <si>
    <t>湖北省武汉市蔡甸区蔡甸大街216号</t>
  </si>
  <si>
    <t>湖北省武汉市蔡甸区蔡甸区姚家林华林公寓</t>
  </si>
  <si>
    <t>胥浩</t>
  </si>
  <si>
    <t>四川省绵阳市涪城区云溪镇石岭村39号</t>
  </si>
  <si>
    <t>阳光水岸二单元五楼301号</t>
  </si>
  <si>
    <t>向佩</t>
  </si>
  <si>
    <t>陈武周</t>
  </si>
  <si>
    <t>广西梧州市万秀区新兴一路新兴里4号</t>
  </si>
  <si>
    <t>广西梧州市万秀区广西梧州市万秀区旺甫镇大盈村牛朗组1号</t>
  </si>
  <si>
    <t>刘淦榕</t>
  </si>
  <si>
    <t>赵利弟</t>
  </si>
  <si>
    <t>杨兴鸿</t>
  </si>
  <si>
    <t>陈文</t>
  </si>
  <si>
    <t>袁飞</t>
  </si>
  <si>
    <t>新疆乌鲁木齐市水磨沟区水磨沟区183号</t>
  </si>
  <si>
    <t>新疆乌鲁木齐市天山区幸福花园六期十五号楼二单元301</t>
  </si>
  <si>
    <t>伍海鹏</t>
  </si>
  <si>
    <t>湖南省岳阳市临湘市长安街道飞跃村刘家组9号</t>
  </si>
  <si>
    <t>湖南省岳阳市临湘市白云镇张牌村下伍组21号</t>
  </si>
  <si>
    <t>杜彩霞</t>
  </si>
  <si>
    <t>刘世英</t>
  </si>
  <si>
    <t>陈沂</t>
  </si>
  <si>
    <t>广东省湛江市霞山区椹川大道中31号之13</t>
  </si>
  <si>
    <t>广东省湛江市霞山区洪屋路星海湾c812</t>
  </si>
  <si>
    <t>李肖潇</t>
  </si>
  <si>
    <t>杨艳春</t>
  </si>
  <si>
    <t>陈晓辉</t>
  </si>
  <si>
    <t>陈楚滨</t>
  </si>
  <si>
    <t>杨精华</t>
  </si>
  <si>
    <t>贵州省黔东南苗族侗族自治州麻江县党群路1号</t>
  </si>
  <si>
    <t>贵州省黔东南苗族侗族自治州凯里市金井路20号3栋95号</t>
  </si>
  <si>
    <t>张建亚</t>
  </si>
  <si>
    <t>江苏省盐城市亭湖区江苏省盐城市亭湖区希望大道12号</t>
  </si>
  <si>
    <t>江苏省盐城市亭湖区青墩镇三尖西路27号</t>
  </si>
  <si>
    <t>富丽</t>
  </si>
  <si>
    <t>辽宁省沈阳市沈河区中街路115号</t>
  </si>
  <si>
    <t>沈阳市浑南区满堂乡上木村宋家171号</t>
  </si>
  <si>
    <t>钱彬彬</t>
  </si>
  <si>
    <t>广东省深圳市福田区爱华市场188A</t>
  </si>
  <si>
    <t>广东省深圳市福田区南园新村3栋4单元308</t>
  </si>
  <si>
    <t>王镜翔</t>
  </si>
  <si>
    <t>张长丽</t>
  </si>
  <si>
    <t>曹珊</t>
  </si>
  <si>
    <t>袁明</t>
  </si>
  <si>
    <t>郭莹</t>
  </si>
  <si>
    <t>有传斌</t>
  </si>
  <si>
    <t>廖庭彪</t>
  </si>
  <si>
    <t>李艳红</t>
  </si>
  <si>
    <t>朱春麟</t>
  </si>
  <si>
    <t>赵娅楠</t>
  </si>
  <si>
    <t>卢贵琼</t>
  </si>
  <si>
    <t>许庆玲</t>
  </si>
  <si>
    <t>浙江省湖州市长兴县古城街道210号</t>
  </si>
  <si>
    <t>浙江省湖州市长兴县古城街道古苑小区三幢二单元501</t>
  </si>
  <si>
    <t>孟海军</t>
  </si>
  <si>
    <t>浙江省金华市义乌市经济开发区永顺路10号</t>
  </si>
  <si>
    <t>浙江省金华市义乌市稠江街道新屋二区3街8号204</t>
  </si>
  <si>
    <t>金永强</t>
  </si>
  <si>
    <t>唐静</t>
  </si>
  <si>
    <t>苏英立</t>
  </si>
  <si>
    <t>辽宁省沈阳市铁西区开发大路8甲</t>
  </si>
  <si>
    <t>辽宁省沈阳市铁西区保工南街67号7-5-1</t>
  </si>
  <si>
    <t>任国涛</t>
  </si>
  <si>
    <t>李伟冬</t>
  </si>
  <si>
    <t>安洪强</t>
  </si>
  <si>
    <t>刘美红</t>
  </si>
  <si>
    <t>陈如</t>
  </si>
  <si>
    <t>袁路璐</t>
  </si>
  <si>
    <t>黑龙江省齐齐哈尔市铁锋区站前大街130号</t>
  </si>
  <si>
    <t>黑龙江省齐齐哈尔市龙沙区五龙街道新宫社区140组</t>
  </si>
  <si>
    <t>谷佃康</t>
  </si>
  <si>
    <t>徐晓燕</t>
  </si>
  <si>
    <t>李佳玫</t>
  </si>
  <si>
    <t>张纲振</t>
  </si>
  <si>
    <t>马海前</t>
  </si>
  <si>
    <t>马帅</t>
  </si>
  <si>
    <t>王首一</t>
  </si>
  <si>
    <t>秦朋朋</t>
  </si>
  <si>
    <t>闫银界</t>
  </si>
  <si>
    <t>宋明全</t>
  </si>
  <si>
    <t>山东省青岛市黄岛区峨眉山路薛辛庄社区金宝园商业街东801-11</t>
  </si>
  <si>
    <t>山东省青岛市市南区五台山路车家岭小区573号楼2单元601室</t>
  </si>
  <si>
    <t>欧阳配广</t>
  </si>
  <si>
    <t>朱七生</t>
  </si>
  <si>
    <t>张育</t>
  </si>
  <si>
    <t>李雪儿</t>
  </si>
  <si>
    <t>云南省玉溪市江川县财富广场中心</t>
  </si>
  <si>
    <t>云南省玉溪市江川县大街镇公租房3号13栋203</t>
  </si>
  <si>
    <t>王彤彤</t>
  </si>
  <si>
    <t>江苏省苏州市吴中区尹中南路68号</t>
  </si>
  <si>
    <t>江苏省苏州市吴中区公庄三区116号</t>
  </si>
  <si>
    <t>周阳嵘</t>
  </si>
  <si>
    <t>李慧媛</t>
  </si>
  <si>
    <t>谭雪莹</t>
  </si>
  <si>
    <t>王冬香</t>
  </si>
  <si>
    <t>张庆涛</t>
  </si>
  <si>
    <t>江西省上饶市玉山县武安西路15号</t>
  </si>
  <si>
    <t>江西省上饶市玉山县冰溪镇武安南苑15栋2号</t>
  </si>
  <si>
    <t>冯志刚</t>
  </si>
  <si>
    <t>黄文瑞</t>
  </si>
  <si>
    <t>夏海</t>
  </si>
  <si>
    <t>湖南省长沙市长沙县星沙博雅例外19楼1920</t>
  </si>
  <si>
    <t>湖南省长沙市开福区潘家坪路127号</t>
  </si>
  <si>
    <t>邱文杰</t>
  </si>
  <si>
    <t>杜心阳</t>
  </si>
  <si>
    <t>郭珊廷</t>
  </si>
  <si>
    <t>赵亚星</t>
  </si>
  <si>
    <t>江苏省苏州市昆山市陆家镇联谊路263号</t>
  </si>
  <si>
    <t>江苏省苏州市昆山市陆家镇联谊花园2栋1103室</t>
  </si>
  <si>
    <t>孙宇锋</t>
  </si>
  <si>
    <t>黄蔚晴</t>
  </si>
  <si>
    <t>许苗</t>
  </si>
  <si>
    <t>浙江省金华市义乌市江东街道下王四区3栋店面</t>
  </si>
  <si>
    <t>浙江省金华市义乌市江东街道南下朱c区20栋2单元207</t>
  </si>
  <si>
    <t>许凯</t>
  </si>
  <si>
    <t>陈太云</t>
  </si>
  <si>
    <t>李章贵</t>
  </si>
  <si>
    <t>云南省玉溪市红塔区凤凰路街道缘语网吧</t>
  </si>
  <si>
    <t>云南省昭通市巧家县老店镇大海村范家沟社57号</t>
  </si>
  <si>
    <t>葛世涛</t>
  </si>
  <si>
    <t>王日</t>
  </si>
  <si>
    <t>湖北省襄阳市襄州区春园东路特1号</t>
  </si>
  <si>
    <t>湖北省襄阳市襄城区古驿镇后咀村2组</t>
  </si>
  <si>
    <t>谭运宣</t>
  </si>
  <si>
    <t>梁志兴</t>
  </si>
  <si>
    <t>汤嘉伟</t>
  </si>
  <si>
    <t>吕晓伟</t>
  </si>
  <si>
    <t>河北省张家口市桥东区建国路上东红郡小区菲灵健身会所</t>
  </si>
  <si>
    <t>河北省张家口市桥东区清林雅筑小区1号楼4单元503</t>
  </si>
  <si>
    <t>朱开轩</t>
  </si>
  <si>
    <t>山东省泰安市新泰市开发区富山路29号</t>
  </si>
  <si>
    <t>山东省泰安市新泰市汶南镇北鲍村永胜街南五巷48号</t>
  </si>
  <si>
    <t>项存鸣</t>
  </si>
  <si>
    <t>王守若</t>
  </si>
  <si>
    <t>郑明川</t>
  </si>
  <si>
    <t>金闳基</t>
  </si>
  <si>
    <t>方艮艮</t>
  </si>
  <si>
    <t>李明熹</t>
  </si>
  <si>
    <t>李广祥</t>
  </si>
  <si>
    <t>马继红</t>
  </si>
  <si>
    <t>邹剑鹏</t>
  </si>
  <si>
    <t>布音娜</t>
  </si>
  <si>
    <t>冒佳</t>
  </si>
  <si>
    <t>内蒙古乌海市海勃湾区新华街53号</t>
  </si>
  <si>
    <t>内蒙古乌海市海勃湾区新华街粮食局家属楼4号楼3单元302</t>
  </si>
  <si>
    <t>向维明</t>
  </si>
  <si>
    <t>湖北省来凤县翔凤镇施立坪村8组8号</t>
  </si>
  <si>
    <t>湖北省恩施土家族苗族自治州来凤县来凤县翔凤镇施立坪村6组17号</t>
  </si>
  <si>
    <t>曾德林</t>
  </si>
  <si>
    <t>广西南宁市宾阳县黎塘镇莲花路12号</t>
  </si>
  <si>
    <t>广西省南宁市宾阳县黎塘镇金龙大道南一里58号</t>
  </si>
  <si>
    <t>谢洁贞</t>
  </si>
  <si>
    <t>贺建强</t>
  </si>
  <si>
    <t>邢杰</t>
  </si>
  <si>
    <t>辽宁省葫芦岛市连山区塔山乡三义庙村周流屯97号</t>
  </si>
  <si>
    <t>魏仁浩</t>
  </si>
  <si>
    <t>欧阳启明</t>
  </si>
  <si>
    <t>崔海洋</t>
  </si>
  <si>
    <t>孙康彪</t>
  </si>
  <si>
    <t>祁雄刚</t>
  </si>
  <si>
    <t>蒋爱明</t>
  </si>
  <si>
    <t>王发萍</t>
  </si>
  <si>
    <t>江西省萍乡市安源区跃进村柑子园7号</t>
  </si>
  <si>
    <t>江西省萍乡市安源区楚萍西路老市公公安家属楼</t>
  </si>
  <si>
    <t>陈银龙</t>
  </si>
  <si>
    <t>蔡靖宇</t>
  </si>
  <si>
    <t>汤苗</t>
  </si>
  <si>
    <t>闫志华</t>
  </si>
  <si>
    <t>山东省潍坊市奎文区高新金融广场12座10层</t>
  </si>
  <si>
    <t>山东省潍坊市潍城区仓南街金都南苑12号楼一单元202</t>
  </si>
  <si>
    <t>湖北省十堰市茅箭区白浪</t>
  </si>
  <si>
    <t>湖北省十堰市茅箭区白浪街道小河</t>
  </si>
  <si>
    <t>谢义建</t>
  </si>
  <si>
    <t>黄振光</t>
  </si>
  <si>
    <t>范增乔</t>
  </si>
  <si>
    <t>高雄稳</t>
  </si>
  <si>
    <t>邹杰如</t>
  </si>
  <si>
    <t>江西省抚州市临川区金柅大道168号</t>
  </si>
  <si>
    <t>江西省抚州市临川区伟星小区10栋二单元1001</t>
  </si>
  <si>
    <t>潘旭辉</t>
  </si>
  <si>
    <t>林晓文</t>
  </si>
  <si>
    <t>广东省广州市黄埔区富春山居幸福街市</t>
  </si>
  <si>
    <t>广东省广州市黄埔区联合街道大凼村中街5号</t>
  </si>
  <si>
    <t>王义</t>
  </si>
  <si>
    <t>高恒乐</t>
  </si>
  <si>
    <t>山东省枣庄市滕州市张汪镇大宗村</t>
  </si>
  <si>
    <t>毕丽芳</t>
  </si>
  <si>
    <t>欧佳俊</t>
  </si>
  <si>
    <t>贾超琴</t>
  </si>
  <si>
    <t>胡魁争</t>
  </si>
  <si>
    <t>罗金火</t>
  </si>
  <si>
    <t>黄凯荣</t>
  </si>
  <si>
    <t>付晓宇</t>
  </si>
  <si>
    <t>李思强</t>
  </si>
  <si>
    <t>乔金路</t>
  </si>
  <si>
    <t>覃龄</t>
  </si>
  <si>
    <t>靳孟姣</t>
  </si>
  <si>
    <t>刘喜红</t>
  </si>
  <si>
    <t>甘肃省定西市安定区永定西路102号</t>
  </si>
  <si>
    <t>甘肃省定西市安定区西河村71号</t>
  </si>
  <si>
    <t>赵馨</t>
  </si>
  <si>
    <t>司舒莹</t>
  </si>
  <si>
    <t>方立昊</t>
  </si>
  <si>
    <t>黄诗欣</t>
  </si>
  <si>
    <t>谢苗苗</t>
  </si>
  <si>
    <t>孙丕栋</t>
  </si>
  <si>
    <t>山东省青岛市市北区连云港路7080中心3号楼1603</t>
  </si>
  <si>
    <t>山东省青岛市市北区登州路57号1单位703</t>
  </si>
  <si>
    <t>孙亮</t>
  </si>
  <si>
    <t>宁夏银川市兴庆区长城东路365号</t>
  </si>
  <si>
    <t>宁夏银川兴庆区新华街中房富力城10-15号</t>
  </si>
  <si>
    <t>谢小金</t>
  </si>
  <si>
    <t>郑海龙</t>
  </si>
  <si>
    <t>董春充</t>
  </si>
  <si>
    <t>王佳庆</t>
  </si>
  <si>
    <t>贵州省黔东南苗族侗族自治州凯里市凯里市金溪巷12号金溪水岸14层1402</t>
  </si>
  <si>
    <t>贵州省黔东南苗族侗族自治州凯里市龙头路78号</t>
  </si>
  <si>
    <t>林育缘</t>
  </si>
  <si>
    <t>蔡秋月</t>
  </si>
  <si>
    <t>上海市上海市杨浦区上海市杨浦区长阳路1388-1号</t>
  </si>
  <si>
    <t>上海市上海市杨浦区长阳路1326号2楼</t>
  </si>
  <si>
    <t>杜金坡</t>
  </si>
  <si>
    <t>胡景净</t>
  </si>
  <si>
    <t>丁守柱</t>
  </si>
  <si>
    <t>黑龙江省佳木斯市富锦市富锦市锦绣大街道南</t>
  </si>
  <si>
    <t>黑龙江省佳木斯市富锦市富锦市</t>
  </si>
  <si>
    <t>李玉其</t>
  </si>
  <si>
    <t>向桥</t>
  </si>
  <si>
    <t>贵州省毕节市黔西县杜鹃大道清毕路799号中泰峰境</t>
  </si>
  <si>
    <t>贵州省毕节市黔西县重庆市开州区临江镇青竹村4组73号</t>
  </si>
  <si>
    <t>黄何</t>
  </si>
  <si>
    <t>谢果</t>
  </si>
  <si>
    <t>张忠华</t>
  </si>
  <si>
    <t>罗启金</t>
  </si>
  <si>
    <t>胡德超</t>
  </si>
  <si>
    <t>王维斌</t>
  </si>
  <si>
    <t>何盛华</t>
  </si>
  <si>
    <t>甘土辉</t>
  </si>
  <si>
    <t>上海市上海市青浦区天辰路2009号</t>
  </si>
  <si>
    <t>上海市上海市松江区中天路西93号港湾新城1502室</t>
  </si>
  <si>
    <t>王凤咪</t>
  </si>
  <si>
    <t>苏永超</t>
  </si>
  <si>
    <t>俞澳</t>
  </si>
  <si>
    <t>杨英伦</t>
  </si>
  <si>
    <t>容巨华</t>
  </si>
  <si>
    <t>李研</t>
  </si>
  <si>
    <t>王仁宏</t>
  </si>
  <si>
    <t>李剑灵</t>
  </si>
  <si>
    <t>焦少云</t>
  </si>
  <si>
    <t>甘肃省酒泉市肃州区民主街伊时代发咖</t>
  </si>
  <si>
    <t>甘肃省酒泉市肃州区东街地调队家属院四栋四单元301室</t>
  </si>
  <si>
    <t>湖南省常德市武陵区建设东路264号</t>
  </si>
  <si>
    <t>湖南省常德市武陵区洞庭大道638号蓝湖郡16栋905</t>
  </si>
  <si>
    <t>彭泰山</t>
  </si>
  <si>
    <t>薛孝雨</t>
  </si>
  <si>
    <t>史伟超</t>
  </si>
  <si>
    <t>邱文强</t>
  </si>
  <si>
    <t>张雪垒</t>
  </si>
  <si>
    <t>周金想</t>
  </si>
  <si>
    <t>广西钦州市钦南区新华路13号</t>
  </si>
  <si>
    <t>广西河池市巴马瑶族自治县赐福村望楼屯</t>
  </si>
  <si>
    <t>辽宁省朝阳市北票市北票市南山街二段38号</t>
  </si>
  <si>
    <t>辽宁省朝阳市北票市辽宁省北票市新建街第16A小区平房3496号</t>
  </si>
  <si>
    <t>李明辉</t>
  </si>
  <si>
    <t>吴新</t>
  </si>
  <si>
    <t>湖南省衡阳市衡南县衡南县车江镇恒星村六组</t>
  </si>
  <si>
    <t>湖南省衡阳市衡南县衡南县云集镇名门国际二栋1501</t>
  </si>
  <si>
    <t>辽宁省沈阳市皇姑区皇姑区鸭绿江东街6-20号五门</t>
  </si>
  <si>
    <t>辽宁省沈阳市皇姑区皇姑区鸭绿江西街崇山小区22-1号一单元122</t>
  </si>
  <si>
    <t>余嘉辉</t>
  </si>
  <si>
    <t>崔想</t>
  </si>
  <si>
    <t>郭鋆</t>
  </si>
  <si>
    <t>内蒙古呼和浩特市回民区呼市回民区通道南街回民中学南100米呼闽茶楼5楼</t>
  </si>
  <si>
    <t>内蒙古呼和浩特市玉泉区呼市玉泉区西五十家街博爱小区综合楼3楼304</t>
  </si>
  <si>
    <t>崔健佳</t>
  </si>
  <si>
    <t>秦将</t>
  </si>
  <si>
    <t>陈家乐</t>
  </si>
  <si>
    <t>李冠男</t>
  </si>
  <si>
    <t>鲍景阳</t>
  </si>
  <si>
    <t>黑龙江省黑河市爱辉区大岛国贸城</t>
  </si>
  <si>
    <t>黑龙江省黑河市爱辉区通江路五委三组</t>
  </si>
  <si>
    <t>闫涛</t>
  </si>
  <si>
    <t>江苏省苏州市吴中区甪直镇鸿运路1号</t>
  </si>
  <si>
    <t>江苏省苏州市吴中区甪直镇重村路28号</t>
  </si>
  <si>
    <t>孙雨</t>
  </si>
  <si>
    <t>刘宾</t>
  </si>
  <si>
    <t>李春满</t>
  </si>
  <si>
    <t>张佛兴</t>
  </si>
  <si>
    <t>邱迎春</t>
  </si>
  <si>
    <t>宫世明</t>
  </si>
  <si>
    <t>吴得志</t>
  </si>
  <si>
    <t>张岩朝</t>
  </si>
  <si>
    <t>湖北省武汉市青山区工人村钢谷4号楼</t>
  </si>
  <si>
    <t>湖北省武汉市青山区武汉市青山区钢花新村117103-2</t>
  </si>
  <si>
    <t>彭宇航</t>
  </si>
  <si>
    <t>魏东方</t>
  </si>
  <si>
    <t>朱逸</t>
  </si>
  <si>
    <t>姜大勇</t>
  </si>
  <si>
    <t>林伦伦</t>
  </si>
  <si>
    <t>程阳阳</t>
  </si>
  <si>
    <t>陈保剑</t>
  </si>
  <si>
    <t>金鹤</t>
  </si>
  <si>
    <t>赵瀚辰</t>
  </si>
  <si>
    <t>邢永华</t>
  </si>
  <si>
    <t>吴开艳</t>
  </si>
  <si>
    <t>张粟蕊</t>
  </si>
  <si>
    <t>郭家龙</t>
  </si>
  <si>
    <t>邓红霞</t>
  </si>
  <si>
    <t>徐银川</t>
  </si>
  <si>
    <t>崔隽轶</t>
  </si>
  <si>
    <t>姜勇</t>
  </si>
  <si>
    <t>祝灿林</t>
  </si>
  <si>
    <t>曾裕根</t>
  </si>
  <si>
    <t>李水平</t>
  </si>
  <si>
    <t>马亿爱</t>
  </si>
  <si>
    <t>邱建洪</t>
  </si>
  <si>
    <t>贾长波</t>
  </si>
  <si>
    <t>周震华</t>
  </si>
  <si>
    <t>王堃</t>
  </si>
  <si>
    <t>赵悦</t>
  </si>
  <si>
    <t>王海军</t>
  </si>
  <si>
    <t>内蒙古鄂尔多斯市达拉特旗内蒙古鄂尔多斯市达拉特旗西园路西园小区门口230号</t>
  </si>
  <si>
    <t>内蒙古鄂尔多斯市达拉特旗内蒙古鄂尔多斯市达拉特旗西园小区5楼3单元505室</t>
  </si>
  <si>
    <t>詹少华</t>
  </si>
  <si>
    <t>武震华</t>
  </si>
  <si>
    <t>杨永菊</t>
  </si>
  <si>
    <t>王金宇</t>
  </si>
  <si>
    <t>胡云强</t>
  </si>
  <si>
    <t>新疆伊犁哈萨克自治州伊宁市开发区福安国际一号商业3-13</t>
  </si>
  <si>
    <t>新疆伊犁哈萨克自治州伊宁市开发区南岗高层一单元1002</t>
  </si>
  <si>
    <t>包崇馗</t>
  </si>
  <si>
    <t>鲁大昂</t>
  </si>
  <si>
    <t>吕伟</t>
  </si>
  <si>
    <t>韦天明</t>
  </si>
  <si>
    <t>内蒙古呼和浩特市玉泉区玉泉区石羊桥路大东园二巷路北美团站点</t>
  </si>
  <si>
    <t>内蒙古呼和浩特市玉泉区石羊桥路俪城a22号楼二单元</t>
  </si>
  <si>
    <t>杜立臣</t>
  </si>
  <si>
    <t>李克高</t>
  </si>
  <si>
    <t>广西南宁市西乡塘区广西南宁市西乡塘区秀灵一里广西大学东门</t>
  </si>
  <si>
    <t>广西南宁市西乡塘区广西南宁市西乡塘区高薪区罗赖东新村48栋202</t>
  </si>
  <si>
    <t>时庆斌</t>
  </si>
  <si>
    <t>陈金树</t>
  </si>
  <si>
    <t>石艳容</t>
  </si>
  <si>
    <t>谭玥</t>
  </si>
  <si>
    <t>刘兵欠</t>
  </si>
  <si>
    <t>陈明吉</t>
  </si>
  <si>
    <t>海南省海口市琼山区新大洲大道北侧</t>
  </si>
  <si>
    <t>海南省海口市秀英区石山镇春腾村</t>
  </si>
  <si>
    <t>马国涛</t>
  </si>
  <si>
    <t>邢蕊</t>
  </si>
  <si>
    <t>许邦远</t>
  </si>
  <si>
    <t>黑龙江省绥化市明水县丽华德北100米路东</t>
  </si>
  <si>
    <t>黑龙江省绥化市明水县阳光新城5号楼1单元402</t>
  </si>
  <si>
    <t>韩玮</t>
  </si>
  <si>
    <t>徐晨</t>
  </si>
  <si>
    <t>夏汉国</t>
  </si>
  <si>
    <t>袁伟波</t>
  </si>
  <si>
    <t>高冬冬</t>
  </si>
  <si>
    <t>杨长春</t>
  </si>
  <si>
    <t>丁添</t>
  </si>
  <si>
    <t>孙萍</t>
  </si>
  <si>
    <t>王荣涛</t>
  </si>
  <si>
    <t>张春禹</t>
  </si>
  <si>
    <t>黑龙江省哈尔滨市南岗区哈尔滨经开区南岗集中区长江路199-5</t>
  </si>
  <si>
    <t>黑龙江省哈尔滨市南岗区哈尔滨市南岗区王岗镇哈西华府10栋3单元402</t>
  </si>
  <si>
    <t>古纯杰</t>
  </si>
  <si>
    <t>钟浩</t>
  </si>
  <si>
    <t>内蒙古呼伦贝尔市海拉尔区中学南路阿荣路东侧蓝景丽苑2号楼705</t>
  </si>
  <si>
    <t>内蒙古呼伦贝尔市海拉尔区龙凤华瑞小区3号楼1-11-01</t>
  </si>
  <si>
    <t>陈富龙</t>
  </si>
  <si>
    <t>毛兴宽</t>
  </si>
  <si>
    <t>李帆</t>
  </si>
  <si>
    <t>徐文友</t>
  </si>
  <si>
    <t>权海龙</t>
  </si>
  <si>
    <t>易基华</t>
  </si>
  <si>
    <t>林密峰</t>
  </si>
  <si>
    <t>张莉君</t>
  </si>
  <si>
    <t>曹立慧</t>
  </si>
  <si>
    <t>辽宁省沈阳市沈北新区福州路68号</t>
  </si>
  <si>
    <t>辽宁省沈阳市铁西区富工五街2号2-6-2</t>
  </si>
  <si>
    <t>颜继</t>
  </si>
  <si>
    <t>马英龙</t>
  </si>
  <si>
    <t>胡聪</t>
  </si>
  <si>
    <t>余秀琴</t>
  </si>
  <si>
    <t>汪名文</t>
  </si>
  <si>
    <t>杨慧琴</t>
  </si>
  <si>
    <t>张元科</t>
  </si>
  <si>
    <t>刘利锋</t>
  </si>
  <si>
    <t>吴海生</t>
  </si>
  <si>
    <t>李海锋</t>
  </si>
  <si>
    <t>云南省昆明市呈贡县云南白药街3686号</t>
  </si>
  <si>
    <t>云南省昆明市呈贡县雨花路蓝光天骄城二期12栋3409</t>
  </si>
  <si>
    <t>季朦超</t>
  </si>
  <si>
    <t>王文侠</t>
  </si>
  <si>
    <t>谢张城</t>
  </si>
  <si>
    <t>黑龙江省哈尔滨市南岗区学府路副53号服装城4楼A区1号</t>
  </si>
  <si>
    <t>黑龙江省哈尔滨市香坊区文正新区7单元203</t>
  </si>
  <si>
    <t>范靠靠</t>
  </si>
  <si>
    <t>严勇</t>
  </si>
  <si>
    <t>赵露露</t>
  </si>
  <si>
    <t>任长荣</t>
  </si>
  <si>
    <t>童欣</t>
  </si>
  <si>
    <t>毛世罡</t>
  </si>
  <si>
    <t>蔡家冬</t>
  </si>
  <si>
    <t>郑双双</t>
  </si>
  <si>
    <t>葛贵龙</t>
  </si>
  <si>
    <t>高珊</t>
  </si>
  <si>
    <t>陕西省咸阳市秦都区钓鱼路</t>
  </si>
  <si>
    <t>陕西省咸阳市秦都区人民中路中宏香榭</t>
  </si>
  <si>
    <t>徐瑞祥</t>
  </si>
  <si>
    <t>甘肃省庆阳市环县环江大道107号</t>
  </si>
  <si>
    <t>甘肃省庆阳市环县环江花园D区3栋3单元204</t>
  </si>
  <si>
    <t>郑丁</t>
  </si>
  <si>
    <t>沈喆</t>
  </si>
  <si>
    <t>方子敬</t>
  </si>
  <si>
    <t>刘要军</t>
  </si>
  <si>
    <t>张少萍</t>
  </si>
  <si>
    <t>湖北省武汉市江汉区武汉天街5栋303</t>
  </si>
  <si>
    <t>湖北省武汉市东西湖区将军二路颐和家园</t>
  </si>
  <si>
    <t>束城</t>
  </si>
  <si>
    <t>冯浩才</t>
  </si>
  <si>
    <t>金莉莉</t>
  </si>
  <si>
    <t>陈富</t>
  </si>
  <si>
    <t>马壮壮</t>
  </si>
  <si>
    <t>秦川</t>
  </si>
  <si>
    <t>李晋</t>
  </si>
  <si>
    <t>唐勇民</t>
  </si>
  <si>
    <t>张峻宾</t>
  </si>
  <si>
    <t>郑兰龙</t>
  </si>
  <si>
    <t>赵金博</t>
  </si>
  <si>
    <t>高玉乾</t>
  </si>
  <si>
    <t>上海市上海市宝山区三泉路1895号</t>
  </si>
  <si>
    <t>上海市上海市宝山区三泉路1859弄100号1301室</t>
  </si>
  <si>
    <t>朱国瑞</t>
  </si>
  <si>
    <t>何琪</t>
  </si>
  <si>
    <t>王丹琴</t>
  </si>
  <si>
    <t>浙江省宁波市慈溪市观海卫镇湖东村石公馆9号</t>
  </si>
  <si>
    <t>浙江省宁波市慈溪市慈溪市观海卫镇湖东村石公馆9号</t>
  </si>
  <si>
    <t>魏艳飞</t>
  </si>
  <si>
    <t>黑龙江省伊春市金山屯区花园街1号楼</t>
  </si>
  <si>
    <t>黑龙江省伊春市金山屯区玫瑰小区27号楼303</t>
  </si>
  <si>
    <t>巫廷溪</t>
  </si>
  <si>
    <t>旷杰</t>
  </si>
  <si>
    <t>马荣蔚</t>
  </si>
  <si>
    <t>汤峰</t>
  </si>
  <si>
    <t>高铃</t>
  </si>
  <si>
    <t>姚敏</t>
  </si>
  <si>
    <t>江苏省苏州市常熟市东安开发区黄浦江路68号</t>
  </si>
  <si>
    <t>江苏省苏州市常熟市东南开发区庐山苑四区286号</t>
  </si>
  <si>
    <t>邹黎明</t>
  </si>
  <si>
    <t>崔维浩</t>
  </si>
  <si>
    <t>韩想</t>
  </si>
  <si>
    <t>黄雯雯</t>
  </si>
  <si>
    <t>王利超</t>
  </si>
  <si>
    <t>胡秀如</t>
  </si>
  <si>
    <t>陈安忠</t>
  </si>
  <si>
    <t>王熏财</t>
  </si>
  <si>
    <t>广东省广州市荔湾区太和镇龙归园夏大道西8号</t>
  </si>
  <si>
    <t>广东省广州市白云区太和镇龙归园夏</t>
  </si>
  <si>
    <t>广东省茂名市高州市高州市文明路18号</t>
  </si>
  <si>
    <t>广东省茂名市高州市天子花园3栋401</t>
  </si>
  <si>
    <t>周功强</t>
  </si>
  <si>
    <t>河南省郑州市新密市西大街宛建商务楼</t>
  </si>
  <si>
    <t>四川省达州市宣汉县宣汉县土黄填望乡村五组</t>
  </si>
  <si>
    <t>闵连连</t>
  </si>
  <si>
    <t>陈淑燕</t>
  </si>
  <si>
    <t>戚飞</t>
  </si>
  <si>
    <t>葛严周</t>
  </si>
  <si>
    <t>蚌埠市禹会区迎宾大道1399号</t>
  </si>
  <si>
    <t>蚌埠市蚌山区燕山新村一单元601</t>
  </si>
  <si>
    <t>吴国林</t>
  </si>
  <si>
    <t>王凯璐</t>
  </si>
  <si>
    <t>房红旭</t>
  </si>
  <si>
    <t>辽宁省抚顺市新宾满族自治县锦州银行大厦1508室</t>
  </si>
  <si>
    <t>辽宁省抚顺市新宾满族自治县喜来登B座11楼2</t>
  </si>
  <si>
    <t>崔超</t>
  </si>
  <si>
    <t>剌凯</t>
  </si>
  <si>
    <t>张然丽</t>
  </si>
  <si>
    <t>河北省邢台市南和县和阳大街</t>
  </si>
  <si>
    <t>河北省邢台市南和县三思乡西大村200号</t>
  </si>
  <si>
    <t>万佳宁</t>
  </si>
  <si>
    <t>杨伟达</t>
  </si>
  <si>
    <t>孟敖</t>
  </si>
  <si>
    <t>谌勇军</t>
  </si>
  <si>
    <t>江西省赣州市章贡区八一四大道关刀坪路3号</t>
  </si>
  <si>
    <t>江西省赣州市章贡区金龙路水碓安居小区15栋2单元504室</t>
  </si>
  <si>
    <t>喻涛</t>
  </si>
  <si>
    <t>王天寿</t>
  </si>
  <si>
    <t>马建超</t>
  </si>
  <si>
    <t>余瑶</t>
  </si>
  <si>
    <t>陈江南</t>
  </si>
  <si>
    <t>范崇琦</t>
  </si>
  <si>
    <t>赵云双</t>
  </si>
  <si>
    <t>浙江省台州市椒江区院桥镇高洋路</t>
  </si>
  <si>
    <t>浙江省台州市黄岩区院桥镇前郑村282号</t>
  </si>
  <si>
    <t>刘东阳</t>
  </si>
  <si>
    <t>黑龙江省双鸭山市友谊县东建乡人民政府</t>
  </si>
  <si>
    <t>黑龙江省双鸭山市友谊县东建乡水韵居小区7号楼二单元201</t>
  </si>
  <si>
    <t>沈忠梅</t>
  </si>
  <si>
    <t>王江南</t>
  </si>
  <si>
    <t>廖敏</t>
  </si>
  <si>
    <t>张成军</t>
  </si>
  <si>
    <t>张建泉</t>
  </si>
  <si>
    <t>郭玉伟</t>
  </si>
  <si>
    <t>司长闪</t>
  </si>
  <si>
    <t>黄小娟</t>
  </si>
  <si>
    <t>肖建君</t>
  </si>
  <si>
    <t>安思宜</t>
  </si>
  <si>
    <t>王晓冉</t>
  </si>
  <si>
    <t>云南省大理白族自治州大理市下关镇开发区天井山4694场地</t>
  </si>
  <si>
    <t>云南省大理白族自治州大理市下关镇开发区天井村275号</t>
  </si>
  <si>
    <t>赵举辉</t>
  </si>
  <si>
    <t>苏龙</t>
  </si>
  <si>
    <t>邱旋</t>
  </si>
  <si>
    <t>郑平文</t>
  </si>
  <si>
    <t>张羊</t>
  </si>
  <si>
    <t>河北省石家庄市长安区北宋路煤机街交叉口底商10号</t>
  </si>
  <si>
    <t>河北省石家庄市长安区北宋路煤机街交叉口上东城小区5号楼2单元2802</t>
  </si>
  <si>
    <t>孙四林</t>
  </si>
  <si>
    <t>肖银峰</t>
  </si>
  <si>
    <t>汪海波</t>
  </si>
  <si>
    <t>王炬</t>
  </si>
  <si>
    <t>潘吉祥</t>
  </si>
  <si>
    <t>鲁瑾</t>
  </si>
  <si>
    <t>李潇</t>
  </si>
  <si>
    <t>河北省廊坊市广阳区廊坊市尚都金茂B座509</t>
  </si>
  <si>
    <t>河北省廊坊市广阳区艺术大道汇景轩西区13-624</t>
  </si>
  <si>
    <t>陆强森</t>
  </si>
  <si>
    <t>李保雄</t>
  </si>
  <si>
    <t>华陆军</t>
  </si>
  <si>
    <t>浙江省杭州市萧山区时代大道2100</t>
  </si>
  <si>
    <t>浙江省杭州市萧山区闻堰镇三江新村20幢2单元401</t>
  </si>
  <si>
    <t>张翠茹</t>
  </si>
  <si>
    <t>张卫国</t>
  </si>
  <si>
    <t>闫翠</t>
  </si>
  <si>
    <t>曾喜贵</t>
  </si>
  <si>
    <t>湖南省娄底市娄星区涟滨街东378号天城银座1706室</t>
  </si>
  <si>
    <t>湖南省娄底市娄星区水洞底镇留塔村九组</t>
  </si>
  <si>
    <t>帅同瑞</t>
  </si>
  <si>
    <t>布同广</t>
  </si>
  <si>
    <t>冯元忠</t>
  </si>
  <si>
    <t>黎胜家</t>
  </si>
  <si>
    <t>徐猛</t>
  </si>
  <si>
    <t>山东省济南市章丘市经济开发区工业三路2289号</t>
  </si>
  <si>
    <t>山东省济南市章丘市文祖镇三元村中心街道263号</t>
  </si>
  <si>
    <t>袁锦辉</t>
  </si>
  <si>
    <t>杨敬儒</t>
  </si>
  <si>
    <t>黄金才</t>
  </si>
  <si>
    <t>安徽省安庆市怀宁县独秀大道北9号</t>
  </si>
  <si>
    <t>安徽省安庆市怀宁县平山镇津山村高墩组024号</t>
  </si>
  <si>
    <t>易超</t>
  </si>
  <si>
    <t>唐晓龙</t>
  </si>
  <si>
    <t>张桂生</t>
  </si>
  <si>
    <t>章魁星</t>
  </si>
  <si>
    <t>罗共贤</t>
  </si>
  <si>
    <t>胡晨军</t>
  </si>
  <si>
    <t>李亚阳</t>
  </si>
  <si>
    <t>梁楠</t>
  </si>
  <si>
    <t>张燕庭</t>
  </si>
  <si>
    <t>韦帮样</t>
  </si>
  <si>
    <t>张李</t>
  </si>
  <si>
    <t>安徽省亳州市谯城区汤王大道建投世纪城东门5栋105</t>
  </si>
  <si>
    <t>安徽省亳州市谯城区谯城区沙土镇张机房村99</t>
  </si>
  <si>
    <t>张明琼</t>
  </si>
  <si>
    <t>黄北文</t>
  </si>
  <si>
    <t>史进</t>
  </si>
  <si>
    <t>王一勤</t>
  </si>
  <si>
    <t>冯永琪</t>
  </si>
  <si>
    <t>四川省广安市邻水县邻水县环城路89号</t>
  </si>
  <si>
    <t>四川省自贡市大安区荣县旭阳镇北街88号</t>
  </si>
  <si>
    <t>贾文龙</t>
  </si>
  <si>
    <t>黄明杰</t>
  </si>
  <si>
    <t>蔡振邦</t>
  </si>
  <si>
    <t>高秉瑞</t>
  </si>
  <si>
    <t>河南省许昌市长葛市长葛市锦绣路工业园区</t>
  </si>
  <si>
    <t>河南省许昌市长葛市长葛市建设办岗刘村</t>
  </si>
  <si>
    <t>韦彦仿</t>
  </si>
  <si>
    <t>朱礼杰</t>
  </si>
  <si>
    <t>冉小琴</t>
  </si>
  <si>
    <t>柳凯</t>
  </si>
  <si>
    <t>朱国杰</t>
  </si>
  <si>
    <t>邓国生</t>
  </si>
  <si>
    <t>曾祥乐</t>
  </si>
  <si>
    <t>赵薪星</t>
  </si>
  <si>
    <t>陕西省西安市长安区博士路阳光天地5号</t>
  </si>
  <si>
    <t>陕西省西安市长安区博士路紫薇田园都市h区1号楼一单元201</t>
  </si>
  <si>
    <t>王少王</t>
  </si>
  <si>
    <t>吴方芹</t>
  </si>
  <si>
    <t>薛云霞</t>
  </si>
  <si>
    <t>葛福理</t>
  </si>
  <si>
    <t>何文华</t>
  </si>
  <si>
    <t>王春花</t>
  </si>
  <si>
    <t>万保利</t>
  </si>
  <si>
    <t>广东省佛山市顺德区佛山市顺德区陈村镇白陈公路广隆围16号</t>
  </si>
  <si>
    <t>陕西省宝鸡市扶风县宝鸡市扶风县绛帐镇滩上村一组51号</t>
  </si>
  <si>
    <t>潘中东</t>
  </si>
  <si>
    <t>陈海明</t>
  </si>
  <si>
    <t>辽宁省鞍山市铁东区辽宁省鞍山市铁东区胜利南路52号</t>
  </si>
  <si>
    <t>辽宁省鞍山市铁东区辽宁省鞍山市铁东区健身街西路2号3单元2楼1门</t>
  </si>
  <si>
    <t>沈青定</t>
  </si>
  <si>
    <t>徐燕根</t>
  </si>
  <si>
    <t>彭伟坚</t>
  </si>
  <si>
    <t>广东省佛山市高明区荷城街道沙寮村</t>
  </si>
  <si>
    <t>程恩</t>
  </si>
  <si>
    <t>施磊磊</t>
  </si>
  <si>
    <t>张修洋</t>
  </si>
  <si>
    <t>王晓丽</t>
  </si>
  <si>
    <t>赖敏</t>
  </si>
  <si>
    <t>冯仁兰</t>
  </si>
  <si>
    <t>朱林金</t>
  </si>
  <si>
    <t>云南省大理白族自治州祥云县祥云县沙龙镇板桥村</t>
  </si>
  <si>
    <t>云南省大理白族自治州祥云县祥云县沙龙镇戴家凹村58号</t>
  </si>
  <si>
    <t>蔡慧聪</t>
  </si>
  <si>
    <t>海南省海口市美兰区海甸二东路环惠大厦2107房</t>
  </si>
  <si>
    <t>海南省海口市美兰区蓝天路汇亘大厦1619室</t>
  </si>
  <si>
    <t>苗春</t>
  </si>
  <si>
    <t>周夕茜</t>
  </si>
  <si>
    <t>云南省昆明市官渡区高原明珠五金机电城B12</t>
  </si>
  <si>
    <t>云南省昆明市官渡区奥宸橙郡30-2-402</t>
  </si>
  <si>
    <t>黄修慧</t>
  </si>
  <si>
    <t>江西省赣州市章贡区水南镇南桥新村东三区23号</t>
  </si>
  <si>
    <t>孟亚</t>
  </si>
  <si>
    <t>江苏省苏州市吴中区新峰路509号</t>
  </si>
  <si>
    <t>江苏省苏州市吴中区胥口镇顾家上50号</t>
  </si>
  <si>
    <t>徐文换</t>
  </si>
  <si>
    <t>易吉强</t>
  </si>
  <si>
    <t>孙枫初</t>
  </si>
  <si>
    <t>郑周伟</t>
  </si>
  <si>
    <t>张乐年</t>
  </si>
  <si>
    <t>黄夏辉</t>
  </si>
  <si>
    <t>陈雨祥</t>
  </si>
  <si>
    <t>吕维义</t>
  </si>
  <si>
    <t>张宏雄</t>
  </si>
  <si>
    <t>福建省泉州市南安市官桥镇555号</t>
  </si>
  <si>
    <t>福建省泉州市泉港区前黄镇后张村北坑138号</t>
  </si>
  <si>
    <t>廖明</t>
  </si>
  <si>
    <t>陈雅婷</t>
  </si>
  <si>
    <t>广东省深圳市南山区科技园南区高新南七道深圳软件园T3栋6楼</t>
  </si>
  <si>
    <t>广东省深圳市罗湖区港逸豪庭C座25F</t>
  </si>
  <si>
    <t>姜超蒙</t>
  </si>
  <si>
    <t>甘瑶军</t>
  </si>
  <si>
    <t>黄莉</t>
  </si>
  <si>
    <t>马欢</t>
  </si>
  <si>
    <t>于志梅</t>
  </si>
  <si>
    <t>王游</t>
  </si>
  <si>
    <t>王孝菊</t>
  </si>
  <si>
    <t>张华春</t>
  </si>
  <si>
    <t>袁莹莹</t>
  </si>
  <si>
    <t>广东省深圳市宝安区石环路1号</t>
  </si>
  <si>
    <t>广东省深圳市龙岗区坪地街道白石塘子美街</t>
  </si>
  <si>
    <t>陶勇</t>
  </si>
  <si>
    <t>祝水明</t>
  </si>
  <si>
    <t>李平雨</t>
  </si>
  <si>
    <t>北京市北京市海淀区苏州街西屋国际</t>
  </si>
  <si>
    <t>北京市北京市东城区金科天籁城6-1203</t>
  </si>
  <si>
    <t>李加敏</t>
  </si>
  <si>
    <t>别发成</t>
  </si>
  <si>
    <t>徐染</t>
  </si>
  <si>
    <t>胡忠波</t>
  </si>
  <si>
    <t>闫岩</t>
  </si>
  <si>
    <t>辽宁省葫芦岛市兴城市玉麟园</t>
  </si>
  <si>
    <t>辽宁省葫芦岛市兴城市学府雅缘</t>
  </si>
  <si>
    <t>吴纲鹏</t>
  </si>
  <si>
    <t>李坤山</t>
  </si>
  <si>
    <t>王文景</t>
  </si>
  <si>
    <t>陆红娜</t>
  </si>
  <si>
    <t>姬婷婷</t>
  </si>
  <si>
    <t>范文锋</t>
  </si>
  <si>
    <t>谢世周</t>
  </si>
  <si>
    <t>顾云松</t>
  </si>
  <si>
    <t>廖祚羽</t>
  </si>
  <si>
    <t>陈绪治</t>
  </si>
  <si>
    <t>湖北省武汉市汉阳区知音大道月湖街琴台华府4栋103室</t>
  </si>
  <si>
    <t>湖北省武汉市硚口区建设大道宝丰一路384号</t>
  </si>
  <si>
    <t>山东省临沂市兰山区沂蒙路与金坛路交汇嘉锐大厦1301</t>
  </si>
  <si>
    <t>山东省临沂市兰山区沂州路桃花涧小区5-1-502</t>
  </si>
  <si>
    <t>杨中</t>
  </si>
  <si>
    <t>毛勇</t>
  </si>
  <si>
    <t>河南省郑州市管城回族区文治路紫东钢铁企业园A区12号</t>
  </si>
  <si>
    <t>河南省郑州市管城回族区文治路紫东钢铁企业园2号楼244</t>
  </si>
  <si>
    <t>梁严</t>
  </si>
  <si>
    <t>北京市北京市东城区杨庄西街18号</t>
  </si>
  <si>
    <t>北京市北京市门头沟区大峪街道中门花园9-4-402</t>
  </si>
  <si>
    <t>姜霞</t>
  </si>
  <si>
    <t>刘琥</t>
  </si>
  <si>
    <t>湖北省荆州市沙市区太岳路21号</t>
  </si>
  <si>
    <t>湖北省荆州市荆州区北京西路640号</t>
  </si>
  <si>
    <t>郑德灿</t>
  </si>
  <si>
    <t>赵英初</t>
  </si>
  <si>
    <t>周建树</t>
  </si>
  <si>
    <t>丁玲娜</t>
  </si>
  <si>
    <t>王翠生</t>
  </si>
  <si>
    <t>山东省青岛市即墨市环秀街道办事处红领大街17号</t>
  </si>
  <si>
    <t>山东省青岛市即墨市环秀街道办事处小韩村235号</t>
  </si>
  <si>
    <t>唐成杰</t>
  </si>
  <si>
    <t>许优青</t>
  </si>
  <si>
    <t>浙江省台州市天台县赤城路118</t>
  </si>
  <si>
    <t>浙江省台州市天台县福溪街道民主村3-34</t>
  </si>
  <si>
    <t>韦黎波</t>
  </si>
  <si>
    <t>广西河池市大化瑶族自治县大化镇古肖路局劳屯20号</t>
  </si>
  <si>
    <t>广西河池市大化瑶族自治县大化镇兴化路189号</t>
  </si>
  <si>
    <t>江昭芹</t>
  </si>
  <si>
    <t>陈青晴</t>
  </si>
  <si>
    <t>郭双超</t>
  </si>
  <si>
    <t>李崟滨</t>
  </si>
  <si>
    <t>杨渝</t>
  </si>
  <si>
    <t>曾令金</t>
  </si>
  <si>
    <t>福建省福州市台江区半岛国际7楼</t>
  </si>
  <si>
    <t>福建省福州市晋安区前屿村86号</t>
  </si>
  <si>
    <t>梁浩庄</t>
  </si>
  <si>
    <t>广西贵港市港北区金港大道中银大厦3116室</t>
  </si>
  <si>
    <t>广西贵港市港南区新塘乡湖表村湖曲屯53号</t>
  </si>
  <si>
    <t>焦佳</t>
  </si>
  <si>
    <t>何思璇</t>
  </si>
  <si>
    <t>杨振建</t>
  </si>
  <si>
    <t>章文志</t>
  </si>
  <si>
    <t>郇丽</t>
  </si>
  <si>
    <t>郭学勤</t>
  </si>
  <si>
    <t>邓媚媚</t>
  </si>
  <si>
    <t>蔡仁赞</t>
  </si>
  <si>
    <t>陈雷姣</t>
  </si>
  <si>
    <t>左杰</t>
  </si>
  <si>
    <t>袁文</t>
  </si>
  <si>
    <t>袁立法</t>
  </si>
  <si>
    <t>马典升</t>
  </si>
  <si>
    <t>谢泽宁</t>
  </si>
  <si>
    <t>冯树康</t>
  </si>
  <si>
    <t>陈尊杰</t>
  </si>
  <si>
    <t>符响响</t>
  </si>
  <si>
    <t>袁攀</t>
  </si>
  <si>
    <t>四川省雅安市名山县雅安市名山区蒙阳镇园区大道186号</t>
  </si>
  <si>
    <t>四川省雅安市名山区车领镇岱宗村七组五号</t>
  </si>
  <si>
    <t>陈舒</t>
  </si>
  <si>
    <t>周玲玲</t>
  </si>
  <si>
    <t>谢茂</t>
  </si>
  <si>
    <t>许慧翔</t>
  </si>
  <si>
    <t>林旭</t>
  </si>
  <si>
    <t>王飞鸿</t>
  </si>
  <si>
    <t>张章勇</t>
  </si>
  <si>
    <t>孙文彬</t>
  </si>
  <si>
    <t>梁文杰</t>
  </si>
  <si>
    <t>阚晓龙</t>
  </si>
  <si>
    <t>内蒙古呼伦贝尔市满洲里市正山木业旁边</t>
  </si>
  <si>
    <t>内蒙古呼伦贝尔市牙克石市博克图镇巴林瑶沟村</t>
  </si>
  <si>
    <t>新疆乌鲁木齐市沙依巴克区嵩山街396号</t>
  </si>
  <si>
    <t>新疆乌鲁木齐市沙依巴克区西八家户路泰惠小区4-2-403</t>
  </si>
  <si>
    <t>林聪</t>
  </si>
  <si>
    <t>张兆昆</t>
  </si>
  <si>
    <t>蒋建波</t>
  </si>
  <si>
    <t>齐彬</t>
  </si>
  <si>
    <t>陈春雨</t>
  </si>
  <si>
    <t>蒋晴</t>
  </si>
  <si>
    <t>黄加华</t>
  </si>
  <si>
    <t>陈建镁</t>
  </si>
  <si>
    <t>范家伟</t>
  </si>
  <si>
    <t>银西军</t>
  </si>
  <si>
    <t>四川省成都市青白江区旗舰建材市场17栋</t>
  </si>
  <si>
    <t>四川省成都市青白江区青白江区弥牟镇正兴路43号</t>
  </si>
  <si>
    <t>王长伟</t>
  </si>
  <si>
    <t>邹昀</t>
  </si>
  <si>
    <t>卫增田</t>
  </si>
  <si>
    <t>邱颖</t>
  </si>
  <si>
    <t>张旭玲</t>
  </si>
  <si>
    <t>刘锦鸿</t>
  </si>
  <si>
    <t>梁文舜</t>
  </si>
  <si>
    <t>林书春</t>
  </si>
  <si>
    <t>王超群</t>
  </si>
  <si>
    <t>王琴</t>
  </si>
  <si>
    <t>冉清</t>
  </si>
  <si>
    <t>重庆市重庆市酉阳土家族苗族自治县重庆市酉阳县桃花源大道中路华章孵化园4-4</t>
  </si>
  <si>
    <t>重庆市重庆市酉阳土家族苗族自治县重庆市酉阳县龚滩镇大理村8组</t>
  </si>
  <si>
    <t>韩莲珍</t>
  </si>
  <si>
    <t>龚飞</t>
  </si>
  <si>
    <t>王艳波</t>
  </si>
  <si>
    <t>吴明杨</t>
  </si>
  <si>
    <t>颜士雨</t>
  </si>
  <si>
    <t>张云辉</t>
  </si>
  <si>
    <t>辛灵</t>
  </si>
  <si>
    <t>山西省长治市沁源县沁河镇人民路</t>
  </si>
  <si>
    <t>山西省长治市沁源县沁河镇常青小区</t>
  </si>
  <si>
    <t>陆静</t>
  </si>
  <si>
    <t>徐文杰</t>
  </si>
  <si>
    <t>费慰强</t>
  </si>
  <si>
    <t>杨明坤</t>
  </si>
  <si>
    <t>薛金丰</t>
  </si>
  <si>
    <t>江苏省无锡市江阴市江阴市周庄镇玉门西路19号</t>
  </si>
  <si>
    <t>江苏省无锡市江阴市周庄镇宗言步行街东门楼下254号</t>
  </si>
  <si>
    <t>湖南省衡阳市雁峰区黄茶岭198号</t>
  </si>
  <si>
    <t>湖南省衡阳市珠晖区衡阳市珠晖区和平乡新民村一六组16号</t>
  </si>
  <si>
    <t>童杰</t>
  </si>
  <si>
    <t>段尚军</t>
  </si>
  <si>
    <t>张克金</t>
  </si>
  <si>
    <t>刘谏</t>
  </si>
  <si>
    <t>刘静雯</t>
  </si>
  <si>
    <t>山东省潍坊市潍城区军埠口镇政府</t>
  </si>
  <si>
    <t>山东省潍坊市潍城区军埠口镇</t>
  </si>
  <si>
    <t>梁芳</t>
  </si>
  <si>
    <t>李爱仙</t>
  </si>
  <si>
    <t>福建省福州市台江区五一中路169号</t>
  </si>
  <si>
    <t>福建省福州市鼓楼区鳌峰路鳌港苑13#410</t>
  </si>
  <si>
    <t>神超</t>
  </si>
  <si>
    <t>邱志远</t>
  </si>
  <si>
    <t>湖南省郴州市北湖区三江口瑶族镇仙溪路3号</t>
  </si>
  <si>
    <t>湖南省郴州市汝城县三江口瑶族镇三江口村黄洞口组</t>
  </si>
  <si>
    <t>孙文亮</t>
  </si>
  <si>
    <t>罗伟军</t>
  </si>
  <si>
    <t>谭巍</t>
  </si>
  <si>
    <t>广西南宁市兴宁区263</t>
  </si>
  <si>
    <t>广西南宁市兴宁区中华路18号109号房</t>
  </si>
  <si>
    <t>罗动琼</t>
  </si>
  <si>
    <t>蒋路长</t>
  </si>
  <si>
    <t>胡可灿</t>
  </si>
  <si>
    <t>易伟</t>
  </si>
  <si>
    <t>罗芳琴</t>
  </si>
  <si>
    <t>吴幸雨</t>
  </si>
  <si>
    <t>邱国平</t>
  </si>
  <si>
    <t>杨云祥</t>
  </si>
  <si>
    <t>黄玉梅</t>
  </si>
  <si>
    <t>房洋洋</t>
  </si>
  <si>
    <t>杨晓茹</t>
  </si>
  <si>
    <t>童秀连</t>
  </si>
  <si>
    <t>张源</t>
  </si>
  <si>
    <t>魏豪材</t>
  </si>
  <si>
    <t>任德龙</t>
  </si>
  <si>
    <t>刘章</t>
  </si>
  <si>
    <t>王遐飞</t>
  </si>
  <si>
    <t>浙江省杭州市余杭区五常街道荆长大道17号</t>
  </si>
  <si>
    <t>上塘街道储鑫路50号301室</t>
  </si>
  <si>
    <t>林石川</t>
  </si>
  <si>
    <t>沈雅敏</t>
  </si>
  <si>
    <t>杨学飞</t>
  </si>
  <si>
    <t>重庆市重庆市渝北区双凤桥街道高园路3号5幢</t>
  </si>
  <si>
    <t>重庆市重庆市渝北区宝圣大道金鹏两江时光</t>
  </si>
  <si>
    <t>陈雄伟</t>
  </si>
  <si>
    <t>时光伟</t>
  </si>
  <si>
    <t>何宇</t>
  </si>
  <si>
    <t>崔晴</t>
  </si>
  <si>
    <t>杨博文</t>
  </si>
  <si>
    <t>河南省郑州市中原区商都路91号</t>
  </si>
  <si>
    <t>河南省郑州市中原区北三环金明路交叉口国泰一品庄园</t>
  </si>
  <si>
    <t>孙东涵</t>
  </si>
  <si>
    <t>姜晟杰</t>
  </si>
  <si>
    <t>上海市上海市黄浦区上海市南京东路409号913</t>
  </si>
  <si>
    <t>上海市上海市虹口区上海市虹口区株洲路399弄15号601</t>
  </si>
  <si>
    <t>石小峰</t>
  </si>
  <si>
    <t>管迟刚</t>
  </si>
  <si>
    <t>张恒娟</t>
  </si>
  <si>
    <t>肖雪</t>
  </si>
  <si>
    <t>孙峰</t>
  </si>
  <si>
    <t>万海军</t>
  </si>
  <si>
    <t>郑继飞</t>
  </si>
  <si>
    <t>李曦</t>
  </si>
  <si>
    <t>李亚男</t>
  </si>
  <si>
    <t>韩卫婷</t>
  </si>
  <si>
    <t>青海省西宁市城中区青海省西宁市城中区互助巷路</t>
  </si>
  <si>
    <t>青海省海晏县金滩乡光明村元山社</t>
  </si>
  <si>
    <t>杨洪升</t>
  </si>
  <si>
    <t>河北省张家口市蔚县南樊庄南</t>
  </si>
  <si>
    <t>河北省张家口市蔚县建设北大街31号</t>
  </si>
  <si>
    <t>赵良青</t>
  </si>
  <si>
    <t>四川省成都市武侯区吉泰路六路75号</t>
  </si>
  <si>
    <t>四川省成都市双流县南湖西路南湖国际社区15栋2单元502</t>
  </si>
  <si>
    <t>黄利英</t>
  </si>
  <si>
    <t>尹淑娟</t>
  </si>
  <si>
    <t>钟金城</t>
  </si>
  <si>
    <t>向前波</t>
  </si>
  <si>
    <t>樊君峰</t>
  </si>
  <si>
    <t>李善宝</t>
  </si>
  <si>
    <t>海南省海口市龙华区滨海大道115号</t>
  </si>
  <si>
    <t>海南省海口市龙华区秀英村公寓702房</t>
  </si>
  <si>
    <t>夏晓宇</t>
  </si>
  <si>
    <t>宣凤亭</t>
  </si>
  <si>
    <t>朱峰</t>
  </si>
  <si>
    <t>何美兰</t>
  </si>
  <si>
    <t>阚杰</t>
  </si>
  <si>
    <t>刘相儒</t>
  </si>
  <si>
    <t>郑永红</t>
  </si>
  <si>
    <t>刘青燕</t>
  </si>
  <si>
    <t>李木子</t>
  </si>
  <si>
    <t>曾意</t>
  </si>
  <si>
    <t>赵月平</t>
  </si>
  <si>
    <t>陈瑞雪</t>
  </si>
  <si>
    <t>郑家辉</t>
  </si>
  <si>
    <t>福建省漳州市龙海市颜厝镇路边村下庄批发市场</t>
  </si>
  <si>
    <t>福建省漳州市华安县颜厝镇路边村桥埔34号</t>
  </si>
  <si>
    <t>薛京弟</t>
  </si>
  <si>
    <t>柯海城</t>
  </si>
  <si>
    <t>马立鹏</t>
  </si>
  <si>
    <t>王洪超</t>
  </si>
  <si>
    <t>叶翔</t>
  </si>
  <si>
    <t>安徽省芜湖市鸠江区大桥镇马场路5号</t>
  </si>
  <si>
    <t>安徽省芜湖市镜湖区大桥镇龙山新苑40栋3单元301</t>
  </si>
  <si>
    <t>李长琴</t>
  </si>
  <si>
    <t>李伟伟</t>
  </si>
  <si>
    <t>湖北省襄阳市樊城区太平店镇化纤厂</t>
  </si>
  <si>
    <t>湖北省襄阳市樊城区太平店镇杨旗营村三组</t>
  </si>
  <si>
    <t>姚丽林</t>
  </si>
  <si>
    <t>马骏</t>
  </si>
  <si>
    <t>内蒙古包头市东河区291医院西100处</t>
  </si>
  <si>
    <t>内蒙古包头市东河区奥宇新城区5号楼二单元505</t>
  </si>
  <si>
    <t>张亚军</t>
  </si>
  <si>
    <t>贾子姗</t>
  </si>
  <si>
    <t>刘继峰</t>
  </si>
  <si>
    <t>湖南省邵阳市邵东县灵官殿荣华大厦</t>
  </si>
  <si>
    <t>湖南省邵阳市邵东县灵官殿镇大全居委会</t>
  </si>
  <si>
    <t>黄纪恩</t>
  </si>
  <si>
    <t>冯政</t>
  </si>
  <si>
    <t>陈长啸</t>
  </si>
  <si>
    <t>方华</t>
  </si>
  <si>
    <t>周萌</t>
  </si>
  <si>
    <t>河南省郑州市荥阳市郑上路132号</t>
  </si>
  <si>
    <t>河南省郑州市上街区明珠公馆8号楼一单元201室</t>
  </si>
  <si>
    <t>朱琳娜</t>
  </si>
  <si>
    <t>菅庆鸿</t>
  </si>
  <si>
    <t>兰野</t>
  </si>
  <si>
    <t>张友强</t>
  </si>
  <si>
    <t>广东省深圳市宝安区福永华丰电子科技园3栋6楼</t>
  </si>
  <si>
    <t>广东省深圳市宝安区沙井和二市场36栋702</t>
  </si>
  <si>
    <t>蒋移爱</t>
  </si>
  <si>
    <t>李晓飞</t>
  </si>
  <si>
    <t>黑龙江省齐齐哈尔市建华区新江路万达广场公寓c座中国平安人寿保险有限公司区拓部</t>
  </si>
  <si>
    <t>黑龙江省齐齐哈尔市建华区凤凰城c区17号楼三单元</t>
  </si>
  <si>
    <t>骆炳辉</t>
  </si>
  <si>
    <t>琚杨超</t>
  </si>
  <si>
    <t>谢卓良</t>
  </si>
  <si>
    <t>黄勇钢</t>
  </si>
  <si>
    <t>丁鑫</t>
  </si>
  <si>
    <t>曹宝文</t>
  </si>
  <si>
    <t>徐良伟</t>
  </si>
  <si>
    <t>季振</t>
  </si>
  <si>
    <t>江苏省宿迁市泗阳县北京东路112号国土大厦</t>
  </si>
  <si>
    <t>江苏省宿迁市泗阳县名流新天地小区b188栋302室</t>
  </si>
  <si>
    <t>李宜霏</t>
  </si>
  <si>
    <t>江苏省徐州市贾汪区大吴镇步行街</t>
  </si>
  <si>
    <t>江苏省徐州市贾汪区大吴镇步行街星城小区</t>
  </si>
  <si>
    <t>曹兵兵</t>
  </si>
  <si>
    <t>王铭</t>
  </si>
  <si>
    <t>聂兰</t>
  </si>
  <si>
    <t>四川省绵阳市江油市恒丰园3期a 区13号</t>
  </si>
  <si>
    <t>四川省绵阳市江油市恒丰园3期一栋一单元502</t>
  </si>
  <si>
    <t>粟阶强</t>
  </si>
  <si>
    <t>杜兆庆</t>
  </si>
  <si>
    <t>湖北省黄石市大冶市康馨花园B栋1-102号</t>
  </si>
  <si>
    <t>湖北省黄石市大冶市十里铺小区2单元302</t>
  </si>
  <si>
    <t>黄洲</t>
  </si>
  <si>
    <t>罗大龙</t>
  </si>
  <si>
    <t>李芳丹</t>
  </si>
  <si>
    <t>张建国</t>
  </si>
  <si>
    <t>涂祺兰</t>
  </si>
  <si>
    <t>江西省赣州市章贡区江西省赣州市章贡区水东镇虔东大道289号</t>
  </si>
  <si>
    <t>江西省赣州市赣县江西省赣州市赣县储潭镇幸福村土墙围组8号</t>
  </si>
  <si>
    <t>王利轻</t>
  </si>
  <si>
    <t>李成伟</t>
  </si>
  <si>
    <t>石蔷</t>
  </si>
  <si>
    <t>湖南省长沙市开福区湖南省长沙市开福区八一桥芙蓉城6楼</t>
  </si>
  <si>
    <t>湖南省长沙市雨花区湖南省长沙市雨花区香樟路北冲尾小区14栋1单元</t>
  </si>
  <si>
    <t>湖南省长沙市长沙县中南汽车世界L08栋</t>
  </si>
  <si>
    <t>湖南省长沙市浏阳市永安镇永安社区永明片陈家组216号</t>
  </si>
  <si>
    <t>高旭</t>
  </si>
  <si>
    <t>阿卜杜杰力力·阿卜力孜</t>
  </si>
  <si>
    <t>新疆和田地区洛浦县洛浦杭桂路212号</t>
  </si>
  <si>
    <t>新疆和田地区洛浦县恰尔巴格乡皮切克期村47号</t>
  </si>
  <si>
    <t>张元</t>
  </si>
  <si>
    <t>秦志欢</t>
  </si>
  <si>
    <t>内蒙古呼和浩特市土默特左旗金川开发区汇金路东侧一汽丰田</t>
  </si>
  <si>
    <t>内蒙古呼和浩特市土默特左旗金川开发区友谊馨居</t>
  </si>
  <si>
    <t>丁国伟</t>
  </si>
  <si>
    <t>马喜童</t>
  </si>
  <si>
    <t>钟先强</t>
  </si>
  <si>
    <t>陈余兴</t>
  </si>
  <si>
    <t>靳晓虹</t>
  </si>
  <si>
    <t>侯立国</t>
  </si>
  <si>
    <t>海廷武</t>
  </si>
  <si>
    <t>郭镇冰</t>
  </si>
  <si>
    <t>福建省三明市沙县麻公岭安置小区7号楼一层1号店</t>
  </si>
  <si>
    <t>福建省三明市沙县麻公岭花园11栋一单元601</t>
  </si>
  <si>
    <t>龚道和</t>
  </si>
  <si>
    <t>赵雨来</t>
  </si>
  <si>
    <t>河北省石家庄市藁城市昌盛南街010号</t>
  </si>
  <si>
    <t>河北省石家庄市藁城市梅花镇倪家庄村平安路44号</t>
  </si>
  <si>
    <t>罗义</t>
  </si>
  <si>
    <t>李志钰</t>
  </si>
  <si>
    <t>山东省青岛市市北区市北区山东路128号</t>
  </si>
  <si>
    <t>山东省青岛市城阳区夏庄街道安乐社区三号楼三单元四零一</t>
  </si>
  <si>
    <t>朱镇宇</t>
  </si>
  <si>
    <t>江苏省徐州市鼓楼区绿地商务城F座3层</t>
  </si>
  <si>
    <t>江苏省徐州市云龙区惠民花园小区E2栋四单元601室</t>
  </si>
  <si>
    <t>马河河</t>
  </si>
  <si>
    <t>史艳红</t>
  </si>
  <si>
    <t>安徽省宿州市泗县泗城镇第一街</t>
  </si>
  <si>
    <t>泗城镇国防南路17-15号</t>
  </si>
  <si>
    <t>钟里森</t>
  </si>
  <si>
    <t>广西防城港市港口区公车镇沙田路口小龙门街6号门</t>
  </si>
  <si>
    <t>广西防城港市港口区广西防城港市港口区公车镇白沙村大岭脚组2号</t>
  </si>
  <si>
    <t>汪思成</t>
  </si>
  <si>
    <t>周凯旋</t>
  </si>
  <si>
    <t>李孝斌</t>
  </si>
  <si>
    <t>孙太林</t>
  </si>
  <si>
    <t>柯善鹏</t>
  </si>
  <si>
    <t>余俊</t>
  </si>
  <si>
    <t>丁晨成</t>
  </si>
  <si>
    <t>林朋</t>
  </si>
  <si>
    <t>李晓胜</t>
  </si>
  <si>
    <t>河南省信阳市淮滨县邓湾乡邓湾村东圩组</t>
  </si>
  <si>
    <t>河南省信阳市淮滨县芦集乡吉庙村小李营组</t>
  </si>
  <si>
    <t>汪月霞</t>
  </si>
  <si>
    <t>林菊明</t>
  </si>
  <si>
    <t>裴姣姣</t>
  </si>
  <si>
    <t>陈素朝</t>
  </si>
  <si>
    <t>郑刚</t>
  </si>
  <si>
    <t>万晶</t>
  </si>
  <si>
    <t>陆晓刚</t>
  </si>
  <si>
    <t>梁学流</t>
  </si>
  <si>
    <t>黄庆飞</t>
  </si>
  <si>
    <t>谷元武</t>
  </si>
  <si>
    <t>刘慧芳</t>
  </si>
  <si>
    <t>董天英</t>
  </si>
  <si>
    <t>四川省成都市彭州市四川省成都市彭州市朝阳南路113号</t>
  </si>
  <si>
    <t>四川省成都市彭州市磁峰镇莲花湖5组44号</t>
  </si>
  <si>
    <t>刘东燕</t>
  </si>
  <si>
    <t>潘志勇</t>
  </si>
  <si>
    <t>洪伟</t>
  </si>
  <si>
    <t>仁青东主</t>
  </si>
  <si>
    <t>田龙龙</t>
  </si>
  <si>
    <t>陈亚飞</t>
  </si>
  <si>
    <t>新疆克拉玛依市乌尔禾区乌尔禾区龙脊路005号</t>
  </si>
  <si>
    <t>新疆克拉玛依市乌尔禾区乌尔禾区同济里12栋二单元201室</t>
  </si>
  <si>
    <t>贾寅龙</t>
  </si>
  <si>
    <t>邓萌</t>
  </si>
  <si>
    <t>肖遥</t>
  </si>
  <si>
    <t>李新江</t>
  </si>
  <si>
    <t>湖北省十堰市茅箭区天津路88号11栋1号楼1单元1室</t>
  </si>
  <si>
    <t>湖北省十堰市茅箭区白浪中路马路村二组小区134号</t>
  </si>
  <si>
    <t>梁会玲</t>
  </si>
  <si>
    <t>广东省广州市荔湾区中山市坦洲镇第三工业区前进二路34号</t>
  </si>
  <si>
    <t>伍登飞</t>
  </si>
  <si>
    <t>张炎</t>
  </si>
  <si>
    <t>胡晓晓</t>
  </si>
  <si>
    <t>福建省泉州市石狮市香江路829号道清庆龄大厦</t>
  </si>
  <si>
    <t>彭敏</t>
  </si>
  <si>
    <t>杨汉华</t>
  </si>
  <si>
    <t>琚飞飞</t>
  </si>
  <si>
    <t>赵娜娜</t>
  </si>
  <si>
    <t>梁辉</t>
  </si>
  <si>
    <t>崔爱平</t>
  </si>
  <si>
    <t>陕西省宝鸡市渭滨区火炬路华夏盛世家园12号楼一单元1201室</t>
  </si>
  <si>
    <t>安徽省合肥市包河区铁道巷21号楼3单元4楼东</t>
  </si>
  <si>
    <t>王鑫民</t>
  </si>
  <si>
    <t>张绍明</t>
  </si>
  <si>
    <t>河北省唐山市曹妃甸区曹妃甸工业区三加四大联检</t>
  </si>
  <si>
    <t>河北省唐山市曹妃甸区曹妃甸区幸福花园小区402幢一单元504室</t>
  </si>
  <si>
    <t>赵帅</t>
  </si>
  <si>
    <t>宋莹莹</t>
  </si>
  <si>
    <t>浙江省宁波市奉化市南山路161</t>
  </si>
  <si>
    <t>浙江省宁波市奉化市泰悦公馆8幢2401</t>
  </si>
  <si>
    <t>张建康</t>
  </si>
  <si>
    <t>黄文泽</t>
  </si>
  <si>
    <t>吕瑞海</t>
  </si>
  <si>
    <t>封婷</t>
  </si>
  <si>
    <t>罗晓南</t>
  </si>
  <si>
    <t>黑龙江省哈尔滨市宾县宾西镇经济技术开发区强宾路一号</t>
  </si>
  <si>
    <t>黑龙江省哈尔滨市宾县宾西镇经济技术开发区强宾路一号家属楼5号楼二单元601</t>
  </si>
  <si>
    <t>董海泉</t>
  </si>
  <si>
    <t>黎香成</t>
  </si>
  <si>
    <t>周恩浩</t>
  </si>
  <si>
    <t>江苏省南通市海门市江苏省南通市海门上海路899号</t>
  </si>
  <si>
    <t>江苏省南通市海门市通源新村315幢202室</t>
  </si>
  <si>
    <t>张子先</t>
  </si>
  <si>
    <t>林义勤</t>
  </si>
  <si>
    <t>温州市永嘉县瓯北镇罗浮大街276号</t>
  </si>
  <si>
    <t>浙江省温州市永嘉县上塘镇南城街道县前路135号</t>
  </si>
  <si>
    <t>万泽</t>
  </si>
  <si>
    <t>宁第民</t>
  </si>
  <si>
    <t>余尔藻</t>
  </si>
  <si>
    <t>万仁勇</t>
  </si>
  <si>
    <t>河南省信阳市平桥区恒大名都一期四号楼125号</t>
  </si>
  <si>
    <t>河南省信阳市平桥区桂竹园小区小区五号楼二单元1305</t>
  </si>
  <si>
    <t>戴琦峰</t>
  </si>
  <si>
    <t>马婧</t>
  </si>
  <si>
    <t>彭智</t>
  </si>
  <si>
    <t>江西省抚州市南城县上塘镇蒋源村</t>
  </si>
  <si>
    <t>江西省抚州市南城县下石巷4号2单元5楼</t>
  </si>
  <si>
    <t>龚成业</t>
  </si>
  <si>
    <t>龚大波</t>
  </si>
  <si>
    <t>侯元君</t>
  </si>
  <si>
    <t>河南省洛阳市老城区周山西路15号</t>
  </si>
  <si>
    <t>河南省洛阳市涧西区周山西路京熙帝景三号楼二单元202</t>
  </si>
  <si>
    <t>陈霏</t>
  </si>
  <si>
    <t>王光廷</t>
  </si>
  <si>
    <t>薛霜雪</t>
  </si>
  <si>
    <t>李欢欢</t>
  </si>
  <si>
    <t>斯琴高娃</t>
  </si>
  <si>
    <t>树辉</t>
  </si>
  <si>
    <t>欧劲</t>
  </si>
  <si>
    <t>纪小兵</t>
  </si>
  <si>
    <t>上海市上海市闵行区上海市闵行区碧泉路36弄金霄大厦1503</t>
  </si>
  <si>
    <t>上海市上海市闵行区西环二村13-402</t>
  </si>
  <si>
    <t>曾炎鹏</t>
  </si>
  <si>
    <t>朱尚峰</t>
  </si>
  <si>
    <t>严帆</t>
  </si>
  <si>
    <t>湖南省长沙市长沙县东六路有色地勘大厦15楼</t>
  </si>
  <si>
    <t>湖南省长沙市开福区长沙市开福区四方坪雅雀湖2栋2门303房</t>
  </si>
  <si>
    <t>黄佳童</t>
  </si>
  <si>
    <t>江西省抚州市临川区临川大道38号</t>
  </si>
  <si>
    <t>江西省抚州市临川区冯家巷5号</t>
  </si>
  <si>
    <t>袁春虹</t>
  </si>
  <si>
    <t>云南省临沧市临翔区临沧市南天路115号</t>
  </si>
  <si>
    <t>云南省临沧市临翔区玉龙花园15幢1单元502室</t>
  </si>
  <si>
    <t>黄松峰</t>
  </si>
  <si>
    <t>赵曼</t>
  </si>
  <si>
    <t>林佼蓉</t>
  </si>
  <si>
    <t>邵林冲</t>
  </si>
  <si>
    <t>杨老三</t>
  </si>
  <si>
    <t>于景</t>
  </si>
  <si>
    <t>胡盼乐</t>
  </si>
  <si>
    <t>山东省济南市市中区大观园汇宝大厦</t>
  </si>
  <si>
    <t>山东省济南市市中区党家街道邵东村</t>
  </si>
  <si>
    <t>左永宁</t>
  </si>
  <si>
    <t>广西贺州市八步区贺州市江北东路39号</t>
  </si>
  <si>
    <t>广西贺州市八步区贺州市八步区平桂南路33号1区5栋8号</t>
  </si>
  <si>
    <t>邓金寿</t>
  </si>
  <si>
    <t>喻阳</t>
  </si>
  <si>
    <t>董建国</t>
  </si>
  <si>
    <t>贺建军</t>
  </si>
  <si>
    <t>付庆华</t>
  </si>
  <si>
    <t>李唯</t>
  </si>
  <si>
    <t>江苏省苏州市吴中区裕新路168号脉山龙大厦</t>
  </si>
  <si>
    <t>江苏省苏州市吴中区普惠路淞泽家园七区23栋二单元304</t>
  </si>
  <si>
    <t>蒋林峰</t>
  </si>
  <si>
    <t>云南省昆明市晋宁县晋宁县工业园区宝峰片区</t>
  </si>
  <si>
    <t>云南省昆明市晋宁县宝峰镇挖矿坡村委会149号</t>
  </si>
  <si>
    <t>吴振隆</t>
  </si>
  <si>
    <t>陈立春</t>
  </si>
  <si>
    <t>谭永禄</t>
  </si>
  <si>
    <t>四川省成都市武侯区天府大道天府三街天合凯旋广场3栋3201</t>
  </si>
  <si>
    <t>四川省成都市双流县中和镇朝阳路朝阳丽景360号五栋五单元306</t>
  </si>
  <si>
    <t>汪孔</t>
  </si>
  <si>
    <t>福建省宁德市古田县城东街道食用菌加工基地7号二层</t>
  </si>
  <si>
    <t>福建省宁德市古田县城东街道常坝村上际8号</t>
  </si>
  <si>
    <t>乔世全</t>
  </si>
  <si>
    <t>王喜龙</t>
  </si>
  <si>
    <t>陕西省宝鸡市陈仓区虢镇水莲寨通佳商砼站院内103室</t>
  </si>
  <si>
    <t>陕西省宝鸡市陈仓区虢镇平安小区6号楼601</t>
  </si>
  <si>
    <t>李宛键</t>
  </si>
  <si>
    <t>邹宇婷</t>
  </si>
  <si>
    <t>广东省云浮市云城区广东省云浮市人民医院</t>
  </si>
  <si>
    <t>广东省云浮市云城区河口街道马岗村委下呈村48号</t>
  </si>
  <si>
    <t>李奥勇</t>
  </si>
  <si>
    <t>倪豪</t>
  </si>
  <si>
    <t>辽宁省鞍山市台安县农业高新技术产业区</t>
  </si>
  <si>
    <t>辽宁省鞍山市台安县金水豪庭21号六单元402</t>
  </si>
  <si>
    <t>刘新旺</t>
  </si>
  <si>
    <t>吴星用</t>
  </si>
  <si>
    <t>王卫新</t>
  </si>
  <si>
    <t>余姣姣</t>
  </si>
  <si>
    <t>袁平</t>
  </si>
  <si>
    <t>安徽省阜阳市太和县清浅镇十字路口南一百米路西</t>
  </si>
  <si>
    <t>安徽省阜阳市太和县清浅镇曹庄村委会小孙庄14号</t>
  </si>
  <si>
    <t>蔡钦城</t>
  </si>
  <si>
    <t>张华龙</t>
  </si>
  <si>
    <t>浙江省宁波市象山县东谷湖路1号</t>
  </si>
  <si>
    <t>浙江省宁波市象山县宾阳路10-1号401室</t>
  </si>
  <si>
    <t>蔡南棋</t>
  </si>
  <si>
    <t>姜威</t>
  </si>
  <si>
    <t>上海市上海市杨浦区市光路111号</t>
  </si>
  <si>
    <t>上海市上海市浦东新区民同路176弄45号401室</t>
  </si>
  <si>
    <t>张燕东</t>
  </si>
  <si>
    <t>柳航</t>
  </si>
  <si>
    <t>董博</t>
  </si>
  <si>
    <t>河南省郑州市金水区普庆路明达路交叉口向西五十米路北</t>
  </si>
  <si>
    <t>河南省郑州市惠济区迎宾路御翠园小区16号楼二单元五楼东</t>
  </si>
  <si>
    <t>王晓莉</t>
  </si>
  <si>
    <t>宗琳</t>
  </si>
  <si>
    <t>黑龙江省哈尔滨市阿城区延川大街517</t>
  </si>
  <si>
    <t>黑龙江省哈尔滨市阿城区北新小区5号楼1单元705</t>
  </si>
  <si>
    <t>张诗珲</t>
  </si>
  <si>
    <t>江苏省淮安市淮阴区珠江路169号电商创业园903室</t>
  </si>
  <si>
    <t>江苏省淮安市清浦区青岛路一号建滔裕花园12栋802室</t>
  </si>
  <si>
    <t>朱红</t>
  </si>
  <si>
    <t>许兵</t>
  </si>
  <si>
    <t>汪文龙</t>
  </si>
  <si>
    <t>江苏省苏州市姑苏区金门路777号</t>
  </si>
  <si>
    <t>江苏省苏州市虎丘区华通花园四区59栋202室</t>
  </si>
  <si>
    <t>顾明龙</t>
  </si>
  <si>
    <t>王海莉</t>
  </si>
  <si>
    <t>周铭</t>
  </si>
  <si>
    <t>赵艳丽</t>
  </si>
  <si>
    <t>李屯华</t>
  </si>
  <si>
    <t>徐建峰</t>
  </si>
  <si>
    <t>袁年福</t>
  </si>
  <si>
    <t>江西省赣州市信丰县工业园绿源大道</t>
  </si>
  <si>
    <t>江西省赣州市信丰县西牛镇高丘村袁屋57号</t>
  </si>
  <si>
    <t>王新新</t>
  </si>
  <si>
    <t>刘振泽</t>
  </si>
  <si>
    <t>黄良洪</t>
  </si>
  <si>
    <t>马云飞</t>
  </si>
  <si>
    <t>蓝章钰</t>
  </si>
  <si>
    <t>谢作成</t>
  </si>
  <si>
    <t>广东省广州市增城市仙村立交桥旁仙村物流园</t>
  </si>
  <si>
    <t>广东省广州市增城市广东省广州市增城区大墩村创业西路328号</t>
  </si>
  <si>
    <t>田行强</t>
  </si>
  <si>
    <t>于国庆</t>
  </si>
  <si>
    <t>雷平</t>
  </si>
  <si>
    <t>赵革红</t>
  </si>
  <si>
    <t>王润发</t>
  </si>
  <si>
    <t>任龙龙</t>
  </si>
  <si>
    <t>韩斌</t>
  </si>
  <si>
    <t>高红强</t>
  </si>
  <si>
    <t>张冠军</t>
  </si>
  <si>
    <t>孙鹤</t>
  </si>
  <si>
    <t>万学彤</t>
  </si>
  <si>
    <t>陈维林</t>
  </si>
  <si>
    <t>甘肃省酒泉市肃州区酒金东路65号汇丰苑</t>
  </si>
  <si>
    <t>甘肃省酒泉市肃州区春光家园28号</t>
  </si>
  <si>
    <t>杜满堂</t>
  </si>
  <si>
    <t>河南省南阳市社旗县社旗县南环路双庄村东隔壁</t>
  </si>
  <si>
    <t>河南省南阳市社旗县社旗县城关镇李庄村宋庄</t>
  </si>
  <si>
    <t>胡笛</t>
  </si>
  <si>
    <t>刘飞飞</t>
  </si>
  <si>
    <t>成林萍</t>
  </si>
  <si>
    <t>广东省深圳市宝安区光明新区南环大道1203号</t>
  </si>
  <si>
    <t>广东省深圳市南山区西丽镇九详岭东区28栋405</t>
  </si>
  <si>
    <t>张兴财</t>
  </si>
  <si>
    <t>国敬涛</t>
  </si>
  <si>
    <t>袁佳</t>
  </si>
  <si>
    <t>贾楠楠</t>
  </si>
  <si>
    <t>陈青兰</t>
  </si>
  <si>
    <t>赵志宏</t>
  </si>
  <si>
    <t>周传钟</t>
  </si>
  <si>
    <t>湖北省荆门市东宝区掇刀区南城明珠108号</t>
  </si>
  <si>
    <t>湖北省荆门市东宝区泉口街道青山路紫荆城</t>
  </si>
  <si>
    <t>田迅</t>
  </si>
  <si>
    <t>汪丹凤</t>
  </si>
  <si>
    <t>海南省海口市秀英区海南省琼海市金海路101号</t>
  </si>
  <si>
    <t>海南省海口市秀英区海南省琼海市嘉积镇金海路五横街167</t>
  </si>
  <si>
    <t>舒艳辉</t>
  </si>
  <si>
    <t>朱彬彬</t>
  </si>
  <si>
    <t>罗才丽</t>
  </si>
  <si>
    <t>云南省楚雄彝族自治州楚雄市鹿城北路鑫茂时代广场70号</t>
  </si>
  <si>
    <t>云南省楚雄彝族自治州楚雄市开发区丰胜路21号工商银行小区一栋二单元401</t>
  </si>
  <si>
    <t>石培才</t>
  </si>
  <si>
    <t>郭雨</t>
  </si>
  <si>
    <t>李呈祥</t>
  </si>
  <si>
    <t>北京市北京市昌平区回龙观西大街85号琥珀天地二层233</t>
  </si>
  <si>
    <t>北京市北京市昌平区回龙观风雅园三区六号楼一单元501</t>
  </si>
  <si>
    <t>程永波</t>
  </si>
  <si>
    <t>薛玲</t>
  </si>
  <si>
    <t>姜策</t>
  </si>
  <si>
    <t>林腾</t>
  </si>
  <si>
    <t>郑义木</t>
  </si>
  <si>
    <t>广东省广州市增城市新塘镇新塘大道西1073</t>
  </si>
  <si>
    <t>四川省宜宾市翠屏区宜宾市翠屏区南岸长江大道中段15号附7号</t>
  </si>
  <si>
    <t>四川省宜宾市翠屏区宜宾市翠屏区南岸长江大道中段15号街道办事处</t>
  </si>
  <si>
    <t>李有义</t>
  </si>
  <si>
    <t>广东省深圳市宝安区龙华大浪华盛路134号雍景轩商业大厦9088室</t>
  </si>
  <si>
    <t>广东省深圳市宝安区龙华大浪宝山新村2区11栋11-1</t>
  </si>
  <si>
    <t>李博怀</t>
  </si>
  <si>
    <t>海南省海口市琼山区海南省海口市琼山区中介路38号</t>
  </si>
  <si>
    <t>海南省海口市琼山区海南省海口市琼山区高登西街44号</t>
  </si>
  <si>
    <t>李行飞</t>
  </si>
  <si>
    <t>浙江省舟山市定海区干览镇兴业路1号</t>
  </si>
  <si>
    <t>浙江省舟山市普陀区沈家门街道中沙潭路3号</t>
  </si>
  <si>
    <t>李海健</t>
  </si>
  <si>
    <t>孙祺伟</t>
  </si>
  <si>
    <t>辽宁省沈阳市铁西区沈阳市经济技术开发区中央大街18号</t>
  </si>
  <si>
    <t>辽宁省沈阳市铁西区重工北街53丙4-4-1</t>
  </si>
  <si>
    <t>谢路平</t>
  </si>
  <si>
    <t>冯云</t>
  </si>
  <si>
    <t>浙江省台州市黄岩区东城开发区龙浦路16号</t>
  </si>
  <si>
    <t>浙江省台州市黄岩区东城开发区柔桥中巷301号</t>
  </si>
  <si>
    <t>刘雄</t>
  </si>
  <si>
    <t>湖北省黄石市大冶市新冶大道怡景花园一单元</t>
  </si>
  <si>
    <t>大冶市新冶大道雅兴花园</t>
  </si>
  <si>
    <t>杨国威</t>
  </si>
  <si>
    <t>陈乙峰</t>
  </si>
  <si>
    <t>赵梦茹</t>
  </si>
  <si>
    <t>胡兴旺</t>
  </si>
  <si>
    <t>伍智伟</t>
  </si>
  <si>
    <t>李建辉</t>
  </si>
  <si>
    <t>唐贵婷</t>
  </si>
  <si>
    <t>李建宁</t>
  </si>
  <si>
    <t>云南省普洱市思茅区思茅区帝博洱大道与思江路交叉路口西五十米</t>
  </si>
  <si>
    <t>云南省普洱市思茅区思茅区大寨农贸市场三号</t>
  </si>
  <si>
    <t>任有胜</t>
  </si>
  <si>
    <t>靳忠均</t>
  </si>
  <si>
    <t>湖北省荆门市东宝区象山一路西山林语院内</t>
  </si>
  <si>
    <t>湖北省随州市曾都区湖北省随州市曾都区柳树淌村150号对面</t>
  </si>
  <si>
    <t>黄思佳</t>
  </si>
  <si>
    <t>胡进轩</t>
  </si>
  <si>
    <t>贺禹铭</t>
  </si>
  <si>
    <t>何跃永</t>
  </si>
  <si>
    <t>刘爽</t>
  </si>
  <si>
    <t>寇恒纯</t>
  </si>
  <si>
    <t>江苏省苏州市昆山市昆山市蓬朗镇蓬溪园C7区25栋501</t>
  </si>
  <si>
    <t>周勇</t>
  </si>
  <si>
    <t>罗云森</t>
  </si>
  <si>
    <t>阜成祥</t>
  </si>
  <si>
    <t>熊光策</t>
  </si>
  <si>
    <t>赖立群</t>
  </si>
  <si>
    <t>胡春燕</t>
  </si>
  <si>
    <t>汤兴林</t>
  </si>
  <si>
    <t>田桂茳</t>
  </si>
  <si>
    <t>石豪</t>
  </si>
  <si>
    <t>冯李继</t>
  </si>
  <si>
    <t>云南省曲靖市麒麟区教场西路古城社区旁</t>
  </si>
  <si>
    <t>云南省曲靖市麒麟区西苑社区涝地新村12栋74号504室</t>
  </si>
  <si>
    <t>刘伟彪</t>
  </si>
  <si>
    <t>张江海</t>
  </si>
  <si>
    <t>熊丹</t>
  </si>
  <si>
    <t>康瑞锋</t>
  </si>
  <si>
    <t>贺红平</t>
  </si>
  <si>
    <t>北京市北京市海淀区西三旗上奥世纪1208室</t>
  </si>
  <si>
    <t>北京市北京市昌平区小汤山镇马坊村310号</t>
  </si>
  <si>
    <t>李崇周</t>
  </si>
  <si>
    <t>山东省青岛市平度市天津路999号</t>
  </si>
  <si>
    <t>山东省青岛市平度市郁江路上城府第小区三十八号楼三单元601</t>
  </si>
  <si>
    <t>高洪勇</t>
  </si>
  <si>
    <t>邱剑</t>
  </si>
  <si>
    <t>广东省广州市荔湾区明珠西路257号</t>
  </si>
  <si>
    <t>广东省广州市荔湾区水南东祠村八角井五巷19号</t>
  </si>
  <si>
    <t>钟德友</t>
  </si>
  <si>
    <t>马治国</t>
  </si>
  <si>
    <t>陈伟波</t>
  </si>
  <si>
    <t>周明岳</t>
  </si>
  <si>
    <t>吴家敏</t>
  </si>
  <si>
    <t>杨一</t>
  </si>
  <si>
    <t>韩龙城</t>
  </si>
  <si>
    <t>湛远东</t>
  </si>
  <si>
    <t>李星瑶</t>
  </si>
  <si>
    <t>陈以松</t>
  </si>
  <si>
    <t>冯佳旺</t>
  </si>
  <si>
    <t>向时桃</t>
  </si>
  <si>
    <t>魏鹏翔</t>
  </si>
  <si>
    <t>向万平</t>
  </si>
  <si>
    <t>周琴</t>
  </si>
  <si>
    <t>湖南省怀化市芷江侗族自治县七里桥太和塔对面</t>
  </si>
  <si>
    <t>湖南省怀化市芷江侗族自治县黄甲街244号</t>
  </si>
  <si>
    <t>苑振风</t>
  </si>
  <si>
    <t>肖至艺</t>
  </si>
  <si>
    <t>上海市上海市嘉定区外岗镇望新仙桥路158号</t>
  </si>
  <si>
    <t>上海市上海市嘉定区外岗镇外岗景苑2号楼1402</t>
  </si>
  <si>
    <t>孙鸿旗</t>
  </si>
  <si>
    <t>江苏省南通市崇川区新开南路97号</t>
  </si>
  <si>
    <t>江苏省南通市崇川区新开南路97号一栋203</t>
  </si>
  <si>
    <t>陈玉芬</t>
  </si>
  <si>
    <t>麻建林</t>
  </si>
  <si>
    <t>芦丽娜</t>
  </si>
  <si>
    <t>浙江省宁波市慈溪市浒山街道南二环路</t>
  </si>
  <si>
    <t>浙江省宁波市慈溪市庵东镇富北村</t>
  </si>
  <si>
    <t>徐彪</t>
  </si>
  <si>
    <t>田慧樑</t>
  </si>
  <si>
    <t>王义杰</t>
  </si>
  <si>
    <t>北京市北京市顺义区南法信镇三家店村后街40号</t>
  </si>
  <si>
    <t>马洪悦</t>
  </si>
  <si>
    <t>李顺丽</t>
  </si>
  <si>
    <t>宋露</t>
  </si>
  <si>
    <t>金苏都</t>
  </si>
  <si>
    <t>杨飞然</t>
  </si>
  <si>
    <t>广东省江门市蓬江区荷塘镇禾岗东胜里五巷23号</t>
  </si>
  <si>
    <t>广东省江门市蓬江区荷塘镇民兴六街8号2栋305</t>
  </si>
  <si>
    <t>吴笑笑</t>
  </si>
  <si>
    <t>顾云飞</t>
  </si>
  <si>
    <t>郭晓凯</t>
  </si>
  <si>
    <t>山东省青岛市市北区华阳路25号</t>
  </si>
  <si>
    <t>山东省青岛市市北区山东省青岛市市北</t>
  </si>
  <si>
    <t>苏金鹏</t>
  </si>
  <si>
    <t>王晋凯</t>
  </si>
  <si>
    <t>山西省太原市小店区太原北街16号</t>
  </si>
  <si>
    <t>山西省太原市小店区体育北街24号11号楼2单元9号</t>
  </si>
  <si>
    <t>崔楼宇</t>
  </si>
  <si>
    <t>浙江省杭州市上城区金凯纺织有限公司一号楼</t>
  </si>
  <si>
    <t>浙江省杭州市萧山区宁围镇金凯纺织有限公司</t>
  </si>
  <si>
    <t>陶君丽</t>
  </si>
  <si>
    <t>上海市上海市浦东新区红枫路108弄4号1506室</t>
  </si>
  <si>
    <t>上海市上海市闵行区水清路999弄49号602室</t>
  </si>
  <si>
    <t>许凤爱</t>
  </si>
  <si>
    <t>李俊伟</t>
  </si>
  <si>
    <t>蔡睿</t>
  </si>
  <si>
    <t>四川省成都市温江区凤溪大道中段93号</t>
  </si>
  <si>
    <t>四川省成都市温江区长安路108号</t>
  </si>
  <si>
    <t>四川省成都市金牛区金牛区一环路北三段四号</t>
  </si>
  <si>
    <t>四川省成都市锦江区踏水桥北街蓝光coco时代5栋1404</t>
  </si>
  <si>
    <t>王浩荣</t>
  </si>
  <si>
    <t>付鲁国</t>
  </si>
  <si>
    <t>范辉</t>
  </si>
  <si>
    <t>牛晓梅</t>
  </si>
  <si>
    <t>贾宁</t>
  </si>
  <si>
    <t>薛德渊</t>
  </si>
  <si>
    <t>湖北省襄阳市襄州区湖北省襄阳市襄州区天籁大道15号</t>
  </si>
  <si>
    <t>湖北省襄阳市樊城区湖北省襄阳市樊城区汉江北路黄家二组</t>
  </si>
  <si>
    <t>张世国</t>
  </si>
  <si>
    <t>李福杉</t>
  </si>
  <si>
    <t>福建省厦门市思明区高新技术园新捷创运营中心107</t>
  </si>
  <si>
    <t>福建省厦门市思明区县后社321号</t>
  </si>
  <si>
    <t>姚远</t>
  </si>
  <si>
    <t>李禄艳</t>
  </si>
  <si>
    <t>陈晓平</t>
  </si>
  <si>
    <t>于志坚</t>
  </si>
  <si>
    <t>朱景博</t>
  </si>
  <si>
    <t>黑龙江省牡丹江市东宁县绥滨小区门口</t>
  </si>
  <si>
    <t>黑龙江省牡丹江市东宁县彩虹小区一号楼二单元二零三</t>
  </si>
  <si>
    <t>李远肖</t>
  </si>
  <si>
    <t>马豪</t>
  </si>
  <si>
    <t>叶廷欣</t>
  </si>
  <si>
    <t>重庆市重庆市大渡口区重庆市大渡口区剑桥工业园金桥路10号</t>
  </si>
  <si>
    <t>重庆市重庆市永川区重庆市永川区阴茎路映竹房产杨家坡小区三单元</t>
  </si>
  <si>
    <t>刘榴</t>
  </si>
  <si>
    <t>白广玉</t>
  </si>
  <si>
    <t>方明</t>
  </si>
  <si>
    <t>彭佳成</t>
  </si>
  <si>
    <t>郑文庆</t>
  </si>
  <si>
    <t>阎玉玲</t>
  </si>
  <si>
    <t>云南省楚雄彝族自治州楚雄市楚雄市怀象街90号</t>
  </si>
  <si>
    <t>云南省楚雄彝族自治州楚雄市楚雄市怀象街36号2幢1单元402室</t>
  </si>
  <si>
    <t>贾海同</t>
  </si>
  <si>
    <t>山东省日照市岚山区沿海路600号</t>
  </si>
  <si>
    <t>山东省日照市岚山区明珠路轿顶山花园小区</t>
  </si>
  <si>
    <t>马尚瑞</t>
  </si>
  <si>
    <t>周观福</t>
  </si>
  <si>
    <t>于金涛</t>
  </si>
  <si>
    <t>胡登第</t>
  </si>
  <si>
    <t>广东省深圳市宝安区石岩交警中队</t>
  </si>
  <si>
    <t>广东省深圳市宝安区石岩街道塘坑村五十九号301</t>
  </si>
  <si>
    <t>刘宝连</t>
  </si>
  <si>
    <t>蔺照武</t>
  </si>
  <si>
    <t>李向龙</t>
  </si>
  <si>
    <t>叶邓梦</t>
  </si>
  <si>
    <t>郑成爱</t>
  </si>
  <si>
    <t>何海</t>
  </si>
  <si>
    <t>黄果</t>
  </si>
  <si>
    <t>湖北省襄阳市襄城区慧安巷9号</t>
  </si>
  <si>
    <t>湖北省襄阳市襄城区胜利街向阳路向阳小区六单元三楼301</t>
  </si>
  <si>
    <t>王欢欢</t>
  </si>
  <si>
    <t>单世辉</t>
  </si>
  <si>
    <t>贵州省安顺市西秀区黄河路568号</t>
  </si>
  <si>
    <t>贵州省安顺市平坝县城市绿洲小区</t>
  </si>
  <si>
    <t>莫冀财</t>
  </si>
  <si>
    <t>徐结方</t>
  </si>
  <si>
    <t>何红伟</t>
  </si>
  <si>
    <t>王政权</t>
  </si>
  <si>
    <t>陆颖</t>
  </si>
  <si>
    <t>朱学瑞</t>
  </si>
  <si>
    <t>韦志华</t>
  </si>
  <si>
    <t>朱伟城</t>
  </si>
  <si>
    <t>杨华威</t>
  </si>
  <si>
    <t>黄显甫</t>
  </si>
  <si>
    <t>张中想</t>
  </si>
  <si>
    <t>邓招荣</t>
  </si>
  <si>
    <t>贵州省贵阳市云岩区普陀社区服务中心新印厂路186号</t>
  </si>
  <si>
    <t>贵州省贵阳市云岩区陕西路钟声巷1号一单元901室</t>
  </si>
  <si>
    <t>董文祥</t>
  </si>
  <si>
    <t>任伟博</t>
  </si>
  <si>
    <t>刘文辉</t>
  </si>
  <si>
    <t>广东省梅州市平远县梅州市平远县石正镇南台村</t>
  </si>
  <si>
    <t>广东省梅州市平远县梅州市平远县大柘镇坝头</t>
  </si>
  <si>
    <t>赵文祥</t>
  </si>
  <si>
    <t>徐少波</t>
  </si>
  <si>
    <t>张万龙</t>
  </si>
  <si>
    <t>邱华木</t>
  </si>
  <si>
    <t>张焕</t>
  </si>
  <si>
    <t>郭翀</t>
  </si>
  <si>
    <t>山东省济宁市兖州市西御桥南路牛楼社区驻地716号</t>
  </si>
  <si>
    <t>山东省济宁市兖州市奎星苑小区八号楼一单元</t>
  </si>
  <si>
    <t>李科</t>
  </si>
  <si>
    <t>湖北省武汉市江汉区将军路7号</t>
  </si>
  <si>
    <t>湖北省武汉市江汉区发展大道299号定秀晶城8栋2单元3104</t>
  </si>
  <si>
    <t>韩国臣</t>
  </si>
  <si>
    <t>赵旭</t>
  </si>
  <si>
    <t>黑龙江省齐齐哈尔市龙沙区国文大街12号</t>
  </si>
  <si>
    <t>黑龙江省齐齐哈尔市龙沙区运管小区3号楼1单元501</t>
  </si>
  <si>
    <t>舒国文</t>
  </si>
  <si>
    <t>叶加恒</t>
  </si>
  <si>
    <t>杨晓斌</t>
  </si>
  <si>
    <t>赖朋胜</t>
  </si>
  <si>
    <t>王洪波</t>
  </si>
  <si>
    <t>贵州省遵义市仁怀市中枢镇三转盘</t>
  </si>
  <si>
    <t>贵州省遵义市仁怀市中枢镇陵园路103号</t>
  </si>
  <si>
    <t>王万青</t>
  </si>
  <si>
    <t>林学智</t>
  </si>
  <si>
    <t>李海宇</t>
  </si>
  <si>
    <t>尹焕荣</t>
  </si>
  <si>
    <t>盛阳康</t>
  </si>
  <si>
    <t>江苏省苏州市昆山市张浦镇南岗新南路53号</t>
  </si>
  <si>
    <t>江苏省苏州市昆山市张浦镇南岗望江新村3幢202</t>
  </si>
  <si>
    <t>刘铜</t>
  </si>
  <si>
    <t>林容仟</t>
  </si>
  <si>
    <t>吴良飞</t>
  </si>
  <si>
    <t>厚街镇涌口村厚沙路10号</t>
  </si>
  <si>
    <t>广西省宾阳县武陵镇武陵村委会高怀村37号</t>
  </si>
  <si>
    <t>冯南云</t>
  </si>
  <si>
    <t>张振龙</t>
  </si>
  <si>
    <t>赖俊洲</t>
  </si>
  <si>
    <t>袁声权</t>
  </si>
  <si>
    <t>王广凤</t>
  </si>
  <si>
    <t>王小兴</t>
  </si>
  <si>
    <t>高湖</t>
  </si>
  <si>
    <t>林道玉</t>
  </si>
  <si>
    <t>马小丽</t>
  </si>
  <si>
    <t>何轻军</t>
  </si>
  <si>
    <t>扶健文</t>
  </si>
  <si>
    <t>姚越磊</t>
  </si>
  <si>
    <t>江苏省宿迁市宿豫区浦东国际花园西41号商铺</t>
  </si>
  <si>
    <t>江苏省宿迁市宿豫区中通名仕嘉园11栋304室</t>
  </si>
  <si>
    <t>陈娜</t>
  </si>
  <si>
    <t>孟建东</t>
  </si>
  <si>
    <t>张嘉源</t>
  </si>
  <si>
    <t>梁永红</t>
  </si>
  <si>
    <t>浙江省台州市路桥区浙江省台州市路桥区金清镇金都雅苑物业</t>
  </si>
  <si>
    <t>浙江省台州市路桥区浙江省台州市路桥区金清镇五丰村11区27号</t>
  </si>
  <si>
    <t>李佳航</t>
  </si>
  <si>
    <t>孟文涛</t>
  </si>
  <si>
    <t>李世强</t>
  </si>
  <si>
    <t>唐福成</t>
  </si>
  <si>
    <t>白国强</t>
  </si>
  <si>
    <t>浙江省杭州市余杭区通运路246号</t>
  </si>
  <si>
    <t>浙江省杭州市西湖区古墩路润达花园三幢三单元三零二</t>
  </si>
  <si>
    <t>王国演</t>
  </si>
  <si>
    <t>李宗盛</t>
  </si>
  <si>
    <t>福建省福州市仓山区三叉街道湖畔路3号新奇特</t>
  </si>
  <si>
    <t>福建省福州市仓山区三叉街道湖畔路3号</t>
  </si>
  <si>
    <t>内蒙古通辽市科尔沁左翼后旗甘旗卡镇铁东工业园区</t>
  </si>
  <si>
    <t>内蒙古通辽市科尔沁左翼后旗甘旗卡镇团结新区二栋3单元2号</t>
  </si>
  <si>
    <t>李洪船</t>
  </si>
  <si>
    <t>张兴智</t>
  </si>
  <si>
    <t>辽宁省朝阳市龙城区中山大街3段13号</t>
  </si>
  <si>
    <t>辽宁省朝阳市龙城区富民胡同7号楼3单元501</t>
  </si>
  <si>
    <t>郑书凤</t>
  </si>
  <si>
    <t>王星凯</t>
  </si>
  <si>
    <t>薛彬</t>
  </si>
  <si>
    <t>陈苛起</t>
  </si>
  <si>
    <t>李阿飞</t>
  </si>
  <si>
    <t>郑琳</t>
  </si>
  <si>
    <t>曾凡彬</t>
  </si>
  <si>
    <t>四川省成都市武侯区双流大件路中段</t>
  </si>
  <si>
    <t>四川省成都市双流县四川成都双流白家花红小区羊双路99号</t>
  </si>
  <si>
    <t>蒋海松</t>
  </si>
  <si>
    <t>王开良</t>
  </si>
  <si>
    <t>马小芳</t>
  </si>
  <si>
    <t>王君伟</t>
  </si>
  <si>
    <t>章辉鹏</t>
  </si>
  <si>
    <t>张喆</t>
  </si>
  <si>
    <t>山东省滨州市滨城区黄河二路渤海二十一路569号</t>
  </si>
  <si>
    <t>山东省滨州市滨城区黄河四路渤海十三路活塞家园25号楼1单元301室</t>
  </si>
  <si>
    <t>郭丝丝</t>
  </si>
  <si>
    <t>洪情影</t>
  </si>
  <si>
    <t>刘会述</t>
  </si>
  <si>
    <t>陈妙贵</t>
  </si>
  <si>
    <t>福建省宁德市福安市下白石镇白马街146</t>
  </si>
  <si>
    <t>福建省宁德市福安市下白石镇凤山村凤山路104号</t>
  </si>
  <si>
    <t>马少杰</t>
  </si>
  <si>
    <t>任秋怡</t>
  </si>
  <si>
    <t>唐彩军</t>
  </si>
  <si>
    <t>吕承艳</t>
  </si>
  <si>
    <t>郑杨洋</t>
  </si>
  <si>
    <t>贺升旗</t>
  </si>
  <si>
    <t>李腾腾</t>
  </si>
  <si>
    <t>兰楷</t>
  </si>
  <si>
    <t>廖梓君</t>
  </si>
  <si>
    <t>谢宏亮</t>
  </si>
  <si>
    <t>张利魁</t>
  </si>
  <si>
    <t>湖南省张家界市永定区迎宾路62号</t>
  </si>
  <si>
    <t>湖南省张家界市永定区官黎坪阳光水岸13栋601室</t>
  </si>
  <si>
    <t>傅晓芳</t>
  </si>
  <si>
    <t>福建省福州市鼓楼区荆溪镇闽侯经济开发区铁岭西路7号一号厂区</t>
  </si>
  <si>
    <t>福建省福州市鼓楼区福新路239号吉祥双子星大厦a座503单元</t>
  </si>
  <si>
    <t>姜万良</t>
  </si>
  <si>
    <t>北京中路125号</t>
  </si>
  <si>
    <t>银川市金凤区万达公寓</t>
  </si>
  <si>
    <t>陶聚</t>
  </si>
  <si>
    <t>刘姝娜</t>
  </si>
  <si>
    <t>易峰</t>
  </si>
  <si>
    <t>甘本林</t>
  </si>
  <si>
    <t>张婧怡</t>
  </si>
  <si>
    <t>何晓生</t>
  </si>
  <si>
    <t>滕泰民</t>
  </si>
  <si>
    <t>陆杰</t>
  </si>
  <si>
    <t>陈剑</t>
  </si>
  <si>
    <t>河南省新乡市辉县市河南省辉县市孟庄镇郭村工业园区</t>
  </si>
  <si>
    <t>河南省新乡市辉县市河南省辉县市胡桥乡胡桥村门牌48号</t>
  </si>
  <si>
    <t>刘忠伟</t>
  </si>
  <si>
    <t>庞大盈</t>
  </si>
  <si>
    <t>贵州省贵阳市云岩区宝山北路联通大厦</t>
  </si>
  <si>
    <t>贵州省贵阳市南明区花溪大道北段721号6栋1单元附2号</t>
  </si>
  <si>
    <t>类静</t>
  </si>
  <si>
    <t>夏文炎</t>
  </si>
  <si>
    <t>福建省泉州市鲤城区金龙社区浮桥街647号</t>
  </si>
  <si>
    <t>福建省泉州市丰泽区群石社区慱东路695号</t>
  </si>
  <si>
    <t>张亚男</t>
  </si>
  <si>
    <t>李顺达</t>
  </si>
  <si>
    <t>内蒙古包头市昆都仑区包头市九原区景富家园</t>
  </si>
  <si>
    <t>内蒙古包头市昆都仑区阿十街坊十栋二单元30号</t>
  </si>
  <si>
    <t>宋燕辉</t>
  </si>
  <si>
    <t>姚智</t>
  </si>
  <si>
    <t>安徽省六安市金安区国际汽车城E区17栋</t>
  </si>
  <si>
    <t>安徽省六安市裕安区解放路明珠广场E4号楼三单元505室</t>
  </si>
  <si>
    <t>项瑜</t>
  </si>
  <si>
    <t>刘晓童</t>
  </si>
  <si>
    <t>陕西省宝鸡市渭滨区金台大道15号电信大厦</t>
  </si>
  <si>
    <t>陕西省宝鸡市金台区跃进路联盟新区3号楼801</t>
  </si>
  <si>
    <t>王艳旭</t>
  </si>
  <si>
    <t>谢作铁</t>
  </si>
  <si>
    <t>陈俊逸</t>
  </si>
  <si>
    <t>黄振卓</t>
  </si>
  <si>
    <t>黑龙江省哈尔滨市道里区友谊路276号</t>
  </si>
  <si>
    <t>黑龙江省哈尔滨市南岗区保健路102号8-4-103</t>
  </si>
  <si>
    <t>黄杨勉</t>
  </si>
  <si>
    <t>邹健</t>
  </si>
  <si>
    <t>程佳伟</t>
  </si>
  <si>
    <t>内蒙古乌兰察布市商都县商都县七台镇新风路北</t>
  </si>
  <si>
    <t>内蒙古乌兰察布市商都县三条街万福小区</t>
  </si>
  <si>
    <t>塔依乔潘·哈散</t>
  </si>
  <si>
    <t>奇台县龙盛源房产公司</t>
  </si>
  <si>
    <t>奇台县惠民三期</t>
  </si>
  <si>
    <t>王鹏辉</t>
  </si>
  <si>
    <t>海南省海口市秀英区海南省琼中县虎头路28号</t>
  </si>
  <si>
    <t>海南省海口市琼山区海南省琼中县新进农场新进大道146房</t>
  </si>
  <si>
    <t>贺登贵</t>
  </si>
  <si>
    <t>贵州省黔西南布依族苗族自治州兴仁县文化路42号</t>
  </si>
  <si>
    <t>贵州省兴仁县真武山街道办事处二村高寨组28号</t>
  </si>
  <si>
    <t>郑信勇</t>
  </si>
  <si>
    <t>广东省深圳市罗湖区侨香路侨香村一栋</t>
  </si>
  <si>
    <t>深圳市宝安区白石龙一区76栋505</t>
  </si>
  <si>
    <t>严超</t>
  </si>
  <si>
    <t>于红锦</t>
  </si>
  <si>
    <t>辽宁省盘锦市双台子区双台区渤海路</t>
  </si>
  <si>
    <t>辽宁省盘锦市兴隆台区兴隆台区新工小区一区</t>
  </si>
  <si>
    <t>路云</t>
  </si>
  <si>
    <t>贵州省毕节市威宁彝族回族苗族自治县贵州省毕节地区威宁县</t>
  </si>
  <si>
    <t>贵州省毕节市威宁彝族回族苗族自治县贵州省毕节地区威宁县县府路</t>
  </si>
  <si>
    <t>上海市上海市静安区南京西路兴业太古汇b1楼</t>
  </si>
  <si>
    <t>上海市上海市虹口区东长治路扬子江大厦2号楼502室</t>
  </si>
  <si>
    <t>王玉棵</t>
  </si>
  <si>
    <t>张来生</t>
  </si>
  <si>
    <t>杨志明</t>
  </si>
  <si>
    <t>罗亚平</t>
  </si>
  <si>
    <t>夏从喜</t>
  </si>
  <si>
    <t>山东省东营市垦利县经济开发区宝丰路与广兴路交汇处</t>
  </si>
  <si>
    <t>山东省东营市东营区汾河路369号胜大花园28-3-601</t>
  </si>
  <si>
    <t>叶金兴</t>
  </si>
  <si>
    <t>广东省茂名市茂南区迎宾三路新塘仔村第七排一栋首层商铺</t>
  </si>
  <si>
    <t>广东省茂名市茂南区迎宾一路七号大院4栋402房</t>
  </si>
  <si>
    <t>马成成</t>
  </si>
  <si>
    <t>徐艳萍</t>
  </si>
  <si>
    <t>李胜发</t>
  </si>
  <si>
    <t>代正强</t>
  </si>
  <si>
    <t>安徽省芜湖市鸠江区龙山路28号</t>
  </si>
  <si>
    <t>安徽省芜湖市鸠江区九华北路伟星玲珑湾11栋一单元201</t>
  </si>
  <si>
    <t>田英海</t>
  </si>
  <si>
    <t>曹继东</t>
  </si>
  <si>
    <t>孔令春</t>
  </si>
  <si>
    <t>杨振东</t>
  </si>
  <si>
    <t>廖杨文</t>
  </si>
  <si>
    <t>向兴杰</t>
  </si>
  <si>
    <t>凌志远</t>
  </si>
  <si>
    <t>武煦</t>
  </si>
  <si>
    <t>李广宇</t>
  </si>
  <si>
    <t>彭昌华</t>
  </si>
  <si>
    <t>关志洋</t>
  </si>
  <si>
    <t>梁二刚</t>
  </si>
  <si>
    <t>广西北海市银海区北海强宇食品有限公司</t>
  </si>
  <si>
    <t>广西北海市银海区北海市银海区安建小区3栋703室</t>
  </si>
  <si>
    <t>韩秋雪</t>
  </si>
  <si>
    <t>梁莉莹</t>
  </si>
  <si>
    <t>万波</t>
  </si>
  <si>
    <t>柳本全</t>
  </si>
  <si>
    <t>黄漫利</t>
  </si>
  <si>
    <t>王兰荣</t>
  </si>
  <si>
    <t>银涛</t>
  </si>
  <si>
    <t>重庆市重庆市江北区渝北三村30号2804</t>
  </si>
  <si>
    <t>重庆市重庆市江北区华新村东方家园礼苑B座2205</t>
  </si>
  <si>
    <t>岳增望</t>
  </si>
  <si>
    <t>魏康</t>
  </si>
  <si>
    <t>郭瑞楠</t>
  </si>
  <si>
    <t>邱赐怡</t>
  </si>
  <si>
    <t>广东省深圳市宝安区民治街道398号汇宝江大厦</t>
  </si>
  <si>
    <t>广东省深圳市宝安区腾龙路龙塘村西区二巷八号</t>
  </si>
  <si>
    <t>黄海涛</t>
  </si>
  <si>
    <t>周爱霞</t>
  </si>
  <si>
    <t>周川</t>
  </si>
  <si>
    <t>郭金利</t>
  </si>
  <si>
    <t>河北省沧州市新华区沧州市新华区长芦北大道化工路35号</t>
  </si>
  <si>
    <t>河北省沧州市新华区沧州市新华区政府楼二单元204</t>
  </si>
  <si>
    <t>黄文传</t>
  </si>
  <si>
    <t>王凯婷</t>
  </si>
  <si>
    <t>福建省泉州市石狮市北环路捷兴商贸中心6楼</t>
  </si>
  <si>
    <t>福建省泉州市石狮市宝盖镇上浦村2片区85号</t>
  </si>
  <si>
    <t>王冠东</t>
  </si>
  <si>
    <t>沈奇峰</t>
  </si>
  <si>
    <t>郑睿哲</t>
  </si>
  <si>
    <t>毛孟琦</t>
  </si>
  <si>
    <t>孙卓实</t>
  </si>
  <si>
    <t>施顺霞</t>
  </si>
  <si>
    <t>黄警荣</t>
  </si>
  <si>
    <t>江西省宜春市上高县县城敖阳路158号</t>
  </si>
  <si>
    <t>江西省宜春市上高县翰堂镇密村村梅家咀11号</t>
  </si>
  <si>
    <t>李炳发</t>
  </si>
  <si>
    <t>夏泽</t>
  </si>
  <si>
    <t>江苏省无锡市崇安区星海公馆一号楼</t>
  </si>
  <si>
    <t>江苏省无锡市惠山区惠景路</t>
  </si>
  <si>
    <t>赵张琴</t>
  </si>
  <si>
    <t>卞旭东</t>
  </si>
  <si>
    <t>浙江省嘉兴市嘉善县天凝镇荊杨路55号</t>
  </si>
  <si>
    <t>浙江省嘉兴市嘉善县干窑镇南宙村塘北桥42号</t>
  </si>
  <si>
    <t>杨盛</t>
  </si>
  <si>
    <t>王胡恩</t>
  </si>
  <si>
    <t>魏成虎</t>
  </si>
  <si>
    <t>段世番</t>
  </si>
  <si>
    <t>陆小英</t>
  </si>
  <si>
    <t>朱亚东</t>
  </si>
  <si>
    <t>熊金凤</t>
  </si>
  <si>
    <t>湖北省恩施土家族苗族自治州恩施市上官府邸一栋201</t>
  </si>
  <si>
    <t>湖北省恩施土家族苗族自治州恩施市上官府邸三栋一单元1503</t>
  </si>
  <si>
    <t>蔡海连</t>
  </si>
  <si>
    <t>叶泽民</t>
  </si>
  <si>
    <t>顾卫强</t>
  </si>
  <si>
    <t>李秋霞</t>
  </si>
  <si>
    <t>王玉川</t>
  </si>
  <si>
    <t>李德亮</t>
  </si>
  <si>
    <t>龙继全</t>
  </si>
  <si>
    <t>黄恒琳</t>
  </si>
  <si>
    <t>海南省海口市秀英区海口市玉沙路中房高级公寓1901房</t>
  </si>
  <si>
    <t>海南省海口市龙华区海府一横路华宇大厦1503室</t>
  </si>
  <si>
    <t>庄蓉蓉</t>
  </si>
  <si>
    <t>宋博</t>
  </si>
  <si>
    <t>马军伟</t>
  </si>
  <si>
    <t>辽宁省本溪市平山区辽宁省本溪市平山区永丰步行街银座商场琪琪婚纱摄影D54</t>
  </si>
  <si>
    <t>辽宁省本溪市平山区辽宁省本溪市平山区南地长山街道长山小区三单元一楼103</t>
  </si>
  <si>
    <t>孙世辉</t>
  </si>
  <si>
    <t>江苏省徐州市丰县丰县工业园区</t>
  </si>
  <si>
    <t>江苏省徐州市丰县江苏省徐州市丰县赵庄镇孙庄</t>
  </si>
  <si>
    <t>王玉涛</t>
  </si>
  <si>
    <t>徐艳春</t>
  </si>
  <si>
    <t>贺芝期</t>
  </si>
  <si>
    <t>张文杰</t>
  </si>
  <si>
    <t>薛丹</t>
  </si>
  <si>
    <t>林海斌</t>
  </si>
  <si>
    <t>高红辉</t>
  </si>
  <si>
    <t>河南省洛阳市涧西区河南省洛阳市涧西区辽宁路世纪华阳五期112号</t>
  </si>
  <si>
    <t>烧沟村3组121号</t>
  </si>
  <si>
    <t>李全厂</t>
  </si>
  <si>
    <t>姜作鸿</t>
  </si>
  <si>
    <t>易沁</t>
  </si>
  <si>
    <t>湖南省长沙市浏阳市洞阳镇生物医药园蓝思科技股份有限公司E区宿舍</t>
  </si>
  <si>
    <t>江西省宜春市袁州区竹亭乡竹亭村塘上组30号</t>
  </si>
  <si>
    <t>汤红梅</t>
  </si>
  <si>
    <t>田山</t>
  </si>
  <si>
    <t>罗寒宇</t>
  </si>
  <si>
    <t>张仲</t>
  </si>
  <si>
    <t>刘莎</t>
  </si>
  <si>
    <t>罗云</t>
  </si>
  <si>
    <t>肖赛</t>
  </si>
  <si>
    <t>石龙</t>
  </si>
  <si>
    <t>刘盛辉</t>
  </si>
  <si>
    <t>福建省厦门市思明区夏禾路金鹏花园702</t>
  </si>
  <si>
    <t>罗仁坤</t>
  </si>
  <si>
    <t>郭海波</t>
  </si>
  <si>
    <t>芦冯玉</t>
  </si>
  <si>
    <t>赵文臣</t>
  </si>
  <si>
    <t>魏云超</t>
  </si>
  <si>
    <t>张家</t>
  </si>
  <si>
    <t>曲冬</t>
  </si>
  <si>
    <t>周影</t>
  </si>
  <si>
    <t>福建省福州市晋安区福州市鼓楼区五四路王府井广场</t>
  </si>
  <si>
    <t>福建省福州市晋安区岳峰一区10栋201</t>
  </si>
  <si>
    <t>潘晓蓉</t>
  </si>
  <si>
    <t>王惠萍</t>
  </si>
  <si>
    <t>王晓伟</t>
  </si>
  <si>
    <t>林全得</t>
  </si>
  <si>
    <t>郭锦锋</t>
  </si>
  <si>
    <t>福建省福州市仓山区金山工业园区福湾工业园区齐安路18号</t>
  </si>
  <si>
    <t>福建省福州市仓山区盖山镇红星农场潘宅村66-6</t>
  </si>
  <si>
    <t>闫聪波</t>
  </si>
  <si>
    <t>天津市天津市武清区天津市武清区王庆坨乡大饭口村东五十米</t>
  </si>
  <si>
    <t>天津市天津市武清区王庆坨乡大饭口村</t>
  </si>
  <si>
    <t>李钢斌</t>
  </si>
  <si>
    <t>任伟</t>
  </si>
  <si>
    <t>董联明</t>
  </si>
  <si>
    <t>王逸群</t>
  </si>
  <si>
    <t>沈春</t>
  </si>
  <si>
    <t>邓启迪</t>
  </si>
  <si>
    <t>刘建刚</t>
  </si>
  <si>
    <t>段秋石</t>
  </si>
  <si>
    <t>张嘉瑞</t>
  </si>
  <si>
    <t>山西省长治市襄垣县候堡镇潞安东大街8号</t>
  </si>
  <si>
    <t>山西省长治市郊区故县街道创业小区七号楼二单元402</t>
  </si>
  <si>
    <t>周仕昌</t>
  </si>
  <si>
    <t>贵州省黔东南苗族侗族自治州榕江县贵州省榕江县工业园区</t>
  </si>
  <si>
    <t>贵州省黔东南苗族侗族自治州榕江县贵州省榕江县忠诚镇王领村</t>
  </si>
  <si>
    <t>刘方成</t>
  </si>
  <si>
    <t>浙江省杭州市江干区金乔街158号</t>
  </si>
  <si>
    <t>浙江省杭州市江干区景园小区154号</t>
  </si>
  <si>
    <t>高玉斌</t>
  </si>
  <si>
    <t>闻熹娴</t>
  </si>
  <si>
    <t>赵志云</t>
  </si>
  <si>
    <t>山西省忻州市代县代县哦口镇初一沟</t>
  </si>
  <si>
    <t>山西省忻州市代县代县峪口乡东章村154号</t>
  </si>
  <si>
    <t>王爱娟</t>
  </si>
  <si>
    <t>林婕</t>
  </si>
  <si>
    <t>李忆丹</t>
  </si>
  <si>
    <t>河北省邢台市巨鹿县天成国际小区五号楼三单元602室</t>
  </si>
  <si>
    <t>河北省邢台市巨鹿县政府街783号</t>
  </si>
  <si>
    <t>谭琪麟</t>
  </si>
  <si>
    <t>白艳</t>
  </si>
  <si>
    <t>姚琳琳</t>
  </si>
  <si>
    <t>党樊青</t>
  </si>
  <si>
    <t>李栋栋</t>
  </si>
  <si>
    <t>陕西省宝鸡市渭滨区高新开发区10路21号</t>
  </si>
  <si>
    <t>陕西省宝鸡市渭滨区陕西省宝鸡市凤翔县彪角镇李家堡村三组3号</t>
  </si>
  <si>
    <t>王帆</t>
  </si>
  <si>
    <t>洪虹</t>
  </si>
  <si>
    <t>张喜乐</t>
  </si>
  <si>
    <t>郭茜茜</t>
  </si>
  <si>
    <t>李力亮</t>
  </si>
  <si>
    <t>杨文学</t>
  </si>
  <si>
    <t>内蒙古鄂尔多斯市准格尔旗神华准能大准铁路公司供电段</t>
  </si>
  <si>
    <t>内蒙古鄂尔多斯市准格尔旗汇通小区37号楼3单元502</t>
  </si>
  <si>
    <t>刘宗宝</t>
  </si>
  <si>
    <t>山东省临沂市兰山区临沂市临西九路和解放路交汇向北两百米路东运佳物流</t>
  </si>
  <si>
    <t>山东省临沂市兰山区涑河城邦二号楼一单元1003</t>
  </si>
  <si>
    <t>黑龙江省哈尔滨市阿城区龙涤小区六号楼</t>
  </si>
  <si>
    <t>黑龙江省哈尔滨市阿城区金源绿洲小区A1-4-1201</t>
  </si>
  <si>
    <t>赵明</t>
  </si>
  <si>
    <t>姚洪琛</t>
  </si>
  <si>
    <t>甘肃省兰州市红古区海石湾镇红山路108号</t>
  </si>
  <si>
    <t>甘肃省兰州市红古区海石湾镇平安路269号</t>
  </si>
  <si>
    <t>商瑶</t>
  </si>
  <si>
    <t>刘宇明</t>
  </si>
  <si>
    <t>王正浩</t>
  </si>
  <si>
    <t>湖南省长沙市岳麓区岳麓大道588号芯城科技园3栋901</t>
  </si>
  <si>
    <t>湖南省长沙市芙蓉区广夏新苑17栋309</t>
  </si>
  <si>
    <t>叶腾</t>
  </si>
  <si>
    <t>翁典山</t>
  </si>
  <si>
    <t>刘可心</t>
  </si>
  <si>
    <t>肖小泽</t>
  </si>
  <si>
    <t>云南省昆明市盘龙区昆明市盘龙区龙泉街道办事处</t>
  </si>
  <si>
    <t>昆明市盘龙区龙泉街道办事处</t>
  </si>
  <si>
    <t>戴行锋</t>
  </si>
  <si>
    <t>张可彬</t>
  </si>
  <si>
    <t>山东省青岛市平度市山东省平度市同和镇</t>
  </si>
  <si>
    <t>山东省青岛市平度市山东省平度市蓼兰镇北张家丘村</t>
  </si>
  <si>
    <t>张家文</t>
  </si>
  <si>
    <t>宋良平</t>
  </si>
  <si>
    <t>梁雅怡</t>
  </si>
  <si>
    <t>广东省阳江市江城区阳江市漠江中路45号</t>
  </si>
  <si>
    <t>广东省阳江市江城区广东省阳江市江城区南恩北门街五家村68号</t>
  </si>
  <si>
    <t>毋镇院</t>
  </si>
  <si>
    <t>河南省许昌市魏都区禹州市西工业区大道1号</t>
  </si>
  <si>
    <t>河南省许昌市魏都区河南省禹州市方山镇供销社</t>
  </si>
  <si>
    <t>雷娥</t>
  </si>
  <si>
    <t>李文怡</t>
  </si>
  <si>
    <t>原珍珍</t>
  </si>
  <si>
    <t>杨江</t>
  </si>
  <si>
    <t>王磊磊</t>
  </si>
  <si>
    <t>满立冬</t>
  </si>
  <si>
    <t>北京市北京市朝阳区北京市朝阳区首都机场航安路甲八号</t>
  </si>
  <si>
    <t>北京市顺义区半壁店村樱花园公寓一号楼一单元四楼</t>
  </si>
  <si>
    <t>祁华</t>
  </si>
  <si>
    <t>杨铁江</t>
  </si>
  <si>
    <t>朱晓伟</t>
  </si>
  <si>
    <t>马银华</t>
  </si>
  <si>
    <t>郭晓斌</t>
  </si>
  <si>
    <t>李铸武</t>
  </si>
  <si>
    <t>广西桂林市荔蒲县广西荔浦县中山路2号</t>
  </si>
  <si>
    <t>广西桂林市荔蒲县广西荔浦县修仁镇建陵街建东路160号</t>
  </si>
  <si>
    <t>李家境</t>
  </si>
  <si>
    <t>滕超</t>
  </si>
  <si>
    <t>陈炀</t>
  </si>
  <si>
    <t>邱贤平</t>
  </si>
  <si>
    <t>蔡龙</t>
  </si>
  <si>
    <t>广东省深圳市龙岗区坪山坑梓法庭路二巷五号一楼</t>
  </si>
  <si>
    <t>广东省深圳市龙岗区坪山坑梓法庭路二巷五号</t>
  </si>
  <si>
    <t>付立柱</t>
  </si>
  <si>
    <t>吴帅</t>
  </si>
  <si>
    <t>浙江省衢州市柯城区双港街道谢家小厨2楼202室</t>
  </si>
  <si>
    <t>浙江省衢州市衢江区浮石街道下窑村</t>
  </si>
  <si>
    <t>武龙</t>
  </si>
  <si>
    <t>李青州</t>
  </si>
  <si>
    <t>钟家豪</t>
  </si>
  <si>
    <t>贾雷</t>
  </si>
  <si>
    <t>贵州省遵义市汇川区遵义市汇川区香港路澳港商贸城A栋3-3-1号</t>
  </si>
  <si>
    <t>贵州省遵义市汇川区香港路红光小区二单元302</t>
  </si>
  <si>
    <t>梁晋彪</t>
  </si>
  <si>
    <t>山西省晋城市阳城县凤城镇滨河东路</t>
  </si>
  <si>
    <t>山西省晋城市阳城县凤城镇东关小区</t>
  </si>
  <si>
    <t>杨贵忠</t>
  </si>
  <si>
    <t>林冲</t>
  </si>
  <si>
    <t>云南省昆明市寻甸回族彝族自治县仁德街道办奥新天地1A2035号</t>
  </si>
  <si>
    <t>云南省昆明市寻甸回族彝族自治县鸡街镇古城村委会戈卓龙村38号</t>
  </si>
  <si>
    <t>陈湘滢</t>
  </si>
  <si>
    <t>唐盟</t>
  </si>
  <si>
    <t>向细</t>
  </si>
  <si>
    <t>张贵海</t>
  </si>
  <si>
    <t>安徽省六安市裕安区安徽省六安市裕安区佛子岭路</t>
  </si>
  <si>
    <t>安徽省六安市裕安区安徽省六安市裕安区分路口镇大岭村双塘组</t>
  </si>
  <si>
    <t>龚匡云</t>
  </si>
  <si>
    <t>李军霞</t>
  </si>
  <si>
    <t>陶雪</t>
  </si>
  <si>
    <t>颜彤</t>
  </si>
  <si>
    <t>蒋馥应</t>
  </si>
  <si>
    <t>沈守玲</t>
  </si>
  <si>
    <t>费李鑫</t>
  </si>
  <si>
    <t>李仕杰</t>
  </si>
  <si>
    <t>高旭兵</t>
  </si>
  <si>
    <t>焦怡雯</t>
  </si>
  <si>
    <t>河北省邢台市平乡县平乡镇南门村</t>
  </si>
  <si>
    <t>河北省邢台市平乡县平乡镇小东门村</t>
  </si>
  <si>
    <t>毕爱鑫</t>
  </si>
  <si>
    <t>项卫红</t>
  </si>
  <si>
    <t>浙江省台州市临海市杜桥镇解放街337号</t>
  </si>
  <si>
    <t>浙江省台州市临海市杜桥镇前王中心路106号</t>
  </si>
  <si>
    <t>郭怡</t>
  </si>
  <si>
    <t>潘英杰</t>
  </si>
  <si>
    <t>潘家鹏</t>
  </si>
  <si>
    <t>何燕飞</t>
  </si>
  <si>
    <t>张朝富</t>
  </si>
  <si>
    <t>袁彬清</t>
  </si>
  <si>
    <t>项玉勇</t>
  </si>
  <si>
    <t>孙淼</t>
  </si>
  <si>
    <t>常凯</t>
  </si>
  <si>
    <t>路丽丽</t>
  </si>
  <si>
    <t>郑俊毅</t>
  </si>
  <si>
    <t>肖晓曦</t>
  </si>
  <si>
    <t>云南省昆明市西山区马街北路西部客运站82路公交车场</t>
  </si>
  <si>
    <t>云南省昆明市西山区前卫西路金坤尚城长乐里AD栋2707</t>
  </si>
  <si>
    <t>娜日苏</t>
  </si>
  <si>
    <t>内蒙古锡林郭勒盟苏尼特左旗达日罕街苏尼特左旗医院</t>
  </si>
  <si>
    <t>内蒙古锡林郭勒盟苏尼特左旗达日罕小区7号楼1单元502</t>
  </si>
  <si>
    <t>山东省淄博市张店区卫固镇付山村</t>
  </si>
  <si>
    <t>卫固镇付山村</t>
  </si>
  <si>
    <t>孙利</t>
  </si>
  <si>
    <t>江西省上饶市鄱阳县饶埠镇玉溪砂石围场</t>
  </si>
  <si>
    <t>江西省上饶市鄱阳县饶埠镇塔下西阁村305号</t>
  </si>
  <si>
    <t>马顺业</t>
  </si>
  <si>
    <t>河南省郑州市新郑市龙湖镇双湖大道与求实路交叉路口腾达物流园</t>
  </si>
  <si>
    <t>河南省郑州市二七区黄岗寺兴华小区一号楼一单元</t>
  </si>
  <si>
    <t>何有林</t>
  </si>
  <si>
    <t>安徽省滁州市天长市经济开发区天马路一号</t>
  </si>
  <si>
    <t>安徽省滁州市天长市张铺镇尚武村菱塘队46号</t>
  </si>
  <si>
    <t>庞庆全</t>
  </si>
  <si>
    <t>吴双敏</t>
  </si>
  <si>
    <t>江西省吉安市青原区车站广场南路</t>
  </si>
  <si>
    <t>湖南省益阳市沅江市南大膳镇新湖村二组40号</t>
  </si>
  <si>
    <t>孙月琴</t>
  </si>
  <si>
    <t>王孝波</t>
  </si>
  <si>
    <t>丁红梅</t>
  </si>
  <si>
    <t>兰建伟</t>
  </si>
  <si>
    <t>福建省福州市台江区群升国际尚都苑2栋2403</t>
  </si>
  <si>
    <t>福建省福州市晋安区世欧王庄一区7栋2001</t>
  </si>
  <si>
    <t>鲍云飞</t>
  </si>
  <si>
    <t>杨忠炳</t>
  </si>
  <si>
    <t>杨东</t>
  </si>
  <si>
    <t>马彤</t>
  </si>
  <si>
    <t>王衡</t>
  </si>
  <si>
    <t>王惠锋</t>
  </si>
  <si>
    <t>陕西省宝鸡市金台区东风路二号</t>
  </si>
  <si>
    <t>陕西省宝鸡市金台区东风路石油社区29栋601室</t>
  </si>
  <si>
    <t>张凯宇</t>
  </si>
  <si>
    <t>王子泷</t>
  </si>
  <si>
    <t>肖勇林</t>
  </si>
  <si>
    <t>白光</t>
  </si>
  <si>
    <t>何盼</t>
  </si>
  <si>
    <t>贵州省遵义市汇川区香港路乌江大厦对面</t>
  </si>
  <si>
    <t>贵州省遵义市桐梓县娄山关镇冬青北路477号</t>
  </si>
  <si>
    <t>卞芸</t>
  </si>
  <si>
    <t>盖立军</t>
  </si>
  <si>
    <t>周成艳</t>
  </si>
  <si>
    <t>刘小军</t>
  </si>
  <si>
    <t>王静静</t>
  </si>
  <si>
    <t>肖程轩</t>
  </si>
  <si>
    <t>夏丹</t>
  </si>
  <si>
    <t>李富花</t>
  </si>
  <si>
    <t>云南省昆明市寻甸回族彝族自治县寻甸县金所乡</t>
  </si>
  <si>
    <t>云南省昆明市寻甸县金所乡竹沟村委会移民新村007</t>
  </si>
  <si>
    <t>宇穹</t>
  </si>
  <si>
    <t>王发龙</t>
  </si>
  <si>
    <t>赵东正</t>
  </si>
  <si>
    <t>北京市北京市通州区北京市通州区玉带河东街4号安莱大厦A座</t>
  </si>
  <si>
    <t>北京市北京市通州区张家湾镇环湖小镇东区2号楼5单元501</t>
  </si>
  <si>
    <t>田学飞</t>
  </si>
  <si>
    <t>河南省郑州市金水区北环路与文化路交叉口瀚海北金14008</t>
  </si>
  <si>
    <t>河南省郑州市金水区宏康路66号和昌悦澜6号楼1501</t>
  </si>
  <si>
    <t>张喜双</t>
  </si>
  <si>
    <t>张山林</t>
  </si>
  <si>
    <t>岩勐</t>
  </si>
  <si>
    <t>申学恩</t>
  </si>
  <si>
    <t>湖北省武汉市江岸区百步亭花园路特一号</t>
  </si>
  <si>
    <t>湖北省武汉市江岸区百步亭花园建设新村277号</t>
  </si>
  <si>
    <t>王晓亮</t>
  </si>
  <si>
    <t>杨连英</t>
  </si>
  <si>
    <t>王仲富</t>
  </si>
  <si>
    <t>吴中友</t>
  </si>
  <si>
    <t>邬水云</t>
  </si>
  <si>
    <t>潘学露</t>
  </si>
  <si>
    <t>王桂鹏</t>
  </si>
  <si>
    <t>山东省青岛市崂山区海尔工业园内</t>
  </si>
  <si>
    <t>青岛市李沧区金液泉路福林家园58号楼1单元302户</t>
  </si>
  <si>
    <t>李江龙</t>
  </si>
  <si>
    <t>宁夏银川市兴庆区长城东路315号凯都宾馆5楼</t>
  </si>
  <si>
    <t>宁夏银川市兴庆区阅海万家f1区18号楼一单元1601</t>
  </si>
  <si>
    <t>董祉乐</t>
  </si>
  <si>
    <t>刘智欢</t>
  </si>
  <si>
    <t>张圣超</t>
  </si>
  <si>
    <t>山东省淄博市桓台县山东省淄博市桓台县新城镇城西路口</t>
  </si>
  <si>
    <t>山东省淄博市桓台县新城镇乔北村2组4号</t>
  </si>
  <si>
    <t>余波</t>
  </si>
  <si>
    <t>骆大红</t>
  </si>
  <si>
    <t>罗恒高</t>
  </si>
  <si>
    <t>邢伟吉</t>
  </si>
  <si>
    <t>王粉粉</t>
  </si>
  <si>
    <t>李淋淋</t>
  </si>
  <si>
    <t>王科胜</t>
  </si>
  <si>
    <t>海南省海口市秀英区南海大道万佳装饰广场111号</t>
  </si>
  <si>
    <t>海岛阳光三期二栋二单元1106室</t>
  </si>
  <si>
    <t>卞玉清</t>
  </si>
  <si>
    <t>方俊剑</t>
  </si>
  <si>
    <t>于海龙</t>
  </si>
  <si>
    <t>陈雪娇</t>
  </si>
  <si>
    <t>海南省三沙市儋州市那大静园一街绿园小区一栋102号</t>
  </si>
  <si>
    <t>海南省三沙市儋州市那大杏园十二街19号</t>
  </si>
  <si>
    <t>肖彩凤</t>
  </si>
  <si>
    <t>河北省保定市北市区红旗大街543号</t>
  </si>
  <si>
    <t>河北省保定市新市区天威西路康欣园2号楼1单元201</t>
  </si>
  <si>
    <t>盛鸿燕</t>
  </si>
  <si>
    <t>黑龙江省佳木斯市同江市同江市三村镇四村</t>
  </si>
  <si>
    <t>黑龙江省佳木斯市同江市翰林院十五号楼五单元三零二</t>
  </si>
  <si>
    <t>莫红辉</t>
  </si>
  <si>
    <t>陈飞强</t>
  </si>
  <si>
    <t>广东省佛山市南海区广东省佛山市南海区狮山镇唐边官华路富嘉百货旁</t>
  </si>
  <si>
    <t>广东省佛山市南海区广东省佛山市南海区狮山镇小榄村</t>
  </si>
  <si>
    <t>王咸龙</t>
  </si>
  <si>
    <t>管然然</t>
  </si>
  <si>
    <t>湖北省武汉市江夏区流芳横路武汉天马微电子8号</t>
  </si>
  <si>
    <t>湖北省武汉市江夏区黄冈市红安县太平桥镇</t>
  </si>
  <si>
    <t>章勇军</t>
  </si>
  <si>
    <t>王丽娟</t>
  </si>
  <si>
    <t>黑龙江省哈尔滨市道外区南直路374-7</t>
  </si>
  <si>
    <t>王明浪</t>
  </si>
  <si>
    <t>黄耀棠</t>
  </si>
  <si>
    <t>葛依楠</t>
  </si>
  <si>
    <t>黑龙江省哈尔滨市依兰县依兰县通江路</t>
  </si>
  <si>
    <t>黑龙江省哈尔滨市依兰县盐业小区</t>
  </si>
  <si>
    <t>曾荣</t>
  </si>
  <si>
    <t>云南省昆明市盘龙区白云路157号</t>
  </si>
  <si>
    <t>云南省昆明市官渡区东华小区稻香里2幢2单元402室</t>
  </si>
  <si>
    <t>梁艳华</t>
  </si>
  <si>
    <t>赵燕飞</t>
  </si>
  <si>
    <t>林文</t>
  </si>
  <si>
    <t>朱振权</t>
  </si>
  <si>
    <t>王立鹏</t>
  </si>
  <si>
    <t>王银静</t>
  </si>
  <si>
    <t>李雪雪</t>
  </si>
  <si>
    <t>河北省唐山市路北区玫瑰庄园一号楼七单元1303</t>
  </si>
  <si>
    <t>河北省唐山市路南区小山楼1号楼五单元302</t>
  </si>
  <si>
    <t>张晓昱</t>
  </si>
  <si>
    <t>施明标</t>
  </si>
  <si>
    <t>葛元荣</t>
  </si>
  <si>
    <t>河南省焦作市山阳区大定办事处北段中段58号</t>
  </si>
  <si>
    <t>河南省焦作市山阳区阳庙镇和庄村村中四街25号附4号</t>
  </si>
  <si>
    <t>河北省保定市北市区乐凯北大街红星美凯龙二层B8059</t>
  </si>
  <si>
    <t>河北省保定市北市区长城北大街142号院4号楼2单元302</t>
  </si>
  <si>
    <t>王月军</t>
  </si>
  <si>
    <t>内蒙古包头市昆都仑区稀土高新区新建区特种中心</t>
  </si>
  <si>
    <t>内蒙古包头市昆都仑区包头市昆都仑区晟泰园2号楼三单元3楼西户</t>
  </si>
  <si>
    <t>刘江东</t>
  </si>
  <si>
    <t>宋立东</t>
  </si>
  <si>
    <t>马艳伟</t>
  </si>
  <si>
    <t>山西省长治市屯留县滨河小区楼下</t>
  </si>
  <si>
    <t>山西省长治市屯留县建设北路白云街126号</t>
  </si>
  <si>
    <t>蒋炜</t>
  </si>
  <si>
    <t>黄珍荣</t>
  </si>
  <si>
    <t>尹雯雯</t>
  </si>
  <si>
    <t>郭天雄</t>
  </si>
  <si>
    <t>山东省临沂市兰山区兰山区通达路36号1号楼828室</t>
  </si>
  <si>
    <t>山东省临沂市蒙阴县蒙阴县新华路与近叠翠路交汇6号楼2单元401室</t>
  </si>
  <si>
    <t>严一凡</t>
  </si>
  <si>
    <t>朱黔</t>
  </si>
  <si>
    <t>沈海洋</t>
  </si>
  <si>
    <t>吴惠敏</t>
  </si>
  <si>
    <t>何丰</t>
  </si>
  <si>
    <t>杜庆杰</t>
  </si>
  <si>
    <t>王树强</t>
  </si>
  <si>
    <t>山西省朔州市朔城区朔州市平鲁区向阳堡乡石峰村</t>
  </si>
  <si>
    <t>山西省朔州市朔城区山西省高平市神农镇邱村232号</t>
  </si>
  <si>
    <t>孙雯</t>
  </si>
  <si>
    <t>肖航</t>
  </si>
  <si>
    <t>左晓兵</t>
  </si>
  <si>
    <t>刘长庆</t>
  </si>
  <si>
    <t>李开龙</t>
  </si>
  <si>
    <t>黄统建</t>
  </si>
  <si>
    <t>王云麒</t>
  </si>
  <si>
    <t>符军</t>
  </si>
  <si>
    <t>韩文龙</t>
  </si>
  <si>
    <t>代鹏</t>
  </si>
  <si>
    <t>贾高峰</t>
  </si>
  <si>
    <t>刘鹏鹏</t>
  </si>
  <si>
    <t>阳龙</t>
  </si>
  <si>
    <t>李陈洋</t>
  </si>
  <si>
    <t>温广民</t>
  </si>
  <si>
    <t>陈基民</t>
  </si>
  <si>
    <t>穆春宇</t>
  </si>
  <si>
    <t>江如祥</t>
  </si>
  <si>
    <t>余九江</t>
  </si>
  <si>
    <t>王玉杰</t>
  </si>
  <si>
    <t>孙文伟</t>
  </si>
  <si>
    <t>韩锋</t>
  </si>
  <si>
    <t>黑龙江省哈尔滨市南岗区龙江街47号</t>
  </si>
  <si>
    <t>黑龙江省哈尔滨市道外区滨江凤凰城308栋一单元806</t>
  </si>
  <si>
    <t>杨瑞刚</t>
  </si>
  <si>
    <t>陈冰婷</t>
  </si>
  <si>
    <t>鞠建友</t>
  </si>
  <si>
    <t>王炜琦</t>
  </si>
  <si>
    <t>王生涛</t>
  </si>
  <si>
    <t>刘安林</t>
  </si>
  <si>
    <t>王长艳</t>
  </si>
  <si>
    <t>许方良</t>
  </si>
  <si>
    <t>龙三</t>
  </si>
  <si>
    <t>蔡联宇</t>
  </si>
  <si>
    <t>海青华</t>
  </si>
  <si>
    <t>冯良兵</t>
  </si>
  <si>
    <t>武永强</t>
  </si>
  <si>
    <t>徐素</t>
  </si>
  <si>
    <t>汪涛</t>
  </si>
  <si>
    <t>胡胜</t>
  </si>
  <si>
    <t>闫志遥</t>
  </si>
  <si>
    <t>贺爽</t>
  </si>
  <si>
    <t>张欠</t>
  </si>
  <si>
    <t>覃兰辉</t>
  </si>
  <si>
    <t>郭桂范</t>
  </si>
  <si>
    <t>高凯洁</t>
  </si>
  <si>
    <t>温正龙</t>
  </si>
  <si>
    <t>山西省太原市晋源区晋祠路汇豪华彩国际11层</t>
  </si>
  <si>
    <t>太原市小店区电子街康馨苑A区</t>
  </si>
  <si>
    <t>魏艺明</t>
  </si>
  <si>
    <t>宋天阳</t>
  </si>
  <si>
    <t>广西北海市海城区出口加工区惠科路25号</t>
  </si>
  <si>
    <t>广西北海市海城区茶亭路阳光海岸3号楼1单元2304室</t>
  </si>
  <si>
    <t>曾艳芬</t>
  </si>
  <si>
    <t>朱安琼</t>
  </si>
  <si>
    <t>邓意龙</t>
  </si>
  <si>
    <t>孙光辰</t>
  </si>
  <si>
    <t>卢发权</t>
  </si>
  <si>
    <t>湖北省孝感市应城市汉宜大道新车站对面欧雅壁纸应城旗舰店30-5号</t>
  </si>
  <si>
    <t>湖北省孝感市应城市长荆大道春天名苑13栋二单元302室</t>
  </si>
  <si>
    <t>刘桂丽</t>
  </si>
  <si>
    <t>王军成</t>
  </si>
  <si>
    <t>徐俊锋</t>
  </si>
  <si>
    <t>史宇翔</t>
  </si>
  <si>
    <t>幸泰军</t>
  </si>
  <si>
    <t>广东省河源市源城区越王大道凯旋城广场</t>
  </si>
  <si>
    <t>广东省河源市源城区庄田曾屋村38号</t>
  </si>
  <si>
    <t>陈信标</t>
  </si>
  <si>
    <t>贵州省黔南布依族苗族自治州都匀市都匀市蟒山路5号</t>
  </si>
  <si>
    <t>贵州省黔南布依族苗族自治州都匀市都匀市蟒山路5号附670号</t>
  </si>
  <si>
    <t>李二鹏</t>
  </si>
  <si>
    <t>高聪</t>
  </si>
  <si>
    <t>云南省昆明市盘龙区穿金路永安国际A座601号</t>
  </si>
  <si>
    <t>云南省昆明市盘龙区白云路滨江俊园2期21栋1001号</t>
  </si>
  <si>
    <t>范聪凡</t>
  </si>
  <si>
    <t>苏成伟</t>
  </si>
  <si>
    <t>陈日炎</t>
  </si>
  <si>
    <t>徐明星</t>
  </si>
  <si>
    <t>赵波</t>
  </si>
  <si>
    <t>孙进东</t>
  </si>
  <si>
    <t>尹思文</t>
  </si>
  <si>
    <t>王京龙</t>
  </si>
  <si>
    <t>吴秀花</t>
  </si>
  <si>
    <t>刘岩灼</t>
  </si>
  <si>
    <t>叶晨光</t>
  </si>
  <si>
    <t>冯灿涛</t>
  </si>
  <si>
    <t>董宇航</t>
  </si>
  <si>
    <t>北京市北京市朝阳区朝外大街三丰里甲11号</t>
  </si>
  <si>
    <t>北京市北京市东城区朝外大街雅宝里三号楼1101</t>
  </si>
  <si>
    <t>陈乃潮</t>
  </si>
  <si>
    <t>高君</t>
  </si>
  <si>
    <t>陈婷飞</t>
  </si>
  <si>
    <t>贺高</t>
  </si>
  <si>
    <t>王国国</t>
  </si>
  <si>
    <t>沙莎</t>
  </si>
  <si>
    <t>丁林敏</t>
  </si>
  <si>
    <t>万志成</t>
  </si>
  <si>
    <t>湖南省岳阳市岳阳楼区岳阳楼区求索西路544号</t>
  </si>
  <si>
    <t>湖南省岳阳市岳阳楼区求索西路威廉城邦2202室</t>
  </si>
  <si>
    <t>董海波</t>
  </si>
  <si>
    <t>李盈桧</t>
  </si>
  <si>
    <t>汪锋</t>
  </si>
  <si>
    <t>肖铸</t>
  </si>
  <si>
    <t>刘云梦</t>
  </si>
  <si>
    <t>陕西省西安市灞桥区纺建路西段五组</t>
  </si>
  <si>
    <t>陕西省西安市灞桥区纺建路西北电建四公司家属院20楼8号</t>
  </si>
  <si>
    <t>邹占武</t>
  </si>
  <si>
    <t>浙江省绍兴市越城区越东路51号</t>
  </si>
  <si>
    <t>浙江省绍兴市越城区越东路文化城18栋328室</t>
  </si>
  <si>
    <t>石红平</t>
  </si>
  <si>
    <t>林婷婷</t>
  </si>
  <si>
    <t>徐从彬</t>
  </si>
  <si>
    <t>陈雨阳</t>
  </si>
  <si>
    <t>张宇乾</t>
  </si>
  <si>
    <t>金培培</t>
  </si>
  <si>
    <t>王玉茹</t>
  </si>
  <si>
    <t>王彩君</t>
  </si>
  <si>
    <t>汤彬彬</t>
  </si>
  <si>
    <t>尹显艳</t>
  </si>
  <si>
    <t>马井兴</t>
  </si>
  <si>
    <t>钟思贤</t>
  </si>
  <si>
    <t>湖南省岳阳市平江县安定镇官塘西路平安小区</t>
  </si>
  <si>
    <t>湖南省岳阳市平江县安定镇长兴村215号</t>
  </si>
  <si>
    <t>苏玉</t>
  </si>
  <si>
    <t>张多春</t>
  </si>
  <si>
    <t>孔春江</t>
  </si>
  <si>
    <t>吴博</t>
  </si>
  <si>
    <t>江苏省扬州市江都区大桥镇人民路86号</t>
  </si>
  <si>
    <t>江苏省扬州市江都区大桥镇联盟街102号1幢405室</t>
  </si>
  <si>
    <t>李祥军</t>
  </si>
  <si>
    <t>张香妮</t>
  </si>
  <si>
    <t>李闪闪</t>
  </si>
  <si>
    <t>颜鹏</t>
  </si>
  <si>
    <t>付文腾</t>
  </si>
  <si>
    <t>付蕾</t>
  </si>
  <si>
    <t>山西省太原市杏花岭区解放路东三道巷五号</t>
  </si>
  <si>
    <t>山西省太原市杏花岭区解放路东三道巷太原市中心医院宿舍</t>
  </si>
  <si>
    <t>刘东威</t>
  </si>
  <si>
    <t>广东省深圳市宝安区松岗镇洋涌工业区六路四号</t>
  </si>
  <si>
    <t>广东省深圳市宝安区广东省深圳市宝安区松岗镇广深路上报美村112号</t>
  </si>
  <si>
    <t>罗宗虎</t>
  </si>
  <si>
    <t>冯国军</t>
  </si>
  <si>
    <t>梁化庆</t>
  </si>
  <si>
    <t>郑传芳</t>
  </si>
  <si>
    <t>王运飞</t>
  </si>
  <si>
    <t>辽宁省沈阳市康平县迎宾路</t>
  </si>
  <si>
    <t>辽宁省沈阳市康平县康平镇文化村</t>
  </si>
  <si>
    <t>卢幸安</t>
  </si>
  <si>
    <t>黄钰</t>
  </si>
  <si>
    <t>杜艳萍</t>
  </si>
  <si>
    <t>费阳洋</t>
  </si>
  <si>
    <t>邓腾飞</t>
  </si>
  <si>
    <t>刘鸿</t>
  </si>
  <si>
    <t>龙炜</t>
  </si>
  <si>
    <t>刘洪斌</t>
  </si>
  <si>
    <t>魏风芳</t>
  </si>
  <si>
    <t>蔡友智</t>
  </si>
  <si>
    <t>武海涛</t>
  </si>
  <si>
    <t>江苏省无锡市惠山区钱桥大街415号</t>
  </si>
  <si>
    <t>江苏省无锡市北塘区五河苑159栋1011</t>
  </si>
  <si>
    <t>姚伟国</t>
  </si>
  <si>
    <t>罗林森</t>
  </si>
  <si>
    <t>骆旭</t>
  </si>
  <si>
    <t>王杨</t>
  </si>
  <si>
    <t>黑龙江省大庆市红岗区红岗公安分局</t>
  </si>
  <si>
    <t>黑龙江省大庆市红岗区采油五厂生态园</t>
  </si>
  <si>
    <t>李大荣</t>
  </si>
  <si>
    <t>海南省海口市秀英区白龙北路3号</t>
  </si>
  <si>
    <t>海南省海口市秀英区东山镇潭清村十八杜20号</t>
  </si>
  <si>
    <t>胡志明</t>
  </si>
  <si>
    <t>赵春蕊</t>
  </si>
  <si>
    <t>潘恒</t>
  </si>
  <si>
    <t>郭祎鹏</t>
  </si>
  <si>
    <t>周山水</t>
  </si>
  <si>
    <t>韩海</t>
  </si>
  <si>
    <t>安徽省安庆市迎江区皖江大道绿地启航社1120室</t>
  </si>
  <si>
    <t>安徽省安庆市迎江区皖江大道1198号碧桂园34栋606室</t>
  </si>
  <si>
    <t>汪亚洲</t>
  </si>
  <si>
    <t>胡春雷</t>
  </si>
  <si>
    <t>周大鉴</t>
  </si>
  <si>
    <t>蒋敏</t>
  </si>
  <si>
    <t>余发</t>
  </si>
  <si>
    <t>云南省红河哈尼族彝族自治州建水县临安酒店</t>
  </si>
  <si>
    <t>云南省红河哈尼族彝族自治州建水县韩家</t>
  </si>
  <si>
    <t>何为</t>
  </si>
  <si>
    <t>冯继国</t>
  </si>
  <si>
    <t>赵爱琳</t>
  </si>
  <si>
    <t>任浩斌</t>
  </si>
  <si>
    <t>郑华德</t>
  </si>
  <si>
    <t>青岛市黄岛区胶南王台镇王黄公路北侧</t>
  </si>
  <si>
    <t>山东省青岛市黄岛区山东省青岛市黄岛区辛安街道863号</t>
  </si>
  <si>
    <t>朱微</t>
  </si>
  <si>
    <t>贡晓光</t>
  </si>
  <si>
    <t>马金</t>
  </si>
  <si>
    <t>四川省绵阳市涪城区石桥铺古泉社区五组</t>
  </si>
  <si>
    <t>四川省绵阳市涪城区绵阳市涪城区古井社区</t>
  </si>
  <si>
    <t>孝衍明</t>
  </si>
  <si>
    <t>徐县鑫</t>
  </si>
  <si>
    <t>乙合豪</t>
  </si>
  <si>
    <t>向帅</t>
  </si>
  <si>
    <t>白冬冬</t>
  </si>
  <si>
    <t>重庆市重庆市九龙坡区九龙坡区美每家建材市场A区11栋</t>
  </si>
  <si>
    <t>重庆市重庆市九龙坡区华福大道奥园国际城9栋10-1</t>
  </si>
  <si>
    <t>栗兴瑞</t>
  </si>
  <si>
    <t>雷木义</t>
  </si>
  <si>
    <t>福建省福州市罗源县罗源县松岐路百嘉建材广场</t>
  </si>
  <si>
    <t>福建省福州市罗源县福建省罗源县松山镇白水村西溪5号</t>
  </si>
  <si>
    <t>汪功彬</t>
  </si>
  <si>
    <t>高菲菲</t>
  </si>
  <si>
    <t>北京市北京市怀柔区庙城镇庙城299号201室</t>
  </si>
  <si>
    <t>河北省承德市隆化县隆化镇茅茨路村东营子52号</t>
  </si>
  <si>
    <t>王培林</t>
  </si>
  <si>
    <t>周九高</t>
  </si>
  <si>
    <t>宋长红</t>
  </si>
  <si>
    <t>赵剑桥</t>
  </si>
  <si>
    <t>云南省大理白族自治州大理市云南省大理州下关镇</t>
  </si>
  <si>
    <t>云南省大理白族自治州大理市云南省大理州下关在荷花一组兴隆村</t>
  </si>
  <si>
    <t>宇文洪亮</t>
  </si>
  <si>
    <t>刘志凯</t>
  </si>
  <si>
    <t>刘志鹏</t>
  </si>
  <si>
    <t>张勇生</t>
  </si>
  <si>
    <t>温恩秀</t>
  </si>
  <si>
    <t>赵天杰</t>
  </si>
  <si>
    <t>赵江龙</t>
  </si>
  <si>
    <t>冯瑞</t>
  </si>
  <si>
    <t>山西省晋城市泽州县晋城市泽州县上辛安村104号</t>
  </si>
  <si>
    <t>山西省晋城市泽州县晋城市泽州县金村镇东村后大街114号</t>
  </si>
  <si>
    <t>步远远</t>
  </si>
  <si>
    <t>山东省荷泽市曹县汉江路26号</t>
  </si>
  <si>
    <t>山东省荷泽市牡丹区普连集镇普连集行政村普连集村347号</t>
  </si>
  <si>
    <t>黄伟业</t>
  </si>
  <si>
    <t>袁熔均</t>
  </si>
  <si>
    <t>辽宁省大连市金州区大连市开发区湾里西街22栋</t>
  </si>
  <si>
    <t>辽宁省大连市金州区大连市金州桃园小区38号楼五单元201</t>
  </si>
  <si>
    <t>贺子怡</t>
  </si>
  <si>
    <t>桂建国</t>
  </si>
  <si>
    <t>安徽省芜湖市三山区三山区保定桥头新安居装饰</t>
  </si>
  <si>
    <t>安徽省芜湖市三山区新天地小区三栋三单元205</t>
  </si>
  <si>
    <t>马小辉</t>
  </si>
  <si>
    <t>王云松</t>
  </si>
  <si>
    <t>海中</t>
  </si>
  <si>
    <t>石继刚</t>
  </si>
  <si>
    <t>乌东图雅</t>
  </si>
  <si>
    <t>刘燕彬</t>
  </si>
  <si>
    <t>欧阳洪杰</t>
  </si>
  <si>
    <t>张其龙</t>
  </si>
  <si>
    <t>罗瑞峰</t>
  </si>
  <si>
    <t>江苏省南京市建邺区水西门大街223号</t>
  </si>
  <si>
    <t>甘肃省庆阳市庆城县甘肃省定西市通渭县</t>
  </si>
  <si>
    <t>顾杨杨</t>
  </si>
  <si>
    <t>姚海</t>
  </si>
  <si>
    <t>湖南省益阳市赫山区商业步行街三楼大画益阳</t>
  </si>
  <si>
    <t>湖南省益阳市资阳区人民路金华坪巷41号</t>
  </si>
  <si>
    <t>李小玲</t>
  </si>
  <si>
    <t>宋伟建</t>
  </si>
  <si>
    <t>张梅琼</t>
  </si>
  <si>
    <t>张龙建</t>
  </si>
  <si>
    <t>山东省德州市德城区三八东路鑫源国际4层4098室</t>
  </si>
  <si>
    <t>山东省德州市德城区东建德州花园A10号楼一单元601室</t>
  </si>
  <si>
    <t>平洪涛</t>
  </si>
  <si>
    <t>张红力</t>
  </si>
  <si>
    <t>孙凡喻</t>
  </si>
  <si>
    <t>杜佶俗</t>
  </si>
  <si>
    <t>易小虎</t>
  </si>
  <si>
    <t>莫世利</t>
  </si>
  <si>
    <t>罗文见</t>
  </si>
  <si>
    <t>李郑州</t>
  </si>
  <si>
    <t>赵志江</t>
  </si>
  <si>
    <t>冯松</t>
  </si>
  <si>
    <t>河北省沧州市河间市新华北大街盛世名邸底商163号</t>
  </si>
  <si>
    <t>河北省沧州市河间市西村乡柳张村034号</t>
  </si>
  <si>
    <t>丁凯</t>
  </si>
  <si>
    <t>黑龙江省大庆市龙凤区纬二路2号</t>
  </si>
  <si>
    <t>黑龙江省大庆市龙凤区东光小区1-30号3单元402室</t>
  </si>
  <si>
    <t>董二宾</t>
  </si>
  <si>
    <t>吴伟</t>
  </si>
  <si>
    <t>郑寒露</t>
  </si>
  <si>
    <t>江苏省徐州市铜山区万达广场5号楼408</t>
  </si>
  <si>
    <t>江苏省徐州市铜山区黄河路黄河小区2号楼3单元401</t>
  </si>
  <si>
    <t>冷天杰</t>
  </si>
  <si>
    <t>王义涛</t>
  </si>
  <si>
    <t>杨武刚</t>
  </si>
  <si>
    <t>赵伯麟</t>
  </si>
  <si>
    <t>苏新军</t>
  </si>
  <si>
    <t>沈迁</t>
  </si>
  <si>
    <t>温瑞祥</t>
  </si>
  <si>
    <t>吴炯</t>
  </si>
  <si>
    <t>纪涛</t>
  </si>
  <si>
    <t>刘代路</t>
  </si>
  <si>
    <t>山东省烟台市莱阳市经济开发区富山路99号</t>
  </si>
  <si>
    <t>山东省烟台市莱阳市文化路农学院家属楼一单元3号楼401号</t>
  </si>
  <si>
    <t>王仁武</t>
  </si>
  <si>
    <t>辽宁省鞍山市铁西区达道湾街道鞍旗路59号</t>
  </si>
  <si>
    <t>辽宁省鞍山市千山区宁远镇二台子村</t>
  </si>
  <si>
    <t>张维洁</t>
  </si>
  <si>
    <t>孟凡杰</t>
  </si>
  <si>
    <t>马家龙</t>
  </si>
  <si>
    <t>赵福益</t>
  </si>
  <si>
    <t>李代</t>
  </si>
  <si>
    <t>杨少阔</t>
  </si>
  <si>
    <t>杨玉莹</t>
  </si>
  <si>
    <t>内蒙古通辽市科尔沁区创业大道19号</t>
  </si>
  <si>
    <t>内蒙古通辽市科尔沁区河西镇二号村1组19号</t>
  </si>
  <si>
    <t>李仙东</t>
  </si>
  <si>
    <t>马宾宾</t>
  </si>
  <si>
    <t>殷超</t>
  </si>
  <si>
    <t>湖北省武汉市江岸区楚天都市金园58号</t>
  </si>
  <si>
    <t>湖北省荆州市荆州区仙桃市解放东路69号</t>
  </si>
  <si>
    <t>张南</t>
  </si>
  <si>
    <t>王直帅</t>
  </si>
  <si>
    <t>赵明颖</t>
  </si>
  <si>
    <t>曾华星</t>
  </si>
  <si>
    <t>陈明焰</t>
  </si>
  <si>
    <t>福建省福州市平潭县平潭综合实验区潭城镇西航路166号</t>
  </si>
  <si>
    <t>福建省福州市平潭县平潭综合实验区潭城镇荷花街17号</t>
  </si>
  <si>
    <t>林美达</t>
  </si>
  <si>
    <t>范丽娇</t>
  </si>
  <si>
    <t>问金帅</t>
  </si>
  <si>
    <t>黄家龙</t>
  </si>
  <si>
    <t>庞都</t>
  </si>
  <si>
    <t>广西桂林市七星区六合路10号</t>
  </si>
  <si>
    <t>广西桂林市象山区万福路联达山与城36栋一单元102</t>
  </si>
  <si>
    <t>毛万军</t>
  </si>
  <si>
    <t>贵州省遵义市遵义县遵义南白镇龙泉村</t>
  </si>
  <si>
    <t>贵州省遵义市遵义县南白镇西大街大土路</t>
  </si>
  <si>
    <t>周建国</t>
  </si>
  <si>
    <t>黑龙江省鹤岗市工农区湖滨街道29号</t>
  </si>
  <si>
    <t>黑龙江省鹤岗市向阳区七马路光泽小区128栋3单元301室</t>
  </si>
  <si>
    <t>武冠男</t>
  </si>
  <si>
    <t>黄照阳</t>
  </si>
  <si>
    <t>新疆伊犁哈萨克自治州伊宁市霍尔果斯市亚欧国际负3-1</t>
  </si>
  <si>
    <t>新疆伊犁哈萨克自治州伊宁市伊宁市怡心苑53号楼一单元301</t>
  </si>
  <si>
    <t>辽宁省抚顺市顺城区新华街道新城路中段19号电贸大楼</t>
  </si>
  <si>
    <t>辽宁省抚顺市望花区李石街道水木山城小区A5号2单元302</t>
  </si>
  <si>
    <t>刘汉相</t>
  </si>
  <si>
    <t>贵州省黔西南布依族苗族自治州兴义市兴义市花月二街12号</t>
  </si>
  <si>
    <t>贵州省黔西南布依族苗族自治州兴义市兴义市金水南路金水湾6栋802</t>
  </si>
  <si>
    <t>安营</t>
  </si>
  <si>
    <t>陈龙飞</t>
  </si>
  <si>
    <t>上海市上海市浦东新区耀华路488弄1702</t>
  </si>
  <si>
    <t>上海市上海市闵行区永高路75弄16-303</t>
  </si>
  <si>
    <t>孙荣江</t>
  </si>
  <si>
    <t>谢金利</t>
  </si>
  <si>
    <t>李卓凌</t>
  </si>
  <si>
    <t>云南省昆明市官渡区骏信国际汽配城驼峰驭领店</t>
  </si>
  <si>
    <t>云南省昆明市盘龙区环城北路97号</t>
  </si>
  <si>
    <t>王顺琴</t>
  </si>
  <si>
    <t>胡立朋</t>
  </si>
  <si>
    <t>河北省衡水市桃城区中心街腾龙家园1-2</t>
  </si>
  <si>
    <t>河北省衡水市阜城县古城镇高什井村141号</t>
  </si>
  <si>
    <t>帅康</t>
  </si>
  <si>
    <t>四川省乐山市市中区白蜡街时代灯具城</t>
  </si>
  <si>
    <t>四川省乐山市市中区春华路中段17号</t>
  </si>
  <si>
    <t>陈义旺</t>
  </si>
  <si>
    <t>宫学会</t>
  </si>
  <si>
    <t>傅立炎</t>
  </si>
  <si>
    <t>刘海艳</t>
  </si>
  <si>
    <t>黑龙江省双鸭山市宝清县宝清县中央大街128号</t>
  </si>
  <si>
    <t>黑龙江省双鸭山市宝清县宝清县星河佳园3单元602</t>
  </si>
  <si>
    <t>闫朋杰</t>
  </si>
  <si>
    <t>聂伟楚</t>
  </si>
  <si>
    <t>许罗娜</t>
  </si>
  <si>
    <t>杨永彬</t>
  </si>
  <si>
    <t>广西桂林市叠彩区中山路122号</t>
  </si>
  <si>
    <t>广西桂林市临桂县榕山路桂林天下c3栋1单元201</t>
  </si>
  <si>
    <t>胡山山</t>
  </si>
  <si>
    <t>杜天君</t>
  </si>
  <si>
    <t>郭自豪</t>
  </si>
  <si>
    <t>李小虎</t>
  </si>
  <si>
    <t>江苏省南京市浦口区浦口区明发总部基地18栋二单元4楼</t>
  </si>
  <si>
    <t>江苏省南京市浦口区沿江街道金庄44号</t>
  </si>
  <si>
    <t>梁丹婷</t>
  </si>
  <si>
    <t>姚磊</t>
  </si>
  <si>
    <t>秦园园</t>
  </si>
  <si>
    <t>郑可可</t>
  </si>
  <si>
    <t>夏海马</t>
  </si>
  <si>
    <t>文瑶</t>
  </si>
  <si>
    <t>郭忻</t>
  </si>
  <si>
    <t>河南省洛阳市涧西区建设路53-12</t>
  </si>
  <si>
    <t>河南省洛阳市涧西区鑫森乐园8-3-202</t>
  </si>
  <si>
    <t>杨伟鹏</t>
  </si>
  <si>
    <t>庞喜男</t>
  </si>
  <si>
    <t>林建财</t>
  </si>
  <si>
    <t>福建省漳州市龙文区步文镇龙江小区1幢207</t>
  </si>
  <si>
    <t>福建省漳州市龙文区步文镇永兴小区10幢1401</t>
  </si>
  <si>
    <t>蔡兆强</t>
  </si>
  <si>
    <t>安徽省合肥市蜀山区安徽省合肥市蜀山区南岗镇百草街军杰驾校内</t>
  </si>
  <si>
    <t>安徽省淮南市八公山区安徽省淮南市八公山区山王镇工农村北五组31号</t>
  </si>
  <si>
    <t>周铮</t>
  </si>
  <si>
    <t>周天啸</t>
  </si>
  <si>
    <t>阿卜力米提·图尔荪</t>
  </si>
  <si>
    <t>中国电信莎车县分公司</t>
  </si>
  <si>
    <t>莎车县喀群乡巴扎村3组155号</t>
  </si>
  <si>
    <t>王珍妮</t>
  </si>
  <si>
    <t>蒋娇</t>
  </si>
  <si>
    <t>谭霞</t>
  </si>
  <si>
    <t>林福金</t>
  </si>
  <si>
    <t>陈燚红</t>
  </si>
  <si>
    <t>何武</t>
  </si>
  <si>
    <t>史晓燕</t>
  </si>
  <si>
    <t>陈休鹏</t>
  </si>
  <si>
    <t>李神添</t>
  </si>
  <si>
    <t>梁美属</t>
  </si>
  <si>
    <t>贾津京</t>
  </si>
  <si>
    <t>赵宏程</t>
  </si>
  <si>
    <t>谭明彬</t>
  </si>
  <si>
    <t>重庆市重庆市北碚区云华路369号</t>
  </si>
  <si>
    <t>重庆市重庆市北碚区北温泉街道将军路402号</t>
  </si>
  <si>
    <t>热娜古丽·衣明江</t>
  </si>
  <si>
    <t>新疆巴音郭楞蒙古自治州和硕县商业步行街129号店铺</t>
  </si>
  <si>
    <t>新疆巴音郭楞蒙古自治州焉耆回族自治县南岸2号小区8号楼202室</t>
  </si>
  <si>
    <t>何杨荞菲</t>
  </si>
  <si>
    <t>贾政春</t>
  </si>
  <si>
    <t>四川省成都市武侯区人民南路四段大陆国际大夏902</t>
  </si>
  <si>
    <t>四川省成都市锦江区蜀都惠园三栋706</t>
  </si>
  <si>
    <t>孔琪</t>
  </si>
  <si>
    <t>山东省济宁市曲阜市曲阜孔子商贸城</t>
  </si>
  <si>
    <t>山东省济宁市曲阜市曲阜市姚村镇颜家村东7胡同14号</t>
  </si>
  <si>
    <t>申喜燕</t>
  </si>
  <si>
    <t>柯尚伟</t>
  </si>
  <si>
    <t>黄贤卿</t>
  </si>
  <si>
    <t>董闻天</t>
  </si>
  <si>
    <t>王卯彭</t>
  </si>
  <si>
    <t>邝夏涛</t>
  </si>
  <si>
    <t>周雨</t>
  </si>
  <si>
    <t>李泓霖</t>
  </si>
  <si>
    <t>董健</t>
  </si>
  <si>
    <t>戴顺琴</t>
  </si>
  <si>
    <t>黄孝斌</t>
  </si>
  <si>
    <t>王福伟</t>
  </si>
  <si>
    <t>王吉美</t>
  </si>
  <si>
    <t>徐凡</t>
  </si>
  <si>
    <t>北京市北京市昌平区马池口镇横桥</t>
  </si>
  <si>
    <t>北京市北京市东城区马池口镇横桥村</t>
  </si>
  <si>
    <t>穆乔乔</t>
  </si>
  <si>
    <t>余芳</t>
  </si>
  <si>
    <t>刘亚军</t>
  </si>
  <si>
    <t>河北省邯郸市峰峰矿区五矿友谊胡同6号</t>
  </si>
  <si>
    <t>河北省邯郸市峰峰矿区五矿健康路21-2-12</t>
  </si>
  <si>
    <t>胡函</t>
  </si>
  <si>
    <t>陈凤华</t>
  </si>
  <si>
    <t>高昂</t>
  </si>
  <si>
    <t>郑晶</t>
  </si>
  <si>
    <t>俞有权</t>
  </si>
  <si>
    <t>安徽省芜湖市南陵县许镇镇商城</t>
  </si>
  <si>
    <t>安徽省芜湖市南陵县许镇镇农民城居委会谢村38号</t>
  </si>
  <si>
    <t>赵峰</t>
  </si>
  <si>
    <t>叶杨</t>
  </si>
  <si>
    <t>段云箫</t>
  </si>
  <si>
    <t>胡兴梅</t>
  </si>
  <si>
    <t>云南省昆明市西山区希望路银德香榭丽园一期43幢B33号</t>
  </si>
  <si>
    <t>昆明市西山区华晨路华都A区35幢3单元801</t>
  </si>
  <si>
    <t>贵州省毕节市大方县毕节市清毕路奢香大酒店一楼</t>
  </si>
  <si>
    <t>贵州省毕节市大方县毕节市流仓办事处后河村上院组</t>
  </si>
  <si>
    <t>徐靠</t>
  </si>
  <si>
    <t>程莉莉</t>
  </si>
  <si>
    <t>程方楠</t>
  </si>
  <si>
    <t>王会文</t>
  </si>
  <si>
    <t>白云洁</t>
  </si>
  <si>
    <t>陈最良</t>
  </si>
  <si>
    <t>云南省临沧市云县爱华镇北河批发市场亚鸿商行</t>
  </si>
  <si>
    <t>云南省临沧市云县爱华镇商业街二幢一单元102室</t>
  </si>
  <si>
    <t>刘顺发</t>
  </si>
  <si>
    <t>刘红强</t>
  </si>
  <si>
    <t>韩志君</t>
  </si>
  <si>
    <t>黄景涛</t>
  </si>
  <si>
    <t>刘德群</t>
  </si>
  <si>
    <t>易美棚</t>
  </si>
  <si>
    <t>广东省广州市天河区广州市天河区柯木塱美食广场重庆纸上烤鱼</t>
  </si>
  <si>
    <t>重庆市巫山县秀峰区两坪乡溪村5组</t>
  </si>
  <si>
    <t>丁庆民</t>
  </si>
  <si>
    <t>山东省泰安市泰山区山东省泰安市高新区泰山医学院商业街</t>
  </si>
  <si>
    <t>山东省泰安市泰山区山东省泰安市高新区安居幸福里</t>
  </si>
  <si>
    <t>郭香平</t>
  </si>
  <si>
    <t>罗茂定</t>
  </si>
  <si>
    <t>肖家欢</t>
  </si>
  <si>
    <t>谢莉</t>
  </si>
  <si>
    <t>侯晋勇</t>
  </si>
  <si>
    <t>黄鸡福</t>
  </si>
  <si>
    <t>王联生</t>
  </si>
  <si>
    <t>白霄</t>
  </si>
  <si>
    <t>许天虎</t>
  </si>
  <si>
    <t>安徽省宿州市萧县龙城镇淮海路40号</t>
  </si>
  <si>
    <t>安徽省宿州市萧县安徽省宿州市萧县龙城镇西关南村110号</t>
  </si>
  <si>
    <t>樊朋朋</t>
  </si>
  <si>
    <t>邱远琼</t>
  </si>
  <si>
    <t>阳小鸥</t>
  </si>
  <si>
    <t>吴茂屏</t>
  </si>
  <si>
    <t>翟梦园</t>
  </si>
  <si>
    <t>周丹丹</t>
  </si>
  <si>
    <t>李坚</t>
  </si>
  <si>
    <t>许跃先</t>
  </si>
  <si>
    <t>余晓红</t>
  </si>
  <si>
    <t>李景文</t>
  </si>
  <si>
    <t>李永国</t>
  </si>
  <si>
    <t>张华清</t>
  </si>
  <si>
    <t>郭英俊</t>
  </si>
  <si>
    <t>韦新幸</t>
  </si>
  <si>
    <t>周新</t>
  </si>
  <si>
    <t>辽宁省朝阳市双塔区文化路五段108</t>
  </si>
  <si>
    <t>辽宁省朝阳市朝阳县柳城镇腰而营子村第八组</t>
  </si>
  <si>
    <t>许宇亮</t>
  </si>
  <si>
    <t>张天柱</t>
  </si>
  <si>
    <t>山东省济南市长清区崮云湖街道办事处芙蓉街东段创新大厦916号</t>
  </si>
  <si>
    <t>山东省济南市槐荫区美里湖街道南沙村116号</t>
  </si>
  <si>
    <t>李露露</t>
  </si>
  <si>
    <t>胡柯</t>
  </si>
  <si>
    <t>杜想军</t>
  </si>
  <si>
    <t>北京市北京市西城区北京西站南广场建设大厦一层</t>
  </si>
  <si>
    <t>北京市北京市西城区北京时间小马厂南里7号楼1单元105</t>
  </si>
  <si>
    <t>刘富香</t>
  </si>
  <si>
    <t>余鹏</t>
  </si>
  <si>
    <t>江苏省南京市雨花台区小行路16号1号楼</t>
  </si>
  <si>
    <t>江苏省南京市秦淮区二条巷48号2幢703室</t>
  </si>
  <si>
    <t>唐惠珍</t>
  </si>
  <si>
    <t>胡鑫</t>
  </si>
  <si>
    <t>于坤正</t>
  </si>
  <si>
    <t>陈晓菲</t>
  </si>
  <si>
    <t>福建省福州市长乐市空港工业区湖南片区</t>
  </si>
  <si>
    <t>福建省福州市长乐市空港工业区湖南片区长源纺织有限公司二栋606号</t>
  </si>
  <si>
    <t>夏博</t>
  </si>
  <si>
    <t>陈福高</t>
  </si>
  <si>
    <t>魏国亮</t>
  </si>
  <si>
    <t>张名锋</t>
  </si>
  <si>
    <t>唐照婵</t>
  </si>
  <si>
    <t>胡金龙</t>
  </si>
  <si>
    <t>胡曼</t>
  </si>
  <si>
    <t>河北省沧州市运河区建新路313室</t>
  </si>
  <si>
    <t>河北省沧州市盐山县孟店乡王金村240号</t>
  </si>
  <si>
    <t>董旭</t>
  </si>
  <si>
    <t>秦飞</t>
  </si>
  <si>
    <t>谢林镇</t>
  </si>
  <si>
    <t>周余盟</t>
  </si>
  <si>
    <t>史良</t>
  </si>
  <si>
    <t>李亚东</t>
  </si>
  <si>
    <t>曹鹏</t>
  </si>
  <si>
    <t>江潇</t>
  </si>
  <si>
    <t>刘国安</t>
  </si>
  <si>
    <t>安徽省芜湖市南陵县南陵县籍山镇籍山大道</t>
  </si>
  <si>
    <t>安徽省芜湖市南陵县南陵县籍山镇沿河西路商住楼一单元202室</t>
  </si>
  <si>
    <t>林仲国</t>
  </si>
  <si>
    <t>余涛</t>
  </si>
  <si>
    <t>庄建勇</t>
  </si>
  <si>
    <t>胡晓龙</t>
  </si>
  <si>
    <t>李红红</t>
  </si>
  <si>
    <t>唐粲</t>
  </si>
  <si>
    <t>重庆市重庆市巴南区南泉镇鹿角街军明路</t>
  </si>
  <si>
    <t>重庆市重庆市沙坪坝区半边街23号</t>
  </si>
  <si>
    <t>刘大树</t>
  </si>
  <si>
    <t>湖南省邵阳市双清区站前路7534号</t>
  </si>
  <si>
    <t>湖南省邵阳市双清区财富大厦a栋</t>
  </si>
  <si>
    <t>马徽</t>
  </si>
  <si>
    <t>安徽省淮南市凤台县关店乡</t>
  </si>
  <si>
    <t>安徽省淮北市濉溪县濉溪镇王冲孜村北刘庄10-2号</t>
  </si>
  <si>
    <t>郭旭</t>
  </si>
  <si>
    <t>郭宏林</t>
  </si>
  <si>
    <t>谢井古</t>
  </si>
  <si>
    <t>陈朝松</t>
  </si>
  <si>
    <t>姚淋</t>
  </si>
  <si>
    <t>湖南省怀化市芷江侗族自治县芷江西站氮肥厂后大门正对面</t>
  </si>
  <si>
    <t>湖南省芷江侗族自治县芷江镇黄甲街242号</t>
  </si>
  <si>
    <t>王盼盼</t>
  </si>
  <si>
    <t>赵峰峰</t>
  </si>
  <si>
    <t>植志强</t>
  </si>
  <si>
    <t>史双</t>
  </si>
  <si>
    <t>李学镔</t>
  </si>
  <si>
    <t>广东省深圳市福田区天吉大厦ab座8楼</t>
  </si>
  <si>
    <t>广东省深圳市宝安区龙华新区东环二路水斗新围五巷一号1402</t>
  </si>
  <si>
    <t>林维川</t>
  </si>
  <si>
    <t>杨利霞</t>
  </si>
  <si>
    <t>路静</t>
  </si>
  <si>
    <t>芦弘莹</t>
  </si>
  <si>
    <t>潘平东</t>
  </si>
  <si>
    <t>谢恩亮</t>
  </si>
  <si>
    <t>四川省成都市彭州市天彭大道952号</t>
  </si>
  <si>
    <t>四川省成都市彭州市新民西南巷55号</t>
  </si>
  <si>
    <t>四川省成都市彭州市天彭大道818号</t>
  </si>
  <si>
    <t>四川省成都市彭州市西南市街206号</t>
  </si>
  <si>
    <t>杨军林</t>
  </si>
  <si>
    <t>董文早</t>
  </si>
  <si>
    <t>钟政鋆</t>
  </si>
  <si>
    <t>董扣林</t>
  </si>
  <si>
    <t>林庆有</t>
  </si>
  <si>
    <t>江西省赣州市会昌县江西省赣州市会昌县林岗桥头</t>
  </si>
  <si>
    <t>江西省赣州市会昌县江西省赣州市会昌县筠门岭镇上增村</t>
  </si>
  <si>
    <t>赵国伟</t>
  </si>
  <si>
    <t>张甲川</t>
  </si>
  <si>
    <t>段建莲</t>
  </si>
  <si>
    <t>任彦宇</t>
  </si>
  <si>
    <t>季辰未</t>
  </si>
  <si>
    <t>唐香香</t>
  </si>
  <si>
    <t>王威震</t>
  </si>
  <si>
    <t>江苏省南通市海门市三星镇工贸园区118号</t>
  </si>
  <si>
    <t>江苏省南通市海门市三星镇召良村四组25号</t>
  </si>
  <si>
    <t>王慧芬</t>
  </si>
  <si>
    <t>上海市上海市浦东新区田林路487号宝石园20号楼</t>
  </si>
  <si>
    <t>上海市上海市浦东新区芦云路201弄37号101</t>
  </si>
  <si>
    <t>胡亚强</t>
  </si>
  <si>
    <t>杨要伟</t>
  </si>
  <si>
    <t>屈怀栋</t>
  </si>
  <si>
    <t>周文雯</t>
  </si>
  <si>
    <t>陈嫱</t>
  </si>
  <si>
    <t>郑建光</t>
  </si>
  <si>
    <t>王小玲</t>
  </si>
  <si>
    <t>广东省深圳市罗湖区东莞市南城区鸿福路106号南峰中心</t>
  </si>
  <si>
    <t>广东省深圳市罗湖区东莞市南城区白马坑美村十二巷七号</t>
  </si>
  <si>
    <t>王乐乐</t>
  </si>
  <si>
    <t>河南省郑州市金水区金水路盛润国际广场东座2101</t>
  </si>
  <si>
    <t>河南省郑州市金水区南阳街道怡丰新都汇1期3号楼一单元2101</t>
  </si>
  <si>
    <t>戴亚琴</t>
  </si>
  <si>
    <t>浙江省温州市苍南县龙港镇龙翔路华百广场兰园阁</t>
  </si>
  <si>
    <t>浙江省温州市苍南县龙港镇沿河一街65号</t>
  </si>
  <si>
    <t>辛曼</t>
  </si>
  <si>
    <t>於胜辉</t>
  </si>
  <si>
    <t>辽宁省沈阳市和平区松山路11号</t>
  </si>
  <si>
    <t>辽宁省沈阳市和平区蒲丰路38号荣盛盛京绿洲18号楼142</t>
  </si>
  <si>
    <t>崔世华</t>
  </si>
  <si>
    <t>钟天意</t>
  </si>
  <si>
    <t>许进京</t>
  </si>
  <si>
    <t>陈海兴</t>
  </si>
  <si>
    <t>广东省揭阳市揭西县京溪园镇长滩村道甲溪路口右侧127号</t>
  </si>
  <si>
    <t>广东省揭阳市揭西县广东京溪园镇长滩村委祠堂下村西71号</t>
  </si>
  <si>
    <t>邢文春</t>
  </si>
  <si>
    <t>吴权水</t>
  </si>
  <si>
    <t>冯臣义</t>
  </si>
  <si>
    <t>曲林林</t>
  </si>
  <si>
    <t>河北省邢台市桥东区中兴东大街中北商城一层</t>
  </si>
  <si>
    <t>河北省邢台市桥东区中兴东大街512号</t>
  </si>
  <si>
    <t>孟瑞瑞</t>
  </si>
  <si>
    <t>河南省焦作市山阳区迎宾路沙河桥南路西50米</t>
  </si>
  <si>
    <t>河南省焦作市博爱县孝敬镇东界沟村一号</t>
  </si>
  <si>
    <t>何志文</t>
  </si>
  <si>
    <t>广东省深圳市南山区蛇口海上世界</t>
  </si>
  <si>
    <t>广东省深圳市南山区蛇口工业八路四海小区</t>
  </si>
  <si>
    <t>林成杰</t>
  </si>
  <si>
    <t>何思芃</t>
  </si>
  <si>
    <t>史常林</t>
  </si>
  <si>
    <t>和艳滨</t>
  </si>
  <si>
    <t>云南省怒江傈僳族自治州兰坪白族普米族自治县原金龙检查站旁14号</t>
  </si>
  <si>
    <t>云南省怒江傈僳族自治州兰坪白族普米族自治县怒江州兰坪县城团结路铂金首座501</t>
  </si>
  <si>
    <t>吴财华</t>
  </si>
  <si>
    <t>广东省茂名市茂南区茂名市茂南区官渡南路145号楼下4号5号</t>
  </si>
  <si>
    <t>广东省茂名市茂南区文东街大院89号楼501单元</t>
  </si>
  <si>
    <t>蓝文峰</t>
  </si>
  <si>
    <t>李麟</t>
  </si>
  <si>
    <t>宿云帆</t>
  </si>
  <si>
    <t>胡漫婷</t>
  </si>
  <si>
    <t>金兴辉</t>
  </si>
  <si>
    <t>高雷</t>
  </si>
  <si>
    <t>叶展河</t>
  </si>
  <si>
    <t>陈武</t>
  </si>
  <si>
    <t>广东省广州市天河区中山大道1101号</t>
  </si>
  <si>
    <t>广东省广州市天河区棠下村达善大街15号</t>
  </si>
  <si>
    <t>欧阳佳鑫</t>
  </si>
  <si>
    <t>郑传兴</t>
  </si>
  <si>
    <t>侯明辉</t>
  </si>
  <si>
    <t>广西柳州市鱼峰区麒麟街道南亚名邸31号</t>
  </si>
  <si>
    <t>广西柳州市城中区窑埠村秦家屯91号</t>
  </si>
  <si>
    <t>余冬青</t>
  </si>
  <si>
    <t>郑惜美</t>
  </si>
  <si>
    <t>杨心茹</t>
  </si>
  <si>
    <t>刘培</t>
  </si>
  <si>
    <t>新疆乌鲁木齐市天山区高新街北二巷20号1栋403</t>
  </si>
  <si>
    <t>新疆巴音郭楞蒙古自治州库尔勒市新城街道楼兰路新苇集团公司二号楼一单元402</t>
  </si>
  <si>
    <t>陈焯</t>
  </si>
  <si>
    <t>李润</t>
  </si>
  <si>
    <t>刘世鹏</t>
  </si>
  <si>
    <t>高先超</t>
  </si>
  <si>
    <t>山东省济宁市邹城市大束镇有硕路1号</t>
  </si>
  <si>
    <t>山东省济宁市邹城市大束镇梭庄村181号</t>
  </si>
  <si>
    <t>刘茂高</t>
  </si>
  <si>
    <t>许美琳</t>
  </si>
  <si>
    <t>广西南宁市良庆区广西省南宁市良庆区五象大道333号</t>
  </si>
  <si>
    <t>广西南宁市青秀区建政路南八里八号</t>
  </si>
  <si>
    <t>孙雪婷</t>
  </si>
  <si>
    <t>江西省上饶市信州区志敏大道85号</t>
  </si>
  <si>
    <t>江西省上饶市信州区书苑名邸7栋二单元302</t>
  </si>
  <si>
    <t>高明</t>
  </si>
  <si>
    <t>黎桥庄</t>
  </si>
  <si>
    <t>徐志祖</t>
  </si>
  <si>
    <t>浙江省嘉兴市海宁市风尚大街c1_c2栋</t>
  </si>
  <si>
    <t>浙江省嘉兴市海宁市海昌街道火炬西区53号</t>
  </si>
  <si>
    <t>申登香</t>
  </si>
  <si>
    <t>吉国宏</t>
  </si>
  <si>
    <t>艾新宇</t>
  </si>
  <si>
    <t>卢有权</t>
  </si>
  <si>
    <t>王道荣</t>
  </si>
  <si>
    <t>云南省临沧市镇康县南伞镇公主路76号</t>
  </si>
  <si>
    <t>云南省临沧市临翔区云南省临沧市南伞镇国门路74号</t>
  </si>
  <si>
    <t>田刚</t>
  </si>
  <si>
    <t>陈永心</t>
  </si>
  <si>
    <t>唐泽鹏</t>
  </si>
  <si>
    <t>四川省成都市武侯区高新区益州大道中段722号2栋一单元</t>
  </si>
  <si>
    <t>四川省成都市成华区武侯区晋平街37号双景秀庭</t>
  </si>
  <si>
    <t>廖明元</t>
  </si>
  <si>
    <t>廖莉芳</t>
  </si>
  <si>
    <t>邹永亭</t>
  </si>
  <si>
    <t>高利东</t>
  </si>
  <si>
    <t>巩美诗</t>
  </si>
  <si>
    <t>辽宁省营口市鲅鱼圈区平安大街海平路三号</t>
  </si>
  <si>
    <t>辽宁省营口市鲅鱼圈区辽海中盐新城206号楼2单元1002室</t>
  </si>
  <si>
    <t>王伟利</t>
  </si>
  <si>
    <t>伞国东</t>
  </si>
  <si>
    <t>宁玉寿</t>
  </si>
  <si>
    <t>江苏省苏州市太仓市城厢镇人民北路17号</t>
  </si>
  <si>
    <t>江苏省苏州市太仓市城厢镇人民南路121号</t>
  </si>
  <si>
    <t>阳波</t>
  </si>
  <si>
    <t>四川省绵阳市游仙区一环路东段88号</t>
  </si>
  <si>
    <t>四川省绵阳市游仙区韩家脊4幢7单元5楼1号</t>
  </si>
  <si>
    <t>胡璇</t>
  </si>
  <si>
    <t>周宏彪</t>
  </si>
  <si>
    <t>杜伟</t>
  </si>
  <si>
    <t>邱晶</t>
  </si>
  <si>
    <t>湖北省武汉市江汉区六渡桥同益大夏C座17楼</t>
  </si>
  <si>
    <t>湖北省武汉市江汉区济生新村18单元6楼3号</t>
  </si>
  <si>
    <t>陈家辉</t>
  </si>
  <si>
    <t>莫帅</t>
  </si>
  <si>
    <t>王裕凯</t>
  </si>
  <si>
    <t>山东省枣庄市滕州市春藤路1228号</t>
  </si>
  <si>
    <t>山东省枣庄市滕州市龙阳镇北王庄村294号</t>
  </si>
  <si>
    <t>赵洪涛</t>
  </si>
  <si>
    <t>何远发</t>
  </si>
  <si>
    <t>王安利</t>
  </si>
  <si>
    <t>福建省泉州市鲤城区泉州市鲤城区江南高新技术信息产业园区紫华路4号</t>
  </si>
  <si>
    <t>福建省泉州市鲤城区浮桥街道124号三文公寓603</t>
  </si>
  <si>
    <t>王素梅</t>
  </si>
  <si>
    <t>庄金伟</t>
  </si>
  <si>
    <t>福建省三明市三元区富兴堡富兴路公路港25号</t>
  </si>
  <si>
    <t>福建省三明市三元区富兴堡富兴路289号</t>
  </si>
  <si>
    <t>黄志高</t>
  </si>
  <si>
    <t>梁溢鸿</t>
  </si>
  <si>
    <t>应燕荷</t>
  </si>
  <si>
    <t>赵威</t>
  </si>
  <si>
    <t>张艳红</t>
  </si>
  <si>
    <t>丁凤婿</t>
  </si>
  <si>
    <t>王跃辉</t>
  </si>
  <si>
    <t>云南省文山壮族苗族自治州马关县石兴路73号</t>
  </si>
  <si>
    <t>云南省文山壮族苗族自治州马关县马白镇板子街社区石门砍1号</t>
  </si>
  <si>
    <t>吴同军</t>
  </si>
  <si>
    <t>安徽省马鞍山市当涂县当涂经济开发区新桥一号路</t>
  </si>
  <si>
    <t>安徽省马鞍山市当涂县当涂县太白佳苑12栋303</t>
  </si>
  <si>
    <t>杨宏伟</t>
  </si>
  <si>
    <t>辽宁省大连市金州区阿尔派电子厂</t>
  </si>
  <si>
    <t>辽宁省大连市金州区金州区</t>
  </si>
  <si>
    <t>肖云龙</t>
  </si>
  <si>
    <t>刘雪姣</t>
  </si>
  <si>
    <t>广西北海市银海区广西省北海市银海区广东南路225号</t>
  </si>
  <si>
    <t>广西北海市海城区广西省北海市海城区公园路1栋501</t>
  </si>
  <si>
    <t>汪树辉</t>
  </si>
  <si>
    <t>许照帮</t>
  </si>
  <si>
    <t>幸时军</t>
  </si>
  <si>
    <t>霍红英</t>
  </si>
  <si>
    <t>刘羿霄</t>
  </si>
  <si>
    <t>河北省保定市高碑店市白沟新城河道国际电商创业园2期713室</t>
  </si>
  <si>
    <t>河北省保定市高碑店市世纪大道国土局家属楼3号楼2单元602</t>
  </si>
  <si>
    <t>符智锐</t>
  </si>
  <si>
    <t>海南省三沙市陵水黎族自治县海南省陵水县</t>
  </si>
  <si>
    <t>海南省三沙市陵水黎族自治县椰林镇中心大道110号</t>
  </si>
  <si>
    <t>林启埕</t>
  </si>
  <si>
    <t>张景召</t>
  </si>
  <si>
    <t>河北省石家庄市长安区丰收路与沿西街交口路东30米</t>
  </si>
  <si>
    <t>河北省石家庄市长安区丰收路北城国际A区9号楼一单元2204</t>
  </si>
  <si>
    <t>周银成</t>
  </si>
  <si>
    <t>广东省广州市白云区同和镇同宝路165号</t>
  </si>
  <si>
    <t>广东省肇庆市怀集县风岗镇上磴村委会上寨23号</t>
  </si>
  <si>
    <t>袁嘉阳</t>
  </si>
  <si>
    <t>林显莉</t>
  </si>
  <si>
    <t>顾瑞楠</t>
  </si>
  <si>
    <t>康双煌</t>
  </si>
  <si>
    <t>谢泓基</t>
  </si>
  <si>
    <t>冯超</t>
  </si>
  <si>
    <t>奚斌赞</t>
  </si>
  <si>
    <t>郑旭锋</t>
  </si>
  <si>
    <t>俞骁</t>
  </si>
  <si>
    <t>周延浪</t>
  </si>
  <si>
    <t>李仙萍</t>
  </si>
  <si>
    <t>张家焱</t>
  </si>
  <si>
    <t>广东省阳江市江城区漠江路448号</t>
  </si>
  <si>
    <t>广东省阳江市江城区漠阳街洲头45号</t>
  </si>
  <si>
    <t>刘修龙</t>
  </si>
  <si>
    <t>张佳麒</t>
  </si>
  <si>
    <t>胡晓琴</t>
  </si>
  <si>
    <t>高文</t>
  </si>
  <si>
    <t>江苏省无锡市滨湖区湖滨商业街262号604室</t>
  </si>
  <si>
    <t>江苏省无锡市滨湖区河埒街道荷叶新村121号101室</t>
  </si>
  <si>
    <t>莫辉</t>
  </si>
  <si>
    <t>田振华</t>
  </si>
  <si>
    <t>盘春然</t>
  </si>
  <si>
    <t>山西省临汾市曲沃县乐昌镇文公街6号路北</t>
  </si>
  <si>
    <t>山西省临汾市曲沃县乐昌镇东北街新建路5号</t>
  </si>
  <si>
    <t>饶学泉</t>
  </si>
  <si>
    <t>陈晋</t>
  </si>
  <si>
    <t>钟大健</t>
  </si>
  <si>
    <t>赵清源</t>
  </si>
  <si>
    <t>钟永明</t>
  </si>
  <si>
    <t>广东省珠海市金湾区三灶镇机场对面</t>
  </si>
  <si>
    <t>广东省珠海市金湾区三灶镇政府旁对面</t>
  </si>
  <si>
    <t>内蒙古兴安盟阿尔山市伊尔施林海街</t>
  </si>
  <si>
    <t>内蒙古兴安盟阿尔山市伊尔施镇天池花园四号楼五单元201</t>
  </si>
  <si>
    <t>张博立</t>
  </si>
  <si>
    <t>韦荣智</t>
  </si>
  <si>
    <t>广西河池市金城江区金诚中路</t>
  </si>
  <si>
    <t>广西河池市金诚江区</t>
  </si>
  <si>
    <t>秦善伟</t>
  </si>
  <si>
    <t>山东省潍坊市奎文区山东省潍坊市奎文区东盛广场1303室</t>
  </si>
  <si>
    <t>山东省济南市济阳县潍坊市奎文区东庄南区十二号楼二单元104室</t>
  </si>
  <si>
    <t>许江</t>
  </si>
  <si>
    <t>江苏省镇江市句容市江苏省句容市华阳北路88号</t>
  </si>
  <si>
    <t>江苏省镇江市句容市江苏省句容市行香黄土桥自然村53号</t>
  </si>
  <si>
    <t>宋辽</t>
  </si>
  <si>
    <t>甘肃省兰州市皋兰县黑石镇兰鑫钢铁集团</t>
  </si>
  <si>
    <t>甘肃省陇南市徽县伏家镇前进五社67号</t>
  </si>
  <si>
    <t>何韬</t>
  </si>
  <si>
    <t>石挺红</t>
  </si>
  <si>
    <t>江西省九江市浔阳区浔阳路416号</t>
  </si>
  <si>
    <t>江西省九江市都昌县蔡岭镇东平村委石茂2号</t>
  </si>
  <si>
    <t>吕晓阳</t>
  </si>
  <si>
    <t>朱晶</t>
  </si>
  <si>
    <t>黄鑫洋</t>
  </si>
  <si>
    <t>杜文超</t>
  </si>
  <si>
    <t>杜文</t>
  </si>
  <si>
    <t>王仕涛</t>
  </si>
  <si>
    <t>韩暘</t>
  </si>
  <si>
    <t>李雷</t>
  </si>
  <si>
    <t>刘惠敏</t>
  </si>
  <si>
    <t>李君</t>
  </si>
  <si>
    <t>广东省深圳市罗湖区湖贝路2163号东门广场一楼27A</t>
  </si>
  <si>
    <t>广东省深圳市罗湖区人民南路罗湖村9栋</t>
  </si>
  <si>
    <t>韩晶晶</t>
  </si>
  <si>
    <t>韦德彪</t>
  </si>
  <si>
    <t>浙江省温州市鹿城区温州鞋都三期丁桥路360号</t>
  </si>
  <si>
    <t>浙江省温州市鹿城区双屿街道稽师南路23号</t>
  </si>
  <si>
    <t>李邦成</t>
  </si>
  <si>
    <t>周龙德</t>
  </si>
  <si>
    <t>甘肃省酒泉市肃州区解放路66号</t>
  </si>
  <si>
    <t>甘肃省酒泉市肃州区祁连路福泽华庭小区三号楼三单元361</t>
  </si>
  <si>
    <t>许方淡</t>
  </si>
  <si>
    <t>顾圣洁</t>
  </si>
  <si>
    <t>胡芮</t>
  </si>
  <si>
    <t>黄学峰</t>
  </si>
  <si>
    <t>胡雪</t>
  </si>
  <si>
    <t>李金莲</t>
  </si>
  <si>
    <t>张文广</t>
  </si>
  <si>
    <t>杨秀芝</t>
  </si>
  <si>
    <t>肖冬</t>
  </si>
  <si>
    <t>山西省朔州市朔城区朔神路朔神大道16号</t>
  </si>
  <si>
    <t>山西省朔州市朔城区万和城C区6号楼二单元502</t>
  </si>
  <si>
    <t>刘海涛</t>
  </si>
  <si>
    <t>陈希敏</t>
  </si>
  <si>
    <t>黄声恩</t>
  </si>
  <si>
    <t>汪红林</t>
  </si>
  <si>
    <t>严宇</t>
  </si>
  <si>
    <t>李心月</t>
  </si>
  <si>
    <t>何昌健</t>
  </si>
  <si>
    <t>曹远龙</t>
  </si>
  <si>
    <t>王珠平</t>
  </si>
  <si>
    <t>黄春丽</t>
  </si>
  <si>
    <t>广东省佛山市禅城区中山古镇海州</t>
  </si>
  <si>
    <t>贵州省安顺市西秀区紫云克混</t>
  </si>
  <si>
    <t>李艳秋</t>
  </si>
  <si>
    <t>辽宁省大连市中山区盐岛路1号</t>
  </si>
  <si>
    <t>辽宁省大连市中山区华南北府花园110号楼2单元1002</t>
  </si>
  <si>
    <t>李亚杰</t>
  </si>
  <si>
    <t>王嘉铭</t>
  </si>
  <si>
    <t>蒋来生</t>
  </si>
  <si>
    <t>程梦洁</t>
  </si>
  <si>
    <t>吴曦</t>
  </si>
  <si>
    <t>四川省成都市武侯区一环路南二段1-508</t>
  </si>
  <si>
    <t>四川省成都市金牛区育德路89号红色佳苑5-1-305</t>
  </si>
  <si>
    <t>李复之</t>
  </si>
  <si>
    <t>程雯</t>
  </si>
  <si>
    <t>王国学</t>
  </si>
  <si>
    <t>张聪聪</t>
  </si>
  <si>
    <t>黄平尚</t>
  </si>
  <si>
    <t>冯立珍</t>
  </si>
  <si>
    <t>卫东波</t>
  </si>
  <si>
    <t>罗铭州</t>
  </si>
  <si>
    <t>李羽丝</t>
  </si>
  <si>
    <t>重庆市重庆市万州区青羊宫32号</t>
  </si>
  <si>
    <t>重庆市重庆市万州区金龙小区一单元601</t>
  </si>
  <si>
    <t>张文杨</t>
  </si>
  <si>
    <t>张昆明</t>
  </si>
  <si>
    <t>范艳晖</t>
  </si>
  <si>
    <t>徐立敏</t>
  </si>
  <si>
    <t>宋国琦</t>
  </si>
  <si>
    <t>鲍泽</t>
  </si>
  <si>
    <t>武昌区欢乐大道165号</t>
  </si>
  <si>
    <t>湖北省武汉市武昌区秦园路环卫宿舍</t>
  </si>
  <si>
    <t>周莹莹</t>
  </si>
  <si>
    <t>黑龙江省哈尔滨市道里区吉林省大安市临江小学南门门市国华食品添加剂</t>
  </si>
  <si>
    <t>吉林省大安市水晶城八号楼二单元三零一</t>
  </si>
  <si>
    <t>盘亚娟</t>
  </si>
  <si>
    <t>黄廷政</t>
  </si>
  <si>
    <t>李宝岩</t>
  </si>
  <si>
    <t>河北省廊坊市大城县河北省廊坊市大城县</t>
  </si>
  <si>
    <t>张培松</t>
  </si>
  <si>
    <t>广东省揭阳市普宁市广东省普宁市大杨美开发区</t>
  </si>
  <si>
    <t>广东省揭阳市普宁市广东省普宁市燎原镇街道泥沟村五间前二房巷局27号</t>
  </si>
  <si>
    <t>张铸豪</t>
  </si>
  <si>
    <t>四川省成都市成华区府青路二段协信中心写字楼</t>
  </si>
  <si>
    <t>四川省成都市青羊区培风路心灵花园2栋1单元</t>
  </si>
  <si>
    <t>束庆娟</t>
  </si>
  <si>
    <t>朱立勇</t>
  </si>
  <si>
    <t>郑鹏</t>
  </si>
  <si>
    <t>甘肃省庆阳市环县曲子镇南街105号</t>
  </si>
  <si>
    <t>甘肃省庆阳市环县曲子镇双城村</t>
  </si>
  <si>
    <t>湖北省武汉市江岸区黄埔科技园特5号</t>
  </si>
  <si>
    <t>湖北省武汉市江汉区常青五路15栋302</t>
  </si>
  <si>
    <t>徐光明</t>
  </si>
  <si>
    <t>四川省成都市锦江区高新区世纪城936号烟草大厦</t>
  </si>
  <si>
    <t>四川省成都市锦江区红豆树街377号1栋1单元2702</t>
  </si>
  <si>
    <t>莫正平</t>
  </si>
  <si>
    <t>四川省德阳市什邡市师古镇九里埂工业区</t>
  </si>
  <si>
    <t>四川省成都市彭州市四川省成都市彭州市红岩镇龙九村八组九十五号</t>
  </si>
  <si>
    <t>伍凡伦</t>
  </si>
  <si>
    <t>赵东峰</t>
  </si>
  <si>
    <t>河北省保定市清苑县清苑县中心街邮电局对过</t>
  </si>
  <si>
    <t>河北省保定市新市区冉庄镇西马庄村</t>
  </si>
  <si>
    <t>陆陈龙</t>
  </si>
  <si>
    <t>赵毅章</t>
  </si>
  <si>
    <t>赵东杰</t>
  </si>
  <si>
    <t>黄其胜</t>
  </si>
  <si>
    <t>王东义</t>
  </si>
  <si>
    <t>陈亭</t>
  </si>
  <si>
    <t>零叠洲</t>
  </si>
  <si>
    <t>吴亚丽</t>
  </si>
  <si>
    <t>王昌山</t>
  </si>
  <si>
    <t>刘鳕淳</t>
  </si>
  <si>
    <t>郭小卫</t>
  </si>
  <si>
    <t>陕西省宝鸡市渭滨区马营镇袁家坪村三组45号</t>
  </si>
  <si>
    <t>尚莹莹</t>
  </si>
  <si>
    <t>辽宁省沈阳市沈河区杨觉寺巷13号楼112</t>
  </si>
  <si>
    <t>辽宁省沈阳市沈河区乐郊路75-1号231</t>
  </si>
  <si>
    <t>全东升</t>
  </si>
  <si>
    <t>金军宁</t>
  </si>
  <si>
    <t>白景平</t>
  </si>
  <si>
    <t>王艳红</t>
  </si>
  <si>
    <t>陈丰</t>
  </si>
  <si>
    <t>田梦玲</t>
  </si>
  <si>
    <t>周国俊</t>
  </si>
  <si>
    <t>曾家琪</t>
  </si>
  <si>
    <t>刘子川</t>
  </si>
  <si>
    <t>许慧娟</t>
  </si>
  <si>
    <t>周勇勤</t>
  </si>
  <si>
    <t>汤枢炀</t>
  </si>
  <si>
    <t>张卫华</t>
  </si>
  <si>
    <t>李显超</t>
  </si>
  <si>
    <t>曾剑森</t>
  </si>
  <si>
    <t>包杨</t>
  </si>
  <si>
    <t>李仁江</t>
  </si>
  <si>
    <t>房多磊</t>
  </si>
  <si>
    <t>山东省聊城市东昌府区山东省聊城市东昌府区光岳南路116号</t>
  </si>
  <si>
    <t>山东省聊城市东昌府区山东省聊城市东昌府区陈口路金柱海德公园小区6-2073室</t>
  </si>
  <si>
    <t>俞扬攀</t>
  </si>
  <si>
    <t>云南省昆明市官渡区官渡区昌宏西路旁恒大玖珑湾售楼部</t>
  </si>
  <si>
    <t>云南省昆明市官渡区官渡区小板桥后街新村3组141栋403</t>
  </si>
  <si>
    <t>邓玄生</t>
  </si>
  <si>
    <t>云南省昆明市盘龙区茨坝北路13号</t>
  </si>
  <si>
    <t>云南省昆明市盘龙区龙泉路迎春巷和园小区12栋三单元101</t>
  </si>
  <si>
    <t>罗永创</t>
  </si>
  <si>
    <t>王杰龙</t>
  </si>
  <si>
    <t>广东省清远市清城区凤城街道环城一路10号</t>
  </si>
  <si>
    <t>广东省清远市清新县太和镇周田居委会黄惊左村1号</t>
  </si>
  <si>
    <t>黄荣妹</t>
  </si>
  <si>
    <t>唐果能</t>
  </si>
  <si>
    <t>梁睿琪</t>
  </si>
  <si>
    <t>山西省晋中市榆次区新建北路299号</t>
  </si>
  <si>
    <t>山西省晋中市榆次区锦纶东街锦纶厂五区宿舍</t>
  </si>
  <si>
    <t>史红艳</t>
  </si>
  <si>
    <t>黑龙江省佳木斯市桦南县三中道口东一百米</t>
  </si>
  <si>
    <t>黑龙江省佳木斯市桦南县奥林新村二期三号楼一单元301</t>
  </si>
  <si>
    <t>毛章屹</t>
  </si>
  <si>
    <t>李卓远</t>
  </si>
  <si>
    <t>河南省安阳市北关区红旗路金豪商务</t>
  </si>
  <si>
    <t>河南省安阳市北关区人民大道二巷6号院4单元301</t>
  </si>
  <si>
    <t>刘治良</t>
  </si>
  <si>
    <t>罗金花</t>
  </si>
  <si>
    <t>林绍彪</t>
  </si>
  <si>
    <t>王庆华</t>
  </si>
  <si>
    <t>上海市上海市浦东新区张杨路655号福星大厦601A室</t>
  </si>
  <si>
    <t>上海市上海市浦东新区东方路1357号富海花园3号楼1102室</t>
  </si>
  <si>
    <t>邓永强</t>
  </si>
  <si>
    <t>陈秀通</t>
  </si>
  <si>
    <t>朱梁</t>
  </si>
  <si>
    <t>刘李霞</t>
  </si>
  <si>
    <t>张楚扬</t>
  </si>
  <si>
    <t>刘方</t>
  </si>
  <si>
    <t>邓琴</t>
  </si>
  <si>
    <t>李雨</t>
  </si>
  <si>
    <t>甘肃省酒泉市肃州区嘉北工业园区1号门</t>
  </si>
  <si>
    <t>甘肃省酒泉市肃州区嘉峪关市嘉和新苑B区</t>
  </si>
  <si>
    <t>杨永胜</t>
  </si>
  <si>
    <t>刘亚利</t>
  </si>
  <si>
    <t>姜建华</t>
  </si>
  <si>
    <t>蒲玉梅</t>
  </si>
  <si>
    <t>赵科垒</t>
  </si>
  <si>
    <t>曲元凯</t>
  </si>
  <si>
    <t>山东省烟台市莱山区莱山区滨海中路31号</t>
  </si>
  <si>
    <t>山东省烟台市莱山区莱山区观海路埠岚小区42号楼二单元502</t>
  </si>
  <si>
    <t>刘世安</t>
  </si>
  <si>
    <t>赵兴贵</t>
  </si>
  <si>
    <t>诺江中路288号</t>
  </si>
  <si>
    <t>四川省巴中市通江县城东村七社</t>
  </si>
  <si>
    <t>李文湛</t>
  </si>
  <si>
    <t>董晓越</t>
  </si>
  <si>
    <t>余小胜</t>
  </si>
  <si>
    <t>汪少波</t>
  </si>
  <si>
    <t>田彦龙</t>
  </si>
  <si>
    <t>宁夏中卫市海原县海原公路养护中心</t>
  </si>
  <si>
    <t>宁夏中卫市海原县宁夏海原县海城填段原行政村刘原自然村062号</t>
  </si>
  <si>
    <t>胡程亮</t>
  </si>
  <si>
    <t>李承任</t>
  </si>
  <si>
    <t>达师祥</t>
  </si>
  <si>
    <t>郭瑞杰</t>
  </si>
  <si>
    <t>山西省临汾市洪洞县山西华翔集团股份有限公司</t>
  </si>
  <si>
    <t>山西临汾洪洞县辛村乡公孙村026号</t>
  </si>
  <si>
    <t>史文兵</t>
  </si>
  <si>
    <t>贵州省贵阳市云岩区新添大道南段118号</t>
  </si>
  <si>
    <t>贵州省贵阳市云岩区永安寺街91号</t>
  </si>
  <si>
    <t>王庆洋</t>
  </si>
  <si>
    <t>唐子雯</t>
  </si>
  <si>
    <t>蔡振聪</t>
  </si>
  <si>
    <t>山东省青岛市市南区姜山镇泰光路156号</t>
  </si>
  <si>
    <t>山东省青岛市莱西市姜山镇岭前村50号</t>
  </si>
  <si>
    <t>马博男</t>
  </si>
  <si>
    <t>李楷烁</t>
  </si>
  <si>
    <t>韩皖峰</t>
  </si>
  <si>
    <t>陈宇婷</t>
  </si>
  <si>
    <t>陈雪洁</t>
  </si>
  <si>
    <t>杨永</t>
  </si>
  <si>
    <t>蔺强</t>
  </si>
  <si>
    <t>文伯龙</t>
  </si>
  <si>
    <t>董毛艳</t>
  </si>
  <si>
    <t>王昊雷</t>
  </si>
  <si>
    <t>河南省郑州市中原区青年路环球大厦C座1613</t>
  </si>
  <si>
    <t>河南省郑州市中原区升龙凤凰城a区4号楼1005</t>
  </si>
  <si>
    <t>周宏坤</t>
  </si>
  <si>
    <t>王小萍</t>
  </si>
  <si>
    <t>温成龙</t>
  </si>
  <si>
    <t>夏浩特</t>
  </si>
  <si>
    <t>朱文仲</t>
  </si>
  <si>
    <t>江苏省苏州市昆山市张浦镇花苑路638号</t>
  </si>
  <si>
    <t>江苏省苏州市昆山市张浦镇碧悦湾小区13栋1608</t>
  </si>
  <si>
    <t>吴来举</t>
  </si>
  <si>
    <t>广东省广州市白云区蚌湖镇建南村江人一路638号</t>
  </si>
  <si>
    <t>广东省广州市白云区蚌湖镇西湖瓦窑村西街南巷2号6户</t>
  </si>
  <si>
    <t>宋俊华</t>
  </si>
  <si>
    <t>马立志</t>
  </si>
  <si>
    <t>邢琳</t>
  </si>
  <si>
    <t>钱红</t>
  </si>
  <si>
    <t>余恒</t>
  </si>
  <si>
    <t>广西南宁市青秀区莱茵湖畔东c组2011号</t>
  </si>
  <si>
    <t>广西南宁市青秀区宁铁馨苑3栋2单元1501</t>
  </si>
  <si>
    <t>顾义清</t>
  </si>
  <si>
    <t>北京市北京市海淀区马甸南村路2号</t>
  </si>
  <si>
    <t>北京市北京市海淀区西北旺韩家川南街34号</t>
  </si>
  <si>
    <t>李徐艳</t>
  </si>
  <si>
    <t>于绪川</t>
  </si>
  <si>
    <t>刘剑伟</t>
  </si>
  <si>
    <t>山东省青岛市市南区增城路1号</t>
  </si>
  <si>
    <t>山东省青岛市市南区漳州一路40号</t>
  </si>
  <si>
    <t>丁梦雪</t>
  </si>
  <si>
    <t>河南省南阳市卧龙区新华路76号</t>
  </si>
  <si>
    <t>河南省南阳市宛城区新店乡菱角池村26号一单元三楼北户</t>
  </si>
  <si>
    <t>刘文顶</t>
  </si>
  <si>
    <t>伍锦宁</t>
  </si>
  <si>
    <t>龙俊</t>
  </si>
  <si>
    <t>四川省成都市武侯区益州大道333号中海e座802</t>
  </si>
  <si>
    <t>四川省成都市双流县龙灯山路299号心怡德胜苑22栋909</t>
  </si>
  <si>
    <t>刘诗清</t>
  </si>
  <si>
    <t>四川省成都市锦江区永兴巷15号省委综合大楼三楼</t>
  </si>
  <si>
    <t>四川省成都市锦江区牡丹街600号五栋704</t>
  </si>
  <si>
    <t>段斌</t>
  </si>
  <si>
    <t>王继永</t>
  </si>
  <si>
    <t>廖盛杰</t>
  </si>
  <si>
    <t>范守彬</t>
  </si>
  <si>
    <t>张书俊</t>
  </si>
  <si>
    <t>谢建广</t>
  </si>
  <si>
    <t>陈裴</t>
  </si>
  <si>
    <t>詹庆</t>
  </si>
  <si>
    <t>覃涛</t>
  </si>
  <si>
    <t>朱有鑫</t>
  </si>
  <si>
    <t>梁佩华</t>
  </si>
  <si>
    <t>肖松</t>
  </si>
  <si>
    <t>林承敏</t>
  </si>
  <si>
    <t>洪方舟</t>
  </si>
  <si>
    <t>曲萍</t>
  </si>
  <si>
    <t>周子欣</t>
  </si>
  <si>
    <t>湖南省衡阳市蒸湘区一环西路梓木工业园东梓路1号</t>
  </si>
  <si>
    <t>湖南省衡阳市蒸湘区祝融路48号香江水岸新城129栋1009户</t>
  </si>
  <si>
    <t>丁孟锦</t>
  </si>
  <si>
    <t>孙一春</t>
  </si>
  <si>
    <t>沈帅</t>
  </si>
  <si>
    <t>四川省成都市武侯区成都市武侯区武侯祠大街83号太成宾馆</t>
  </si>
  <si>
    <t>四川省成都市金堂县成都市金堂县观澜国际观潮路66号二栋一单元1302</t>
  </si>
  <si>
    <t>傅承将</t>
  </si>
  <si>
    <t>湖北省随州市广水市永阳大道37号</t>
  </si>
  <si>
    <t>湖北省随州市广水市宝林路24号</t>
  </si>
  <si>
    <t>张宽烽</t>
  </si>
  <si>
    <t>王中超</t>
  </si>
  <si>
    <t>刘忠杰</t>
  </si>
  <si>
    <t>山东省滨州市惠民县开发区孙武五路599号</t>
  </si>
  <si>
    <t>山东省滨州市惠民县瑞景花园十二号楼一单元101</t>
  </si>
  <si>
    <t>闫婷婷</t>
  </si>
  <si>
    <t>刘洁</t>
  </si>
  <si>
    <t>沈小川</t>
  </si>
  <si>
    <t>安徽省芜湖市鸠江区万达广场二号楼1201室</t>
  </si>
  <si>
    <t>安徽省合肥市庐江县万山镇永桥村小畈村民组16号</t>
  </si>
  <si>
    <t>王兵礼</t>
  </si>
  <si>
    <t>莫沂锋</t>
  </si>
  <si>
    <t>张朋晖</t>
  </si>
  <si>
    <t>陈景辉</t>
  </si>
  <si>
    <t>吴洪武</t>
  </si>
  <si>
    <t>湖北省武汉市汉阳区武汉市汉阳区滨江大道188号世茂锦绣长江二期五栋31层</t>
  </si>
  <si>
    <t>湖北省武汉市硚口区武汉市硚口区义烈巷189号</t>
  </si>
  <si>
    <t>龙七平</t>
  </si>
  <si>
    <t>聂清风</t>
  </si>
  <si>
    <t>吉新平</t>
  </si>
  <si>
    <t>刘晓菲</t>
  </si>
  <si>
    <t>北京市北京市海淀区北洼路西里海萌写字楼511室</t>
  </si>
  <si>
    <t>北京市北京市怀柔区怀北镇东庄村472号</t>
  </si>
  <si>
    <t>杨琼琼</t>
  </si>
  <si>
    <t>陈舜静</t>
  </si>
  <si>
    <t>项团</t>
  </si>
  <si>
    <t>赵彬彬</t>
  </si>
  <si>
    <t>秦学珍</t>
  </si>
  <si>
    <t>王义明</t>
  </si>
  <si>
    <t>郝伟坡</t>
  </si>
  <si>
    <t>河南省郑州市管城回族区经济开发区明湖街道第十大街129号</t>
  </si>
  <si>
    <t>河南省郑州市管城回族区西大街二十一世纪大厦12楼1235室</t>
  </si>
  <si>
    <t>孙谦</t>
  </si>
  <si>
    <t>河北省保定市安新县寨里王庄工业区西区</t>
  </si>
  <si>
    <t>河北省保定市南市区红旗大街679号2栋2单元303</t>
  </si>
  <si>
    <t>纪荣喜</t>
  </si>
  <si>
    <t>福建省泉州市洛江区中宁工业园6号</t>
  </si>
  <si>
    <t>福建省泉州市洛江区朝阳下坝仔28号</t>
  </si>
  <si>
    <t>汪伟伟</t>
  </si>
  <si>
    <t>王佳丽</t>
  </si>
  <si>
    <t>许家智</t>
  </si>
  <si>
    <t>鲁明艳</t>
  </si>
  <si>
    <t>周雷伟</t>
  </si>
  <si>
    <t>全京淑</t>
  </si>
  <si>
    <t>丁大为</t>
  </si>
  <si>
    <t>蔡俊权</t>
  </si>
  <si>
    <t>李孝平</t>
  </si>
  <si>
    <t>江西省南昌市南昌县高新技术开发区南飞试点北区</t>
  </si>
  <si>
    <t>江西省南昌市青云谱区洪都八区五栋三单元101室</t>
  </si>
  <si>
    <t>田昌俊</t>
  </si>
  <si>
    <t>陈大钦</t>
  </si>
  <si>
    <t>杨春江</t>
  </si>
  <si>
    <t>孟小虎</t>
  </si>
  <si>
    <t>上海市上海市浦东新区东方路1381号6楼</t>
  </si>
  <si>
    <t>江苏省盐城市东台市上海闵行区浦涛路768弄27号504</t>
  </si>
  <si>
    <t>赵兴华</t>
  </si>
  <si>
    <t>天津市天津市津南区津岐公路8号</t>
  </si>
  <si>
    <t>天津市津南区小站镇福馨公寓7-1-202</t>
  </si>
  <si>
    <t>郭玉瑞</t>
  </si>
  <si>
    <t>凯迪日耶·艾合买提</t>
  </si>
  <si>
    <t>任孟</t>
  </si>
  <si>
    <t>四川省宜宾市兴文县古宋镇光明新区远达博城首席售楼部</t>
  </si>
  <si>
    <t>四川省宜宾市兴文县古宋镇桃子坪村一组15号</t>
  </si>
  <si>
    <t>陈现辉</t>
  </si>
  <si>
    <t>马治林</t>
  </si>
  <si>
    <t>浙江省杭州市江干区笕桥镇俞章村过渡房二幢三单元101</t>
  </si>
  <si>
    <t>浙江省杭州市江干区笕桥镇俞章村一组69号</t>
  </si>
  <si>
    <t>肖双庆</t>
  </si>
  <si>
    <t>李晓菲</t>
  </si>
  <si>
    <t>苏静</t>
  </si>
  <si>
    <t>河北省承德市双桥区奥体中心007</t>
  </si>
  <si>
    <t>河北省承德市双桥区阳光四季城3号楼1单元2102</t>
  </si>
  <si>
    <t>甘思</t>
  </si>
  <si>
    <t>朱文杰</t>
  </si>
  <si>
    <t>樊鹏举</t>
  </si>
  <si>
    <t>史鹏</t>
  </si>
  <si>
    <t>万阳亭</t>
  </si>
  <si>
    <t>刘津奇</t>
  </si>
  <si>
    <t>河北省承德市双桥区承德市双桥区高庙领东112号</t>
  </si>
  <si>
    <t>河北省承德市双桥区承德市双桥区翠桥路永安街火药库沟家属楼二单元二号楼703</t>
  </si>
  <si>
    <t>吴晓光</t>
  </si>
  <si>
    <t>盘书明</t>
  </si>
  <si>
    <t>浙江省杭州市余杭区临平街道北沙西路469号</t>
  </si>
  <si>
    <t>浙江省杭州市余杭区临平街道后横弄2幢一单元202</t>
  </si>
  <si>
    <t>黄香伟</t>
  </si>
  <si>
    <t>李宁坤</t>
  </si>
  <si>
    <t>李良顺</t>
  </si>
  <si>
    <t>黄文飞</t>
  </si>
  <si>
    <t>陈刚刚</t>
  </si>
  <si>
    <t>贵州省六盘水市钟山区南环路喜凤凰斜对面166</t>
  </si>
  <si>
    <t>贵州省六盘水市钟山区南环路石油小区五单元202</t>
  </si>
  <si>
    <t>顾云韬</t>
  </si>
  <si>
    <t>翟波</t>
  </si>
  <si>
    <t>汪慈环</t>
  </si>
  <si>
    <t>江西省上饶市玉山县武安新城88号</t>
  </si>
  <si>
    <t>江西省上饶市玉山县冰溪镇日景小区12栋一单元201室</t>
  </si>
  <si>
    <t>黄一帆</t>
  </si>
  <si>
    <t>汪蓉</t>
  </si>
  <si>
    <t>商云燕</t>
  </si>
  <si>
    <t>湖南省常德市鼎城区常德大道东星家居广场四楼</t>
  </si>
  <si>
    <t>湖南省常德市武陵区德山街道金丰苑小区</t>
  </si>
  <si>
    <t>张润伟</t>
  </si>
  <si>
    <t>河南省郑州市金水区曼哈顿商业广场B区1182号</t>
  </si>
  <si>
    <t>河南省郑州市金水区沿河路六号响水湾小区一号楼二单元11</t>
  </si>
  <si>
    <t>戴文彬</t>
  </si>
  <si>
    <t>那贵东</t>
  </si>
  <si>
    <t>俞炜</t>
  </si>
  <si>
    <t>索南项秀</t>
  </si>
  <si>
    <t>青海省海北藏族自治州刚察县学苑路9号</t>
  </si>
  <si>
    <t>青海省海北藏族自治州刚察县安康小区8号楼1单元481</t>
  </si>
  <si>
    <t>潘振</t>
  </si>
  <si>
    <t>宁夏银川市兴庆区正源南街320号</t>
  </si>
  <si>
    <t>宁夏银川市兴庆区湖滨小区10-2-201</t>
  </si>
  <si>
    <t>罗盼</t>
  </si>
  <si>
    <t>曾世平</t>
  </si>
  <si>
    <t>王一童</t>
  </si>
  <si>
    <t>黑龙江省哈尔滨市道里区吉林市昌邑区江湾路嘉业名铸6号楼9号网点</t>
  </si>
  <si>
    <t>黑龙江省哈尔滨市道里区吉林市丰满区中海紫御东郡17号1单元302</t>
  </si>
  <si>
    <t>张友介</t>
  </si>
  <si>
    <t>周亚琼</t>
  </si>
  <si>
    <t>江苏省扬州市广陵区运河西路116号</t>
  </si>
  <si>
    <t>江苏省扬州市广陵区东花园河南6栋508</t>
  </si>
  <si>
    <t>李海杰</t>
  </si>
  <si>
    <t>付正华</t>
  </si>
  <si>
    <t>王国欣</t>
  </si>
  <si>
    <t>浙江省嘉兴市平湖市经济开发区新群路1199号</t>
  </si>
  <si>
    <t>浙江省嘉兴市平湖市经济开发区兴平三路</t>
  </si>
  <si>
    <t>曹九荣</t>
  </si>
  <si>
    <t>陕西省西安市未央区凤城一路中环大厦雅荷花园C座</t>
  </si>
  <si>
    <t>陕西省西安市未央区凤城一路海景暖暖的宅</t>
  </si>
  <si>
    <t>韦宗祥</t>
  </si>
  <si>
    <t>广西南宁市兴宁区石柱岭一路5号</t>
  </si>
  <si>
    <t>广西南宁市江南区八桂绿城富康园一栋</t>
  </si>
  <si>
    <t>赵洪刚</t>
  </si>
  <si>
    <t>山东省潍坊市潍城区山东省潍坊市奎文区东风东街7870</t>
  </si>
  <si>
    <t>山东省潍坊市奎文区北苑街道凤凰苑小区3号楼4单元401</t>
  </si>
  <si>
    <t>徐建红</t>
  </si>
  <si>
    <t>湖南省长沙市岳麓区观沙路268号八方小区B3-101</t>
  </si>
  <si>
    <t>湖南省长沙市岳麓区东方红路392号桔洲印象二栋二单元1806室</t>
  </si>
  <si>
    <t>吴贵松</t>
  </si>
  <si>
    <t>余严军</t>
  </si>
  <si>
    <t>李代雄</t>
  </si>
  <si>
    <t>安徽省宣城市广德县流洞镇开发区25号</t>
  </si>
  <si>
    <t>安徽省宣城市宣州区桃州镇荆汤村35号</t>
  </si>
  <si>
    <t>于秀芝</t>
  </si>
  <si>
    <t>山东省青岛市市北区武城路14号甲101</t>
  </si>
  <si>
    <t>王琛</t>
  </si>
  <si>
    <t>张维栋</t>
  </si>
  <si>
    <t>何锐添</t>
  </si>
  <si>
    <t>夏吉兴</t>
  </si>
  <si>
    <t>山东省聊城市东昌府区双力路与向阳路交叉口</t>
  </si>
  <si>
    <t>山东省聊城市东昌府区柳园北路工业学校院内</t>
  </si>
  <si>
    <t>禹阳</t>
  </si>
  <si>
    <t>湖南省邵阳市双清区宝庆东路602号</t>
  </si>
  <si>
    <t>湖南省邵阳市大祥区科文路城南帝景小区A栋1603</t>
  </si>
  <si>
    <t>杨聪</t>
  </si>
  <si>
    <t>江潮达</t>
  </si>
  <si>
    <t>张晓飞</t>
  </si>
  <si>
    <t>朱济义</t>
  </si>
  <si>
    <t>彭新</t>
  </si>
  <si>
    <t>缪玲</t>
  </si>
  <si>
    <t>何际参</t>
  </si>
  <si>
    <t>郝世语</t>
  </si>
  <si>
    <t>蒋贵梅</t>
  </si>
  <si>
    <t>杜胜凯</t>
  </si>
  <si>
    <t>韦富</t>
  </si>
  <si>
    <t>刘金瑄</t>
  </si>
  <si>
    <t>余仁义</t>
  </si>
  <si>
    <t>林芳绵</t>
  </si>
  <si>
    <t>江苏省徐州市沛县唐楼中学对面</t>
  </si>
  <si>
    <t>江苏省徐州市沛县金地花园小区13号楼二单元601室</t>
  </si>
  <si>
    <t>山东省淄博市张店区尚城大厦648</t>
  </si>
  <si>
    <t>山东省淄博市博山区源泉镇源西村</t>
  </si>
  <si>
    <t>孙子建</t>
  </si>
  <si>
    <t>刘荣贺</t>
  </si>
  <si>
    <t>韦明亮</t>
  </si>
  <si>
    <t>康宣</t>
  </si>
  <si>
    <t>郎保德</t>
  </si>
  <si>
    <t>梁容</t>
  </si>
  <si>
    <t>张敬括</t>
  </si>
  <si>
    <t>山东省济宁市梁山县交通路西首</t>
  </si>
  <si>
    <t>山东省济宁市梁山县县公安局北100米路东金都小区2号楼一单元201</t>
  </si>
  <si>
    <t>宋耀东</t>
  </si>
  <si>
    <t>鲁楠洋</t>
  </si>
  <si>
    <t>陕西省西安市周至县富仁镇渭丰村南街4号</t>
  </si>
  <si>
    <t>陕西省西安市周至县二曲镇渭中村十组南一街14号</t>
  </si>
  <si>
    <t>洪厚全</t>
  </si>
  <si>
    <t>张永</t>
  </si>
  <si>
    <t>曾京</t>
  </si>
  <si>
    <t>申梅花</t>
  </si>
  <si>
    <t>刘凌志</t>
  </si>
  <si>
    <t>芦嘉琦</t>
  </si>
  <si>
    <t>李小君</t>
  </si>
  <si>
    <t>黄晓蕾</t>
  </si>
  <si>
    <t>隗威</t>
  </si>
  <si>
    <t>湖北省武汉市洪山区虎泉凯乐桂园一楼</t>
  </si>
  <si>
    <t>湖北省武汉市洪山区虎泉小何西村113号</t>
  </si>
  <si>
    <t>王享蒙</t>
  </si>
  <si>
    <t>段程</t>
  </si>
  <si>
    <t>甘肃省酒泉市肃州区甘肃省酒泉市肃州区南大街148号</t>
  </si>
  <si>
    <t>甘肃省酒泉市金塔县金塔镇金大村5组27号</t>
  </si>
  <si>
    <t>林佐鸣</t>
  </si>
  <si>
    <t>高燕</t>
  </si>
  <si>
    <t>西梦真</t>
  </si>
  <si>
    <t>李大彰</t>
  </si>
  <si>
    <t>孟现霞</t>
  </si>
  <si>
    <t>郑金秋</t>
  </si>
  <si>
    <t>广西防城港市港口区中心区德城商贸市场三郎海鲜酒店</t>
  </si>
  <si>
    <t>广西防城港市防城区广西壮族自治区防城港市防城区</t>
  </si>
  <si>
    <t>孙玉程</t>
  </si>
  <si>
    <t>朱赫</t>
  </si>
  <si>
    <t>湖北省武汉市汉阳区一号车市汽车</t>
  </si>
  <si>
    <t>武汉一号车市汽车广场</t>
  </si>
  <si>
    <t>吕立志</t>
  </si>
  <si>
    <t>王艺霖</t>
  </si>
  <si>
    <t>曾斌斌</t>
  </si>
  <si>
    <t>于悦</t>
  </si>
  <si>
    <t>周培灿</t>
  </si>
  <si>
    <t>邱庆键</t>
  </si>
  <si>
    <t>廖春香</t>
  </si>
  <si>
    <t>冯凯</t>
  </si>
  <si>
    <t>山东省济南市历下区山东省济南市历下区龙奥北路8号</t>
  </si>
  <si>
    <t>江苏省宿迁市泗洪县峰山乡中潼新村64号</t>
  </si>
  <si>
    <t>穆波</t>
  </si>
  <si>
    <t>杨丽影</t>
  </si>
  <si>
    <t>迟皓</t>
  </si>
  <si>
    <t>沈建明</t>
  </si>
  <si>
    <t>青海省西宁市城西区胜利路70号景林佳苑2号楼二单元3112室</t>
  </si>
  <si>
    <t>青海省西宁市湟源县城关镇万安街120号</t>
  </si>
  <si>
    <t>刘永号</t>
  </si>
  <si>
    <t>颜士静</t>
  </si>
  <si>
    <t>范杨军</t>
  </si>
  <si>
    <t>甘伟</t>
  </si>
  <si>
    <t>潘小倩</t>
  </si>
  <si>
    <t>浙江省金华市义乌市城中西路288号</t>
  </si>
  <si>
    <t>浙江省金华市义乌市贝村路28栋二单元302室</t>
  </si>
  <si>
    <t>雷潇逸</t>
  </si>
  <si>
    <t>杨文秀</t>
  </si>
  <si>
    <t>李延召</t>
  </si>
  <si>
    <t>霍成林</t>
  </si>
  <si>
    <t>雷淑姜</t>
  </si>
  <si>
    <t>胡继海</t>
  </si>
  <si>
    <t>卞维丹</t>
  </si>
  <si>
    <t>海南省海口市美兰区海南省海口市美兰区蓝天路电教一楼</t>
  </si>
  <si>
    <t>海南省海口市美兰区和平南路省群众艺术馆103</t>
  </si>
  <si>
    <t>杨生杰</t>
  </si>
  <si>
    <t>谢红杰</t>
  </si>
  <si>
    <t>张庆帅</t>
  </si>
  <si>
    <t>李孝俊</t>
  </si>
  <si>
    <t>沈慧芳</t>
  </si>
  <si>
    <t>安中秋</t>
  </si>
  <si>
    <t>甘肃省兰州市城关区甘肃省兰州市城关区北滨河路8号</t>
  </si>
  <si>
    <t>甘肃省定西市陇西县甘肃省陇西县文峰镇安家门村三社192号</t>
  </si>
  <si>
    <t>覃海金</t>
  </si>
  <si>
    <t>宋效赛</t>
  </si>
  <si>
    <t>广西南宁市青秀区长湖路维也纳森林住宅小区10-15号</t>
  </si>
  <si>
    <t>广西南宁市青秀区柳沙英华路16号B5栋2号401室</t>
  </si>
  <si>
    <t>马海啸</t>
  </si>
  <si>
    <t>吴建伟</t>
  </si>
  <si>
    <t>岳肖</t>
  </si>
  <si>
    <t>陈甫伴</t>
  </si>
  <si>
    <t>广西贺州市八步区广西贺州市八步区信都镇</t>
  </si>
  <si>
    <t>赵福生</t>
  </si>
  <si>
    <t>辽宁省大连市金州区大连开发区大窑湾保税港区</t>
  </si>
  <si>
    <t>辽宁省大连市金州区小孤山中里95号楼一单元203</t>
  </si>
  <si>
    <t>王元炳</t>
  </si>
  <si>
    <t>李进浩</t>
  </si>
  <si>
    <t>黄勇林</t>
  </si>
  <si>
    <t>段树深</t>
  </si>
  <si>
    <t>冯立峰</t>
  </si>
  <si>
    <t>娄康勇</t>
  </si>
  <si>
    <t>胡铭健</t>
  </si>
  <si>
    <t>徐文青</t>
  </si>
  <si>
    <t>廖婷</t>
  </si>
  <si>
    <t>李叶金</t>
  </si>
  <si>
    <t>葛二兵</t>
  </si>
  <si>
    <t>魏永雯</t>
  </si>
  <si>
    <t>刘抡林</t>
  </si>
  <si>
    <t>江庆博</t>
  </si>
  <si>
    <t>新疆昌吉回族自治州昌吉市幸福路20号</t>
  </si>
  <si>
    <t>新疆昌吉回族自治州呼图壁县食品厂家属院3单元602</t>
  </si>
  <si>
    <t>吴玥</t>
  </si>
  <si>
    <t>黄祖双</t>
  </si>
  <si>
    <t>孙永兵</t>
  </si>
  <si>
    <t>向代权</t>
  </si>
  <si>
    <t>张豹子</t>
  </si>
  <si>
    <t>廖歆珏</t>
  </si>
  <si>
    <t>傅强</t>
  </si>
  <si>
    <t>林志伟</t>
  </si>
  <si>
    <t>陈芸</t>
  </si>
  <si>
    <t>蹇常辉</t>
  </si>
  <si>
    <t>梁雪芬</t>
  </si>
  <si>
    <t>时亚洁</t>
  </si>
  <si>
    <t>潘彦宾</t>
  </si>
  <si>
    <t>闫海生</t>
  </si>
  <si>
    <t>辽宁省大连市普兰店市万达广场4063号</t>
  </si>
  <si>
    <t>辽宁省大连市普兰店市海湾新城39号楼一单元202</t>
  </si>
  <si>
    <t>朱如山</t>
  </si>
  <si>
    <t>青海省海东地区民和回族土族自治县海东市民和县回族土族自治县南大街友谊巷</t>
  </si>
  <si>
    <t>青海省海东地区民和回族土族自治县青海省海东市民和县回族土族自治县东垣北路30号25号301</t>
  </si>
  <si>
    <t>朱心卫</t>
  </si>
  <si>
    <t>王春勇</t>
  </si>
  <si>
    <t>李昌水</t>
  </si>
  <si>
    <t>符东升</t>
  </si>
  <si>
    <t>程俊杰</t>
  </si>
  <si>
    <t>重庆市重庆市大渡口区金开大道1220号</t>
  </si>
  <si>
    <t>重庆市重庆市江北区东原D7区6栋702</t>
  </si>
  <si>
    <t>董庆兰</t>
  </si>
  <si>
    <t>王艺焜</t>
  </si>
  <si>
    <t>仇飞永</t>
  </si>
  <si>
    <t>湖北省十堰市茅箭区上海路中路58号</t>
  </si>
  <si>
    <t>湖北省十堰市张湾区车城路街道东岳南山小区九栋一单元402</t>
  </si>
  <si>
    <t>吴玲</t>
  </si>
  <si>
    <t>崔岩</t>
  </si>
  <si>
    <t>谢海飞</t>
  </si>
  <si>
    <t>杨耳沙</t>
  </si>
  <si>
    <t>黄奇峰</t>
  </si>
  <si>
    <t>江西省宜春市上高县工农巷9号</t>
  </si>
  <si>
    <t>江西省宜春市上高县工农巷3号附301室</t>
  </si>
  <si>
    <t>国九通</t>
  </si>
  <si>
    <t>赵伟明</t>
  </si>
  <si>
    <t>刘金瑞</t>
  </si>
  <si>
    <t>梁永欢</t>
  </si>
  <si>
    <t>邱将松</t>
  </si>
  <si>
    <t>肖志允</t>
  </si>
  <si>
    <t>陈楚松</t>
  </si>
  <si>
    <t>莫和雨</t>
  </si>
  <si>
    <t>海南省海口市琼山区定安县见龙大道443号</t>
  </si>
  <si>
    <t>海南省海口市琼山区定安县春阳江城国际B栋三单元1002房</t>
  </si>
  <si>
    <t>甘肃省庆阳市镇原县孟坝镇中街32号</t>
  </si>
  <si>
    <t>甘肃省庆阳市镇原县孟坝镇北街1号</t>
  </si>
  <si>
    <t>张乐明</t>
  </si>
  <si>
    <t>吕正礼</t>
  </si>
  <si>
    <t>朱军政</t>
  </si>
  <si>
    <t>李明成</t>
  </si>
  <si>
    <t>钱益明</t>
  </si>
  <si>
    <t>牛西峰</t>
  </si>
  <si>
    <t>曾亚丽</t>
  </si>
  <si>
    <t>浙江省台州市黄岩区西城街道横河村142号</t>
  </si>
  <si>
    <t>浙江省台州市黄岩区新前街道双丰村208号</t>
  </si>
  <si>
    <t>陈小萍</t>
  </si>
  <si>
    <t>陆耀华</t>
  </si>
  <si>
    <t>河南省开封市金明区汉兴路157号</t>
  </si>
  <si>
    <t>河南省开封市金明区康乐家园25号楼3单元6号</t>
  </si>
  <si>
    <t>永光</t>
  </si>
  <si>
    <t>伍亮</t>
  </si>
  <si>
    <t>赵翠霞</t>
  </si>
  <si>
    <t>任阳坡</t>
  </si>
  <si>
    <t>江西省萍乡市芦溪县芦溪县320国道旁</t>
  </si>
  <si>
    <t>江西省萍乡市芦溪县银河镇墨溪村乃塘38号</t>
  </si>
  <si>
    <t>史健健</t>
  </si>
  <si>
    <t>鲍松</t>
  </si>
  <si>
    <t>孜拜拉·赛日克</t>
  </si>
  <si>
    <t>何安瑞</t>
  </si>
  <si>
    <t>章程</t>
  </si>
  <si>
    <t>安徽省合肥市庐阳区北一环路</t>
  </si>
  <si>
    <t>安徽省黄山市屯溪区前园村司林路32号</t>
  </si>
  <si>
    <t>杨振杰</t>
  </si>
  <si>
    <t>朱立夫</t>
  </si>
  <si>
    <t>上海市上海市宝山区真华路1165号</t>
  </si>
  <si>
    <t>上海市上海市宝山区华灵路1885弄16号601</t>
  </si>
  <si>
    <t>卞景玉</t>
  </si>
  <si>
    <t>安徽省阜阳市颍上县前进路88号</t>
  </si>
  <si>
    <t>安徽省阜阳市颍上县江口镇王李村汤庄自然庄20号</t>
  </si>
  <si>
    <t>李德文</t>
  </si>
  <si>
    <t>河南省郑州市金水区商务内环路金成东方国际10号楼2002</t>
  </si>
  <si>
    <t>河南省郑州市二七区合作路鑫苑都市领地26号楼3单元087</t>
  </si>
  <si>
    <t>杨子琦</t>
  </si>
  <si>
    <t>山东省青岛市黄岛区淮河东路2号</t>
  </si>
  <si>
    <t>山东省青岛市黄岛区可乐石社区199号</t>
  </si>
  <si>
    <t>左小亮</t>
  </si>
  <si>
    <t>侯良山</t>
  </si>
  <si>
    <t>山东省烟台市牟平区山东省烟台市牟平区昆嵛山赵格庄村碑东</t>
  </si>
  <si>
    <t>山东省烟台市牟平区山东省烟台市牟平区昆嵛山赵格庄</t>
  </si>
  <si>
    <t>浙江省舟山市普陀区东港香榭街151号</t>
  </si>
  <si>
    <t>浙江省舟山市普陀区沈家门法院路24号门，606</t>
  </si>
  <si>
    <t>姜佳乐</t>
  </si>
  <si>
    <t>孔照才</t>
  </si>
  <si>
    <t>钟春桥</t>
  </si>
  <si>
    <t>赵琦</t>
  </si>
  <si>
    <t>冯辉</t>
  </si>
  <si>
    <t>喻平辉</t>
  </si>
  <si>
    <t>湖南省湘潭市湘乡市滨河北路滨江花园101号</t>
  </si>
  <si>
    <t>湖南省湘潭市湘乡市桑梅路53号</t>
  </si>
  <si>
    <t>郇昌娟</t>
  </si>
  <si>
    <t>贵州省贵阳市南明区解放西路91号</t>
  </si>
  <si>
    <t>贵州省贵阳市南明区青云路60号附45号</t>
  </si>
  <si>
    <t>内蒙古巴彦淖尔市乌拉特前旗教育路17号</t>
  </si>
  <si>
    <t>内蒙古巴彦淖尔市乌拉特前旗丽鑫家园4号楼1单元西户</t>
  </si>
  <si>
    <t>周曾浪</t>
  </si>
  <si>
    <t>福建省厦门市思明区思明区莲前街道201号</t>
  </si>
  <si>
    <t>福建省厦门市思明区莲前街道211号</t>
  </si>
  <si>
    <t>郭小强</t>
  </si>
  <si>
    <t>靳永涛</t>
  </si>
  <si>
    <t>黄德辉</t>
  </si>
  <si>
    <t>福建省宁德市柘荣县六一五东路11号</t>
  </si>
  <si>
    <t>福建省宁德市柘荣县双城镇东峰村183号</t>
  </si>
  <si>
    <t>付华丽</t>
  </si>
  <si>
    <t>李伟建</t>
  </si>
  <si>
    <t>宋开华</t>
  </si>
  <si>
    <t>杨亿</t>
  </si>
  <si>
    <t>程远</t>
  </si>
  <si>
    <t>范双双</t>
  </si>
  <si>
    <t>王祖波</t>
  </si>
  <si>
    <t>刘龑</t>
  </si>
  <si>
    <t>山西省长治市城区长治市城区八一广场西南角2楼2012</t>
  </si>
  <si>
    <t>山西省长治市郊区老顶山镇南垂村南大街55号2户</t>
  </si>
  <si>
    <t>许永毅</t>
  </si>
  <si>
    <t>福建省泉州市晋江市陈埭镇江头村环村东路97号</t>
  </si>
  <si>
    <t>尹峻峰</t>
  </si>
  <si>
    <t>郑恒</t>
  </si>
  <si>
    <t>安小跃</t>
  </si>
  <si>
    <t>彭松</t>
  </si>
  <si>
    <t>湖北省鄂州市鄂城区武昌大道215号</t>
  </si>
  <si>
    <t>湖北省鄂州市鄂城区官柳小区19栋1楼8号</t>
  </si>
  <si>
    <t>杨卫东</t>
  </si>
  <si>
    <t>重庆市重庆市巴南区花溪镇花溪七社</t>
  </si>
  <si>
    <t>重庆市重庆市南岸区南湖路69号9幢19-4</t>
  </si>
  <si>
    <t>吴慧丽</t>
  </si>
  <si>
    <t>张梦飞</t>
  </si>
  <si>
    <t>北京市北京市顺义区北京市顺义区国投节能公司</t>
  </si>
  <si>
    <t>北京市北京市顺义区顺义区南法信镇焦个庄村西路9号</t>
  </si>
  <si>
    <t>四川省成都市武侯区高朋大道11号</t>
  </si>
  <si>
    <t>四川省成都市双流县航空路西段82号3栋1单元1204</t>
  </si>
  <si>
    <t>石江棚</t>
  </si>
  <si>
    <t>贵州省黔东南苗族侗族自治州从江县从江县丙妹镇江东路73号</t>
  </si>
  <si>
    <t>贵州省从江县丙妹镇南下街道231号3楼</t>
  </si>
  <si>
    <t>苏卓伟</t>
  </si>
  <si>
    <t>贵州省遵义市红花岗区三渡镇鱼门囤景区零度生活馆</t>
  </si>
  <si>
    <t>陈万洋</t>
  </si>
  <si>
    <t>王宏东</t>
  </si>
  <si>
    <t>宋小林</t>
  </si>
  <si>
    <t>段勇</t>
  </si>
  <si>
    <t>湖北省荆州市监利县章华大道上信城2栋12号</t>
  </si>
  <si>
    <t>湖北省荆州市监利县容城镇国庆村广场七巷四号</t>
  </si>
  <si>
    <t>伊明一</t>
  </si>
  <si>
    <t>山东省淄博市张店区洪沟路9号文化大院</t>
  </si>
  <si>
    <t>山东省淄博市张店区张店区洪沟路新华街路口</t>
  </si>
  <si>
    <t>邓群辉</t>
  </si>
  <si>
    <t>四川省眉山市彭山县41</t>
  </si>
  <si>
    <t>四川省眉山市彭山县观音镇观音村6组7号</t>
  </si>
  <si>
    <t>柏绍斌</t>
  </si>
  <si>
    <t>幸仁义</t>
  </si>
  <si>
    <t>蓝坤</t>
  </si>
  <si>
    <t>陈思福</t>
  </si>
  <si>
    <t>杜瑞</t>
  </si>
  <si>
    <t>任俊夏</t>
  </si>
  <si>
    <t>安徽省合肥市巢湖市巢湖市长江路园润园4栋</t>
  </si>
  <si>
    <t>安徽省合肥市巢湖市巢庐路滨湖南苑小区5-2号楼一单元302室</t>
  </si>
  <si>
    <t>马海</t>
  </si>
  <si>
    <t>李子健</t>
  </si>
  <si>
    <t>马学鹏</t>
  </si>
  <si>
    <t>叶国平</t>
  </si>
  <si>
    <t>乐家发</t>
  </si>
  <si>
    <t>江苏省苏州市虎丘区苏州市虎丘区金枫路151号</t>
  </si>
  <si>
    <t>江苏省苏州市虎丘区浒关镇惠丰花园56幢303室</t>
  </si>
  <si>
    <t>殷峰</t>
  </si>
  <si>
    <t>向桂华</t>
  </si>
  <si>
    <t>蔡晓丹</t>
  </si>
  <si>
    <t>梁学年</t>
  </si>
  <si>
    <t>殷海全</t>
  </si>
  <si>
    <t>王洪林</t>
  </si>
  <si>
    <t>四川省绵阳市安县竹林工业园区</t>
  </si>
  <si>
    <t>四川省绵阳市安县界牌镇五显村九组</t>
  </si>
  <si>
    <t>周云飞</t>
  </si>
  <si>
    <t>尹艳楠</t>
  </si>
  <si>
    <t>邓小春</t>
  </si>
  <si>
    <t>广东省肇庆市鼎湖区坑口明政街1号</t>
  </si>
  <si>
    <t>广东省肇庆市鼎湖区天后路帝豪花园二期二栋1006</t>
  </si>
  <si>
    <t>吴键</t>
  </si>
  <si>
    <t>车俊鹏</t>
  </si>
  <si>
    <t>广西河池市金城江区江北路228号</t>
  </si>
  <si>
    <t>广西河池市金城江区乾宵路金辉小区</t>
  </si>
  <si>
    <t>张保安</t>
  </si>
  <si>
    <t>倪成庆</t>
  </si>
  <si>
    <t>湖北省荆州市洪湖市新堤街道宏伟南路80号</t>
  </si>
  <si>
    <t>湖北省荆州市洪湖市新堤街道新洪路90号融建华府9栋一单元504室</t>
  </si>
  <si>
    <t>江民陈</t>
  </si>
  <si>
    <t>张利利</t>
  </si>
  <si>
    <t>姜和朋</t>
  </si>
  <si>
    <t>山东省泰安市宁阳县宁阳县罡城镇保安村孔融街333号</t>
  </si>
  <si>
    <t>山东省泰安市宁阳县文化街99号7号楼2单元602室</t>
  </si>
  <si>
    <t>王文博</t>
  </si>
  <si>
    <t>杜昆仑</t>
  </si>
  <si>
    <t>马丽莎</t>
  </si>
  <si>
    <t>贾彪</t>
  </si>
  <si>
    <t>杨丙虎</t>
  </si>
  <si>
    <t>颜治娟</t>
  </si>
  <si>
    <t>李钰</t>
  </si>
  <si>
    <t>熊福建</t>
  </si>
  <si>
    <t>李欣键</t>
  </si>
  <si>
    <t>宋创业</t>
  </si>
  <si>
    <t>王立合</t>
  </si>
  <si>
    <t>王东芳</t>
  </si>
  <si>
    <t>段聪</t>
  </si>
  <si>
    <t>李相遇</t>
  </si>
  <si>
    <t>黑龙江省哈尔滨市南岗区红旗大街244号艺汇家门市</t>
  </si>
  <si>
    <t>黑龙江省哈尔滨市道外区红旗新区九栋二单元四零三</t>
  </si>
  <si>
    <t>呼日勒</t>
  </si>
  <si>
    <t>冯伟民</t>
  </si>
  <si>
    <t>温晓</t>
  </si>
  <si>
    <t>廖建锟</t>
  </si>
  <si>
    <t>北京市北京市门头沟区门头沟路59号</t>
  </si>
  <si>
    <t>北京市北京市昌平区十三陵镇石牌坊村76号</t>
  </si>
  <si>
    <t>黄攀</t>
  </si>
  <si>
    <t>李殿学</t>
  </si>
  <si>
    <t>杨军军</t>
  </si>
  <si>
    <t>四川省内江市资中县银山镇银山化工厂13号</t>
  </si>
  <si>
    <t>四川省内江市资中县现代国际17号楼13户5号</t>
  </si>
  <si>
    <t>姜文海</t>
  </si>
  <si>
    <t>郭承理</t>
  </si>
  <si>
    <t>粟明高</t>
  </si>
  <si>
    <t>葛雨</t>
  </si>
  <si>
    <t>许雯惠</t>
  </si>
  <si>
    <t>许金明</t>
  </si>
  <si>
    <t>徐帆</t>
  </si>
  <si>
    <t>朱涵</t>
  </si>
  <si>
    <t>叶剑明</t>
  </si>
  <si>
    <t>安徽省芜湖市芜湖县南次一路1211号</t>
  </si>
  <si>
    <t>安徽省芜湖市镜湖区方村街道腰梗行政村黄前自然村1号</t>
  </si>
  <si>
    <t>李飞京</t>
  </si>
  <si>
    <t>江西省萍乡市安源区八一西路59号</t>
  </si>
  <si>
    <t>江西省萍乡市上栗县福田镇福田街泉塘下5号</t>
  </si>
  <si>
    <t>叶小龙</t>
  </si>
  <si>
    <t>湖北省武汉市江汉区建银大厦2211</t>
  </si>
  <si>
    <t>湖北省武汉市江岸区君安花园1栋403</t>
  </si>
  <si>
    <t>云雨雷</t>
  </si>
  <si>
    <t>吴加峰</t>
  </si>
  <si>
    <t>王大磊</t>
  </si>
  <si>
    <t>兰焕</t>
  </si>
  <si>
    <t>胡国锋</t>
  </si>
  <si>
    <t>田潞潞</t>
  </si>
  <si>
    <t>高志超</t>
  </si>
  <si>
    <t>刘俊宏</t>
  </si>
  <si>
    <t>刘已</t>
  </si>
  <si>
    <t>扈圣磊</t>
  </si>
  <si>
    <t>岩强</t>
  </si>
  <si>
    <t>谭聪</t>
  </si>
  <si>
    <t>辽宁省铁岭市银州区岭东街122号</t>
  </si>
  <si>
    <t>柯男男</t>
  </si>
  <si>
    <t>孙小岗</t>
  </si>
  <si>
    <t>杨思明</t>
  </si>
  <si>
    <t>梁梦龙</t>
  </si>
  <si>
    <t>邓冰冰</t>
  </si>
  <si>
    <t>艾兴顺</t>
  </si>
  <si>
    <t>田旭锋</t>
  </si>
  <si>
    <t>陈宝杰</t>
  </si>
  <si>
    <t>罗文苑</t>
  </si>
  <si>
    <t>孙伟羚</t>
  </si>
  <si>
    <t>秦登政</t>
  </si>
  <si>
    <t>王典雅</t>
  </si>
  <si>
    <t>廖品强</t>
  </si>
  <si>
    <t>阿生别克·阿吾孜别克</t>
  </si>
  <si>
    <t>新疆塔城地区额敏县新疆维吾尔自治区塔城额敏</t>
  </si>
  <si>
    <t>新疆塔城地区额敏县新疆维吾尔自治区塔城额敏县</t>
  </si>
  <si>
    <t>孙中选</t>
  </si>
  <si>
    <t>周晟驰</t>
  </si>
  <si>
    <t>桂诚</t>
  </si>
  <si>
    <t>白小飞</t>
  </si>
  <si>
    <t>林晓琴</t>
  </si>
  <si>
    <t>夏元帅</t>
  </si>
  <si>
    <t>倪锐</t>
  </si>
  <si>
    <t>龚正华</t>
  </si>
  <si>
    <t>苏东毕</t>
  </si>
  <si>
    <t>陈烨</t>
  </si>
  <si>
    <t>黑龙江省哈尔滨市道里区群力第七大道海富绣园A12</t>
  </si>
  <si>
    <t>黑龙江省哈尔滨市南岗区哈西壹品新境小区三号楼三单元502</t>
  </si>
  <si>
    <t>吴锦秀</t>
  </si>
  <si>
    <t>甘申</t>
  </si>
  <si>
    <t>屠九权</t>
  </si>
  <si>
    <t>江苏省盐城市响水县响水县幸福南路276号</t>
  </si>
  <si>
    <t>江苏省盐城市响水县响水县幸福南路76号</t>
  </si>
  <si>
    <t>梁海恩</t>
  </si>
  <si>
    <t>徐永昌</t>
  </si>
  <si>
    <t>刘兴庭</t>
  </si>
  <si>
    <t>贺强</t>
  </si>
  <si>
    <t>四川省绵阳市涪城区绵兴东路188号二楼</t>
  </si>
  <si>
    <t>四川省绵阳市三台县芦溪镇紫荊花4号楼1单元202</t>
  </si>
  <si>
    <t>王勇虎</t>
  </si>
  <si>
    <t>甘肃省张掖市甘州区张掖市甘州区巴吉滩经济开发区文礼驾校左侧90米</t>
  </si>
  <si>
    <t>甘肃省张掖市甘州区梁家墩镇三工村九社富民家园</t>
  </si>
  <si>
    <t>辜春磊</t>
  </si>
  <si>
    <t>王永波</t>
  </si>
  <si>
    <t>泽仁拉姆</t>
  </si>
  <si>
    <t>马金成</t>
  </si>
  <si>
    <t>范毅鸣</t>
  </si>
  <si>
    <t>陈黎</t>
  </si>
  <si>
    <t>孙秀良</t>
  </si>
  <si>
    <t>郑秀杰</t>
  </si>
  <si>
    <t>杨福林</t>
  </si>
  <si>
    <t>卜鑫</t>
  </si>
  <si>
    <t>翁雪玲</t>
  </si>
  <si>
    <t>李狮狮</t>
  </si>
  <si>
    <t>董彪</t>
  </si>
  <si>
    <t>李春仔</t>
  </si>
  <si>
    <t>山东省东营市河口区海滨路北首路西</t>
  </si>
  <si>
    <t>山东省东营市河口区河康小区34号楼</t>
  </si>
  <si>
    <t>孙翼飞</t>
  </si>
  <si>
    <t>唐嵌</t>
  </si>
  <si>
    <t>四川省成都市金牛区沙河源街道办事处友联村一社</t>
  </si>
  <si>
    <t>四川省成都市锦江区解放路一段120号1栋1单元5号</t>
  </si>
  <si>
    <t>常昊</t>
  </si>
  <si>
    <t>张建建</t>
  </si>
  <si>
    <t>甘肃省天水市秦安县十里铺向西200米宏固实业</t>
  </si>
  <si>
    <t>甘肃省天水市秦安县西川镇李堡村</t>
  </si>
  <si>
    <t>金戈</t>
  </si>
  <si>
    <t>江苏省盐城市亭湖区盐城市亭湖区开放大道18号</t>
  </si>
  <si>
    <t>江苏省盐城市亭湖区江苏省盐城市亭湖区双元西路长坝小区4区4栋603</t>
  </si>
  <si>
    <t>王政</t>
  </si>
  <si>
    <t>武晖</t>
  </si>
  <si>
    <t>甘肃省天水市张家川回族自治县张家川镇阿阳大道滨河东路1号</t>
  </si>
  <si>
    <t>甘肃省天水市张家川回族自治县张家川县盐业公司 家属楼四单元441室</t>
  </si>
  <si>
    <t>赵德鑫</t>
  </si>
  <si>
    <t>孙彦强</t>
  </si>
  <si>
    <t>刘宜富</t>
  </si>
  <si>
    <t>浙江省绍兴市诸暨市大唐镇岗顶新村878号</t>
  </si>
  <si>
    <t>浙江省绍兴市诸暨市大唐镇岗顶柱山村928号</t>
  </si>
  <si>
    <t>陈梦庭</t>
  </si>
  <si>
    <t>郑杨</t>
  </si>
  <si>
    <t>姜博</t>
  </si>
  <si>
    <t>湖北省武汉市硚口区中山大道26号</t>
  </si>
  <si>
    <t>湖北省武汉市硚口区建国路170号3单元5楼6号</t>
  </si>
  <si>
    <t>苗健</t>
  </si>
  <si>
    <t>晏崇鑫</t>
  </si>
  <si>
    <t>曹梦莹</t>
  </si>
  <si>
    <t>刘发树</t>
  </si>
  <si>
    <t>吴小文</t>
  </si>
  <si>
    <t>王云飞</t>
  </si>
  <si>
    <t>内蒙古呼和浩特市赛罕区金宇文苑东区商业46号101</t>
  </si>
  <si>
    <t>呼和浩特市金宇文苑东区商业46号201</t>
  </si>
  <si>
    <t>陈忠莲</t>
  </si>
  <si>
    <t>姚美</t>
  </si>
  <si>
    <t>黄红梅</t>
  </si>
  <si>
    <t>四川省广安市广安区广安市神龙街589-9</t>
  </si>
  <si>
    <t>四川省广安市广安区广安市神龙花园</t>
  </si>
  <si>
    <t>汤建生</t>
  </si>
  <si>
    <t>罗远秦</t>
  </si>
  <si>
    <t>朱明迪</t>
  </si>
  <si>
    <t>巫健</t>
  </si>
  <si>
    <t>邬万东</t>
  </si>
  <si>
    <t>赵娣</t>
  </si>
  <si>
    <t>长春市朝阳区新民大街与健康路交汇处西行100米</t>
  </si>
  <si>
    <t xml:space="preserve"> 长春市南关区繁荣路我的家园小区13栋一单元301室</t>
  </si>
  <si>
    <t>王友才</t>
  </si>
  <si>
    <t>邵琦</t>
  </si>
  <si>
    <t>刘祯海</t>
  </si>
  <si>
    <t>冯翠萍</t>
  </si>
  <si>
    <t>臧子文</t>
  </si>
  <si>
    <t>苏永天</t>
  </si>
  <si>
    <t>夏秀</t>
  </si>
  <si>
    <t>邓金乐</t>
  </si>
  <si>
    <t>刘立林</t>
  </si>
  <si>
    <t>孙羽</t>
  </si>
  <si>
    <t>曾鹏</t>
  </si>
  <si>
    <t>四川省宜宾市屏山县石盘工业园区茗香街2号</t>
  </si>
  <si>
    <t>四川省宜宾市翠屏区柏溪镇振兴路振兴小区3栋2单元7楼1号</t>
  </si>
  <si>
    <t>姚立见</t>
  </si>
  <si>
    <t>张露</t>
  </si>
  <si>
    <t>林增吉</t>
  </si>
  <si>
    <t>李兴碧</t>
  </si>
  <si>
    <t>贺栋</t>
  </si>
  <si>
    <t>湖南省湘潭市岳塘区双拥南路15号</t>
  </si>
  <si>
    <t>湖南省湘潭市岳塘区霞光山庄南苑B1栋302</t>
  </si>
  <si>
    <t>杨伦</t>
  </si>
  <si>
    <t>赵体冠</t>
  </si>
  <si>
    <t>杨艳龙</t>
  </si>
  <si>
    <t>金向东</t>
  </si>
  <si>
    <t>李青松</t>
  </si>
  <si>
    <t>范逸轩</t>
  </si>
  <si>
    <t>天津市天津市滨海新区天津市滨海新区大港喜荣街90号</t>
  </si>
  <si>
    <t>天津市天津市河西区天津市河西区南京路爱慕里1-201</t>
  </si>
  <si>
    <t>耿金超</t>
  </si>
  <si>
    <t>贺华</t>
  </si>
  <si>
    <t>杨珂</t>
  </si>
  <si>
    <t>祝少磊</t>
  </si>
  <si>
    <t>李彩玲</t>
  </si>
  <si>
    <t>黑龙江省哈尔滨市道里区新阳路56号</t>
  </si>
  <si>
    <t>黑龙江省哈尔滨市道里区运华广场205栋一单元501室</t>
  </si>
  <si>
    <t>张昌泽</t>
  </si>
  <si>
    <t>云南省昆明市嵩明县嵩阳镇药灵路153号</t>
  </si>
  <si>
    <t>云南省昆明市嵩明县嵩阳镇武侯路25号</t>
  </si>
  <si>
    <t>季玉</t>
  </si>
  <si>
    <t>詹靖</t>
  </si>
  <si>
    <t>王明群</t>
  </si>
  <si>
    <t>林瑾夏</t>
  </si>
  <si>
    <t>王育晓</t>
  </si>
  <si>
    <t>洪刚</t>
  </si>
  <si>
    <t>张梦劭</t>
  </si>
  <si>
    <t>江雨轩</t>
  </si>
  <si>
    <t>黑龙江省哈尔滨市香坊区和平路66-6号</t>
  </si>
  <si>
    <t>黑龙江省哈尔滨市香坊区民生二道街38-3号</t>
  </si>
  <si>
    <t>代宗辉</t>
  </si>
  <si>
    <t>党玉斌</t>
  </si>
  <si>
    <t>甘肃省定西市安定区解放路36号</t>
  </si>
  <si>
    <t>甘肃省定西市安定区鲁家沟镇南川村</t>
  </si>
  <si>
    <t>滕久华</t>
  </si>
  <si>
    <t>姚玉龙</t>
  </si>
  <si>
    <t>周廷宝</t>
  </si>
  <si>
    <t>吴显艺</t>
  </si>
  <si>
    <t>广西贵港市桂平市玮力裕科技园3号</t>
  </si>
  <si>
    <t>广西贵港市桂平市中山中路2号</t>
  </si>
  <si>
    <t>程思征</t>
  </si>
  <si>
    <t>李国雄</t>
  </si>
  <si>
    <t>杨彤</t>
  </si>
  <si>
    <t>邓小玉</t>
  </si>
  <si>
    <t>陈金雄</t>
  </si>
  <si>
    <t>陈月军</t>
  </si>
  <si>
    <t>张灿</t>
  </si>
  <si>
    <t>季庆玲</t>
  </si>
  <si>
    <t>张永胜</t>
  </si>
  <si>
    <t>温雄</t>
  </si>
  <si>
    <t>贺文龙</t>
  </si>
  <si>
    <t>侯宗廷</t>
  </si>
  <si>
    <t>河南省郑州市新密市大隗镇方圆大道79号</t>
  </si>
  <si>
    <t>河南省郑州市新密市大隗镇纸坊村东头129号</t>
  </si>
  <si>
    <t>曹亚茂</t>
  </si>
  <si>
    <t>湖南省娄底市双峰县永丰镇复兴路253号</t>
  </si>
  <si>
    <t>湖南省娄底市双峰县永丰镇梓园路47号</t>
  </si>
  <si>
    <t>刘梅</t>
  </si>
  <si>
    <t>杨焕滨</t>
  </si>
  <si>
    <t>徐飞飞</t>
  </si>
  <si>
    <t>何伊芳</t>
  </si>
  <si>
    <t>辽宁省沈阳市沈河区中街路168号大春天负二楼</t>
  </si>
  <si>
    <t>辽宁省沈阳市沈河区望云寺路59号342</t>
  </si>
  <si>
    <t>周肖</t>
  </si>
  <si>
    <t>傅晓强</t>
  </si>
  <si>
    <t>高凯伦</t>
  </si>
  <si>
    <t>河北省沧州市运河区不动产登记局</t>
  </si>
  <si>
    <t>河北省沧州市运河区万泰丽景4-2-1601</t>
  </si>
  <si>
    <t>王问</t>
  </si>
  <si>
    <t>蔡梦柳</t>
  </si>
  <si>
    <t>许文冰</t>
  </si>
  <si>
    <t>上海市上海市虹口区中山北一路208号</t>
  </si>
  <si>
    <t>上海市上海市虹口区昆明路80弄6号301室</t>
  </si>
  <si>
    <t>山东省济南市市中区英雄山文化市场</t>
  </si>
  <si>
    <t>山东省济南市市中区舜玉小区南区71号楼4单元201</t>
  </si>
  <si>
    <t>殷洪野</t>
  </si>
  <si>
    <t>赵金梅</t>
  </si>
  <si>
    <t>王晓龙</t>
  </si>
  <si>
    <t>郑珺文</t>
  </si>
  <si>
    <t>王艳坤</t>
  </si>
  <si>
    <t>许春刚</t>
  </si>
  <si>
    <t>曹胜江</t>
  </si>
  <si>
    <t>代永福</t>
  </si>
  <si>
    <t>高红斌</t>
  </si>
  <si>
    <t>黑龙江省大庆市龙凤区兴化大街化谊路1号</t>
  </si>
  <si>
    <t>黑龙江省大庆市龙凤区龙风区兴化大街化安路3区10号楼2门502室</t>
  </si>
  <si>
    <t>梁仁富</t>
  </si>
  <si>
    <t>李梦杨</t>
  </si>
  <si>
    <t>黄心锐</t>
  </si>
  <si>
    <t>许郁卿</t>
  </si>
  <si>
    <t>潘强强</t>
  </si>
  <si>
    <t>湖北省武汉市江汉区葛洲坝国际广场3栋1单元1802</t>
  </si>
  <si>
    <t>湖北省黄石市西塞山区西塞街道凉山村大游湾105号</t>
  </si>
  <si>
    <t>申华军</t>
  </si>
  <si>
    <t>贵州省遵义市务川仡佬族苗族自治县贵州省遵义市务川县丰乐镇牛塘完小</t>
  </si>
  <si>
    <t>贵州省遵义市务川仡佬族苗族自治县贵州省遵义市务川县都濡镇三中务星国际一号楼2606</t>
  </si>
  <si>
    <t>闫子岳</t>
  </si>
  <si>
    <t>鲁勇</t>
  </si>
  <si>
    <t>刘梦萱</t>
  </si>
  <si>
    <t>赵钒伯</t>
  </si>
  <si>
    <t>金星</t>
  </si>
  <si>
    <t>辽宁省辽阳市弓长岭区苏安大街127号</t>
  </si>
  <si>
    <t>辽宁省辽阳市弓长岭区团山街道陈家社区66栋5-6号</t>
  </si>
  <si>
    <t>付勋勋</t>
  </si>
  <si>
    <t>刘伟红</t>
  </si>
  <si>
    <t>汪波</t>
  </si>
  <si>
    <t>孟凡永</t>
  </si>
  <si>
    <t>江苏省盐城市滨海县江苏省盐城市滨海县宝丰商城3栋21号</t>
  </si>
  <si>
    <t>江苏省盐城市滨海县江苏省盐城市滨海县孟杨居委会一组391号</t>
  </si>
  <si>
    <t>尤宗亮</t>
  </si>
  <si>
    <t>河南省信阳市光山县弦山南路妇幼保健院隔壁</t>
  </si>
  <si>
    <t>河南省信阳市光山县弦山北路丰源商厦601</t>
  </si>
  <si>
    <t>万冉</t>
  </si>
  <si>
    <t>袁有彬</t>
  </si>
  <si>
    <t>江西省赣州市崇义县解放路399号</t>
  </si>
  <si>
    <t>江西省赣州市崇义县解放路270号</t>
  </si>
  <si>
    <t>邢蓉蓉</t>
  </si>
  <si>
    <t>刘翔翔</t>
  </si>
  <si>
    <t>黄书香</t>
  </si>
  <si>
    <t>吴月红</t>
  </si>
  <si>
    <t>江苏省盐城市射阳县合德镇双拥北路交叉口</t>
  </si>
  <si>
    <t>江苏省盐城市射阳县江苏省盐城市射阳县海通镇射北村一组12号</t>
  </si>
  <si>
    <t>唐富军</t>
  </si>
  <si>
    <t>赵忠适</t>
  </si>
  <si>
    <t>广西南宁市青秀区民族大道141号中鼎万象东方C座901</t>
  </si>
  <si>
    <t>广西南宁市江南区平西一支路东一巷42号301</t>
  </si>
  <si>
    <t>徐德贵</t>
  </si>
  <si>
    <t>杨婷钰</t>
  </si>
  <si>
    <t>彭苗</t>
  </si>
  <si>
    <t>徐红江</t>
  </si>
  <si>
    <t>肇忠福</t>
  </si>
  <si>
    <t>沈明海</t>
  </si>
  <si>
    <t>江西省萍乡市安源区萍乡市安源区经济开发区经贸大厦18楼</t>
  </si>
  <si>
    <t>江西省萍乡市湘东区湘东镇黄花村段家老屋</t>
  </si>
  <si>
    <t>邴明纪</t>
  </si>
  <si>
    <t>山东省聊城市东昌府区风凰工业园富民路36号</t>
  </si>
  <si>
    <t>山东省聊城市东昌府区陈口路金柱大学城2号楼</t>
  </si>
  <si>
    <t>李树江</t>
  </si>
  <si>
    <t>尹加强</t>
  </si>
  <si>
    <t>郭景昌</t>
  </si>
  <si>
    <t>孙亮亮</t>
  </si>
  <si>
    <t>广西桂林市兴安县界首镇百里村烈水桥</t>
  </si>
  <si>
    <t>广西桂林市兴安县界首镇百里村委会烈水桥21号</t>
  </si>
  <si>
    <t>周远辉</t>
  </si>
  <si>
    <t>易加伟</t>
  </si>
  <si>
    <t>谷召鹏</t>
  </si>
  <si>
    <t>王和平</t>
  </si>
  <si>
    <t>张驰骋</t>
  </si>
  <si>
    <t>张江波</t>
  </si>
  <si>
    <t>庞志安</t>
  </si>
  <si>
    <t>姚栋梁</t>
  </si>
  <si>
    <t>湖南省邵阳市大祥区火车南站街道24-1栋17号</t>
  </si>
  <si>
    <t>湖南省邵阳市双清区五里牌社区6组972号</t>
  </si>
  <si>
    <t>刘坤阁</t>
  </si>
  <si>
    <t>安徽省合肥市包河区111</t>
  </si>
  <si>
    <t>广西梧州市藤县精神病院111号</t>
  </si>
  <si>
    <t>于玥</t>
  </si>
  <si>
    <t>陈家仁</t>
  </si>
  <si>
    <t>刘剑龙</t>
  </si>
  <si>
    <t>帅芳芳</t>
  </si>
  <si>
    <t>陆继贤</t>
  </si>
  <si>
    <t>朱振</t>
  </si>
  <si>
    <t>贺润铭</t>
  </si>
  <si>
    <t>浙江省宁波市镇海区骆驼街道永昌西路1号</t>
  </si>
  <si>
    <t>浙江省宁波市镇海区贵驷街道妙胜寺村顾家6号</t>
  </si>
  <si>
    <t>张启伟</t>
  </si>
  <si>
    <t>尹心如</t>
  </si>
  <si>
    <t>孟庆莲</t>
  </si>
  <si>
    <t>河北省保定市安国市安国市药都南大街86号</t>
  </si>
  <si>
    <t>河北省保定市安国市安国市奶奶庙胡同38号</t>
  </si>
  <si>
    <t>吕耀展</t>
  </si>
  <si>
    <t>天津市天津市静海县天津市静海区子牙循环经济产业园区10号路</t>
  </si>
  <si>
    <t>天津市天津市静海县天津市静海区子牙镇子牙商品街南排93号</t>
  </si>
  <si>
    <t>宋兆强</t>
  </si>
  <si>
    <t>王雅珍</t>
  </si>
  <si>
    <t>刘家新</t>
  </si>
  <si>
    <t>山东省聊城市临清市山东省临清市大兴电机有限公司</t>
  </si>
  <si>
    <t>山东省聊城市临清市山东省临清市</t>
  </si>
  <si>
    <t>河北省石家庄市藁城市南营镇杨家寨村</t>
  </si>
  <si>
    <t>河北省石家庄市藁城市南营镇马庄村平安街西88号</t>
  </si>
  <si>
    <t>肖俊</t>
  </si>
  <si>
    <t>马英宇</t>
  </si>
  <si>
    <t>浙江省杭州市下城区华丰路160号华悦大厦2号楼8楼</t>
  </si>
  <si>
    <t>浙江省杭州市江干区下沙24号大街金隅观澜时代翰庭8幢1904</t>
  </si>
  <si>
    <t>叶浩喜</t>
  </si>
  <si>
    <t>毕少明</t>
  </si>
  <si>
    <t>周田田</t>
  </si>
  <si>
    <t>邓铼</t>
  </si>
  <si>
    <t>桑文洁</t>
  </si>
  <si>
    <t>安翀</t>
  </si>
  <si>
    <t>吴朝生</t>
  </si>
  <si>
    <t>浙江省温州市平阳县萧江镇2期工业园区1号</t>
  </si>
  <si>
    <t>浙江省温州市平阳县萧江镇肖江村27号</t>
  </si>
  <si>
    <t>杜康杰</t>
  </si>
  <si>
    <t>海南省海口市琼山区府城镇东门七号</t>
  </si>
  <si>
    <t>广东省湛江市吴川市梅录街道糖厂西四巷11号</t>
  </si>
  <si>
    <t>丁祖勤</t>
  </si>
  <si>
    <t>齐林青</t>
  </si>
  <si>
    <t>刘盛</t>
  </si>
  <si>
    <t>丁成林</t>
  </si>
  <si>
    <t>湖北省武汉市硚口区硚口区古田四路9附38</t>
  </si>
  <si>
    <t>湖北省武汉市硚口区京汉大道1号银河小区10栋8楼802室</t>
  </si>
  <si>
    <t>青海省西宁市城西区西关大街37号博纳广场西三楼</t>
  </si>
  <si>
    <t>青海省西宁市城西区胜利路81号枫林绿洲小区3栋1242</t>
  </si>
  <si>
    <t>覃馨钰</t>
  </si>
  <si>
    <t>刘亚雄</t>
  </si>
  <si>
    <t>姜剑</t>
  </si>
  <si>
    <t>丘辉新</t>
  </si>
  <si>
    <t>杨兹勇</t>
  </si>
  <si>
    <t>海南省海口市龙华区滨海新村84号一楼</t>
  </si>
  <si>
    <t>海南省海口市美兰区二西路金江口花园小区D栋5楼501号</t>
  </si>
  <si>
    <t>周荣贵</t>
  </si>
  <si>
    <t>周小亮</t>
  </si>
  <si>
    <t>湖北省武汉市江夏区横店街道天阳路7号</t>
  </si>
  <si>
    <t>湖北省武汉市黄陂区横店街道天阳路7号</t>
  </si>
  <si>
    <t>齐兵</t>
  </si>
  <si>
    <t>陈穗翔</t>
  </si>
  <si>
    <t>彭树军</t>
  </si>
  <si>
    <t>重庆市重庆市沙坪坝区大学城重庆科技学院</t>
  </si>
  <si>
    <t>重庆市重庆市丰都县名山街道花园街87号4单元3-2</t>
  </si>
  <si>
    <t>段礼波</t>
  </si>
  <si>
    <t>邗江路</t>
  </si>
  <si>
    <t>江苏省扬州市邗江区尚城22栋106</t>
  </si>
  <si>
    <t>王震东</t>
  </si>
  <si>
    <t>曾庆丽</t>
  </si>
  <si>
    <t>广西防城港市港口区公车镇榕木江大街300号</t>
  </si>
  <si>
    <t>广西防城港市港口区凯乐路凯乐园小区B五栋601</t>
  </si>
  <si>
    <t>周捷</t>
  </si>
  <si>
    <t>广西柳州市鱼峰区官塘大道68号</t>
  </si>
  <si>
    <t>广西柳州市柳北区三中路92号21栋1单元401</t>
  </si>
  <si>
    <t>陶李</t>
  </si>
  <si>
    <t>朱文升</t>
  </si>
  <si>
    <t>云南省普洱市思茅区普洱市思茅区林源路70号</t>
  </si>
  <si>
    <t>云南省普洱市思茅区普洱市思茅区林源路27号3栋1单元602室</t>
  </si>
  <si>
    <t>四川省凉山彝族自治州西昌市胜利路66号</t>
  </si>
  <si>
    <t>四川省凉山彝族自治州西昌市长安西路月亮转盘悦城枫丹丽舍小区六栋一单元四楼一号</t>
  </si>
  <si>
    <t>吕广付</t>
  </si>
  <si>
    <t>杨烨</t>
  </si>
  <si>
    <t>葛红伟</t>
  </si>
  <si>
    <t>张宏坤</t>
  </si>
  <si>
    <t>福建省厦门市思明区湖滨南路立信广场27楼</t>
  </si>
  <si>
    <t>福建省厦门市思明区金尚街道金秋花园149号3期201</t>
  </si>
  <si>
    <t>叶伟煌</t>
  </si>
  <si>
    <t>李东旭</t>
  </si>
  <si>
    <t>甘肃省庆阳市西峰区九龙路241号</t>
  </si>
  <si>
    <t>甘肃省庆阳市庆城县新华路36号</t>
  </si>
  <si>
    <t>代国平</t>
  </si>
  <si>
    <t>广东省佛山市南海区丹灶镇国家生态园经胜路1号</t>
  </si>
  <si>
    <t>王智成</t>
  </si>
  <si>
    <t>谌梦妮</t>
  </si>
  <si>
    <t>张善超</t>
  </si>
  <si>
    <t>郑玉善</t>
  </si>
  <si>
    <t>翟金蒙</t>
  </si>
  <si>
    <t>李新祥</t>
  </si>
  <si>
    <t>郝忠福</t>
  </si>
  <si>
    <t>龚鹏</t>
  </si>
  <si>
    <t>何立发</t>
  </si>
  <si>
    <t>陈文习</t>
  </si>
  <si>
    <t>广东省揭阳市揭东县揭东经济开发区龙港路3号</t>
  </si>
  <si>
    <t>广东省揭阳市揭西县京溪园镇长滩村</t>
  </si>
  <si>
    <t>于肖阳</t>
  </si>
  <si>
    <t>包崇伟</t>
  </si>
  <si>
    <t>颜锐</t>
  </si>
  <si>
    <t>汪学明</t>
  </si>
  <si>
    <t>浙江省金华市义乌市北苑街道季宅一区83栋二单元二楼</t>
  </si>
  <si>
    <t>浙江省金华市义乌市北苑街道季宅一区83栋二单元408室</t>
  </si>
  <si>
    <t>江苏省南京市鼓楼区云南路24号</t>
  </si>
  <si>
    <t>江苏省南京市鼓楼区湛江路苏宁千秋情缘7栋二单元101室</t>
  </si>
  <si>
    <t>谢伟兵</t>
  </si>
  <si>
    <t>黄华南</t>
  </si>
  <si>
    <t>王晓莲</t>
  </si>
  <si>
    <t>甘肃省武威市凉州区恒大绿洲2号楼001</t>
  </si>
  <si>
    <t>甘肃省武威市凉州区西关南路60号1单元402</t>
  </si>
  <si>
    <t>程方方</t>
  </si>
  <si>
    <t>陈梦涛</t>
  </si>
  <si>
    <t>河北省石家庄市长安区休门南街6号</t>
  </si>
  <si>
    <t>河北省石家庄市长安区槐中路69号欣怡园2栋1单元101</t>
  </si>
  <si>
    <t>欧映禄</t>
  </si>
  <si>
    <t>广东省潮州市饶平县钱东镇李厝村力诚酒店往钱东方向200米</t>
  </si>
  <si>
    <t>广东省潮州市饶平县海山镇欧石狮爷井南五横2号</t>
  </si>
  <si>
    <t>顾建安</t>
  </si>
  <si>
    <t>黎研</t>
  </si>
  <si>
    <t>胡晓婷</t>
  </si>
  <si>
    <t>林后伟</t>
  </si>
  <si>
    <t>彭青青</t>
  </si>
  <si>
    <t>郭灿</t>
  </si>
  <si>
    <t>贾云飞</t>
  </si>
  <si>
    <t>唐玉亭</t>
  </si>
  <si>
    <t>贾存亮</t>
  </si>
  <si>
    <t>杜静涛</t>
  </si>
  <si>
    <t>高宇军</t>
  </si>
  <si>
    <t>江苏省苏州市张家港市杨舍镇城北路178号华芳国际大厦10楼</t>
  </si>
  <si>
    <t>江苏省苏州市张家港市杨舍镇范庄新村13幢204</t>
  </si>
  <si>
    <t>毛志龙</t>
  </si>
  <si>
    <t>黄继维</t>
  </si>
  <si>
    <t>刘沛海</t>
  </si>
  <si>
    <t>段璐璐</t>
  </si>
  <si>
    <t>刘军杰</t>
  </si>
  <si>
    <t>李东阳</t>
  </si>
  <si>
    <t>赵继凯</t>
  </si>
  <si>
    <t>王环生</t>
  </si>
  <si>
    <t>广东省梅州市蕉岭县蕉城镇湖谷村蔗园49号</t>
  </si>
  <si>
    <t>广东省梅州市蕉岭县蕉城镇桂岭大道中119号</t>
  </si>
  <si>
    <t>徐得斌</t>
  </si>
  <si>
    <t>广东省深圳市龙岗区深圳市龙岗区布吉金鹏路26号金鹏大厦627</t>
  </si>
  <si>
    <t>广东省深圳市福田区深圳市福田区南园路锦龙新村12栋303</t>
  </si>
  <si>
    <t>谌志洪</t>
  </si>
  <si>
    <t>钟灿明</t>
  </si>
  <si>
    <t>许昕嵘</t>
  </si>
  <si>
    <t>福建省厦门市同安区厦门市同安区瑶头村18号</t>
  </si>
  <si>
    <t>福建省厦门市同安区瑞华商业城4号楼606</t>
  </si>
  <si>
    <t>胡迪</t>
  </si>
  <si>
    <t>李建珂</t>
  </si>
  <si>
    <t>山东省聊城市东昌府区县医院西宿舍区</t>
  </si>
  <si>
    <t>山东省聊城市冠县西苑小区</t>
  </si>
  <si>
    <t>赵荣</t>
  </si>
  <si>
    <t>蔡锦伟</t>
  </si>
  <si>
    <t>广东省广州市增城市广州市增城区荔新十一路2号</t>
  </si>
  <si>
    <t>广东省广州市增城市新塘镇岗丰村岗丰一路</t>
  </si>
  <si>
    <t>郭兰峰</t>
  </si>
  <si>
    <t>王则林</t>
  </si>
  <si>
    <t>向婷</t>
  </si>
  <si>
    <t>陈凡</t>
  </si>
  <si>
    <t>江西省萍乡市安源区萍乡市跃进北路259号</t>
  </si>
  <si>
    <t>江西省萍乡市安源区后埠街街道朝阳路百乐小区</t>
  </si>
  <si>
    <t>刘长师</t>
  </si>
  <si>
    <t>张强强</t>
  </si>
  <si>
    <t>林宇鹏</t>
  </si>
  <si>
    <t>文峰</t>
  </si>
  <si>
    <t>徐瑞江</t>
  </si>
  <si>
    <t>李宝荣</t>
  </si>
  <si>
    <t>潘亚明</t>
  </si>
  <si>
    <t>王爱明</t>
  </si>
  <si>
    <t>朱东旭</t>
  </si>
  <si>
    <t>江苏省无锡市滨湖区硕放镇薛典路9号</t>
  </si>
  <si>
    <t>江苏省无锡市滨湖区新区太湖花园二区41栋301室</t>
  </si>
  <si>
    <t>邢开伟</t>
  </si>
  <si>
    <t>卢天容</t>
  </si>
  <si>
    <t>何深光</t>
  </si>
  <si>
    <t>杨松宁</t>
  </si>
  <si>
    <t>邓晶</t>
  </si>
  <si>
    <t>王诗瑶</t>
  </si>
  <si>
    <t>李琳娜</t>
  </si>
  <si>
    <t>邵伟强</t>
  </si>
  <si>
    <t>黄丽梅</t>
  </si>
  <si>
    <t>杨逸明</t>
  </si>
  <si>
    <t>代粮糠</t>
  </si>
  <si>
    <t>刘名轩</t>
  </si>
  <si>
    <t>于海升</t>
  </si>
  <si>
    <t>山东省烟台市海阳市文山街23号</t>
  </si>
  <si>
    <t>山东省烟台市海阳市龙山街116号三号楼一单元201</t>
  </si>
  <si>
    <t>姬德亮</t>
  </si>
  <si>
    <t>周晖菲</t>
  </si>
  <si>
    <t>罗晓辉</t>
  </si>
  <si>
    <t>张丽娜</t>
  </si>
  <si>
    <t>文林</t>
  </si>
  <si>
    <t>郭祥柱</t>
  </si>
  <si>
    <t>何立珊</t>
  </si>
  <si>
    <t>尹超</t>
  </si>
  <si>
    <t>苗智</t>
  </si>
  <si>
    <t>郑欣</t>
  </si>
  <si>
    <t>冯霞</t>
  </si>
  <si>
    <t>闫璐璐</t>
  </si>
  <si>
    <t>池方德</t>
  </si>
  <si>
    <t>梁绳财</t>
  </si>
  <si>
    <t>倪宇</t>
  </si>
  <si>
    <t>何智文</t>
  </si>
  <si>
    <t>行鹏飞</t>
  </si>
  <si>
    <t>曾利洪</t>
  </si>
  <si>
    <t>曾兴</t>
  </si>
  <si>
    <t>上海市上海市静安区上海市静安区万荣路777号</t>
  </si>
  <si>
    <t>上海市上海市杨浦区上海市杨浦区周家恒仁路25弄13号501室</t>
  </si>
  <si>
    <t>韦灵西</t>
  </si>
  <si>
    <t>郑珊珊</t>
  </si>
  <si>
    <t>梁桂昌</t>
  </si>
  <si>
    <t>孙书鹏</t>
  </si>
  <si>
    <t>山东省淄博市张店区淄博市张店区昌国路派出所</t>
  </si>
  <si>
    <t>山东省淄博市张店区付家镇陶瓷科技城11号楼二单元201</t>
  </si>
  <si>
    <t>汪阳</t>
  </si>
  <si>
    <t>吴美锐</t>
  </si>
  <si>
    <t>云南省昆明市官渡区新螺丝湾二期三号写字楼1918号</t>
  </si>
  <si>
    <t>云南省昆明市官渡区织布营298号</t>
  </si>
  <si>
    <t>罗建平</t>
  </si>
  <si>
    <t>张梦瑶</t>
  </si>
  <si>
    <t>王达仁</t>
  </si>
  <si>
    <t>任雷刚</t>
  </si>
  <si>
    <t>北京市北京市房山区北京市房山区阎村镇乐活城南区物业</t>
  </si>
  <si>
    <t>北京市北京市房山区北京市房山区阎村镇乐活城北区43号</t>
  </si>
  <si>
    <t>苏艳龙</t>
  </si>
  <si>
    <t>刘家德</t>
  </si>
  <si>
    <t>孙海光</t>
  </si>
  <si>
    <t>徐成忠</t>
  </si>
  <si>
    <t>冯凌云</t>
  </si>
  <si>
    <t>陈健儒</t>
  </si>
  <si>
    <t>郑璇</t>
  </si>
  <si>
    <t>刘志乐</t>
  </si>
  <si>
    <t>杨冰玉</t>
  </si>
  <si>
    <t>李成均</t>
  </si>
  <si>
    <t>刘平印</t>
  </si>
  <si>
    <t>叶腊平</t>
  </si>
  <si>
    <t>温福辉</t>
  </si>
  <si>
    <t>汪亦平</t>
  </si>
  <si>
    <t>南充市高坪区航空港工业集中区</t>
  </si>
  <si>
    <t>南充市顺庆区丁字街15号</t>
  </si>
  <si>
    <t>郭伟樑</t>
  </si>
  <si>
    <t>郭腾飞</t>
  </si>
  <si>
    <t>粟旭</t>
  </si>
  <si>
    <t>王满红</t>
  </si>
  <si>
    <t>山西省太原市小店区富士康</t>
  </si>
  <si>
    <t>山西省太原市小店区西关口村</t>
  </si>
  <si>
    <t>陈峥峥</t>
  </si>
  <si>
    <t>曾德明</t>
  </si>
  <si>
    <t>孟繁学</t>
  </si>
  <si>
    <t>王龙飞</t>
  </si>
  <si>
    <t>河南省洛阳市偃师市偃师老城工业开发区</t>
  </si>
  <si>
    <t>河南省郑州市巩义市康店镇董柏坡村</t>
  </si>
  <si>
    <t>吴国华</t>
  </si>
  <si>
    <t>覃青竹</t>
  </si>
  <si>
    <t>李翠丽</t>
  </si>
  <si>
    <t>杨国强</t>
  </si>
  <si>
    <t>赵建敏</t>
  </si>
  <si>
    <t>周宝华</t>
  </si>
  <si>
    <t>湖北省孝感市汉川市湖北省汉川市分水镇鑫瑞纺织厂</t>
  </si>
  <si>
    <t>湖北省孝感市汉川市湖北省汉川市分水镇四屋村54号</t>
  </si>
  <si>
    <t>鄂艳伟</t>
  </si>
  <si>
    <t>韦生利</t>
  </si>
  <si>
    <t>涂海玲</t>
  </si>
  <si>
    <t>郭明坤</t>
  </si>
  <si>
    <t>广东省佛山市顺德区广东省佛山市顺德区龙江镇旺岗工业区</t>
  </si>
  <si>
    <t>广东省佛山市顺德区云南省昭通市</t>
  </si>
  <si>
    <t>邹吉春</t>
  </si>
  <si>
    <t>郑豪杰</t>
  </si>
  <si>
    <t>福建省莆田市城厢区城南东路1160</t>
  </si>
  <si>
    <t>福建省莆田市仙游县赖店镇溪埔村坂头119</t>
  </si>
  <si>
    <t>云南省昆明市西山区新闻路332号</t>
  </si>
  <si>
    <t>云南省昭通市昭阳区滋潞小区一栋一单元603室</t>
  </si>
  <si>
    <t>贾德生</t>
  </si>
  <si>
    <t>廖捷</t>
  </si>
  <si>
    <t>张青</t>
  </si>
  <si>
    <t>沈兴苗</t>
  </si>
  <si>
    <t>陈方圆</t>
  </si>
  <si>
    <t>文远杰</t>
  </si>
  <si>
    <t>栾楠楠</t>
  </si>
  <si>
    <t>谭肖</t>
  </si>
  <si>
    <t>梁国强</t>
  </si>
  <si>
    <t>白梅</t>
  </si>
  <si>
    <t>张登祥</t>
  </si>
  <si>
    <t>湖北省武汉市硚口区古田一路长云路1号2楼</t>
  </si>
  <si>
    <t>湖北省武汉市硚口区古田一路古田社区9－4－6</t>
  </si>
  <si>
    <t>杨一星</t>
  </si>
  <si>
    <t>王坤龙</t>
  </si>
  <si>
    <t>杨庭梅</t>
  </si>
  <si>
    <t>李蓉</t>
  </si>
  <si>
    <t>四川省绵阳市游仙区绵山路40号恒馨苑9栋1-5</t>
  </si>
  <si>
    <t>四川省绵阳市游仙区绵山路64号8区44栋一单元101</t>
  </si>
  <si>
    <t>汪静勇</t>
  </si>
  <si>
    <t>喻喜明</t>
  </si>
  <si>
    <t>邓友为</t>
  </si>
  <si>
    <t>陆帅</t>
  </si>
  <si>
    <t>马向途</t>
  </si>
  <si>
    <t>卓建贞</t>
  </si>
  <si>
    <t>熊泽</t>
  </si>
  <si>
    <t>詹永凤</t>
  </si>
  <si>
    <t>朱刚</t>
  </si>
  <si>
    <t>胡杰铭</t>
  </si>
  <si>
    <t>蒋敏思</t>
  </si>
  <si>
    <t>李同根</t>
  </si>
  <si>
    <t>张蜀芳</t>
  </si>
  <si>
    <t>冶金龙</t>
  </si>
  <si>
    <t>四川省成都市金牛区成都市金牛区金丰路6号新区10幢1层A区2层A区</t>
  </si>
  <si>
    <t>四川省成都市金牛区金牛区解放一段63号415</t>
  </si>
  <si>
    <t>肖毅</t>
  </si>
  <si>
    <t>顾佳楠</t>
  </si>
  <si>
    <t>张鹏峰</t>
  </si>
  <si>
    <t>浙江省绍兴市新昌县梅渚镇新梅大道22号</t>
  </si>
  <si>
    <t>浙江省绍兴市新昌县城南乡大潘村潘村989号</t>
  </si>
  <si>
    <t>赵彪</t>
  </si>
  <si>
    <t>河南省郑州市中原区西三环289号国家大学科技园18号楼C座8层</t>
  </si>
  <si>
    <t>河南省郑州市中原区秦岭路化工路冉屯新村南院5号楼一单元2515</t>
  </si>
  <si>
    <t>钟继红</t>
  </si>
  <si>
    <t>谢光跃</t>
  </si>
  <si>
    <t>浙江省温州市乐清市浙江省乐清市翁垟工业区发展路</t>
  </si>
  <si>
    <t>浙江省温州市乐清市翁垟镇工业区乐商创业园N2栋2321</t>
  </si>
  <si>
    <t>周祥健</t>
  </si>
  <si>
    <t>南松</t>
  </si>
  <si>
    <t>山西省运城市盐湖区北城街道四季绿城商业街5号</t>
  </si>
  <si>
    <t>山西省运城市盐湖区北城街道四季绿城C区10号楼一单元409</t>
  </si>
  <si>
    <t>蔡锐娟</t>
  </si>
  <si>
    <t>唐来雨</t>
  </si>
  <si>
    <t>兰色暖</t>
  </si>
  <si>
    <t>浙江省温州市平阳县水头镇泾川中路260号</t>
  </si>
  <si>
    <t>浙江省温州市平阳县水头镇静湖北路124号</t>
  </si>
  <si>
    <t>温景金</t>
  </si>
  <si>
    <t>李文祥</t>
  </si>
  <si>
    <t>黄裕佳</t>
  </si>
  <si>
    <t>孟新新</t>
  </si>
  <si>
    <t>冯代根</t>
  </si>
  <si>
    <t>宋鑫</t>
  </si>
  <si>
    <t>辽宁省大连市庄河市吴炉镇吴炉村</t>
  </si>
  <si>
    <t>辽宁省大连市庄河市新华街道红光美苑七号楼一单元1001</t>
  </si>
  <si>
    <t>张洪兴</t>
  </si>
  <si>
    <t>任大龙</t>
  </si>
  <si>
    <t>辽宁省营口市盖州市红旗大街54号</t>
  </si>
  <si>
    <t>辽宁省营口市鲅鱼圈区辽宁省营口市鲅鱼圈区大仁里1196号</t>
  </si>
  <si>
    <t>肖彬琴</t>
  </si>
  <si>
    <t>许晓光</t>
  </si>
  <si>
    <t>内蒙古赤峰市敖汉旗河东银河花城北门东</t>
  </si>
  <si>
    <t>内蒙古赤峰市敖汉旗百柳街龙熙园小区9号楼一单元1402</t>
  </si>
  <si>
    <t>边迎杰</t>
  </si>
  <si>
    <t>邹连峰</t>
  </si>
  <si>
    <t>王晓杰</t>
  </si>
  <si>
    <t>赵建松</t>
  </si>
  <si>
    <t>绳国春</t>
  </si>
  <si>
    <t>吴娟英</t>
  </si>
  <si>
    <t>李东言</t>
  </si>
  <si>
    <t>王振刚</t>
  </si>
  <si>
    <t>刘程飞</t>
  </si>
  <si>
    <t>林敏</t>
  </si>
  <si>
    <t>郭久云</t>
  </si>
  <si>
    <t>刘慧鹏</t>
  </si>
  <si>
    <t>郑小雪</t>
  </si>
  <si>
    <t>朱瑞东</t>
  </si>
  <si>
    <t>牛林波</t>
  </si>
  <si>
    <t>杨祥华</t>
  </si>
  <si>
    <t>浙江省台州市黄岩区浙江省台州市黄岩区永固路食品园区浙江宏鑫科技有限公司</t>
  </si>
  <si>
    <t>浙江省台州市黄岩区新前街道双丰村171号</t>
  </si>
  <si>
    <t>吴海建</t>
  </si>
  <si>
    <t>潘用宝</t>
  </si>
  <si>
    <t>高静</t>
  </si>
  <si>
    <t>宁夏银川市灵武市嘉园路工业园区</t>
  </si>
  <si>
    <t>宁夏银川市灵武市尚景茗苑小区21号楼二单元201</t>
  </si>
  <si>
    <t>陈锋</t>
  </si>
  <si>
    <t>赵蕊</t>
  </si>
  <si>
    <t>李光辉</t>
  </si>
  <si>
    <t>梁俊伟</t>
  </si>
  <si>
    <t>肖容兵</t>
  </si>
  <si>
    <t>四川省攀枝花市西区四川攀枝花市西区苏铁中路百家巷</t>
  </si>
  <si>
    <t>四川省攀枝花市仁和区四川省攀枝花市西区</t>
  </si>
  <si>
    <t>蒙玉兰</t>
  </si>
  <si>
    <t>李文清</t>
  </si>
  <si>
    <t>云南省曲靖市会泽县娜姑镇</t>
  </si>
  <si>
    <t>马江涛</t>
  </si>
  <si>
    <t>李志炳</t>
  </si>
  <si>
    <t>杨东平</t>
  </si>
  <si>
    <t>辽宁省锦州市太和区玉山路中铁二局项目部</t>
  </si>
  <si>
    <t>辽宁省锦州市太和区玉山路中铁二局生活区</t>
  </si>
  <si>
    <t>雷媛媛</t>
  </si>
  <si>
    <t>郭永久</t>
  </si>
  <si>
    <t>蔡培元</t>
  </si>
  <si>
    <t>郭建侠</t>
  </si>
  <si>
    <t>北京市北京市大兴区北京市大兴区亦庄开发区荣华中路18号院1809</t>
  </si>
  <si>
    <t>北京市北京市通州区马驹桥镇珠江逸景小区210-1506</t>
  </si>
  <si>
    <t>洪翠凤</t>
  </si>
  <si>
    <t>熊江林</t>
  </si>
  <si>
    <t>张怀斌</t>
  </si>
  <si>
    <t>付林玉</t>
  </si>
  <si>
    <t>辽宁省营口市站前区北方陶瓷商城一期609号二期1705号</t>
  </si>
  <si>
    <t>辽宁省营口市站前区云南省宣威市务德镇小街村54号</t>
  </si>
  <si>
    <t>张鑫森</t>
  </si>
  <si>
    <t>内蒙古通辽市科尔沁区西门办事处三委十三组西客站南门</t>
  </si>
  <si>
    <t>内蒙古通辽市科尔沁区高尔夫都市花园6号楼一单元101室</t>
  </si>
  <si>
    <t>黄廷华</t>
  </si>
  <si>
    <t>广东省深圳市宝安区观澜镇桂花佳怡工业园</t>
  </si>
  <si>
    <t>贵州省册亨县八渡镇伟麻村拉西组</t>
  </si>
  <si>
    <t>何传贤</t>
  </si>
  <si>
    <t>海南省海口市美兰区海南省昌江县叉河镇中心大道40号</t>
  </si>
  <si>
    <t>海南省海口市龙华区海口市龙华区海德路现代花园A栋608房</t>
  </si>
  <si>
    <t>易俊男</t>
  </si>
  <si>
    <t>福建省长乐市航城街道洋芋村</t>
  </si>
  <si>
    <t>四川省成都市金堂县赵家镇阳河街</t>
  </si>
  <si>
    <t>邱杜仲</t>
  </si>
  <si>
    <t>李有缘</t>
  </si>
  <si>
    <t>湖南省永州市冷水滩区十里香湾项目部</t>
  </si>
  <si>
    <t>湖南省永州市冷水滩区西南花园天天百货二楼</t>
  </si>
  <si>
    <t>赖惠新</t>
  </si>
  <si>
    <t>蒲波</t>
  </si>
  <si>
    <t>赵长宏</t>
  </si>
  <si>
    <t>谭纪中</t>
  </si>
  <si>
    <t>余贝贝</t>
  </si>
  <si>
    <t>河南省许昌市禹州市禹州市东商贸13号街2号</t>
  </si>
  <si>
    <t>河南省许昌市禹州市画圣路大胡子羊肉馆楼上6楼东户</t>
  </si>
  <si>
    <t>钟强</t>
  </si>
  <si>
    <t>王梦娜</t>
  </si>
  <si>
    <t>谷林健</t>
  </si>
  <si>
    <t>蒋秋云</t>
  </si>
  <si>
    <t>雷露</t>
  </si>
  <si>
    <t>林亚飞</t>
  </si>
  <si>
    <t>浙江省杭州市西湖区西园五路2栋711室</t>
  </si>
  <si>
    <t>浙江省杭州市西湖区西园花园4号楼7#2032室</t>
  </si>
  <si>
    <t>韩一宁</t>
  </si>
  <si>
    <t>刘祥龙</t>
  </si>
  <si>
    <t>蒋晓梅</t>
  </si>
  <si>
    <t>邱小慧</t>
  </si>
  <si>
    <t>江西省赣州市南康市蓉江东路16号</t>
  </si>
  <si>
    <t>江西省赣州市南康市蓉江街道城隍庙56号</t>
  </si>
  <si>
    <t>闫立平</t>
  </si>
  <si>
    <t>林益艳</t>
  </si>
  <si>
    <t>马国庆</t>
  </si>
  <si>
    <t>河北省沧州市东光县东光县104国道老化肥厂对面</t>
  </si>
  <si>
    <t>河北省衡水市阜城县阜城县崔庙镇东高城村</t>
  </si>
  <si>
    <t>史顺利</t>
  </si>
  <si>
    <t>柏万斌</t>
  </si>
  <si>
    <t>王宝珠</t>
  </si>
  <si>
    <t>武鹏</t>
  </si>
  <si>
    <t>王剑平</t>
  </si>
  <si>
    <t>刘春光</t>
  </si>
  <si>
    <t>陈嘉</t>
  </si>
  <si>
    <t>庄葛</t>
  </si>
  <si>
    <t>洪武</t>
  </si>
  <si>
    <t>江苏省常州市钟楼区新庆路37号</t>
  </si>
  <si>
    <t>江苏省常州市钟楼区钟楼区西林街道泰盈八千里12栋</t>
  </si>
  <si>
    <t>王文强</t>
  </si>
  <si>
    <t>内蒙古呼和浩特市回民区中山西路86号</t>
  </si>
  <si>
    <t>内蒙古呼和浩特市回民区工农兵路鸿博雅园小区15号楼一单元5楼东户</t>
  </si>
  <si>
    <t>高庆业</t>
  </si>
  <si>
    <t>潘汉和</t>
  </si>
  <si>
    <t>相海滨</t>
  </si>
  <si>
    <t>颜培虎</t>
  </si>
  <si>
    <t>黄瑛</t>
  </si>
  <si>
    <t>张功瑜</t>
  </si>
  <si>
    <t>张惠芬</t>
  </si>
  <si>
    <t>李恩善</t>
  </si>
  <si>
    <t>李均瑶</t>
  </si>
  <si>
    <t>范延河</t>
  </si>
  <si>
    <t>刘梦星</t>
  </si>
  <si>
    <t>夏琳</t>
  </si>
  <si>
    <t>曹长海</t>
  </si>
  <si>
    <t>河北省廊坊市香河县新开街书香苑底商10号</t>
  </si>
  <si>
    <t>河北省廊坊市香河县淑阳镇后小屯村105号</t>
  </si>
  <si>
    <t>高轲</t>
  </si>
  <si>
    <t>路京浩</t>
  </si>
  <si>
    <t>山东省德州市齐河县东宋步行街南头薯格专卖店</t>
  </si>
  <si>
    <t>山东省德州市齐河县晏城街道办事处三王村34号</t>
  </si>
  <si>
    <t>李邓</t>
  </si>
  <si>
    <t>安徽省黄山市屯溪区清凉路28号</t>
  </si>
  <si>
    <t>安徽省黄山市歙县七川新村</t>
  </si>
  <si>
    <t>郭英豪</t>
  </si>
  <si>
    <t>山东省济宁市兖州市兖州市华勤工业园</t>
  </si>
  <si>
    <t>山东省济宁市兖州市兖州区中山路华夏小区1号楼二单元302</t>
  </si>
  <si>
    <t>欧阳镇坤</t>
  </si>
  <si>
    <t>湖南省长沙市雨花区高桥街道西子街9号</t>
  </si>
  <si>
    <t>湖南省长沙市雨花区高桥街道五一社区天下一家家园三栋2608</t>
  </si>
  <si>
    <t>陕西省西安市莲湖区大兴东路与白家口兴地广场</t>
  </si>
  <si>
    <t>陕西省西安市莲湖区丰禾路丰禾小区7号楼一单元601室</t>
  </si>
  <si>
    <t>张泽</t>
  </si>
  <si>
    <t>广西百色市田林县坛仙巷20号</t>
  </si>
  <si>
    <t>广西百色市田林县坛仙巷</t>
  </si>
  <si>
    <t>张正立</t>
  </si>
  <si>
    <t>卢欣雨</t>
  </si>
  <si>
    <t>李自洪</t>
  </si>
  <si>
    <t>雍坤洪</t>
  </si>
  <si>
    <t>蒋伟镇</t>
  </si>
  <si>
    <t>梁健</t>
  </si>
  <si>
    <t>武哲</t>
  </si>
  <si>
    <t>张远威</t>
  </si>
  <si>
    <t>雷保明</t>
  </si>
  <si>
    <t>寇若男</t>
  </si>
  <si>
    <t>陈晓宇</t>
  </si>
  <si>
    <t>成琦芳</t>
  </si>
  <si>
    <t>陶都</t>
  </si>
  <si>
    <t>左宏伟</t>
  </si>
  <si>
    <t>河北省唐山市丰润区曹雪芹东道南50米</t>
  </si>
  <si>
    <t>河北省唐山市丰润区幸福道万隆小区202楼1门203号</t>
  </si>
  <si>
    <t>刘旺</t>
  </si>
  <si>
    <t>辛彩云</t>
  </si>
  <si>
    <t>姚少滨</t>
  </si>
  <si>
    <t>宁夏银川市西夏区镇北堡镇镇北堡村190号</t>
  </si>
  <si>
    <t>宁夏银川市贺兰县月湖名邸东区9-1-602</t>
  </si>
  <si>
    <t>黄长勇</t>
  </si>
  <si>
    <t>杨述云</t>
  </si>
  <si>
    <t>肖明彪</t>
  </si>
  <si>
    <t>舒霜</t>
  </si>
  <si>
    <t>吉亚锋</t>
  </si>
  <si>
    <t>王天辉</t>
  </si>
  <si>
    <t>四川省成都市武侯区洗面桥东二街五号四楼</t>
  </si>
  <si>
    <t>四川省成都市成华区圣灯街道民兴西苑一栋一单元1403</t>
  </si>
  <si>
    <t>林煜斌</t>
  </si>
  <si>
    <t>贾子鹤</t>
  </si>
  <si>
    <t>河北省石家庄市新华区联盟路707号</t>
  </si>
  <si>
    <t>河北省石家庄市灵寿县青同镇西青同村</t>
  </si>
  <si>
    <t>孟岩磊</t>
  </si>
  <si>
    <t>徐晓倩</t>
  </si>
  <si>
    <t>张国云</t>
  </si>
  <si>
    <t>杜宾宾</t>
  </si>
  <si>
    <t>范元晓</t>
  </si>
  <si>
    <t>高剑</t>
  </si>
  <si>
    <t>周阳阳</t>
  </si>
  <si>
    <t>郭霄鹏</t>
  </si>
  <si>
    <t>冯井龙</t>
  </si>
  <si>
    <t>江苏省泰州市海陵区海阳西路122号</t>
  </si>
  <si>
    <t>江苏省泰州市海陵区森园路智堡小区10幢104室</t>
  </si>
  <si>
    <t>邢云龙</t>
  </si>
  <si>
    <t>湖北省武汉市江岸区徐东大街群星城K3区1单元1108室</t>
  </si>
  <si>
    <t>湖北省武汉市洪山区团结大道新世纪花园A区3单元1栋902室</t>
  </si>
  <si>
    <t>朱海峰</t>
  </si>
  <si>
    <t>湖南省常德市鼎城区罐溪镇高新区产业园区兴工大道8号</t>
  </si>
  <si>
    <t>湖南省常德市武陵区书香名邸3栋一单元302号</t>
  </si>
  <si>
    <t>钟才娣</t>
  </si>
  <si>
    <t>纪正学</t>
  </si>
  <si>
    <t>姚凯林</t>
  </si>
  <si>
    <t>翟超亚</t>
  </si>
  <si>
    <t>青海省海西蒙古族藏族自治州格尔木市中山南路</t>
  </si>
  <si>
    <t>甘肃省平凉市静宁县青海省格尔木市玲珑湾小区</t>
  </si>
  <si>
    <t>苏惠森</t>
  </si>
  <si>
    <t>沈自金</t>
  </si>
  <si>
    <t>汤迎亚</t>
  </si>
  <si>
    <t>马志文</t>
  </si>
  <si>
    <t>张猛猛</t>
  </si>
  <si>
    <t>张增南</t>
  </si>
  <si>
    <t>金梦珠</t>
  </si>
  <si>
    <t>张登攀</t>
  </si>
  <si>
    <t>汪素芹</t>
  </si>
  <si>
    <t>河南省新乡市原阳县祖师庙附近</t>
  </si>
  <si>
    <t>河南省新乡市原阳县齐街镇吴寨村东区54号</t>
  </si>
  <si>
    <t>闫仙仙</t>
  </si>
  <si>
    <t>闫翠英</t>
  </si>
  <si>
    <t>高建明</t>
  </si>
  <si>
    <t>余美超</t>
  </si>
  <si>
    <t>孙雪萍</t>
  </si>
  <si>
    <t>祖一群</t>
  </si>
  <si>
    <t>李升富</t>
  </si>
  <si>
    <t>何如勇</t>
  </si>
  <si>
    <t>庞文东</t>
  </si>
  <si>
    <t>王小虎</t>
  </si>
  <si>
    <t>蔡楚濠</t>
  </si>
  <si>
    <t>周树军</t>
  </si>
  <si>
    <t>李明坤</t>
  </si>
  <si>
    <t>高斌斌</t>
  </si>
  <si>
    <t>吴永丰</t>
  </si>
  <si>
    <t>何永平</t>
  </si>
  <si>
    <t>董斯琴毕力格</t>
  </si>
  <si>
    <t>蓝献忠</t>
  </si>
  <si>
    <t>刘友双</t>
  </si>
  <si>
    <t>哈斯其木格</t>
  </si>
  <si>
    <t>张此文</t>
  </si>
  <si>
    <t>谢茂华</t>
  </si>
  <si>
    <t>贵州省毕节市纳雍县老凹坝乡新山村二组</t>
  </si>
  <si>
    <t>贵州省毕节市纳雍县老凹坝乡新山村九组</t>
  </si>
  <si>
    <t>陈得飘</t>
  </si>
  <si>
    <t>贺世林</t>
  </si>
  <si>
    <t>陕西省延安市甘泉县城北龙首区078号</t>
  </si>
  <si>
    <t>陕西省延安市甘泉县太皇山小区1602室</t>
  </si>
  <si>
    <t>陶超林</t>
  </si>
  <si>
    <t>叶龙</t>
  </si>
  <si>
    <t>汪喜胜</t>
  </si>
  <si>
    <t>李武军</t>
  </si>
  <si>
    <t>杨育凤</t>
  </si>
  <si>
    <t>高明元</t>
  </si>
  <si>
    <t>李坤婷</t>
  </si>
  <si>
    <t>乔友骄</t>
  </si>
  <si>
    <t>努尔巴扎尔·克孜汗</t>
  </si>
  <si>
    <t>新疆博尔塔拉蒙古自治州博乐市南城街道前程路3号楼</t>
  </si>
  <si>
    <t>新疆博尔塔拉蒙古自治州博乐市新华西路中央名筑28-1-503</t>
  </si>
  <si>
    <t>江苏省扬州市邗江区高新技术开发区牧羊路88号</t>
  </si>
  <si>
    <t>江苏省扬州市邗江区南湖巷30号15幢604室</t>
  </si>
  <si>
    <t>陈国章</t>
  </si>
  <si>
    <t>吴佳</t>
  </si>
  <si>
    <t>上海市上海市闸北区年吉路650弄20号101</t>
  </si>
  <si>
    <t>上海市上海市宝山区美安路215弄10号101</t>
  </si>
  <si>
    <t>钟玉明</t>
  </si>
  <si>
    <t>江苏省南京市江宁区湖熟镇波光路30号</t>
  </si>
  <si>
    <t>江苏省南京市浦口区南浦路江岸水城</t>
  </si>
  <si>
    <t>安万龙</t>
  </si>
  <si>
    <t>林盛</t>
  </si>
  <si>
    <t>江苏省南京市秦淮区洪武路洪武大厦三楼</t>
  </si>
  <si>
    <t>江苏省南京市下关区山西路中商万豪4725室</t>
  </si>
  <si>
    <t>寇权</t>
  </si>
  <si>
    <t>农安盛</t>
  </si>
  <si>
    <t>赵意</t>
  </si>
  <si>
    <t>天津市天津市滨海新区天津港保税区海滨三路87号</t>
  </si>
  <si>
    <t>天津市天津市滨海新区新城镇新城村北门东里二排18号</t>
  </si>
  <si>
    <t>陈善允</t>
  </si>
  <si>
    <t>黄镜森</t>
  </si>
  <si>
    <t>吴萍</t>
  </si>
  <si>
    <t>段春辉</t>
  </si>
  <si>
    <t>叶幸福</t>
  </si>
  <si>
    <t>吴治虎</t>
  </si>
  <si>
    <t>贵州省黔东南苗族侗族自治州凯里市丰求黔城正大门建天下建筑工程技术有限公司2楼</t>
  </si>
  <si>
    <t>贵州省黔东南苗族侗族自治州凯里市银盘东路红梅街道22号</t>
  </si>
  <si>
    <t>重庆市重庆市江北区北滨一路186号9F</t>
  </si>
  <si>
    <t>重庆市重庆市沙坪坝区井口美丽阳光家园小区31栋2412</t>
  </si>
  <si>
    <t>翁进龙</t>
  </si>
  <si>
    <t>黄奕玮</t>
  </si>
  <si>
    <t>湖南省常德市武陵区柳叶大道经投公司</t>
  </si>
  <si>
    <t>湖南省常德市武陵区柳叶大道章誉苑小区</t>
  </si>
  <si>
    <t>余永培</t>
  </si>
  <si>
    <t>彭阳勇</t>
  </si>
  <si>
    <t>罗靖博</t>
  </si>
  <si>
    <t>云南省普洱市思茅区普洱市思茅区环城西路新四中对面锦云酒店内</t>
  </si>
  <si>
    <t>云南省普洱市思茅区普洱市思茅区嘎龙路17号</t>
  </si>
  <si>
    <t>王高杰</t>
  </si>
  <si>
    <t>陕西省咸阳市长武县南大街七五路口12号</t>
  </si>
  <si>
    <t>陕西省咸阳市长武县车站街烟草局门口019号</t>
  </si>
  <si>
    <t>马玲</t>
  </si>
  <si>
    <t>邓长春</t>
  </si>
  <si>
    <t>鲍一鸣</t>
  </si>
  <si>
    <t>郭志坤</t>
  </si>
  <si>
    <t>广东省佛山市顺德区勒流富安工业区富安九路1号</t>
  </si>
  <si>
    <t>广东省佛山市顺德区勒流靖安南街一巷8号</t>
  </si>
  <si>
    <t>陆勇衡</t>
  </si>
  <si>
    <t>广西来宾市兴宾区沿河路26号</t>
  </si>
  <si>
    <t>广西来宾市兴宾区麒麟鑫辰1601</t>
  </si>
  <si>
    <t>张绍坡</t>
  </si>
  <si>
    <t>陈江驰</t>
  </si>
  <si>
    <t>劳丽玲</t>
  </si>
  <si>
    <t>郭彬</t>
  </si>
  <si>
    <t>灵城镇东方名城商铺18</t>
  </si>
  <si>
    <t>安徽省宿州市埇桥区灵城镇南关村七组23</t>
  </si>
  <si>
    <t>史彦辉</t>
  </si>
  <si>
    <t>吴许文</t>
  </si>
  <si>
    <t>熊超</t>
  </si>
  <si>
    <t>安徽省池州市青阳县庙前镇高源村茶溪小镇</t>
  </si>
  <si>
    <t>安徽省池州市贵池区九华山风景区九华乡乔安村乔东组31号</t>
  </si>
  <si>
    <t>辽宁省铁岭市银州区铁西汇工街168号</t>
  </si>
  <si>
    <t>辽宁省铁岭市银州区广裕街银岗巷26栋一单元303</t>
  </si>
  <si>
    <t>蔺文德</t>
  </si>
  <si>
    <t>周芳子</t>
  </si>
  <si>
    <t>聂志</t>
  </si>
  <si>
    <t>曹楠</t>
  </si>
  <si>
    <t>重庆市重庆市万州区大坪万科锦程28栋1603</t>
  </si>
  <si>
    <t>重庆市重庆市沙坪坝区西永街道童善桥村半边山组25号</t>
  </si>
  <si>
    <t>吕西振</t>
  </si>
  <si>
    <t>童玉</t>
  </si>
  <si>
    <t>李显冬</t>
  </si>
  <si>
    <t>刘建法</t>
  </si>
  <si>
    <t>刘树国</t>
  </si>
  <si>
    <t>张燕妮</t>
  </si>
  <si>
    <t>王双桥</t>
  </si>
  <si>
    <t>赵凤英</t>
  </si>
  <si>
    <t>朱金伟</t>
  </si>
  <si>
    <t>宫大成</t>
  </si>
  <si>
    <t>山东省烟台市芝罘区北马路155号</t>
  </si>
  <si>
    <t>山东省烟台市芝罘区礼贤街1号</t>
  </si>
  <si>
    <t>金帅</t>
  </si>
  <si>
    <t>黑龙江省哈尔滨市南岗区宣庆街85号</t>
  </si>
  <si>
    <t>黑龙江省哈尔滨市南岗区国庆街22号1单元303</t>
  </si>
  <si>
    <t>艾安黎</t>
  </si>
  <si>
    <t>郝鑫</t>
  </si>
  <si>
    <t>河南省郑州市登封市河南省登封市观石街81号</t>
  </si>
  <si>
    <t>河南省郑州市登封市登封市中岳街道观山悦东门2单元201</t>
  </si>
  <si>
    <t>万腾飞</t>
  </si>
  <si>
    <t>河南省安阳市林州市陵阳镇红旗渠经济技术开发区</t>
  </si>
  <si>
    <t>河南省安阳市林州市保健南街一号楼一单元202</t>
  </si>
  <si>
    <t>司星</t>
  </si>
  <si>
    <t>贵州省毕节市金沙县西洛街道黄河大道</t>
  </si>
  <si>
    <t>贵州省毕节市金沙县城关镇新车站沁园小区A栋一单元402</t>
  </si>
  <si>
    <t>田忠秋</t>
  </si>
  <si>
    <t>缪恒坤</t>
  </si>
  <si>
    <t>吴立华</t>
  </si>
  <si>
    <t>崔星星</t>
  </si>
  <si>
    <t>贵州省黔东南苗族侗族自治州凯里市黎平县德化乡德化村</t>
  </si>
  <si>
    <t>贵州省黔东南苗族侗族自治州台江县黎平县德化乡人民政府宿舍一栋一单元302</t>
  </si>
  <si>
    <t>杨代军</t>
  </si>
  <si>
    <t>吴骏</t>
  </si>
  <si>
    <t>李晓冉</t>
  </si>
  <si>
    <t>袁畅</t>
  </si>
  <si>
    <t>田江华</t>
  </si>
  <si>
    <t>赵国金</t>
  </si>
  <si>
    <t>卢华丽</t>
  </si>
  <si>
    <t>曾番</t>
  </si>
  <si>
    <t>陈碧超</t>
  </si>
  <si>
    <t>李崇帅</t>
  </si>
  <si>
    <t>沈文博</t>
  </si>
  <si>
    <t>肖芏恒</t>
  </si>
  <si>
    <t>贾亚平</t>
  </si>
  <si>
    <t>湖北省荆州市荆州区荆中路16-3</t>
  </si>
  <si>
    <t>湖北省荆州市荆州区郢城镇岳山村69号</t>
  </si>
  <si>
    <t>裴彩梅</t>
  </si>
  <si>
    <t>冯泳强</t>
  </si>
  <si>
    <t>乔亚东</t>
  </si>
  <si>
    <t>李少春</t>
  </si>
  <si>
    <t>云南省昆明市西山区云南省昆明市西山区日新中路怡康小区A区11栋702号</t>
  </si>
  <si>
    <t>云南省昆明市西山区日新中路怡康小区A区11栋702号</t>
  </si>
  <si>
    <t>蔡武康</t>
  </si>
  <si>
    <t>文学艺</t>
  </si>
  <si>
    <t>福建省漳州市东山县西埔镇文昌路28号</t>
  </si>
  <si>
    <t>福建省漳州市东山县杏陈镇埔头村99号</t>
  </si>
  <si>
    <t>龙小仄</t>
  </si>
  <si>
    <t>司纪军</t>
  </si>
  <si>
    <t>黄嵘</t>
  </si>
  <si>
    <t>左思凡</t>
  </si>
  <si>
    <t>宋达胜</t>
  </si>
  <si>
    <t>张亚楠</t>
  </si>
  <si>
    <t>周仁顺</t>
  </si>
  <si>
    <t>郑可欣</t>
  </si>
  <si>
    <t>孙万宏</t>
  </si>
  <si>
    <t>周奕鑫</t>
  </si>
  <si>
    <t>上海市上海市黄浦区鲁班路星光摄影器材城A区118</t>
  </si>
  <si>
    <t>上海市上海市黄浦区鲁班路大同花园9号楼1003</t>
  </si>
  <si>
    <t>王爽菲</t>
  </si>
  <si>
    <t>辽宁省丹东市振安区东港市经济开发区人民大街六号</t>
  </si>
  <si>
    <t>辽宁省丹东市东港市东港市新兴管理区友好渔民工厂村民组</t>
  </si>
  <si>
    <t>韩福龙</t>
  </si>
  <si>
    <t>李知生</t>
  </si>
  <si>
    <t>广东省广州市荔湾区中山市南朗镇大车工业园</t>
  </si>
  <si>
    <t>湖南省永州市宁远县湖南省宁远县水市镇下早禾洞村8组</t>
  </si>
  <si>
    <t>姜洪羽</t>
  </si>
  <si>
    <t>何康</t>
  </si>
  <si>
    <t>杨东明</t>
  </si>
  <si>
    <t>贾中飞</t>
  </si>
  <si>
    <t>韦鸿家</t>
  </si>
  <si>
    <t>姜文涛</t>
  </si>
  <si>
    <t>蒋猛</t>
  </si>
  <si>
    <t>福建省南平市顺昌县洋墩乡长连本116</t>
  </si>
  <si>
    <t>福建省南平市顺昌县洋墩乡13号</t>
  </si>
  <si>
    <t>冯进奇</t>
  </si>
  <si>
    <t>王宪虎</t>
  </si>
  <si>
    <t>四川省绵阳市涪城区绵阳市涪城区南山街道126文化创意园</t>
  </si>
  <si>
    <t>四川省绵阳市安县绵阳市安县花荄镇胜果村007组</t>
  </si>
  <si>
    <t>胡咧</t>
  </si>
  <si>
    <t>苏锦熙</t>
  </si>
  <si>
    <t>广东省广州市番禺区石基镇金市路塘前大街九巷21号</t>
  </si>
  <si>
    <t>广东省广州市番禺区化龙镇宾日大街宾日三巷32号</t>
  </si>
  <si>
    <t>吴卫民</t>
  </si>
  <si>
    <t>姚兴武</t>
  </si>
  <si>
    <t>凌仲谋</t>
  </si>
  <si>
    <t>贵州省黔东南苗族侗族自治州凯里市万博宁波路5号纵横坐标广场1层</t>
  </si>
  <si>
    <t>贵州省黔东南苗族侗族自治州榕江县栽麻镇宰南组</t>
  </si>
  <si>
    <t>葛喜权</t>
  </si>
  <si>
    <t>蒋勇</t>
  </si>
  <si>
    <t>浙江省台州市椒江区前所街道横西村工业园202</t>
  </si>
  <si>
    <t>浙江省台州市椒江区前所街道七年村13号</t>
  </si>
  <si>
    <t>李风利</t>
  </si>
  <si>
    <t>山东省德州市庆云县庆云县红云开发区777号</t>
  </si>
  <si>
    <t>山东省德州市庆云县光明路9号内96号</t>
  </si>
  <si>
    <t>付栋梁</t>
  </si>
  <si>
    <t>四川省成都市彭州市天彭镇外南街116号</t>
  </si>
  <si>
    <t>四川省成都市彭州市朝阳南路185号</t>
  </si>
  <si>
    <t>林秋江</t>
  </si>
  <si>
    <t>广东省揭阳市普宁市流沙镇新坛村城东中学斜对面嘉信通信</t>
  </si>
  <si>
    <t>杨政清</t>
  </si>
  <si>
    <t>曹林冲</t>
  </si>
  <si>
    <t>马金良</t>
  </si>
  <si>
    <t>覃立奎</t>
  </si>
  <si>
    <t>陕西省西安市新城区太华路大明宫万达广场一甲写字楼一单元1305</t>
  </si>
  <si>
    <t>陕西省西安市未央区太华路金旅城小区八号楼一单元403</t>
  </si>
  <si>
    <t>邓道荣</t>
  </si>
  <si>
    <t>彭行</t>
  </si>
  <si>
    <t>廖泰强</t>
  </si>
  <si>
    <t>余根朝</t>
  </si>
  <si>
    <t>阿地力·哈力克</t>
  </si>
  <si>
    <t>侯猛</t>
  </si>
  <si>
    <t>四川省成都市青羊区成都市青羊区小关庙6号</t>
  </si>
  <si>
    <t>成都市青羊区狮子巷56号502</t>
  </si>
  <si>
    <t>陈成远</t>
  </si>
  <si>
    <t>高彦明</t>
  </si>
  <si>
    <t>张松虎</t>
  </si>
  <si>
    <t>何明峻</t>
  </si>
  <si>
    <t>朱学远</t>
  </si>
  <si>
    <t>金添</t>
  </si>
  <si>
    <t>王世连</t>
  </si>
  <si>
    <t>程龙</t>
  </si>
  <si>
    <t>韦少欢</t>
  </si>
  <si>
    <t>东莞市长安镇新安社区太联工业园</t>
  </si>
  <si>
    <t>东莞市长安镇宵边社区上洋小区二巷五号</t>
  </si>
  <si>
    <t>唐山荀</t>
  </si>
  <si>
    <t>周敦龙</t>
  </si>
  <si>
    <t>罗雄山</t>
  </si>
  <si>
    <t>孙茂林</t>
  </si>
  <si>
    <t>覃兰慧</t>
  </si>
  <si>
    <t>李映鑫</t>
  </si>
  <si>
    <t>曹玉亮</t>
  </si>
  <si>
    <t>王英逻</t>
  </si>
  <si>
    <t>苏昌</t>
  </si>
  <si>
    <t>广西来宾市武宣县武宣县城北路230号</t>
  </si>
  <si>
    <t>广西来宾市武宣县书山路8号宏发小区2栋403号</t>
  </si>
  <si>
    <t>李明涛</t>
  </si>
  <si>
    <t>黑龙江省齐齐哈尔市龙沙区龙华路158号</t>
  </si>
  <si>
    <t>黑龙江省齐齐哈尔市铁锋区光荣一区115号楼5单元301</t>
  </si>
  <si>
    <t>梁正安</t>
  </si>
  <si>
    <t>严毅</t>
  </si>
  <si>
    <t>梁观晓</t>
  </si>
  <si>
    <t>彭思强</t>
  </si>
  <si>
    <t>李俊英</t>
  </si>
  <si>
    <t>区庆坤</t>
  </si>
  <si>
    <t>广东省佛山市南海区西樵镇</t>
  </si>
  <si>
    <t>广东省佛山市南海区西樵镇上金瓯松塘村忠心坊40号</t>
  </si>
  <si>
    <t>山东省聊城市东昌府区鲁化路鲁西化工大厦010号</t>
  </si>
  <si>
    <t>山东省聊城市东昌府区站前街望湖小区21号楼3单元301</t>
  </si>
  <si>
    <t>许国斌</t>
  </si>
  <si>
    <t>浙江省宁波市余姚市模具城金盛二路200-1号</t>
  </si>
  <si>
    <t>浙江省宁波市余姚市模具城金盛二路200号</t>
  </si>
  <si>
    <t>黄学培</t>
  </si>
  <si>
    <t>门占钊</t>
  </si>
  <si>
    <t>李龙贵</t>
  </si>
  <si>
    <t>刘资达</t>
  </si>
  <si>
    <t>黑龙江省哈尔滨市南岗区学府路10号</t>
  </si>
  <si>
    <t>黑龙江省哈尔滨市南岗区学府路科大安居小区407栋三单元501</t>
  </si>
  <si>
    <t>姚晨光</t>
  </si>
  <si>
    <t>河北省廊坊市广阳区银河北路188号</t>
  </si>
  <si>
    <t>河北省廊坊市广阳区儒苑小区二期1号1单1702室</t>
  </si>
  <si>
    <t>贾兵</t>
  </si>
  <si>
    <t>北京市北京市西城区金融街31号</t>
  </si>
  <si>
    <t>北京市北京市西城区广安门外车站西街15号院3号楼3单元103号</t>
  </si>
  <si>
    <t>张国荣</t>
  </si>
  <si>
    <t>傅望</t>
  </si>
  <si>
    <t>广东省佛山市禅城区季华六路天安数码城</t>
  </si>
  <si>
    <t>广东省佛山市南海区大沥镇雅瑶罗城村大街北十四巷</t>
  </si>
  <si>
    <t>张立功</t>
  </si>
  <si>
    <t>冯智勇</t>
  </si>
  <si>
    <t>孙哲</t>
  </si>
  <si>
    <t>饶伟</t>
  </si>
  <si>
    <t>余国友</t>
  </si>
  <si>
    <t>夏克华</t>
  </si>
  <si>
    <t>杜明朗</t>
  </si>
  <si>
    <t>董春杨</t>
  </si>
  <si>
    <t>梁升华</t>
  </si>
  <si>
    <t>李春燕</t>
  </si>
  <si>
    <t>山东省济南市历下区天地坛街1号</t>
  </si>
  <si>
    <t>山东省济南市市中区袁柳庄西村457号</t>
  </si>
  <si>
    <t>黄铭斌</t>
  </si>
  <si>
    <t>郝鸿飞</t>
  </si>
  <si>
    <t>潘文平</t>
  </si>
  <si>
    <t>山东省淄博市沂源县山东省淄博市沂源县悦庄镇鲍庄测速点路东</t>
  </si>
  <si>
    <t>山东省淄博市沂源县山东省淄博市沂源县悦庄镇衣家庄村47号</t>
  </si>
  <si>
    <t>曹鸿宇</t>
  </si>
  <si>
    <t>陈颖琪</t>
  </si>
  <si>
    <t>夏瑞奇</t>
  </si>
  <si>
    <t>曾木林</t>
  </si>
  <si>
    <t>湖南省岳阳市临湘市长安南正街</t>
  </si>
  <si>
    <t>湖南省岳阳市临湘市白云镇麻塘居委会塘海组7号</t>
  </si>
  <si>
    <t>焦开金</t>
  </si>
  <si>
    <t>覃文虎</t>
  </si>
  <si>
    <t>巫远钦</t>
  </si>
  <si>
    <t>袁源</t>
  </si>
  <si>
    <t>四川省成都市龙泉驿区玉扬路383号</t>
  </si>
  <si>
    <t>四川省成都市龙泉驿区华信大道88号3栋2单元1503</t>
  </si>
  <si>
    <t>付罗肖</t>
  </si>
  <si>
    <t>吴海龙</t>
  </si>
  <si>
    <t>浙江省杭州市拱墅区石祥路688号运河汽车产业园608-609</t>
  </si>
  <si>
    <t>浙江省绍兴市诸暨市暨阳街道望江二路一号三单元302</t>
  </si>
  <si>
    <t>沈盼</t>
  </si>
  <si>
    <t>湖南省长沙市天心区湘府中路168号</t>
  </si>
  <si>
    <t>湖南省长沙市天心区湘府9号</t>
  </si>
  <si>
    <t>李孟涛</t>
  </si>
  <si>
    <t>陈燕娇</t>
  </si>
  <si>
    <t>苏彩香</t>
  </si>
  <si>
    <t>周秀芬</t>
  </si>
  <si>
    <t>伍晓明</t>
  </si>
  <si>
    <t>江苏省常州市武进区常武南路525号</t>
  </si>
  <si>
    <t>江苏省常州市武进区庙桥新村上3号</t>
  </si>
  <si>
    <t>矣红友</t>
  </si>
  <si>
    <t>郭鹤翔</t>
  </si>
  <si>
    <t>苟亭亭</t>
  </si>
  <si>
    <t>刘卫霞</t>
  </si>
  <si>
    <t>陈鉴瑞</t>
  </si>
  <si>
    <t>李来太</t>
  </si>
  <si>
    <t>王兆辉</t>
  </si>
  <si>
    <t>吴文娟</t>
  </si>
  <si>
    <t>福建省厦门市思明区江头乌石浦二里月亮之上KTV</t>
  </si>
  <si>
    <t>福建省厦门市湖里区后坑前社272号</t>
  </si>
  <si>
    <t>江鹏飞</t>
  </si>
  <si>
    <t>广东省广州市海珠区工业大道中781号</t>
  </si>
  <si>
    <t>广东省韶关市新丰县新丰县碧桂园中大项目部</t>
  </si>
  <si>
    <t>肖克</t>
  </si>
  <si>
    <t>眭强俊</t>
  </si>
  <si>
    <t>张启晨</t>
  </si>
  <si>
    <t>郑昊</t>
  </si>
  <si>
    <t>刘帅辰</t>
  </si>
  <si>
    <t>马嘉谣</t>
  </si>
  <si>
    <t>陈光林</t>
  </si>
  <si>
    <t>高翠</t>
  </si>
  <si>
    <t>施旺兴</t>
  </si>
  <si>
    <t>赵士虎</t>
  </si>
  <si>
    <t>马庆良</t>
  </si>
  <si>
    <t>周杭斌</t>
  </si>
  <si>
    <t>焦骏</t>
  </si>
  <si>
    <t>吴晓梅</t>
  </si>
  <si>
    <t>金伟超</t>
  </si>
  <si>
    <t>瞿小燕</t>
  </si>
  <si>
    <t>甘肃省兰州市城关区金昌南路山水名庭158号</t>
  </si>
  <si>
    <t>甘肃省兰州市城关区东岗东路瑞德摩尔地中海118栋6单元601室</t>
  </si>
  <si>
    <t>刘耀坡</t>
  </si>
  <si>
    <t>康益明</t>
  </si>
  <si>
    <t>浙江省金华市义乌市稠州北路1121号福田大厦A座20楼2001室</t>
  </si>
  <si>
    <t>浙江省金华市义乌市稠江路30号</t>
  </si>
  <si>
    <t>周会林</t>
  </si>
  <si>
    <t>黄海超</t>
  </si>
  <si>
    <t>王坤明</t>
  </si>
  <si>
    <t>程燚</t>
  </si>
  <si>
    <t>陈圣友</t>
  </si>
  <si>
    <t>海南省海口市美兰区海秀东路10号DC电脑城三楼3016号</t>
  </si>
  <si>
    <t>海南省海口市龙华区海南省海口市龙华区海垦路滨濂村二里129号301室</t>
  </si>
  <si>
    <t>赵树坤</t>
  </si>
  <si>
    <t>江培杰</t>
  </si>
  <si>
    <t>金海涛</t>
  </si>
  <si>
    <t>刘守洋</t>
  </si>
  <si>
    <t>李会娟</t>
  </si>
  <si>
    <t>李嘉伟</t>
  </si>
  <si>
    <t>赵亭亭</t>
  </si>
  <si>
    <t>杨长莉</t>
  </si>
  <si>
    <t>周登辉</t>
  </si>
  <si>
    <t>杨慧敏</t>
  </si>
  <si>
    <t>吴王泽</t>
  </si>
  <si>
    <t>侍孝顺</t>
  </si>
  <si>
    <t>罗圣钊</t>
  </si>
  <si>
    <t>程宇</t>
  </si>
  <si>
    <t>周中阳</t>
  </si>
  <si>
    <t>孙秀玲</t>
  </si>
  <si>
    <t>董俊宏</t>
  </si>
  <si>
    <t>辛建华</t>
  </si>
  <si>
    <t>陈安付</t>
  </si>
  <si>
    <t>贵州省贵阳市白云区世纪城龙耀苑一单元11楼2号</t>
  </si>
  <si>
    <t>贵州省贵阳市云岩区三桥南路大发小区六栋二单元702</t>
  </si>
  <si>
    <t>张师</t>
  </si>
  <si>
    <t>黄娜莉</t>
  </si>
  <si>
    <t>陈禄花</t>
  </si>
  <si>
    <t>海健</t>
  </si>
  <si>
    <t>马思源</t>
  </si>
  <si>
    <t>辽宁省沈阳市大东区小北关街141号</t>
  </si>
  <si>
    <t>辽宁省沈阳市铁西区保工南街119号繁荣新都1号楼1207</t>
  </si>
  <si>
    <t>伦智乐</t>
  </si>
  <si>
    <t>山东省日照市莒县经济开发区莱阳路209号</t>
  </si>
  <si>
    <t>山东省日照市莒县闫庄镇伦家当们村266号</t>
  </si>
  <si>
    <t>马凯文</t>
  </si>
  <si>
    <t>沈富雄</t>
  </si>
  <si>
    <t>文钦忠</t>
  </si>
  <si>
    <t>李家贵</t>
  </si>
  <si>
    <t>全明正</t>
  </si>
  <si>
    <t>王铭淇</t>
  </si>
  <si>
    <t>袁爱明</t>
  </si>
  <si>
    <t>陈博文</t>
  </si>
  <si>
    <t>胡绪富</t>
  </si>
  <si>
    <t>山东省济宁市兖州市兴隆工业园</t>
  </si>
  <si>
    <t>山东省济宁市兖州市滨河社区58号3单元301室</t>
  </si>
  <si>
    <t>孙俊</t>
  </si>
  <si>
    <t>辽宁省大连市金州区五一路桃园小区</t>
  </si>
  <si>
    <t>辽宁省大连市金州区五一路宏城嘉苑99号楼二单元301</t>
  </si>
  <si>
    <t>谭宗亮</t>
  </si>
  <si>
    <t>重庆市重庆市江北区盘溪路sp42-0103</t>
  </si>
  <si>
    <t>重庆市重庆市江北区石马河街道龙湖源著39栋11-16</t>
  </si>
  <si>
    <t>广西河池市东兰县东兰县曲江路171号</t>
  </si>
  <si>
    <t>广西河池市东兰县东兰县曲江路9号</t>
  </si>
  <si>
    <t>李欣远</t>
  </si>
  <si>
    <t>山东省青岛市市南区人民路商业广场279号</t>
  </si>
  <si>
    <t>山东省青岛市市北区四流南路17号3号楼3单元401户</t>
  </si>
  <si>
    <t>陈晓建</t>
  </si>
  <si>
    <t>魏罗杰</t>
  </si>
  <si>
    <t>安徽省滁州市南谯区南谯北路968号</t>
  </si>
  <si>
    <t>安徽省滁州市琅琊区创业南路创业南苑2栋2单元2301室</t>
  </si>
  <si>
    <t>山东省烟台市莱州市莱州北路972号</t>
  </si>
  <si>
    <t>山东省烟台市莱州市文峰路街道杏元村119号</t>
  </si>
  <si>
    <t>何妙斯</t>
  </si>
  <si>
    <t>广东省广州市白云区航云北街68号</t>
  </si>
  <si>
    <t>广东省广州市海珠区西滘南大街20号之一504</t>
  </si>
  <si>
    <t>龙光照</t>
  </si>
  <si>
    <t>陈治岐</t>
  </si>
  <si>
    <t>陈少余</t>
  </si>
  <si>
    <t>新疆乌鲁木齐市新市区苏州东街631号</t>
  </si>
  <si>
    <t>浙江省温州市乐清市白石街道中石门村25号</t>
  </si>
  <si>
    <t>苏波</t>
  </si>
  <si>
    <t>陈百伶</t>
  </si>
  <si>
    <t>徐昌文</t>
  </si>
  <si>
    <t>付中华</t>
  </si>
  <si>
    <t>屠曼莉</t>
  </si>
  <si>
    <t>黑龙江省哈尔滨市道里区道里区群力大道1176号</t>
  </si>
  <si>
    <t>黑龙江省哈尔滨市道里区道理区河松小区103栋1 单元201</t>
  </si>
  <si>
    <t>韩捷</t>
  </si>
  <si>
    <t>张秀竹</t>
  </si>
  <si>
    <t>湖北省宜昌市</t>
  </si>
  <si>
    <t>湖北省宜昌市夷陵区鸦鹊岭新场2组</t>
  </si>
  <si>
    <t>廉海林</t>
  </si>
  <si>
    <t>山西省运城市盐湖区学苑路88号</t>
  </si>
  <si>
    <t>山西省运城市盐湖区乔家庄南三巷五号</t>
  </si>
  <si>
    <t>江苏省盐城市亭湖区新都街道凤凰汇广场18-125号</t>
  </si>
  <si>
    <t>江苏省盐城市亭湖区经济开发区南映居委会一组17号</t>
  </si>
  <si>
    <t>闫玉环</t>
  </si>
  <si>
    <t>丁好伟</t>
  </si>
  <si>
    <t>冉旭</t>
  </si>
  <si>
    <t>王世龙</t>
  </si>
  <si>
    <t>辽宁省阜新市太平区红树路红玛瑙广场</t>
  </si>
  <si>
    <t>辽宁省阜新市太平区东光路28-3-233</t>
  </si>
  <si>
    <t>孟令鑫</t>
  </si>
  <si>
    <t>朱宇凡</t>
  </si>
  <si>
    <t>上海市上海市徐汇区漕溪北路88号302室</t>
  </si>
  <si>
    <t>上海市上海市闵行区银都路3118弄4区30号302室</t>
  </si>
  <si>
    <t>李安皓</t>
  </si>
  <si>
    <t>刘卓</t>
  </si>
  <si>
    <t>山西省大同市城区新华街2号</t>
  </si>
  <si>
    <t>山西省大同市城区新华街局东楼17楼21号</t>
  </si>
  <si>
    <t>付健彬</t>
  </si>
  <si>
    <t>姜楠</t>
  </si>
  <si>
    <t>杨剑</t>
  </si>
  <si>
    <t>江苏省苏州市吴江区盛泽镇南肖开发区凯乐纺织院内</t>
  </si>
  <si>
    <t>江苏省苏州市吴江区盛泽镇南肖村五牛浜41号</t>
  </si>
  <si>
    <t>陈宗康</t>
  </si>
  <si>
    <t>贵州省贵阳市花溪区班芙小镇五栋一单元502</t>
  </si>
  <si>
    <t>贵州省贵阳市南明区铁运巷九栋五单元402</t>
  </si>
  <si>
    <t>胡国燕</t>
  </si>
  <si>
    <t>马明贵</t>
  </si>
  <si>
    <t>冯兴</t>
  </si>
  <si>
    <t>姜柏生</t>
  </si>
  <si>
    <t>杜章稳</t>
  </si>
  <si>
    <t>左光亮</t>
  </si>
  <si>
    <t>湖北省武汉市汉阳区琴断口街汤家咀附230号</t>
  </si>
  <si>
    <t>湖北省武汉市汉阳区琴台村59号7楼1户</t>
  </si>
  <si>
    <t>叶茜</t>
  </si>
  <si>
    <t>杨智源</t>
  </si>
  <si>
    <t>任明河</t>
  </si>
  <si>
    <t>袁肃</t>
  </si>
  <si>
    <t>曹必军</t>
  </si>
  <si>
    <t>范玲玲</t>
  </si>
  <si>
    <t>秦璟</t>
  </si>
  <si>
    <t>席旺</t>
  </si>
  <si>
    <t>李海朋</t>
  </si>
  <si>
    <t>田世明</t>
  </si>
  <si>
    <t>周德林</t>
  </si>
  <si>
    <t>盛昌顺</t>
  </si>
  <si>
    <t>黄林东</t>
  </si>
  <si>
    <t>于乐勋</t>
  </si>
  <si>
    <t>广西桂林市七星区龙隐路18号59栋6-1</t>
  </si>
  <si>
    <t>广西桂林市秀峰区东安街丽景公寓3栋701</t>
  </si>
  <si>
    <t>张小华</t>
  </si>
  <si>
    <t>刘义鑫</t>
  </si>
  <si>
    <t>罗方钊</t>
  </si>
  <si>
    <t>符明</t>
  </si>
  <si>
    <t>浙江省杭州市滨江区滨康路001号</t>
  </si>
  <si>
    <t>浙江省杭州市滨江区西兴路399号玲珑府</t>
  </si>
  <si>
    <t>吴元谦</t>
  </si>
  <si>
    <t>姜爱兰</t>
  </si>
  <si>
    <t>陈广斌</t>
  </si>
  <si>
    <t>郭丽娜</t>
  </si>
  <si>
    <t>严洪平</t>
  </si>
  <si>
    <t>四川省宜宾市翠屏区莱茵香街四段南段1幢2层77-1号</t>
  </si>
  <si>
    <t>四川省宜宾市高县四川省高县双河乡文和村8组15号</t>
  </si>
  <si>
    <t>张崇业</t>
  </si>
  <si>
    <t>福建省福州市晋安区东浦路琴亭新苑123号</t>
  </si>
  <si>
    <t>福建省福州市仓山区首山路迎安之路万里青年公馆6座602室</t>
  </si>
  <si>
    <t>李来保</t>
  </si>
  <si>
    <t>安徽省蚌埠市禹会区安微省蚌埠市禹会区柳工大道29号</t>
  </si>
  <si>
    <t>安徽省蚌埠市禹会区蚌埠市禹会区兴中路锦城家园8栋一单元402</t>
  </si>
  <si>
    <t>楚圆圆</t>
  </si>
  <si>
    <t>上海市上海市宝山区罗店镇抚远路1771号</t>
  </si>
  <si>
    <t>上海市上海市黄浦区罗店镇罗太路罗溪公寓A栋331室</t>
  </si>
  <si>
    <t>刘梦利</t>
  </si>
  <si>
    <t>袁雨生</t>
  </si>
  <si>
    <t>龙文</t>
  </si>
  <si>
    <t>董保领</t>
  </si>
  <si>
    <t>徐文溢</t>
  </si>
  <si>
    <t>胡梓云</t>
  </si>
  <si>
    <t>陈松松</t>
  </si>
  <si>
    <t>徐锋</t>
  </si>
  <si>
    <t>董鑫会</t>
  </si>
  <si>
    <t>李善宗</t>
  </si>
  <si>
    <t>关宇佳</t>
  </si>
  <si>
    <t>苏布勒</t>
  </si>
  <si>
    <t>龚浩</t>
  </si>
  <si>
    <t>四川省成都市温江区蓉台大道18号</t>
  </si>
  <si>
    <t>四川省成都市温江区蓉台大道中铁丽景书香2栋1202</t>
  </si>
  <si>
    <t>严建锡</t>
  </si>
  <si>
    <t>余云川</t>
  </si>
  <si>
    <t>余双青</t>
  </si>
  <si>
    <t>罗睿鹏</t>
  </si>
  <si>
    <t>刘倍</t>
  </si>
  <si>
    <t>朱晓冬</t>
  </si>
  <si>
    <t>鲍智勇</t>
  </si>
  <si>
    <t>杨金砖</t>
  </si>
  <si>
    <t>晏磊</t>
  </si>
  <si>
    <t>江苏省南京市栖霞区和燕路408号</t>
  </si>
  <si>
    <t>江苏省南京市鼓楼区二板桥422号2单元202</t>
  </si>
  <si>
    <t>赵慧敏</t>
  </si>
  <si>
    <t>倪程成</t>
  </si>
  <si>
    <t>范加睿</t>
  </si>
  <si>
    <t>林敏芳</t>
  </si>
  <si>
    <t>陈文勇</t>
  </si>
  <si>
    <t>陈焕基</t>
  </si>
  <si>
    <t>周文</t>
  </si>
  <si>
    <t>湖南省岳阳市临湘市星河广场南侧三楼</t>
  </si>
  <si>
    <t>湖南省岳阳市临湘市长安街道城西北路2号2栋303</t>
  </si>
  <si>
    <t>崔书海</t>
  </si>
  <si>
    <t>山东省淄博市张店区华光路58号翰林文化广场一楼A8</t>
  </si>
  <si>
    <t>山东省淄博市张店区南苑绿洲小区18号1单元201</t>
  </si>
  <si>
    <t>李孟科</t>
  </si>
  <si>
    <t>广东省深圳市宝安区西乡镇固戌一路润东晟工业区A1栋</t>
  </si>
  <si>
    <t>广东省深圳市宝安区深圳市宝安区西乡镇固戌一路润东晟工业区A1栋629房</t>
  </si>
  <si>
    <t>石慧展</t>
  </si>
  <si>
    <t>赵一鸣</t>
  </si>
  <si>
    <t>天津市天津市西青区西青区悦雅花园底商101</t>
  </si>
  <si>
    <t>天津市天津市西青区悦雅花园a座403</t>
  </si>
  <si>
    <t>张启国</t>
  </si>
  <si>
    <t>欧名</t>
  </si>
  <si>
    <t>吕蓬勃</t>
  </si>
  <si>
    <t>辽宁省辽阳市宏伟区文汇路41号</t>
  </si>
  <si>
    <t>辽宁省抚顺市东洲区茨沟街42-1号楼1单元201</t>
  </si>
  <si>
    <t>马长治</t>
  </si>
  <si>
    <t>林秋美</t>
  </si>
  <si>
    <t>丁洋洋</t>
  </si>
  <si>
    <t>王黎慧</t>
  </si>
  <si>
    <t>孙小卫</t>
  </si>
  <si>
    <t>肖争明</t>
  </si>
  <si>
    <t>姚发</t>
  </si>
  <si>
    <t>沙依加马力·阿巴白克尔</t>
  </si>
  <si>
    <t>刘瑞彬</t>
  </si>
  <si>
    <t>唐上明</t>
  </si>
  <si>
    <t>武景鑫</t>
  </si>
  <si>
    <t>苏子文</t>
  </si>
  <si>
    <t>阎泽峰</t>
  </si>
  <si>
    <t>丁建军</t>
  </si>
  <si>
    <t>兰权</t>
  </si>
  <si>
    <t>郭海丽</t>
  </si>
  <si>
    <t>于长红</t>
  </si>
  <si>
    <t>王天志</t>
  </si>
  <si>
    <t>河北省石家庄市正定县107国道商博商务楼503</t>
  </si>
  <si>
    <t>河北省石家庄市正定县恒州北街59号华府名邸1-1503</t>
  </si>
  <si>
    <t>韩亮</t>
  </si>
  <si>
    <t>河南省新乡市红旗区新二街与向阳路交叉口向北200米路东</t>
  </si>
  <si>
    <t>河南省新乡市牧野区北环路483号水岸怡景小区4号楼二单元1501室</t>
  </si>
  <si>
    <t>李正南</t>
  </si>
  <si>
    <t>樊磊杰</t>
  </si>
  <si>
    <t>辽宁省朝阳市双塔区朝阳大街一段128号</t>
  </si>
  <si>
    <t>辽宁省朝阳市双塔区云水路四段云水家园19号楼一单元503</t>
  </si>
  <si>
    <t>刘晨棣</t>
  </si>
  <si>
    <t>湖北省武汉市汉阳区巨龙大道</t>
  </si>
  <si>
    <t>湖北省武汉市黄陂区巨龙大道名流人和天地</t>
  </si>
  <si>
    <t>陈晓彬</t>
  </si>
  <si>
    <t>福建省泉州市晋江市新华洲水产市场B2-1</t>
  </si>
  <si>
    <t>福建省泉州市晋江市福建省永春县桃城镇洋上村</t>
  </si>
  <si>
    <t>罗加玉</t>
  </si>
  <si>
    <t>四川省巴中市巴州区巴州区枣儿垭工业园区</t>
  </si>
  <si>
    <t>四川省巴中市巴州区思民巷17号</t>
  </si>
  <si>
    <t>邱云</t>
  </si>
  <si>
    <t>朱术兵</t>
  </si>
  <si>
    <t>吕秀林</t>
  </si>
  <si>
    <t>广东省江门市蓬江区广东省江门市蓬江区礼乐镇礼义三路3号</t>
  </si>
  <si>
    <t>广东省江门市蓬江区广东省江门市蓬江区利生车城对面西宁里228号</t>
  </si>
  <si>
    <t>龙志顺</t>
  </si>
  <si>
    <t>曹性起</t>
  </si>
  <si>
    <t>湖北省武汉市江岸区将军路梅花池135号</t>
  </si>
  <si>
    <t>湖北省武汉市东西湖区将军路将军中学集资楼三单元102号</t>
  </si>
  <si>
    <t>李家静</t>
  </si>
  <si>
    <t>戴文</t>
  </si>
  <si>
    <t>杜诗雨</t>
  </si>
  <si>
    <t>四川省成都市锦江区大安桥村3组</t>
  </si>
  <si>
    <t>四川省成都市锦江区锦丰一路锦城逸景C区一栋3002</t>
  </si>
  <si>
    <t>林炯标</t>
  </si>
  <si>
    <t>孟雪娇</t>
  </si>
  <si>
    <t>张学民</t>
  </si>
  <si>
    <t>吴晓晨</t>
  </si>
  <si>
    <t>王雪刚</t>
  </si>
  <si>
    <t>王浙人</t>
  </si>
  <si>
    <t>浙江省绍兴市绍兴县柯桥湖西路406号</t>
  </si>
  <si>
    <t>浙江省绍兴市绍兴县绍兴柯桥福年小区4栋2101</t>
  </si>
  <si>
    <t>穆昌银</t>
  </si>
  <si>
    <t>万祥胜</t>
  </si>
  <si>
    <t>邵润东</t>
  </si>
  <si>
    <t>山西省临汾市古县岳秀街政府大楼二层</t>
  </si>
  <si>
    <t>山西省临汾市古县相如路2号楼二单元</t>
  </si>
  <si>
    <t>郭咏林</t>
  </si>
  <si>
    <t>苗生芊</t>
  </si>
  <si>
    <t>许雅森</t>
  </si>
  <si>
    <t>浙江省杭州市江干区富春路842号</t>
  </si>
  <si>
    <t>浙江省杭州市江干区富春路盛时钱塘</t>
  </si>
  <si>
    <t>刘达</t>
  </si>
  <si>
    <t>付钦平</t>
  </si>
  <si>
    <t>孙锋林</t>
  </si>
  <si>
    <t>胡思良</t>
  </si>
  <si>
    <t>孙彦锋</t>
  </si>
  <si>
    <t>内蒙古巴彦淖尔市临河区欧式街五中西墙</t>
  </si>
  <si>
    <t>内蒙古巴彦淖尔市临河区临五路地质队家属楼</t>
  </si>
  <si>
    <t>程锋</t>
  </si>
  <si>
    <t>郝相华</t>
  </si>
  <si>
    <t>浙江省绍兴市越城区绍兴市越东路168号</t>
  </si>
  <si>
    <t>浙江省绍兴市越城区绍兴市越东路</t>
  </si>
  <si>
    <t>班永吉</t>
  </si>
  <si>
    <t>麦翠珍</t>
  </si>
  <si>
    <t>广东省广州市南沙区东涌镇吉祥中街8号</t>
  </si>
  <si>
    <t>广东省广州市番禺区石基镇官涌村路麦大街上十巷10号</t>
  </si>
  <si>
    <t>赵彩连</t>
  </si>
  <si>
    <t>刘丽华</t>
  </si>
  <si>
    <t>何鑫宏</t>
  </si>
  <si>
    <t>米增珠</t>
  </si>
  <si>
    <t>周延文</t>
  </si>
  <si>
    <t>王芸萌</t>
  </si>
  <si>
    <t>樊有刚</t>
  </si>
  <si>
    <t>黄承洲</t>
  </si>
  <si>
    <t>浙江省杭州市萧山区民和路民营企业大厦</t>
  </si>
  <si>
    <t>浙江省杭州市萧山区美哉美城</t>
  </si>
  <si>
    <t>方来如</t>
  </si>
  <si>
    <t>杨海静</t>
  </si>
  <si>
    <t>常杰</t>
  </si>
  <si>
    <t>雷海东</t>
  </si>
  <si>
    <t>浙江省杭州市萧山区萧山经济技术开发区鸿兴路99号</t>
  </si>
  <si>
    <t>浙江省杭州市萧山区萧山经济技术开发区鸿兴路99号4号门</t>
  </si>
  <si>
    <t>刘长明</t>
  </si>
  <si>
    <t>袁国清</t>
  </si>
  <si>
    <t>李洪兵</t>
  </si>
  <si>
    <t>李自华</t>
  </si>
  <si>
    <t>周晓勇</t>
  </si>
  <si>
    <t>张广斌</t>
  </si>
  <si>
    <t>陈汝龙</t>
  </si>
  <si>
    <t>湖南省郴州市北湖区苏宁电器B栋1601</t>
  </si>
  <si>
    <t>湖南省郴州市北湖区惠泽园2期18栋307</t>
  </si>
  <si>
    <t>刘洪营</t>
  </si>
  <si>
    <t>范炳炎</t>
  </si>
  <si>
    <t>韩芸</t>
  </si>
  <si>
    <t>邱焕元</t>
  </si>
  <si>
    <t>韦勇东</t>
  </si>
  <si>
    <t>骆用慧</t>
  </si>
  <si>
    <t>李信明</t>
  </si>
  <si>
    <t>江林飞</t>
  </si>
  <si>
    <t>浙江省杭州市江干区秋涛北路202号安琪儿灯具城二楼B区2231号</t>
  </si>
  <si>
    <t>浙江省杭州市江干区笕桥二区47号</t>
  </si>
  <si>
    <t>施梦露</t>
  </si>
  <si>
    <t>黄文杰</t>
  </si>
  <si>
    <t>郭洪伟</t>
  </si>
  <si>
    <t>曹芳洲</t>
  </si>
  <si>
    <t>孙建全</t>
  </si>
  <si>
    <t>艾梦超</t>
  </si>
  <si>
    <t>缪招锦</t>
  </si>
  <si>
    <t>罗小平</t>
  </si>
  <si>
    <t>付雨</t>
  </si>
  <si>
    <t>孙士博</t>
  </si>
  <si>
    <t>易卫东</t>
  </si>
  <si>
    <t>王英键</t>
  </si>
  <si>
    <t>冯燕</t>
  </si>
  <si>
    <t>向志荣</t>
  </si>
  <si>
    <t>孔维征</t>
  </si>
  <si>
    <t>吉光辉</t>
  </si>
  <si>
    <t>黑龙江省齐齐哈尔市铁锋区龙沙路583号</t>
  </si>
  <si>
    <t>黑龙江省齐齐哈尔市铁锋区景新大街新民小区6号1单元</t>
  </si>
  <si>
    <t>邓晨曦</t>
  </si>
  <si>
    <t>谷永幸</t>
  </si>
  <si>
    <t>安宋</t>
  </si>
  <si>
    <t>符先鼎</t>
  </si>
  <si>
    <t>万凯凯</t>
  </si>
  <si>
    <t>殷东来</t>
  </si>
  <si>
    <t>邵蕾</t>
  </si>
  <si>
    <t>潘正茂</t>
  </si>
  <si>
    <t>蒲星华</t>
  </si>
  <si>
    <t>胡海</t>
  </si>
  <si>
    <t>辽宁省沈阳市和平区市府大路224号6栋21楼2101</t>
  </si>
  <si>
    <t>辽宁省沈阳市于洪区吉力湖街207-4号1号楼2单元2604</t>
  </si>
  <si>
    <t>王玉鹏</t>
  </si>
  <si>
    <t>福建省南平市光泽县光泽县王家际农场</t>
  </si>
  <si>
    <t>福建省南平市武夷山市武夷山市武夷学院南苑公寓9号楼</t>
  </si>
  <si>
    <t>徐娟</t>
  </si>
  <si>
    <t>江苏省常州市戚墅堰区丁堰街道华丰路21号</t>
  </si>
  <si>
    <t>江苏省常州市戚墅堰区潞城东方福郡6幢乙单元801</t>
  </si>
  <si>
    <t>辛明军</t>
  </si>
  <si>
    <t>四川省成都市武侯区太平园东三街16号</t>
  </si>
  <si>
    <t>四川省成都市郫县犀浦镇泰山北路421号13-2-2202</t>
  </si>
  <si>
    <t>何帝稳</t>
  </si>
  <si>
    <t>徐志诚</t>
  </si>
  <si>
    <t>付大立</t>
  </si>
  <si>
    <t>浙江省杭州市上城区吉林省东丰县药业大街98</t>
  </si>
  <si>
    <t>吉林省东丰县天成小区3号楼二单元401</t>
  </si>
  <si>
    <t>高国平</t>
  </si>
  <si>
    <t>周小芳</t>
  </si>
  <si>
    <t>任文星</t>
  </si>
  <si>
    <t>江苏省苏州市昆山市昆山市经济开发区玫瑰路58号</t>
  </si>
  <si>
    <t>江苏省苏州市姑苏区昆山市玉山镇中华园西村4号楼2单元103</t>
  </si>
  <si>
    <t>华金妹</t>
  </si>
  <si>
    <t>刘望</t>
  </si>
  <si>
    <t>樊天陆</t>
  </si>
  <si>
    <t>王岚</t>
  </si>
  <si>
    <t>雷若轩</t>
  </si>
  <si>
    <t>潘东明</t>
  </si>
  <si>
    <t>韩帅</t>
  </si>
  <si>
    <t>四川省成都市新都区中集车辆园成诺物流6栋110</t>
  </si>
  <si>
    <t>四川省成都市新都区踏水路盛世香河B区4栋105</t>
  </si>
  <si>
    <t>黄鹤松</t>
  </si>
  <si>
    <t>石洪波</t>
  </si>
  <si>
    <t>马玮帆</t>
  </si>
  <si>
    <t>杨建宁</t>
  </si>
  <si>
    <t>云南省昆明市五华区小屯路中段昆明鑫源堂医药物流中心</t>
  </si>
  <si>
    <t>云南省昆明市五华区河北路76</t>
  </si>
  <si>
    <t>杨登荣</t>
  </si>
  <si>
    <t>赖斌斌</t>
  </si>
  <si>
    <t>四川省德阳市旌阳区东海路东段2号</t>
  </si>
  <si>
    <t>四川省德阳市旌阳区东湖乡大地村14组45号</t>
  </si>
  <si>
    <t>张勃涛</t>
  </si>
  <si>
    <t>陕西省西安市莲湖区劳动北路新玉林汽配城</t>
  </si>
  <si>
    <t>陕西省西安市莲湖区大庆路103社区22栋楼1单元301室</t>
  </si>
  <si>
    <t>申瑞奇</t>
  </si>
  <si>
    <t>李国勇</t>
  </si>
  <si>
    <t>河南省郑州市中原区航海路秦岭路交叉口</t>
  </si>
  <si>
    <t>河南省郑州市二七区嵩山路黄岗寺</t>
  </si>
  <si>
    <t>余亚南</t>
  </si>
  <si>
    <t>雷海全</t>
  </si>
  <si>
    <t>张亚芳</t>
  </si>
  <si>
    <t>河南省平顶山市石龙区平顶山市石龙区高庄</t>
  </si>
  <si>
    <t>河南省平顶山市郏县白庙乡冀麻庄1号</t>
  </si>
  <si>
    <t>何金海</t>
  </si>
  <si>
    <t>山茂敏</t>
  </si>
  <si>
    <t>黄赟</t>
  </si>
  <si>
    <t>董汉英</t>
  </si>
  <si>
    <t>许玉柱</t>
  </si>
  <si>
    <t>曾裕云</t>
  </si>
  <si>
    <t>郭佳龙</t>
  </si>
  <si>
    <t>马颂</t>
  </si>
  <si>
    <t>罗明</t>
  </si>
  <si>
    <t>董磊磊</t>
  </si>
  <si>
    <t>江西省九江市浔阳区联盛超市炼油厂店</t>
  </si>
  <si>
    <t>江西省九江市浔阳区滨江东路175号5组026室</t>
  </si>
  <si>
    <t>祝振波</t>
  </si>
  <si>
    <t>徐小亮</t>
  </si>
  <si>
    <t>黑龙江省鹤岗市萝北县宝泉岭农垦</t>
  </si>
  <si>
    <t>杨国伟</t>
  </si>
  <si>
    <t>徐延华</t>
  </si>
  <si>
    <t>吴梦韦</t>
  </si>
  <si>
    <t>吴敬盛</t>
  </si>
  <si>
    <t>河南省郑州市管城回族区郑州市银基商贸城3C041号</t>
  </si>
  <si>
    <t>河南省郑州市管城回族区郑州市紫辰路正商华钻湾景2号院3号楼2单元2004室</t>
  </si>
  <si>
    <t>王下</t>
  </si>
  <si>
    <t>许华祺</t>
  </si>
  <si>
    <t>广西北海市银海区上海路驿马仓储物流园</t>
  </si>
  <si>
    <t>广西防城港市防城区扶隆乡北基村山塘组2号</t>
  </si>
  <si>
    <t>卫尘</t>
  </si>
  <si>
    <t>李祥洪</t>
  </si>
  <si>
    <t>方伦顺</t>
  </si>
  <si>
    <t>吕全全</t>
  </si>
  <si>
    <t>山东省潍坊市昌邑市峡山生态经济发展区太保庄街道</t>
  </si>
  <si>
    <t>山东省潍坊市昌邑市下营镇吕家村116号</t>
  </si>
  <si>
    <t>潘军江</t>
  </si>
  <si>
    <t>单新朋</t>
  </si>
  <si>
    <t>孙振晓</t>
  </si>
  <si>
    <t>山东省潍坊市奎文区潍坊市奎文区潍州路东方游乐园南100米</t>
  </si>
  <si>
    <t>山东省潍坊市奎文区潍坊市奎文区庄检路雷士书香宜家二单元13楼</t>
  </si>
  <si>
    <t>张文锋</t>
  </si>
  <si>
    <t>刘万伟</t>
  </si>
  <si>
    <t>林清荣</t>
  </si>
  <si>
    <t>龚苏明</t>
  </si>
  <si>
    <t>段巧玲</t>
  </si>
  <si>
    <t>吴增南</t>
  </si>
  <si>
    <t>内蒙古巴彦淖尔市临河区临五路大转盘东200米路南</t>
  </si>
  <si>
    <t>内蒙古巴彦淖尔市临河区临河区杭锦后旗旗政府东拖修厂院内</t>
  </si>
  <si>
    <t>高瑜</t>
  </si>
  <si>
    <t>沈友军</t>
  </si>
  <si>
    <t>许道贤</t>
  </si>
  <si>
    <t>谢先庆</t>
  </si>
  <si>
    <t>李明旭</t>
  </si>
  <si>
    <t>辽宁省沈阳市于洪区黄海路45号</t>
  </si>
  <si>
    <t>辽宁省沈阳市于洪区南阳湖街162号恒大绿洲1-9-3</t>
  </si>
  <si>
    <t>华来平</t>
  </si>
  <si>
    <t>王玉雪</t>
  </si>
  <si>
    <t>甘婉桃</t>
  </si>
  <si>
    <t>唐秋萍</t>
  </si>
  <si>
    <t>瞿聪</t>
  </si>
  <si>
    <t>江苏省南通市港闸区荣盛路6号</t>
  </si>
  <si>
    <t>江苏省南通市港闸区皇家花园2.1101</t>
  </si>
  <si>
    <t>张宇思</t>
  </si>
  <si>
    <t>彭清华</t>
  </si>
  <si>
    <t>周爱青</t>
  </si>
  <si>
    <t>王俊开</t>
  </si>
  <si>
    <t>吴忠伟</t>
  </si>
  <si>
    <t>赵楠</t>
  </si>
  <si>
    <t>徐兵章</t>
  </si>
  <si>
    <t>湖北省襄阳市襄城区新街办公楼26-8</t>
  </si>
  <si>
    <t>湖北省襄阳市枣阳市吴店镇白马堰村一组</t>
  </si>
  <si>
    <t>辛昊播</t>
  </si>
  <si>
    <t>赵孔平</t>
  </si>
  <si>
    <t>鲍晨光</t>
  </si>
  <si>
    <t>内蒙古呼和浩特市赛罕区金河镇格尔图村南口</t>
  </si>
  <si>
    <t>内蒙古呼和浩特市新城区兴安北路公园世家小区6号楼1单元1503</t>
  </si>
  <si>
    <t>苑小盟</t>
  </si>
  <si>
    <t>江换明</t>
  </si>
  <si>
    <t>陈文超</t>
  </si>
  <si>
    <t>山东省德州市齐河县晏北街道齐安大街116号</t>
  </si>
  <si>
    <t>山东省德州市齐河县晏城街道友谊路338号旗馨园小区</t>
  </si>
  <si>
    <t>陈玮</t>
  </si>
  <si>
    <t>张梦美</t>
  </si>
  <si>
    <t>张启帆</t>
  </si>
  <si>
    <t>高形钊</t>
  </si>
  <si>
    <t>刘利刚</t>
  </si>
  <si>
    <t>四川省甘孜藏族自治州康定县炉城南路13号</t>
  </si>
  <si>
    <t>四川省甘孜藏族自治州康定县炉城镇西大街169号</t>
  </si>
  <si>
    <t>王丽花</t>
  </si>
  <si>
    <t>河北省张家口市蔚县建设南大街马可波罗瓷砖专卖店</t>
  </si>
  <si>
    <t>河北省张家口市蔚县金土地小区A3楼2单元302</t>
  </si>
  <si>
    <t>王建钟</t>
  </si>
  <si>
    <t>周小力</t>
  </si>
  <si>
    <t>王健吉</t>
  </si>
  <si>
    <t>陈梦婷</t>
  </si>
  <si>
    <t>李阳军</t>
  </si>
  <si>
    <t>韦韩龙</t>
  </si>
  <si>
    <t>莫耀快</t>
  </si>
  <si>
    <t>贵州省遵义市汇川区珠海路万豪国际B栋803号</t>
  </si>
  <si>
    <t>贵州省遵义市汇川区香宁巷航天六区四单元703号</t>
  </si>
  <si>
    <t>刘法鑫</t>
  </si>
  <si>
    <t>柳勇</t>
  </si>
  <si>
    <t>张洒</t>
  </si>
  <si>
    <t>张家琪</t>
  </si>
  <si>
    <t>匡武勇</t>
  </si>
  <si>
    <t>古小燕</t>
  </si>
  <si>
    <t>邹亚纯</t>
  </si>
  <si>
    <t>湖北省武汉市洪山区武汉市洪山区中北路特1号楚天都市华园C座12楼12F</t>
  </si>
  <si>
    <t>湖北省武汉市洪山区湖北省武汉市洪山区梨园街道东沙华园13栋一单元702</t>
  </si>
  <si>
    <t>樊钦产</t>
  </si>
  <si>
    <t>廖春</t>
  </si>
  <si>
    <t>薛晨</t>
  </si>
  <si>
    <t>江良正</t>
  </si>
  <si>
    <t>张力宁</t>
  </si>
  <si>
    <t>辽宁省沈阳市和平区和平区胜利南大街十九号</t>
  </si>
  <si>
    <t>辽宁省沈阳市于洪区于洪区南阳湖街142号宏发英里小区A3号楼二单元十楼四号</t>
  </si>
  <si>
    <t>兰家聪</t>
  </si>
  <si>
    <t>任广杰</t>
  </si>
  <si>
    <t>舒升</t>
  </si>
  <si>
    <t>上海市上海市青浦区双联路158号8f</t>
  </si>
  <si>
    <t>上海市上海市青浦区双联路158号2503</t>
  </si>
  <si>
    <t>盛侣磊</t>
  </si>
  <si>
    <t>陕西省渭南市富平县陕西省渭南市富平县王寮街道</t>
  </si>
  <si>
    <t>马含旭</t>
  </si>
  <si>
    <t>付雪竹</t>
  </si>
  <si>
    <t>辽宁省抚顺市新抚区东一路四号</t>
  </si>
  <si>
    <t>辽宁省抚顺市新抚区刘山廉租房一号楼一单元302</t>
  </si>
  <si>
    <t>王礼福</t>
  </si>
  <si>
    <t>李姣玉</t>
  </si>
  <si>
    <t>朱浩</t>
  </si>
  <si>
    <t>方镇</t>
  </si>
  <si>
    <t>卢金江</t>
  </si>
  <si>
    <t>贵州省黔西南布依族苗族自治州普安县贵州省普安县地瓜镇街上</t>
  </si>
  <si>
    <t>贵州省黔西南布依族苗族自治州普安县阳光新城8栋2单元</t>
  </si>
  <si>
    <t>钱军</t>
  </si>
  <si>
    <t>宁现</t>
  </si>
  <si>
    <t>张雪巍</t>
  </si>
  <si>
    <t>崔阳凯</t>
  </si>
  <si>
    <t>胡志亮</t>
  </si>
  <si>
    <t>湖南省永州市零陵区浯溪镇民生南路239号</t>
  </si>
  <si>
    <t>湖南省永州市祁阳县浯溪镇盘龙中路156号交通小区3栋一单元201</t>
  </si>
  <si>
    <t>伍壮</t>
  </si>
  <si>
    <t>郑陈清</t>
  </si>
  <si>
    <t>钟友</t>
  </si>
  <si>
    <t>王海刚</t>
  </si>
  <si>
    <t>四川省内江市东兴区西林大道524号</t>
  </si>
  <si>
    <t>四川省内江市东兴区和平广场平安路473号</t>
  </si>
  <si>
    <t>梁海</t>
  </si>
  <si>
    <t>贺家代</t>
  </si>
  <si>
    <t>罗国俊</t>
  </si>
  <si>
    <t>刘智</t>
  </si>
  <si>
    <t>尹洪军</t>
  </si>
  <si>
    <t>唐丹</t>
  </si>
  <si>
    <t>张魏荣</t>
  </si>
  <si>
    <t>赵乐涛</t>
  </si>
  <si>
    <t>云南省昆明市盘龙区茨坝街道青松路2号</t>
  </si>
  <si>
    <t>云南省昆明市盘龙区昆明玉器城55栋1单元602室</t>
  </si>
  <si>
    <t>石春保</t>
  </si>
  <si>
    <t>赵晓飞</t>
  </si>
  <si>
    <t>古厚彬</t>
  </si>
  <si>
    <t>袁长飞</t>
  </si>
  <si>
    <t>江苏省苏州市张家港市西张双龙花苑</t>
  </si>
  <si>
    <t>江苏省苏州市张家港市凤凰镇凤凰花苑小区45幢803</t>
  </si>
  <si>
    <t>牛勇</t>
  </si>
  <si>
    <t>胡聪霄</t>
  </si>
  <si>
    <t>杨小波</t>
  </si>
  <si>
    <t>刘洪生</t>
  </si>
  <si>
    <t>重庆市重庆市巴南区鱼洞新明街8号</t>
  </si>
  <si>
    <t>重庆市重庆市巴南区庙石台114号附6号</t>
  </si>
  <si>
    <t>刘宝峰</t>
  </si>
  <si>
    <t>杨宪图</t>
  </si>
  <si>
    <t>赵德伟</t>
  </si>
  <si>
    <t>赵冬冬</t>
  </si>
  <si>
    <t>白志龙</t>
  </si>
  <si>
    <t>黄天鹏</t>
  </si>
  <si>
    <t>江苏省无锡市崇安区凤凰路30号凤凰大厦17层</t>
  </si>
  <si>
    <t>江苏省无锡市江阴市高巷路55号</t>
  </si>
  <si>
    <t>莫剑</t>
  </si>
  <si>
    <t>单丽萍</t>
  </si>
  <si>
    <t>山东省烟台市莱阳市昌山路206号剧院院内</t>
  </si>
  <si>
    <t>山东省烟台市莱阳市旌旗西路儒林小区6号408室</t>
  </si>
  <si>
    <t>郑少华</t>
  </si>
  <si>
    <t>贵州省贵阳市南明区太慈桥市府灯饰广场2-6号</t>
  </si>
  <si>
    <t>贵州省贵阳市南明区美树阳光11栋16-1</t>
  </si>
  <si>
    <t>王中慧</t>
  </si>
  <si>
    <t>高尧</t>
  </si>
  <si>
    <t>付马龙</t>
  </si>
  <si>
    <t>吴志宏</t>
  </si>
  <si>
    <t>胡成亮</t>
  </si>
  <si>
    <t>福建省泉州市南安市水头镇福山工业区188号</t>
  </si>
  <si>
    <t>福建省泉州市南安市水头镇康店村362号</t>
  </si>
  <si>
    <t>徐欢</t>
  </si>
  <si>
    <t>江苏省连云港市东海县牛山镇323省道北桂柳牧业有限公司</t>
  </si>
  <si>
    <t>贾娜</t>
  </si>
  <si>
    <t>山西省阳泉市城区华盛街兴隆社区四号楼一单元7号</t>
  </si>
  <si>
    <t>山西省阳泉市矿区刘家垴东区9楼2门8号</t>
  </si>
  <si>
    <t>张吉</t>
  </si>
  <si>
    <t>张妮</t>
  </si>
  <si>
    <t>王录同</t>
  </si>
  <si>
    <t>何雯婷</t>
  </si>
  <si>
    <t>朱绿蓝</t>
  </si>
  <si>
    <t>重庆市重庆市渝中区八一路27号8层</t>
  </si>
  <si>
    <t>重庆市重庆市江北区大兴村城市丽都28-5</t>
  </si>
  <si>
    <t>赵贵英</t>
  </si>
  <si>
    <t>蒲丹</t>
  </si>
  <si>
    <t>叶尔努·叶尔江</t>
  </si>
  <si>
    <t>新疆伊犁哈萨克自治州伊宁市伊宁市四川新村火车站旁边特警支队</t>
  </si>
  <si>
    <t>新疆伊犁哈萨克自治州伊宁市文苑小区26号楼一单元二楼202室</t>
  </si>
  <si>
    <t>郝从刚</t>
  </si>
  <si>
    <t>山西省临汾市安泽县临汾市安泽县唐城镇玉和泰煤业有限公司</t>
  </si>
  <si>
    <t>山西省临汾市古县临汾市古县岳阳镇万里村306</t>
  </si>
  <si>
    <t>王富文</t>
  </si>
  <si>
    <t>张祥吉</t>
  </si>
  <si>
    <t>蔡斌鑫</t>
  </si>
  <si>
    <t>刘羽茜</t>
  </si>
  <si>
    <t>张秦</t>
  </si>
  <si>
    <t>四川省达州市万源市河西丽锦苑8号</t>
  </si>
  <si>
    <t>四川省达州市万源市秦河乡半边街村十二湾组44号</t>
  </si>
  <si>
    <t>江苏省连云港市连云区范庄梅花路68号</t>
  </si>
  <si>
    <t>连云港市海州区云台乡朱麻村660号</t>
  </si>
  <si>
    <t>霍海霞</t>
  </si>
  <si>
    <t>湖北省恩施土家族苗族自治州来凤县来凤县翔凤镇关城坡路128号</t>
  </si>
  <si>
    <t>来凤县黄金水岸怡园</t>
  </si>
  <si>
    <t>凌婕</t>
  </si>
  <si>
    <t>武晨</t>
  </si>
  <si>
    <t>陕西省安康市宁陕县宁陕县城关镇星河路</t>
  </si>
  <si>
    <t>陕西省安康市宁陕县城关镇玉泉小区</t>
  </si>
  <si>
    <t>卢建文</t>
  </si>
  <si>
    <t>周庆</t>
  </si>
  <si>
    <t>覃焘</t>
  </si>
  <si>
    <t>广西柳州市城中区柳州市海关南路秦家村菜市口</t>
  </si>
  <si>
    <t>广西柳州市城中区柳州市海关南路32号1单元301室</t>
  </si>
  <si>
    <t>汪晓潭</t>
  </si>
  <si>
    <t>张其斌</t>
  </si>
  <si>
    <t>叶火明</t>
  </si>
  <si>
    <t>满欣果</t>
  </si>
  <si>
    <t>卫富文</t>
  </si>
  <si>
    <t>陕西省延安市宝塔区东关街</t>
  </si>
  <si>
    <t>陕西省延安市宝塔区向阳沟广电大厦1号楼一单元0502室</t>
  </si>
  <si>
    <t>四川省成都市武侯区锦城大道825号2栋410-417号</t>
  </si>
  <si>
    <t>四川省成都市武侯区机投镇万寿路1号欧苑5栋1单元503</t>
  </si>
  <si>
    <t>蒋文超</t>
  </si>
  <si>
    <t>重庆市重庆市渝北区重庆市渝北区兴科大道299号水木年华4栋3-2</t>
  </si>
  <si>
    <t>重庆市重庆市江北区宏帆路121号万科悦湾2栋1单元1205</t>
  </si>
  <si>
    <t>史鹏涛</t>
  </si>
  <si>
    <t>邹利</t>
  </si>
  <si>
    <t>马纪冬</t>
  </si>
  <si>
    <t>仲春晓</t>
  </si>
  <si>
    <t>杨永龙</t>
  </si>
  <si>
    <t>郑永峰</t>
  </si>
  <si>
    <t>夏小琳</t>
  </si>
  <si>
    <t>浙江省杭州市西湖区文一西路西斗门工业园区16号楼</t>
  </si>
  <si>
    <t>浙江省杭州市江干区钱江四苑东区5幢1单元201</t>
  </si>
  <si>
    <t>熊建</t>
  </si>
  <si>
    <t>陈焱</t>
  </si>
  <si>
    <t>浙江省台州市三门县海游街老南山路26号</t>
  </si>
  <si>
    <t>浙江省台州市三门县海游街西区大道43号二单元604</t>
  </si>
  <si>
    <t>汤晓慧</t>
  </si>
  <si>
    <t>胡波明</t>
  </si>
  <si>
    <t>江苏省连云港市海州区海州区浦河东路62号</t>
  </si>
  <si>
    <t>江苏省宿迁市沭阳县幸福家园四号楼二单元202</t>
  </si>
  <si>
    <t>赵喜文</t>
  </si>
  <si>
    <t>王剑彬</t>
  </si>
  <si>
    <t>刘晨龙</t>
  </si>
  <si>
    <t>牛传记</t>
  </si>
  <si>
    <t>刘小文</t>
  </si>
  <si>
    <t>钱丞</t>
  </si>
  <si>
    <t>任锡军</t>
  </si>
  <si>
    <t>郝加宾</t>
  </si>
  <si>
    <t>袁福胜</t>
  </si>
  <si>
    <t>仲立晗</t>
  </si>
  <si>
    <t>彭仁艺</t>
  </si>
  <si>
    <t>王建华</t>
  </si>
  <si>
    <t>梅轩诚</t>
  </si>
  <si>
    <t>陈颖旭</t>
  </si>
  <si>
    <t>谢海</t>
  </si>
  <si>
    <t>庄锡荣</t>
  </si>
  <si>
    <t>吴霜</t>
  </si>
  <si>
    <t>江苏省常州市溧阳市平陵东路68号</t>
  </si>
  <si>
    <t>江苏省常州市溧阳市戴埠镇百家塘村委南水西村106号</t>
  </si>
  <si>
    <t>高思杰</t>
  </si>
  <si>
    <t>陈卓乾</t>
  </si>
  <si>
    <t>韦德金</t>
  </si>
  <si>
    <t>李梓赫</t>
  </si>
  <si>
    <t>吴良斌</t>
  </si>
  <si>
    <t>贾玉龙</t>
  </si>
  <si>
    <t>黄刚</t>
  </si>
  <si>
    <t>程倩然</t>
  </si>
  <si>
    <t>林金辉</t>
  </si>
  <si>
    <t>李永鑫</t>
  </si>
  <si>
    <t>辽宁省大连市甘井子区泉水A2区49号2单元16层3号</t>
  </si>
  <si>
    <t>辽宁省大连市金州区登沙河镇排子村后排子158号</t>
  </si>
  <si>
    <t>毕胜斐</t>
  </si>
  <si>
    <t>重庆市重庆市沙坪坝区半月楼沙扬路56号</t>
  </si>
  <si>
    <t>重庆市重庆市沙坪坝区童家桥白鹤林125号</t>
  </si>
  <si>
    <t>陈乔桥</t>
  </si>
  <si>
    <t>云南省曲靖市麒麟区三江大道曲靖外滩8楼803室</t>
  </si>
  <si>
    <t>云南省曲靖市麒麟区三江大道康居瑞园1栋2单元1203</t>
  </si>
  <si>
    <t>陈朋</t>
  </si>
  <si>
    <t>张志洋</t>
  </si>
  <si>
    <t>管运菊</t>
  </si>
  <si>
    <t>徐琳</t>
  </si>
  <si>
    <t>山东省青岛市崂山区银川东路一号</t>
  </si>
  <si>
    <t>山东省青岛市崂山区深圳路北宅机关宿舍楼二单元203</t>
  </si>
  <si>
    <t>林亿</t>
  </si>
  <si>
    <t>江西省赣州市于都县贡江镇长征大道106号</t>
  </si>
  <si>
    <t>江西省赣州市于都县罗江乡前村村中石组076号</t>
  </si>
  <si>
    <t>万亮</t>
  </si>
  <si>
    <t>江西省南昌市青云谱区坛子口</t>
  </si>
  <si>
    <t>江西省南昌市南昌县紫阳大道广阳小区D区7栋1单元301</t>
  </si>
  <si>
    <t>郭粮宾</t>
  </si>
  <si>
    <t>福建省泉州市晋江市西滨镇沟西工业区90号</t>
  </si>
  <si>
    <t>福建省泉州市晋江市陈埭镇江头村环村路西114号</t>
  </si>
  <si>
    <t>王曾尧</t>
  </si>
  <si>
    <t>屈小平</t>
  </si>
  <si>
    <t>河北省邯郸市磁县河北省邯郸市磁县友谊路与平安路交叉口中盛写字楼14楼</t>
  </si>
  <si>
    <t>河北省邯郸市磁县光录镇尧丰村一组98号</t>
  </si>
  <si>
    <t>史飞</t>
  </si>
  <si>
    <t>范华斌</t>
  </si>
  <si>
    <t>朱文峰</t>
  </si>
  <si>
    <t>杨少龙</t>
  </si>
  <si>
    <t>河北省保定市定州市自来佛街88号</t>
  </si>
  <si>
    <t>河北省保定市曲阳县孝墓乡杨砂侯村245号</t>
  </si>
  <si>
    <t>陈小梅</t>
  </si>
  <si>
    <t>福建省泉州市丰泽区田安北路冠亚大厦A801</t>
  </si>
  <si>
    <t>福建省泉州市惠安县君临世纪23号楼2梯305室</t>
  </si>
  <si>
    <t>黄荣方</t>
  </si>
  <si>
    <t>云南省昆明市宜良县宜良县北古城镇工业园区</t>
  </si>
  <si>
    <t>云南省昆明市宜良县匡远镇里仁街官厅巷23号</t>
  </si>
  <si>
    <t>杨君浩</t>
  </si>
  <si>
    <t>广东省茂名市电白县广东省茂名市电白区水东镇镇东路98号</t>
  </si>
  <si>
    <t>广东省茂名市电白县茂名市电白区陈村镇海滨大道15号</t>
  </si>
  <si>
    <t>梁玉增</t>
  </si>
  <si>
    <t>廖俊</t>
  </si>
  <si>
    <t>重庆市重庆市巴南区圣灯山镇大沟村1社</t>
  </si>
  <si>
    <t>重庆市重庆市九龙坡区陶家镇九龙村9组16号附1号</t>
  </si>
  <si>
    <t>陈生有</t>
  </si>
  <si>
    <t>广东省梅州市丰顺县汤西镇南石示村倒头坝</t>
  </si>
  <si>
    <t>崔海庆</t>
  </si>
  <si>
    <t>山东省德州市夏津县开发区霍庄村3512号</t>
  </si>
  <si>
    <t>山东省德州市夏津县新盛店镇韩庄村57号</t>
  </si>
  <si>
    <t>曲家龙</t>
  </si>
  <si>
    <t>林元剑</t>
  </si>
  <si>
    <t>甄伟</t>
  </si>
  <si>
    <t>毛春燕</t>
  </si>
  <si>
    <t>何德春</t>
  </si>
  <si>
    <t>戎良凌</t>
  </si>
  <si>
    <t>陈为东</t>
  </si>
  <si>
    <t>唐烽刚</t>
  </si>
  <si>
    <t>盛娟娟</t>
  </si>
  <si>
    <t>包孟和</t>
  </si>
  <si>
    <t>陆海锋</t>
  </si>
  <si>
    <t>刘家乐</t>
  </si>
  <si>
    <t>河北省石家庄市无极县无极县城关镇幸福街88号</t>
  </si>
  <si>
    <t>河北省石家庄市鹿泉市获鹿镇水源街八巷1号</t>
  </si>
  <si>
    <t>滑毅</t>
  </si>
  <si>
    <t>陈姜龙</t>
  </si>
  <si>
    <t>陆俊丽</t>
  </si>
  <si>
    <t>李嘉璐</t>
  </si>
  <si>
    <t>张传喜</t>
  </si>
  <si>
    <t>江苏省泰州市海陵区九龙镇长兴路30号201室</t>
  </si>
  <si>
    <t>江苏省泰州市靖江市东兴镇上六圩港西侧13号</t>
  </si>
  <si>
    <t>骆晶晶</t>
  </si>
  <si>
    <t>方映双</t>
  </si>
  <si>
    <t>杨亦铭</t>
  </si>
  <si>
    <t>江苏省南通市通州区凯衢路西首</t>
  </si>
  <si>
    <t>江苏省南通市港闸区融悦华庭21幢2508室</t>
  </si>
  <si>
    <t>王文龙</t>
  </si>
  <si>
    <t>江苏省苏州市吴中区光福镇嘉福广场11幢</t>
  </si>
  <si>
    <t>江苏省苏州市吴中区光福镇嘉福广场10幢</t>
  </si>
  <si>
    <t>吕铭杨</t>
  </si>
  <si>
    <t>李代燕</t>
  </si>
  <si>
    <t>颜辉滨</t>
  </si>
  <si>
    <t>福建省泉州市丰泽区福建省泉州市丰泽区宝洲路浦西万达广场三楼</t>
  </si>
  <si>
    <t>福建省泉州市丰泽区宝洲路海警宿舍2栋401室</t>
  </si>
  <si>
    <t>万陆云</t>
  </si>
  <si>
    <t>江西省赣州市章贡区沙河工业园金铭隆厂区</t>
  </si>
  <si>
    <t>江西省赣州市章贡区水西镇赤珠村桑芫下组188号42栋8室</t>
  </si>
  <si>
    <t>陕西省西安市雁塔区丁白路75号瑞源清风40504室</t>
  </si>
  <si>
    <t>陕西省西安市雁塔区长安南路启航029小区3号楼1单元1301室</t>
  </si>
  <si>
    <t>厉洪朋</t>
  </si>
  <si>
    <t>刘唐</t>
  </si>
  <si>
    <t>武佳文</t>
  </si>
  <si>
    <t>黑龙江省佳木斯市郊区黑龙江省佳木斯市建三江管理局</t>
  </si>
  <si>
    <t>黑龙江省佳木斯市郊区建三江管理局</t>
  </si>
  <si>
    <t>河南省新乡市延津县榆林乡沙门村经十一路路西</t>
  </si>
  <si>
    <t>河南省新乡市延津县榆林乡夹堤村北环南路26号</t>
  </si>
  <si>
    <t>郑昌亮</t>
  </si>
  <si>
    <t>王忠生</t>
  </si>
  <si>
    <t>重庆市重庆市万州区黑龙江路355号</t>
  </si>
  <si>
    <t>重庆市重庆市万州区重庆市万州区分水镇郎家村2组55以</t>
  </si>
  <si>
    <t>甘岳华</t>
  </si>
  <si>
    <t>吴文凤</t>
  </si>
  <si>
    <t>许志法</t>
  </si>
  <si>
    <t>浙江省宁波市象山县新桥镇</t>
  </si>
  <si>
    <t>浙江省象山县新桥镇新桥村小岭下4组3号</t>
  </si>
  <si>
    <t>尹文海</t>
  </si>
  <si>
    <t>杜永奎</t>
  </si>
  <si>
    <t>林日超</t>
  </si>
  <si>
    <t>韩和平</t>
  </si>
  <si>
    <t>王吉昊</t>
  </si>
  <si>
    <t>山东省青岛市市南区海尔路182-8号半岛国际大厦</t>
  </si>
  <si>
    <t>山东省青岛市市南区四流南路9号17号楼一单元1403户</t>
  </si>
  <si>
    <t>沈有强</t>
  </si>
  <si>
    <t>李志雄</t>
  </si>
  <si>
    <t>欧启良</t>
  </si>
  <si>
    <t>崔海军</t>
  </si>
  <si>
    <t>谭凯烈</t>
  </si>
  <si>
    <t>罗梦浩</t>
  </si>
  <si>
    <t>张晨钢</t>
  </si>
  <si>
    <t>喻迪锋</t>
  </si>
  <si>
    <t>冯越</t>
  </si>
  <si>
    <t>刘嘉俊</t>
  </si>
  <si>
    <t>屠存元</t>
  </si>
  <si>
    <t>重庆市重庆市永川区昌州大道东路809号</t>
  </si>
  <si>
    <t>重庆市重庆市永川区昌州大道东段宇界维斯卡小区2栋14-3</t>
  </si>
  <si>
    <t>曾小峰</t>
  </si>
  <si>
    <t>段东</t>
  </si>
  <si>
    <t>翟永进</t>
  </si>
  <si>
    <t>赵秋艳</t>
  </si>
  <si>
    <t>谭美娟</t>
  </si>
  <si>
    <t>重庆市重庆市万州区孙家书房路115号附近</t>
  </si>
  <si>
    <t>重庆市重庆市万州区北滨大道二段恒森水晶郦城5幢2001室</t>
  </si>
  <si>
    <t>杜凯</t>
  </si>
  <si>
    <t>刘运清</t>
  </si>
  <si>
    <t>扶泽雨</t>
  </si>
  <si>
    <t>雷博远</t>
  </si>
  <si>
    <t>张天保</t>
  </si>
  <si>
    <t>许蕾</t>
  </si>
  <si>
    <t>浙江省杭州市余杭区南苑街道三马纺织3号楼3楼</t>
  </si>
  <si>
    <t>浙江省杭州市余杭区南苑街道小星桥家园35号402室</t>
  </si>
  <si>
    <t>段帮华</t>
  </si>
  <si>
    <t>李军星</t>
  </si>
  <si>
    <t>唐永峰</t>
  </si>
  <si>
    <t>广西桂林市平乐县平乐镇新安街桂乐巷20号</t>
  </si>
  <si>
    <t>广西桂林市平乐县平乐镇中华街</t>
  </si>
  <si>
    <t>曹志杰</t>
  </si>
  <si>
    <t>山东省潍坊市潍城区潍徐北路35号</t>
  </si>
  <si>
    <t>山东省潍坊市安丘市人民路东关东园巷36号</t>
  </si>
  <si>
    <t>刘程铭</t>
  </si>
  <si>
    <t>贺金龙</t>
  </si>
  <si>
    <t>符俊</t>
  </si>
  <si>
    <t>黄晟</t>
  </si>
  <si>
    <t>郭凤娟</t>
  </si>
  <si>
    <t>辽宁省沈阳市和平区民族街131号2门</t>
  </si>
  <si>
    <t>辽宁省沈阳市皇姑区珠江街73号克俭小区10楼7-11</t>
  </si>
  <si>
    <t>高秋平</t>
  </si>
  <si>
    <t>向巧灵</t>
  </si>
  <si>
    <t>王茹</t>
  </si>
  <si>
    <t>郑婷婷</t>
  </si>
  <si>
    <t>何荣岩</t>
  </si>
  <si>
    <t>周清禹</t>
  </si>
  <si>
    <t>张子腾</t>
  </si>
  <si>
    <t>王招庆</t>
  </si>
  <si>
    <t>杨仁江</t>
  </si>
  <si>
    <t>马应贵</t>
  </si>
  <si>
    <t>曹宇</t>
  </si>
  <si>
    <t>张吉中</t>
  </si>
  <si>
    <t>劳野</t>
  </si>
  <si>
    <t>江西省鹰潭市余江县余江县新汽车站南门</t>
  </si>
  <si>
    <t>江西省鹰潭市余江县余江县四青路76号</t>
  </si>
  <si>
    <t>黑龙江省牡丹江市西安区西一条路长安街道南总店</t>
  </si>
  <si>
    <t>黑龙江省牡丹江市东安区东三条路长安街东安小区4号楼3单元604</t>
  </si>
  <si>
    <t>姚芳</t>
  </si>
  <si>
    <t>高栓</t>
  </si>
  <si>
    <t>钟灵芝</t>
  </si>
  <si>
    <t>浙江省绍兴市诸暨市露笑路38号</t>
  </si>
  <si>
    <t>璜山镇罗岭村72号</t>
  </si>
  <si>
    <t>王静丽</t>
  </si>
  <si>
    <t>河南省郑州市登封市大禹路188号</t>
  </si>
  <si>
    <t>河南省郑州市登封市石道乡许韩村11号</t>
  </si>
  <si>
    <t>苑彦龙</t>
  </si>
  <si>
    <t>陶立凤</t>
  </si>
  <si>
    <t>浙江省温州市乐清市北白象镇交通东路672号</t>
  </si>
  <si>
    <t>浙江省温州市乐清市北白象镇交通东路605号3楼</t>
  </si>
  <si>
    <t>蒋玉顺</t>
  </si>
  <si>
    <t>王成义</t>
  </si>
  <si>
    <t>褚春光</t>
  </si>
  <si>
    <t>褚永南</t>
  </si>
  <si>
    <t>贺冬梅</t>
  </si>
  <si>
    <t>杨洪成</t>
  </si>
  <si>
    <t>江苏省徐州市铜山区徐州市利国镇东坡大道32号</t>
  </si>
  <si>
    <t>江苏省徐州市铜山区江苏省徐州市利国镇16队14号</t>
  </si>
  <si>
    <t>袁屏</t>
  </si>
  <si>
    <t>云南省红河哈尼族彝族自治州开远市开远市利民路9号</t>
  </si>
  <si>
    <t>云南省红河哈尼族彝族自治州开远市电厂三区九幢二单元501</t>
  </si>
  <si>
    <t>瞿斌</t>
  </si>
  <si>
    <t>冯欣伟</t>
  </si>
  <si>
    <t>林家成</t>
  </si>
  <si>
    <t>黄煜</t>
  </si>
  <si>
    <t>吕航宇</t>
  </si>
  <si>
    <t>辽宁省大连市中山区金地艺境2期7-102</t>
  </si>
  <si>
    <t>曾祥清</t>
  </si>
  <si>
    <t>张光辉</t>
  </si>
  <si>
    <t>曾吴炎</t>
  </si>
  <si>
    <t>浙江省杭州市余杭区仁和街道窑湾里117号</t>
  </si>
  <si>
    <t>浙江省杭州市余杭区仁和街道窑湾里63号</t>
  </si>
  <si>
    <t>宁义文</t>
  </si>
  <si>
    <t>湖北省孝感市孝南区乾坤大道乾坤购物写字楼一单元</t>
  </si>
  <si>
    <t>湖北省孝感市孝昌县花园镇一致村二组</t>
  </si>
  <si>
    <t>龙晓伟</t>
  </si>
  <si>
    <t>宋银辉</t>
  </si>
  <si>
    <t>臧金海</t>
  </si>
  <si>
    <t>天津市天津市河北区革新道5号</t>
  </si>
  <si>
    <t>天津市天津市宝坻区周良庄镇中铁一局项目部</t>
  </si>
  <si>
    <t>陈界</t>
  </si>
  <si>
    <t>杨天啸</t>
  </si>
  <si>
    <t>周培</t>
  </si>
  <si>
    <t>周建飞</t>
  </si>
  <si>
    <t>李彦伟</t>
  </si>
  <si>
    <t>付娟</t>
  </si>
  <si>
    <t>吴翠洪</t>
  </si>
  <si>
    <t>谢迎</t>
  </si>
  <si>
    <t>李峻</t>
  </si>
  <si>
    <t>王延奎</t>
  </si>
  <si>
    <t>高斌杰</t>
  </si>
  <si>
    <t>刘德永</t>
  </si>
  <si>
    <t>广东省广州市白云区石井联和路2号六米空间3010</t>
  </si>
  <si>
    <t>广东省广州市白云区鹤边村鹤北东街1巷1号901</t>
  </si>
  <si>
    <t>屈昆云</t>
  </si>
  <si>
    <t>常冬梅</t>
  </si>
  <si>
    <t>向英伟</t>
  </si>
  <si>
    <t>李为成</t>
  </si>
  <si>
    <t>陶明明</t>
  </si>
  <si>
    <t>王蓓蓓</t>
  </si>
  <si>
    <t>侯艳萍</t>
  </si>
  <si>
    <t>赵庭</t>
  </si>
  <si>
    <t>云南省怒江傈僳族自治州泸水县卢水县龙江路118号</t>
  </si>
  <si>
    <t>云南省怒江傈僳族自治州兰坪白族普米族自治县云南省怒江州兰坪县中排乡多依村</t>
  </si>
  <si>
    <t>周揆</t>
  </si>
  <si>
    <t>周海召</t>
  </si>
  <si>
    <t>黄庆</t>
  </si>
  <si>
    <t>周颖</t>
  </si>
  <si>
    <t>郭玲玉</t>
  </si>
  <si>
    <t>徐海霞</t>
  </si>
  <si>
    <t>陈泽霏</t>
  </si>
  <si>
    <t>雷建明</t>
  </si>
  <si>
    <t>高铭莉</t>
  </si>
  <si>
    <t>姜洪轩</t>
  </si>
  <si>
    <t>代承融</t>
  </si>
  <si>
    <t>管春晓</t>
  </si>
  <si>
    <t>秦俭</t>
  </si>
  <si>
    <t>湖北省恩施土家族苗族自治州恩施市东风大道349号</t>
  </si>
  <si>
    <t>湖北省恩施土家族苗族自治州恩施市湖北恩施市白果乡龙潭坝村吊脚楼组8号</t>
  </si>
  <si>
    <t>彭玉忠</t>
  </si>
  <si>
    <t>陈兴群</t>
  </si>
  <si>
    <t>李苏安</t>
  </si>
  <si>
    <t>丛蕾</t>
  </si>
  <si>
    <t>金路</t>
  </si>
  <si>
    <t>房家春</t>
  </si>
  <si>
    <t>黄宗炯</t>
  </si>
  <si>
    <t>贾明亮</t>
  </si>
  <si>
    <t>辽宁省营口市老边区冶金街繁荣路冶金里一号</t>
  </si>
  <si>
    <t>辽宁省营口市老边区文化路山水文苑一号楼三单元302</t>
  </si>
  <si>
    <t>王晓雨</t>
  </si>
  <si>
    <t>许文明</t>
  </si>
  <si>
    <t>夏宇</t>
  </si>
  <si>
    <t>王亚欣</t>
  </si>
  <si>
    <t>伍尚旸</t>
  </si>
  <si>
    <t>海南省海口市秀英区海榆中线五公里处</t>
  </si>
  <si>
    <t>海南省海口市龙华区海垦路金山小区3栋306</t>
  </si>
  <si>
    <t>赵锡凯</t>
  </si>
  <si>
    <t>四川省成都市金牛区环球广场2208</t>
  </si>
  <si>
    <t>四川省成都市武侯区武科东一路布鲁汀四栋一单元901</t>
  </si>
  <si>
    <t>孙树人</t>
  </si>
  <si>
    <t>辽宁省沈阳市铁西区经济技术开发区开发大路16号</t>
  </si>
  <si>
    <t>辽宁省沈阳市于洪区南阳湖街宏发英里A7-2-6-4号</t>
  </si>
  <si>
    <t>倪凤麟</t>
  </si>
  <si>
    <t>安徽省安庆市迎江区天柱山路58号</t>
  </si>
  <si>
    <t>安徽省安庆市迎江区绿地02栋二单元1902室</t>
  </si>
  <si>
    <t>马浩铭</t>
  </si>
  <si>
    <t>李军亮</t>
  </si>
  <si>
    <t>河南省许昌市禹州市郑平路与郭连路交叉口北300米</t>
  </si>
  <si>
    <t>河南省许昌市禹州市阳翟大道金苑新城小区</t>
  </si>
  <si>
    <t>冯庭</t>
  </si>
  <si>
    <t>上海市上海市松江区新桥镇申港路218号</t>
  </si>
  <si>
    <t>湖北省恩施土家族苗族自治州恩施市叶挺路30号施南阳光城聚景楼2-1502</t>
  </si>
  <si>
    <t>关远雨</t>
  </si>
  <si>
    <t>孟庆元</t>
  </si>
  <si>
    <t>山东省枣庄市滕州市恒源路1066号</t>
  </si>
  <si>
    <t>山东省枣庄市滕州市姜屯镇姜屯村375号</t>
  </si>
  <si>
    <t>何春阳</t>
  </si>
  <si>
    <t>李道挺</t>
  </si>
  <si>
    <t>彭锐</t>
  </si>
  <si>
    <t>陈明珠</t>
  </si>
  <si>
    <t>邢海音</t>
  </si>
  <si>
    <t>孙莹莹</t>
  </si>
  <si>
    <t>陈常辉</t>
  </si>
  <si>
    <t>陈双宁</t>
  </si>
  <si>
    <t>熊泽建</t>
  </si>
  <si>
    <t>李启文</t>
  </si>
  <si>
    <t>江苏省连云港市赣榆县青口镇环东小区时代东路北50米</t>
  </si>
  <si>
    <t>江苏省连云港市赣榆县江苏省连云港市赣榆县欢墩镇孙净村五队448号</t>
  </si>
  <si>
    <t>王绍同</t>
  </si>
  <si>
    <t>辽宁省沈阳市和平区文化路19号金科大厦1410</t>
  </si>
  <si>
    <t>辽宁省沈阳市东陵区红椿东路2甲136号</t>
  </si>
  <si>
    <t>林菁</t>
  </si>
  <si>
    <t>曾嘉怡</t>
  </si>
  <si>
    <t>叶成禹</t>
  </si>
  <si>
    <t>河北省承德市围场满族蒙古族自治县围场镇木兰中路美神购物中心北侧239号</t>
  </si>
  <si>
    <t>河北省承德市围场满族蒙古族自治县围场镇金字村十一号营子12号</t>
  </si>
  <si>
    <t>施文钦</t>
  </si>
  <si>
    <t>陈朝阳</t>
  </si>
  <si>
    <t>倪雲芬</t>
  </si>
  <si>
    <t>丘丹阳</t>
  </si>
  <si>
    <t>邹荣鑫</t>
  </si>
  <si>
    <t>广东省深圳市宝安区深圳公明上村莲塘工业区</t>
  </si>
  <si>
    <t>广东省深圳市宝安区宝安区公明上村莲塘</t>
  </si>
  <si>
    <t>孙跃飞</t>
  </si>
  <si>
    <t>江苏省苏州市常熟市东南经济开发区东南大道2号</t>
  </si>
  <si>
    <t>江苏省苏州市常熟市虞山镇新颜东路50号</t>
  </si>
  <si>
    <t>陈芃</t>
  </si>
  <si>
    <t>翁志高</t>
  </si>
  <si>
    <t>吴志龙</t>
  </si>
  <si>
    <t>孙少佳</t>
  </si>
  <si>
    <t>曹中其</t>
  </si>
  <si>
    <t>江苏省盐城市建湖县明珠东路369号</t>
  </si>
  <si>
    <t>江苏省盐城市建湖县钟庄街道办事处王墩组62号</t>
  </si>
  <si>
    <t>刘岐</t>
  </si>
  <si>
    <t>顾金强</t>
  </si>
  <si>
    <t>刘忠清</t>
  </si>
  <si>
    <t>奚平平</t>
  </si>
  <si>
    <t>辽宁省沈阳市铁西区岐山中路30巷1门</t>
  </si>
  <si>
    <t>辽宁省沈阳市铁西区兴华街小北二路千缘爱在城3号楼2605</t>
  </si>
  <si>
    <t>高克</t>
  </si>
  <si>
    <t>翟长龙</t>
  </si>
  <si>
    <t>夏景春</t>
  </si>
  <si>
    <t>江苏省常州市武进区湖塘纺织城G25-1</t>
  </si>
  <si>
    <t>江苏省常州市武进区湖塘长安家园小区5甲501</t>
  </si>
  <si>
    <t>李虹颖</t>
  </si>
  <si>
    <t>王馨莹</t>
  </si>
  <si>
    <t>丁赫</t>
  </si>
  <si>
    <t>陈峰峰</t>
  </si>
  <si>
    <t>修天龙</t>
  </si>
  <si>
    <t>戚荟茗</t>
  </si>
  <si>
    <t>云南省文山壮族苗族自治州文山市西华路一号</t>
  </si>
  <si>
    <t>云南省文山壮族苗族自治州文山市环城北路48号</t>
  </si>
  <si>
    <t>阳洋</t>
  </si>
  <si>
    <t>陈昊宸</t>
  </si>
  <si>
    <t>王传军</t>
  </si>
  <si>
    <t>蔡彦平</t>
  </si>
  <si>
    <t>河南省开封市鼓楼区河南省开封市金明区五大街与魏都路交叉口</t>
  </si>
  <si>
    <t>河南省开封市开封县河南省开封县西姜寨乡寨刘村九组</t>
  </si>
  <si>
    <t>徐全莹</t>
  </si>
  <si>
    <t>四川省自贡市富顺县富世镇北湖南路395号</t>
  </si>
  <si>
    <t>四川省自贡市富顺县富世镇青杠山家苑1冻1单元1楼3号</t>
  </si>
  <si>
    <t>朱郭安</t>
  </si>
  <si>
    <t>陕西省榆林市神木县华山路十字路口西一排4号</t>
  </si>
  <si>
    <t>陕西省榆林市神木县东兴街河畔南路16巷8号</t>
  </si>
  <si>
    <t>王梦杰</t>
  </si>
  <si>
    <t>江苏省宿迁市泗阳县淮海东路11号</t>
  </si>
  <si>
    <t>江苏省宿迁市泗阳县建凌中路18号金康华府B18栋三单元705室</t>
  </si>
  <si>
    <t>张红梅</t>
  </si>
  <si>
    <t>喻琦</t>
  </si>
  <si>
    <t>年伟</t>
  </si>
  <si>
    <t>郭卓权</t>
  </si>
  <si>
    <t>谭月</t>
  </si>
  <si>
    <t>黑龙江省哈尔滨市南岗区南岗区贵新街130号</t>
  </si>
  <si>
    <t>黑龙江省哈尔滨市道里区道里区江桥胡同26号303楼</t>
  </si>
  <si>
    <t>何丽婷</t>
  </si>
  <si>
    <t>李明林</t>
  </si>
  <si>
    <t>尹言</t>
  </si>
  <si>
    <t>李自发</t>
  </si>
  <si>
    <t>陈乐意</t>
  </si>
  <si>
    <t>肖恩</t>
  </si>
  <si>
    <t>湖北省恩施土家族苗族自治州恩施市金桂大道</t>
  </si>
  <si>
    <t>湖北省恩施土家族苗族自治州恩施市解放路沙井巷</t>
  </si>
  <si>
    <t>薄建龙</t>
  </si>
  <si>
    <t>单付秀</t>
  </si>
  <si>
    <t>山东省临沂市罗庄区沂堂镇柳庄东湖俄黄路1号</t>
  </si>
  <si>
    <t>山东省临沂市罗庄区沂堂镇前柳庄村221号</t>
  </si>
  <si>
    <t>饶文杰</t>
  </si>
  <si>
    <t>张菊玲</t>
  </si>
  <si>
    <t>廖玉姗</t>
  </si>
  <si>
    <t>许健</t>
  </si>
  <si>
    <t>谭洁仪</t>
  </si>
  <si>
    <t>李务虎</t>
  </si>
  <si>
    <t>刘兴涛</t>
  </si>
  <si>
    <t>麻鋆莹</t>
  </si>
  <si>
    <t>刘炜东</t>
  </si>
  <si>
    <t>李金芝</t>
  </si>
  <si>
    <t>王锟鹏</t>
  </si>
  <si>
    <t>郑时学</t>
  </si>
  <si>
    <t>王岳</t>
  </si>
  <si>
    <t>陈蓓</t>
  </si>
  <si>
    <t>冯紫月</t>
  </si>
  <si>
    <t>刘亚楠</t>
  </si>
  <si>
    <t>杨灿</t>
  </si>
  <si>
    <t>彭白娟</t>
  </si>
  <si>
    <t>王占秀</t>
  </si>
  <si>
    <t>丁文生</t>
  </si>
  <si>
    <t>夏春雨</t>
  </si>
  <si>
    <t>辽宁省沈阳市和平区正岔街50号</t>
  </si>
  <si>
    <t>辽宁省沈阳市和平区阳光小区8号楼3单元201室</t>
  </si>
  <si>
    <t>陕西省西安市雁塔区经九路武警医院对面355号</t>
  </si>
  <si>
    <t>陕西省西安市雁塔区青龙寺北口王家村302号</t>
  </si>
  <si>
    <t>伍能江</t>
  </si>
  <si>
    <t>罗德福</t>
  </si>
  <si>
    <t>苏永生</t>
  </si>
  <si>
    <t>李江喜</t>
  </si>
  <si>
    <t>施燕</t>
  </si>
  <si>
    <t>浙江省金华市武义县环城南路77号</t>
  </si>
  <si>
    <t>浙江省金华市武义县光明路25号</t>
  </si>
  <si>
    <t>孔繁晓</t>
  </si>
  <si>
    <t>成继</t>
  </si>
  <si>
    <t>史宝喜</t>
  </si>
  <si>
    <t>陈柳林</t>
  </si>
  <si>
    <t>张大华</t>
  </si>
  <si>
    <t>姚燕芬</t>
  </si>
  <si>
    <t>唐生强</t>
  </si>
  <si>
    <t>刘国庆</t>
  </si>
  <si>
    <t>漆安琪</t>
  </si>
  <si>
    <t>安徽省六安市金寨县吴家店镇政府隔壁</t>
  </si>
  <si>
    <t>安徽省六安市金寨县吴家店镇古塘华润社区111号</t>
  </si>
  <si>
    <t>盛贺</t>
  </si>
  <si>
    <t>甘肃省张掖市山丹县北大路22号</t>
  </si>
  <si>
    <t>甘肃省张掖市山丹县华谊小区2栋二单元202</t>
  </si>
  <si>
    <t>袁利娜</t>
  </si>
  <si>
    <t>张文章</t>
  </si>
  <si>
    <t>杨立杰</t>
  </si>
  <si>
    <t>黄伟权</t>
  </si>
  <si>
    <t>邓曦</t>
  </si>
  <si>
    <t>王天祥</t>
  </si>
  <si>
    <t>邓海龙</t>
  </si>
  <si>
    <t>高保成</t>
  </si>
  <si>
    <t>广西北海市银海区广西北海市工业园香港路31号1栋</t>
  </si>
  <si>
    <t>广西北海市银海区广西壮族自治区北海市银海区四川路与浙江路交汇处 华一红树林</t>
  </si>
  <si>
    <t>宋晓进</t>
  </si>
  <si>
    <t>马菊玲</t>
  </si>
  <si>
    <t>张生伟</t>
  </si>
  <si>
    <t>江苏省淮安市清河区健康东路34号</t>
  </si>
  <si>
    <t>江苏省淮安市金湖县黎城镇黎城村一组77号</t>
  </si>
  <si>
    <t>朱学山</t>
  </si>
  <si>
    <t>刘宽银</t>
  </si>
  <si>
    <t>云南省昭通市鲁甸县文屏镇人工湖一号街162号</t>
  </si>
  <si>
    <t>云南昭通市鲁甸县文屏镇气象路14号</t>
  </si>
  <si>
    <t>吴亮娴</t>
  </si>
  <si>
    <t>杨小芳</t>
  </si>
  <si>
    <t>梁丽芳</t>
  </si>
  <si>
    <t>广东省江门市蓬江区蓬江区出入境</t>
  </si>
  <si>
    <t>广东省江门市蓬江区岭梅大路24号之一101</t>
  </si>
  <si>
    <t>宋建萍</t>
  </si>
  <si>
    <t>安徽省宿州市埇桥区青年电子商务产业园6号楼608室</t>
  </si>
  <si>
    <t>安徽省阜阳市颍州区清河街道办事处万霖社区王师庄17户</t>
  </si>
  <si>
    <t>郭勇光</t>
  </si>
  <si>
    <t>江西省吉安市吉安县吉安县工业园曙光路2号</t>
  </si>
  <si>
    <t>江西省吉安市吉安县吉安县桐坪镇都塘村都塘自然村191号</t>
  </si>
  <si>
    <t>谭洪强</t>
  </si>
  <si>
    <t>李积祥</t>
  </si>
  <si>
    <t>广西贺州市八步区贺州市八步区西湾镇街道69号</t>
  </si>
  <si>
    <t>广西贺州市八步区大宁镇赖村十五组623号</t>
  </si>
  <si>
    <t>李志远</t>
  </si>
  <si>
    <t>四川省成都市青羊区四威北路7号</t>
  </si>
  <si>
    <t>四川省成都市温江区万春路382号竹韵坊10栋3单元6楼21号</t>
  </si>
  <si>
    <t>何水泉</t>
  </si>
  <si>
    <t>陈灿先</t>
  </si>
  <si>
    <t>马义昌</t>
  </si>
  <si>
    <t>赵红倩</t>
  </si>
  <si>
    <t>北京市北京市密云县汇通街13号</t>
  </si>
  <si>
    <t>北京市北京市密云县果园西里小区甲12号</t>
  </si>
  <si>
    <t>胡志</t>
  </si>
  <si>
    <t>林萍</t>
  </si>
  <si>
    <t>张冰丽</t>
  </si>
  <si>
    <t>山西省运城市盐湖区凤凰北路152号</t>
  </si>
  <si>
    <t>山西省运城市盐湖区岳坛世纪小区11号楼1-401</t>
  </si>
  <si>
    <t>黄曙光</t>
  </si>
  <si>
    <t>苏嵋风</t>
  </si>
  <si>
    <t>山东省临沂市沂水县沂水县长安路线</t>
  </si>
  <si>
    <t>山东省临沂市沂南县砖埠镇榆林村</t>
  </si>
  <si>
    <t>班江伟</t>
  </si>
  <si>
    <t>孔德银</t>
  </si>
  <si>
    <t>班德付</t>
  </si>
  <si>
    <t>浙江省宁波市镇海区澥浦镇通海路俊天金属</t>
  </si>
  <si>
    <t>广西南宁市横县云表镇大塘村112</t>
  </si>
  <si>
    <t>陆建辉</t>
  </si>
  <si>
    <t>河北省衡水市阜城县阜城镇府前街</t>
  </si>
  <si>
    <t>河北省衡水市阜城县蒋坊乡陆村58号</t>
  </si>
  <si>
    <t>黄盛</t>
  </si>
  <si>
    <t>湖南省长沙市芙蓉区八一路天佑大厦1124</t>
  </si>
  <si>
    <t>湖南省长沙市芙蓉区马王堆古汉城社区卫生服务站新桥沁园A区9栋602</t>
  </si>
  <si>
    <t>章兰江</t>
  </si>
  <si>
    <t>戴玉锋</t>
  </si>
  <si>
    <t>卢建城</t>
  </si>
  <si>
    <t>赖璐芬</t>
  </si>
  <si>
    <t>姬科</t>
  </si>
  <si>
    <t>杨忠明</t>
  </si>
  <si>
    <t>樊户保</t>
  </si>
  <si>
    <t>寿金星</t>
  </si>
  <si>
    <t>郭万彬</t>
  </si>
  <si>
    <t>贾雅婷</t>
  </si>
  <si>
    <t>孟双翼</t>
  </si>
  <si>
    <t>贾程伟</t>
  </si>
  <si>
    <t>徐萌萌</t>
  </si>
  <si>
    <t>刘书庆</t>
  </si>
  <si>
    <t>覃成炳</t>
  </si>
  <si>
    <t>岳彦磊</t>
  </si>
  <si>
    <t>天津市天津市滨海新区天津塘沽滨海新区第十一大街</t>
  </si>
  <si>
    <t>天津市天津市滨海新区天津塘沽滨海新区工农村怡成豪庭</t>
  </si>
  <si>
    <t>江苏省苏州市吴江区黎里镇芦墟梗田路255号</t>
  </si>
  <si>
    <t>江苏省苏州市吴江区黎里镇芦墟浦港南路528号双湖花园7幢602室</t>
  </si>
  <si>
    <t>秦雷</t>
  </si>
  <si>
    <t>龙桂芬</t>
  </si>
  <si>
    <t>龚万青</t>
  </si>
  <si>
    <t>云南省红河哈尼族彝族自治州弥勒县云南省红河州弥勒市新哨镇东风农场三队</t>
  </si>
  <si>
    <t>云南省红河哈尼族彝族自治州弥勒县云南省红河州弥勒市新哨镇东风农场二十一队53号</t>
  </si>
  <si>
    <t>王克坚</t>
  </si>
  <si>
    <t>云南省大理白族自治州大理市文化路7号</t>
  </si>
  <si>
    <t>云南省大理白族自治州大理市建设东路海川小区</t>
  </si>
  <si>
    <t>楼高然</t>
  </si>
  <si>
    <t>马伟江</t>
  </si>
  <si>
    <t>景亚军</t>
  </si>
  <si>
    <t>蔡泽配</t>
  </si>
  <si>
    <t>江颜利</t>
  </si>
  <si>
    <t>安徽省合肥市蜀山区望江西路与金桂路交口鲲鹏国际广场6号楼205室</t>
  </si>
  <si>
    <t>安徽省合肥市蜀山区西二环398号8栋2401室</t>
  </si>
  <si>
    <t>贵州省铜仁市印江土家族苗族自治县人民医院东南100米</t>
  </si>
  <si>
    <t>贵州省铜仁市印江土家族苗族自治县和平村岩门组</t>
  </si>
  <si>
    <t>代栋</t>
  </si>
  <si>
    <t>陕西省渭南市大荔县赵渡镇仁兴村</t>
  </si>
  <si>
    <t>陕西省渭南市澄城县庄头乡西夏村二组</t>
  </si>
  <si>
    <t>曹玲</t>
  </si>
  <si>
    <t>施工厂</t>
  </si>
  <si>
    <t>李正红</t>
  </si>
  <si>
    <t>王菊</t>
  </si>
  <si>
    <t>李奔</t>
  </si>
  <si>
    <t>蓝光华</t>
  </si>
  <si>
    <t>武举</t>
  </si>
  <si>
    <t>裴宇</t>
  </si>
  <si>
    <t>李花</t>
  </si>
  <si>
    <t>孙吉阳</t>
  </si>
  <si>
    <t>黄炳圣</t>
  </si>
  <si>
    <t>李道强</t>
  </si>
  <si>
    <t>徐占金</t>
  </si>
  <si>
    <t>赫阿龙</t>
  </si>
  <si>
    <t>翟树烽</t>
  </si>
  <si>
    <t>广东省惠州市博罗县园洲镇九潭市场和记油站对面</t>
  </si>
  <si>
    <t>广东省惠州市博罗县园洲镇义合村委会西联小组10号</t>
  </si>
  <si>
    <t>苏兴利</t>
  </si>
  <si>
    <t>万学军</t>
  </si>
  <si>
    <t>罗平</t>
  </si>
  <si>
    <t>黄振武</t>
  </si>
  <si>
    <t>张恩源</t>
  </si>
  <si>
    <t>黑龙江省双鸭山市宝清县汇丰一楼</t>
  </si>
  <si>
    <t>黑龙江省双鸭山市宝清县绿岛家园43号楼4单元403</t>
  </si>
  <si>
    <t>蒋涛弟</t>
  </si>
  <si>
    <t>吾拉里·赛吾提汉</t>
  </si>
  <si>
    <t>郑双迎</t>
  </si>
  <si>
    <t>乔德刚</t>
  </si>
  <si>
    <t>黑龙江省齐齐哈尔市富裕县富路镇镇直大街20号</t>
  </si>
  <si>
    <t>黑龙江省齐齐哈尔市富裕县塞纳豪庭小区36号楼5单元503</t>
  </si>
  <si>
    <t>傅春琴</t>
  </si>
  <si>
    <t>臧辉</t>
  </si>
  <si>
    <t>谢长庭</t>
  </si>
  <si>
    <t>高忠宝</t>
  </si>
  <si>
    <t>廖北京</t>
  </si>
  <si>
    <t>王广龙</t>
  </si>
  <si>
    <t>王玮玮</t>
  </si>
  <si>
    <t>辽宁省大连市瓦房店市抱龙明珠三期83-1-1</t>
  </si>
  <si>
    <t>辽宁省大连市瓦房店市长征小区13号楼三单元506</t>
  </si>
  <si>
    <t>刁翔</t>
  </si>
  <si>
    <t>安徽省合肥市包河区炳三区农曙路8号</t>
  </si>
  <si>
    <t>四川省攀枝花市东区马鹿箐东路11号1栋2单元3号</t>
  </si>
  <si>
    <t>张露佳</t>
  </si>
  <si>
    <t>广东省深圳市罗湖区石厦北二街89号新天世纪商务中心A座37层</t>
  </si>
  <si>
    <t>广东省深圳市罗湖区民治街道简上村B区48栋简尚公寓6D5室</t>
  </si>
  <si>
    <t>焦福奎</t>
  </si>
  <si>
    <t>安徽省合肥市蜀山区天鹅湖万达广场一号楼1902</t>
  </si>
  <si>
    <t>安徽省合肥市蜀山区翡翠路百合花园1幢204</t>
  </si>
  <si>
    <t>李梦雪</t>
  </si>
  <si>
    <t>李亚萍</t>
  </si>
  <si>
    <t>王瑞芳</t>
  </si>
  <si>
    <t>杨翔宇</t>
  </si>
  <si>
    <t>何龙</t>
  </si>
  <si>
    <t>耿荣荣</t>
  </si>
  <si>
    <t>院苗苗</t>
  </si>
  <si>
    <t>杨楠楠</t>
  </si>
  <si>
    <t>王庆朝</t>
  </si>
  <si>
    <t>高晓霞</t>
  </si>
  <si>
    <t>董志远</t>
  </si>
  <si>
    <t>郑平平</t>
  </si>
  <si>
    <t>许润深</t>
  </si>
  <si>
    <t>冯光宜</t>
  </si>
  <si>
    <t>李运启</t>
  </si>
  <si>
    <t>唐飞</t>
  </si>
  <si>
    <t>徐海量</t>
  </si>
  <si>
    <t>高羽洁</t>
  </si>
  <si>
    <t>内蒙古呼和浩特市新城区老缸坊街29号</t>
  </si>
  <si>
    <t>内蒙古呼和浩特市赛罕区大台民心家园9号楼1001</t>
  </si>
  <si>
    <t>柯津津</t>
  </si>
  <si>
    <t>湖北省鄂州市梁子湖区太和镇步行街</t>
  </si>
  <si>
    <t>湖北省鄂州市梁子湖区太和镇</t>
  </si>
  <si>
    <t>王春雷</t>
  </si>
  <si>
    <t>胡月园</t>
  </si>
  <si>
    <t>湖南省常德市武陵区南坪街道新世纪汽配城</t>
  </si>
  <si>
    <t>湖南省常德市武陵区南坪街道竹根潭安置小区</t>
  </si>
  <si>
    <t>赖科莲</t>
  </si>
  <si>
    <t>田礼</t>
  </si>
  <si>
    <t>安徽省阜阳市颍上县十八里铺镇闫邢村</t>
  </si>
  <si>
    <t>安徽省阜阳市颍上县慎城镇解放北路10号</t>
  </si>
  <si>
    <t>王煜林</t>
  </si>
  <si>
    <t>河北省石家庄市桥西区南二环西段与红旗大街交叉口西南角</t>
  </si>
  <si>
    <t>河北省石家庄市鹿泉市海山大街龙海新区25号楼3单元301室</t>
  </si>
  <si>
    <t>周发</t>
  </si>
  <si>
    <t>肖文凤</t>
  </si>
  <si>
    <t>刘嘉和</t>
  </si>
  <si>
    <t>张兴旺</t>
  </si>
  <si>
    <t>刘胤良</t>
  </si>
  <si>
    <t>胡守贵</t>
  </si>
  <si>
    <t>唐孝琴</t>
  </si>
  <si>
    <t>王元杰</t>
  </si>
  <si>
    <t>迟东</t>
  </si>
  <si>
    <t>万幸</t>
  </si>
  <si>
    <t>陈巧阳</t>
  </si>
  <si>
    <t>徐海生</t>
  </si>
  <si>
    <t>上海市上海市闵行区莲花南路2399号</t>
  </si>
  <si>
    <t>上海闵行区曹行镇民建村2组17号</t>
  </si>
  <si>
    <t>李志坚</t>
  </si>
  <si>
    <t>许海雄</t>
  </si>
  <si>
    <t>贺亮</t>
  </si>
  <si>
    <t>和福全</t>
  </si>
  <si>
    <t>云南省丽江市古城区祥和街道吉祥路25-11号</t>
  </si>
  <si>
    <t>云南省丽江市古城区祥和街道办事处太和东村20号</t>
  </si>
  <si>
    <t>施宏</t>
  </si>
  <si>
    <t>周济晟</t>
  </si>
  <si>
    <t>陈明鑫</t>
  </si>
  <si>
    <t>安徽省六安市霍山县与儿街镇大沙梗</t>
  </si>
  <si>
    <t>安徽省六安市霍山县经济开发区文峰苑</t>
  </si>
  <si>
    <t>朱栋行</t>
  </si>
  <si>
    <t>许应晖</t>
  </si>
  <si>
    <t>马晓娜</t>
  </si>
  <si>
    <t>丁沙</t>
  </si>
  <si>
    <t>吴进</t>
  </si>
  <si>
    <t>彭嘉健</t>
  </si>
  <si>
    <t>熊丽梅</t>
  </si>
  <si>
    <t>四川省眉山市东坡区赤壁东路48号</t>
  </si>
  <si>
    <t>四川省眉山市东坡区玉屏街派克蜜城一栋二单元204</t>
  </si>
  <si>
    <t>苟彪</t>
  </si>
  <si>
    <t>梁高波</t>
  </si>
  <si>
    <t>吴会明</t>
  </si>
  <si>
    <t>福建省莆田市荔城区拱辰街道辰门兜分部1号楼2梯2005</t>
  </si>
  <si>
    <t>福建省莆田市荔城区镇海街道仓后路55号13号楼5梯210室</t>
  </si>
  <si>
    <t>邓锦林</t>
  </si>
  <si>
    <t>蒋民</t>
  </si>
  <si>
    <t>高梦歌</t>
  </si>
  <si>
    <t>冯黎宗</t>
  </si>
  <si>
    <t>吴翠华</t>
  </si>
  <si>
    <t>吴甜甜</t>
  </si>
  <si>
    <t>江伟</t>
  </si>
  <si>
    <t>莫宇恒</t>
  </si>
  <si>
    <t>北京市北京市平谷区平谷大街58号</t>
  </si>
  <si>
    <t>北京市北京市平谷区四眼井胡同25号</t>
  </si>
  <si>
    <t>林源思</t>
  </si>
  <si>
    <t>武孝儒</t>
  </si>
  <si>
    <t>伏泳燃</t>
  </si>
  <si>
    <t>卢灵勇</t>
  </si>
  <si>
    <t>江西省九江市修水县白岭镇白岭街086号</t>
  </si>
  <si>
    <t>江西省九江市修水县白岭镇白岭街86号</t>
  </si>
  <si>
    <t>贺华兵</t>
  </si>
  <si>
    <t>田维佳</t>
  </si>
  <si>
    <t>金利</t>
  </si>
  <si>
    <t>和成培</t>
  </si>
  <si>
    <t>欧小翔</t>
  </si>
  <si>
    <t>卢小雷</t>
  </si>
  <si>
    <t>陈敏红</t>
  </si>
  <si>
    <t>姜伟</t>
  </si>
  <si>
    <t>江苏省宿迁市宿豫区湖滨新城合欢路66号</t>
  </si>
  <si>
    <t>江苏省宿迁市宿豫区晓店镇新城家园南苑4栋2单元104室</t>
  </si>
  <si>
    <t>蓝光强</t>
  </si>
  <si>
    <t>张卫</t>
  </si>
  <si>
    <t>湖北省武汉市江岸区解放大道690号国际广场负一楼</t>
  </si>
  <si>
    <t>湖北省武汉市汉阳区北城路43号</t>
  </si>
  <si>
    <t>柴立佳</t>
  </si>
  <si>
    <t>商雪川</t>
  </si>
  <si>
    <t>宋征宇</t>
  </si>
  <si>
    <t>广西柳州市柳北区北雀路117号</t>
  </si>
  <si>
    <t>广西柳州市柳北区雀儿山路二区18-1-3-1</t>
  </si>
  <si>
    <t>余平</t>
  </si>
  <si>
    <t>上海市上海市松江区上海市松江区叶榭镇堰泾村80号</t>
  </si>
  <si>
    <t>上海市上海市松江区上海市松江区叶榭镇金家村1206号</t>
  </si>
  <si>
    <t>谢远红</t>
  </si>
  <si>
    <t>伍南宁</t>
  </si>
  <si>
    <t>曾俊杰</t>
  </si>
  <si>
    <t>柯伟</t>
  </si>
  <si>
    <t>王怀见</t>
  </si>
  <si>
    <t>罗凌霞</t>
  </si>
  <si>
    <t>梁晏</t>
  </si>
  <si>
    <t>刘官云</t>
  </si>
  <si>
    <t>蒋华海</t>
  </si>
  <si>
    <t>四川省达州市开江县新宁镇嵩峰路17号环保局</t>
  </si>
  <si>
    <t>四川省达州市开江县淙城街126号</t>
  </si>
  <si>
    <t>邓清元</t>
  </si>
  <si>
    <t>李天鹏</t>
  </si>
  <si>
    <t>彭鑫</t>
  </si>
  <si>
    <t>肖俊华</t>
  </si>
  <si>
    <t>湖南省郴州市北湖区国庆路友谊中皇城</t>
  </si>
  <si>
    <t>湖南省郴州市北湖区骆仙西路西子山庄</t>
  </si>
  <si>
    <t>邹加芳</t>
  </si>
  <si>
    <t>张苏鹏</t>
  </si>
  <si>
    <t>李琪霞</t>
  </si>
  <si>
    <t>马莹</t>
  </si>
  <si>
    <t>吴俊伟</t>
  </si>
  <si>
    <t>赵冬</t>
  </si>
  <si>
    <t>山西省长治市郊区黄碾镇魏村</t>
  </si>
  <si>
    <t>山西省长治市郊区故县街道光明南区14栋18户</t>
  </si>
  <si>
    <t>高培燕</t>
  </si>
  <si>
    <t>何延超</t>
  </si>
  <si>
    <t>林略</t>
  </si>
  <si>
    <t>王辉林</t>
  </si>
  <si>
    <t>潘忠信</t>
  </si>
  <si>
    <t>刘志文</t>
  </si>
  <si>
    <t>陈宝清</t>
  </si>
  <si>
    <t>内蒙古呼和浩特市土默特左旗察素齐镇朱儿沟</t>
  </si>
  <si>
    <t>内蒙古呼和浩特市土默特左旗察素齐镇园丁小区一号楼一单元502</t>
  </si>
  <si>
    <t>李红军</t>
  </si>
  <si>
    <t>金明基</t>
  </si>
  <si>
    <t>辽宁省沈阳市和平区吉林省永吉县口前镇吉华路1169</t>
  </si>
  <si>
    <t>辽宁省沈阳市和平区吉林省永吉县口前镇连山新居一号楼五单元602</t>
  </si>
  <si>
    <t>罗从严</t>
  </si>
  <si>
    <t>王浙浪</t>
  </si>
  <si>
    <t>颜如玉</t>
  </si>
  <si>
    <t>王袭</t>
  </si>
  <si>
    <t>周文斓</t>
  </si>
  <si>
    <t>蒋金</t>
  </si>
  <si>
    <t>周凯亮</t>
  </si>
  <si>
    <t>张朝阳</t>
  </si>
  <si>
    <t>陕西省宝鸡市凤翔县雍兴路2号</t>
  </si>
  <si>
    <t>陕西省宝鸡市凤翔县42号院3单元1楼东户</t>
  </si>
  <si>
    <t>林雄</t>
  </si>
  <si>
    <t>李彤</t>
  </si>
  <si>
    <t>吴桂凤</t>
  </si>
  <si>
    <t>李艳芳</t>
  </si>
  <si>
    <t>马婕妮</t>
  </si>
  <si>
    <t>刘念</t>
  </si>
  <si>
    <t>胡泽蓉</t>
  </si>
  <si>
    <t>四川省凉山彝族自治州会理县会理县果元乡九榜村3组66号</t>
  </si>
  <si>
    <t>四川省会理县木古乡建证村3组49号</t>
  </si>
  <si>
    <t>黎泽汉</t>
  </si>
  <si>
    <t>蒲明涛</t>
  </si>
  <si>
    <t>黄金翘</t>
  </si>
  <si>
    <t>广东省江门市蓬江区高新开发区新兴路18号</t>
  </si>
  <si>
    <t>广东省江门市蓬江区麻园路银泉花园6号403</t>
  </si>
  <si>
    <t>梁自扩</t>
  </si>
  <si>
    <t>张智博</t>
  </si>
  <si>
    <t>覃方琦</t>
  </si>
  <si>
    <t>史大雨</t>
  </si>
  <si>
    <t>湖北省荆州市沙市区园林路33号君临天下B座1502室</t>
  </si>
  <si>
    <t>湖北省荆州市沙市区锣场镇向湖村四组51号</t>
  </si>
  <si>
    <t>王尧</t>
  </si>
  <si>
    <t>刘伟进</t>
  </si>
  <si>
    <t>刘云</t>
  </si>
  <si>
    <t>施彦如</t>
  </si>
  <si>
    <t>杜方伟</t>
  </si>
  <si>
    <t>陈丁煌</t>
  </si>
  <si>
    <t>福建省福州市连江县凤城镇江滨东路19号傲江景城A08</t>
  </si>
  <si>
    <t>福建省福州市闽侯县洋里乡绅带村桥前71号</t>
  </si>
  <si>
    <t>金艺花</t>
  </si>
  <si>
    <t>张层</t>
  </si>
  <si>
    <t>陆存</t>
  </si>
  <si>
    <t>唐甜</t>
  </si>
  <si>
    <t>卫冠男</t>
  </si>
  <si>
    <t>山西省临汾市尧都区青狮南街贡家胡同五号院</t>
  </si>
  <si>
    <t>山西省临汾市尧都区五一西路华盛小区三号楼204</t>
  </si>
  <si>
    <t>和东</t>
  </si>
  <si>
    <t>四川省成都市金牛区两河西二路清淳家园清淳二街200号</t>
  </si>
  <si>
    <t>四川省成都市金牛区两河西二路河滨森林D区一栋二单元402</t>
  </si>
  <si>
    <t>祖丁实</t>
  </si>
  <si>
    <t>卢跃</t>
  </si>
  <si>
    <t>陈烙金</t>
  </si>
  <si>
    <t>彭俊巧</t>
  </si>
  <si>
    <t>周巍</t>
  </si>
  <si>
    <t>广东省深圳市罗湖区爱国路1058金通大厦B座3层</t>
  </si>
  <si>
    <t>广东省深圳市罗湖区凤凰路黄贝岭下村161栋204</t>
  </si>
  <si>
    <t>山西省大同市城区恒安大街御昌家园外围11号商铺</t>
  </si>
  <si>
    <t>山西省大同市城区新建南路4-3-13</t>
  </si>
  <si>
    <t>修顺国</t>
  </si>
  <si>
    <t>杨良武</t>
  </si>
  <si>
    <t>彭洋</t>
  </si>
  <si>
    <t>卢俊</t>
  </si>
  <si>
    <t>河南省郑州市中原区农业东路如意西路建业总部港c座702室</t>
  </si>
  <si>
    <t>河南省郑州市中原区未来路聂庄a区5号楼1718室</t>
  </si>
  <si>
    <t>彭彰旅</t>
  </si>
  <si>
    <t>刘学勇</t>
  </si>
  <si>
    <t>朱鹏儒</t>
  </si>
  <si>
    <t>陈森</t>
  </si>
  <si>
    <t>蔡清洪</t>
  </si>
  <si>
    <t>重庆市重庆市渝北区重庆市渝北区翠晴路2号</t>
  </si>
  <si>
    <t>重庆市重庆市南岸区南岸区南坪西路122号9-4</t>
  </si>
  <si>
    <t>郭嘉宝</t>
  </si>
  <si>
    <t>天津市天津市南开区三潭路180号</t>
  </si>
  <si>
    <t>天津市天津市西青区精武镇姚村文博园1-1003</t>
  </si>
  <si>
    <t>胡翔飞</t>
  </si>
  <si>
    <t>田春雨</t>
  </si>
  <si>
    <t>钱鸿</t>
  </si>
  <si>
    <t>广东省广州市增城市永和永宁路54号</t>
  </si>
  <si>
    <t>广东省广州市增城市永和镇永宁街农商银行宿舍楼502</t>
  </si>
  <si>
    <t>罗启媛</t>
  </si>
  <si>
    <t>张双龙</t>
  </si>
  <si>
    <t>玄忠贵</t>
  </si>
  <si>
    <t>洪康</t>
  </si>
  <si>
    <t>江苏省连云港市新浦区繁荣路19-2-18</t>
  </si>
  <si>
    <t>江苏省连云港市新浦区光辉路龙河小区10号楼501</t>
  </si>
  <si>
    <t>付义</t>
  </si>
  <si>
    <t>徐天宇</t>
  </si>
  <si>
    <t>江苏省宿迁市泗阳县东开发区文城路</t>
  </si>
  <si>
    <t>江苏省宿迁市泗阳县东开发区阳光水岸</t>
  </si>
  <si>
    <t>罗小兵</t>
  </si>
  <si>
    <t>连世强</t>
  </si>
  <si>
    <t>卢志龙</t>
  </si>
  <si>
    <t>赵贝</t>
  </si>
  <si>
    <t>刘小芬</t>
  </si>
  <si>
    <t>庞毅</t>
  </si>
  <si>
    <t>郭靖烨</t>
  </si>
  <si>
    <t>林英富</t>
  </si>
  <si>
    <t>杨君英</t>
  </si>
  <si>
    <t>郭航帆</t>
  </si>
  <si>
    <t>陕西省咸阳市杨凌区咸阳市杨凌区神农路3号</t>
  </si>
  <si>
    <t>陕西省咸阳市杨凌区咸阳市杨凌新区锦绣华城南区8号楼一单元1102室</t>
  </si>
  <si>
    <t>马金凯</t>
  </si>
  <si>
    <t>麦仁南</t>
  </si>
  <si>
    <t>广东省深圳市宝安区新和村吉安泰工业园2栋4楼</t>
  </si>
  <si>
    <t>广东省深圳市宝安区福永新和村17巷2号</t>
  </si>
  <si>
    <t>李超龙</t>
  </si>
  <si>
    <t>王瑞生</t>
  </si>
  <si>
    <t>曾小超</t>
  </si>
  <si>
    <t>匡朝美</t>
  </si>
  <si>
    <t>河南省信阳市潢川县启明中学南50米</t>
  </si>
  <si>
    <t>河南省信阳市潢川县航空路东方半岛16栋1801</t>
  </si>
  <si>
    <t>韦娜</t>
  </si>
  <si>
    <t>黄远</t>
  </si>
  <si>
    <t>刘龙鑫</t>
  </si>
  <si>
    <t>胡光海</t>
  </si>
  <si>
    <t>瓮乾</t>
  </si>
  <si>
    <t>于兴月</t>
  </si>
  <si>
    <t>赵陈虎</t>
  </si>
  <si>
    <t>李传虎</t>
  </si>
  <si>
    <t>聂云飞</t>
  </si>
  <si>
    <t>刘信武</t>
  </si>
  <si>
    <t>刘一鸣</t>
  </si>
  <si>
    <t>四川省成都市龙泉驿区三环路航天立交桥外侧89号</t>
  </si>
  <si>
    <t>四川省成都市龙泉驿区大面街道东洪路东洪社区3组71号</t>
  </si>
  <si>
    <t>彭梦玲</t>
  </si>
  <si>
    <t>刘广泉</t>
  </si>
  <si>
    <t>雷勇勇</t>
  </si>
  <si>
    <t>陈增产</t>
  </si>
  <si>
    <t>刘延梁</t>
  </si>
  <si>
    <t>李仁华</t>
  </si>
  <si>
    <t>白泰珠</t>
  </si>
  <si>
    <t>王子腾</t>
  </si>
  <si>
    <t>张瑞仙</t>
  </si>
  <si>
    <t>韩士成</t>
  </si>
  <si>
    <t>陕西省西安市莲湖区大白杨村68号</t>
  </si>
  <si>
    <t>陕西省延安市洛川县陕西省延安市洛川县槐柏镇统将行政村121号</t>
  </si>
  <si>
    <t>陈映君</t>
  </si>
  <si>
    <t>周志丰</t>
  </si>
  <si>
    <t>马以雷</t>
  </si>
  <si>
    <t>河南省三门峡市湖滨区春秋路月牙泉3楼</t>
  </si>
  <si>
    <t>河南省三门峡市湖滨区湖滨区建设路汇鑫湾到新区一号楼</t>
  </si>
  <si>
    <t>乔轲轩</t>
  </si>
  <si>
    <t>陈连华</t>
  </si>
  <si>
    <t>侍卓越</t>
  </si>
  <si>
    <t>章志红</t>
  </si>
  <si>
    <t>罗耀坚</t>
  </si>
  <si>
    <t>陕西省西安市阎良区延安街15号</t>
  </si>
  <si>
    <t>陕西省西安市阎良区凤凰东路工行家属楼1栋24号</t>
  </si>
  <si>
    <t>张炜杰</t>
  </si>
  <si>
    <t>马杰</t>
  </si>
  <si>
    <t>王利文</t>
  </si>
  <si>
    <t>王发良</t>
  </si>
  <si>
    <t>沈思思</t>
  </si>
  <si>
    <t>刘传晓</t>
  </si>
  <si>
    <t>梁世挺</t>
  </si>
  <si>
    <t>广东省中山市广东省中山市横栏镇茂辉工业区利安路6号</t>
  </si>
  <si>
    <t>广西贵港市桂平市广东省中山市横栏镇茂辉工业区利安路6号</t>
  </si>
  <si>
    <t>包珊珊</t>
  </si>
  <si>
    <t>朱辉</t>
  </si>
  <si>
    <t>河南省驻马店市正阳县正阳县东大街一号二楼332室</t>
  </si>
  <si>
    <t>河南省驻马店市正阳县真阳镇袁楼路374号</t>
  </si>
  <si>
    <t>玉罕</t>
  </si>
  <si>
    <t>廖洪金</t>
  </si>
  <si>
    <t>黄世伟</t>
  </si>
  <si>
    <t>党晨斌</t>
  </si>
  <si>
    <t>王雅娟</t>
  </si>
  <si>
    <t>欧政希</t>
  </si>
  <si>
    <t>张延</t>
  </si>
  <si>
    <t>汪在坤</t>
  </si>
  <si>
    <t>蒋国新</t>
  </si>
  <si>
    <t>曹兆明</t>
  </si>
  <si>
    <t>湖北省武汉市江岸区公正路35号金贵源酒店</t>
  </si>
  <si>
    <t>湖北省武汉市洪山区欢乐大道东亭新嘉源小区2栋1单元1204室</t>
  </si>
  <si>
    <t>王文耀</t>
  </si>
  <si>
    <t>梁小婷</t>
  </si>
  <si>
    <t>天津市天津市北辰区天津市北辰区广场</t>
  </si>
  <si>
    <t>黑龙江省海伦阳光家园一号楼2单元203</t>
  </si>
  <si>
    <t>万发财</t>
  </si>
  <si>
    <t>张前程</t>
  </si>
  <si>
    <t>杨博康</t>
  </si>
  <si>
    <t>姚金杰</t>
  </si>
  <si>
    <t>温红伟</t>
  </si>
  <si>
    <t>刘振金</t>
  </si>
  <si>
    <t>周祖康</t>
  </si>
  <si>
    <t>杜敏</t>
  </si>
  <si>
    <t>浙江省宁波市北仑区新碶街道永丰村永傅路66号</t>
  </si>
  <si>
    <t>浙江省宁波市海曙区古林镇机场路冯家村双江岸267号</t>
  </si>
  <si>
    <t>张凌愷</t>
  </si>
  <si>
    <t>杨重乐</t>
  </si>
  <si>
    <t>苏思思</t>
  </si>
  <si>
    <t>江苏省南京市江宁区上元大街420号万达广场c座19楼</t>
  </si>
  <si>
    <t>江苏省南京市雨花台区西善桥街道岱山乐业东苑4栋一单元1505</t>
  </si>
  <si>
    <t>郭居庆</t>
  </si>
  <si>
    <t>王丰博</t>
  </si>
  <si>
    <t>黄晟峰</t>
  </si>
  <si>
    <t>徐程昕</t>
  </si>
  <si>
    <t>周丽青</t>
  </si>
  <si>
    <t>吴泽华</t>
  </si>
  <si>
    <t>管聚焕</t>
  </si>
  <si>
    <t>卢汉良</t>
  </si>
  <si>
    <t>汪朝兴</t>
  </si>
  <si>
    <t>湖南省长沙市长沙县三一路</t>
  </si>
  <si>
    <t>湖南省长沙市长沙县青山铺镇梅数村桥上屋组136号</t>
  </si>
  <si>
    <t>胡英平</t>
  </si>
  <si>
    <t>许林海</t>
  </si>
  <si>
    <t>宋金哲</t>
  </si>
  <si>
    <t>潘荣斌</t>
  </si>
  <si>
    <t>彭开朗</t>
  </si>
  <si>
    <t>吴冬园</t>
  </si>
  <si>
    <t>翟培煜</t>
  </si>
  <si>
    <t>裴姚</t>
  </si>
  <si>
    <t>陕西省咸阳市礼泉县兴华街富士路顺发招待所</t>
  </si>
  <si>
    <t>董瑞卿</t>
  </si>
  <si>
    <t>河南省新乡市牧野区解放路与中原路交叉口向北100米</t>
  </si>
  <si>
    <t>河南省新乡市卫滨区人民路131号</t>
  </si>
  <si>
    <t>赖红玲</t>
  </si>
  <si>
    <t>赵宏昌</t>
  </si>
  <si>
    <t>任利文</t>
  </si>
  <si>
    <t>卢慧敏</t>
  </si>
  <si>
    <t>张晓立</t>
  </si>
  <si>
    <t>广东省深圳市罗湖区东门南路潮汕大厦1002</t>
  </si>
  <si>
    <t>广东省潮州市饶平县建饶镇卓村新楼二巷16号</t>
  </si>
  <si>
    <t>高润泽</t>
  </si>
  <si>
    <t>朱先飞</t>
  </si>
  <si>
    <t>吕延涛</t>
  </si>
  <si>
    <t>李虹</t>
  </si>
  <si>
    <t>张洪涛</t>
  </si>
  <si>
    <t>脱祎琴</t>
  </si>
  <si>
    <t>甘肃省兰州市城关区静宁路228号</t>
  </si>
  <si>
    <t>甘肃省兰州市城关区秦安路158号</t>
  </si>
  <si>
    <t>马泽沛</t>
  </si>
  <si>
    <t>广东省佛山市南海区西樵镇大德市场一号</t>
  </si>
  <si>
    <t>广东省佛山市南海区西樵镇四季康城春华园一座603</t>
  </si>
  <si>
    <t>杨子涵</t>
  </si>
  <si>
    <t>云南省昆明市嵩明县嵩明县杨林镇</t>
  </si>
  <si>
    <t>云南省昆明市嵩明县昆明市嵩明县锦绣兰苑</t>
  </si>
  <si>
    <t>卞苍会</t>
  </si>
  <si>
    <t>陕西省西安市临潼区环城北路新全都购物广场四楼</t>
  </si>
  <si>
    <t>陕西省西安市临潼区博尚希望城13号楼2706</t>
  </si>
  <si>
    <t>许跃</t>
  </si>
  <si>
    <t>伍华耀</t>
  </si>
  <si>
    <t>王燕茹</t>
  </si>
  <si>
    <t>黎锦明</t>
  </si>
  <si>
    <t>朱富麟</t>
  </si>
  <si>
    <t>程理松</t>
  </si>
  <si>
    <t>农文武</t>
  </si>
  <si>
    <t>夏友珍</t>
  </si>
  <si>
    <t>彭强银</t>
  </si>
  <si>
    <t>朱正华</t>
  </si>
  <si>
    <t>余同霖</t>
  </si>
  <si>
    <t>石明月</t>
  </si>
  <si>
    <t>张俊涛</t>
  </si>
  <si>
    <t>蔡婷婷</t>
  </si>
  <si>
    <t>宋伟雄</t>
  </si>
  <si>
    <t>赵永兵</t>
  </si>
  <si>
    <t>姜涛</t>
  </si>
  <si>
    <t>武兵兵</t>
  </si>
  <si>
    <t>河北省邯郸市肥乡县广安路南关交通岗西行100路南</t>
  </si>
  <si>
    <t>河北省邯郸市肥乡县天台山镇李堡村</t>
  </si>
  <si>
    <t>刘纯乐</t>
  </si>
  <si>
    <t>天津市天津市滨海新区天津市滨海新区汉沽开发区紫东路88号</t>
  </si>
  <si>
    <t>天津市天津市宁河县天津市宁河区七里海镇小八亩坨村东一区五排十三号</t>
  </si>
  <si>
    <t>周伟滨</t>
  </si>
  <si>
    <t>周振杰</t>
  </si>
  <si>
    <t>甘肃省白银市景泰县705南路1号</t>
  </si>
  <si>
    <t>甘肃省白银市景泰县建材路48号1栋2单元402室</t>
  </si>
  <si>
    <t>陈亚杰</t>
  </si>
  <si>
    <t>浙江省杭州市萧山区党山镇前兴村6组21号</t>
  </si>
  <si>
    <t>浙江省杭州市萧山区党山镇前兴村3组25号</t>
  </si>
  <si>
    <t>广东省佛山市顺德区乐从镇水藤南村开发区新记豪酒店直入300米</t>
  </si>
  <si>
    <t>广东省佛山市顺德区乐从镇沙窖北村接龙里大街四巷10号</t>
  </si>
  <si>
    <t>周科</t>
  </si>
  <si>
    <t>柴小露</t>
  </si>
  <si>
    <t>湖北省神农架仙桃市湖北省潜江市泰丰办事处东方路5号</t>
  </si>
  <si>
    <t>湖北省神农架仙桃市湖北省潜江市泰丰办事处东方路5号一栋一单元201</t>
  </si>
  <si>
    <t>山西省运城市盐湖区解放南路钟楼小区2院42号楼3层</t>
  </si>
  <si>
    <t>山西省运城市平陆县洪池乡西郑村四组</t>
  </si>
  <si>
    <t>钱志杰</t>
  </si>
  <si>
    <t>林慧玲</t>
  </si>
  <si>
    <t>戴军</t>
  </si>
  <si>
    <t>李志民</t>
  </si>
  <si>
    <t>马势昌</t>
  </si>
  <si>
    <t>董苗苗</t>
  </si>
  <si>
    <t>湖北省武汉市东西湖区新城十路7号4栋</t>
  </si>
  <si>
    <t>湖北省武汉市东西湖区团结街友谊花城1栋4单元1102</t>
  </si>
  <si>
    <t>马继春</t>
  </si>
  <si>
    <t>赵国斌</t>
  </si>
  <si>
    <t>母肖</t>
  </si>
  <si>
    <t>牟丽</t>
  </si>
  <si>
    <t>钟生</t>
  </si>
  <si>
    <t>林有隆</t>
  </si>
  <si>
    <t>郭俊波</t>
  </si>
  <si>
    <t>云南省曲靖市会泽县会泽县西直街延长线65号</t>
  </si>
  <si>
    <t>云南省曲靖市会泽县会泽县古城街道办事处灵壁路170号</t>
  </si>
  <si>
    <t>蔡敬</t>
  </si>
  <si>
    <t>林才坤</t>
  </si>
  <si>
    <t>赵泽辉</t>
  </si>
  <si>
    <t>谢仁勇</t>
  </si>
  <si>
    <t>刘建国</t>
  </si>
  <si>
    <t>黄创业</t>
  </si>
  <si>
    <t>周宇扬</t>
  </si>
  <si>
    <t>夏玉芳</t>
  </si>
  <si>
    <t>徐洋洋</t>
  </si>
  <si>
    <t>刘增辉</t>
  </si>
  <si>
    <t>郑燕涛</t>
  </si>
  <si>
    <t>佟振鹏</t>
  </si>
  <si>
    <t>陆姣兰</t>
  </si>
  <si>
    <t>余培进</t>
  </si>
  <si>
    <t>侯青青</t>
  </si>
  <si>
    <t>秦崇峰</t>
  </si>
  <si>
    <t>河北省衡水市安平县安平县新盈街财政局对面</t>
  </si>
  <si>
    <t>河北省衡水市安平县北外环路乐农小区南楼一单元102</t>
  </si>
  <si>
    <t>阮启亮</t>
  </si>
  <si>
    <t>李晓航</t>
  </si>
  <si>
    <t>田继辉</t>
  </si>
  <si>
    <t>张宜彪</t>
  </si>
  <si>
    <t>段丁宏</t>
  </si>
  <si>
    <t>河南省三门峡市灵宝市灵宝市大王镇310国道戴卡路</t>
  </si>
  <si>
    <t>河南省三门峡市市辖区建设路三街坊114栋3单元201号</t>
  </si>
  <si>
    <t>杨冰</t>
  </si>
  <si>
    <t>雷振岭</t>
  </si>
  <si>
    <t>张美静</t>
  </si>
  <si>
    <t>赵喜双</t>
  </si>
  <si>
    <t>陈力健</t>
  </si>
  <si>
    <t>广东省潮州市饶平县东海南提路228号</t>
  </si>
  <si>
    <t>广东省潮州市饶平县陆丰市碣石镇鸟枪街一横巷9号之五</t>
  </si>
  <si>
    <t>山东省临沂市沂水县中心街南街37号</t>
  </si>
  <si>
    <t>山东省临沂市沂水县鑫华路大名城26号楼801</t>
  </si>
  <si>
    <t>郑敬盛</t>
  </si>
  <si>
    <t>浙江省温州市平阳县钱仓双塔新街66号</t>
  </si>
  <si>
    <t>浙江省温州市平阳县鳌江镇凤岙村中心路18号</t>
  </si>
  <si>
    <t>华菁</t>
  </si>
  <si>
    <t>池振振</t>
  </si>
  <si>
    <t>张志林</t>
  </si>
  <si>
    <t>广东省深圳市宝安区宝源路碧湾大厦1101</t>
  </si>
  <si>
    <t>广东省深圳市宝安区宝源路高发西岸花园1栋4座2301</t>
  </si>
  <si>
    <t>何世昌</t>
  </si>
  <si>
    <t>刘明光</t>
  </si>
  <si>
    <t>曾汉明</t>
  </si>
  <si>
    <t>王清田</t>
  </si>
  <si>
    <t>袁占修</t>
  </si>
  <si>
    <t>耿夺</t>
  </si>
  <si>
    <t>邓常鑫</t>
  </si>
  <si>
    <t>贵州省六盘水市盘县淤泥乡供电所</t>
  </si>
  <si>
    <t>贵州省六盘水市盘县贵州省六盘水市盘县羊场乡下午村郑家河组1号</t>
  </si>
  <si>
    <t>卢晟</t>
  </si>
  <si>
    <t>广西柳州市鱼峰区燎原路国美新村10号</t>
  </si>
  <si>
    <t>广西柳州市柳南区柳邕路东站五区13栋1-2号</t>
  </si>
  <si>
    <t>唐攸龙</t>
  </si>
  <si>
    <t>龙小红</t>
  </si>
  <si>
    <t>董平</t>
  </si>
  <si>
    <t>陈子倩</t>
  </si>
  <si>
    <t>王子铜</t>
  </si>
  <si>
    <t>孙玉霞</t>
  </si>
  <si>
    <t>魏明琛</t>
  </si>
  <si>
    <t>张晓卿</t>
  </si>
  <si>
    <t>陈进</t>
  </si>
  <si>
    <t>龚磊</t>
  </si>
  <si>
    <t>张天星</t>
  </si>
  <si>
    <t>山西省忻州市繁峙县砂河镇义兴寨村</t>
  </si>
  <si>
    <t>山西省忻州市繁峙县东山乡茶坊村1排126号</t>
  </si>
  <si>
    <t>春黎</t>
  </si>
  <si>
    <t>内蒙古自治区赤峰市松山区站前街道交通学院</t>
  </si>
  <si>
    <t>内蒙古赤峰市松山区内蒙古自治区通辽市科尔沁左翼后旗努古斯台镇召根嘎查</t>
  </si>
  <si>
    <t>惠健辉</t>
  </si>
  <si>
    <t>陕西省榆林市榆阳区长城南路</t>
  </si>
  <si>
    <t>陕西省榆林市榆阳区南六队6排1号</t>
  </si>
  <si>
    <t>阳雄香</t>
  </si>
  <si>
    <t>张建保</t>
  </si>
  <si>
    <t>孙建军</t>
  </si>
  <si>
    <t>王卫涛</t>
  </si>
  <si>
    <t>吴爽</t>
  </si>
  <si>
    <t>聂升</t>
  </si>
  <si>
    <t>江西省赣州市章贡区登峰大道36号</t>
  </si>
  <si>
    <t>江西省赣州市南康市蓉江街道办事处宝林路19号</t>
  </si>
  <si>
    <t>肖诗毅</t>
  </si>
  <si>
    <t>郑平辉</t>
  </si>
  <si>
    <t>山西省晋城市城区书院街1519号</t>
  </si>
  <si>
    <t>山西省晋城市城区汇仟小区11号楼3单元101</t>
  </si>
  <si>
    <t>李標</t>
  </si>
  <si>
    <t>尹梦圆</t>
  </si>
  <si>
    <t>内蒙古包头市昆都仑区团8街坊三阀门办公楼</t>
  </si>
  <si>
    <t>内蒙古包头市青山区民主路1号街坊7栋二单元202</t>
  </si>
  <si>
    <t>杨竞超</t>
  </si>
  <si>
    <t>福建省南平市建阳市闽北经济开发区唐金包装有限公司</t>
  </si>
  <si>
    <t>杜金明</t>
  </si>
  <si>
    <t>陈思锐</t>
  </si>
  <si>
    <t>牛小园</t>
  </si>
  <si>
    <t>曾娜娟</t>
  </si>
  <si>
    <t>石朝恩</t>
  </si>
  <si>
    <t>蒲江军</t>
  </si>
  <si>
    <t>查娴娴</t>
  </si>
  <si>
    <t>内蒙古乌海市乌达区维邦市场底商</t>
  </si>
  <si>
    <t>内蒙古乌海市乌达区新达小区5号楼二单元402</t>
  </si>
  <si>
    <t>杨勃一</t>
  </si>
  <si>
    <t>陈玉华</t>
  </si>
  <si>
    <t>李林玲</t>
  </si>
  <si>
    <t>郑天保</t>
  </si>
  <si>
    <t>张景伟</t>
  </si>
  <si>
    <t>山东省济宁市微山县经济开发区润峰工业园</t>
  </si>
  <si>
    <t>山东省济宁市微山县办事处张庄村宣武路1号</t>
  </si>
  <si>
    <t>周范华</t>
  </si>
  <si>
    <t>庞敏</t>
  </si>
  <si>
    <t>唐梦</t>
  </si>
  <si>
    <t>谢红良</t>
  </si>
  <si>
    <t>袁尚春</t>
  </si>
  <si>
    <t>陈美旭</t>
  </si>
  <si>
    <t>甘肃省兰州市永登县兰州新区陇商国际6栋1001号</t>
  </si>
  <si>
    <t>甘肃省兰州市永登县兰州新区陇商国际3栋一单元901号</t>
  </si>
  <si>
    <t>李梓航</t>
  </si>
  <si>
    <t>李小双</t>
  </si>
  <si>
    <t>赵文雅</t>
  </si>
  <si>
    <t>章慧敏</t>
  </si>
  <si>
    <t>广东省广州市越秀区广州市元运街1号</t>
  </si>
  <si>
    <t>广东省广州市白云区南悦中二街2号2302房</t>
  </si>
  <si>
    <t>邓曜东</t>
  </si>
  <si>
    <t>吴积远</t>
  </si>
  <si>
    <t>苏艳玲</t>
  </si>
  <si>
    <t>郑伟伟</t>
  </si>
  <si>
    <t>武祝峰</t>
  </si>
  <si>
    <t>唐丁洁</t>
  </si>
  <si>
    <t>雷泽春</t>
  </si>
  <si>
    <t>周志星</t>
  </si>
  <si>
    <t>安徽省合肥市蜀山区樊洼路江南茗茶城西区D003</t>
  </si>
  <si>
    <t>安徽省合肥市蜀山区樊洼路江南茗茶城西区D003号201室</t>
  </si>
  <si>
    <t>冯蓉</t>
  </si>
  <si>
    <t>云南省大理白族自治州祥云县祥云县八里路下段</t>
  </si>
  <si>
    <t>云南省祥云县云南驿镇庙村204号</t>
  </si>
  <si>
    <t>杨学均</t>
  </si>
  <si>
    <t>莫萧</t>
  </si>
  <si>
    <t>胡菁芮</t>
  </si>
  <si>
    <t>张先平</t>
  </si>
  <si>
    <t>尚士起</t>
  </si>
  <si>
    <t>河北省衡水市深州市大屯乡南护庄村</t>
  </si>
  <si>
    <t>河北省衡水市深州市大屯乡北尚庄村</t>
  </si>
  <si>
    <t>郭同庆</t>
  </si>
  <si>
    <t>罗娇丽</t>
  </si>
  <si>
    <t>梁宏</t>
  </si>
  <si>
    <t>邱顺安</t>
  </si>
  <si>
    <t>陈银凤</t>
  </si>
  <si>
    <t>广东省广州市增城市广州市增城区荔城街荔兴路18号</t>
  </si>
  <si>
    <t>广东省广州市增城市广州市增城区荔城街富和路17号楼</t>
  </si>
  <si>
    <t>刘化龙</t>
  </si>
  <si>
    <t>魏俊锋</t>
  </si>
  <si>
    <t>肖发楷</t>
  </si>
  <si>
    <t>侯朋</t>
  </si>
  <si>
    <t>陈喜榕</t>
  </si>
  <si>
    <t>贺金玉</t>
  </si>
  <si>
    <t>赵彩霞</t>
  </si>
  <si>
    <t>马蝶</t>
  </si>
  <si>
    <t>郭晶琳</t>
  </si>
  <si>
    <t>王倩倩</t>
  </si>
  <si>
    <t>胡国亮</t>
  </si>
  <si>
    <t>陆信明</t>
  </si>
  <si>
    <t>李桂创</t>
  </si>
  <si>
    <t>广东省深圳市宝安区玉律红星村星工二路伯诚工业城</t>
  </si>
  <si>
    <t>广东省深圳市宝安区公明马山头旧村十二区一号</t>
  </si>
  <si>
    <t>吴桐</t>
  </si>
  <si>
    <t>石冰</t>
  </si>
  <si>
    <t>王晶雨</t>
  </si>
  <si>
    <t>王丽艳</t>
  </si>
  <si>
    <t>湖北省武汉市武昌区中山路武昌火车站安检队</t>
  </si>
  <si>
    <t>湖北省武汉市洪山区红旗欣居b区一栋一单元</t>
  </si>
  <si>
    <t>黄云波</t>
  </si>
  <si>
    <t>魏茂荣</t>
  </si>
  <si>
    <t>罗瑞怡</t>
  </si>
  <si>
    <t>陈小冬</t>
  </si>
  <si>
    <t>解红微</t>
  </si>
  <si>
    <t>丁浩</t>
  </si>
  <si>
    <t>闭晓德</t>
  </si>
  <si>
    <t>焦腾飞</t>
  </si>
  <si>
    <t>喻滨</t>
  </si>
  <si>
    <t>高艳菲</t>
  </si>
  <si>
    <t>姚坤朋</t>
  </si>
  <si>
    <t>马耿君</t>
  </si>
  <si>
    <t>秘佳帅</t>
  </si>
  <si>
    <t>美合日阿依·买买提</t>
  </si>
  <si>
    <t>李尚林</t>
  </si>
  <si>
    <t>梁诗</t>
  </si>
  <si>
    <t>王国辉</t>
  </si>
  <si>
    <t>湖北省襄阳市襄城区炮铺街9号</t>
  </si>
  <si>
    <t>湖北省襄阳市樊城区妇幼路紫贞巷18号</t>
  </si>
  <si>
    <t>苏文学</t>
  </si>
  <si>
    <t>代伟</t>
  </si>
  <si>
    <t>杨其忠</t>
  </si>
  <si>
    <t>尹正花</t>
  </si>
  <si>
    <t>云南省楚雄彝族自治州禄丰县云南省楚雄州禄丰县碧城镇玉龙小区</t>
  </si>
  <si>
    <t>云南省楚雄州禄丰县碧城镇玉龙小区</t>
  </si>
  <si>
    <t>邵江锋</t>
  </si>
  <si>
    <t>江苏省无锡市惠山区洛社镇铁路桥村委旁</t>
  </si>
  <si>
    <t>江苏省无锡市惠山区洛社镇铁路桥季庄里1号</t>
  </si>
  <si>
    <t>张令</t>
  </si>
  <si>
    <t>布丽荣</t>
  </si>
  <si>
    <t>严烽</t>
  </si>
  <si>
    <t>勾朝兵</t>
  </si>
  <si>
    <t>山西省运城市万荣县新开南路400号</t>
  </si>
  <si>
    <t>山西省运城市闻喜县龙海大道公园壹号二期1301</t>
  </si>
  <si>
    <t>唐莉婷</t>
  </si>
  <si>
    <t>崔晓利</t>
  </si>
  <si>
    <t>孔维双</t>
  </si>
  <si>
    <t>曾太英</t>
  </si>
  <si>
    <t>钟姗姗</t>
  </si>
  <si>
    <t>浙江省宁波市海曙区灵桥路</t>
  </si>
  <si>
    <t>浙江省台州市天台县白鹤镇庞村</t>
  </si>
  <si>
    <t>黑龙江省哈尔滨市宾县黑龙江省哈尔滨市宾县</t>
  </si>
  <si>
    <t>黑龙江省哈尔滨市宾县鑫福家园1-4-301</t>
  </si>
  <si>
    <t>郑佳涛</t>
  </si>
  <si>
    <t>颜建平</t>
  </si>
  <si>
    <t>李小孟</t>
  </si>
  <si>
    <t>康妮</t>
  </si>
  <si>
    <t>湖北省恩施土家族苗族自治州恩施市旗峰大道537号</t>
  </si>
  <si>
    <t>湖北省恩施土家族苗族自治州恩施市湖北省恩施市旗峰大道537号</t>
  </si>
  <si>
    <t>石琼文</t>
  </si>
  <si>
    <t>福建省厦门市海沧区厦门市海沧区马青路1233号</t>
  </si>
  <si>
    <t>福建省厦门市海沧区厦门市海沧区新安村东片133号</t>
  </si>
  <si>
    <t>尹志华</t>
  </si>
  <si>
    <t>宁夏银川市兴庆区新华东街290号</t>
  </si>
  <si>
    <t>宁夏银川市兴庆区鸣翠花园一区22号楼一单元602室</t>
  </si>
  <si>
    <t>毛文琦</t>
  </si>
  <si>
    <t>易江</t>
  </si>
  <si>
    <t>刘月萍</t>
  </si>
  <si>
    <t>刘桂玲</t>
  </si>
  <si>
    <t>张学</t>
  </si>
  <si>
    <t>徐淑红</t>
  </si>
  <si>
    <t>王士强</t>
  </si>
  <si>
    <t>刘钰雯</t>
  </si>
  <si>
    <t>葛洪</t>
  </si>
  <si>
    <t>广东省深圳市罗湖区罗湖区梨园路6号物资置地大厦3楼</t>
  </si>
  <si>
    <t>广东省深圳市龙岗区深圳市龙岗区丽湖大道上水花园152栋401</t>
  </si>
  <si>
    <t>田雪斌</t>
  </si>
  <si>
    <t>云南省曲靖市麒麟区文笔路丽水金都西区西南300米</t>
  </si>
  <si>
    <t>云南省曲靖市麒麟区白石江街道曲靖铁路小区东区3栋1单元301</t>
  </si>
  <si>
    <t>谭昌亮</t>
  </si>
  <si>
    <t>辽宁省朝阳市双塔区岭北村1组3号</t>
  </si>
  <si>
    <t>辽宁省朝阳市双塔区陶然居8号楼1单元 301</t>
  </si>
  <si>
    <t>杨升乐</t>
  </si>
  <si>
    <t>陈现力</t>
  </si>
  <si>
    <t>天津市天津市西青区梨双路天水商业街69-2-203</t>
  </si>
  <si>
    <t>天津市天津市西青区龙居生活广场一排4号</t>
  </si>
  <si>
    <t>韩建</t>
  </si>
  <si>
    <t>郑伟玲</t>
  </si>
  <si>
    <t>张向超</t>
  </si>
  <si>
    <t>江雪琴</t>
  </si>
  <si>
    <t>李健青</t>
  </si>
  <si>
    <t>苏荣毅</t>
  </si>
  <si>
    <t>梁洁凝</t>
  </si>
  <si>
    <t>冯静</t>
  </si>
  <si>
    <t>秦庆丰</t>
  </si>
  <si>
    <t>闾慧玲</t>
  </si>
  <si>
    <t>邓勇</t>
  </si>
  <si>
    <t>浙江省温州市鹿城区娄桥街道上汇工业园集光路518号</t>
  </si>
  <si>
    <t>四川省绵阳市三台县宝泉乡宝泉村二村八组04号附01号</t>
  </si>
  <si>
    <t>安平</t>
  </si>
  <si>
    <t>许宁</t>
  </si>
  <si>
    <t>云南省曲靖市麒麟区冯官桥村171号</t>
  </si>
  <si>
    <t>云南省曲靖市麒麟区白石江街道东盛临江花园2栋3单元401号</t>
  </si>
  <si>
    <t>王文虎</t>
  </si>
  <si>
    <t>董金银</t>
  </si>
  <si>
    <t>赵国宗</t>
  </si>
  <si>
    <t>程志杰</t>
  </si>
  <si>
    <t>江西省景德镇市乐平市童家山工业园A区</t>
  </si>
  <si>
    <t>江西省景德镇市乐平市观音泉路12号</t>
  </si>
  <si>
    <t>苏李勇</t>
  </si>
  <si>
    <t>翁金辉</t>
  </si>
  <si>
    <t>河南省信阳市固始县蓼城大道356号</t>
  </si>
  <si>
    <t>河南省信阳市固始县蓼城街道办事处踏月寺街南路中原建筑公司家属院</t>
  </si>
  <si>
    <t>杨志坚</t>
  </si>
  <si>
    <t>费桂玲</t>
  </si>
  <si>
    <t>周茈妍</t>
  </si>
  <si>
    <t>陈珏</t>
  </si>
  <si>
    <t>汤邦发</t>
  </si>
  <si>
    <t>广州市天河区金穗路1号3001房</t>
  </si>
  <si>
    <t>广州市天河区东圃镇黄村街道黄村西华里六巷九号</t>
  </si>
  <si>
    <t>钟震强</t>
  </si>
  <si>
    <t>王帅强</t>
  </si>
  <si>
    <t>杨轶</t>
  </si>
  <si>
    <t>彭福亮</t>
  </si>
  <si>
    <t>广东省惠州市龙门县西林路42号</t>
  </si>
  <si>
    <t>广东省惠州市惠阳区镇隆河西九街16号</t>
  </si>
  <si>
    <t>李俊锋</t>
  </si>
  <si>
    <t>敖梁骏</t>
  </si>
  <si>
    <t>四川省成都市崇州市崇州市羊马镇羊安街72号</t>
  </si>
  <si>
    <t>四川省成都市崇州市四川省成都市崇州市羊马镇双河街1号</t>
  </si>
  <si>
    <t>何翠勇</t>
  </si>
  <si>
    <t>危文凯</t>
  </si>
  <si>
    <t>王彬彬</t>
  </si>
  <si>
    <t>朱朵浓</t>
  </si>
  <si>
    <t>苏柳源</t>
  </si>
  <si>
    <t>高远</t>
  </si>
  <si>
    <t>张丽君</t>
  </si>
  <si>
    <t>林健华</t>
  </si>
  <si>
    <t>张剑雨</t>
  </si>
  <si>
    <t>东南</t>
  </si>
  <si>
    <t>黄正源</t>
  </si>
  <si>
    <t>梁佳龙</t>
  </si>
  <si>
    <t>李贤桂</t>
  </si>
  <si>
    <t>河北省保定市满城县大册营工业区</t>
  </si>
  <si>
    <t>河北省保定市满城县谒山村</t>
  </si>
  <si>
    <t>宋欢</t>
  </si>
  <si>
    <t>冯翠婵</t>
  </si>
  <si>
    <t>吴彦金</t>
  </si>
  <si>
    <t>孔德琦</t>
  </si>
  <si>
    <t>李海霞</t>
  </si>
  <si>
    <t>汤田田</t>
  </si>
  <si>
    <t>上海市上海市闵行区吴泾镇永德路步行街137号</t>
  </si>
  <si>
    <t>上海市上海市闵行区吴泾镇共和村花厅46号</t>
  </si>
  <si>
    <t>邓少华</t>
  </si>
  <si>
    <t>浙江省台州市椒江区椒江洪家街道酷小镇8118号</t>
  </si>
  <si>
    <t>浙江省台州市椒江区椒江区白云街道联谊新村317</t>
  </si>
  <si>
    <t>苏卫萍</t>
  </si>
  <si>
    <t>高清宇</t>
  </si>
  <si>
    <t>郑亚兵</t>
  </si>
  <si>
    <t>福建省漳州市龙海市浮宫镇邱厝村崎河92-3</t>
  </si>
  <si>
    <t>福建省漳州市龙海市浮宫镇邱厝村崎河86号</t>
  </si>
  <si>
    <t>程森</t>
  </si>
  <si>
    <t>河北省秦皇岛市抚宁县秦皇岛市海港区黑龙江西道15号</t>
  </si>
  <si>
    <t>河北省秦皇岛市抚宁县抚宁县抚宁镇上庄村81号</t>
  </si>
  <si>
    <t>何炳熙</t>
  </si>
  <si>
    <t>广东省肇庆市德庆县徳庆县凤村镇凤市村光福路38号</t>
  </si>
  <si>
    <t>广东省肇庆市德庆县德庆县凤村镇格塘管理区凤市村</t>
  </si>
  <si>
    <t>文君然</t>
  </si>
  <si>
    <t>蔡展腾</t>
  </si>
  <si>
    <t>徐岭</t>
  </si>
  <si>
    <t>汤爱华</t>
  </si>
  <si>
    <t>李红羽</t>
  </si>
  <si>
    <t>岳银宽</t>
  </si>
  <si>
    <t>张跃元</t>
  </si>
  <si>
    <t>娜音其其格</t>
  </si>
  <si>
    <t>内蒙古鄂尔多斯市东胜区康巴什新区文化艺术中心三楼</t>
  </si>
  <si>
    <t>内蒙古鄂尔多斯市东胜区康巴什新区满世尚都B区</t>
  </si>
  <si>
    <t>向震</t>
  </si>
  <si>
    <t>邓景蓉</t>
  </si>
  <si>
    <t>敬兵华</t>
  </si>
  <si>
    <t>河南省郑州市金水区郑州市金水区东建材</t>
  </si>
  <si>
    <t>刘尚鸿</t>
  </si>
  <si>
    <t>余川</t>
  </si>
  <si>
    <t>蒋东</t>
  </si>
  <si>
    <t>邝敦罗</t>
  </si>
  <si>
    <t>王志辉</t>
  </si>
  <si>
    <t>王晨晨</t>
  </si>
  <si>
    <t>韩英</t>
  </si>
  <si>
    <t>潘福平</t>
  </si>
  <si>
    <t>夏全</t>
  </si>
  <si>
    <t>四川省成都市龙泉驿区驿都西路459号</t>
  </si>
  <si>
    <t>四川省成都市武侯区置信路57号溢阳绿城64204</t>
  </si>
  <si>
    <t>施发鑫</t>
  </si>
  <si>
    <t>徐月雷</t>
  </si>
  <si>
    <t>江苏省连云港市海州区海宁中路半山雅苑21号</t>
  </si>
  <si>
    <t>江苏省连云港市海州区兴业小区4号楼3单元102</t>
  </si>
  <si>
    <t>袁胤博</t>
  </si>
  <si>
    <t>潘银英</t>
  </si>
  <si>
    <t>肖正湘</t>
  </si>
  <si>
    <t>浙江省绍兴市上虞市丁宅乡丁宅村工业集聚区1-2栋</t>
  </si>
  <si>
    <t>浙江省绍兴市上虞市丁宅乡丁宅村工业集聚区102</t>
  </si>
  <si>
    <t>陆伟伟</t>
  </si>
  <si>
    <t>李清</t>
  </si>
  <si>
    <t>张耀威</t>
  </si>
  <si>
    <t>河南省郑州市中原区金梭路7号</t>
  </si>
  <si>
    <t>河南省郑州市中原区雪松路239号学府欣园3号楼3单元11楼东户0321室</t>
  </si>
  <si>
    <t>徐庆</t>
  </si>
  <si>
    <t>陈爱福</t>
  </si>
  <si>
    <t>郅永亮</t>
  </si>
  <si>
    <t>施娜</t>
  </si>
  <si>
    <t>关宏博</t>
  </si>
  <si>
    <t>韦斌</t>
  </si>
  <si>
    <t>覃水运</t>
  </si>
  <si>
    <t>邓东</t>
  </si>
  <si>
    <t>张小娥</t>
  </si>
  <si>
    <t>梁宇超</t>
  </si>
  <si>
    <t>柏正达</t>
  </si>
  <si>
    <t>云南省大理白族自治州大理市下关镇苍山路 山西村424号</t>
  </si>
  <si>
    <t>云南省大理白族自治州大理市下关镇金星村115号</t>
  </si>
  <si>
    <t>周永林</t>
  </si>
  <si>
    <t>权登勇</t>
  </si>
  <si>
    <t>刘悦</t>
  </si>
  <si>
    <t>陈小伟</t>
  </si>
  <si>
    <t>赵安文</t>
  </si>
  <si>
    <t>张进钊</t>
  </si>
  <si>
    <t>河北省邢台市宁晋县河渠镇大北苏村</t>
  </si>
  <si>
    <t>邹柱龙</t>
  </si>
  <si>
    <t>万涛涛</t>
  </si>
  <si>
    <t>李毓鑫</t>
  </si>
  <si>
    <t>朱晓琦</t>
  </si>
  <si>
    <t>彭婉媚</t>
  </si>
  <si>
    <t>邓兵</t>
  </si>
  <si>
    <t>邱应辉</t>
  </si>
  <si>
    <t>浙江省杭州市萧山区临浦工业园区焊马路7号</t>
  </si>
  <si>
    <t>贵州省遵义市道真仡佬族苗族自治县阳溪镇阳溪村</t>
  </si>
  <si>
    <t>罗晟</t>
  </si>
  <si>
    <t>四川省遂宁市大英县交通上街146号</t>
  </si>
  <si>
    <t>四川省遂宁市大英县蓬莱镇江南东路115号1单元4楼1号</t>
  </si>
  <si>
    <t>刘福增</t>
  </si>
  <si>
    <t>河北省沧州市任丘市石门桥镇檀家庄村</t>
  </si>
  <si>
    <t>河北省沧州市任丘市辛中译镇东王团村299号</t>
  </si>
  <si>
    <t>黄微</t>
  </si>
  <si>
    <t>张建蓉</t>
  </si>
  <si>
    <t>黑龙江省哈尔滨市南岗区嵩山路70号</t>
  </si>
  <si>
    <t>黑龙江省哈尔滨市道里区机场路206号白酒厂家属楼3单元303</t>
  </si>
  <si>
    <t>陈小丹</t>
  </si>
  <si>
    <t>聂根华</t>
  </si>
  <si>
    <t>向铁桥</t>
  </si>
  <si>
    <t>陈映涛</t>
  </si>
  <si>
    <t>郜明志</t>
  </si>
  <si>
    <t>江苏省无锡市滨湖区金石路万象城</t>
  </si>
  <si>
    <t>江苏省无锡市滨湖区溪南新村302栋402</t>
  </si>
  <si>
    <t>唐镇东</t>
  </si>
  <si>
    <t>湖南省长沙市长沙县开元路与东二路交汇处博雅例外一楼</t>
  </si>
  <si>
    <t>湖南省长沙市长沙县望仙路与东六路交汇处松雅小区c6-602</t>
  </si>
  <si>
    <t>胡魁</t>
  </si>
  <si>
    <t>江西省南昌市东湖区三经路281号</t>
  </si>
  <si>
    <t>江西省南昌市青山湖区昌东工业园区胡家村94号</t>
  </si>
  <si>
    <t>彭志山</t>
  </si>
  <si>
    <t>湖北省孝感市孝南区广场街办事处城站路76-21号</t>
  </si>
  <si>
    <t>湖北省武汉市东西湖区辛安渡办事处辛安渡集2村123号</t>
  </si>
  <si>
    <t>相浙梁</t>
  </si>
  <si>
    <t>何旭辉</t>
  </si>
  <si>
    <t>陕西省西安市未央区天台六路014号</t>
  </si>
  <si>
    <t>陕西省西安市长安区太乙宫镇杏园村75号</t>
  </si>
  <si>
    <t>龙凯鑫</t>
  </si>
  <si>
    <t>河南省许昌市魏都区紫云路交叉口</t>
  </si>
  <si>
    <t>河南省许昌市魏都区河南省许昌市魏都区半截河街道徐湾村72号</t>
  </si>
  <si>
    <t>褚杰培</t>
  </si>
  <si>
    <t>曹高位</t>
  </si>
  <si>
    <t>邵斌</t>
  </si>
  <si>
    <t>吴利来</t>
  </si>
  <si>
    <t>广东省珠海市斗门区城南湖心路富红苑2栋35号之二</t>
  </si>
  <si>
    <t>广东省珠海市香洲区紫荆路303号中珠水晶堡小区703</t>
  </si>
  <si>
    <t>马小林</t>
  </si>
  <si>
    <t>金蝶</t>
  </si>
  <si>
    <t>图雅</t>
  </si>
  <si>
    <t>胥昱平</t>
  </si>
  <si>
    <t>湖南省株洲市石峰区铜霞路461号</t>
  </si>
  <si>
    <t>湖南省株洲市荷塘区宋家桥阳光家园小区12栋607</t>
  </si>
  <si>
    <t>何国锋</t>
  </si>
  <si>
    <t>广东省广州市增城市广州市增城区荔城增江街增江大道171号</t>
  </si>
  <si>
    <t>广东省广州市黄埔区广州市黄埔区南岗南街新街5巷23号</t>
  </si>
  <si>
    <t>曾琴</t>
  </si>
  <si>
    <t>江西省抚州市崇仁县迎宾大道717号</t>
  </si>
  <si>
    <t>江西省抚州市崇仁县火车站宿舍1栋101室</t>
  </si>
  <si>
    <t>何梦祥</t>
  </si>
  <si>
    <t>林志坚</t>
  </si>
  <si>
    <t>王浩源</t>
  </si>
  <si>
    <t>北京市北京市朝阳区朝阳区花虎沟二号</t>
  </si>
  <si>
    <t>北京市北京市昌平区昌平区天通苑鑫利达公寓一号楼一单元201</t>
  </si>
  <si>
    <t>邢凯顺</t>
  </si>
  <si>
    <t>熊涛</t>
  </si>
  <si>
    <t>钱正林</t>
  </si>
  <si>
    <t>上海市上海市宝山区富联二路518号</t>
  </si>
  <si>
    <t>上海市上海市宝山区永清新村33号601</t>
  </si>
  <si>
    <t>缪维军</t>
  </si>
  <si>
    <t>王自强</t>
  </si>
  <si>
    <t>江西省萍乡市安源区汇蓝国际芝加哥502</t>
  </si>
  <si>
    <t>江西省萍乡市安源区建设东路金建街219</t>
  </si>
  <si>
    <t>张婉仪</t>
  </si>
  <si>
    <t>王成阳</t>
  </si>
  <si>
    <t>于斯明</t>
  </si>
  <si>
    <t>金海东</t>
  </si>
  <si>
    <t>吴壮志</t>
  </si>
  <si>
    <t>湖南省益阳市赫山区朝阳街道海棠西路68号</t>
  </si>
  <si>
    <t>湖南省益阳市赫山区金银山街道长益路52号5栋1单元204房</t>
  </si>
  <si>
    <t>陈美棕</t>
  </si>
  <si>
    <t>程攀</t>
  </si>
  <si>
    <t>吴明统</t>
  </si>
  <si>
    <t>韩月</t>
  </si>
  <si>
    <t>江苏省南通市崇川区八仙城电脑街2楼4249</t>
  </si>
  <si>
    <t>江苏省南通市崇川区姚港路12号3幢303室</t>
  </si>
  <si>
    <t>郭子庆</t>
  </si>
  <si>
    <t>天津市天津市蓟县蓟县经济开发区府君路12号</t>
  </si>
  <si>
    <t>天津市天津市蓟县蓟县渔阳镇府君里7-2-402</t>
  </si>
  <si>
    <t>陈浩宁</t>
  </si>
  <si>
    <t>马涛峰</t>
  </si>
  <si>
    <t>侯世文</t>
  </si>
  <si>
    <t>郭小梅</t>
  </si>
  <si>
    <t>福建省福州市仓山区六一路接近湖东路</t>
  </si>
  <si>
    <t>福建省福州市晋安区鼓山镇六一佳园</t>
  </si>
  <si>
    <t>黄丽晓</t>
  </si>
  <si>
    <t>满茂同</t>
  </si>
  <si>
    <t>山东省济南市天桥区新赵路455号智慧商务中心1302室</t>
  </si>
  <si>
    <t>山东省济南市槐荫区明星小区1号楼2单元403室</t>
  </si>
  <si>
    <t>汤海涛</t>
  </si>
  <si>
    <t>云南省昆明市官渡区星耀路万景园D10栋9号</t>
  </si>
  <si>
    <t>云南省昆明市官渡区云秀路湾流海三组团8栋2单元1601</t>
  </si>
  <si>
    <t>张东亚</t>
  </si>
  <si>
    <t>山东省枣庄市薛城区复元三路智能制造小镇</t>
  </si>
  <si>
    <t>山东省枣庄市市中区胜利路惠工村二区</t>
  </si>
  <si>
    <t>徐云宏</t>
  </si>
  <si>
    <t>焦妮</t>
  </si>
  <si>
    <t>张可</t>
  </si>
  <si>
    <t>玉波</t>
  </si>
  <si>
    <t>广西南宁市兴宁区南宁市西乡塘区北湖北路20号云星城市春天1101号</t>
  </si>
  <si>
    <t>广西南宁市兴宁区安吉大道45号广西水电工程局18栋2单元603</t>
  </si>
  <si>
    <t>董青青</t>
  </si>
  <si>
    <t>刘瑞琦</t>
  </si>
  <si>
    <t>山西省大同市南郊区云冈矿办公楼调度室</t>
  </si>
  <si>
    <t>山西省大同市矿区泉馨园8号楼一单元501</t>
  </si>
  <si>
    <t>米日阿迪力·吾布力卡斯木</t>
  </si>
  <si>
    <t>周敬杰</t>
  </si>
  <si>
    <t>江西省赣州市上犹县水南大道173号</t>
  </si>
  <si>
    <t>江西省赣州市上犹县犹江苑7单元102</t>
  </si>
  <si>
    <t>章文刚</t>
  </si>
  <si>
    <t>王先宝</t>
  </si>
  <si>
    <t>范贤斌</t>
  </si>
  <si>
    <t>韩拓</t>
  </si>
  <si>
    <t>雷春英</t>
  </si>
  <si>
    <t>成俊峰</t>
  </si>
  <si>
    <t>刘华信</t>
  </si>
  <si>
    <t>浙江省金华市武义县王宅镇古马山工业区</t>
  </si>
  <si>
    <t>浙江省金华市武义县王宅镇马公塘村四弄7号</t>
  </si>
  <si>
    <t>袁雨林</t>
  </si>
  <si>
    <t>湖南省株洲市天元区风光带滨江北路48号(近市农业局)</t>
  </si>
  <si>
    <t>湖南省株洲市天元区滨江北路29号厦华小区3栋306</t>
  </si>
  <si>
    <t>王剑会</t>
  </si>
  <si>
    <t>钟凯亨</t>
  </si>
  <si>
    <t>杨德瑜</t>
  </si>
  <si>
    <t>福建省泉州市晋江市福建省泉州市晋江市青阳湖景商务大厦8楼</t>
  </si>
  <si>
    <t>福建省泉州市鲤城区福建省泉州市晋江市永和镇上宅第四片区129号</t>
  </si>
  <si>
    <t>刘静东</t>
  </si>
  <si>
    <t>梁东文</t>
  </si>
  <si>
    <t>孙万里</t>
  </si>
  <si>
    <t>陈乙菁</t>
  </si>
  <si>
    <t>罗淞</t>
  </si>
  <si>
    <t>涂廷源</t>
  </si>
  <si>
    <t>严志华</t>
  </si>
  <si>
    <t>广东省深圳市龙岗区坑梓镇龙湾路85号</t>
  </si>
  <si>
    <t>广东省深圳市龙岗区坑梓镇龙湾路109号</t>
  </si>
  <si>
    <t>孟龙</t>
  </si>
  <si>
    <t>黄传忠</t>
  </si>
  <si>
    <t>张旌</t>
  </si>
  <si>
    <t>罗振红</t>
  </si>
  <si>
    <t>赵海英</t>
  </si>
  <si>
    <t>谢欣殷</t>
  </si>
  <si>
    <t>冶春英</t>
  </si>
  <si>
    <t>郭丽君</t>
  </si>
  <si>
    <t>魏嘉琦</t>
  </si>
  <si>
    <t>滕慧</t>
  </si>
  <si>
    <t>朱克伟</t>
  </si>
  <si>
    <t>河北省唐山市路南区新华东道54号</t>
  </si>
  <si>
    <t>河北省唐山市古冶区赵各庄融园小区16楼35号</t>
  </si>
  <si>
    <t>杨建彬</t>
  </si>
  <si>
    <t>易正坤</t>
  </si>
  <si>
    <t>楚明亮</t>
  </si>
  <si>
    <t>葛集祥</t>
  </si>
  <si>
    <t>林业红</t>
  </si>
  <si>
    <t>广东省广州市花都区三东大道东自编1号</t>
  </si>
  <si>
    <t>广东省广州市花都区雅源中路79号</t>
  </si>
  <si>
    <t>牛进</t>
  </si>
  <si>
    <t>文小龙</t>
  </si>
  <si>
    <t>陈达彪</t>
  </si>
  <si>
    <t>周明春</t>
  </si>
  <si>
    <t>毛尧军</t>
  </si>
  <si>
    <t>李庆海</t>
  </si>
  <si>
    <t>詹连杰</t>
  </si>
  <si>
    <t>宁元庆</t>
  </si>
  <si>
    <t>袁孝波</t>
  </si>
  <si>
    <t>李尚文俊</t>
  </si>
  <si>
    <t>谢忠</t>
  </si>
  <si>
    <t>谭照国</t>
  </si>
  <si>
    <t>谭东风</t>
  </si>
  <si>
    <t>张梦真</t>
  </si>
  <si>
    <t>浙江省湖州市南浔区双林镇嘉凯城潮流跆拳道</t>
  </si>
  <si>
    <t>浙江省湖州市南浔区双林镇嘉凯城二楼</t>
  </si>
  <si>
    <t>佐红兵</t>
  </si>
  <si>
    <t>姜文明</t>
  </si>
  <si>
    <t>山东省淄博市周村区山东省淄博市周村南郊镇尚庄村村北首100米</t>
  </si>
  <si>
    <t>山东省淄博市桓台县起凤镇夏二村1组64号</t>
  </si>
  <si>
    <t>凌青霞</t>
  </si>
  <si>
    <t>玉以钦</t>
  </si>
  <si>
    <t>程惠</t>
  </si>
  <si>
    <t>张文才</t>
  </si>
  <si>
    <t>寇艳萍</t>
  </si>
  <si>
    <t>广东省深圳市罗湖区深圳市光明新区公明街道合水口社区富东商务大厦603</t>
  </si>
  <si>
    <t>广东省深圳市宝安区宝安区松岗沙浦围4巷7号</t>
  </si>
  <si>
    <t>孔令坤</t>
  </si>
  <si>
    <t>黄勇福</t>
  </si>
  <si>
    <t>邓翼伸</t>
  </si>
  <si>
    <t>江苏省南通市通州区开发区通盛大道185号</t>
  </si>
  <si>
    <t>江苏省南通市通州区开发区竹行长桥村十三组108号</t>
  </si>
  <si>
    <t>牛利平</t>
  </si>
  <si>
    <t>蔡惠阳</t>
  </si>
  <si>
    <t>江苏省南通市如皋市软件园8号楼</t>
  </si>
  <si>
    <t>江苏省南通市如皋市城南街道桃园镇新华居</t>
  </si>
  <si>
    <t>潘文权</t>
  </si>
  <si>
    <t>耿帅帅</t>
  </si>
  <si>
    <t>刘先俊</t>
  </si>
  <si>
    <t>胡碧霞</t>
  </si>
  <si>
    <t>顾浩</t>
  </si>
  <si>
    <t>吕东</t>
  </si>
  <si>
    <t>陕西省西安市雁塔区雁塔路118号</t>
  </si>
  <si>
    <t>陕西省西安市雁塔区未央区建章路焦家村2栋101</t>
  </si>
  <si>
    <t>乔显磊</t>
  </si>
  <si>
    <t>周兴财</t>
  </si>
  <si>
    <t>朱培文</t>
  </si>
  <si>
    <t>卜佳佳</t>
  </si>
  <si>
    <t>王校奥</t>
  </si>
  <si>
    <t>李愿伟</t>
  </si>
  <si>
    <t>彭天发生</t>
  </si>
  <si>
    <t>浙江省台州市温岭市横峰街道邱家岸工业区95号</t>
  </si>
  <si>
    <t>江西省赣州市会昌县西江镇红星村独公岭17号</t>
  </si>
  <si>
    <t>许兴凯</t>
  </si>
  <si>
    <t>何美</t>
  </si>
  <si>
    <t>刘翀</t>
  </si>
  <si>
    <t>李克俊</t>
  </si>
  <si>
    <t>程忠涛</t>
  </si>
  <si>
    <t>刘红燕</t>
  </si>
  <si>
    <t>赖顺荣</t>
  </si>
  <si>
    <t>潘荣华</t>
  </si>
  <si>
    <t>林应宁</t>
  </si>
  <si>
    <t>海南省海口市秀英区东山镇溪南村</t>
  </si>
  <si>
    <t>海南省海口市秀英区东山镇溪南村委会</t>
  </si>
  <si>
    <t>陈保坚</t>
  </si>
  <si>
    <t>中山南郎东海岸花园1栋203</t>
  </si>
  <si>
    <t>南郎东海岸花园1栋203</t>
  </si>
  <si>
    <t>权建辉</t>
  </si>
  <si>
    <t>郑会妹</t>
  </si>
  <si>
    <t>曾祥洪</t>
  </si>
  <si>
    <t>田永平</t>
  </si>
  <si>
    <t>郑有香</t>
  </si>
  <si>
    <t>张开创</t>
  </si>
  <si>
    <t>付安贵</t>
  </si>
  <si>
    <t>冯代强</t>
  </si>
  <si>
    <t>黄天清</t>
  </si>
  <si>
    <t>王啸林</t>
  </si>
  <si>
    <t>姚顺宇</t>
  </si>
  <si>
    <t>苏明英</t>
  </si>
  <si>
    <t>候林勇</t>
  </si>
  <si>
    <t>冯大伟</t>
  </si>
  <si>
    <t>曾建军</t>
  </si>
  <si>
    <t>柯怡烜</t>
  </si>
  <si>
    <t>江西省新余市渝水区六盘水</t>
  </si>
  <si>
    <t>贵州省贵阳市南明区六盘水</t>
  </si>
  <si>
    <t>黄小文</t>
  </si>
  <si>
    <t>赖伟正</t>
  </si>
  <si>
    <t>苏洋</t>
  </si>
  <si>
    <t>郭燕华</t>
  </si>
  <si>
    <t>河北省邯郸市曲周县河南疃镇河南疃一村</t>
  </si>
  <si>
    <t>河北省邯郸市曲周县曲周镇麻庄村046号</t>
  </si>
  <si>
    <t>王丛阳</t>
  </si>
  <si>
    <t>田正红</t>
  </si>
  <si>
    <t>李胜</t>
  </si>
  <si>
    <t>海银银</t>
  </si>
  <si>
    <t>宁夏吴忠市红寺堡区银川南路200号</t>
  </si>
  <si>
    <t>宁夏吴忠市红寺堡区宁夏吴忠市红寺堡区</t>
  </si>
  <si>
    <t>湖北省十堰市茅箭区北京北路京华新天地</t>
  </si>
  <si>
    <t>湖北省十堰市茅箭区北京中路昊天大厦903</t>
  </si>
  <si>
    <t>胡裕秋</t>
  </si>
  <si>
    <t>杨懿</t>
  </si>
  <si>
    <t>陈月仙</t>
  </si>
  <si>
    <t>张传授</t>
  </si>
  <si>
    <t>周宇飞</t>
  </si>
  <si>
    <t>王新攀</t>
  </si>
  <si>
    <t>聂豪</t>
  </si>
  <si>
    <t>福建省厦门市思明区开元街道湖滨中路11-1号</t>
  </si>
  <si>
    <t>福建省厦门市思明区开元街道湖滨南路208号202室</t>
  </si>
  <si>
    <t>叶浩其</t>
  </si>
  <si>
    <t>刘喜庆</t>
  </si>
  <si>
    <t>黑龙江省大庆市龙凤区高新区柏林春天E1-1号</t>
  </si>
  <si>
    <t>黑龙江省大庆市龙凤区高新区柏林春天E1-2号</t>
  </si>
  <si>
    <t>陈益荣</t>
  </si>
  <si>
    <t>徐长亮</t>
  </si>
  <si>
    <t>邹财</t>
  </si>
  <si>
    <t>王中谋</t>
  </si>
  <si>
    <t>广西钦州市钦南区钦南区钦州港富港新城05栋2号</t>
  </si>
  <si>
    <t>广西钦州市钦南区钦州新兴路8号一动一单元102室</t>
  </si>
  <si>
    <t>吴清智</t>
  </si>
  <si>
    <t>湖北省武汉市硚口区南泥湾大道汇丰企业总部4栋B座603-2室</t>
  </si>
  <si>
    <t>湖北省武汉市硚口区长丰大道天勤花园7栋1单元303室</t>
  </si>
  <si>
    <t>李跃福</t>
  </si>
  <si>
    <t>江苏省南京市建邺区虎踞南路100号建宇大厦1303室</t>
  </si>
  <si>
    <t>江苏省南京市玄武区月苑四村6幢204室</t>
  </si>
  <si>
    <t>韩福定</t>
  </si>
  <si>
    <t>仲召亮</t>
  </si>
  <si>
    <t>许恩海</t>
  </si>
  <si>
    <t>刘昌发</t>
  </si>
  <si>
    <t>王立军</t>
  </si>
  <si>
    <t>王裕斌</t>
  </si>
  <si>
    <t>张警</t>
  </si>
  <si>
    <t>王进虎</t>
  </si>
  <si>
    <t>张利桥</t>
  </si>
  <si>
    <t>钟三妹</t>
  </si>
  <si>
    <t>广西贺州市钟山县燕塘镇黄宝110号</t>
  </si>
  <si>
    <t>广西贺州市钟山县燕塘镇黄宝110-4号</t>
  </si>
  <si>
    <t>王修华</t>
  </si>
  <si>
    <t>潘洪帅</t>
  </si>
  <si>
    <t>李惠茵</t>
  </si>
  <si>
    <t>阮伟锋</t>
  </si>
  <si>
    <t>广东省深圳市宝安区白沙四村泰国路2号</t>
  </si>
  <si>
    <t>广西玉林市陆川县广西陆川县沙坡镇高庆村白土一队68号</t>
  </si>
  <si>
    <t>易树芬</t>
  </si>
  <si>
    <t>陈康达</t>
  </si>
  <si>
    <t>广东省江门市开平市水口镇水暖城东城路5号之二</t>
  </si>
  <si>
    <t>广东省江门市开平市水口镇新市北路大富花园158号之二幢710室</t>
  </si>
  <si>
    <t>施育镇</t>
  </si>
  <si>
    <t>侯瑞香</t>
  </si>
  <si>
    <t>王禹涵</t>
  </si>
  <si>
    <t>甘肃省兰州市城关区瓜州路582号</t>
  </si>
  <si>
    <t>甘肃省兰州市城关区雁北路中广宜景湾尚城3号楼2单元701室</t>
  </si>
  <si>
    <t>马朋超</t>
  </si>
  <si>
    <t>马司帅</t>
  </si>
  <si>
    <t>朱思宇</t>
  </si>
  <si>
    <t>河南省信阳市浉河区宝峰桂圆307</t>
  </si>
  <si>
    <t>河南省信阳市浉河区湖东花园2号楼一单元1101</t>
  </si>
  <si>
    <t>王青雷</t>
  </si>
  <si>
    <t>黄晓玉</t>
  </si>
  <si>
    <t>叶丽珍</t>
  </si>
  <si>
    <t>谭剑勇</t>
  </si>
  <si>
    <t>江苏省苏州市姑苏区大石头巷25号</t>
  </si>
  <si>
    <t>江苏省苏州市姑苏区福运路191号福运公寓4幢1806</t>
  </si>
  <si>
    <t>赵爱福</t>
  </si>
  <si>
    <t>侯承志</t>
  </si>
  <si>
    <t>蒙聪</t>
  </si>
  <si>
    <t>张可欣</t>
  </si>
  <si>
    <t>吴鸽</t>
  </si>
  <si>
    <t>赵忠健</t>
  </si>
  <si>
    <t>张安平</t>
  </si>
  <si>
    <t>熊炳亮</t>
  </si>
  <si>
    <t>于祥英</t>
  </si>
  <si>
    <t>吉宇辉</t>
  </si>
  <si>
    <t>汤宝亮</t>
  </si>
  <si>
    <t>徐建锋</t>
  </si>
  <si>
    <t>罗靖</t>
  </si>
  <si>
    <t>李秋杨</t>
  </si>
  <si>
    <t>朱海洋</t>
  </si>
  <si>
    <t>江苏省苏州市虎丘区金枫路233号</t>
  </si>
  <si>
    <t>江苏省苏州市虎丘区马涧小区4幢305室</t>
  </si>
  <si>
    <t>薛芝凤</t>
  </si>
  <si>
    <t>李建朋</t>
  </si>
  <si>
    <t>魏云</t>
  </si>
  <si>
    <t>吴启勋</t>
  </si>
  <si>
    <t>余晨</t>
  </si>
  <si>
    <t>雷达培</t>
  </si>
  <si>
    <t>马源</t>
  </si>
  <si>
    <t>梁昆</t>
  </si>
  <si>
    <t>丛子起</t>
  </si>
  <si>
    <t>内蒙古赤峰市宁城县天义镇长青路东博林苑40号186室</t>
  </si>
  <si>
    <t>内蒙古赤峰市宁城县内蒙古赤峰市宁城县天义镇和谐家园十五号楼6单元103室</t>
  </si>
  <si>
    <t>冯丽琴</t>
  </si>
  <si>
    <t>杜平堂</t>
  </si>
  <si>
    <t>肖玲</t>
  </si>
  <si>
    <t>郭翻翻</t>
  </si>
  <si>
    <t>刘佳裕</t>
  </si>
  <si>
    <t>邝宏业</t>
  </si>
  <si>
    <t>陈再兴</t>
  </si>
  <si>
    <t>陈闯</t>
  </si>
  <si>
    <t>浙江省杭州市下城区石桥街道回龙路233号茉莉花大厦a幢805</t>
  </si>
  <si>
    <t>浙江省杭州市下城区石桥街道都市枫林12幢1单元801</t>
  </si>
  <si>
    <t>董雪芳</t>
  </si>
  <si>
    <t>王晓辉</t>
  </si>
  <si>
    <t>谭华东</t>
  </si>
  <si>
    <t>黄志雄</t>
  </si>
  <si>
    <t>郭新荣</t>
  </si>
  <si>
    <t>福建省南平市延平区江滨中路671号</t>
  </si>
  <si>
    <t>福建省南平市延平区四鹤街道铁三43栋301室</t>
  </si>
  <si>
    <t>赵心</t>
  </si>
  <si>
    <t>李永兴</t>
  </si>
  <si>
    <t>湖南省湘西土家族苗族自治州吉首市迁陵镇钟灵山工业园</t>
  </si>
  <si>
    <t>湖南省湘西土家族苗族自治州保靖县迁陵镇东门街222号</t>
  </si>
  <si>
    <t>王鑫龙</t>
  </si>
  <si>
    <t>向秋桂</t>
  </si>
  <si>
    <t>江政霖</t>
  </si>
  <si>
    <t>闫晓君</t>
  </si>
  <si>
    <t>孙国松</t>
  </si>
  <si>
    <t>刘计祥</t>
  </si>
  <si>
    <t>张超群</t>
  </si>
  <si>
    <t>黑龙江省牡丹江市西安区罗兰新城4号门市</t>
  </si>
  <si>
    <t>黑龙江省牡丹江市西安区新泰锦绣城14栋2单元803室</t>
  </si>
  <si>
    <t>刘春宇</t>
  </si>
  <si>
    <t>严俊福</t>
  </si>
  <si>
    <t>彭跃</t>
  </si>
  <si>
    <t>杨瑞祥</t>
  </si>
  <si>
    <t>拉瓦扎西</t>
  </si>
  <si>
    <t>文静</t>
  </si>
  <si>
    <t>魏俏霞</t>
  </si>
  <si>
    <t>李修伦</t>
  </si>
  <si>
    <t>山东省枣庄市市中区经济开发区长江路29号</t>
  </si>
  <si>
    <t>山东省枣庄市市中区齐村镇李岭村25号</t>
  </si>
  <si>
    <t>黄艳辉</t>
  </si>
  <si>
    <t>朱凯洋</t>
  </si>
  <si>
    <t>袁忆</t>
  </si>
  <si>
    <t>刘洪琪</t>
  </si>
  <si>
    <t>何莉莉</t>
  </si>
  <si>
    <t>牛皓</t>
  </si>
  <si>
    <t>唐仕凯</t>
  </si>
  <si>
    <t>王胤元</t>
  </si>
  <si>
    <t>梁富荣</t>
  </si>
  <si>
    <t>耿全广</t>
  </si>
  <si>
    <t>河北省唐山市迁安市滨河村三角地北行500米</t>
  </si>
  <si>
    <t>河北省唐山市迁安市夏官营镇包官营村473号</t>
  </si>
  <si>
    <t>戚振江</t>
  </si>
  <si>
    <t>李永清</t>
  </si>
  <si>
    <t>华丽</t>
  </si>
  <si>
    <t>寇骏驰</t>
  </si>
  <si>
    <t>马玉梅</t>
  </si>
  <si>
    <t>湖北省襄阳市樊城区长虹北路万达广场4F</t>
  </si>
  <si>
    <t>湖北省襄阳市樊城区长虹北路63号馨园小区1栋二单元</t>
  </si>
  <si>
    <t>朱栎</t>
  </si>
  <si>
    <t>北京市北京市丰台区西局玉园南区E3号楼底商</t>
  </si>
  <si>
    <t>北京市北京市丰台区西局玉园北区1号楼1单元803室</t>
  </si>
  <si>
    <t>梁亦添</t>
  </si>
  <si>
    <t>乔传婕</t>
  </si>
  <si>
    <t>郭继雄</t>
  </si>
  <si>
    <t>叶华</t>
  </si>
  <si>
    <t>陕西省西安市未央区西安市未央区灞浦五路浐灞惠泽居</t>
  </si>
  <si>
    <t>陕西省西安市未央区西安市未央区草滩街道草店村九排三号</t>
  </si>
  <si>
    <t>王传业</t>
  </si>
  <si>
    <t>周文彪</t>
  </si>
  <si>
    <t>镡旭涛</t>
  </si>
  <si>
    <t>赵川川</t>
  </si>
  <si>
    <t>曾德良</t>
  </si>
  <si>
    <t>广东省梅州市丰顺县汤坑镇新世纪广场路203.204号</t>
  </si>
  <si>
    <t>浙江省杭州市下城区白城巷318号</t>
  </si>
  <si>
    <t>陕西省西安市雁塔区西等驾坡村7号付2号</t>
  </si>
  <si>
    <t>潘秀静</t>
  </si>
  <si>
    <t>韦新奇</t>
  </si>
  <si>
    <t>安徽省合肥市蜀山区合肥市蜀山区长宁大道999号</t>
  </si>
  <si>
    <t>安徽省合肥市蜀山区合肥市蜀山区长宁大道999号晶澳太阳能宿舍区1栋618室</t>
  </si>
  <si>
    <t>靳园辉</t>
  </si>
  <si>
    <t>袁小咪</t>
  </si>
  <si>
    <t>河南省南阳市西峡县白羽北路566号</t>
  </si>
  <si>
    <t>河南省南阳市西峡县电厂路与礼堂路交叉口向东100米</t>
  </si>
  <si>
    <t>曾卓</t>
  </si>
  <si>
    <t>湖南省株洲市荷塘区湖南省株洲市荷塘区大坪路</t>
  </si>
  <si>
    <t>湖南省益阳市赫山区兰溪镇双桠树村第一村民组</t>
  </si>
  <si>
    <t>康玉燕</t>
  </si>
  <si>
    <t>雷桂花</t>
  </si>
  <si>
    <t>湖南省株洲市石峰区建设北路36号株洲市金属材料有限责任公司</t>
  </si>
  <si>
    <t>湖南省株洲市石峰区建设北路55号2栋307室</t>
  </si>
  <si>
    <t>梁建宾</t>
  </si>
  <si>
    <t>钱发成</t>
  </si>
  <si>
    <t>金阳</t>
  </si>
  <si>
    <t>湖南省长沙市长沙县开源商务文化中心1601</t>
  </si>
  <si>
    <t>湖南省长沙市长沙县开元路开元星阁B座301</t>
  </si>
  <si>
    <t>潘玉龙</t>
  </si>
  <si>
    <t>李圣东</t>
  </si>
  <si>
    <t>山东省枣庄市市中区光明大道s5019号</t>
  </si>
  <si>
    <t>山东省枣庄市台儿庄区运河大道6009号兴隆花园28号楼二单元102室</t>
  </si>
  <si>
    <t>辉政文</t>
  </si>
  <si>
    <t>骆沅枫</t>
  </si>
  <si>
    <t>贾超英</t>
  </si>
  <si>
    <t>苏小坤</t>
  </si>
  <si>
    <t>曹舰</t>
  </si>
  <si>
    <t>许燕燕</t>
  </si>
  <si>
    <t>陆小兵</t>
  </si>
  <si>
    <t>吉得甲</t>
  </si>
  <si>
    <t>青海省西宁市城北区海西西路1号</t>
  </si>
  <si>
    <t>青海省西宁市城北区海西西路水木年华小区</t>
  </si>
  <si>
    <t>王文华</t>
  </si>
  <si>
    <t>姚宾</t>
  </si>
  <si>
    <t>刘盛斌</t>
  </si>
  <si>
    <t>山东省聊城市东昌府区闫寺街道办事处人社所</t>
  </si>
  <si>
    <t>山东省聊城市东昌府区振兴西路市燃料公司家属院南楼1302</t>
  </si>
  <si>
    <t>程启明</t>
  </si>
  <si>
    <t>蔡秋霞</t>
  </si>
  <si>
    <t>高鹏飞</t>
  </si>
  <si>
    <t>山西省晋中市榆次区榆次区榆太路127号</t>
  </si>
  <si>
    <t>山西省晋中市榆次区新建路安宁新居2号3单元402</t>
  </si>
  <si>
    <t>刘清微</t>
  </si>
  <si>
    <t>张娇娇</t>
  </si>
  <si>
    <t>山东省临沂市平邑县文化路与朝阳路交汇处南100米路东</t>
  </si>
  <si>
    <t>山东省临沂市平邑县宜家经典小区2号楼2单元602室</t>
  </si>
  <si>
    <t>刘双德</t>
  </si>
  <si>
    <t>秦金华</t>
  </si>
  <si>
    <t>江苏省苏州市吴中区苏州大道西205号尼盛广场37楼</t>
  </si>
  <si>
    <t>江苏省苏州市相城区黄桥街道金荷小区5幢301室</t>
  </si>
  <si>
    <t>史静</t>
  </si>
  <si>
    <t>邱连华</t>
  </si>
  <si>
    <t>王廷祯</t>
  </si>
  <si>
    <t>付裕</t>
  </si>
  <si>
    <t>时晓艳</t>
  </si>
  <si>
    <t>邢许涛</t>
  </si>
  <si>
    <t>李云婷</t>
  </si>
  <si>
    <t>王一伦</t>
  </si>
  <si>
    <t>李正航</t>
  </si>
  <si>
    <t>赵鑫鹏</t>
  </si>
  <si>
    <t>萧根尼</t>
  </si>
  <si>
    <t>陕西省商洛市商南县商南县长新路东段126号</t>
  </si>
  <si>
    <t>陕西省商洛市商南县金泉南路第五排东单元501室</t>
  </si>
  <si>
    <t>覃咏梅</t>
  </si>
  <si>
    <t>广东省广州市番禺区大石街道群贤路</t>
  </si>
  <si>
    <t>广东省广州市番禺区广东省广州市番禺区大石街道涌口村南园街6号</t>
  </si>
  <si>
    <t>曹帅蒙</t>
  </si>
  <si>
    <t>山东省潍坊市青州市山东省潍坊市青州市经济开发区益王府北路2580号</t>
  </si>
  <si>
    <t>山东省潍坊市青州市青州市雍和府4号楼1单元302</t>
  </si>
  <si>
    <t>路锋</t>
  </si>
  <si>
    <t>山东省日照市东港区黄海一路65号</t>
  </si>
  <si>
    <t>山东省日照市东港区奎山街道西夏家村76号</t>
  </si>
  <si>
    <t>夏连利</t>
  </si>
  <si>
    <t>谢义忠</t>
  </si>
  <si>
    <t>陈凌祥</t>
  </si>
  <si>
    <t>吴基桂</t>
  </si>
  <si>
    <t>李易</t>
  </si>
  <si>
    <t>万红霞</t>
  </si>
  <si>
    <t>许芳</t>
  </si>
  <si>
    <t>汪洪涛</t>
  </si>
  <si>
    <t>梁其杏</t>
  </si>
  <si>
    <t>海南省海口市琼山区府城镇河口南路63-1</t>
  </si>
  <si>
    <t>海南省海口市琼山区府城镇河口南路32号</t>
  </si>
  <si>
    <t>雷国梅</t>
  </si>
  <si>
    <t>沈海琴</t>
  </si>
  <si>
    <t>倪超</t>
  </si>
  <si>
    <t>谢岩</t>
  </si>
  <si>
    <t>孙刚平</t>
  </si>
  <si>
    <t>方志德</t>
  </si>
  <si>
    <t>马晓龙</t>
  </si>
  <si>
    <t>杨正程</t>
  </si>
  <si>
    <t>杨剑峰</t>
  </si>
  <si>
    <t>陈文发</t>
  </si>
  <si>
    <t>吴生范</t>
  </si>
  <si>
    <t>谢清海</t>
  </si>
  <si>
    <t>张贵</t>
  </si>
  <si>
    <t>浙江省嘉兴市海盐县浙江省嘉兴市海盐县百步镇北片联合小学南王公路北</t>
  </si>
  <si>
    <t>浙江省嘉兴市海盐县百步镇世博路与友邦路交叉口西北50米</t>
  </si>
  <si>
    <t>邹小燕</t>
  </si>
  <si>
    <t>尹恒春</t>
  </si>
  <si>
    <t>陈达</t>
  </si>
  <si>
    <t>邓尧</t>
  </si>
  <si>
    <t>卢诗颖</t>
  </si>
  <si>
    <t>夏飞飞</t>
  </si>
  <si>
    <t>尹正东</t>
  </si>
  <si>
    <t>刘晓军</t>
  </si>
  <si>
    <t>山西省运城市永济市永济市电机大道18号</t>
  </si>
  <si>
    <t>山西省运城市永济市涑水西街21号</t>
  </si>
  <si>
    <t>郑家威</t>
  </si>
  <si>
    <t>杨李法</t>
  </si>
  <si>
    <t>江西省赣州市于都县于都县锦绣嘉园一期20栋2楼</t>
  </si>
  <si>
    <t>江西省赣州市于都县葛坳乡窑背村岐领组12号</t>
  </si>
  <si>
    <t>李盛春</t>
  </si>
  <si>
    <t>王晓彩</t>
  </si>
  <si>
    <t>河北省石家庄市桥西区桥西区石铜路新石北路与石铜路交叉口西南角旺角国际三层</t>
  </si>
  <si>
    <t>河北省石家庄市桥西区河北石家庄桥西宫家庄村兴安路21号</t>
  </si>
  <si>
    <t>钟静静</t>
  </si>
  <si>
    <t>包那日邰</t>
  </si>
  <si>
    <t>杨斌江</t>
  </si>
  <si>
    <t>张炜健</t>
  </si>
  <si>
    <t>柴静</t>
  </si>
  <si>
    <t>山东省聊城市临清市山东省聊城市临清市考棚街81号</t>
  </si>
  <si>
    <t>山东省聊城市临清市山东省临清市桃园街39号</t>
  </si>
  <si>
    <t>何强</t>
  </si>
  <si>
    <t>王申才</t>
  </si>
  <si>
    <t>冷雪</t>
  </si>
  <si>
    <t>官玲</t>
  </si>
  <si>
    <t>河北省张家口市涿鹿县涿鹿镇东风大街105号</t>
  </si>
  <si>
    <t>河北省张家口市涿鹿县涿鹿镇前街23号</t>
  </si>
  <si>
    <t>苑庆春</t>
  </si>
  <si>
    <t>李飞鹏</t>
  </si>
  <si>
    <t>兰兴灿</t>
  </si>
  <si>
    <t>福建省龙岩市新罗区石桥村厝下19号</t>
  </si>
  <si>
    <t>福建省龙岩市新罗区红坊镇红阳中路19号</t>
  </si>
  <si>
    <t>崔娜</t>
  </si>
  <si>
    <t>薛茂光</t>
  </si>
  <si>
    <t>海南省海口市龙华区迎宾大道与梧桐路交口西北角</t>
  </si>
  <si>
    <t>海南省海口市秀英区海口市龙华区薛村道墩里278号</t>
  </si>
  <si>
    <t>王晓倩</t>
  </si>
  <si>
    <t>王吉全</t>
  </si>
  <si>
    <t>姜宏</t>
  </si>
  <si>
    <t>黄阳川</t>
  </si>
  <si>
    <t>福建省泉州市惠安县台商投资区张坂镇张青路旁</t>
  </si>
  <si>
    <t>福建省泉州市惠安县台商投资区张坂镇门头村坑园133号</t>
  </si>
  <si>
    <t>马毅今</t>
  </si>
  <si>
    <t>包光义</t>
  </si>
  <si>
    <t>袁观琴</t>
  </si>
  <si>
    <t>向友鹏</t>
  </si>
  <si>
    <t>农培辉</t>
  </si>
  <si>
    <t>福建省泉州市南安市金淘镇下吁街298号</t>
  </si>
  <si>
    <t>福建省泉州市南安市金淘镇南丰村5组</t>
  </si>
  <si>
    <t>白建风</t>
  </si>
  <si>
    <t>陈星宇</t>
  </si>
  <si>
    <t>刘日</t>
  </si>
  <si>
    <t>贺元鑫</t>
  </si>
  <si>
    <t>汪程斌</t>
  </si>
  <si>
    <t>浙江省衢州市开化县开化县华埠镇百盛路418号</t>
  </si>
  <si>
    <t>浙江省衢州市开化县华埠镇兴华街90号一幢二单元501室</t>
  </si>
  <si>
    <t>杨百芳</t>
  </si>
  <si>
    <t>福建省泉州市晋江市福建省泉州市晋江市永和镇诚信路415号</t>
  </si>
  <si>
    <t>福建省泉州市晋江市福建省泉州市晋江市永和镇前苍南区162号201室</t>
  </si>
  <si>
    <t>杜满财</t>
  </si>
  <si>
    <t>甘肃省兰州市安宁区银滩雅苑通达街99号</t>
  </si>
  <si>
    <t>甘肃省定西市临洮县新添镇嘴头村二社81号</t>
  </si>
  <si>
    <t>程文振</t>
  </si>
  <si>
    <t>周国政</t>
  </si>
  <si>
    <t>杜姗鸿</t>
  </si>
  <si>
    <t>刘春蕾</t>
  </si>
  <si>
    <t>赵晓娟</t>
  </si>
  <si>
    <t>内蒙古通辽市科尔沁区通辽市科尔沁区霍林河大街303国道通郑路</t>
  </si>
  <si>
    <t>安徽省合肥市包河区内蒙古自治区通辽市奈曼旗白银他拉苏木道仑毛都村</t>
  </si>
  <si>
    <t>袁洪彪</t>
  </si>
  <si>
    <t>曾小华</t>
  </si>
  <si>
    <t>李广</t>
  </si>
  <si>
    <t>刘瑾</t>
  </si>
  <si>
    <t>袁思北</t>
  </si>
  <si>
    <t>江苏省徐州市丰县南环路紫金花园31号楼1-103</t>
  </si>
  <si>
    <t>江苏省徐州市丰县赵庄镇袁集254号</t>
  </si>
  <si>
    <t>吕万江</t>
  </si>
  <si>
    <t>林宏烈</t>
  </si>
  <si>
    <t>胡燕娟</t>
  </si>
  <si>
    <t>河北省邢台市桥西区邢州大道3188号</t>
  </si>
  <si>
    <t>河北省邢台市桥西区中召马村中街131号</t>
  </si>
  <si>
    <t>王海君</t>
  </si>
  <si>
    <t>余明辉</t>
  </si>
  <si>
    <t>广东省广州市番禺区大石105国道548号</t>
  </si>
  <si>
    <t>广东省广州市番禺区大石105国道546号</t>
  </si>
  <si>
    <t>陈绵翔</t>
  </si>
  <si>
    <t>林嘉棋</t>
  </si>
  <si>
    <t>安云叶</t>
  </si>
  <si>
    <t>河北省石家庄市晋州市中兴路新民街3号</t>
  </si>
  <si>
    <t>河北省石家庄市晋州市朝阳小区A 12四单元101</t>
  </si>
  <si>
    <t>张朦</t>
  </si>
  <si>
    <t>黄坤路</t>
  </si>
  <si>
    <t>云南省文山壮族苗族自治州文山市文山市姑娘寨中交第四航务工程有限公司</t>
  </si>
  <si>
    <t>云南省文山壮族苗族自治州文山市文山市东山彝族乡荒寨村民委员会黄家箐村</t>
  </si>
  <si>
    <t>李录阳</t>
  </si>
  <si>
    <t>仝兴振</t>
  </si>
  <si>
    <t>丁林</t>
  </si>
  <si>
    <t>许声津</t>
  </si>
  <si>
    <t>张巧洪</t>
  </si>
  <si>
    <t>贝冰冰</t>
  </si>
  <si>
    <t>万勉</t>
  </si>
  <si>
    <t>王明宇</t>
  </si>
  <si>
    <t>丁童</t>
  </si>
  <si>
    <t>吴少奇</t>
  </si>
  <si>
    <t>范博</t>
  </si>
  <si>
    <t>兰兴秀</t>
  </si>
  <si>
    <t>苏培</t>
  </si>
  <si>
    <t>河南省商丘市梁园区前进街道站前路青云街74号</t>
  </si>
  <si>
    <t>河南省商丘市睢阳区新城街道归德南路228号移动公司家属院1号楼1单元1楼东</t>
  </si>
  <si>
    <t>王海根</t>
  </si>
  <si>
    <t>崔国伟</t>
  </si>
  <si>
    <t>储文将</t>
  </si>
  <si>
    <t>浙江省金华市浦江县黄宅镇庆工路68号</t>
  </si>
  <si>
    <t>浙江省金华市浦江县黄宅镇杨林村二区23号</t>
  </si>
  <si>
    <t>河北省承德市双桥区承德市双桥区马市街路南名都广场</t>
  </si>
  <si>
    <t>河北省承德市双桥区石洞子沟街道温家沟小区4-2号楼4单元312</t>
  </si>
  <si>
    <t>黄真刚</t>
  </si>
  <si>
    <t>龚雪</t>
  </si>
  <si>
    <t>辽宁省葫芦岛市连山区渤海街华龙开发8#-7-2</t>
  </si>
  <si>
    <t>辽宁省葫芦岛市连山区滨河路滨河一区九号楼二单元202</t>
  </si>
  <si>
    <t>赵志陶</t>
  </si>
  <si>
    <t>云南省红河哈尼族彝族自治州建水县曲江镇邮政局对面</t>
  </si>
  <si>
    <t>云南省红河州建水县曲江镇建水县第二人民医院</t>
  </si>
  <si>
    <t>杨潇</t>
  </si>
  <si>
    <t>四川省雅安市雨城区碧雅园1栋14号</t>
  </si>
  <si>
    <t>四川省雅安市雨城区大北街11号附2号</t>
  </si>
  <si>
    <t>张莨伟</t>
  </si>
  <si>
    <t>颜涛</t>
  </si>
  <si>
    <t>安徽省滁州市琅琊区凤凰东路496号</t>
  </si>
  <si>
    <t>安徽省滁州市南谯区龙山路发能凤凰城11栋一单元1503</t>
  </si>
  <si>
    <t>赵琴琴</t>
  </si>
  <si>
    <t>杜士威</t>
  </si>
  <si>
    <t>广东省深圳罗湖区158号</t>
  </si>
  <si>
    <t>四川省攀枝花市仁和区四川省攀枝花市仁和区中坝乡100号</t>
  </si>
  <si>
    <t>杨菲菲</t>
  </si>
  <si>
    <t>陈丽娟</t>
  </si>
  <si>
    <t>周军峰</t>
  </si>
  <si>
    <t>陈业伟</t>
  </si>
  <si>
    <t>海南省海口市琼山区海口市琼州大道怡海花园</t>
  </si>
  <si>
    <t>海南省海口市琼山区海口市龙华区龙泉镇卜史村128号</t>
  </si>
  <si>
    <t>高勇飞</t>
  </si>
  <si>
    <t>丁秋珍</t>
  </si>
  <si>
    <t>卢晓篇</t>
  </si>
  <si>
    <t>云南省红河哈尼族彝族自治州建水县建水县临安镇朝阳北路147号</t>
  </si>
  <si>
    <t>云南省红河州建水县临安镇陈官村543号</t>
  </si>
  <si>
    <t>鄢桨</t>
  </si>
  <si>
    <t>陆盛耀</t>
  </si>
  <si>
    <t>付明珠</t>
  </si>
  <si>
    <t>陈雨</t>
  </si>
  <si>
    <t>河北省承德市双滦区滨河52号大街</t>
  </si>
  <si>
    <t>河北省承德市双滦区麻纺厂小区4号楼1单元502</t>
  </si>
  <si>
    <t>史秀丁</t>
  </si>
  <si>
    <t>马健康</t>
  </si>
  <si>
    <t>张同迪</t>
  </si>
  <si>
    <t>卢姜</t>
  </si>
  <si>
    <t>辽宁省沈阳市沈北新区沈阳市沈北新区新城子贵州路5号</t>
  </si>
  <si>
    <t>辽宁省沈阳市沈北新区沈阳市沈北新区新城子杭州路锦绣家园3-363</t>
  </si>
  <si>
    <t>卢光伟</t>
  </si>
  <si>
    <t>贵州省贵阳市南明区公园北路2008小区四栋一单元5层2号</t>
  </si>
  <si>
    <t>贵州省贵阳市南明区蟠桃宫圣沣小区四栋一单元</t>
  </si>
  <si>
    <t>郭建伟</t>
  </si>
  <si>
    <t>江珊</t>
  </si>
  <si>
    <t>鲍芳成</t>
  </si>
  <si>
    <t>崔瑞芹</t>
  </si>
  <si>
    <t>肖记轩</t>
  </si>
  <si>
    <t>何德天</t>
  </si>
  <si>
    <t>尤国富</t>
  </si>
  <si>
    <t>胡冬海</t>
  </si>
  <si>
    <t>林全山</t>
  </si>
  <si>
    <t>广西钦州市钦南区广西钦州市钦南区创绿种养专业合作社</t>
  </si>
  <si>
    <t>广西钦州市钦南区新兴街184号</t>
  </si>
  <si>
    <t>蒋亿辉</t>
  </si>
  <si>
    <t>赵双福</t>
  </si>
  <si>
    <t>柴晔</t>
  </si>
  <si>
    <t>温林声</t>
  </si>
  <si>
    <t>广东省惠州市惠东县吉隆镇商贸城新华三路8号</t>
  </si>
  <si>
    <t>广东省惠州市惠东县广东省惠州市惠东县吉隆镇平政村138号</t>
  </si>
  <si>
    <t>王浩田</t>
  </si>
  <si>
    <t>文进福</t>
  </si>
  <si>
    <t>丁清峰</t>
  </si>
  <si>
    <t>符君君</t>
  </si>
  <si>
    <t>广东省广州市海珠区广州市海珠区新港东路1607号中洲中心1604室</t>
  </si>
  <si>
    <t>内蒙古赤峰市喀喇沁旗西桥镇东土城子村八组</t>
  </si>
  <si>
    <t>郭海彬</t>
  </si>
  <si>
    <t>广东省深圳市宝安区观澜镇君子布村张一村</t>
  </si>
  <si>
    <t>马千里</t>
  </si>
  <si>
    <t>新疆塔城地区沙湾县北四路177号</t>
  </si>
  <si>
    <t>新疆塔城地区沙湾县16小区19栋231号</t>
  </si>
  <si>
    <t>上海市上海市金山区朱泾镇亭枫公路3018号</t>
  </si>
  <si>
    <t>张丽伟</t>
  </si>
  <si>
    <t>陈丽娜</t>
  </si>
  <si>
    <t>吴桂娟</t>
  </si>
  <si>
    <t>广东省深圳市宝安区龙华新区世纪春城</t>
  </si>
  <si>
    <t>广东省深圳市宝安区龙华区世纪春城停车场</t>
  </si>
  <si>
    <t>代天萍</t>
  </si>
  <si>
    <t>云南省昆明市官渡区东聚汽配城A1幢14一16号</t>
  </si>
  <si>
    <t>云南省昆明市五华区龙泉路558号啤酒厂生活区4幢3单元25号</t>
  </si>
  <si>
    <t>郭皓成</t>
  </si>
  <si>
    <t>张群</t>
  </si>
  <si>
    <t>金龙龙</t>
  </si>
  <si>
    <t>徐健祥</t>
  </si>
  <si>
    <t>孙朝晖</t>
  </si>
  <si>
    <t>安徽省铜陵市铜官山区义安大道1287号财富广场A座2501室</t>
  </si>
  <si>
    <t>安徽省合肥市蜀山区黄山路468号通和易居小区7幢403室</t>
  </si>
  <si>
    <t>周双</t>
  </si>
  <si>
    <t>陈选赫</t>
  </si>
  <si>
    <t>杨新云</t>
  </si>
  <si>
    <t>黄阳阳</t>
  </si>
  <si>
    <t>刘志宇</t>
  </si>
  <si>
    <t>李玉婷</t>
  </si>
  <si>
    <t>王兴全</t>
  </si>
  <si>
    <t>山东省青岛市市南区山东省青岛市市南区福州南路75号2栋1801</t>
  </si>
  <si>
    <t>山东省青岛市李沧区万年泉路中海国际一里城19栋503</t>
  </si>
  <si>
    <t>史凤杰</t>
  </si>
  <si>
    <t>林豫华</t>
  </si>
  <si>
    <t>刘丽超</t>
  </si>
  <si>
    <t>黄炯</t>
  </si>
  <si>
    <t>杨宇彬</t>
  </si>
  <si>
    <t>贵州省遵义市余庆县乌江北路968号</t>
  </si>
  <si>
    <t>贵州省遵义市余庆县关兴镇沙堆村大林组13号</t>
  </si>
  <si>
    <t>潘欣辰</t>
  </si>
  <si>
    <t>江苏省苏州市姑苏区干将东路566号宏盛大厦</t>
  </si>
  <si>
    <t>江苏省苏州市姑苏区梅亭苑69幢401</t>
  </si>
  <si>
    <t>金彦旭</t>
  </si>
  <si>
    <t>翁海龙</t>
  </si>
  <si>
    <t>胡奕涛</t>
  </si>
  <si>
    <t>河南省南阳市西峡县白羽路52号</t>
  </si>
  <si>
    <t>河南省南阳市宛城区卧佛寺街48号</t>
  </si>
  <si>
    <t>李跃林</t>
  </si>
  <si>
    <t>王泽</t>
  </si>
  <si>
    <t>郭燕贞</t>
  </si>
  <si>
    <t>郑锦煌</t>
  </si>
  <si>
    <t>仕金莲</t>
  </si>
  <si>
    <t>王乾坤</t>
  </si>
  <si>
    <t>林友业</t>
  </si>
  <si>
    <t>徐润息</t>
  </si>
  <si>
    <t>曹丽峰</t>
  </si>
  <si>
    <t>莫镇全</t>
  </si>
  <si>
    <t>王大勇</t>
  </si>
  <si>
    <t>项凡</t>
  </si>
  <si>
    <t>湖北省武汉市洪山区湖北省武汉市东湖高新区左岭产业园</t>
  </si>
  <si>
    <t>湖北省武汉市江夏区豹懈镇神敦桥社区五期四栋503</t>
  </si>
  <si>
    <t>薛云</t>
  </si>
  <si>
    <t>张义宣</t>
  </si>
  <si>
    <t>郑亮</t>
  </si>
  <si>
    <t>倪景峰</t>
  </si>
  <si>
    <t>尹学群</t>
  </si>
  <si>
    <t>李春舰</t>
  </si>
  <si>
    <t>辽宁省营口市鲅鱼圈区青龙山大街</t>
  </si>
  <si>
    <t>辽宁省营口市鲅鱼圈区水岸尚品11号楼3单元2601</t>
  </si>
  <si>
    <t>艾时武</t>
  </si>
  <si>
    <t>辽宁省沈阳市皇姑区昆山西路167号</t>
  </si>
  <si>
    <t>辽宁省沈阳市铁西区建业路五号建业小区</t>
  </si>
  <si>
    <t>肖孔强</t>
  </si>
  <si>
    <t>徐大龙</t>
  </si>
  <si>
    <t>甘肃省兰州市永登县兰州新区中川商贸一条街57号</t>
  </si>
  <si>
    <t>甘肃省兰州市永登县兰州新区彩虹城B区</t>
  </si>
  <si>
    <t>孙敏</t>
  </si>
  <si>
    <t>杨雄英</t>
  </si>
  <si>
    <t>王运成</t>
  </si>
  <si>
    <t>王戎</t>
  </si>
  <si>
    <t>湖北省宜昌市秭归县九里工业园区迎宾路185号</t>
  </si>
  <si>
    <t>湖北省宜昌市秭归县经济园区桔颂北路37号</t>
  </si>
  <si>
    <t>黄寿平</t>
  </si>
  <si>
    <t>袁华</t>
  </si>
  <si>
    <t>湖北省恩施土家族苗族自治州巴东县茶苑路138号</t>
  </si>
  <si>
    <t>湖北省恩施土家族苗族自治州巴东县溪丘湾永安路169号</t>
  </si>
  <si>
    <t>吴仕林</t>
  </si>
  <si>
    <t>青海省西宁市城东区长江路77号</t>
  </si>
  <si>
    <t>青海省西宁市城东区西川南路71号</t>
  </si>
  <si>
    <t>牟能</t>
  </si>
  <si>
    <t>重庆市重庆市万州区万州区白岩路468号C2幢4层5单元401室</t>
  </si>
  <si>
    <t>重庆市重庆市开县大进镇年华村一组401</t>
  </si>
  <si>
    <t>李玉华</t>
  </si>
  <si>
    <t>刘培艳</t>
  </si>
  <si>
    <t>黄艳红</t>
  </si>
  <si>
    <t>湖北省孝感市汉川市湖北省孝感市汉川市新河镇</t>
  </si>
  <si>
    <t>湖北省孝感市汉川市湖北省孝感市汉川市</t>
  </si>
  <si>
    <t>谢寿祥</t>
  </si>
  <si>
    <t>白敏</t>
  </si>
  <si>
    <t>云南省昆明市官渡区金马街道人民东路409号</t>
  </si>
  <si>
    <t>云南省昆明市盘龙区金辰街道金菊路85号</t>
  </si>
  <si>
    <t>黑龙江省大庆市龙凤区高新区兴化园区16号</t>
  </si>
  <si>
    <t>黑龙江省大庆市萨尔图区利民苑小区25号楼4单元401室</t>
  </si>
  <si>
    <t>侯妍婷</t>
  </si>
  <si>
    <t>吕晓兵</t>
  </si>
  <si>
    <t>山东省青岛市平度市广州路9号</t>
  </si>
  <si>
    <t>山东省青岛市平度市胶平路南苑新区十一号楼三单元310</t>
  </si>
  <si>
    <t>方晨</t>
  </si>
  <si>
    <t>任锡敏</t>
  </si>
  <si>
    <t>骆贵香</t>
  </si>
  <si>
    <t>广东省深圳市龙岗区前海深湾一路201号</t>
  </si>
  <si>
    <t>广东省深圳市龙岗区盛世公寓32栋5单元1503室</t>
  </si>
  <si>
    <t>王贤敏</t>
  </si>
  <si>
    <t>李盼杰</t>
  </si>
  <si>
    <t>河南省三门峡市陕县河南三门峡市原点镇中区</t>
  </si>
  <si>
    <t>河南省三门峡市陕县大营镇大营村12组</t>
  </si>
  <si>
    <t>刘守兴</t>
  </si>
  <si>
    <t>杨小凤</t>
  </si>
  <si>
    <t>谢孝桐</t>
  </si>
  <si>
    <t>韦立勇</t>
  </si>
  <si>
    <t>山东省滨州市博兴县店子镇工业园36号</t>
  </si>
  <si>
    <t>山东省滨州市博兴县店子镇大杨村271号</t>
  </si>
  <si>
    <t>沈良</t>
  </si>
  <si>
    <t>浙江省杭州市萧山区南阳街道南丰社区393号</t>
  </si>
  <si>
    <t>浙江省杭州市萧山区河庄街道宏河家园B区15幢1单元102</t>
  </si>
  <si>
    <t>曹振</t>
  </si>
  <si>
    <t>江苏省苏州市张家港市张家港市塘桥人民西路78号</t>
  </si>
  <si>
    <t>江苏省苏州市姑苏区张家港市塘桥人民西路78号</t>
  </si>
  <si>
    <t>刘广亚</t>
  </si>
  <si>
    <t>贵州省遵义市湄潭县贵州省湄潭县湄江镇鸡场村大林路一号</t>
  </si>
  <si>
    <t>贵州省湄潭县黄家坝镇沙坝村潘家桥组48号</t>
  </si>
  <si>
    <t>毕泉明</t>
  </si>
  <si>
    <t>章为钟</t>
  </si>
  <si>
    <t>贺春宇</t>
  </si>
  <si>
    <t>邓启东</t>
  </si>
  <si>
    <t>祖克研</t>
  </si>
  <si>
    <t>项佳巍</t>
  </si>
  <si>
    <t>廖艳阳</t>
  </si>
  <si>
    <t>四川省雅安市雨城区姚桥镇汉阙路二号</t>
  </si>
  <si>
    <t>四川省雅安市雨城区姚桥镇汉碑村五五组六号</t>
  </si>
  <si>
    <t>赵宝新</t>
  </si>
  <si>
    <t>张景良</t>
  </si>
  <si>
    <t>蒋臣军</t>
  </si>
  <si>
    <t>四川省成都市崇州市崇州市听江工业园区5号</t>
  </si>
  <si>
    <t>四川省成都市崇州市崇州市听江工业园区</t>
  </si>
  <si>
    <t>张文太</t>
  </si>
  <si>
    <t>廖湘黔</t>
  </si>
  <si>
    <t>贵州省安顺市紫云苗族布依族自治县松山镇旱带路80号</t>
  </si>
  <si>
    <t>贵州省安顺市紫云苗族布依族自治县松山镇旱带路17号</t>
  </si>
  <si>
    <t>孙傲龙</t>
  </si>
  <si>
    <t>金怀城</t>
  </si>
  <si>
    <t>黑龙江省大庆市萨尔图区中宝路88号中科创业园4座1F</t>
  </si>
  <si>
    <t>黑龙江省大庆市萨尔图区热源街万宝小区2-40号4门101室</t>
  </si>
  <si>
    <t>李金坤</t>
  </si>
  <si>
    <t>陈子明</t>
  </si>
  <si>
    <t>覃发林</t>
  </si>
  <si>
    <t>张笑婷</t>
  </si>
  <si>
    <t>韩永飞</t>
  </si>
  <si>
    <t>陶发泽</t>
  </si>
  <si>
    <t>陈秀国</t>
  </si>
  <si>
    <t>黎伟键</t>
  </si>
  <si>
    <t>曾健</t>
  </si>
  <si>
    <t>李祥宇</t>
  </si>
  <si>
    <t>刘骐嘉</t>
  </si>
  <si>
    <t>孙海荣</t>
  </si>
  <si>
    <t>雷成军</t>
  </si>
  <si>
    <t>杨长军</t>
  </si>
  <si>
    <t>谢跃飞</t>
  </si>
  <si>
    <t>庄召新</t>
  </si>
  <si>
    <t>江苏省淮安市清浦区西安路与通港路交叉口向东一百米</t>
  </si>
  <si>
    <t>宣立山</t>
  </si>
  <si>
    <t>黄昌文</t>
  </si>
  <si>
    <t>李文梅</t>
  </si>
  <si>
    <t>刘伟君</t>
  </si>
  <si>
    <t>河南省郑州市金水区广电南路9号</t>
  </si>
  <si>
    <t>河南省郑州市金水区渠东路三全路东岸尚景</t>
  </si>
  <si>
    <t>黄祥俭</t>
  </si>
  <si>
    <t>周和庆</t>
  </si>
  <si>
    <t>曾杰波</t>
  </si>
  <si>
    <t>霍雪兵</t>
  </si>
  <si>
    <t>郑诗岑</t>
  </si>
  <si>
    <t>贵州省贵阳市清镇市红枫湖镇九化工业园区68号</t>
  </si>
  <si>
    <t>贵州省贵阳市清镇市红枫湖镇新华路192号</t>
  </si>
  <si>
    <t>江晓敏</t>
  </si>
  <si>
    <t>王珍珍</t>
  </si>
  <si>
    <t>陈伟棠</t>
  </si>
  <si>
    <t>广东省中山市东区岐关西路槎桥路段徐佳综合楼2号楼7楼711号</t>
  </si>
  <si>
    <t>广东省中山市石岐区居安里25号之一</t>
  </si>
  <si>
    <t>康富兴</t>
  </si>
  <si>
    <t>黄椰曼</t>
  </si>
  <si>
    <t>曾海新</t>
  </si>
  <si>
    <t>吴智</t>
  </si>
  <si>
    <t>刘程</t>
  </si>
  <si>
    <t>张树尉</t>
  </si>
  <si>
    <t>黄伟锋</t>
  </si>
  <si>
    <t>白雷</t>
  </si>
  <si>
    <t>许龙江</t>
  </si>
  <si>
    <t>陈利波</t>
  </si>
  <si>
    <t>宋齐</t>
  </si>
  <si>
    <t>张耀清</t>
  </si>
  <si>
    <t>樊琦</t>
  </si>
  <si>
    <t>朱靓</t>
  </si>
  <si>
    <t>佟良</t>
  </si>
  <si>
    <t>李季</t>
  </si>
  <si>
    <t>罗健鹏</t>
  </si>
  <si>
    <t>吕士朋</t>
  </si>
  <si>
    <t>隋学成</t>
  </si>
  <si>
    <t>朱怀英</t>
  </si>
  <si>
    <t>杨淑刚</t>
  </si>
  <si>
    <t>湖北省恩施土家族苗族自治州恩施市金桂大道花果山小区55号</t>
  </si>
  <si>
    <t>宣恩县莲花大道28号</t>
  </si>
  <si>
    <t>刘俊霞</t>
  </si>
  <si>
    <t>新疆吐鲁番地区吐鲁番市新疆吐鲁番市交河西镇221团</t>
  </si>
  <si>
    <t>新疆吐鲁番地区吐鲁番市新疆吐鲁番市交河西镇221团1连7栋4号</t>
  </si>
  <si>
    <t>杨锋涛</t>
  </si>
  <si>
    <t>朱发雄</t>
  </si>
  <si>
    <t>李博宇</t>
  </si>
  <si>
    <t>吴立勇</t>
  </si>
  <si>
    <t>李井宏</t>
  </si>
  <si>
    <t>张棋</t>
  </si>
  <si>
    <t>雷攀</t>
  </si>
  <si>
    <t>任桂锋</t>
  </si>
  <si>
    <t>林秀平</t>
  </si>
  <si>
    <t>刘锦坚</t>
  </si>
  <si>
    <t>成章兵</t>
  </si>
  <si>
    <t>杨永春</t>
  </si>
  <si>
    <t>俞颖锋</t>
  </si>
  <si>
    <t>浙江省绍兴市绍兴县104国道鲁南段</t>
  </si>
  <si>
    <t>浙江省绍兴市绍兴县柯桥区柯岩街道路南村2号</t>
  </si>
  <si>
    <t>袁蛟蛟</t>
  </si>
  <si>
    <t>贵州省遵义市仁怀市贵州省遵义市仁怀市中枢街道玉液北路266号</t>
  </si>
  <si>
    <t>贵州省遵义市仁怀市贵州省遵义市仁怀市</t>
  </si>
  <si>
    <t>戴宝坚</t>
  </si>
  <si>
    <t>福建省漳州市长泰县兴泰开发区积山村俊山106号</t>
  </si>
  <si>
    <t>福建省漳州市长泰县陈巷镇古农村格仔山15号</t>
  </si>
  <si>
    <t>吴雕</t>
  </si>
  <si>
    <t>凌江</t>
  </si>
  <si>
    <t>四川省宜宾市翠屏区四川宜宾县翠屏大道幸福路26号天桥下东川汽修厂</t>
  </si>
  <si>
    <t>重庆永川区大安镇花果山街2号</t>
  </si>
  <si>
    <t>殷华良</t>
  </si>
  <si>
    <t>张仁义</t>
  </si>
  <si>
    <t>赵文琦</t>
  </si>
  <si>
    <t>曾军伟</t>
  </si>
  <si>
    <t>孙全浩</t>
  </si>
  <si>
    <t>许有毅</t>
  </si>
  <si>
    <t>雷谢金</t>
  </si>
  <si>
    <t>岩罕</t>
  </si>
  <si>
    <t>王孟孟</t>
  </si>
  <si>
    <t>韦爱莲</t>
  </si>
  <si>
    <t>钱俊</t>
  </si>
  <si>
    <t>刘中永</t>
  </si>
  <si>
    <t>四川省巴中市巴州区玉山镇</t>
  </si>
  <si>
    <t>四川省巴中市巴州区关公乡松柏村405号</t>
  </si>
  <si>
    <t>张洪军</t>
  </si>
  <si>
    <t>黑龙江省大庆市萨尔图区东风路15-4</t>
  </si>
  <si>
    <t>黑龙江省大庆市萨尔图区万达小区10号楼一单元802</t>
  </si>
  <si>
    <t>周燕玲</t>
  </si>
  <si>
    <t>湖南省湘潭市雨湖区湖南省湘潭市雨湖区36号</t>
  </si>
  <si>
    <t>安徽省合肥市包河区古羊路63号</t>
  </si>
  <si>
    <t>刘乾</t>
  </si>
  <si>
    <t>邹新</t>
  </si>
  <si>
    <t>陆干健</t>
  </si>
  <si>
    <t>江苏省连云港市灌云县灌云县小依乡祝荡村9号</t>
  </si>
  <si>
    <t>江苏省连云港市连云区连云港市徐圩新区徐圩街道东陬山居委会26号</t>
  </si>
  <si>
    <t>谭美美</t>
  </si>
  <si>
    <t>叶行春</t>
  </si>
  <si>
    <t>徐世杰</t>
  </si>
  <si>
    <t>段福林</t>
  </si>
  <si>
    <t>甘肃省酒泉市肃州区肃州区神州路中兴小区57号门店</t>
  </si>
  <si>
    <t>甘肃省酒泉市肃州区酒泉市肃州区神州路金泰苑5号楼二单元601</t>
  </si>
  <si>
    <t>张晟</t>
  </si>
  <si>
    <t>湖南省衡阳市雁峰区中山南路6号</t>
  </si>
  <si>
    <t>湖南省衡阳市石鼓区合江路56栋610户</t>
  </si>
  <si>
    <t>曾春霞</t>
  </si>
  <si>
    <t>赵扬</t>
  </si>
  <si>
    <t>唐哲君</t>
  </si>
  <si>
    <t>吴玉林</t>
  </si>
  <si>
    <t>石家庄市高新区海河道96号</t>
  </si>
  <si>
    <t>石家庄市长安区紫晶悦城5区3栋2801室</t>
  </si>
  <si>
    <t>汪炫</t>
  </si>
  <si>
    <t>伍雪兵</t>
  </si>
  <si>
    <t>翟占国</t>
  </si>
  <si>
    <t>河北省邯郸市永年县东名阳村南工业区</t>
  </si>
  <si>
    <t>河北省邯郸市永年县东名阳村水塔街</t>
  </si>
  <si>
    <t>陈淑伟</t>
  </si>
  <si>
    <t>刘艳华</t>
  </si>
  <si>
    <t>刘根坡</t>
  </si>
  <si>
    <t>李天凯</t>
  </si>
  <si>
    <t>黄钧</t>
  </si>
  <si>
    <t>黄胜宁</t>
  </si>
  <si>
    <t>广西梧州市万秀区西环路中段68号宝石城三楼c65商铺</t>
  </si>
  <si>
    <t>广西梧州市万秀区西环路中段68号宝石大厦二单元701</t>
  </si>
  <si>
    <t>胡超勇</t>
  </si>
  <si>
    <t>闫红全</t>
  </si>
  <si>
    <t>吴继坤</t>
  </si>
  <si>
    <t>刘金龙</t>
  </si>
  <si>
    <t>龚泽妮</t>
  </si>
  <si>
    <t>矫鹏飞</t>
  </si>
  <si>
    <t>马海伦</t>
  </si>
  <si>
    <t>张德巾</t>
  </si>
  <si>
    <t>耿庆运</t>
  </si>
  <si>
    <t>高春景</t>
  </si>
  <si>
    <t>河北省唐山市曹妃甸区河北省唐山市丰润区老庄子镇老庄子南环路88号</t>
  </si>
  <si>
    <t>河北省唐山市开平区河北省唐山市丰润区老庄子镇老庄子村西</t>
  </si>
  <si>
    <t>张也</t>
  </si>
  <si>
    <t>马子坤</t>
  </si>
  <si>
    <t>姜海军</t>
  </si>
  <si>
    <t>罗世斌</t>
  </si>
  <si>
    <t>朱敬源</t>
  </si>
  <si>
    <t>贺龙飞</t>
  </si>
  <si>
    <t>叶金太</t>
  </si>
  <si>
    <t>浙江省绍兴市绍兴县柯桥双周小区商业楼1幢5楼</t>
  </si>
  <si>
    <t>浙江省绍兴市绍兴县安昌镇大山西村468号</t>
  </si>
  <si>
    <t>柴发灿</t>
  </si>
  <si>
    <t>杨顺</t>
  </si>
  <si>
    <t>蔡朗峰</t>
  </si>
  <si>
    <t>孙卫东</t>
  </si>
  <si>
    <t>施卫忠</t>
  </si>
  <si>
    <t>税涛</t>
  </si>
  <si>
    <t>高晓安</t>
  </si>
  <si>
    <t>洪显风</t>
  </si>
  <si>
    <t>崔彬</t>
  </si>
  <si>
    <t>解浩</t>
  </si>
  <si>
    <t>张志斌</t>
  </si>
  <si>
    <t>覃居硕</t>
  </si>
  <si>
    <t>姚浩升</t>
  </si>
  <si>
    <t>武顺建</t>
  </si>
  <si>
    <t>安徽省合肥市包河区550</t>
  </si>
  <si>
    <t>李银城</t>
  </si>
  <si>
    <t>马坤明</t>
  </si>
  <si>
    <t>杨惠琴</t>
  </si>
  <si>
    <t>吴希春</t>
  </si>
  <si>
    <t>韩光子</t>
  </si>
  <si>
    <t>上海市上海市青浦区上海市青浦区沈巷镇先锋村六队</t>
  </si>
  <si>
    <t>上海市上海市青浦区上海市青浦区朱家角镇东湖街194号</t>
  </si>
  <si>
    <t>袁帮飞</t>
  </si>
  <si>
    <t>韩莹莹</t>
  </si>
  <si>
    <t>山东省济宁市任城区供销路万达金街</t>
  </si>
  <si>
    <t>山东省济宁市任城区供销路刘庄小区七号楼二单元五楼西户</t>
  </si>
  <si>
    <t>覃榆胜</t>
  </si>
  <si>
    <t>吴家平</t>
  </si>
  <si>
    <t>刘槐洲</t>
  </si>
  <si>
    <t>李永枫</t>
  </si>
  <si>
    <t>章磊</t>
  </si>
  <si>
    <t>郭贵海</t>
  </si>
  <si>
    <t>许华青</t>
  </si>
  <si>
    <t>于波</t>
  </si>
  <si>
    <t>刘宏凯</t>
  </si>
  <si>
    <t>聂继凯</t>
  </si>
  <si>
    <t>程鹏</t>
  </si>
  <si>
    <t>刘本份</t>
  </si>
  <si>
    <t>刘伟伟</t>
  </si>
  <si>
    <t>周珊竹</t>
  </si>
  <si>
    <t>钟乐意</t>
  </si>
  <si>
    <t>曹路长</t>
  </si>
  <si>
    <t>李奇骏</t>
  </si>
  <si>
    <t>甘肃省兰州市七里河区任家庄89号任家庄十字</t>
  </si>
  <si>
    <t>甘肃省兰州市七里河区敦煌路12号电力小区15号楼</t>
  </si>
  <si>
    <t>陈润辉</t>
  </si>
  <si>
    <t>米艳艳</t>
  </si>
  <si>
    <t>李晓艳</t>
  </si>
  <si>
    <t>张天霞</t>
  </si>
  <si>
    <t>额尔屯仓</t>
  </si>
  <si>
    <t>内蒙古呼和浩特市赛罕区鄂尔多斯大街学府花园</t>
  </si>
  <si>
    <t>宋恒雨</t>
  </si>
  <si>
    <t>孙金坤</t>
  </si>
  <si>
    <t>许家齐</t>
  </si>
  <si>
    <t>河南省焦作市解放区鸿昌路306国道</t>
  </si>
  <si>
    <t>河南省焦作市博爱县孝敬镇齐村</t>
  </si>
  <si>
    <t>刘合兰</t>
  </si>
  <si>
    <t>李玉浩</t>
  </si>
  <si>
    <t>汪长江</t>
  </si>
  <si>
    <t>黄林琼</t>
  </si>
  <si>
    <t>覃立光</t>
  </si>
  <si>
    <t>贾学玲</t>
  </si>
  <si>
    <t>黄庆乐</t>
  </si>
  <si>
    <t>广西南宁市西乡塘区创新路23号南宁中关村4栋A210室</t>
  </si>
  <si>
    <t>广西南宁市青秀区祥宾路琅东四组59栋四单元301号房</t>
  </si>
  <si>
    <t>程江荣</t>
  </si>
  <si>
    <t>于佳明</t>
  </si>
  <si>
    <t>黑龙江省哈尔滨市松北区后汲家屯</t>
  </si>
  <si>
    <t>黑龙江省绥化市肇东市东发乡西发村桥东屯</t>
  </si>
  <si>
    <t>冷复雨</t>
  </si>
  <si>
    <t>黑龙江省大庆市萨尔图区新风路8号外包产业园D座763号</t>
  </si>
  <si>
    <t>黑龙江省大庆市龙凤区东城领秀A7号楼一单元601室</t>
  </si>
  <si>
    <t>黑龙江省牡丹江市爱民区十一路终点公交公司</t>
  </si>
  <si>
    <t>黑龙江省牡丹江市爱民区兴中路园丁小区4号楼2单元605室</t>
  </si>
  <si>
    <t>平云川</t>
  </si>
  <si>
    <t>罗淑花</t>
  </si>
  <si>
    <t>福建省南平市建瓯市福建省建瓯市水西路279号</t>
  </si>
  <si>
    <t>福建省南平市建瓯市福建省建瓯市人民路137号</t>
  </si>
  <si>
    <t>高茂山</t>
  </si>
  <si>
    <t>贵州省毕节市大方县贵州省毕节市大方县书院街66号</t>
  </si>
  <si>
    <t>贵州省黔东南苗族侗族自治州凯里市龙场镇鱼洞村旧院组</t>
  </si>
  <si>
    <t>赵炳锟</t>
  </si>
  <si>
    <t>河北省廊坊市三河市鼎盛西大街31号</t>
  </si>
  <si>
    <t>河北省廊坊市三河市技术监督局小区一单元502</t>
  </si>
  <si>
    <t>张玉敏</t>
  </si>
  <si>
    <t>陆咀尚</t>
  </si>
  <si>
    <t>张子龙</t>
  </si>
  <si>
    <t>福建省漳州市平和县小溪镇北环路二号</t>
  </si>
  <si>
    <t>福建省漳州市平和县小溪镇玉溪村下垅仔122号</t>
  </si>
  <si>
    <t>滕惠杰</t>
  </si>
  <si>
    <t>山西省太原市小店区人民北路18号</t>
  </si>
  <si>
    <t>贵州省安顺市西秀区杨武乡新寨窑村新寨窑隧道</t>
  </si>
  <si>
    <t>文春霞</t>
  </si>
  <si>
    <t>蔡保丽</t>
  </si>
  <si>
    <t>王喜风</t>
  </si>
  <si>
    <t>钟信</t>
  </si>
  <si>
    <t>陈瑞文</t>
  </si>
  <si>
    <t>禄梦鸽</t>
  </si>
  <si>
    <t>刘凯斌</t>
  </si>
  <si>
    <t>福建省宁德市福安市赛岐镇万寿街3号</t>
  </si>
  <si>
    <t>福建省宁德市福安市赛岐镇赛江花园38号</t>
  </si>
  <si>
    <t>郑运森</t>
  </si>
  <si>
    <t>缪江林</t>
  </si>
  <si>
    <t>上海市上海市普陀区靖边路155-3号</t>
  </si>
  <si>
    <t>上海市上海市普陀区曹杨八村152号403室</t>
  </si>
  <si>
    <t>蔡地</t>
  </si>
  <si>
    <t>邓雁平</t>
  </si>
  <si>
    <t>黑龙江省哈尔滨市道里区西九道街15号龙电大厦906</t>
  </si>
  <si>
    <t>黑龙江省哈尔滨市南岗区洁净街5号D栋四单元202</t>
  </si>
  <si>
    <t>翁茂青</t>
  </si>
  <si>
    <t>李宏润</t>
  </si>
  <si>
    <t>王延俊</t>
  </si>
  <si>
    <t>于前</t>
  </si>
  <si>
    <t>申小卫</t>
  </si>
  <si>
    <t>李春毅</t>
  </si>
  <si>
    <t>王金翠</t>
  </si>
  <si>
    <t>河北省廊坊市广阳区新开路223号</t>
  </si>
  <si>
    <t>河北省廊坊市安次区恒大翡翠华庭小区10-2-1404</t>
  </si>
  <si>
    <t>叶志鸿</t>
  </si>
  <si>
    <t>王仲新</t>
  </si>
  <si>
    <t>韩丽敏</t>
  </si>
  <si>
    <t>卜泽</t>
  </si>
  <si>
    <t>四川省成都市锦江区琉璃路655号翡翠城四期6栋三楼</t>
  </si>
  <si>
    <t>四川省成都市武侯区肖家河东二巷三号2单元11号</t>
  </si>
  <si>
    <t>殷文峰</t>
  </si>
  <si>
    <t>胡书龙</t>
  </si>
  <si>
    <t>雍家婷</t>
  </si>
  <si>
    <t>广西桂林市叠彩区全州县全州镇综合市场正宗安徽豆腐</t>
  </si>
  <si>
    <t>广西桂林市叠彩区全州县全州镇综合市场</t>
  </si>
  <si>
    <t>徐璐</t>
  </si>
  <si>
    <t>安徽省马鞍山市雨山区九华西路青年电子产业园区12栋301</t>
  </si>
  <si>
    <t>安徽省马鞍山市花山区东城花园一村10栋303</t>
  </si>
  <si>
    <t>朱贵红</t>
  </si>
  <si>
    <t>李元喜</t>
  </si>
  <si>
    <t>骆春升</t>
  </si>
  <si>
    <t>福建省福州市仓山区福建省福州市仓山区盖山镇龙福机电市场一层A区35号</t>
  </si>
  <si>
    <t>河北省沧州市河间市河北省河间市行别营乡后杨官营村</t>
  </si>
  <si>
    <t>查同军</t>
  </si>
  <si>
    <t>朱建华</t>
  </si>
  <si>
    <t>刘浩楠</t>
  </si>
  <si>
    <t>吴秀荣</t>
  </si>
  <si>
    <t>张苗</t>
  </si>
  <si>
    <t>河南省郑州市荥阳市索河路与万山路交叉口东南角</t>
  </si>
  <si>
    <t>河南省郑州市荥阳市塔山路鸿翔金典一号楼一单元五楼西户</t>
  </si>
  <si>
    <t>马文燕</t>
  </si>
  <si>
    <t>彭伍水</t>
  </si>
  <si>
    <t>陈亚鑫</t>
  </si>
  <si>
    <t>蔡水根</t>
  </si>
  <si>
    <t>福建省厦门市同安区集安路798</t>
  </si>
  <si>
    <t>福建省厦门市同安区新民镇西塘村林边里3号</t>
  </si>
  <si>
    <t>黄贞玉</t>
  </si>
  <si>
    <t>安徽省阜阳市颍州区团结西路盛世华庭小区62栋楼107商铺</t>
  </si>
  <si>
    <t>安徽省阜阳市太和县城关镇陶桥村委会新刘村41号</t>
  </si>
  <si>
    <t>张大清</t>
  </si>
  <si>
    <t>原永全</t>
  </si>
  <si>
    <t>蒋威</t>
  </si>
  <si>
    <t>柴亚兆</t>
  </si>
  <si>
    <t>河北省沧州市运河区海河西路16号</t>
  </si>
  <si>
    <t>河北省沧州市运河区凤凰城a区一号楼一单元1102</t>
  </si>
  <si>
    <t>张凌峰</t>
  </si>
  <si>
    <t>王士杰</t>
  </si>
  <si>
    <t>杨珊珊</t>
  </si>
  <si>
    <t>解辉</t>
  </si>
  <si>
    <t>福建省南平市延平区文体路8号</t>
  </si>
  <si>
    <t>福建省南平市延平区进步路15号205</t>
  </si>
  <si>
    <t>张中原</t>
  </si>
  <si>
    <t>原增辉</t>
  </si>
  <si>
    <t>河南省新乡市红旗区新乡市凤泉区锦园路1号单元楼</t>
  </si>
  <si>
    <t>河南省新乡市红旗区新乡市凤泉区尚介村620</t>
  </si>
  <si>
    <t>王君泰</t>
  </si>
  <si>
    <t>黄君涛</t>
  </si>
  <si>
    <t>李金凤</t>
  </si>
  <si>
    <t>湖北省十堰市茅箭区湖北省十堰市张湾区花果西城路</t>
  </si>
  <si>
    <t>湖北省十堰市茅箭区湖北省十堰市张湾区花果花园小区</t>
  </si>
  <si>
    <t>郑义</t>
  </si>
  <si>
    <t>黄国忠</t>
  </si>
  <si>
    <t>李咏松</t>
  </si>
  <si>
    <t>张家荣</t>
  </si>
  <si>
    <t>洪荣</t>
  </si>
  <si>
    <t>陈卫军</t>
  </si>
  <si>
    <t>刘长林</t>
  </si>
  <si>
    <t>武永泽</t>
  </si>
  <si>
    <t>山西省大同市左云县双官屯村100号</t>
  </si>
  <si>
    <t>山西省大同市城区魏都新城C区57号楼三单元一号</t>
  </si>
  <si>
    <t>欧学智</t>
  </si>
  <si>
    <t>任继薇</t>
  </si>
  <si>
    <t>王金循</t>
  </si>
  <si>
    <t>邱艳</t>
  </si>
  <si>
    <t>刘贵丽</t>
  </si>
  <si>
    <t>杨敬</t>
  </si>
  <si>
    <t>陈加瑞</t>
  </si>
  <si>
    <t>胡叶婷</t>
  </si>
  <si>
    <t>林文新</t>
  </si>
  <si>
    <t>潘晓洁</t>
  </si>
  <si>
    <t>付浩宇</t>
  </si>
  <si>
    <t>杜建超</t>
  </si>
  <si>
    <t>许红杰</t>
  </si>
  <si>
    <t>张永广</t>
  </si>
  <si>
    <t>陈徐宏</t>
  </si>
  <si>
    <t>赵崇远</t>
  </si>
  <si>
    <t>翟春晖</t>
  </si>
  <si>
    <t>黑龙江省哈尔滨市香坊区文治三道街2-2号</t>
  </si>
  <si>
    <t>江凯</t>
  </si>
  <si>
    <t>赵宝魁</t>
  </si>
  <si>
    <t>余培锋</t>
  </si>
  <si>
    <t>罗家龙</t>
  </si>
  <si>
    <t>福建省泉州市晋江市新塘街道塘市社区晋新路意尔康工业园区</t>
  </si>
  <si>
    <t>福建省泉州市晋江市晋江经济开发区新塘园区泰达路</t>
  </si>
  <si>
    <t>师波</t>
  </si>
  <si>
    <t>苗森</t>
  </si>
  <si>
    <t>河南省郑州市中原区中原路秦岭路北200米</t>
  </si>
  <si>
    <t>河南省郑州市二七区航海路兴华南街升龙城八号院一号楼</t>
  </si>
  <si>
    <t>孙喻鹏</t>
  </si>
  <si>
    <t>李俊华</t>
  </si>
  <si>
    <t>朱日生</t>
  </si>
  <si>
    <t>张寒</t>
  </si>
  <si>
    <t>张献涵</t>
  </si>
  <si>
    <t>刘永平</t>
  </si>
  <si>
    <t>冯娜</t>
  </si>
  <si>
    <t>林成记</t>
  </si>
  <si>
    <t>吴桐桐</t>
  </si>
  <si>
    <t>程浩轩</t>
  </si>
  <si>
    <t>哈斯特·哈木孜</t>
  </si>
  <si>
    <t>新疆乌鲁木齐市天山区河北东路339号</t>
  </si>
  <si>
    <t>新疆乌鲁木齐市沙依巴克区红庙子路西六巷3088号阳光雅润苑二期10号楼3单元501</t>
  </si>
  <si>
    <t>王二江</t>
  </si>
  <si>
    <t>河南省许昌市长葛市长葛市人民路北段200号</t>
  </si>
  <si>
    <t>河南省许昌市长葛市长葛市颖川路远大瑞园3号楼502</t>
  </si>
  <si>
    <t>马增明</t>
  </si>
  <si>
    <t>山东省潍坊市寿光市寿光文圣街999号</t>
  </si>
  <si>
    <t>山东省潍坊市寿光市羊口镇齐庄村54号</t>
  </si>
  <si>
    <t>常雨龙</t>
  </si>
  <si>
    <t>辽宁省锦州市凌河区胜河里96</t>
  </si>
  <si>
    <t>辽宁省锦州市古塔区永安里67-37</t>
  </si>
  <si>
    <t>依丹罕</t>
  </si>
  <si>
    <t>李祖富</t>
  </si>
  <si>
    <t>任萍</t>
  </si>
  <si>
    <t>汪正良</t>
  </si>
  <si>
    <t>詹富卫</t>
  </si>
  <si>
    <t>尹建波</t>
  </si>
  <si>
    <t>朱昀焘</t>
  </si>
  <si>
    <t>梁洪</t>
  </si>
  <si>
    <t>孙文中</t>
  </si>
  <si>
    <t>彭宇</t>
  </si>
  <si>
    <t>舒孝梅</t>
  </si>
  <si>
    <t>吕稳</t>
  </si>
  <si>
    <t>湖北省鄂州市鄂城区湖北省鄂州市鄂城区明堂路214号</t>
  </si>
  <si>
    <t>湖北省鄂州市鄂城区湖北省鄂州市鄂城区泽林镇江碧路福盛花园6栋二单元602</t>
  </si>
  <si>
    <t>杨世微</t>
  </si>
  <si>
    <t>赵布和</t>
  </si>
  <si>
    <t>内蒙古通辽市扎鲁特旗鲁北镇乌力吉木仁路西</t>
  </si>
  <si>
    <t>内蒙古通辽市扎鲁特旗鲁北镇第二居委会7组9号</t>
  </si>
  <si>
    <t>帅龙</t>
  </si>
  <si>
    <t>钱鸿雁</t>
  </si>
  <si>
    <t>隋丰洋</t>
  </si>
  <si>
    <t>宋维均</t>
  </si>
  <si>
    <t>陈晓锋</t>
  </si>
  <si>
    <t>李国利</t>
  </si>
  <si>
    <t>底坚</t>
  </si>
  <si>
    <t>罗启功</t>
  </si>
  <si>
    <t>滕伟</t>
  </si>
  <si>
    <t>李加加</t>
  </si>
  <si>
    <t>江苏省徐州市睢宁县元府东路29号底层大门东侧</t>
  </si>
  <si>
    <t>江苏省徐州市睢宁县睢城镇长青村811号</t>
  </si>
  <si>
    <t>广西南宁市青秀区民族大道83-6号邕桂大酒店14楼</t>
  </si>
  <si>
    <t>广西南宁市良庆区建设路26号9栋702室</t>
  </si>
  <si>
    <t>刘伟俊</t>
  </si>
  <si>
    <t>万立妹</t>
  </si>
  <si>
    <t>邱林</t>
  </si>
  <si>
    <t>冉再</t>
  </si>
  <si>
    <t>林丽芳</t>
  </si>
  <si>
    <t>常英</t>
  </si>
  <si>
    <t>孔令名</t>
  </si>
  <si>
    <t>安小艳</t>
  </si>
  <si>
    <t>江苏省无锡市宜兴市江苏省无锡市宜兴市张渚镇人民北路六号</t>
  </si>
  <si>
    <t>江苏省无锡市宜兴市张渚镇迎春小区54栋401</t>
  </si>
  <si>
    <t>山东省临沂市河东区凤仪街锦绣外滩售楼处1号楼</t>
  </si>
  <si>
    <t>山东省临沂市兰山区颜巷口街8号</t>
  </si>
  <si>
    <t>徐淼</t>
  </si>
  <si>
    <t>朱艳</t>
  </si>
  <si>
    <t>隗晓</t>
  </si>
  <si>
    <t>山东省济南市章丘市章丘市明水赭山工业园东首路南</t>
  </si>
  <si>
    <t>山东省济南市章丘市章丘市绣惠镇崖北村</t>
  </si>
  <si>
    <t>张连兵</t>
  </si>
  <si>
    <t>肖月江</t>
  </si>
  <si>
    <t>江西省吉安市吉安县高新街道天祥南路鼎诚祥和水岸三栋一号店铺</t>
  </si>
  <si>
    <t>江西省吉安市吉安县井开区深圳大道江南春晓六栋一单元501室</t>
  </si>
  <si>
    <t>张勇杰</t>
  </si>
  <si>
    <t>李玉芳</t>
  </si>
  <si>
    <t>湖南省长沙市长沙县开元中路湘商世纪鑫城705</t>
  </si>
  <si>
    <t>湖南省长沙市长沙县星沙四区六栋六十号四零一</t>
  </si>
  <si>
    <t>唐宗志</t>
  </si>
  <si>
    <t>孟琦</t>
  </si>
  <si>
    <t>郑庆圆</t>
  </si>
  <si>
    <t>山西省吕梁市孝义市永安路祥云小区沿街门市A2户</t>
  </si>
  <si>
    <t>山西省吕梁市孝义市新安街道城东小区8号楼1单元201户</t>
  </si>
  <si>
    <t>唐志鹏</t>
  </si>
  <si>
    <t>和学军</t>
  </si>
  <si>
    <t>黄少林</t>
  </si>
  <si>
    <t>周龙龙</t>
  </si>
  <si>
    <t>肖清燕</t>
  </si>
  <si>
    <t>李小卫</t>
  </si>
  <si>
    <t>陕西省西安市莲湖区莲湖区145</t>
  </si>
  <si>
    <t>陕西省西安市蓝田县陕西省西安市蓝田县</t>
  </si>
  <si>
    <t>武君</t>
  </si>
  <si>
    <t>孙荣生</t>
  </si>
  <si>
    <t>天津市天津市津南区津南开发区聚英路六号</t>
  </si>
  <si>
    <t>天津市天津市津南区双桥河镇新发公寓一号楼一单元303</t>
  </si>
  <si>
    <t>左登方</t>
  </si>
  <si>
    <t>汤振健</t>
  </si>
  <si>
    <t>辽宁省营口市盖州市翔润商贸城3号楼101</t>
  </si>
  <si>
    <t>辽宁省营口市盖州市辽宁省盖州市小石棚乡杨树房村9号42</t>
  </si>
  <si>
    <t>霍佳星</t>
  </si>
  <si>
    <t>上海市上海市虹口区中山北一路1250号沪办大厦一号楼1607</t>
  </si>
  <si>
    <t>上海市上海市杨浦区仁德路67弄10支弄17号602</t>
  </si>
  <si>
    <t>苑硕志</t>
  </si>
  <si>
    <t>河北省衡水市桃城区站前路229号</t>
  </si>
  <si>
    <t>河北省衡水市桃城区自强街1266号3栋1单元401室</t>
  </si>
  <si>
    <t>符晖</t>
  </si>
  <si>
    <t>李金朋</t>
  </si>
  <si>
    <t>付光喜</t>
  </si>
  <si>
    <t>姚江</t>
  </si>
  <si>
    <t>蓝甲丙</t>
  </si>
  <si>
    <t>吕书阳</t>
  </si>
  <si>
    <t>申万辉</t>
  </si>
  <si>
    <t>纪明鲜</t>
  </si>
  <si>
    <t>江苏省淮安市涟水县高沟镇常兴村徐庄组28号</t>
  </si>
  <si>
    <t>江苏省淮安市涟水县高沟镇高缘雅居11号楼302</t>
  </si>
  <si>
    <t>于凤喜</t>
  </si>
  <si>
    <t>陈日欢</t>
  </si>
  <si>
    <t>盛中权</t>
  </si>
  <si>
    <t>重庆市重庆市涪陵区黎明南路19号建业花园C2栋</t>
  </si>
  <si>
    <t>重庆市重庆市涪陵区崇义街道蔡家坡125号吉祥1号楼一单元12-2</t>
  </si>
  <si>
    <t>湖北省武汉市蔡甸区万家湖中路18号</t>
  </si>
  <si>
    <t>湖北省武汉市蔡甸区万家湖中路周公正街18号</t>
  </si>
  <si>
    <t>江瑜</t>
  </si>
  <si>
    <t>陈首冬</t>
  </si>
  <si>
    <t>高国瑞</t>
  </si>
  <si>
    <t>何金鑫</t>
  </si>
  <si>
    <t>吕豆情</t>
  </si>
  <si>
    <t>段秀杰</t>
  </si>
  <si>
    <t>赵鹏昊</t>
  </si>
  <si>
    <t>唐志洲</t>
  </si>
  <si>
    <t>周小龙</t>
  </si>
  <si>
    <t>郑晓</t>
  </si>
  <si>
    <t>李程新</t>
  </si>
  <si>
    <t>张立保</t>
  </si>
  <si>
    <t>李博婧</t>
  </si>
  <si>
    <t>湖北省武汉市江汉区江汉区江汉四路长康里一号</t>
  </si>
  <si>
    <t>湖北省武汉市江汉区长江日报路33号警卫营b栋401</t>
  </si>
  <si>
    <t>贾茹</t>
  </si>
  <si>
    <t>冯晋辉</t>
  </si>
  <si>
    <t>邹鸿鑫</t>
  </si>
  <si>
    <t>张河南</t>
  </si>
  <si>
    <t>广东省东莞市清溪镇科技路西五街6号</t>
  </si>
  <si>
    <t>广东省东莞市清溪镇科技路森海大厦309</t>
  </si>
  <si>
    <t>何明剑</t>
  </si>
  <si>
    <t>程淼汇</t>
  </si>
  <si>
    <t>马进</t>
  </si>
  <si>
    <t>江苏省淮安市盱眙县经济开发区金石大道11号</t>
  </si>
  <si>
    <t>江苏省淮安市金湖县衡阳南路盛世豪庭三栋一单元901室</t>
  </si>
  <si>
    <t>高雪</t>
  </si>
  <si>
    <t>李卫宝</t>
  </si>
  <si>
    <t>姚启国</t>
  </si>
  <si>
    <t>重庆市重庆市南岸区南坪花园八村八幢</t>
  </si>
  <si>
    <t>重庆市重庆市南岸区南坪四小区团圆堡</t>
  </si>
  <si>
    <t>詹德坤</t>
  </si>
  <si>
    <t>越星</t>
  </si>
  <si>
    <t>董长力</t>
  </si>
  <si>
    <t>何学广</t>
  </si>
  <si>
    <t>江苏省泰州市姜堰市马厂路90号</t>
  </si>
  <si>
    <t>李玉琴</t>
  </si>
  <si>
    <t>孟亮亮</t>
  </si>
  <si>
    <t>罗伟聪</t>
  </si>
  <si>
    <t>广东省清远市清新县太和镇笔架路马东村S栋32号A梯04卡</t>
  </si>
  <si>
    <t>广东省清远市清新县龙颈镇石岗村委会海边村14号</t>
  </si>
  <si>
    <t>李应龙</t>
  </si>
  <si>
    <t>陈天菊</t>
  </si>
  <si>
    <t>金晓飞</t>
  </si>
  <si>
    <t>江苏省常州市新北区春江镇兴丰路6号</t>
  </si>
  <si>
    <t>安徽省合肥市包河区春江镇百丈百馨西苑3期102幢乙单元504</t>
  </si>
  <si>
    <t>龙飞</t>
  </si>
  <si>
    <t>郭成养</t>
  </si>
  <si>
    <t>李志东</t>
  </si>
  <si>
    <t>闫志弢</t>
  </si>
  <si>
    <t>朱兰花</t>
  </si>
  <si>
    <t>杨建</t>
  </si>
  <si>
    <t>赵广东</t>
  </si>
  <si>
    <t>王志旺</t>
  </si>
  <si>
    <t>河北省秦皇岛市青龙满族自治县森源街18号</t>
  </si>
  <si>
    <t>河北省秦皇岛市青龙满族自治县土门子镇西蒿村070153号</t>
  </si>
  <si>
    <t>孙政</t>
  </si>
  <si>
    <t>唐毅</t>
  </si>
  <si>
    <t>王耀飞</t>
  </si>
  <si>
    <t>周新龙</t>
  </si>
  <si>
    <t>江苏省苏州市虎丘区嘉陵江路188号2号楼</t>
  </si>
  <si>
    <t>江苏省苏州市虎丘区阳山花苑四区20栋306</t>
  </si>
  <si>
    <t>周绍华</t>
  </si>
  <si>
    <t>张玉明</t>
  </si>
  <si>
    <t>张亚强</t>
  </si>
  <si>
    <t>史钰</t>
  </si>
  <si>
    <t>山东省淄博市张店区华光路388号</t>
  </si>
  <si>
    <t>山东省淄博市桓台县马桥镇早春小区</t>
  </si>
  <si>
    <t>陆丽东</t>
  </si>
  <si>
    <t>司徒家明</t>
  </si>
  <si>
    <t>童漫</t>
  </si>
  <si>
    <t>黄俊斌</t>
  </si>
  <si>
    <t>肖勇</t>
  </si>
  <si>
    <t>宁洁洁</t>
  </si>
  <si>
    <t>山东省日照市莒县莒县浮来中路100号</t>
  </si>
  <si>
    <t>山东省日照市莒县莒县浮来中路98号</t>
  </si>
  <si>
    <t>山东省枣庄市市中区解放南路143号</t>
  </si>
  <si>
    <t>山东省枣庄市市中区各塔埠办事处官庄16号</t>
  </si>
  <si>
    <t>湖北省武汉市汉阳区马鹦路特1号</t>
  </si>
  <si>
    <t>湖北省武汉市汉阳区马鹦路邓甲新城b区5栋2单元3203</t>
  </si>
  <si>
    <t>明明</t>
  </si>
  <si>
    <t>湖北省武汉市江岸区解放大道1481号附5一碗犒劳</t>
  </si>
  <si>
    <t>湖北省武汉市黄陂区滠口街道怀珠里124号一楼</t>
  </si>
  <si>
    <t>金京</t>
  </si>
  <si>
    <t>湖北省神农架仙桃市仙桃市沔州大道中段75号</t>
  </si>
  <si>
    <t>湖北省神农架仙桃市仙桃市沙嘴街道元泰未来城</t>
  </si>
  <si>
    <t>罗红忠</t>
  </si>
  <si>
    <t>黄欣强</t>
  </si>
  <si>
    <t>刘元松</t>
  </si>
  <si>
    <t>广东省深圳市宝安区松岗街道爱国二街18号301</t>
  </si>
  <si>
    <t>广东省深圳市宝安区松岗街道塘下涌村三村街11号603</t>
  </si>
  <si>
    <t>吕钱龙</t>
  </si>
  <si>
    <t>李茹</t>
  </si>
  <si>
    <t>刘欣欣</t>
  </si>
  <si>
    <t>上海市上海市闵行区浦江镇299号</t>
  </si>
  <si>
    <t>上海市上海市闵行区闵行区古美路1458弄中有家园</t>
  </si>
  <si>
    <t>庄赞勇</t>
  </si>
  <si>
    <t>四川省成都市锦江区拉萨市区纳金路28号</t>
  </si>
  <si>
    <t>四川省雅安市天全县四川省雅安市天全县小河乡沙坪村五组20号</t>
  </si>
  <si>
    <t>孙严峰</t>
  </si>
  <si>
    <t>黄少锋</t>
  </si>
  <si>
    <t>秦太洪</t>
  </si>
  <si>
    <t>云南省昆明市五华区科发路835号</t>
  </si>
  <si>
    <t>昆明市五华区科发路835号</t>
  </si>
  <si>
    <t>安徽省池州市贵池区贵池区牛头山镇318国道旁</t>
  </si>
  <si>
    <t>安徽省池州市贵池区清风街道商之都公寓</t>
  </si>
  <si>
    <t>李坤方</t>
  </si>
  <si>
    <t>江苏省常州市溧阳市罗湾路325号</t>
  </si>
  <si>
    <t>江苏省常州市溧阳市钱家路58号燕园小区2栋2号楼1层</t>
  </si>
  <si>
    <t>郑显霞</t>
  </si>
  <si>
    <t>覃卓</t>
  </si>
  <si>
    <t>杨锡鹏</t>
  </si>
  <si>
    <t>谭天林</t>
  </si>
  <si>
    <t>肖桂花</t>
  </si>
  <si>
    <t>张志鹏</t>
  </si>
  <si>
    <t>董岱</t>
  </si>
  <si>
    <t>刘秋兰</t>
  </si>
  <si>
    <t>龚小燕</t>
  </si>
  <si>
    <t>胥庭莉</t>
  </si>
  <si>
    <t>唐中华</t>
  </si>
  <si>
    <t>湖南省永州市冷水滩区仁湾街道零陵南路六中路口217号</t>
  </si>
  <si>
    <t>湖南省永州市冷水滩区仁湾镇六中路口倚山瑞府对面207号</t>
  </si>
  <si>
    <t>何驰</t>
  </si>
  <si>
    <t>李长江</t>
  </si>
  <si>
    <t>崔庆虎</t>
  </si>
  <si>
    <t>李世煜</t>
  </si>
  <si>
    <t>何锦和</t>
  </si>
  <si>
    <t>葛洋</t>
  </si>
  <si>
    <t>重庆市重庆市璧山县青杠大道白云路3号</t>
  </si>
  <si>
    <t>重庆市重庆市渝中区七星岗业成花园3幢二单元602</t>
  </si>
  <si>
    <t>郭宁</t>
  </si>
  <si>
    <t>屈诚恒</t>
  </si>
  <si>
    <t>山西省临汾市侯马市上马办事处隘口村</t>
  </si>
  <si>
    <t>胡润东</t>
  </si>
  <si>
    <t>庄森火</t>
  </si>
  <si>
    <t>范晓鹏</t>
  </si>
  <si>
    <t>河南省许昌市长葛市双岳路西侧</t>
  </si>
  <si>
    <t>河南省许昌市长葛市建设路办事处胥李街电业局家属院7号楼西单元201室</t>
  </si>
  <si>
    <t>张克</t>
  </si>
  <si>
    <t>丰美琴</t>
  </si>
  <si>
    <t>曾春</t>
  </si>
  <si>
    <t>范庆平</t>
  </si>
  <si>
    <t>上海市上海市松江区上海市松江区车墩镇香泾路999号</t>
  </si>
  <si>
    <t>廖军</t>
  </si>
  <si>
    <t>徐新柱</t>
  </si>
  <si>
    <t>安徽省合肥市庐江县庐江县万山镇街道</t>
  </si>
  <si>
    <t>安徽省合肥市庐江县庐江县万山镇站前路</t>
  </si>
  <si>
    <t>郁松松</t>
  </si>
  <si>
    <t>北京市北京市昌平区昌平区凉水河路8-6</t>
  </si>
  <si>
    <t>北京市北京市昌平区十三陵镇泰陵园村252号</t>
  </si>
  <si>
    <t>郑玉明</t>
  </si>
  <si>
    <t>毛玉分</t>
  </si>
  <si>
    <t>鄢雨</t>
  </si>
  <si>
    <t>李申浩</t>
  </si>
  <si>
    <t>广东省深圳市南山区广东省东莞市樟木头镇金河社区竹排村</t>
  </si>
  <si>
    <t>广东省深圳市南山区广东省东莞市樟木头镇金河社区竹排村东升百货</t>
  </si>
  <si>
    <t>王金驰</t>
  </si>
  <si>
    <t>齐大海</t>
  </si>
  <si>
    <t>谭晓婷</t>
  </si>
  <si>
    <t>湖南省衡阳市耒阳市五一路与群英路交汇处中星时代广场1101</t>
  </si>
  <si>
    <t>湖南省衡阳市耒阳市五里牌街道体育路金星小学旁</t>
  </si>
  <si>
    <t>陈浪</t>
  </si>
  <si>
    <t>郭雨凡</t>
  </si>
  <si>
    <t>辽宁省盘锦市双台子区胜利街道朗才教育三部</t>
  </si>
  <si>
    <t>辽宁省盘锦市兴隆台区辽河中路城中花园</t>
  </si>
  <si>
    <t>申瑛霞</t>
  </si>
  <si>
    <t>山西省运城市平陆县平陆县时代广场5楼</t>
  </si>
  <si>
    <t>山西省运城市平陆县平陆县棉加厂小区2单元202</t>
  </si>
  <si>
    <t>何仁</t>
  </si>
  <si>
    <t>赖婉琪</t>
  </si>
  <si>
    <t>左雷</t>
  </si>
  <si>
    <t>四川省南充市嘉陵区文峰大道开发区研发大楼</t>
  </si>
  <si>
    <t>四川省南充市顺庆区小西街幸福农贸市场13号</t>
  </si>
  <si>
    <t>孙剑</t>
  </si>
  <si>
    <t>辽宁省锦州市义县中兴街大吉祥酒店对面49号</t>
  </si>
  <si>
    <t>辽宁省锦州市古塔区城关满族乡西关村310</t>
  </si>
  <si>
    <t>文念祖</t>
  </si>
  <si>
    <t>张惠德</t>
  </si>
  <si>
    <t>冉启国</t>
  </si>
  <si>
    <t>陈光辉</t>
  </si>
  <si>
    <t>向福林</t>
  </si>
  <si>
    <t>朱意</t>
  </si>
  <si>
    <t>黄俊峰</t>
  </si>
  <si>
    <t>晏雯</t>
  </si>
  <si>
    <t>赵宏伟</t>
  </si>
  <si>
    <t>苟彬</t>
  </si>
  <si>
    <t>四川省泸州市合江县合江县文化街五号</t>
  </si>
  <si>
    <t>四川省泸州市合江县老卢巷84号</t>
  </si>
  <si>
    <t>陕西省西安市未央区三桥西围新家园9-1-102室</t>
  </si>
  <si>
    <t>陕西省西安市未央区和平村112号</t>
  </si>
  <si>
    <t>罗嘉福</t>
  </si>
  <si>
    <t>周德友</t>
  </si>
  <si>
    <t>于文翰</t>
  </si>
  <si>
    <t>贺湘茹</t>
  </si>
  <si>
    <t>广东省河源市源城区源江路256号</t>
  </si>
  <si>
    <t>广东省河源市源城区旺旺路11号</t>
  </si>
  <si>
    <t>徐建瑜</t>
  </si>
  <si>
    <t>梁贤正</t>
  </si>
  <si>
    <t>安徽省合肥市包河区你猜你猜你猜</t>
  </si>
  <si>
    <t>重庆市重庆市万州区打开吵架将错就错</t>
  </si>
  <si>
    <t>崔玉霞</t>
  </si>
  <si>
    <t>王小红</t>
  </si>
  <si>
    <t>吕高峰</t>
  </si>
  <si>
    <t>廖贵标</t>
  </si>
  <si>
    <t>广东省深圳市宝安区公明街道公明交警中队公常公路738号204房</t>
  </si>
  <si>
    <t>广东省深圳市宝安区公明街道公常公路738号204房</t>
  </si>
  <si>
    <t>广西南宁市兴宁区白沙大道19号金湾花城2号楼三单元702</t>
  </si>
  <si>
    <t>广西北海市海城区银滩镇四川路长富大厦</t>
  </si>
  <si>
    <t>叶国群</t>
  </si>
  <si>
    <t>徐俊</t>
  </si>
  <si>
    <t>王东林</t>
  </si>
  <si>
    <t>黄志波</t>
  </si>
  <si>
    <t>魏征</t>
  </si>
  <si>
    <t>黑龙江省鹤岗市工农区东解放路南四道街69号110室</t>
  </si>
  <si>
    <t>黑龙江省鹤岗市南山区铁西路煤建处18号楼2单元504室</t>
  </si>
  <si>
    <t>赵传奇</t>
  </si>
  <si>
    <t>欧阳正磊</t>
  </si>
  <si>
    <t>马启江</t>
  </si>
  <si>
    <t>安徽省亳州市谯城区安徽省亳州市谯城区光明路365号</t>
  </si>
  <si>
    <t>安徽省亳州市谯城区石王肖三巷33户</t>
  </si>
  <si>
    <t>原烽星</t>
  </si>
  <si>
    <t>于海方</t>
  </si>
  <si>
    <t>李东强</t>
  </si>
  <si>
    <t>潘婷莹</t>
  </si>
  <si>
    <t>孙玮</t>
  </si>
  <si>
    <t>杨正堂</t>
  </si>
  <si>
    <t>罗未发</t>
  </si>
  <si>
    <t>颜培红</t>
  </si>
  <si>
    <t>温一鸣</t>
  </si>
  <si>
    <t>孔祥达</t>
  </si>
  <si>
    <t>朱楠楠</t>
  </si>
  <si>
    <t>内蒙古阿拉善盟阿拉善左旗乌斯太镇八里庙百建西商铺多乐士涂料店</t>
  </si>
  <si>
    <t>内蒙古阿拉善盟阿拉善左旗乌斯太镇八里庙百建小区</t>
  </si>
  <si>
    <t>邹东平</t>
  </si>
  <si>
    <t>湖南省娄底市新化县学府路学府雅苑</t>
  </si>
  <si>
    <t>湖南省娄底市新化县桑梓镇大树村四组</t>
  </si>
  <si>
    <t>冯金艺</t>
  </si>
  <si>
    <t>广东省广州市荔湾区机场路1718悦成商务中心806</t>
  </si>
  <si>
    <t>广东省广州市白云区横滘大道横滘约16号</t>
  </si>
  <si>
    <t>杨智富</t>
  </si>
  <si>
    <t>海南省海口市秀英区秀英小街16号</t>
  </si>
  <si>
    <t>海南省海口市秀英区秀英老街书场村174号</t>
  </si>
  <si>
    <t>解明</t>
  </si>
  <si>
    <t>伍振邦</t>
  </si>
  <si>
    <t>郭晓婧</t>
  </si>
  <si>
    <t>郭春虎</t>
  </si>
  <si>
    <t>河南省信阳市平桥区光明路与南京路交叉口</t>
  </si>
  <si>
    <t>河南省信阳市平桥区上天梯管理区红光村</t>
  </si>
  <si>
    <t>陈慧娟</t>
  </si>
  <si>
    <t>李映才</t>
  </si>
  <si>
    <t>上海市上海市金山区仙居路666号</t>
  </si>
  <si>
    <t>上海市上海市金山区金南街586弄22号202室</t>
  </si>
  <si>
    <t>杨信全</t>
  </si>
  <si>
    <t>彭力</t>
  </si>
  <si>
    <t>赵伟顺</t>
  </si>
  <si>
    <t>刘长鑫</t>
  </si>
  <si>
    <t>天津市天津市红桥区意库创意园B6</t>
  </si>
  <si>
    <t>天津市天津市南开区龙井里14-2-301</t>
  </si>
  <si>
    <t>宋培龙</t>
  </si>
  <si>
    <t>汪珍</t>
  </si>
  <si>
    <t>兴安</t>
  </si>
  <si>
    <t>杨铭</t>
  </si>
  <si>
    <t>武光亮</t>
  </si>
  <si>
    <t>姜慧</t>
  </si>
  <si>
    <t>邹正军</t>
  </si>
  <si>
    <t>赵海平</t>
  </si>
  <si>
    <t>文辉虎</t>
  </si>
  <si>
    <t>曾祥育</t>
  </si>
  <si>
    <t>朱国恩</t>
  </si>
  <si>
    <t>塘厦镇东深二路69号</t>
  </si>
  <si>
    <t>广东省深圳市罗湖区罗湖黄贝村21号</t>
  </si>
  <si>
    <t>朱启英</t>
  </si>
  <si>
    <t>李盼龙</t>
  </si>
  <si>
    <t>陕西省西安市雁塔区唐延路25号银河新坐标1606室</t>
  </si>
  <si>
    <t>陕西省西安市新城区科技路209号新西蓝一期一号楼二单元2005</t>
  </si>
  <si>
    <t>杨胜岳</t>
  </si>
  <si>
    <t>项建国</t>
  </si>
  <si>
    <t>钟发成</t>
  </si>
  <si>
    <t>周威</t>
  </si>
  <si>
    <t>张强胜</t>
  </si>
  <si>
    <t>郭意</t>
  </si>
  <si>
    <t>龙雨</t>
  </si>
  <si>
    <t>杜敦国</t>
  </si>
  <si>
    <t>罗黎</t>
  </si>
  <si>
    <t>重庆市重庆市渝中区大坪正街38号龙湖时代天街B馆F1</t>
  </si>
  <si>
    <t>重庆市重庆市北碚区城南新区双柏路170号富地花园</t>
  </si>
  <si>
    <t>吴俊卿</t>
  </si>
  <si>
    <t>彭吉俊</t>
  </si>
  <si>
    <t>姚世玲</t>
  </si>
  <si>
    <t>陈秋梅</t>
  </si>
  <si>
    <t>赵恒林</t>
  </si>
  <si>
    <t>郭春伟</t>
  </si>
  <si>
    <t>向志鹏</t>
  </si>
  <si>
    <t>陆铖杰</t>
  </si>
  <si>
    <t>褚燕珍</t>
  </si>
  <si>
    <t>奉仰会</t>
  </si>
  <si>
    <t>任少伟</t>
  </si>
  <si>
    <t>陈红霞</t>
  </si>
  <si>
    <t>舒伟国</t>
  </si>
  <si>
    <t>申青青</t>
  </si>
  <si>
    <t>欧强</t>
  </si>
  <si>
    <t>广西贵港市平南县城东新区二桥旁333号</t>
  </si>
  <si>
    <t>广西贵港市平南县平南镇新村头115号</t>
  </si>
  <si>
    <t>雷靖楠</t>
  </si>
  <si>
    <t>钟颂梅</t>
  </si>
  <si>
    <t>钟勇</t>
  </si>
  <si>
    <t>四川省巴中市巴州区红谷街69号</t>
  </si>
  <si>
    <t>四川省巴中市巴州区红谷街67号2幢1单元5号</t>
  </si>
  <si>
    <t>孟虹辰</t>
  </si>
  <si>
    <t>杨照鹏</t>
  </si>
  <si>
    <t>文蓉</t>
  </si>
  <si>
    <t>张清辉</t>
  </si>
  <si>
    <t>广东省广州市荔湾区广东省汕头市澄海区澄华西门玉西路17幢6号</t>
  </si>
  <si>
    <t>福建省漳州市诏安县广东省汕头市澄海区文祠西路南丰住宅楼402房</t>
  </si>
  <si>
    <t>资世国</t>
  </si>
  <si>
    <t>孟金萍</t>
  </si>
  <si>
    <t>樊志兴</t>
  </si>
  <si>
    <t>林佳佳</t>
  </si>
  <si>
    <t>李博涛</t>
  </si>
  <si>
    <t>黄水</t>
  </si>
  <si>
    <t>黄江英</t>
  </si>
  <si>
    <t>刘理</t>
  </si>
  <si>
    <t>陈凤冲</t>
  </si>
  <si>
    <t>张鹤春</t>
  </si>
  <si>
    <t>马金华</t>
  </si>
  <si>
    <t>李增福</t>
  </si>
  <si>
    <t>袁小俊</t>
  </si>
  <si>
    <t>杨果</t>
  </si>
  <si>
    <t>四川省南充市顺庆区长乐镇南北大街长兴花园二期售楼部</t>
  </si>
  <si>
    <t>四川省南充市高坪区班竹乡白果桥村4组25号</t>
  </si>
  <si>
    <t>付彩梅</t>
  </si>
  <si>
    <t>阳小明</t>
  </si>
  <si>
    <t>杨永华</t>
  </si>
  <si>
    <t>胡炯辉</t>
  </si>
  <si>
    <t>丁曜盛</t>
  </si>
  <si>
    <t>葛启</t>
  </si>
  <si>
    <t>孙琪帅</t>
  </si>
  <si>
    <t>赵庆</t>
  </si>
  <si>
    <t>陈杜娟</t>
  </si>
  <si>
    <t>韦锦霜</t>
  </si>
  <si>
    <t>杨冰凡</t>
  </si>
  <si>
    <t>高永伟</t>
  </si>
  <si>
    <t>曹燕</t>
  </si>
  <si>
    <t>安徽省淮北市相山区一品官邸三单元303</t>
  </si>
  <si>
    <t>安徽省淮北市相山区安徽省淮北市相山区金色云天西苑2号楼1901</t>
  </si>
  <si>
    <t>张吉厚</t>
  </si>
  <si>
    <t>陈立龙</t>
  </si>
  <si>
    <t>李闽</t>
  </si>
  <si>
    <t>王立飞</t>
  </si>
  <si>
    <t>张太雪</t>
  </si>
  <si>
    <t>贵州省毕节市威宁彝族回族苗族自治县威宁县开发区仙鹤大酒店对面</t>
  </si>
  <si>
    <t>贵州省毕节市威宁彝族回族苗族自治县威宁县六桥街道草海村八组</t>
  </si>
  <si>
    <t>任玉杰</t>
  </si>
  <si>
    <t>汤国柱</t>
  </si>
  <si>
    <t>项义</t>
  </si>
  <si>
    <t>杨月军</t>
  </si>
  <si>
    <t>秦腾</t>
  </si>
  <si>
    <t>闫宗辉</t>
  </si>
  <si>
    <t>毛平</t>
  </si>
  <si>
    <t>董杰</t>
  </si>
  <si>
    <t>董琪强</t>
  </si>
  <si>
    <t>湖南省长沙市长沙县星沙新长海广场B单元1303</t>
  </si>
  <si>
    <t>湖南省长沙市芙蓉区星沙中国铁建一期二栋一单元2102</t>
  </si>
  <si>
    <t>李兴福</t>
  </si>
  <si>
    <t>蒋英祥</t>
  </si>
  <si>
    <t>黄李伟</t>
  </si>
  <si>
    <t>李振阳</t>
  </si>
  <si>
    <t>蒋浩</t>
  </si>
  <si>
    <t>费凡有</t>
  </si>
  <si>
    <t>杨海涛</t>
  </si>
  <si>
    <t>孙宇航</t>
  </si>
  <si>
    <t>汪敬</t>
  </si>
  <si>
    <t>袁鹏青</t>
  </si>
  <si>
    <t>石赞</t>
  </si>
  <si>
    <t>梁大会</t>
  </si>
  <si>
    <t>栾淑娟</t>
  </si>
  <si>
    <t>王得将</t>
  </si>
  <si>
    <t>河南省郑州市金水区三全路99号</t>
  </si>
  <si>
    <t>河南省郑州市二七区棉纺路与合作路交叉口六号楼二单元501</t>
  </si>
  <si>
    <t>张力明</t>
  </si>
  <si>
    <t>李结旺</t>
  </si>
  <si>
    <t>任万真</t>
  </si>
  <si>
    <t>曾得龚</t>
  </si>
  <si>
    <t>孙小振</t>
  </si>
  <si>
    <t>辽宁省盘锦市兴隆台区泰山路113号</t>
  </si>
  <si>
    <t>辽宁省盘锦市大洼县永安社区2号楼4单元202室</t>
  </si>
  <si>
    <t>孙豪帅</t>
  </si>
  <si>
    <t>河南省郑州市中原区建设路嵩山路交叉口向西100米鑫苑国际广场609</t>
  </si>
  <si>
    <t>南阳路226号11号楼25号</t>
  </si>
  <si>
    <t>山东省济宁市兖州市百丰大厦401室</t>
  </si>
  <si>
    <t>山东省济宁市兖州市大安镇朝阳村20号</t>
  </si>
  <si>
    <t>金敬霖</t>
  </si>
  <si>
    <t>何加荣</t>
  </si>
  <si>
    <t>云南省临沧市双江拉祜族佤族布朗族傣族自治县双江县农资公司综合办公二楼</t>
  </si>
  <si>
    <t>云南省临沧市双江拉祜族佤族布朗族傣族自治县双江县勐勐镇公很路135号</t>
  </si>
  <si>
    <t>甘宇</t>
  </si>
  <si>
    <t>石梅兵</t>
  </si>
  <si>
    <t>郑裕俊</t>
  </si>
  <si>
    <t>吕文志</t>
  </si>
  <si>
    <t>广东省清远市清城区东湖路东门塘锦绣清城购物广场四楼</t>
  </si>
  <si>
    <t>广东省清远市英德市沙口镇蕉园村委吕屋组</t>
  </si>
  <si>
    <t>范宏旭</t>
  </si>
  <si>
    <t>王桂蒙</t>
  </si>
  <si>
    <t>杨淑先</t>
  </si>
  <si>
    <t>刘启鹏</t>
  </si>
  <si>
    <t>新疆乌鲁木齐市头屯河区嵩山街北三巷123号</t>
  </si>
  <si>
    <t>新疆乌鲁木齐市头屯河区乌鲁木齐市经济开发区嵩山街北三巷123号</t>
  </si>
  <si>
    <t>吴晓飞</t>
  </si>
  <si>
    <t>浙江省杭州市萧山区杭州市萧山垦飞六路500号</t>
  </si>
  <si>
    <t>浙江省杭州萧山区垦山飞六路500号</t>
  </si>
  <si>
    <t>杨博杰</t>
  </si>
  <si>
    <t>邬波</t>
  </si>
  <si>
    <t>林来源</t>
  </si>
  <si>
    <t>于虹</t>
  </si>
  <si>
    <t>庞传兴</t>
  </si>
  <si>
    <t>陈源浩</t>
  </si>
  <si>
    <t>王宪栋</t>
  </si>
  <si>
    <t>朱镇海</t>
  </si>
  <si>
    <t>李传振</t>
  </si>
  <si>
    <t>吴吉</t>
  </si>
  <si>
    <t>田妹</t>
  </si>
  <si>
    <t>东莞市虎门镇南栅五区富民路象山综合楼</t>
  </si>
  <si>
    <t>广东省深圳市宝安区松岗街道红星国际新城二期9栋</t>
  </si>
  <si>
    <t>赵明辉</t>
  </si>
  <si>
    <t>广东省湛江市霞山区龙平南路8号</t>
  </si>
  <si>
    <t>广西北海市银海区四川路长富大厦2506</t>
  </si>
  <si>
    <t>黑龙江省哈尔滨市南岗区果戈里大街625号</t>
  </si>
  <si>
    <t>黑龙江省哈尔滨市南岗区医大二院电影机125号</t>
  </si>
  <si>
    <t>王淑平</t>
  </si>
  <si>
    <t>湖北省襄阳市襄城区襄州区卧龙东路中铁十九局</t>
  </si>
  <si>
    <t>四川省南充市南部县大河镇金台村8组</t>
  </si>
  <si>
    <t>万杰</t>
  </si>
  <si>
    <t>罗炜炜</t>
  </si>
  <si>
    <t>崔金艳</t>
  </si>
  <si>
    <t>纪新</t>
  </si>
  <si>
    <t>王忠华</t>
  </si>
  <si>
    <t>万黎</t>
  </si>
  <si>
    <t>黄达星</t>
  </si>
  <si>
    <t>夏宝存</t>
  </si>
  <si>
    <t>东城街道桑园广场后面二楼。</t>
  </si>
  <si>
    <t>广东省东莞市东城街道圃园东路</t>
  </si>
  <si>
    <t>张新平</t>
  </si>
  <si>
    <t>鲁斌</t>
  </si>
  <si>
    <t>梁海观</t>
  </si>
  <si>
    <t>赵康</t>
  </si>
  <si>
    <t>陈福强</t>
  </si>
  <si>
    <t>野日移</t>
  </si>
  <si>
    <t>王少龙</t>
  </si>
  <si>
    <t>吴云楼</t>
  </si>
  <si>
    <t>包海丰</t>
  </si>
  <si>
    <t>张小静</t>
  </si>
  <si>
    <t>山东省烟台市福山区栾驾路21号</t>
  </si>
  <si>
    <t>山东省烟台市福山区福桃路91号</t>
  </si>
  <si>
    <t>门国会</t>
  </si>
  <si>
    <t>潘翔</t>
  </si>
  <si>
    <t>刘峰华</t>
  </si>
  <si>
    <t>张阳阳</t>
  </si>
  <si>
    <t>齐书英</t>
  </si>
  <si>
    <t>陈桂标</t>
  </si>
  <si>
    <t>常健</t>
  </si>
  <si>
    <t>冯坤</t>
  </si>
  <si>
    <t>贾巧丽</t>
  </si>
  <si>
    <t>刘青青</t>
  </si>
  <si>
    <t>张瑞华</t>
  </si>
  <si>
    <t>屈莹</t>
  </si>
  <si>
    <t>周孝芳</t>
  </si>
  <si>
    <t>王英杰</t>
  </si>
  <si>
    <t>张财茂</t>
  </si>
  <si>
    <t>储坚云</t>
  </si>
  <si>
    <t>王围</t>
  </si>
  <si>
    <t>于尧</t>
  </si>
  <si>
    <t>杨德玉</t>
  </si>
  <si>
    <t>山东省济南市章丘市章丘区白云湖镇白云湖造纸厂西区</t>
  </si>
  <si>
    <t>山东省济宁市市中区海关路10号14号楼三单元105室</t>
  </si>
  <si>
    <t>依旺香</t>
  </si>
  <si>
    <t>廖堂颖</t>
  </si>
  <si>
    <t>文杰明</t>
  </si>
  <si>
    <t>徐宗财</t>
  </si>
  <si>
    <t>罗湛航</t>
  </si>
  <si>
    <t>林巧君</t>
  </si>
  <si>
    <t>陈海添</t>
  </si>
  <si>
    <t>余耀军</t>
  </si>
  <si>
    <t>罗泽喧</t>
  </si>
  <si>
    <t>王东亚</t>
  </si>
  <si>
    <t>北京市北京市丰台区北京市丰台区南四环中路宝辰汽车园</t>
  </si>
  <si>
    <t>北京市北京市丰台区南四环中路18号</t>
  </si>
  <si>
    <t>郑利建</t>
  </si>
  <si>
    <t>丁海琴</t>
  </si>
  <si>
    <t>侯洪继</t>
  </si>
  <si>
    <t>袁永会</t>
  </si>
  <si>
    <t>赵晓科</t>
  </si>
  <si>
    <t>宫连宏</t>
  </si>
  <si>
    <t>山西省朔州市应县左沙路南500米</t>
  </si>
  <si>
    <t>山西省朔州市应县南河种镇王宜庄村461号</t>
  </si>
  <si>
    <t>王华军</t>
  </si>
  <si>
    <t>于捷</t>
  </si>
  <si>
    <t>罗雍</t>
  </si>
  <si>
    <t>周丽芳</t>
  </si>
  <si>
    <t>柳杰</t>
  </si>
  <si>
    <t>胡仁伟</t>
  </si>
  <si>
    <t>梁春雄</t>
  </si>
  <si>
    <t>广东中山</t>
  </si>
  <si>
    <t>广东省中山市叠石村叠石出租房407号</t>
  </si>
  <si>
    <t>曹双灵</t>
  </si>
  <si>
    <t>盘云涛</t>
  </si>
  <si>
    <t>余玲</t>
  </si>
  <si>
    <t>钱政军</t>
  </si>
  <si>
    <t>胡尧</t>
  </si>
  <si>
    <t>彭治源</t>
  </si>
  <si>
    <t>姜念秋</t>
  </si>
  <si>
    <t>李昌承</t>
  </si>
  <si>
    <t>李哲</t>
  </si>
  <si>
    <t>李玉香</t>
  </si>
  <si>
    <t>彭文兵</t>
  </si>
  <si>
    <t>裴建华</t>
  </si>
  <si>
    <t>山西省晋城市泽州县大阳镇香山村三段</t>
  </si>
  <si>
    <t>山西省晋城市泽州县大阳镇一分街</t>
  </si>
  <si>
    <t>李道林</t>
  </si>
  <si>
    <t>王一冰</t>
  </si>
  <si>
    <t>宁夏银川市灵武市宁东镇临河工业园区A区</t>
  </si>
  <si>
    <t>宁夏银川市灵武市西湖人家6号楼三单元402</t>
  </si>
  <si>
    <t>李向涛</t>
  </si>
  <si>
    <t>邓红梅</t>
  </si>
  <si>
    <t>张永建</t>
  </si>
  <si>
    <t>王礼葵</t>
  </si>
  <si>
    <t>张玄飞</t>
  </si>
  <si>
    <t>山西省长治市壶关县龙泉镇西街316691号</t>
  </si>
  <si>
    <t>山西省长治市壶关县龙泉镇西街村紫园小区一单元三零二号</t>
  </si>
  <si>
    <t>马利军</t>
  </si>
  <si>
    <t>徐其森</t>
  </si>
  <si>
    <t>闫宝见</t>
  </si>
  <si>
    <t>郑黎明</t>
  </si>
  <si>
    <t xml:space="preserve">湖南省长沙市芙蓉区长沙市芙蓉区德政园明心苑8栋204房 </t>
  </si>
  <si>
    <t>湖南省长沙市岳麓区望城坡商贸城17栋</t>
  </si>
  <si>
    <t>袁浪</t>
  </si>
  <si>
    <t>戴晓锁</t>
  </si>
  <si>
    <t>王勃伟</t>
  </si>
  <si>
    <t>上海市上海市浦东新区耀华路251号</t>
  </si>
  <si>
    <t>魏雯卓</t>
  </si>
  <si>
    <t>卢俊英</t>
  </si>
  <si>
    <t>吴恩明</t>
  </si>
  <si>
    <t>朱应军</t>
  </si>
  <si>
    <t>漆丹杨</t>
  </si>
  <si>
    <t>余苗苗</t>
  </si>
  <si>
    <t>温德玉</t>
  </si>
  <si>
    <t>辽宁省营口市盖州市红旗大街64号</t>
  </si>
  <si>
    <t>辽宁省营口市盖州市西城街道金陵小区三号楼二单元201</t>
  </si>
  <si>
    <t>林圣向</t>
  </si>
  <si>
    <t>三亚市天涯区羊栏村中心路王芳兰铺面</t>
  </si>
  <si>
    <t>三亚市吉阳区月川中路西二巷145号</t>
  </si>
  <si>
    <t>蔡倩倩</t>
  </si>
  <si>
    <t>李金锋</t>
  </si>
  <si>
    <t>河南省新乡市长垣县卫州路建材市场南门口</t>
  </si>
  <si>
    <t>河南省新乡市卫辉市比干大道豫商时代广场二号楼二单元2201室</t>
  </si>
  <si>
    <t>王英华</t>
  </si>
  <si>
    <t>宋星星</t>
  </si>
  <si>
    <t>臧相涛</t>
  </si>
  <si>
    <t>河北省邯郸市丛台区丛台西路69号祥丰大厦-1-1602</t>
  </si>
  <si>
    <t>河北省邯郸市复兴区金顶花园2号楼一单元2005号</t>
  </si>
  <si>
    <t>张锦波</t>
  </si>
  <si>
    <t>王海翔</t>
  </si>
  <si>
    <t>郑怡婕</t>
  </si>
  <si>
    <t>李应贵</t>
  </si>
  <si>
    <t>朱启刚</t>
  </si>
  <si>
    <t>田炜林</t>
  </si>
  <si>
    <t>福建省漳州市龙文区建元路2号万达广场综合楼4楼</t>
  </si>
  <si>
    <t>福建省漳州市芗城区南坑街道延安北路46号</t>
  </si>
  <si>
    <t>田路</t>
  </si>
  <si>
    <t>张丽兵</t>
  </si>
  <si>
    <t>宋海</t>
  </si>
  <si>
    <t>杜振标</t>
  </si>
  <si>
    <t>陶巧玲</t>
  </si>
  <si>
    <t>陈林祥</t>
  </si>
  <si>
    <t>廖永彬</t>
  </si>
  <si>
    <t>罗人玮</t>
  </si>
  <si>
    <t>赵庚</t>
  </si>
  <si>
    <t>樊杨</t>
  </si>
  <si>
    <t>何登华</t>
  </si>
  <si>
    <t>袁良进</t>
  </si>
  <si>
    <t>司文军</t>
  </si>
  <si>
    <t>吴燕子</t>
  </si>
  <si>
    <t>王献勇</t>
  </si>
  <si>
    <t>陕西省西安市未央区凤城四路91号</t>
  </si>
  <si>
    <t>陕西省西安市雁塔区长延堡杏园小区8号楼3单元202室</t>
  </si>
  <si>
    <t>补清中</t>
  </si>
  <si>
    <t>齐石玺</t>
  </si>
  <si>
    <t>陶治全</t>
  </si>
  <si>
    <t>刘廷</t>
  </si>
  <si>
    <t>徐得宝</t>
  </si>
  <si>
    <t>刘伟强</t>
  </si>
  <si>
    <t>王美强</t>
  </si>
  <si>
    <t>韦武极</t>
  </si>
  <si>
    <t>隋迎宸</t>
  </si>
  <si>
    <t>杨建军</t>
  </si>
  <si>
    <t>湖南省益阳市赫山区金山南路460号</t>
  </si>
  <si>
    <t>湖南省益阳市赫山区金山南路金山花园6栋302</t>
  </si>
  <si>
    <t>韩宝良</t>
  </si>
  <si>
    <t>安辉</t>
  </si>
  <si>
    <t>李金帅</t>
  </si>
  <si>
    <t>河北省邢台市威县腾飞路经济开发区</t>
  </si>
  <si>
    <t>河北省邢台市威县河北省邢台市威县枣园乡鸡泽屯</t>
  </si>
  <si>
    <t>四川省泸州市龙马潭区佳乐世纪城金融中心9号楼55楼</t>
  </si>
  <si>
    <t>四川省泸州市龙马潭区玉龙苑二区9号楼2号</t>
  </si>
  <si>
    <t>宋鹏</t>
  </si>
  <si>
    <t>姚弘毅</t>
  </si>
  <si>
    <t>河南省郑州市金水区索凌路信和路06号楼08商铺</t>
  </si>
  <si>
    <t>河南省郑州市金水区国基路168号院罗曼维森西区21号楼109</t>
  </si>
  <si>
    <t>张秀才</t>
  </si>
  <si>
    <t>窦虎</t>
  </si>
  <si>
    <t>王俊凯</t>
  </si>
  <si>
    <t>龚莹</t>
  </si>
  <si>
    <t>唐桂胜</t>
  </si>
  <si>
    <t>闫永震</t>
  </si>
  <si>
    <t>陈翠林</t>
  </si>
  <si>
    <t>高晓艳</t>
  </si>
  <si>
    <t>晁超</t>
  </si>
  <si>
    <t>陈雪霜</t>
  </si>
  <si>
    <t>魏红涛</t>
  </si>
  <si>
    <t>李慧彪</t>
  </si>
  <si>
    <t>河南省濮阳市华龙区胜利路与金堤路交叉口向西10米路南288号</t>
  </si>
  <si>
    <t>河南省濮阳市华龙区胜利路西北仓南街五号楼一单元3022室</t>
  </si>
  <si>
    <t>吕争争</t>
  </si>
  <si>
    <t>河北省廊坊市文安县新镇镇新钢工业园区</t>
  </si>
  <si>
    <t>河北省廊坊市文安县新镇镇鲁庄子</t>
  </si>
  <si>
    <t>娄明</t>
  </si>
  <si>
    <t>欧阳起鹏</t>
  </si>
  <si>
    <t>湖南省长沙市芙蓉区万象凯旋湾1栋2单元1206</t>
  </si>
  <si>
    <t>湖南省长沙市天心区韶山南路文源街道富绿山庄6栋1单元102</t>
  </si>
  <si>
    <t>河北省保定市南市区五尧中学东行100米路北</t>
  </si>
  <si>
    <t>河北省保定市南市区四平庄村三羊胡同35号</t>
  </si>
  <si>
    <t>吴清秀</t>
  </si>
  <si>
    <t>詹晓平</t>
  </si>
  <si>
    <t>彭明旭</t>
  </si>
  <si>
    <t>马功帅</t>
  </si>
  <si>
    <t>高喜灵</t>
  </si>
  <si>
    <t>上海市上海市浦东新区康桥东路1288号</t>
  </si>
  <si>
    <t>上海市上海市浦东新区康桥镇康桥东路333号</t>
  </si>
  <si>
    <t>赵庆阳</t>
  </si>
  <si>
    <t>余荣健</t>
  </si>
  <si>
    <t>康东方</t>
  </si>
  <si>
    <t>薛静静</t>
  </si>
  <si>
    <t>徐新星</t>
  </si>
  <si>
    <t>蔡少明</t>
  </si>
  <si>
    <t>庹贞松</t>
  </si>
  <si>
    <t>贵州省铜仁市石阡县石阡县甘溪路6号</t>
  </si>
  <si>
    <t>贵州省铜仁市石阡县石阡县越城花园1栋1单元</t>
  </si>
  <si>
    <t>何煌</t>
  </si>
  <si>
    <t>胡俊斌</t>
  </si>
  <si>
    <t>才宇宏</t>
  </si>
  <si>
    <t>黄绪铭</t>
  </si>
  <si>
    <t>四川省成都市青羊区提督街1号</t>
  </si>
  <si>
    <t>四川省成都市锦江区西丁字街5号3-3</t>
  </si>
  <si>
    <t>广西南宁市江南区广西南宁市西乡塘滨河路5号</t>
  </si>
  <si>
    <t>广西南宁市江南区广西南宁江南区星光大道昌尔禄106号</t>
  </si>
  <si>
    <t>郭婷婷</t>
  </si>
  <si>
    <t>匡彦沛</t>
  </si>
  <si>
    <t>胡长江</t>
  </si>
  <si>
    <t>桑斌斌</t>
  </si>
  <si>
    <t>山西省长治市潞城市翟电开发区28号</t>
  </si>
  <si>
    <t>山西省长治市潞城市东街碧水苑小区3号楼1单元501</t>
  </si>
  <si>
    <t>温东平</t>
  </si>
  <si>
    <t>田毅</t>
  </si>
  <si>
    <t>张全寿</t>
  </si>
  <si>
    <t>吴成新</t>
  </si>
  <si>
    <t>罗兰飞</t>
  </si>
  <si>
    <t>福建省莆田市城厢区福建省莆田市城厢区灵川镇辉强鞋业</t>
  </si>
  <si>
    <t>贵州省黔南布依族苗族自治州都匀市贵州省贵定县</t>
  </si>
  <si>
    <t>祖宝岭</t>
  </si>
  <si>
    <t>石承才</t>
  </si>
  <si>
    <t>陈秀丽</t>
  </si>
  <si>
    <t>周二猛</t>
  </si>
  <si>
    <t>山东省济南市章丘市小义乌二手车交易市场</t>
  </si>
  <si>
    <t>山东省济南市章丘市普集镇池子头村果园路3号</t>
  </si>
  <si>
    <t>廖勇勇</t>
  </si>
  <si>
    <t>陈文勤</t>
  </si>
  <si>
    <t>程湖</t>
  </si>
  <si>
    <t>张海彬</t>
  </si>
  <si>
    <t>王波波</t>
  </si>
  <si>
    <t>石宏亮</t>
  </si>
  <si>
    <t>林火根</t>
  </si>
  <si>
    <t>周志凡</t>
  </si>
  <si>
    <t>张成文</t>
  </si>
  <si>
    <t>湖南省株洲市攸县攸县</t>
  </si>
  <si>
    <t>湖南攸县</t>
  </si>
  <si>
    <t>胡生红</t>
  </si>
  <si>
    <t>广东省深圳市龙岗区坪地街道办振兴1路</t>
  </si>
  <si>
    <t>江西省赣州市会昌县西江镇饼丘村山龙口34号</t>
  </si>
  <si>
    <t>翟咪</t>
  </si>
  <si>
    <t>孟邓雨</t>
  </si>
  <si>
    <t>武瑞江</t>
  </si>
  <si>
    <t>朱武高</t>
  </si>
  <si>
    <t>曹盟</t>
  </si>
  <si>
    <t>山东省德州市陵县陵州路2号</t>
  </si>
  <si>
    <t>山东省德州市陵县东街新村区1号内11号</t>
  </si>
  <si>
    <t>王治锦</t>
  </si>
  <si>
    <t>管航</t>
  </si>
  <si>
    <t>钱小明</t>
  </si>
  <si>
    <t>朱海芳</t>
  </si>
  <si>
    <t>陈和元</t>
  </si>
  <si>
    <t>福建省福州市平潭县平原镇江楼村</t>
  </si>
  <si>
    <t>福建省福州市永泰县霞拔拔乡仁里村</t>
  </si>
  <si>
    <t>祝广俊</t>
  </si>
  <si>
    <t>杨福金</t>
  </si>
  <si>
    <t>云南省大理白族自治州大理市下关正阳时代广场B座1-1</t>
  </si>
  <si>
    <t>云南省大理白族自治州大理市下关镇大关邑村二组68号</t>
  </si>
  <si>
    <t>王忠宏</t>
  </si>
  <si>
    <t>江苏省无锡市锡山区东港镇港下湖塘桥开发区一号</t>
  </si>
  <si>
    <t>安徽省安庆市怀宁县三桥镇龙门村毕坂组004号</t>
  </si>
  <si>
    <t>姚楚涛</t>
  </si>
  <si>
    <t>王东雪</t>
  </si>
  <si>
    <t>金明秋</t>
  </si>
  <si>
    <t>内蒙古通辽市科尔沁左翼后旗内蒙古自治区通辽市科尔沁左翼后旗查日苏镇</t>
  </si>
  <si>
    <t>内蒙古通辽市科尔沁左翼后旗内蒙古自治区通辽市科尔沁左翼后旗查日苏镇布敦花嘎查</t>
  </si>
  <si>
    <t>韩文宇</t>
  </si>
  <si>
    <t>辽宁省锦州市太和区桃园北里10号</t>
  </si>
  <si>
    <t>辽宁省锦州市古塔区长安里32号301</t>
  </si>
  <si>
    <t>胡晶</t>
  </si>
  <si>
    <t>于良安</t>
  </si>
  <si>
    <t>时娜</t>
  </si>
  <si>
    <t>李星月</t>
  </si>
  <si>
    <t>黑龙江省大庆市让胡路区东湖天湖路</t>
  </si>
  <si>
    <t>黑龙江省大庆市让胡路区东湖一区114栋1单元301室</t>
  </si>
  <si>
    <t>钟启春</t>
  </si>
  <si>
    <t>李双佳</t>
  </si>
  <si>
    <t>吕亚君</t>
  </si>
  <si>
    <t>王梦娇</t>
  </si>
  <si>
    <t>阳振宇</t>
  </si>
  <si>
    <t>湖南省衡阳市蒸湘区解放大道21号</t>
  </si>
  <si>
    <t>湖南省衡阳市蒸湘区钢管厂家属区32栋</t>
  </si>
  <si>
    <t>程东全</t>
  </si>
  <si>
    <t>杨三河</t>
  </si>
  <si>
    <t>周俊宏</t>
  </si>
  <si>
    <t>江丹丹</t>
  </si>
  <si>
    <t>辽宁省丹东市振兴区人防路15号</t>
  </si>
  <si>
    <t>关力源</t>
  </si>
  <si>
    <t>包芙蓉</t>
  </si>
  <si>
    <t>李其键</t>
  </si>
  <si>
    <t>林才杰</t>
  </si>
  <si>
    <t>陶红</t>
  </si>
  <si>
    <t>柴艳龙</t>
  </si>
  <si>
    <t>潘琼</t>
  </si>
  <si>
    <t>张积延</t>
  </si>
  <si>
    <t>骆翔</t>
  </si>
  <si>
    <t>吴慧群</t>
  </si>
  <si>
    <t>班蕾</t>
  </si>
  <si>
    <t>常保森</t>
  </si>
  <si>
    <t>冯思普</t>
  </si>
  <si>
    <t>叶艳萍</t>
  </si>
  <si>
    <t>内蒙古呼和浩特市玉泉区印象江南一期六号楼底商</t>
  </si>
  <si>
    <t>内蒙古呼和浩特市新城区车站西街金太广场九号楼四单元602</t>
  </si>
  <si>
    <t>李金保</t>
  </si>
  <si>
    <t>敖章明</t>
  </si>
  <si>
    <t>福建省福州市福清市龙江街道龙江路275号</t>
  </si>
  <si>
    <t>福建省福州市福清市融城镇玉屏何厝巷19号</t>
  </si>
  <si>
    <t>孙清清</t>
  </si>
  <si>
    <t>宋德明</t>
  </si>
  <si>
    <t>马兴平</t>
  </si>
  <si>
    <t>杨维静</t>
  </si>
  <si>
    <t>张福鑫</t>
  </si>
  <si>
    <t>马雅兰</t>
  </si>
  <si>
    <t>王永金</t>
  </si>
  <si>
    <t>江西省吉安市安福县江西省吉安市安福县平都镇教堂路福瑞大酒店</t>
  </si>
  <si>
    <t>江西省吉安市安福县豪德公馆606</t>
  </si>
  <si>
    <t>梁家豪</t>
  </si>
  <si>
    <t>广西钦州市钦北区永福东大街17号万锦华府7栋二单元802</t>
  </si>
  <si>
    <t>广西钦州市钦北区金中街95号</t>
  </si>
  <si>
    <t>庄元</t>
  </si>
  <si>
    <t>刘炳春</t>
  </si>
  <si>
    <t>张畅</t>
  </si>
  <si>
    <t>盛启敏</t>
  </si>
  <si>
    <t>李偏偏</t>
  </si>
  <si>
    <t>蒋可新</t>
  </si>
  <si>
    <t>马来运</t>
  </si>
  <si>
    <t>李加艳</t>
  </si>
  <si>
    <t>陀剑岐</t>
  </si>
  <si>
    <t>段遵琛</t>
  </si>
  <si>
    <t>褚洪甫</t>
  </si>
  <si>
    <t>方猛</t>
  </si>
  <si>
    <t>江苏省苏州市姑苏区苏州市姑苏区北园路46号</t>
  </si>
  <si>
    <t>江苏省苏州市姑苏区史家巷8号城市公寓5楼503房</t>
  </si>
  <si>
    <t>买文祥</t>
  </si>
  <si>
    <t>林国洪</t>
  </si>
  <si>
    <t>吕天阳</t>
  </si>
  <si>
    <t>谢建平</t>
  </si>
  <si>
    <t>李文雅</t>
  </si>
  <si>
    <t>陶文明</t>
  </si>
  <si>
    <t>董军军</t>
  </si>
  <si>
    <t>内蒙古通辽市科尔沁区民主路1000号</t>
  </si>
  <si>
    <t>内蒙古通辽市科尔沁区碧桂园塞上春色6号楼2单元602室</t>
  </si>
  <si>
    <t>刘正平</t>
  </si>
  <si>
    <t>崔伟灿</t>
  </si>
  <si>
    <t>山东省荷泽市巨野县人民路与蚩尤路交叉口</t>
  </si>
  <si>
    <t>山东省荷泽市巨野县人民路东盛家园1号楼402室</t>
  </si>
  <si>
    <t>朱盼</t>
  </si>
  <si>
    <t>甘肃省庆阳市环县环县环江大道惠农大厦向南一百米博奥汽车装潢部</t>
  </si>
  <si>
    <t>甘肃省庆阳市西峰区环县中街邮局对面电影院巷子70号</t>
  </si>
  <si>
    <t>庞陈斌</t>
  </si>
  <si>
    <t>屈少文</t>
  </si>
  <si>
    <t>陕西省榆林市榆阳区高新开发区融智大厦B座1104室</t>
  </si>
  <si>
    <t>陕西省榆林市榆阳区金榆小区23号楼一单元703</t>
  </si>
  <si>
    <t>仲雨桐</t>
  </si>
  <si>
    <t>尹玉龙</t>
  </si>
  <si>
    <t>胡刘鹏</t>
  </si>
  <si>
    <t>晏益峰</t>
  </si>
  <si>
    <t>高越</t>
  </si>
  <si>
    <t>连仁琪</t>
  </si>
  <si>
    <t>魏铭</t>
  </si>
  <si>
    <t>黑龙江省哈尔滨市道里区大安街100号</t>
  </si>
  <si>
    <t>黑龙江省哈尔滨市道里区抚顺街373号1单元401</t>
  </si>
  <si>
    <t>何明生</t>
  </si>
  <si>
    <t>王兰源</t>
  </si>
  <si>
    <t>杨静仁</t>
  </si>
  <si>
    <t>王佳宾</t>
  </si>
  <si>
    <t>王喜玉</t>
  </si>
  <si>
    <t>丁青</t>
  </si>
  <si>
    <t>王永杰</t>
  </si>
  <si>
    <t>金豆</t>
  </si>
  <si>
    <t>拓鹏伟</t>
  </si>
  <si>
    <t>孙林敏</t>
  </si>
  <si>
    <t>宁煜涵</t>
  </si>
  <si>
    <t>许学丁</t>
  </si>
  <si>
    <t>王昌杰</t>
  </si>
  <si>
    <t>柳敏</t>
  </si>
  <si>
    <t>张寿山</t>
  </si>
  <si>
    <t>李本响</t>
  </si>
  <si>
    <t>乐阳</t>
  </si>
  <si>
    <t>李小强</t>
  </si>
  <si>
    <t>刘倩倩</t>
  </si>
  <si>
    <t>胡月</t>
  </si>
  <si>
    <t>韦俐宏</t>
  </si>
  <si>
    <t>周振华</t>
  </si>
  <si>
    <t>黄永亮</t>
  </si>
  <si>
    <t>赵美鑫</t>
  </si>
  <si>
    <t>黑龙江省哈尔滨市双城市文昌大街远大鞋城楼下</t>
  </si>
  <si>
    <t>黑龙江省哈尔滨市双城市双城区新兴镇新华村一委</t>
  </si>
  <si>
    <t>可为聪</t>
  </si>
  <si>
    <t>孙景军</t>
  </si>
  <si>
    <t>山西省运城市盐湖区运城市盐湖区条山街167号</t>
  </si>
  <si>
    <t>山西省运城市盐湖区运城市盐湖区条山街南三巷67号小风公寓4楼401</t>
  </si>
  <si>
    <t>于庆臣</t>
  </si>
  <si>
    <t>朱炜玮</t>
  </si>
  <si>
    <t>郭顺</t>
  </si>
  <si>
    <t>山东省枣庄市市中区建华路鲁南装饰城1130号</t>
  </si>
  <si>
    <t>山东省枣庄市市中区光明路办事处利民1129号</t>
  </si>
  <si>
    <t>张榆铜</t>
  </si>
  <si>
    <t>杜成杰</t>
  </si>
  <si>
    <t>广西北海市海城区广西省北海市海城区新世纪大道与上海路往东300米</t>
  </si>
  <si>
    <t>广西省北海市银海区南京路万泉城一区19栋1001室</t>
  </si>
  <si>
    <t>秦兆杰</t>
  </si>
  <si>
    <t>胡东林</t>
  </si>
  <si>
    <t>吴振</t>
  </si>
  <si>
    <t>张周妹</t>
  </si>
  <si>
    <t>郑春念</t>
  </si>
  <si>
    <t>李成禄</t>
  </si>
  <si>
    <t>苗江涛</t>
  </si>
  <si>
    <t>杨明峰</t>
  </si>
  <si>
    <t>庄添雄</t>
  </si>
  <si>
    <t>蔡松荣</t>
  </si>
  <si>
    <t>张振江</t>
  </si>
  <si>
    <t>刘家良</t>
  </si>
  <si>
    <t>王增辉</t>
  </si>
  <si>
    <t>斯琴图雅</t>
  </si>
  <si>
    <t>韦若丰</t>
  </si>
  <si>
    <t>苏丹</t>
  </si>
  <si>
    <t>晋保兵</t>
  </si>
  <si>
    <t>季浩洋</t>
  </si>
  <si>
    <t>管丽娜</t>
  </si>
  <si>
    <t>孟坚</t>
  </si>
  <si>
    <t>崔新涛</t>
  </si>
  <si>
    <t>蔚稳华</t>
  </si>
  <si>
    <t>邓琼</t>
  </si>
  <si>
    <t>郎昊鹏</t>
  </si>
  <si>
    <t>辽宁省大连市甘井子区华南广场中南大厦A座1608</t>
  </si>
  <si>
    <t>辽宁省大连市中山区西南路飞扬公寓2-508</t>
  </si>
  <si>
    <t>蒋宏阳</t>
  </si>
  <si>
    <t>季玲</t>
  </si>
  <si>
    <t>王叶</t>
  </si>
  <si>
    <t>梁鸿成</t>
  </si>
  <si>
    <t>广东省深圳市宝安区深圳市沙井新桥芙蓉工业区芙蓉七路2号九楼F2</t>
  </si>
  <si>
    <t>广东省深圳市宝安区深圳市沙井新桥芙蓉工业区芙蓉六路41号</t>
  </si>
  <si>
    <t>杨清勇</t>
  </si>
  <si>
    <t>黄翠</t>
  </si>
  <si>
    <t>郭庆亮</t>
  </si>
  <si>
    <t>王熠</t>
  </si>
  <si>
    <t>郑友军</t>
  </si>
  <si>
    <t>黄芮</t>
  </si>
  <si>
    <t>王长安</t>
  </si>
  <si>
    <t>辽宁省鞍山市千山区辽宁省鞍山市千山区千山西路8号（达道湾镇政府后楼206室）</t>
  </si>
  <si>
    <t>辽宁省鞍山市立山区辽宁省鞍山市立山区曙光新风社区新风委351栋2单元5层25号</t>
  </si>
  <si>
    <t>黄群</t>
  </si>
  <si>
    <t>黄存</t>
  </si>
  <si>
    <t>王冬雪</t>
  </si>
  <si>
    <t>黑龙江省哈尔滨市南岗区哈尔滨大街643号</t>
  </si>
  <si>
    <t>黑龙江省哈尔滨市南岗区哈西大街923号巴黎第五区13号楼2单元1901</t>
  </si>
  <si>
    <t>王庆飞</t>
  </si>
  <si>
    <t>黄大钦</t>
  </si>
  <si>
    <t>万黎明</t>
  </si>
  <si>
    <t>祁复鹏</t>
  </si>
  <si>
    <t>甘肃省兰州市城关区雁滩建材市场二部24-25</t>
  </si>
  <si>
    <t>甘肃省兰州市城关区九州金利花园六号区一单元102</t>
  </si>
  <si>
    <t>赵建军</t>
  </si>
  <si>
    <t>蔡泽荣</t>
  </si>
  <si>
    <t>郑康勇</t>
  </si>
  <si>
    <t>广西南宁市兴宁区公园路一号</t>
  </si>
  <si>
    <t>广西南宁市西乡塘区万秀村东一巷22号</t>
  </si>
  <si>
    <t>吴紫荆</t>
  </si>
  <si>
    <t>福建省三明市尤溪县福建省三明市尤溪县城关镇七五路4号</t>
  </si>
  <si>
    <t>福建省三明市尤溪县城关镇大儒名城2号楼708室</t>
  </si>
  <si>
    <t>杜婷婷</t>
  </si>
  <si>
    <t>于志明</t>
  </si>
  <si>
    <t>李丽钗</t>
  </si>
  <si>
    <t>四川省宜宾市翠屏区宜宾市安阜月耳池亍108号</t>
  </si>
  <si>
    <t>四川省宜宾市翠屏区宜宾市安阜和苑小区22栋1单元3楼4号</t>
  </si>
  <si>
    <t>黄俊健</t>
  </si>
  <si>
    <t>雷俊浩</t>
  </si>
  <si>
    <t>冯银平</t>
  </si>
  <si>
    <t>熊宗贵</t>
  </si>
  <si>
    <t>广西柳州市柳江县第一工业开远东路7号</t>
  </si>
  <si>
    <t>广西柳州市柳江县拉堡镇金竺花苑中四巷31号</t>
  </si>
  <si>
    <t>唐绍国</t>
  </si>
  <si>
    <t>山东省济宁市任城区山推事业园</t>
  </si>
  <si>
    <t>山东省济宁市任城区柳行街道杨柳国际新城尚品2号楼1603</t>
  </si>
  <si>
    <t>廖小妮</t>
  </si>
  <si>
    <t>周诚焕</t>
  </si>
  <si>
    <t>浙江省杭州市西湖区万塘路8号黄龙时代广场A座14楼</t>
  </si>
  <si>
    <t>浙江省杭州市西湖区古墩路598号同人广场B座512室</t>
  </si>
  <si>
    <t>黄雄</t>
  </si>
  <si>
    <t>郑群发</t>
  </si>
  <si>
    <t>云南省临沧市临翔区孟定镇嘎孟召路与永罕路交叉口</t>
  </si>
  <si>
    <t>云南省临沧市双江拉祜族佤族布朗族傣族自治县孟定镇农场四分场</t>
  </si>
  <si>
    <t>谭思润</t>
  </si>
  <si>
    <t>罗前阳</t>
  </si>
  <si>
    <t>朱春旭</t>
  </si>
  <si>
    <t>毛生顶</t>
  </si>
  <si>
    <t>云南省昆明市西山区前卫西路苹果谷98号</t>
  </si>
  <si>
    <t>云南省昆明市西山区金广路亚龙小区8栋7单元702号</t>
  </si>
  <si>
    <t>郭利</t>
  </si>
  <si>
    <t>翟元刚</t>
  </si>
  <si>
    <t>河北省张家口市桥西区桥西区财富中心c座602室</t>
  </si>
  <si>
    <t>河北省张家口市桥西区党校家属楼3单元402</t>
  </si>
  <si>
    <t>杨帅</t>
  </si>
  <si>
    <t>郑萍萍</t>
  </si>
  <si>
    <t>广东省广州市白云区嘉禾街新科村八社第二工业园自编18号</t>
  </si>
  <si>
    <t>广东省广州市白云区均禾街道下新村街四巷10号603</t>
  </si>
  <si>
    <t>朱雪梅</t>
  </si>
  <si>
    <t>王锁</t>
  </si>
  <si>
    <t>杨明天</t>
  </si>
  <si>
    <t>施恩凯</t>
  </si>
  <si>
    <t>李敏涛</t>
  </si>
  <si>
    <t>贾坤洋</t>
  </si>
  <si>
    <t>叶丽霞</t>
  </si>
  <si>
    <t>苗永杰</t>
  </si>
  <si>
    <t>郭旭东</t>
  </si>
  <si>
    <t>辽宁省阜新市海州区振兴路44号</t>
  </si>
  <si>
    <t>辽宁省阜新市海州区平安路20号5栋408室</t>
  </si>
  <si>
    <t>董超群</t>
  </si>
  <si>
    <t>彭江东</t>
  </si>
  <si>
    <t>内蒙古乌海市海勃湾区金欲市场</t>
  </si>
  <si>
    <t>袁荣耀</t>
  </si>
  <si>
    <t>任静怡</t>
  </si>
  <si>
    <t>马晓红</t>
  </si>
  <si>
    <t>邓成成</t>
  </si>
  <si>
    <t>何莎莎</t>
  </si>
  <si>
    <t>河北省保定市南市区阳光南大街288号</t>
  </si>
  <si>
    <t>河北省保定市北市区医德胡同64门10栋2单元402号</t>
  </si>
  <si>
    <t>戴维</t>
  </si>
  <si>
    <t>王韶愈</t>
  </si>
  <si>
    <t>刘涌佳</t>
  </si>
  <si>
    <t>郑柏林</t>
  </si>
  <si>
    <t>曾庆军</t>
  </si>
  <si>
    <t>广东省云浮市云城区云城街道环市西路教育园区</t>
  </si>
  <si>
    <t>广东省云浮市云城区高峰街道高峰村委西溪塘村71号</t>
  </si>
  <si>
    <t>赵喜红</t>
  </si>
  <si>
    <t>马超辉</t>
  </si>
  <si>
    <t>梁悦颖</t>
  </si>
  <si>
    <t>庄成通</t>
  </si>
  <si>
    <t>吕长勇</t>
  </si>
  <si>
    <t>河南省信阳市浉河区固始县幸福路与光明路交叉口向西一百米</t>
  </si>
  <si>
    <t>河南省信阳市固始县固始县金色阳光小区23号楼三单元406</t>
  </si>
  <si>
    <t>聂慧敏</t>
  </si>
  <si>
    <t>山东省潍坊市临朐县兴隆路中段</t>
  </si>
  <si>
    <t>山东省潍坊市临朐县文化路家属院</t>
  </si>
  <si>
    <t>高丽丽</t>
  </si>
  <si>
    <t>倪龙</t>
  </si>
  <si>
    <t>孙源泽</t>
  </si>
  <si>
    <t>王麒鹏</t>
  </si>
  <si>
    <t>谢惠</t>
  </si>
  <si>
    <t>河南省漯河市源汇区五一路与马路街交叉口</t>
  </si>
  <si>
    <t>河南省漯河市源汇区五一路</t>
  </si>
  <si>
    <t>母建锋</t>
  </si>
  <si>
    <t>涂戈</t>
  </si>
  <si>
    <t>王庆晴</t>
  </si>
  <si>
    <t>李向明</t>
  </si>
  <si>
    <t>林镇</t>
  </si>
  <si>
    <t>陈金凯</t>
  </si>
  <si>
    <t>邬效军</t>
  </si>
  <si>
    <t>李书杰</t>
  </si>
  <si>
    <t>陈海露</t>
  </si>
  <si>
    <t>江苏省常州市天宁区青龙西路118号九龙新世纪商贸城</t>
  </si>
  <si>
    <t>江苏省常州市钟楼区民丰路民丰窑12号</t>
  </si>
  <si>
    <t>吴莲</t>
  </si>
  <si>
    <t>康振</t>
  </si>
  <si>
    <t>冉啟红</t>
  </si>
  <si>
    <t>黄立健</t>
  </si>
  <si>
    <t>李泽斌</t>
  </si>
  <si>
    <t>云南省曲靖市麒麟区医专旁翠河路与三元路交叉口</t>
  </si>
  <si>
    <t>云南省曲靖市麒麟区西城街道湛大屯社区王大屯村</t>
  </si>
  <si>
    <t>郑银菊</t>
  </si>
  <si>
    <t>纳剑龙</t>
  </si>
  <si>
    <t>王国中</t>
  </si>
  <si>
    <t>赵春平</t>
  </si>
  <si>
    <t>柳晨良</t>
  </si>
  <si>
    <t>郑燕飞</t>
  </si>
  <si>
    <t>杨云飞</t>
  </si>
  <si>
    <t>刘长军</t>
  </si>
  <si>
    <t>黄昌峻</t>
  </si>
  <si>
    <t>云南省西双版纳傣族自治州景洪市宣慰大道130号</t>
  </si>
  <si>
    <t>云南省西双版纳傣族自治州景洪市云南省景洪市宣慰大道130号</t>
  </si>
  <si>
    <t>福建省龙岩市新罗区紫金一号H幢918室</t>
  </si>
  <si>
    <t>福建省龙岩市新罗区小洋新城13号楼一梯803室</t>
  </si>
  <si>
    <t>苏艳虹</t>
  </si>
  <si>
    <t>吴斯娜</t>
  </si>
  <si>
    <t>林强</t>
  </si>
  <si>
    <t>苏娟</t>
  </si>
  <si>
    <t>彭园风</t>
  </si>
  <si>
    <t>福建省泉州市惠安县东园镇杏秀路口</t>
  </si>
  <si>
    <t>福建省泉州市丰泽区宝洲路252号巷298号</t>
  </si>
  <si>
    <t>常金友</t>
  </si>
  <si>
    <t>崔小虎</t>
  </si>
  <si>
    <t>杨泽锋</t>
  </si>
  <si>
    <t>广东省广州市海珠区瑞康路国际轻纺城负一层UG1697</t>
  </si>
  <si>
    <t>广东省广州市海珠区南华东路朗晴居二期G栋401</t>
  </si>
  <si>
    <t>邱爱民</t>
  </si>
  <si>
    <t>欧阳民兵</t>
  </si>
  <si>
    <t>江西省上饶市鄱阳县鄱阳镇人民北路朱家桥村委会108号</t>
  </si>
  <si>
    <t>江西省上饶市鄱阳县三庙前乡黄家山村</t>
  </si>
  <si>
    <t>王思莹</t>
  </si>
  <si>
    <t>林慧</t>
  </si>
  <si>
    <t>海南省海口市秀英区海南省海口市美兰区海秀东路8号望海国际商业广场4层inxx专柜</t>
  </si>
  <si>
    <t>海南省海口市秀英区龙舌坡农贸市场六楼622</t>
  </si>
  <si>
    <t>李建龙</t>
  </si>
  <si>
    <t>张亭</t>
  </si>
  <si>
    <t>河北省保定市曲阳县恒州镇正阳街与南环路交叉口</t>
  </si>
  <si>
    <t>河北省保定市曲阳县下河乡宿家庄村124号</t>
  </si>
  <si>
    <t>伍中成</t>
  </si>
  <si>
    <t>冼叶华</t>
  </si>
  <si>
    <t>刘桐</t>
  </si>
  <si>
    <t>黄荣华</t>
  </si>
  <si>
    <t>薛淑莲</t>
  </si>
  <si>
    <t>谭辉锋</t>
  </si>
  <si>
    <t>包双锁</t>
  </si>
  <si>
    <t>张腾飞</t>
  </si>
  <si>
    <t>杜建坤</t>
  </si>
  <si>
    <t>山东省临沂市苍山县东环路南段西侧</t>
  </si>
  <si>
    <t>山东省临沂市苍山县泉山国际五号楼1002</t>
  </si>
  <si>
    <t>吴晓胜</t>
  </si>
  <si>
    <t>何朗萍</t>
  </si>
  <si>
    <t>张新红</t>
  </si>
  <si>
    <t>陈秀秀</t>
  </si>
  <si>
    <t>海南省三沙市儋州市海南省儋州市华南热带农业科学院</t>
  </si>
  <si>
    <t>海南省海口市龙华区儋州市宝岛新村试验场金富队</t>
  </si>
  <si>
    <t>山东省枣庄市薛城区广润路999号</t>
  </si>
  <si>
    <t>山东省枣庄市薛城区陶庄镇幸福花苑东区501</t>
  </si>
  <si>
    <t>王伟东</t>
  </si>
  <si>
    <t>芦亮亮</t>
  </si>
  <si>
    <t>王建燕</t>
  </si>
  <si>
    <t>刘云清</t>
  </si>
  <si>
    <t>蒋熙强</t>
  </si>
  <si>
    <t>陶龙山</t>
  </si>
  <si>
    <t>孙玉军</t>
  </si>
  <si>
    <t>山西省朔州市应县应浑路北21号</t>
  </si>
  <si>
    <t>山西省朔州市朔城区育才北街天美丽苑小区</t>
  </si>
  <si>
    <t>邓名龙</t>
  </si>
  <si>
    <t>黄煌</t>
  </si>
  <si>
    <t>王明爽</t>
  </si>
  <si>
    <t>买成龙</t>
  </si>
  <si>
    <t>宁夏石嘴山市大武口区火车站西侧</t>
  </si>
  <si>
    <t>宁夏石嘴山市平罗县玉龚路二建公司综合楼三单元302</t>
  </si>
  <si>
    <t>韩来吉</t>
  </si>
  <si>
    <t>郑泽亮</t>
  </si>
  <si>
    <t>王鑫豪</t>
  </si>
  <si>
    <t>刘治华</t>
  </si>
  <si>
    <t>余尚潮</t>
  </si>
  <si>
    <t>陕西省安康市汉滨区安康市大桥路79号</t>
  </si>
  <si>
    <t>陕西省安康市汉滨区安康市汉滨区五里镇金鸡山村6组</t>
  </si>
  <si>
    <t>白松</t>
  </si>
  <si>
    <t>唐晓</t>
  </si>
  <si>
    <t>储苏伟</t>
  </si>
  <si>
    <t>山东省济南市天桥区明湖西路777号明湖广场3号楼804室</t>
  </si>
  <si>
    <t>山东省济南市天桥区铁道北街3号楼3单元702室</t>
  </si>
  <si>
    <t>范海涛</t>
  </si>
  <si>
    <t>李茂城</t>
  </si>
  <si>
    <t>姚琰</t>
  </si>
  <si>
    <t>曾祥敏</t>
  </si>
  <si>
    <t>苏广汉</t>
  </si>
  <si>
    <t>陈元怀</t>
  </si>
  <si>
    <t>山西省朔州市朔城区建设北路民福东街6号</t>
  </si>
  <si>
    <t>山西省朔州市朔城区建设南路同安小区4号楼二单元201</t>
  </si>
  <si>
    <t>范鑫</t>
  </si>
  <si>
    <t>山东省烟台市芝罘区幸福路付012号</t>
  </si>
  <si>
    <t>山东省烟台市芝罘区黄山东街19号内14号</t>
  </si>
  <si>
    <t>赵耀</t>
  </si>
  <si>
    <t>赵翠群</t>
  </si>
  <si>
    <t>尤耀申</t>
  </si>
  <si>
    <t>陈姝心</t>
  </si>
  <si>
    <t>周楚兮</t>
  </si>
  <si>
    <t>叶晓梅</t>
  </si>
  <si>
    <t>姚海华</t>
  </si>
  <si>
    <t>徐宁</t>
  </si>
  <si>
    <t>李海军</t>
  </si>
  <si>
    <t>浙江省杭州市萧山区党湾镇文化路207号</t>
  </si>
  <si>
    <t>浙江省杭州市萧山区党湾镇勤联村勤劳20组10号</t>
  </si>
  <si>
    <t>曹志芳</t>
  </si>
  <si>
    <t>河北省衡水市枣强县河北省衡水市枣强县建设南路老十字街南行100米</t>
  </si>
  <si>
    <t>河北省衡水市枣强县恩察镇恩察新区西街</t>
  </si>
  <si>
    <t>杨柱芳</t>
  </si>
  <si>
    <t>江苏省扬州市邗江区创业园中路26号</t>
  </si>
  <si>
    <t>江苏省扬州市邗江区邗上街道新甘泉西路口</t>
  </si>
  <si>
    <t>徐承成</t>
  </si>
  <si>
    <t>湖北省襄阳市南漳县城关镇关庙集村3组96号</t>
  </si>
  <si>
    <t>重庆市重庆市璧山县沿河路壁河国际1栋1805</t>
  </si>
  <si>
    <t>柯学</t>
  </si>
  <si>
    <t>王爱</t>
  </si>
  <si>
    <t>程海岩</t>
  </si>
  <si>
    <t>黑龙江省哈尔滨市尚志市太平委牡丹家园4号楼第二门市</t>
  </si>
  <si>
    <t>黑龙江省哈尔滨市尚志市丽水家园2栋楼3单元401室</t>
  </si>
  <si>
    <t>柏晓珍</t>
  </si>
  <si>
    <t>侯圣懿</t>
  </si>
  <si>
    <t>湖北省孝感市孝南区北京路52号</t>
  </si>
  <si>
    <t>湖北省孝感市孝南区北京路金凤苑619栋1单元101</t>
  </si>
  <si>
    <t>王丁</t>
  </si>
  <si>
    <t>赵义豪</t>
  </si>
  <si>
    <t>潘俊浩</t>
  </si>
  <si>
    <t>彭琦</t>
  </si>
  <si>
    <t>广东省佛山市三水区云东海街道伏户欧南村十九巷17号</t>
  </si>
  <si>
    <t>广东省佛山市三水区西青大道时代廊桥花园三期26座1703</t>
  </si>
  <si>
    <t>杜金龙</t>
  </si>
  <si>
    <t>梁维铭</t>
  </si>
  <si>
    <t>王运田</t>
  </si>
  <si>
    <t>广东省深圳市宝安区深圳市宝安区福永镇和平社区和景工业园i栋五楼503</t>
  </si>
  <si>
    <t>广东省深圳市宝安区沙井镇马鞍山中路一号a204</t>
  </si>
  <si>
    <t>岳银鹏</t>
  </si>
  <si>
    <t>韦源彬</t>
  </si>
  <si>
    <t>王庆坤</t>
  </si>
  <si>
    <t>山东省济南市槐荫区济南市槐荫区经七纬二324号</t>
  </si>
  <si>
    <t>山东省济南市槐荫区吉尔北苑2-3-101</t>
  </si>
  <si>
    <t>余国辉</t>
  </si>
  <si>
    <t>冉梦勇</t>
  </si>
  <si>
    <t>云南省曲靖市麒麟区得胜家居城对面忆念造型</t>
  </si>
  <si>
    <t>云南省曲靖市麒麟区南宁街道花柯社区</t>
  </si>
  <si>
    <t>程加敏</t>
  </si>
  <si>
    <t>尹宇航</t>
  </si>
  <si>
    <t>李本</t>
  </si>
  <si>
    <t>贾蓉蓉</t>
  </si>
  <si>
    <t>欧国红</t>
  </si>
  <si>
    <t>湖南省永州市蓝山县湖南省蓝山县塔峰镇边贸路146号</t>
  </si>
  <si>
    <t>湖南省永州市蓝山县湖南省蓝山县塔峰镇西外村老圩坪97号</t>
  </si>
  <si>
    <t>吕旺达</t>
  </si>
  <si>
    <t>王利平</t>
  </si>
  <si>
    <t>干旭辉</t>
  </si>
  <si>
    <t>李万波</t>
  </si>
  <si>
    <t>郭美美</t>
  </si>
  <si>
    <t>胡友成</t>
  </si>
  <si>
    <t>相琳</t>
  </si>
  <si>
    <t>安徽省淮南市田家庵区人民北路云景华城2栋104</t>
  </si>
  <si>
    <t>安徽省淮南市田家庵区人民北路云景华城2栋101</t>
  </si>
  <si>
    <t>郭洪妙</t>
  </si>
  <si>
    <t>赖耀生</t>
  </si>
  <si>
    <t>施维</t>
  </si>
  <si>
    <t>李泳</t>
  </si>
  <si>
    <t>刘光彩</t>
  </si>
  <si>
    <t>广州市越秀区越秀北路鸿裕道19号2楼</t>
  </si>
  <si>
    <t>广东省广州市白云区黄石街道黄石西路455号顺景花园C座815房</t>
  </si>
  <si>
    <t>郑徐</t>
  </si>
  <si>
    <t>彭晓龙</t>
  </si>
  <si>
    <t>杨菊</t>
  </si>
  <si>
    <t>王晨阳</t>
  </si>
  <si>
    <t>刘纪朕</t>
  </si>
  <si>
    <t>朱丰凯</t>
  </si>
  <si>
    <t>马文强</t>
  </si>
  <si>
    <t>何梅</t>
  </si>
  <si>
    <t>贵州省六盘水市钟山区钟山大道西段107号</t>
  </si>
  <si>
    <t>贵州省六盘水市钟山区区府南路与沿河街交叉口西北50农行家属楼</t>
  </si>
  <si>
    <t>顾英</t>
  </si>
  <si>
    <t>冯杰</t>
  </si>
  <si>
    <t>郭桂娟</t>
  </si>
  <si>
    <t>纪永帅</t>
  </si>
  <si>
    <t>黄孝必</t>
  </si>
  <si>
    <t>刘延功</t>
  </si>
  <si>
    <t>肖三国</t>
  </si>
  <si>
    <t>桂凤明</t>
  </si>
  <si>
    <t>杨祎伟</t>
  </si>
  <si>
    <t>杨广楠</t>
  </si>
  <si>
    <t>李俏</t>
  </si>
  <si>
    <t>河北省邢台市南宫市垂杨镇华庭小区</t>
  </si>
  <si>
    <t>河北省邢台市南宫市吴村乡侯狼仲村346号</t>
  </si>
  <si>
    <t>薛岩</t>
  </si>
  <si>
    <t>卢家星</t>
  </si>
  <si>
    <t>潘宇朝</t>
  </si>
  <si>
    <t>劳小群</t>
  </si>
  <si>
    <t>宁展</t>
  </si>
  <si>
    <t>马雅芳</t>
  </si>
  <si>
    <t>李东青</t>
  </si>
  <si>
    <t>河南省新乡市辉县市共和路北段</t>
  </si>
  <si>
    <t>河南省新乡市辉县市辉县市梅溪馨居25号楼一单元1803</t>
  </si>
  <si>
    <t>陈晓刚</t>
  </si>
  <si>
    <t>新疆昌吉回族自治州昌吉市建国路二分公司北门88号</t>
  </si>
  <si>
    <t>新疆昌吉回族自治州昌吉市健康路水景湾四号楼二单元四零一</t>
  </si>
  <si>
    <t>王真健</t>
  </si>
  <si>
    <t>甘肃省兰州市城关区雁北路1683之3号楼1109室</t>
  </si>
  <si>
    <t>甘肃省兰州市城关区雁北街道和泰馨和园4号楼二单元1204室</t>
  </si>
  <si>
    <t>张金磊</t>
  </si>
  <si>
    <t>江一强</t>
  </si>
  <si>
    <t>吴芸莉</t>
  </si>
  <si>
    <t>郭锋</t>
  </si>
  <si>
    <t>袁志军</t>
  </si>
  <si>
    <t>湖南省常德市武陵区首创大厦B座1103</t>
  </si>
  <si>
    <t>湖南省常德市桃源县湖南省桃源县郑家驿镇游鹿溪村油坊榜组</t>
  </si>
  <si>
    <t>吴文宝</t>
  </si>
  <si>
    <t>李跃勇</t>
  </si>
  <si>
    <t>蒋天立</t>
  </si>
  <si>
    <t>张镇</t>
  </si>
  <si>
    <t>刘东东</t>
  </si>
  <si>
    <t>魏小平</t>
  </si>
  <si>
    <t>许大富</t>
  </si>
  <si>
    <t>霍国平</t>
  </si>
  <si>
    <t>雷清彬</t>
  </si>
  <si>
    <t>朱永德</t>
  </si>
  <si>
    <t>贵州省贵阳市云岩区高新路67号楼</t>
  </si>
  <si>
    <t>贵州省贵阳市南明区花果园j区10栋一单元1205室</t>
  </si>
  <si>
    <t>穆晓林</t>
  </si>
  <si>
    <t>叶晶晶</t>
  </si>
  <si>
    <t>雷阳</t>
  </si>
  <si>
    <t>郝梦雅</t>
  </si>
  <si>
    <t>戴强盛</t>
  </si>
  <si>
    <t>江苏省南京市雨花台区软件大道168号</t>
  </si>
  <si>
    <t>江苏省南京市玄武区麒麟街道麒麟紫禁城泉水苑3栋1303室</t>
  </si>
  <si>
    <t>舒永贵</t>
  </si>
  <si>
    <t>胡其波</t>
  </si>
  <si>
    <t>张书贤</t>
  </si>
  <si>
    <t>河南省安阳市林州市河南省林州市临淇镇北环路美景花园2号102</t>
  </si>
  <si>
    <t>河南省安阳市林州市林州市五龙镇岭后村</t>
  </si>
  <si>
    <t>盖凯</t>
  </si>
  <si>
    <t>山西省阳泉市郊区山西阳泉郊区阳铝路88号</t>
  </si>
  <si>
    <t>山西省阳泉市城区阳铝路阳铝社区五号楼二单元302</t>
  </si>
  <si>
    <t>姚俊</t>
  </si>
  <si>
    <t>孟永昌</t>
  </si>
  <si>
    <t>王红妍</t>
  </si>
  <si>
    <t>吴雄</t>
  </si>
  <si>
    <t>焦志强</t>
  </si>
  <si>
    <t>赖夏平</t>
  </si>
  <si>
    <t>卢庆</t>
  </si>
  <si>
    <t>贵州省毕节市威宁彝族回族苗族自治县草海商贸城</t>
  </si>
  <si>
    <t>贵州省毕节市威宁彝族回族苗族自治县威宁县草海镇鸭子塘村新民组</t>
  </si>
  <si>
    <t>游志明</t>
  </si>
  <si>
    <t>广东省广州市增城市新塘镇新沙大道北228号</t>
  </si>
  <si>
    <t>广东省广州市增城市新塘镇黄沙头村北二巷</t>
  </si>
  <si>
    <t>武琎苑</t>
  </si>
  <si>
    <t>河南省许昌市许昌县许昌市金庄路115号</t>
  </si>
  <si>
    <t>河南省许昌市苏桥镇禄马村11组</t>
  </si>
  <si>
    <t>陶程程</t>
  </si>
  <si>
    <t>山东省青岛市平度市平度市人民路88号万通财富中心</t>
  </si>
  <si>
    <t>山东省青岛市平度市平度市人民路安居苑小区</t>
  </si>
  <si>
    <t>孟猛</t>
  </si>
  <si>
    <t>黄彬</t>
  </si>
  <si>
    <t>四川省成都市武侯区成都市高新区荟锦路36号</t>
  </si>
  <si>
    <t>四川省成都市锦江区锦华路三段379号16栋3单元1803</t>
  </si>
  <si>
    <t>吴艳磊</t>
  </si>
  <si>
    <t>胡蝶</t>
  </si>
  <si>
    <t>河南省南阳市方城县建设路北新街三中家属院对面丁一通讯</t>
  </si>
  <si>
    <t>河南省南阳市宛城区杨集乡五里庄村西三里庄24号</t>
  </si>
  <si>
    <t>李建武</t>
  </si>
  <si>
    <t>彭海涛</t>
  </si>
  <si>
    <t>四川省成都市大邑县四川省成都市大邑县安仁镇商业街129号</t>
  </si>
  <si>
    <t>四川省成都市邛崃市四川省成都市邛崃市冉义镇锦绣小区</t>
  </si>
  <si>
    <t>曹贵来</t>
  </si>
  <si>
    <t>孙一博</t>
  </si>
  <si>
    <t>徐士花</t>
  </si>
  <si>
    <t>钟活朝</t>
  </si>
  <si>
    <t>袁鹭</t>
  </si>
  <si>
    <t>盖洋洋</t>
  </si>
  <si>
    <t>夏红梅</t>
  </si>
  <si>
    <t>四川省成都市锦江区红星路三段1号</t>
  </si>
  <si>
    <t>四川省成都市武侯区庆安社区新雅横街1号院6栋3单元10号</t>
  </si>
  <si>
    <t>徐兆馨</t>
  </si>
  <si>
    <t>朱淑青</t>
  </si>
  <si>
    <t>张云凤</t>
  </si>
  <si>
    <t>计蕊</t>
  </si>
  <si>
    <t>张燎</t>
  </si>
  <si>
    <t>浙江省杭州市滨江区江南大道4760号亚科中心B座17楼</t>
  </si>
  <si>
    <t>浙江省杭州市滨江区富汇豪庭72幢3单元301</t>
  </si>
  <si>
    <t>万振华</t>
  </si>
  <si>
    <t>李丽玲</t>
  </si>
  <si>
    <t>詹春晖</t>
  </si>
  <si>
    <t>雷万权</t>
  </si>
  <si>
    <t>潘玉凤</t>
  </si>
  <si>
    <t>刘立欣</t>
  </si>
  <si>
    <t>马洲</t>
  </si>
  <si>
    <t>崔强</t>
  </si>
  <si>
    <t>郭志龙</t>
  </si>
  <si>
    <t>李贺丹</t>
  </si>
  <si>
    <t>倪瑞伶</t>
  </si>
  <si>
    <t>刘崇鑫</t>
  </si>
  <si>
    <t>王文和</t>
  </si>
  <si>
    <t>潘泽光</t>
  </si>
  <si>
    <t>刘天尊</t>
  </si>
  <si>
    <t>马鸣啸</t>
  </si>
  <si>
    <t>仉艳红</t>
  </si>
  <si>
    <t>吉菊花</t>
  </si>
  <si>
    <t>李太行</t>
  </si>
  <si>
    <t>邓臣云</t>
  </si>
  <si>
    <t>湖南省怀化市芷江侗族自治县芷江凯旋路306号</t>
  </si>
  <si>
    <t>湖南省怀化市芷江侗族自治县北街县委宿舍3栋2单元</t>
  </si>
  <si>
    <t>林卷英</t>
  </si>
  <si>
    <t>代孝春</t>
  </si>
  <si>
    <t>谭新郭</t>
  </si>
  <si>
    <t>张艺沥</t>
  </si>
  <si>
    <t>亓众元</t>
  </si>
  <si>
    <t>齐一</t>
  </si>
  <si>
    <t>王佳琪</t>
  </si>
  <si>
    <t>广东省广州市番禹区钟村镇万宝基地万宝北街36号</t>
  </si>
  <si>
    <t>梁红</t>
  </si>
  <si>
    <t>何小红</t>
  </si>
  <si>
    <t>王桃锁</t>
  </si>
  <si>
    <t>黄松波</t>
  </si>
  <si>
    <t>潘思雨</t>
  </si>
  <si>
    <t>丁明敏</t>
  </si>
  <si>
    <t>楚豪磊</t>
  </si>
  <si>
    <t>韦淇兵</t>
  </si>
  <si>
    <t>山东省日照市东港区济南路400号华商国际</t>
  </si>
  <si>
    <t>山东省日照市东港区威海路67号7A号楼2302室</t>
  </si>
  <si>
    <t>李紫瑜</t>
  </si>
  <si>
    <t>任远平</t>
  </si>
  <si>
    <t>徐丽娜</t>
  </si>
  <si>
    <t>谷业肖</t>
  </si>
  <si>
    <t>刘慧臻</t>
  </si>
  <si>
    <t>林喜之</t>
  </si>
  <si>
    <t>喻顺</t>
  </si>
  <si>
    <t>马紫琳</t>
  </si>
  <si>
    <t>河南省郑州市金水区文化路永和国际2106</t>
  </si>
  <si>
    <t>河南省郑州市管城回族区南下街1号院</t>
  </si>
  <si>
    <t>玉石</t>
  </si>
  <si>
    <t>江苏省苏州市吴中区江苏省苏州市工业园区吴巷路5号</t>
  </si>
  <si>
    <t>江苏省苏州市吴中区江苏省苏州市吴中区张泾二区92栋407</t>
  </si>
  <si>
    <t>徐林红</t>
  </si>
  <si>
    <t>许大平</t>
  </si>
  <si>
    <t>顾蓉蓉</t>
  </si>
  <si>
    <t>丁亚中</t>
  </si>
  <si>
    <t>雷俊松</t>
  </si>
  <si>
    <t>梁林中</t>
  </si>
  <si>
    <t>王谊甲</t>
  </si>
  <si>
    <t>张凯兵</t>
  </si>
  <si>
    <t>李晓雪</t>
  </si>
  <si>
    <t>聂丽丽</t>
  </si>
  <si>
    <t>潘少华</t>
  </si>
  <si>
    <t>郝欠欠</t>
  </si>
  <si>
    <t>河北省廊坊市霸州市胜芳镇</t>
  </si>
  <si>
    <t>河北省廊坊市霸州市堂二里八街</t>
  </si>
  <si>
    <t>孙术</t>
  </si>
  <si>
    <t>黑龙江省鹤岗市兴安区朱家山北侧新能源产业园</t>
  </si>
  <si>
    <t>黑龙江省鹤岗市向阳区胜利小区选煤厂6号5单元201</t>
  </si>
  <si>
    <t>裴裴</t>
  </si>
  <si>
    <t>廖彬</t>
  </si>
  <si>
    <t>崔洪英</t>
  </si>
  <si>
    <t>山东省烟台市蓬莱市蓬莱钟楼西路23号</t>
  </si>
  <si>
    <t>蓬莱山汽改家属区</t>
  </si>
  <si>
    <t>刘如梦</t>
  </si>
  <si>
    <t>赵玉民</t>
  </si>
  <si>
    <t>冯雪莉</t>
  </si>
  <si>
    <t>耿树健</t>
  </si>
  <si>
    <t>欧宇航</t>
  </si>
  <si>
    <t>广东省中山市小榄镇海威路23号</t>
  </si>
  <si>
    <t>广东省湛江市吴川市梅录镇东风路城东花苑604</t>
  </si>
  <si>
    <t>王佳瑶</t>
  </si>
  <si>
    <t>王中豪</t>
  </si>
  <si>
    <t>叶理根</t>
  </si>
  <si>
    <t>刘顺萍</t>
  </si>
  <si>
    <t>赵会会</t>
  </si>
  <si>
    <t>上海市上海市浦东新区新飞路1500号</t>
  </si>
  <si>
    <t>上海市上海市奉贤区胡桥镇团泾村831号</t>
  </si>
  <si>
    <t>董一秀</t>
  </si>
  <si>
    <t>侯恒宇</t>
  </si>
  <si>
    <t>施飞雪</t>
  </si>
  <si>
    <t>刘建兵</t>
  </si>
  <si>
    <t>梁刚刚</t>
  </si>
  <si>
    <t>麻红英</t>
  </si>
  <si>
    <t>江苏省泰州市海陵区凤凰东路58号</t>
  </si>
  <si>
    <t>江苏省泰州市海陵区荣御蓝湾12#1302</t>
  </si>
  <si>
    <t>杨泽琦</t>
  </si>
  <si>
    <t>徐思红</t>
  </si>
  <si>
    <t>范艳梅</t>
  </si>
  <si>
    <t>孙帅</t>
  </si>
  <si>
    <t>山东省莱芜市莱城区莱芜市长勺北路汽车城内</t>
  </si>
  <si>
    <t>山东省莱芜市莱城区山东省莱芜市莱城区雪野镇河北村</t>
  </si>
  <si>
    <t>郑爱珍</t>
  </si>
  <si>
    <t>邹崇斌</t>
  </si>
  <si>
    <t>湖北省武汉市武昌区友谊国际负一楼A区010-2</t>
  </si>
  <si>
    <t>湖北省武汉市洪山区金域天下6-1-2804</t>
  </si>
  <si>
    <t>四川省成都市彭州市天府中路229号</t>
  </si>
  <si>
    <t>四川省成都市彭州市蒙阳镇园石9组47号附1号</t>
  </si>
  <si>
    <t>曹晓鑫</t>
  </si>
  <si>
    <t>王坤焰</t>
  </si>
  <si>
    <t>赵利伟</t>
  </si>
  <si>
    <t>胡建华</t>
  </si>
  <si>
    <t>曲松鑫</t>
  </si>
  <si>
    <t>胡华南</t>
  </si>
  <si>
    <t>靳虔旺</t>
  </si>
  <si>
    <t>浙江省台州市椒江区鑫泰街103号</t>
  </si>
  <si>
    <t>河南省商丘市睢县城关镇南关村委六组111号</t>
  </si>
  <si>
    <t>马雅东</t>
  </si>
  <si>
    <t>唐积掀</t>
  </si>
  <si>
    <t>李仁彬</t>
  </si>
  <si>
    <t>马洁</t>
  </si>
  <si>
    <t>周野</t>
  </si>
  <si>
    <t>谢二林</t>
  </si>
  <si>
    <t>丁维涛</t>
  </si>
  <si>
    <t>王东辉</t>
  </si>
  <si>
    <t>徐文海</t>
  </si>
  <si>
    <t>卢彩娇</t>
  </si>
  <si>
    <t>向群芳</t>
  </si>
  <si>
    <t>王连勇</t>
  </si>
  <si>
    <t>刘红兵</t>
  </si>
  <si>
    <t>云南省普洱市思茅区名礼巷七号</t>
  </si>
  <si>
    <t>云南省普洱市思茅区茶苑路二十五号二十五幢二单元601室</t>
  </si>
  <si>
    <t>解文路</t>
  </si>
  <si>
    <t>梁帆</t>
  </si>
  <si>
    <t>安徽省合肥市肥东县和平路4号聚龙小区对面</t>
  </si>
  <si>
    <t>安徽省合肥市肥东县和平路4号聚龙小区30栋4单元308</t>
  </si>
  <si>
    <t>赵锁成</t>
  </si>
  <si>
    <t>山东省荷泽市牡丹区长江路南京路南100米</t>
  </si>
  <si>
    <t>山东省荷泽市定陶县陈集赵楼</t>
  </si>
  <si>
    <t>王爱玲</t>
  </si>
  <si>
    <t>危元</t>
  </si>
  <si>
    <t>刘烽泉</t>
  </si>
  <si>
    <t>代尧</t>
  </si>
  <si>
    <t>牛莎莎</t>
  </si>
  <si>
    <t>尹立刚</t>
  </si>
  <si>
    <t>辽宁省辽阳市辽阳县首山县裕丰化工厂</t>
  </si>
  <si>
    <t>辽宁省朝阳市龙城区盛世龙城小区三号楼二单元603室</t>
  </si>
  <si>
    <t>鲍海洪</t>
  </si>
  <si>
    <t>浙江省湖州市德清县德清县武康镇阜溪街道回山路260号</t>
  </si>
  <si>
    <t>浙江省湖州市德清县武康镇莫干新村13幢一单元401</t>
  </si>
  <si>
    <t>易家乔</t>
  </si>
  <si>
    <t>王达吉</t>
  </si>
  <si>
    <t>山东省潍坊市坊子区九龙街道办事处前车村</t>
  </si>
  <si>
    <t>山东省潍坊市坊子区九龙街道办事处马村469号</t>
  </si>
  <si>
    <t>张延耀</t>
  </si>
  <si>
    <t>武斌斌</t>
  </si>
  <si>
    <t>徐连明</t>
  </si>
  <si>
    <t>宋卫兵</t>
  </si>
  <si>
    <t>李晓亮</t>
  </si>
  <si>
    <t>陕西省西安市碑林区南关正街85号</t>
  </si>
  <si>
    <t>陕西省西安市雁塔区电子城街道</t>
  </si>
  <si>
    <t>李枝通</t>
  </si>
  <si>
    <t>郑志武</t>
  </si>
  <si>
    <t>张淑坤</t>
  </si>
  <si>
    <t>陈家娟</t>
  </si>
  <si>
    <t>史辉</t>
  </si>
  <si>
    <t>林文宝</t>
  </si>
  <si>
    <t>广东省广州市番禺区大石迎宾路539号恒生大厦5楼整层</t>
  </si>
  <si>
    <t>广东省广州市番禺区南浦大道广州碧桂园秀苑7座408室</t>
  </si>
  <si>
    <t>沈凤</t>
  </si>
  <si>
    <t>杨宇乾</t>
  </si>
  <si>
    <t>王艇</t>
  </si>
  <si>
    <t>赵子豪</t>
  </si>
  <si>
    <t>罗希超</t>
  </si>
  <si>
    <t>司纪涛</t>
  </si>
  <si>
    <t>胡瑞森</t>
  </si>
  <si>
    <t>陈凯文</t>
  </si>
  <si>
    <t>闫剑锋</t>
  </si>
  <si>
    <t>李莉娜</t>
  </si>
  <si>
    <t>韩海超</t>
  </si>
  <si>
    <t>陕西省西安市长安区斗门镇北街村34号</t>
  </si>
  <si>
    <t>陕西省西安市长安区斗门镇南街村东兴二路217号</t>
  </si>
  <si>
    <t>陆敏</t>
  </si>
  <si>
    <t>黄友波</t>
  </si>
  <si>
    <t>刘薛桥</t>
  </si>
  <si>
    <t>姜玮</t>
  </si>
  <si>
    <t>山东省青岛市黄岛区长江中路266号</t>
  </si>
  <si>
    <t>山东省烟台市蓬莱市大柳行镇道头村</t>
  </si>
  <si>
    <t>刘国良</t>
  </si>
  <si>
    <t>浙江省绍兴市诸暨市诸暨市陶朱街道展诚大道56号</t>
  </si>
  <si>
    <t>浙江省绍兴市诸暨市诸暨市东白湖镇日溢村外邵559号</t>
  </si>
  <si>
    <t>韩山</t>
  </si>
  <si>
    <t>田立华</t>
  </si>
  <si>
    <t>黑龙江省佳木斯市同江市翰林苑2号楼2号门</t>
  </si>
  <si>
    <t>黑龙江省佳木斯市同江市建行住宅楼四单元301</t>
  </si>
  <si>
    <t>谭模鑫</t>
  </si>
  <si>
    <t>邹颖</t>
  </si>
  <si>
    <t>广东省清远市清城区北门街二十七座之一</t>
  </si>
  <si>
    <t>广东省清远市清城区东岸美景轩1504</t>
  </si>
  <si>
    <t>陈炎</t>
  </si>
  <si>
    <t>蔡涵</t>
  </si>
  <si>
    <t>广东省潮州市湘桥区陈桥新埠培兰园302</t>
  </si>
  <si>
    <t>广东省潮州市湘桥区陈桥新埠培兰园a幢302</t>
  </si>
  <si>
    <t>张占伟</t>
  </si>
  <si>
    <t>蒋利群</t>
  </si>
  <si>
    <t>广东省广州市黄埔区护林路1199号</t>
  </si>
  <si>
    <t>广东省广州市黄埔区江北东约6巷</t>
  </si>
  <si>
    <t>许太平</t>
  </si>
  <si>
    <t>王天明</t>
  </si>
  <si>
    <t>苏宪慧</t>
  </si>
  <si>
    <t>张方</t>
  </si>
  <si>
    <t>钟波</t>
  </si>
  <si>
    <t>四川省成都市新都区斑竹园镇中利路创智广场7栋13-1</t>
  </si>
  <si>
    <t>四川省成都市新都区斑竹园镇丰收小区四栋一单元302</t>
  </si>
  <si>
    <t>王晓会</t>
  </si>
  <si>
    <t>仲素芬</t>
  </si>
  <si>
    <t>吴宝熊</t>
  </si>
  <si>
    <t>李代凤</t>
  </si>
  <si>
    <t>杨金辉</t>
  </si>
  <si>
    <t>陈增祥</t>
  </si>
  <si>
    <t>祝宇</t>
  </si>
  <si>
    <t>柳浩</t>
  </si>
  <si>
    <t>董江波</t>
  </si>
  <si>
    <t>方达</t>
  </si>
  <si>
    <t>柳志超</t>
  </si>
  <si>
    <t>杨达</t>
  </si>
  <si>
    <t>陈翀</t>
  </si>
  <si>
    <t>李军福</t>
  </si>
  <si>
    <t>江少彪</t>
  </si>
  <si>
    <t>广东省广州市天河区黄埔大道西路638号广东农信大厦</t>
  </si>
  <si>
    <t>广东省广州市天河区黄埔大道石溪村牌坊</t>
  </si>
  <si>
    <t>吴玉荣</t>
  </si>
  <si>
    <t>贵州省贵阳市南明区花果园国际中心一号楼2200</t>
  </si>
  <si>
    <t>贵州省贵阳市南明区青年路3号40栋三单元一楼一号</t>
  </si>
  <si>
    <t>余静</t>
  </si>
  <si>
    <t>杨成鑫</t>
  </si>
  <si>
    <t>唐颖东</t>
  </si>
  <si>
    <t>王东明</t>
  </si>
  <si>
    <t>海南省海口市秀英区临高县新盈镇大街11栋1楼15-16</t>
  </si>
  <si>
    <t>海南省海口市龙华区临高县新盈镇大街114栋14房</t>
  </si>
  <si>
    <t>梅梦翠</t>
  </si>
  <si>
    <t>朱旭</t>
  </si>
  <si>
    <t>辽宁省鞍山市海城市牛庄镇东方红路58号</t>
  </si>
  <si>
    <t>辽宁省鞍山市海城市海城市牛庄镇北关村183号</t>
  </si>
  <si>
    <t>莫义超</t>
  </si>
  <si>
    <t>马浩</t>
  </si>
  <si>
    <t>四川省成都市邛崃市四川省崇州市观胜镇天胜路369号</t>
  </si>
  <si>
    <t>四川省成都市崇州市四川省崇州市公议乡三合村偃村二组</t>
  </si>
  <si>
    <t>林庆荣</t>
  </si>
  <si>
    <t>毛亚东</t>
  </si>
  <si>
    <t>丁克红</t>
  </si>
  <si>
    <t>周金夏</t>
  </si>
  <si>
    <t>安徽省芜湖市南陵县籍山镇经济开发区市民服务中心三楼</t>
  </si>
  <si>
    <t>安徽省芜湖市南陵县许镇镇建福村东边周村45号</t>
  </si>
  <si>
    <t>郑杭丰</t>
  </si>
  <si>
    <t>浙江省宁波市鄞州区天童北路和邦大厦A座5楼</t>
  </si>
  <si>
    <t>浙江省宁波市鄞州区横街镇惠民村396号</t>
  </si>
  <si>
    <t>张熙强</t>
  </si>
  <si>
    <t>刘九生</t>
  </si>
  <si>
    <t>朱其云</t>
  </si>
  <si>
    <t>许建军</t>
  </si>
  <si>
    <t>钱莉莉</t>
  </si>
  <si>
    <t>陆健</t>
  </si>
  <si>
    <t>四川省内江市东兴区汗安大道西段609号</t>
  </si>
  <si>
    <t>四川省内江市东兴区金科时代中心</t>
  </si>
  <si>
    <t>夏俊</t>
  </si>
  <si>
    <t>江苏省苏州市昆山市玉山镇环庆路908号</t>
  </si>
  <si>
    <t>江苏省苏州市昆山市玉山镇城北路新乐锦园439号</t>
  </si>
  <si>
    <t>董彬</t>
  </si>
  <si>
    <t>方兴文</t>
  </si>
  <si>
    <t>梁迎春</t>
  </si>
  <si>
    <t>北京市北京市通州区北京市通州区潞城镇</t>
  </si>
  <si>
    <t>帅磊</t>
  </si>
  <si>
    <t>四川省眉山市彭山县凤鸣镇北街公园东路80号</t>
  </si>
  <si>
    <t>四川省眉山市彭山县凤鸣镇凤鸣北路163号</t>
  </si>
  <si>
    <t>夏守磊</t>
  </si>
  <si>
    <t>陶云兵</t>
  </si>
  <si>
    <t>张梦迪</t>
  </si>
  <si>
    <t>孙建晖</t>
  </si>
  <si>
    <t>郁飞</t>
  </si>
  <si>
    <t>赵钰聪</t>
  </si>
  <si>
    <t>宋来印</t>
  </si>
  <si>
    <t>朱峻涛</t>
  </si>
  <si>
    <t>黄球清</t>
  </si>
  <si>
    <t>孙永胜</t>
  </si>
  <si>
    <t>吴怡</t>
  </si>
  <si>
    <t>王咸翔</t>
  </si>
  <si>
    <t>周奕林</t>
  </si>
  <si>
    <t>延磊</t>
  </si>
  <si>
    <t>陕西省延安市宝塔区延安市宝塔区南滨路</t>
  </si>
  <si>
    <t>任勇强</t>
  </si>
  <si>
    <t>河南省新乡市红旗区和平路与平原路交叉口饮马口东南角联通大楼</t>
  </si>
  <si>
    <t>河南省新乡市卫滨区人民西路93号7号楼二单元201</t>
  </si>
  <si>
    <t>张韦李</t>
  </si>
  <si>
    <t>李棣辉</t>
  </si>
  <si>
    <t>山东省滨州市滨城区腾达大街中段</t>
  </si>
  <si>
    <t>山东省滨州市无棣县富路大街9号2排204</t>
  </si>
  <si>
    <t>全远远</t>
  </si>
  <si>
    <t>阮建华</t>
  </si>
  <si>
    <t>包建成</t>
  </si>
  <si>
    <t>刘灿柱</t>
  </si>
  <si>
    <t>广东省惠州市博罗县园洲镇刘屋刘安路211号</t>
  </si>
  <si>
    <t>广东省惠州市博罗县园洲镇刘屋村九巷43号</t>
  </si>
  <si>
    <t>冯小乐</t>
  </si>
  <si>
    <t>陈占峰</t>
  </si>
  <si>
    <t>山东省青岛市市南区辛安街道前湾港路辛安工业园区</t>
  </si>
  <si>
    <t>山东省青岛市黄岛区辛安街道金榜佳苑小区20号楼604室</t>
  </si>
  <si>
    <t>吴远超</t>
  </si>
  <si>
    <t>王蜀俊</t>
  </si>
  <si>
    <t>韩鹏飞</t>
  </si>
  <si>
    <t>孙田峰</t>
  </si>
  <si>
    <t>安徽省合肥市包河区望江北路金乐大厦1506</t>
  </si>
  <si>
    <t>安徽省合肥市包河区丽阳兰亭</t>
  </si>
  <si>
    <t>周博文</t>
  </si>
  <si>
    <t>蒋永</t>
  </si>
  <si>
    <t>裴晓东</t>
  </si>
  <si>
    <t>辽宁省沈阳市沈河区北顺城路11号靠谱不动产</t>
  </si>
  <si>
    <t>辽宁省沈阳市沈河区惠工街团结路裕工小区22号楼1单元302</t>
  </si>
  <si>
    <t>余宗哲</t>
  </si>
  <si>
    <t>许楠</t>
  </si>
  <si>
    <t>钟瑜</t>
  </si>
  <si>
    <t>杜琼</t>
  </si>
  <si>
    <t>田晶</t>
  </si>
  <si>
    <t>张凯歌</t>
  </si>
  <si>
    <t>袁靖博</t>
  </si>
  <si>
    <t>哈洪娜</t>
  </si>
  <si>
    <t>王永翠</t>
  </si>
  <si>
    <t>朱恩</t>
  </si>
  <si>
    <t>姚彪</t>
  </si>
  <si>
    <t>马三娟</t>
  </si>
  <si>
    <t>山西省晋城市城区新市东街1226号</t>
  </si>
  <si>
    <t>山西省晋城市城区平安街春光小区</t>
  </si>
  <si>
    <t>江钰洁</t>
  </si>
  <si>
    <t>姚冲</t>
  </si>
  <si>
    <t>李庄丽</t>
  </si>
  <si>
    <t>湖南省张家界市永定区华天城小区2栋1502</t>
  </si>
  <si>
    <t>滕建国</t>
  </si>
  <si>
    <t>蒋屹东</t>
  </si>
  <si>
    <t>湖南省长沙市芙蓉区远大二路236号</t>
  </si>
  <si>
    <t>湖南省长沙市宁乡县玉潭镇金色夏威夷5栋2205</t>
  </si>
  <si>
    <t>李忠澎</t>
  </si>
  <si>
    <t>黄峰文</t>
  </si>
  <si>
    <t>梁应运</t>
  </si>
  <si>
    <t>范茂林</t>
  </si>
  <si>
    <t>王如意</t>
  </si>
  <si>
    <t>张晓晓</t>
  </si>
  <si>
    <t>廖永鹏</t>
  </si>
  <si>
    <t>刘东风</t>
  </si>
  <si>
    <t>孙金龙</t>
  </si>
  <si>
    <t>黄始强</t>
  </si>
  <si>
    <t>戴清华</t>
  </si>
  <si>
    <t>浙江省温州市鹿城区鞋都三期尚正路25号</t>
  </si>
  <si>
    <t>浙江省温州市鹿城区双屿街道上伊路48号</t>
  </si>
  <si>
    <t>刘华权</t>
  </si>
  <si>
    <t>陈嘉斌</t>
  </si>
  <si>
    <t>天津市天津市河西区环湖中路五一阳光尊园1-1-3202</t>
  </si>
  <si>
    <t>天津市天津市河西区解放南路花样喜年广场1号楼1708</t>
  </si>
  <si>
    <t>魏莲杰</t>
  </si>
  <si>
    <t>四川省成都市双流县庐山大道二段19号</t>
  </si>
  <si>
    <t>四川省南充市营山县世纪春天a区三单元</t>
  </si>
  <si>
    <t>杨锋生</t>
  </si>
  <si>
    <t>湖北省武汉市硚口区汉西三路59一61号香江家居</t>
  </si>
  <si>
    <t>湖北省武汉市硚口区汉西二路128号301</t>
  </si>
  <si>
    <t>陈广国</t>
  </si>
  <si>
    <t>江苏省南京市浦口区大桥北路1号华侨广场1135室</t>
  </si>
  <si>
    <t>江苏省南京市浦口区天华东路102号35幢一单元302室</t>
  </si>
  <si>
    <t>王文哲</t>
  </si>
  <si>
    <t>山东省潍坊市高密市镇府街197号</t>
  </si>
  <si>
    <t>山东省潍坊市高密市高密市人民大街东城居民小区2号楼3单元301室</t>
  </si>
  <si>
    <t>陈溪</t>
  </si>
  <si>
    <t>云南省红河哈尼族彝族自治州建水县阜安路187号</t>
  </si>
  <si>
    <t>云南省红河哈尼族彝族自治州建水县武庙街77号</t>
  </si>
  <si>
    <t>广东省茂名市信宜市信宜市中兴大道</t>
  </si>
  <si>
    <t>广东省茂名市信宜市东镇镇文昌岩一村7号</t>
  </si>
  <si>
    <t>刘智亮</t>
  </si>
  <si>
    <t>曾其媛</t>
  </si>
  <si>
    <t>石艳</t>
  </si>
  <si>
    <t>钟明月</t>
  </si>
  <si>
    <t>陆新梅</t>
  </si>
  <si>
    <t>臧佳佳</t>
  </si>
  <si>
    <t>邴庆菊</t>
  </si>
  <si>
    <t>山东省青岛市城阳区春阳路91号</t>
  </si>
  <si>
    <t>山东省青岛市城阳区栾家沟岔村531号</t>
  </si>
  <si>
    <t>何丽芬</t>
  </si>
  <si>
    <t>广东省广州市增城市荔城街金竹一路18号</t>
  </si>
  <si>
    <t>广东省广州市增城市荔城街城丰路16号</t>
  </si>
  <si>
    <t>赵海</t>
  </si>
  <si>
    <t>周希可</t>
  </si>
  <si>
    <t>莫春花</t>
  </si>
  <si>
    <t>李远保</t>
  </si>
  <si>
    <t>胡倩倩</t>
  </si>
  <si>
    <t>高锋</t>
  </si>
  <si>
    <t>广东省深圳市福田区上沙新村20号</t>
  </si>
  <si>
    <t>广东省深圳市福田区福田区上沙金地金地花园307栋407</t>
  </si>
  <si>
    <t>重庆市重庆市沙坪坝区西永镇西永微电园西园一路1号</t>
  </si>
  <si>
    <t>重庆市重庆市沙坪坝区西永镇西城科景一单元8栋4-6</t>
  </si>
  <si>
    <t>张佩</t>
  </si>
  <si>
    <t>邓朝富</t>
  </si>
  <si>
    <t>刘进来</t>
  </si>
  <si>
    <t>王育奇</t>
  </si>
  <si>
    <t>连宇耀</t>
  </si>
  <si>
    <t>福建省三明市梅列区乾龙新村19栋9层</t>
  </si>
  <si>
    <t>福建省三明市梅列区丹蓉新村25栋206</t>
  </si>
  <si>
    <t>吴志豪</t>
  </si>
  <si>
    <t>蒙丽萍</t>
  </si>
  <si>
    <t>秦启双</t>
  </si>
  <si>
    <t>广西桂林市雁山区柘木镇铁骑大道李家村108号</t>
  </si>
  <si>
    <t>广西桂林市象山区崇信路同心新村9号</t>
  </si>
  <si>
    <t>陈松生</t>
  </si>
  <si>
    <t>广东省东莞市虎门镇宴岗社区连升南路与宴岗大道交汇处2栋201</t>
  </si>
  <si>
    <t>广东省东莞市虎门镇港口二横路五巷五号402</t>
  </si>
  <si>
    <t>于聃</t>
  </si>
  <si>
    <t>唐冰</t>
  </si>
  <si>
    <t>陈益斌</t>
  </si>
  <si>
    <t>浙江省宁波市鄞州区钟公庙街道堇山西路501号</t>
  </si>
  <si>
    <t>浙江省宁波市鄞州区钟公庙街道长丰二村7幢503</t>
  </si>
  <si>
    <t>曾泓</t>
  </si>
  <si>
    <t>云南省昭通市昭阳区南大街90号</t>
  </si>
  <si>
    <t>云南省昭通市镇雄县南大街90号</t>
  </si>
  <si>
    <t>吴文杰</t>
  </si>
  <si>
    <t>李晋年</t>
  </si>
  <si>
    <t>曹礼玲</t>
  </si>
  <si>
    <t>雷刚</t>
  </si>
  <si>
    <t>广东省深圳市宝安区沙井街道寮盛路22号</t>
  </si>
  <si>
    <t>广东省深圳市宝安区沙井街道黄埔二区九巷24号605室</t>
  </si>
  <si>
    <t>张国星</t>
  </si>
  <si>
    <t>蒋立刚</t>
  </si>
  <si>
    <t>江苏省常州市天宁区龙城大道618号</t>
  </si>
  <si>
    <t>江苏省常州市钟楼区邹区镇杨庄村委湾里村37号</t>
  </si>
  <si>
    <t>童家保</t>
  </si>
  <si>
    <t>龚学平</t>
  </si>
  <si>
    <t>古满娣</t>
  </si>
  <si>
    <t>刘添育</t>
  </si>
  <si>
    <t>刘灿</t>
  </si>
  <si>
    <t>曹陆荣</t>
  </si>
  <si>
    <t>辽宁省葫芦岛市龙港区葫芦岛市龙港区茨齐路老渤海驾校对面</t>
  </si>
  <si>
    <t>辽宁省葫芦岛市高桥镇万家屯村69号</t>
  </si>
  <si>
    <t>周绚</t>
  </si>
  <si>
    <t>鲁丽</t>
  </si>
  <si>
    <t>李素杰</t>
  </si>
  <si>
    <t>游仁松</t>
  </si>
  <si>
    <t>河南省安阳市内黄县内黄县振兴路东段</t>
  </si>
  <si>
    <t>河南省安阳市内黄县城关镇王小汪村41号</t>
  </si>
  <si>
    <t>高丽云</t>
  </si>
  <si>
    <t>广西贺州市八步区建设中路87号</t>
  </si>
  <si>
    <t>广西贺州市八步区莲塘镇莲塘村高屋组363号</t>
  </si>
  <si>
    <t>陈永涛</t>
  </si>
  <si>
    <t>周连涛</t>
  </si>
  <si>
    <t>张子名</t>
  </si>
  <si>
    <t>叶祺</t>
  </si>
  <si>
    <t>赵晓林</t>
  </si>
  <si>
    <t>陈仕嘉</t>
  </si>
  <si>
    <t>湖北省武汉市江汉区澳门路浙商大厦2607</t>
  </si>
  <si>
    <t>湖北省武汉市武昌区和平大道515号西斯莱公馆6栋2603</t>
  </si>
  <si>
    <t>梁摇</t>
  </si>
  <si>
    <t>蒋林飞</t>
  </si>
  <si>
    <t>张征铭</t>
  </si>
  <si>
    <t>罗妙妙</t>
  </si>
  <si>
    <t>杨梦林</t>
  </si>
  <si>
    <t>成黛</t>
  </si>
  <si>
    <t>楼超</t>
  </si>
  <si>
    <t>浙江省金华市武义县茭道镇杨家</t>
  </si>
  <si>
    <t>浙江省金华市武义县白洋街道东方五金城12幢一单元301室</t>
  </si>
  <si>
    <t>王千千</t>
  </si>
  <si>
    <t>唐乃怡</t>
  </si>
  <si>
    <t>江苏省苏州市吴中区东渚广济路口南弄1号</t>
  </si>
  <si>
    <t>江苏省苏州市虎丘区东渚街道龙景花苑</t>
  </si>
  <si>
    <t>牛丽丽</t>
  </si>
  <si>
    <t>谷运涛</t>
  </si>
  <si>
    <t>韦利升</t>
  </si>
  <si>
    <t>谭磊桥</t>
  </si>
  <si>
    <t>罗秀芹</t>
  </si>
  <si>
    <t>钟刚剑</t>
  </si>
  <si>
    <t>黄礼文</t>
  </si>
  <si>
    <t>梁海萍</t>
  </si>
  <si>
    <t>四川省成都市邛崃市四川省成都市邛崃市八宝街12号</t>
  </si>
  <si>
    <t>四川省成都市邛崃市四川省成都市邛崃市桑园镇马鞍村11组</t>
  </si>
  <si>
    <t>魏玉莹</t>
  </si>
  <si>
    <t>罗有娣</t>
  </si>
  <si>
    <t>谭小梅</t>
  </si>
  <si>
    <t>王荣琴</t>
  </si>
  <si>
    <t>曾丽婷</t>
  </si>
  <si>
    <t>王健蓉</t>
  </si>
  <si>
    <t>舒建平</t>
  </si>
  <si>
    <t>林旭旋</t>
  </si>
  <si>
    <t>李思婷</t>
  </si>
  <si>
    <t>杨贵英</t>
  </si>
  <si>
    <t>贵州省黔东南苗族侗族自治州凯里市凯里市永乐路8号</t>
  </si>
  <si>
    <t>贵州省黔东南苗族侗族自治州凯里市凯里市北京路12号</t>
  </si>
  <si>
    <t>姚伟玲</t>
  </si>
  <si>
    <t>何小冰</t>
  </si>
  <si>
    <t>张桂嘉</t>
  </si>
  <si>
    <t>董玉臣</t>
  </si>
  <si>
    <t>雷桂英</t>
  </si>
  <si>
    <t>广西贺州市八步区灵峰北路18号远东财富中心a三楼a三室</t>
  </si>
  <si>
    <t>广西贺州市八步区爱民路爱群巷22号</t>
  </si>
  <si>
    <t>蒋孟伶</t>
  </si>
  <si>
    <t>梁月琼</t>
  </si>
  <si>
    <t>肖淑颖</t>
  </si>
  <si>
    <t>马壮</t>
  </si>
  <si>
    <t>孙梦真</t>
  </si>
  <si>
    <t>方慧美</t>
  </si>
  <si>
    <t>何秋英</t>
  </si>
  <si>
    <t>郎爱凤</t>
  </si>
  <si>
    <t>许情情</t>
  </si>
  <si>
    <t>陈淑莉</t>
  </si>
  <si>
    <t>杨召秀</t>
  </si>
  <si>
    <t>刘素微</t>
  </si>
  <si>
    <t>杜晓灵</t>
  </si>
  <si>
    <t>冯泽栋</t>
  </si>
  <si>
    <t>路文省</t>
  </si>
  <si>
    <t>袁青</t>
  </si>
  <si>
    <t>胡巧林</t>
  </si>
  <si>
    <t>胡晨煜</t>
  </si>
  <si>
    <t>林志琴</t>
  </si>
  <si>
    <t>聂亚萍</t>
  </si>
  <si>
    <t>周春江</t>
  </si>
  <si>
    <t>刘向</t>
  </si>
  <si>
    <t>陈弟</t>
  </si>
  <si>
    <t>官正辉</t>
  </si>
  <si>
    <t>李双攀</t>
  </si>
  <si>
    <t>姚晓冬</t>
  </si>
  <si>
    <t>何翔</t>
  </si>
  <si>
    <t>王孟佐</t>
  </si>
  <si>
    <t>陈灵儿</t>
  </si>
  <si>
    <t>浙江省杭州市上城区婺江路217号近江时代大厦B座19楼</t>
  </si>
  <si>
    <t>江苏省扬州市广陵区广东省信宜市教育路3号3幢201房</t>
  </si>
  <si>
    <t>石孝育</t>
  </si>
  <si>
    <t>周军兵</t>
  </si>
  <si>
    <t>浙江省舟山市定海区干榄镇拦洲路1号</t>
  </si>
  <si>
    <t>浙江省舟山市定海区干榄镇合利村61号</t>
  </si>
  <si>
    <t>吴亚东</t>
  </si>
  <si>
    <t>单丽凤</t>
  </si>
  <si>
    <t>周应国</t>
  </si>
  <si>
    <t>陈德钦</t>
  </si>
  <si>
    <t>沈伟亮</t>
  </si>
  <si>
    <t>杨庆冬</t>
  </si>
  <si>
    <t>李雨阳</t>
  </si>
  <si>
    <t>山西省长治市潞城市山西省潞城市店上镇常庄村</t>
  </si>
  <si>
    <t>山西省长治市襄垣县山西省长治市襄垣县夏店镇圪塔头村46号</t>
  </si>
  <si>
    <t>郭云川</t>
  </si>
  <si>
    <t>四川省雅安市名山县虎啸桥南路31号</t>
  </si>
  <si>
    <t>四川省雅安市荥经县荥经县新添乡下坝村二组</t>
  </si>
  <si>
    <t>苟源</t>
  </si>
  <si>
    <t>贺阳春</t>
  </si>
  <si>
    <t>任志豪</t>
  </si>
  <si>
    <t>马倩倩</t>
  </si>
  <si>
    <t>宁夏银川市兴庆区胜利街158号</t>
  </si>
  <si>
    <t>宁夏银川市兴庆区胜利街寺南小区</t>
  </si>
  <si>
    <t>唐建峰</t>
  </si>
  <si>
    <t>广东省佛山市南海区里水镇河塱沙志高工业园</t>
  </si>
  <si>
    <t>广东省佛山市南海区里水镇河塱沙市场</t>
  </si>
  <si>
    <t>陈思龙</t>
  </si>
  <si>
    <t>江西省南昌市东湖区八一大道财富广场B座2405室</t>
  </si>
  <si>
    <t>江西省南昌市西湖区铁路三村43栋3单元302室</t>
  </si>
  <si>
    <t>黄益智</t>
  </si>
  <si>
    <t>广东省湛江市麻章区东山镇海云路湛江市公安局经济技术开发区分局</t>
  </si>
  <si>
    <t>广东省湛江市霞山区乐华街道平乐斜坡村一横2号</t>
  </si>
  <si>
    <t>许瑞汉</t>
  </si>
  <si>
    <t>广东省揭阳市普宁市流沙北街道南平路中段178号</t>
  </si>
  <si>
    <t>广东省揭阳市普宁市流沙北街道南园村工业西村2巷11号</t>
  </si>
  <si>
    <t>黄文凌</t>
  </si>
  <si>
    <t>吕耿明</t>
  </si>
  <si>
    <t>尚新</t>
  </si>
  <si>
    <t>丁家楠</t>
  </si>
  <si>
    <t>叶春田</t>
  </si>
  <si>
    <t>福建省南平市建瓯市瓯宁路316号</t>
  </si>
  <si>
    <t>福建省南平市建瓯市芝山街道西大街13号</t>
  </si>
  <si>
    <t>张彦科</t>
  </si>
  <si>
    <t>高林生</t>
  </si>
  <si>
    <t>薛太林</t>
  </si>
  <si>
    <t>四川省成都市武侯区人民南路4段46号上善国际1401</t>
  </si>
  <si>
    <t>四川省成都市青羊区双顺路4号院6栋1单元816</t>
  </si>
  <si>
    <t>蔡三洋</t>
  </si>
  <si>
    <t>刘会</t>
  </si>
  <si>
    <t>张少鹏</t>
  </si>
  <si>
    <t>黑龙江省鸡西市鸡冠区兴国路14号</t>
  </si>
  <si>
    <t>黑龙江省鸡西市鸡冠区北钢家5号楼2单元104</t>
  </si>
  <si>
    <t>湖北省十堰市茅箭区十堰市北京路堰桥新村综合楼1-2</t>
  </si>
  <si>
    <t>湖北省十堰市茅箭区武当路街道重庆路时代花园1004</t>
  </si>
  <si>
    <t>秦余良</t>
  </si>
  <si>
    <t>黑龙江省哈尔滨市松北区松浦大道松浦观江国际销售中心600号</t>
  </si>
  <si>
    <t>黑龙江省哈尔滨市南岗区宣礼街66号院2单元402室</t>
  </si>
  <si>
    <t>罗霞</t>
  </si>
  <si>
    <t>黄志军</t>
  </si>
  <si>
    <t>任朋</t>
  </si>
  <si>
    <t>河南省濮阳市华龙区昆吾中路39号</t>
  </si>
  <si>
    <t>河南省濮阳市华龙区人民路大化北区98号楼</t>
  </si>
  <si>
    <t>薛梅</t>
  </si>
  <si>
    <t>熊厚保</t>
  </si>
  <si>
    <t>吴佳俊</t>
  </si>
  <si>
    <t>江西省宜春市高安市龙工大道北</t>
  </si>
  <si>
    <t>江西省宜春市高安市瑞州街道姚家站</t>
  </si>
  <si>
    <t>韦艳</t>
  </si>
  <si>
    <t>楼东卫</t>
  </si>
  <si>
    <t>朱伟杰</t>
  </si>
  <si>
    <t>湖南省常德市武陵区芷兰街道高峰社区六组</t>
  </si>
  <si>
    <t>李长龙</t>
  </si>
  <si>
    <t>汪婉婷</t>
  </si>
  <si>
    <t>刘昌乐</t>
  </si>
  <si>
    <t>宫勋</t>
  </si>
  <si>
    <t>范家祺</t>
  </si>
  <si>
    <t>顾程豪</t>
  </si>
  <si>
    <t>王泳波</t>
  </si>
  <si>
    <t>林志佳</t>
  </si>
  <si>
    <t>广东省揭阳市榕城区揭丰公路蓝和村风南围31号</t>
  </si>
  <si>
    <t>广东省揭阳市揭东县锡场镇锡西村水流埔十五巷四号</t>
  </si>
  <si>
    <t>王冰茹</t>
  </si>
  <si>
    <t>韦如梦</t>
  </si>
  <si>
    <t>殷伟</t>
  </si>
  <si>
    <t>湖南省怀化市鹤城区红星路209号十字路口旁</t>
  </si>
  <si>
    <t>湖南省怀化市鹤城区红星路209号尚品国际3栋1602室</t>
  </si>
  <si>
    <t>郭朦朦</t>
  </si>
  <si>
    <t>张生超</t>
  </si>
  <si>
    <t>吴晓杰</t>
  </si>
  <si>
    <t>上海市上海市嘉定区上海市嘉定区回城南路1720号</t>
  </si>
  <si>
    <t>上海市上海市嘉定区上海市嘉定区华亭镇联一村联五857号</t>
  </si>
  <si>
    <t>李树德</t>
  </si>
  <si>
    <t>张万海</t>
  </si>
  <si>
    <t>蒋军利</t>
  </si>
  <si>
    <t>季晨阳</t>
  </si>
  <si>
    <t>姜贝贝</t>
  </si>
  <si>
    <t>汤文全</t>
  </si>
  <si>
    <t>尹嘉伦</t>
  </si>
  <si>
    <t>彭燕飞</t>
  </si>
  <si>
    <t>陈汉冬</t>
  </si>
  <si>
    <t>安阳</t>
  </si>
  <si>
    <t>河南省安阳市安丰乡赵村174号</t>
  </si>
  <si>
    <t>陈景泉</t>
  </si>
  <si>
    <t>陶守军</t>
  </si>
  <si>
    <t>江苏省南通市崇川区中南世纪城23栋701</t>
  </si>
  <si>
    <t>江苏省南通市崇川区碧桂园81栋2408</t>
  </si>
  <si>
    <t>黄树欣</t>
  </si>
  <si>
    <t>刘光庭</t>
  </si>
  <si>
    <t>任亚捧</t>
  </si>
  <si>
    <t>孙淑腾</t>
  </si>
  <si>
    <t>倪翊铭</t>
  </si>
  <si>
    <t>代佳昊</t>
  </si>
  <si>
    <t>孟宪玉</t>
  </si>
  <si>
    <t>辽宁省大连市普兰店市渤海街185号</t>
  </si>
  <si>
    <t>辽宁省大连市金州区格林小镇2号楼一单元701室</t>
  </si>
  <si>
    <t>张秀宏</t>
  </si>
  <si>
    <t>余桂林</t>
  </si>
  <si>
    <t>贵州省贵阳市花溪区孟关汽车城汽车超市A区8号</t>
  </si>
  <si>
    <t>贵州省贵阳市花溪区孟关乡电子园8栋一单元102室</t>
  </si>
  <si>
    <t>苏荣树</t>
  </si>
  <si>
    <t>王汉超</t>
  </si>
  <si>
    <t>辽宁省铁岭市昌图县辽宁省铁岭市昌图县医院北走20米</t>
  </si>
  <si>
    <t>辽宁省铁岭市昌图县大四家子镇大四村九组</t>
  </si>
  <si>
    <t>胡明浪</t>
  </si>
  <si>
    <t>四川省达州市万源市万源市白沙镇</t>
  </si>
  <si>
    <t>四川省达州市万源市万源市思源路二十九号</t>
  </si>
  <si>
    <t>王冬冬</t>
  </si>
  <si>
    <t>李明科</t>
  </si>
  <si>
    <t>孟未来</t>
  </si>
  <si>
    <t>谢礼文</t>
  </si>
  <si>
    <t>赵友财</t>
  </si>
  <si>
    <t>张伟洲</t>
  </si>
  <si>
    <t>崔芳玮</t>
  </si>
  <si>
    <t>付淑珍</t>
  </si>
  <si>
    <t>刘成龙</t>
  </si>
  <si>
    <t>郑春峰</t>
  </si>
  <si>
    <t>丁琼依</t>
  </si>
  <si>
    <t>湖南省株洲市醴陵市解放路3号</t>
  </si>
  <si>
    <t>湖南省株洲市醴陵市合心坝小区21号</t>
  </si>
  <si>
    <t>冉茂翔</t>
  </si>
  <si>
    <t>吴文祥</t>
  </si>
  <si>
    <t>何远</t>
  </si>
  <si>
    <t>胡长典</t>
  </si>
  <si>
    <t>贾志勇</t>
  </si>
  <si>
    <t>张嘉琪</t>
  </si>
  <si>
    <t>李景帅</t>
  </si>
  <si>
    <t>周妍</t>
  </si>
  <si>
    <t>余成</t>
  </si>
  <si>
    <t>北京市北京市丰台区造假街5号院内</t>
  </si>
  <si>
    <t>北京市北京市丰台区卢沟桥路五里店西公交车站25号</t>
  </si>
  <si>
    <t>黄克银</t>
  </si>
  <si>
    <t>陈麟</t>
  </si>
  <si>
    <t>广东省潮州市潮安县彩塘镇金砂一村新桥工业区</t>
  </si>
  <si>
    <t>广东省潮州市潮安县彩塘镇金砂一村郭厝韩2号</t>
  </si>
  <si>
    <t>黄景章</t>
  </si>
  <si>
    <t>高俊民</t>
  </si>
  <si>
    <t>金海伦</t>
  </si>
  <si>
    <t>冯龙响</t>
  </si>
  <si>
    <t>李方和</t>
  </si>
  <si>
    <t>刘另来</t>
  </si>
  <si>
    <t>俞梁青</t>
  </si>
  <si>
    <t>李广旭</t>
  </si>
  <si>
    <t>内蒙古通辽市科尔沁区三兴小区4#412室</t>
  </si>
  <si>
    <t>内蒙古通辽市科尔沁区滨河大街自来水小区A区2号楼342室</t>
  </si>
  <si>
    <t>翁玲敏</t>
  </si>
  <si>
    <t>高爱军</t>
  </si>
  <si>
    <t>廖欢</t>
  </si>
  <si>
    <t>江西省南昌市青山湖区北京东路梦时代广场3楼</t>
  </si>
  <si>
    <t>江西省南昌市青山湖区洛阳东路27号601</t>
  </si>
  <si>
    <t>伏来利</t>
  </si>
  <si>
    <t>马晓微</t>
  </si>
  <si>
    <t>李继业</t>
  </si>
  <si>
    <t>河南省安阳市文峰区永明路上城公馆901</t>
  </si>
  <si>
    <t>河南省安阳市北关区洹滨北路四巷35号</t>
  </si>
  <si>
    <t>黄小中</t>
  </si>
  <si>
    <t>田成玉</t>
  </si>
  <si>
    <t>李延岭</t>
  </si>
  <si>
    <t>李仕华</t>
  </si>
  <si>
    <t>张玉保</t>
  </si>
  <si>
    <t>曹娜</t>
  </si>
  <si>
    <t>曾庆实</t>
  </si>
  <si>
    <t>曲光甫</t>
  </si>
  <si>
    <t>袁小国</t>
  </si>
  <si>
    <t>赵启明</t>
  </si>
  <si>
    <t>安徽省合肥市瑶海区丰乐亭路与通达路交口众顺驾校</t>
  </si>
  <si>
    <t>安徽省合肥市蜀山区蜀峰路与稻香路交口香槟小镇37栋一单元801室</t>
  </si>
  <si>
    <t>曾贵良</t>
  </si>
  <si>
    <t>杨沛源</t>
  </si>
  <si>
    <t>河南省许昌市禹州市河南省禹州市禹王大道与颍河大街交叉口向南100米</t>
  </si>
  <si>
    <t>河南省许昌市禹州市河南省禹州市另发宾馆对面橙子公寓</t>
  </si>
  <si>
    <t>刘鑫健</t>
  </si>
  <si>
    <t>王柳絮</t>
  </si>
  <si>
    <t>丛佩林</t>
  </si>
  <si>
    <t>宋文毫</t>
  </si>
  <si>
    <t>彭丽洁</t>
  </si>
  <si>
    <t>郑传强</t>
  </si>
  <si>
    <t>张秋梅</t>
  </si>
  <si>
    <t>湖南省怀化市麻阳苗族自治县火车站旱山垅一巷001号</t>
  </si>
  <si>
    <t>湖南省怀化市麻阳苗族自治县湖南省怀化市麻阳县火车站旱山垅一巷001号</t>
  </si>
  <si>
    <t>李长兵</t>
  </si>
  <si>
    <t>吴林锋</t>
  </si>
  <si>
    <t>福建省南平市政和县白鸽岭商贸中心A座二楼</t>
  </si>
  <si>
    <t>福建省南平市政和县南大街珠山路21号</t>
  </si>
  <si>
    <t>伊晨</t>
  </si>
  <si>
    <t>陈少荣</t>
  </si>
  <si>
    <t>安徽省黄山市屯溪区老街街道一马路13号</t>
  </si>
  <si>
    <t>安徽省黄山市屯溪区东方丽景一期排屋40-5</t>
  </si>
  <si>
    <t>朱安伟</t>
  </si>
  <si>
    <t>河南省商丘市永城市永兴路与育才街交叉口南200米</t>
  </si>
  <si>
    <t>河南省商丘市永城市文化路北段水木清华园16号楼二单元1302</t>
  </si>
  <si>
    <t>张春生</t>
  </si>
  <si>
    <t>张国玲</t>
  </si>
  <si>
    <t>孙超波</t>
  </si>
  <si>
    <t>吴建兵</t>
  </si>
  <si>
    <t>福建省厦门市湖里区安岭二路99号宝远大厦七楼</t>
  </si>
  <si>
    <t>福建省厦门市同安区四口圳1130号</t>
  </si>
  <si>
    <t>方君莹</t>
  </si>
  <si>
    <t>四川省成都市郫县红光镇百维广场</t>
  </si>
  <si>
    <t>四川省成都市郫县红光镇龙城国际一期二单元</t>
  </si>
  <si>
    <t>钟善平</t>
  </si>
  <si>
    <t>余建英</t>
  </si>
  <si>
    <t>严明逸</t>
  </si>
  <si>
    <t>潘仕磊</t>
  </si>
  <si>
    <t>江西省上饶市信州区江西省上饶市信州区万达广场5栋401</t>
  </si>
  <si>
    <t>江西省上饶市上饶县江西省上饶市上饶县皂头镇付家村仓墩20号</t>
  </si>
  <si>
    <t>刘港星</t>
  </si>
  <si>
    <t>刘传忠</t>
  </si>
  <si>
    <t>隋鑫玉</t>
  </si>
  <si>
    <t>官科湘</t>
  </si>
  <si>
    <t>陈惠光</t>
  </si>
  <si>
    <t>周叶叶</t>
  </si>
  <si>
    <t>黄换君</t>
  </si>
  <si>
    <t>韩洁</t>
  </si>
  <si>
    <t>覃福茂</t>
  </si>
  <si>
    <t>严济峰</t>
  </si>
  <si>
    <t>唐洲</t>
  </si>
  <si>
    <t>马培辉</t>
  </si>
  <si>
    <t>陈浚鸿</t>
  </si>
  <si>
    <t>文有军</t>
  </si>
  <si>
    <t>卢喜全</t>
  </si>
  <si>
    <t>王小勇</t>
  </si>
  <si>
    <t>李颖丽</t>
  </si>
  <si>
    <t>方天禹</t>
  </si>
  <si>
    <t>杨宗济</t>
  </si>
  <si>
    <t>山东省临沂市罗庄区付庄办事处殷旦子村</t>
  </si>
  <si>
    <t>山东省临沂市郯城县城里一街1区233号</t>
  </si>
  <si>
    <t>江锦虹</t>
  </si>
  <si>
    <t>冯优</t>
  </si>
  <si>
    <t>张媛玥</t>
  </si>
  <si>
    <t>林程钏</t>
  </si>
  <si>
    <t>浙江省温州市鹿城区解放街178号</t>
  </si>
  <si>
    <t>浙江省温州市鹿城区县前大楼C栋304</t>
  </si>
  <si>
    <t>字殷杰</t>
  </si>
  <si>
    <t>冯绮</t>
  </si>
  <si>
    <t>白静静</t>
  </si>
  <si>
    <t>李亚琴</t>
  </si>
  <si>
    <t>山西省长治市城区长治市英雄北路41号</t>
  </si>
  <si>
    <t>山西省长治市佳美绿洲西街118号</t>
  </si>
  <si>
    <t>兰昌如</t>
  </si>
  <si>
    <t>浙江省温州市乐清市北白象荷花路83号</t>
  </si>
  <si>
    <t>浙江省温州市乐清市北白象荷花路90号</t>
  </si>
  <si>
    <t>高文满</t>
  </si>
  <si>
    <t>北京市北京市海淀区北京市海淀西三环北路50号</t>
  </si>
  <si>
    <t>北京市北京市海淀区成府路20号展春园小区6栋4单元403</t>
  </si>
  <si>
    <t>卢仁勇</t>
  </si>
  <si>
    <t>马阳阳</t>
  </si>
  <si>
    <t>倪敏娜</t>
  </si>
  <si>
    <t>沈恒</t>
  </si>
  <si>
    <t>云南省丽江市古城区祥和商业广场</t>
  </si>
  <si>
    <t>云南省丽江市古城区古城区祥和上村</t>
  </si>
  <si>
    <t>李凌</t>
  </si>
  <si>
    <t>陈晓丽</t>
  </si>
  <si>
    <t>程耀华</t>
  </si>
  <si>
    <t>蒋飞</t>
  </si>
  <si>
    <t>易祚朝</t>
  </si>
  <si>
    <t>广西防城港市防城区广东省东莞市</t>
  </si>
  <si>
    <t>防城港市防城区那梭镇平木村下大村组24号</t>
  </si>
  <si>
    <t>谭嘉铭</t>
  </si>
  <si>
    <t>庞瑚娟</t>
  </si>
  <si>
    <t>广东省湛江市廉江市九洲江开发区民心路12号</t>
  </si>
  <si>
    <t>广东省湛江市廉江市石城镇那良村第二村民小组113号</t>
  </si>
  <si>
    <t>刘小青</t>
  </si>
  <si>
    <t>郭康</t>
  </si>
  <si>
    <t>龚谢龙</t>
  </si>
  <si>
    <t>湖南省长沙市岳麓区长沙市河西桐子坡西路468号</t>
  </si>
  <si>
    <t>湖南省长沙市岳麓区湖南省长沙市梅溪湖</t>
  </si>
  <si>
    <t>岳少斌</t>
  </si>
  <si>
    <t>田蜜</t>
  </si>
  <si>
    <t>重庆市重庆市黔江区新华大道西段289号</t>
  </si>
  <si>
    <t>重庆市重庆市酉阳土家族苗族自治县桃花源街道384号</t>
  </si>
  <si>
    <t>张树强</t>
  </si>
  <si>
    <t>章鹏</t>
  </si>
  <si>
    <t>云南省大理白族自治州大理市下关镇南涧路39号</t>
  </si>
  <si>
    <t>云南省大理白族自治州大理市下关镇雪人路2号5-2-2-4</t>
  </si>
  <si>
    <t>钟道团</t>
  </si>
  <si>
    <t>广西钦州市灵山县灵城镇江南路269号</t>
  </si>
  <si>
    <t>广西钦州市灵山县三海街道三海村委长江岭村五队261号</t>
  </si>
  <si>
    <t>刘象春</t>
  </si>
  <si>
    <t>敖登图亚</t>
  </si>
  <si>
    <t>内蒙古巴彦淖尔市乌拉特中旗内蒙古自治区巴彦淖尔市乌拉特中旗市民中心</t>
  </si>
  <si>
    <t>内蒙古巴彦淖尔市乌拉特中旗巴彦淖尔市乌拉特中旗电力小区</t>
  </si>
  <si>
    <t>张魏</t>
  </si>
  <si>
    <t>辛清倩</t>
  </si>
  <si>
    <t>朱荣鑫</t>
  </si>
  <si>
    <t>杨云超</t>
  </si>
  <si>
    <t>丁博</t>
  </si>
  <si>
    <t>吴增章</t>
  </si>
  <si>
    <t>郑琼龙</t>
  </si>
  <si>
    <t>祝鹏飞</t>
  </si>
  <si>
    <t>徐源源</t>
  </si>
  <si>
    <t>高辉国</t>
  </si>
  <si>
    <t>广西贺州市八步区贺州市光明社区建设西路380号</t>
  </si>
  <si>
    <t>广西贺州市八步区贺州市光明社区建设西路373号</t>
  </si>
  <si>
    <t>石平桥</t>
  </si>
  <si>
    <t>徐慧云</t>
  </si>
  <si>
    <t>桂子林</t>
  </si>
  <si>
    <t>李甜田</t>
  </si>
  <si>
    <t>云南省昆明市盘龙区万华路26号</t>
  </si>
  <si>
    <t>云南省昆明市盘龙区万华路169号4栋1单元402室</t>
  </si>
  <si>
    <t>蔡万顺</t>
  </si>
  <si>
    <t>罗樟</t>
  </si>
  <si>
    <t>刘凤兰</t>
  </si>
  <si>
    <t>刘滔</t>
  </si>
  <si>
    <t>常先宁</t>
  </si>
  <si>
    <t>河南省洛阳市西工区凯旋路80号院社区服务楼</t>
  </si>
  <si>
    <t>河南省洛阳市洛龙区中泰华庭小区13-1-1603</t>
  </si>
  <si>
    <t>佟宁</t>
  </si>
  <si>
    <t>严敏</t>
  </si>
  <si>
    <t>章安</t>
  </si>
  <si>
    <t>占厚甜</t>
  </si>
  <si>
    <t>冯丽云</t>
  </si>
  <si>
    <t>广东省阳江市江城区新华北路168号</t>
  </si>
  <si>
    <t>广东省阳江市阳东县合章北路43号</t>
  </si>
  <si>
    <t>陈冠彪</t>
  </si>
  <si>
    <t>肖德敏</t>
  </si>
  <si>
    <t>兰建国</t>
  </si>
  <si>
    <t>潘宁</t>
  </si>
  <si>
    <t>高洪锐</t>
  </si>
  <si>
    <t>赵子乾</t>
  </si>
  <si>
    <t>陈伟钰</t>
  </si>
  <si>
    <t>柴小飞</t>
  </si>
  <si>
    <t>闫登秀</t>
  </si>
  <si>
    <t>戴水英</t>
  </si>
  <si>
    <t>赵来元</t>
  </si>
  <si>
    <t>史丽丽</t>
  </si>
  <si>
    <t>吉波波</t>
  </si>
  <si>
    <t>林炜圣</t>
  </si>
  <si>
    <t>刘正海</t>
  </si>
  <si>
    <t>杨小兵</t>
  </si>
  <si>
    <t>郭育平</t>
  </si>
  <si>
    <t>张创荣</t>
  </si>
  <si>
    <t>刘汉卿</t>
  </si>
  <si>
    <t>朱耀年</t>
  </si>
  <si>
    <t>贺玉巧</t>
  </si>
  <si>
    <t>黄嘉琪</t>
  </si>
  <si>
    <t>孙瑞阳</t>
  </si>
  <si>
    <t>侯菊利</t>
  </si>
  <si>
    <t>奉贻玉</t>
  </si>
  <si>
    <t>钱恒超</t>
  </si>
  <si>
    <t>李新友</t>
  </si>
  <si>
    <t>苏艳丽</t>
  </si>
  <si>
    <t>刘文炳</t>
  </si>
  <si>
    <t>李晓</t>
  </si>
  <si>
    <t>石梦欣</t>
  </si>
  <si>
    <t>山东省淄博市桓台县马桥镇联华超市北200米</t>
  </si>
  <si>
    <t>山东省滨州市邹平县长山镇田家庄村550号</t>
  </si>
  <si>
    <t>唐桂华</t>
  </si>
  <si>
    <t>朱以伟</t>
  </si>
  <si>
    <t>陈果</t>
  </si>
  <si>
    <t>金仁爱</t>
  </si>
  <si>
    <t>刘大钦</t>
  </si>
  <si>
    <t>黄惠燕</t>
  </si>
  <si>
    <t>海南省三亚市海南省三亚市荔枝沟落笔洞路果香四季农庄</t>
  </si>
  <si>
    <t>海南省三亚市海南省三亚市荔枝沟落笔洞路果香农庄</t>
  </si>
  <si>
    <t>邹先铭</t>
  </si>
  <si>
    <t>马玉堂</t>
  </si>
  <si>
    <t>罗建民</t>
  </si>
  <si>
    <t>谢银明</t>
  </si>
  <si>
    <t>刘万龙</t>
  </si>
  <si>
    <t>浙江省温州市瑞安市安阳街道开河路19号</t>
  </si>
  <si>
    <t>浙江省温州市瑞安市吴宅巷6号</t>
  </si>
  <si>
    <t>刘笑</t>
  </si>
  <si>
    <t>江西省萍乡市安源区萍乡市经贸大厦11楼</t>
  </si>
  <si>
    <t>江西省萍乡市安源区高坑镇明主广场56栋</t>
  </si>
  <si>
    <t>唐新文</t>
  </si>
  <si>
    <t>熊仕海</t>
  </si>
  <si>
    <t>湖北省十堰市茅箭区江苏路东正国际28号</t>
  </si>
  <si>
    <t>湖北省十堰市张湾区车城西路寺包巷小区22号</t>
  </si>
  <si>
    <t>裴鑫</t>
  </si>
  <si>
    <t>广东省深圳市罗湖区东门中威商业广场229B</t>
  </si>
  <si>
    <t>广东省深圳市罗湖区宝安南路广场北街10栋302</t>
  </si>
  <si>
    <t>程雅楠</t>
  </si>
  <si>
    <t>韦小妹</t>
  </si>
  <si>
    <t>广西贺州市八步区建设西路370号</t>
  </si>
  <si>
    <t>广西贺州市八步区 鹅塘镇芦岗村三组37号</t>
  </si>
  <si>
    <t>赵云雷</t>
  </si>
  <si>
    <t>河北省保定市徐水县大王店镇纬二路</t>
  </si>
  <si>
    <t>河北省保定市唐县罗庄乡北罗庄村127号</t>
  </si>
  <si>
    <t>张关明</t>
  </si>
  <si>
    <t>陈益国</t>
  </si>
  <si>
    <t>曲紫涵</t>
  </si>
  <si>
    <t>邱霞</t>
  </si>
  <si>
    <t>陈豫川</t>
  </si>
  <si>
    <t>詹知维</t>
  </si>
  <si>
    <t>江西省新余市分宜县工业园162号</t>
  </si>
  <si>
    <t>江西省新余市分宜县风阳镇社下村委占家村小组23号</t>
  </si>
  <si>
    <t>李倩梅</t>
  </si>
  <si>
    <t>户依依</t>
  </si>
  <si>
    <t>王传晓</t>
  </si>
  <si>
    <t>巩方林</t>
  </si>
  <si>
    <t>山东省淄博市桓台县工业二路西首</t>
  </si>
  <si>
    <t>山东省淄博市桓台县建国小区81号楼4单元101</t>
  </si>
  <si>
    <t>何圣斌</t>
  </si>
  <si>
    <t>杨政</t>
  </si>
  <si>
    <t>福建省南平市延平区滨江中路399号冠林大厦10楼</t>
  </si>
  <si>
    <t>福建省南平市政和县牡丹园一号楼一单元905室</t>
  </si>
  <si>
    <t>赵中伟</t>
  </si>
  <si>
    <t>云南省曲靖市麒麟区益宁街道办事处金牛社区三组133号</t>
  </si>
  <si>
    <t>云南省曲靖市麒麟区益宁街道办事处金牛社区二组79号</t>
  </si>
  <si>
    <t>易海军</t>
  </si>
  <si>
    <t>王小兵</t>
  </si>
  <si>
    <t>刘潇文</t>
  </si>
  <si>
    <t>赵水滋</t>
  </si>
  <si>
    <t>吕业呈</t>
  </si>
  <si>
    <t>刘思祺</t>
  </si>
  <si>
    <t>闫菊</t>
  </si>
  <si>
    <t>冯启倡</t>
  </si>
  <si>
    <t>戴小军</t>
  </si>
  <si>
    <t>其明强</t>
  </si>
  <si>
    <t>康佳</t>
  </si>
  <si>
    <t>路旭</t>
  </si>
  <si>
    <t>赵灿光</t>
  </si>
  <si>
    <t>浙江省温州市瓯海区月落垟东路</t>
  </si>
  <si>
    <t>浙江省温州市瓯海区月落垟东路158号</t>
  </si>
  <si>
    <t>周银龙</t>
  </si>
  <si>
    <t>湖南省长沙市望城区黄金西路1号</t>
  </si>
  <si>
    <t>湖南省长沙市望城区黄金西路249号</t>
  </si>
  <si>
    <t>温素贞</t>
  </si>
  <si>
    <t>陈南君</t>
  </si>
  <si>
    <t>袁传柱</t>
  </si>
  <si>
    <t>山东省聊城市冠县振兴东路389号</t>
  </si>
  <si>
    <t>山东省聊城市冠县东三里小区</t>
  </si>
  <si>
    <t>刘丽斌</t>
  </si>
  <si>
    <t>冯雄才</t>
  </si>
  <si>
    <t>庞高飞</t>
  </si>
  <si>
    <t>丁瑜</t>
  </si>
  <si>
    <t>冯汉华</t>
  </si>
  <si>
    <t>王其斌</t>
  </si>
  <si>
    <t>曾迪</t>
  </si>
  <si>
    <t>赵乐</t>
  </si>
  <si>
    <t>姚伟华</t>
  </si>
  <si>
    <t>孙德坤</t>
  </si>
  <si>
    <t>闫志刚</t>
  </si>
  <si>
    <t>曹文</t>
  </si>
  <si>
    <t>陈家驹</t>
  </si>
  <si>
    <t>林双龙</t>
  </si>
  <si>
    <t>朝鲁门</t>
  </si>
  <si>
    <t>徐化</t>
  </si>
  <si>
    <t>王瑞敏</t>
  </si>
  <si>
    <t>曾小凤</t>
  </si>
  <si>
    <t>杨大奎</t>
  </si>
  <si>
    <t>张跃</t>
  </si>
  <si>
    <t>于涛涛</t>
  </si>
  <si>
    <t>山东省威海市环翠区青岛北路2号中信大厦</t>
  </si>
  <si>
    <t>山东省威海市环翠区威海黄金顶小区26号楼506</t>
  </si>
  <si>
    <t>徐云云</t>
  </si>
  <si>
    <t>王宾</t>
  </si>
  <si>
    <t>甘肃省天水市麦积区北街道三马路酒钢东晟东5号</t>
  </si>
  <si>
    <t>甘肃省天水市麦积区马跑泉镇胡王村</t>
  </si>
  <si>
    <t>高学鑫</t>
  </si>
  <si>
    <t>杨瑶</t>
  </si>
  <si>
    <t>鲍玉梅</t>
  </si>
  <si>
    <t>赵治国</t>
  </si>
  <si>
    <t>叶美银</t>
  </si>
  <si>
    <t>东莞市东城区八一路军民路第三栋</t>
  </si>
  <si>
    <t>广东省东莞市莞城区罗一榴香路十六巷3号</t>
  </si>
  <si>
    <t>赵宝强</t>
  </si>
  <si>
    <t>宋文江</t>
  </si>
  <si>
    <t>万爱鑫</t>
  </si>
  <si>
    <t>安徽省六安市金安区六安市皋城东路华源纺织厂院内</t>
  </si>
  <si>
    <t>安徽省六安市金安区六安市皋城东路白露雅苑小区17号楼一单元202</t>
  </si>
  <si>
    <t>赵国章</t>
  </si>
  <si>
    <t>侯玉梅</t>
  </si>
  <si>
    <t>冯先力</t>
  </si>
  <si>
    <t>朱鸣超</t>
  </si>
  <si>
    <t>高力可</t>
  </si>
  <si>
    <t>王城</t>
  </si>
  <si>
    <t>苗帅</t>
  </si>
  <si>
    <t>徐宏云</t>
  </si>
  <si>
    <t>邸建超</t>
  </si>
  <si>
    <t>郭晓东</t>
  </si>
  <si>
    <t>余丽河</t>
  </si>
  <si>
    <t>姜茜茜</t>
  </si>
  <si>
    <t>张圣炜</t>
  </si>
  <si>
    <t>董晓明</t>
  </si>
  <si>
    <t>张乃福</t>
  </si>
  <si>
    <t>河南省郑州市管城回族区航海东路30号邮政报刊印务有限公司</t>
  </si>
  <si>
    <t>河南省郑州市管城回族区航海东路街道正商新蓝钻a区6号楼一单元2402</t>
  </si>
  <si>
    <t>张昌白</t>
  </si>
  <si>
    <t>山西省忻州市忻府区山西省忻州市和平路</t>
  </si>
  <si>
    <t>山西省忻州市忻府区山西省忻州市忻府区紫岩乡双堡村五队二组</t>
  </si>
  <si>
    <t>封尚文</t>
  </si>
  <si>
    <t>王雪晴</t>
  </si>
  <si>
    <t>张献文</t>
  </si>
  <si>
    <t>黄星芬</t>
  </si>
  <si>
    <t>赵秀娟</t>
  </si>
  <si>
    <t>池哲源</t>
  </si>
  <si>
    <t>曲单华</t>
  </si>
  <si>
    <t>赵雪森</t>
  </si>
  <si>
    <t>黄文勇</t>
  </si>
  <si>
    <t>江西省抚州市资溪县资溪县鹤城镇泸水路77号</t>
  </si>
  <si>
    <t>江西省抚州市资溪县资溪县鹤城镇泸水路115号2栋102</t>
  </si>
  <si>
    <t>谢勇飞</t>
  </si>
  <si>
    <t>柴建林</t>
  </si>
  <si>
    <t>王文昌</t>
  </si>
  <si>
    <t>庞维民</t>
  </si>
  <si>
    <t>石鹏飞</t>
  </si>
  <si>
    <t>孙晓龙</t>
  </si>
  <si>
    <t>陈兴渝</t>
  </si>
  <si>
    <t>姚立健</t>
  </si>
  <si>
    <t>赵皓</t>
  </si>
  <si>
    <t>江苏省苏州市昆山市花桥镇仓业路518</t>
  </si>
  <si>
    <t>江苏省苏州市昆山市花桥镇仓业路518员工公寓</t>
  </si>
  <si>
    <t>胡进</t>
  </si>
  <si>
    <t>刘振永</t>
  </si>
  <si>
    <t>江志雄</t>
  </si>
  <si>
    <t>康琛</t>
  </si>
  <si>
    <t>陶士旭</t>
  </si>
  <si>
    <t>潘承昌</t>
  </si>
  <si>
    <t>刘兆嘉</t>
  </si>
  <si>
    <t>辜笑天</t>
  </si>
  <si>
    <t>孙二灿</t>
  </si>
  <si>
    <t>李登</t>
  </si>
  <si>
    <t>鲁永攀</t>
  </si>
  <si>
    <t>谢明松</t>
  </si>
  <si>
    <t>刘慧敏</t>
  </si>
  <si>
    <t>辛海岩</t>
  </si>
  <si>
    <t>舒阳</t>
  </si>
  <si>
    <t>赵俊峰</t>
  </si>
  <si>
    <t>河南省郑州市金水区农业路72号2号楼1310号</t>
  </si>
  <si>
    <t>河南省漯河市源汇区阴阳赵乡乔庄村1组23号</t>
  </si>
  <si>
    <t>张妍妮</t>
  </si>
  <si>
    <t>陈垦</t>
  </si>
  <si>
    <t>李海存</t>
  </si>
  <si>
    <t>陕西省西安市灞桥区西安市灞桥区铲河东路人才交流中心</t>
  </si>
  <si>
    <t>青海省海东地区乐都县青海省乐都县李家乡马圈村</t>
  </si>
  <si>
    <t>内蒙古呼和浩特市赛罕区万豪名园低店107</t>
  </si>
  <si>
    <t>内蒙古呼和浩特市土默特左旗青城上院书香苑七号楼三单元502</t>
  </si>
  <si>
    <t>黄飞飞</t>
  </si>
  <si>
    <t>王雨晴</t>
  </si>
  <si>
    <t>祝兰芳</t>
  </si>
  <si>
    <t>杨影</t>
  </si>
  <si>
    <t>崔亮</t>
  </si>
  <si>
    <t>张有才</t>
  </si>
  <si>
    <t>姚梦军</t>
  </si>
  <si>
    <t>高东锋</t>
  </si>
  <si>
    <t>苗静静</t>
  </si>
  <si>
    <t>白江飞</t>
  </si>
  <si>
    <t>张永进</t>
  </si>
  <si>
    <t>汪会容</t>
  </si>
  <si>
    <t>黄焕成</t>
  </si>
  <si>
    <t>李浩明</t>
  </si>
  <si>
    <t>李国娇</t>
  </si>
  <si>
    <t>姚曦</t>
  </si>
  <si>
    <t>王奇峰</t>
  </si>
  <si>
    <t>俞旭超</t>
  </si>
  <si>
    <t>张肖凡</t>
  </si>
  <si>
    <t>石淦</t>
  </si>
  <si>
    <t>河南省开封市鼓楼区开封市鼓楼区省府前街53号</t>
  </si>
  <si>
    <t>河南省开封市禹王台区开封市禹王台区医院后街26号</t>
  </si>
  <si>
    <t>李苏轩</t>
  </si>
  <si>
    <t>石亚铅</t>
  </si>
  <si>
    <t>赵青云</t>
  </si>
  <si>
    <t>浙江省杭州市临安市锦城街道衣锦街578号</t>
  </si>
  <si>
    <t>浙江省杭州市临安市吴越山庄45幢202室</t>
  </si>
  <si>
    <t>章雪妍</t>
  </si>
  <si>
    <t>赵建桂</t>
  </si>
  <si>
    <t>邱浩纹</t>
  </si>
  <si>
    <t>朱侠</t>
  </si>
  <si>
    <t>池仙鹤</t>
  </si>
  <si>
    <t>佘曾军</t>
  </si>
  <si>
    <t>徐军</t>
  </si>
  <si>
    <t>郑轩辕</t>
  </si>
  <si>
    <t>叶风彩</t>
  </si>
  <si>
    <t>韦晶晶</t>
  </si>
  <si>
    <t>霍湘泉</t>
  </si>
  <si>
    <t>陈镇洲</t>
  </si>
  <si>
    <t>曹丽勇</t>
  </si>
  <si>
    <t>王章前</t>
  </si>
  <si>
    <t>谢新宇</t>
  </si>
  <si>
    <t>李洪垒</t>
  </si>
  <si>
    <t>谢红宇</t>
  </si>
  <si>
    <t>姜田野</t>
  </si>
  <si>
    <t>内蒙古呼伦贝尔市海拉尔区海拉尔区正阳办西大街电信小区3-221</t>
  </si>
  <si>
    <t>内蒙古呼伦贝尔市鄂温克族自治旗海天新村小区五号楼二单元292</t>
  </si>
  <si>
    <t>翁国辉</t>
  </si>
  <si>
    <t>邵建敏</t>
  </si>
  <si>
    <t>吕建峰</t>
  </si>
  <si>
    <t>云南省文山壮族苗族自治州文山市开化中路，205号</t>
  </si>
  <si>
    <t>云南省文山壮族苗族自治州文山市东风路和谐世界城B幢803</t>
  </si>
  <si>
    <t>张曦</t>
  </si>
  <si>
    <t>北京市北京市朝阳区东大桥路8号院3号楼19层</t>
  </si>
  <si>
    <t>北京市北京市丰台区益则路一号院丽泽景园4号楼2003</t>
  </si>
  <si>
    <t>王艳芳</t>
  </si>
  <si>
    <t>胡娅</t>
  </si>
  <si>
    <t>湖北省宜昌市伍家岗区沿江大道129号</t>
  </si>
  <si>
    <t>湖北省宜昌市伍家岗区杨岔路碧翠苑小区16栋一单元201室</t>
  </si>
  <si>
    <t>谭军军</t>
  </si>
  <si>
    <t>商晓强</t>
  </si>
  <si>
    <t>河北省衡水市武邑县清凉店镇衡德路北古典家具产业园</t>
  </si>
  <si>
    <t>河北省衡水市武邑县清凉店镇中兴广场西</t>
  </si>
  <si>
    <t>赵合辉</t>
  </si>
  <si>
    <t>黑龙江省牡丹江市爱民区康佳街56号</t>
  </si>
  <si>
    <t>黑龙江省牡丹江市爱民区金属宿舍2栋2单元201室</t>
  </si>
  <si>
    <t>张宝亮</t>
  </si>
  <si>
    <t>王自成</t>
  </si>
  <si>
    <t>高燕玲</t>
  </si>
  <si>
    <t>黎涛</t>
  </si>
  <si>
    <t>毛军勇</t>
  </si>
  <si>
    <t>曹兵杰</t>
  </si>
  <si>
    <t>眭国庆</t>
  </si>
  <si>
    <t>龙娜</t>
  </si>
  <si>
    <t>范建文</t>
  </si>
  <si>
    <t>张舒舒</t>
  </si>
  <si>
    <t>陈傲祥</t>
  </si>
  <si>
    <t>安徽省合肥市包河区武汉市鹏恒印务有限公司</t>
  </si>
  <si>
    <t>武汉市鹏恒印务有限公司</t>
  </si>
  <si>
    <t>霍志宽</t>
  </si>
  <si>
    <t>唐国俊</t>
  </si>
  <si>
    <t>胡春海</t>
  </si>
  <si>
    <t>张勤建</t>
  </si>
  <si>
    <t>徐清</t>
  </si>
  <si>
    <t>骆超志</t>
  </si>
  <si>
    <t>靳宝利</t>
  </si>
  <si>
    <t>张伟杰</t>
  </si>
  <si>
    <t>王仲秋</t>
  </si>
  <si>
    <t>邓杰豪</t>
  </si>
  <si>
    <t>马红凯</t>
  </si>
  <si>
    <t>欧阳彪</t>
  </si>
  <si>
    <t>丘献华</t>
  </si>
  <si>
    <t>黄立军</t>
  </si>
  <si>
    <t>石仑</t>
  </si>
  <si>
    <t>重庆市重庆市渝中区上清寺环球广场2楼</t>
  </si>
  <si>
    <t>重庆市重庆市沙坪坝区新民坡20号附2号6-1</t>
  </si>
  <si>
    <t>吴小艳</t>
  </si>
  <si>
    <t>杨春花</t>
  </si>
  <si>
    <t>陈洪凯</t>
  </si>
  <si>
    <t>陈峰磊</t>
  </si>
  <si>
    <t>朱玉康</t>
  </si>
  <si>
    <t>冯立华</t>
  </si>
  <si>
    <t>范有鑫</t>
  </si>
  <si>
    <t>李亚强</t>
  </si>
  <si>
    <t>徐亮</t>
  </si>
  <si>
    <t>戚彩虹</t>
  </si>
  <si>
    <t>湖北省十堰市茅箭区东明广场17层</t>
  </si>
  <si>
    <t>湖北省十堰市茅箭区翔泰公寓C座1单元201</t>
  </si>
  <si>
    <t>石朋程</t>
  </si>
  <si>
    <t>皮雪强</t>
  </si>
  <si>
    <t>安徽省芜湖市镜湖区中山市西区沙朗第三工业区</t>
  </si>
  <si>
    <t>江西省宜春市樟树市黄土岗镇荻斜村委杨柳组20号</t>
  </si>
  <si>
    <t>夏佐平</t>
  </si>
  <si>
    <t>高源</t>
  </si>
  <si>
    <t>山东省泰安市泰山区龙潭南路201号</t>
  </si>
  <si>
    <t>山东省泰安市岱岳区房村镇涝坡村305号</t>
  </si>
  <si>
    <t>文雅</t>
  </si>
  <si>
    <t>王跃龙</t>
  </si>
  <si>
    <t>吴洪飞</t>
  </si>
  <si>
    <t>王尚琪</t>
  </si>
  <si>
    <t>李先明</t>
  </si>
  <si>
    <t>龚文</t>
  </si>
  <si>
    <t>许亦辉</t>
  </si>
  <si>
    <t>江苏省连云港市新浦区新孔南路13-402</t>
  </si>
  <si>
    <t>江苏省连云港市新浦区海昌南路158-5号楼三单元202</t>
  </si>
  <si>
    <t>张杭</t>
  </si>
  <si>
    <t>汪新誉</t>
  </si>
  <si>
    <t>上海市上海市松江区上海家锐房地产营销策划有限公司</t>
  </si>
  <si>
    <t>上海市上海市松江区佘山镇佘北家园秀雅苑2号楼301</t>
  </si>
  <si>
    <t>朱文艳</t>
  </si>
  <si>
    <t>冯萍香</t>
  </si>
  <si>
    <t>唐辉</t>
  </si>
  <si>
    <t>广东省深圳市宝安区龙华街道社区富联工业区1栋501</t>
  </si>
  <si>
    <t>广东省深圳市宝安区龙华新区建辉路欣怡住宿6楼604</t>
  </si>
  <si>
    <t>武二强</t>
  </si>
  <si>
    <t>路昱</t>
  </si>
  <si>
    <t>武华军</t>
  </si>
  <si>
    <t>程月锐</t>
  </si>
  <si>
    <t>蔡述文</t>
  </si>
  <si>
    <t>刘俊辉</t>
  </si>
  <si>
    <t>徐笑冬</t>
  </si>
  <si>
    <t>张玉恒</t>
  </si>
  <si>
    <t>曲宏伟</t>
  </si>
  <si>
    <t>付天亮</t>
  </si>
  <si>
    <t>李琦</t>
  </si>
  <si>
    <t>杜利</t>
  </si>
  <si>
    <t>王志军</t>
  </si>
  <si>
    <t>陈馨</t>
  </si>
  <si>
    <t>北京市北京市通州区北京通州区梨园九棵树中路998</t>
  </si>
  <si>
    <t>北京市北京市朝阳区孙河康营家园B9-2-202</t>
  </si>
  <si>
    <t>赵斯林</t>
  </si>
  <si>
    <t>李晓川</t>
  </si>
  <si>
    <t>黄伟聪</t>
  </si>
  <si>
    <t>许晓丰</t>
  </si>
  <si>
    <t>河南省安阳市安阳县铜冶镇东积善村北500米</t>
  </si>
  <si>
    <t>河南省安阳市安阳县铜冶镇辛庄村西大街40号</t>
  </si>
  <si>
    <t>韩哂嫣</t>
  </si>
  <si>
    <t>张锁</t>
  </si>
  <si>
    <t>刘春明</t>
  </si>
  <si>
    <t>何方正</t>
  </si>
  <si>
    <t>林建</t>
  </si>
  <si>
    <t>李海春</t>
  </si>
  <si>
    <t>吴晓峰</t>
  </si>
  <si>
    <t>陈华贤</t>
  </si>
  <si>
    <t>付杰</t>
  </si>
  <si>
    <t>杨元慧</t>
  </si>
  <si>
    <t>许曼</t>
  </si>
  <si>
    <t>崔红莲</t>
  </si>
  <si>
    <t>山东省淄博市张店区鲁泰大道99号汇金大厦A座1020室</t>
  </si>
  <si>
    <t>山东省淄博市桓台县索镇云涛小区124号楼1单元401号</t>
  </si>
  <si>
    <t>孟宪杰</t>
  </si>
  <si>
    <t>袁锡增</t>
  </si>
  <si>
    <t>山东省潍坊市寿光市山东省寿光市侯镇工业园磷复肥有限公司</t>
  </si>
  <si>
    <t>山东省潍坊市寿光市寿光市侯镇台东村130号</t>
  </si>
  <si>
    <t>张东博</t>
  </si>
  <si>
    <t>龚意华</t>
  </si>
  <si>
    <t>南风肖</t>
  </si>
  <si>
    <t>苗恒凯</t>
  </si>
  <si>
    <t>李紫馨</t>
  </si>
  <si>
    <t>张华君</t>
  </si>
  <si>
    <t>广东省江门市鹤山市共和镇鹤山工业园得润电子科技有限公司</t>
  </si>
  <si>
    <t>广东省江门市鹤山市共和镇鹤山工业园得润电子科技有限公司宿舍</t>
  </si>
  <si>
    <t>吕振宙</t>
  </si>
  <si>
    <t>万家宏</t>
  </si>
  <si>
    <t>俞春叶</t>
  </si>
  <si>
    <t>王超和</t>
  </si>
  <si>
    <t>丁飞龙</t>
  </si>
  <si>
    <t>郭滨良</t>
  </si>
  <si>
    <t>李义</t>
  </si>
  <si>
    <t>史建永</t>
  </si>
  <si>
    <t>河北省沧州市泊头市河北省泊头市河东南大街</t>
  </si>
  <si>
    <t>河北省泊头市河东南大街105号</t>
  </si>
  <si>
    <t>姚晓蝶</t>
  </si>
  <si>
    <t>辽宁省辽阳市辽阳县刘二堡镇河北村</t>
  </si>
  <si>
    <t>修全顺</t>
  </si>
  <si>
    <t>卢鹏威</t>
  </si>
  <si>
    <t>张巨风</t>
  </si>
  <si>
    <t>黑龙江省佳木斯市富锦市中央大街东段小姚地村</t>
  </si>
  <si>
    <t>黑龙江省佳木斯市富锦市新开街鸿翔家园小区3号楼2单元502</t>
  </si>
  <si>
    <t>倪雪原</t>
  </si>
  <si>
    <t>高诗宁</t>
  </si>
  <si>
    <t>河南省许昌市禹州市河南省禹州市西工业区大道1号</t>
  </si>
  <si>
    <t>河南省禹州市大禹像蓝海招待所</t>
  </si>
  <si>
    <t>起进艳</t>
  </si>
  <si>
    <t>訾团结</t>
  </si>
  <si>
    <t>安徽省淮北市杜集区淮海路海通财富广场501</t>
  </si>
  <si>
    <t>安徽省淮北市杜集区相山路186号</t>
  </si>
  <si>
    <t>寇韦</t>
  </si>
  <si>
    <t>黄盛龙</t>
  </si>
  <si>
    <t>胡兰香</t>
  </si>
  <si>
    <t>王浩波</t>
  </si>
  <si>
    <t>王立文</t>
  </si>
  <si>
    <t>任广录</t>
  </si>
  <si>
    <t>贡军超</t>
  </si>
  <si>
    <t>冉馥宁</t>
  </si>
  <si>
    <t>秦晓元</t>
  </si>
  <si>
    <t>武立超</t>
  </si>
  <si>
    <t>罗福厚</t>
  </si>
  <si>
    <t>周小贵</t>
  </si>
  <si>
    <t>杨贤喜</t>
  </si>
  <si>
    <t>李梦羽</t>
  </si>
  <si>
    <t>黄宗敏</t>
  </si>
  <si>
    <t>江西省南昌市西湖区广场南路伯爵公馆15楼</t>
  </si>
  <si>
    <t>江西省宜春市上高县南港镇前进村梅湖区177号</t>
  </si>
  <si>
    <t>何宁</t>
  </si>
  <si>
    <t>李胜炎</t>
  </si>
  <si>
    <t>蒲海军</t>
  </si>
  <si>
    <t>四川省巴中市巴州区将军大道61号</t>
  </si>
  <si>
    <t>四川省巴中市巴州区后河桥大正蓝本3单元502号</t>
  </si>
  <si>
    <t>包忠文</t>
  </si>
  <si>
    <t>湖南省益阳市赫山区桃花仑东路13号</t>
  </si>
  <si>
    <t>湖南省益阳市沅江市南大膳镇沿河路金粮巷6号</t>
  </si>
  <si>
    <t>邹建顺</t>
  </si>
  <si>
    <t>兰剑宁</t>
  </si>
  <si>
    <t>陕西省西安市新城区长乐西路276号</t>
  </si>
  <si>
    <t>陕西省西安市莲湖区大学习巷4号</t>
  </si>
  <si>
    <t>曲艳</t>
  </si>
  <si>
    <t>郑宝生</t>
  </si>
  <si>
    <t>符蔚意</t>
  </si>
  <si>
    <t>朱瑢</t>
  </si>
  <si>
    <t>林位永</t>
  </si>
  <si>
    <t>潘小亭</t>
  </si>
  <si>
    <t>苏靖博</t>
  </si>
  <si>
    <t>廖祥</t>
  </si>
  <si>
    <t>冯立秋</t>
  </si>
  <si>
    <t>焦晓林</t>
  </si>
  <si>
    <t>郭中绍</t>
  </si>
  <si>
    <t>吕福盛</t>
  </si>
  <si>
    <t>山东省青岛市即墨市天山一路西50米</t>
  </si>
  <si>
    <t>山东省青岛市市南区流亭街道元一生活广场</t>
  </si>
  <si>
    <t>袁烨豪</t>
  </si>
  <si>
    <t>沈奕正</t>
  </si>
  <si>
    <t>赵蒙</t>
  </si>
  <si>
    <t>史尚风</t>
  </si>
  <si>
    <t>龙弢</t>
  </si>
  <si>
    <t>张利强</t>
  </si>
  <si>
    <t>胡文刚</t>
  </si>
  <si>
    <t>湖北省黄冈市武穴市金盘路2号</t>
  </si>
  <si>
    <t>湖北省黄冈市武穴市花桥镇童司牌村胡胜山湾二组46号</t>
  </si>
  <si>
    <t>严志超</t>
  </si>
  <si>
    <t>山西省太原市迎泽区山西省太原市迎泽区新建路三友电器旁边</t>
  </si>
  <si>
    <t>山西省太原市迎泽区山西省太原市迎泽区新建路文源巷口8号</t>
  </si>
  <si>
    <t>韦志尔</t>
  </si>
  <si>
    <t>河南省开封市兰考县兰考县中山街与人民路交叉口西200米</t>
  </si>
  <si>
    <t>河南省开封市兰考县兰考县红庙镇关东村</t>
  </si>
  <si>
    <t>吕丽彩</t>
  </si>
  <si>
    <t>梁仕托</t>
  </si>
  <si>
    <t>代晓宇</t>
  </si>
  <si>
    <t>马宏猛</t>
  </si>
  <si>
    <t>洪海源</t>
  </si>
  <si>
    <t>福建省厦门市翔安区新店镇刘五店村78号</t>
  </si>
  <si>
    <t>福建省厦门市翔安区新店镇洪厝村杨厝49号</t>
  </si>
  <si>
    <t>沈子燕</t>
  </si>
  <si>
    <t>黄琚哲</t>
  </si>
  <si>
    <t>李美望</t>
  </si>
  <si>
    <t>周亮亮</t>
  </si>
  <si>
    <t>王晶华</t>
  </si>
  <si>
    <t>魏晴雁</t>
  </si>
  <si>
    <t>卢方勇</t>
  </si>
  <si>
    <t>王林浩</t>
  </si>
  <si>
    <t>魏晓飞</t>
  </si>
  <si>
    <t>梁辉英</t>
  </si>
  <si>
    <t>王正会</t>
  </si>
  <si>
    <t>林业成</t>
  </si>
  <si>
    <t>崔洋</t>
  </si>
  <si>
    <t>辽宁省沈阳市和平区华府天地1F</t>
  </si>
  <si>
    <t>辽宁省沈阳市沈河区友好小区28号8-3-1</t>
  </si>
  <si>
    <t>赵延鹏</t>
  </si>
  <si>
    <t>任新强</t>
  </si>
  <si>
    <t>陈艳娇</t>
  </si>
  <si>
    <t>陕西省咸阳市秦都区乐育北路富锦佳苑2号楼1605室</t>
  </si>
  <si>
    <t>陕西省咸阳市渭城区永遂街华城国际广场1号楼2303室</t>
  </si>
  <si>
    <t>徐林代</t>
  </si>
  <si>
    <t>林何漳</t>
  </si>
  <si>
    <t>冯林</t>
  </si>
  <si>
    <t>周绍炳</t>
  </si>
  <si>
    <t>毛志洪</t>
  </si>
  <si>
    <t>重庆市重庆市合川区南办处夜雨村4社</t>
  </si>
  <si>
    <t>四川省广安市岳池县四川省岳池县龙孔镇艾家场村4组11号</t>
  </si>
  <si>
    <t>赵世雄</t>
  </si>
  <si>
    <t>安徽省六安市裕安区裕安区鼓楼街道北塔公园</t>
  </si>
  <si>
    <t>安徽省宣城市宁国市安徽省宁国市中溪镇荷花</t>
  </si>
  <si>
    <t>孙勇</t>
  </si>
  <si>
    <t>刘锌仪</t>
  </si>
  <si>
    <t>云南省昭通市绥江县中城镇新世纪印象绥江2号</t>
  </si>
  <si>
    <t>云南省昭通市绥江县中城镇凤岭路三号六幢一单元102</t>
  </si>
  <si>
    <t>施玉琴</t>
  </si>
  <si>
    <t>甘肃省张掖市甘州区永鑫商业街12号</t>
  </si>
  <si>
    <t>甘肃省张掖市民乐县南华路八一巷步行街1号楼东单元402室</t>
  </si>
  <si>
    <t>梁千国</t>
  </si>
  <si>
    <t>黄汉森</t>
  </si>
  <si>
    <t>郑志强</t>
  </si>
  <si>
    <t>宋代群</t>
  </si>
  <si>
    <t>孙成振</t>
  </si>
  <si>
    <t>河南省南阳市宛城区白河街道信臣路2000号</t>
  </si>
  <si>
    <t>河南省南阳市宛城区独山大道万家园8号楼二楼东</t>
  </si>
  <si>
    <t>郑艺明</t>
  </si>
  <si>
    <t>福建省漳州市芗城区丽园君悦5幢1单元303号</t>
  </si>
  <si>
    <t>福建省漳州市龙海市榜山镇洋西村洋西176号</t>
  </si>
  <si>
    <t>陈斌斌</t>
  </si>
  <si>
    <t>甘肃省张掖市甘州区仁宗路流泉新村旁边</t>
  </si>
  <si>
    <t>甘肃省张掖市甘州区甘州区长安镇前进家园</t>
  </si>
  <si>
    <t>王子含</t>
  </si>
  <si>
    <t>宁夏银川市兴庆区银川市老大楼2楼</t>
  </si>
  <si>
    <t>宁夏石嘴山市大武口区绿城雅居10号楼2单元202</t>
  </si>
  <si>
    <t>苏庆雷</t>
  </si>
  <si>
    <t>谈军军</t>
  </si>
  <si>
    <t>广东省惠州市惠阳区秋长镇新塘工业区</t>
  </si>
  <si>
    <t>江西省赣州市南康市光明国际家具城阳光家居1819房</t>
  </si>
  <si>
    <t>李大仨</t>
  </si>
  <si>
    <t>广东省深圳市福田区彩田路彩福大厦嘉福阁22H</t>
  </si>
  <si>
    <t>广东省深圳市罗湖区四川省达州市通川区青宁乡保丰村七组九号</t>
  </si>
  <si>
    <t>文丽娟</t>
  </si>
  <si>
    <t>安徽省淮南市田家庵区电建路58号</t>
  </si>
  <si>
    <t>安徽省淮南市田家庵区园南商业村基建楼</t>
  </si>
  <si>
    <t>天津市天津市津南区八里台镇科达二路h-b1</t>
  </si>
  <si>
    <t>天津市天津市津南区天津市津南区咸水沽镇丰达园43号楼1601</t>
  </si>
  <si>
    <t>潘良顺</t>
  </si>
  <si>
    <t>张哲林</t>
  </si>
  <si>
    <t>周梦佳</t>
  </si>
  <si>
    <t>黄建才</t>
  </si>
  <si>
    <t>施富强</t>
  </si>
  <si>
    <t>倪力</t>
  </si>
  <si>
    <t>赖少华</t>
  </si>
  <si>
    <t>广东省茂名市茂南区茂南区双山一路89号</t>
  </si>
  <si>
    <t>广东省茂名市茂港区茂港区羊角镇大同塘尾93号</t>
  </si>
  <si>
    <t>祁宝林</t>
  </si>
  <si>
    <t>秦焕达</t>
  </si>
  <si>
    <t>陈杭</t>
  </si>
  <si>
    <t>邹正举</t>
  </si>
  <si>
    <t>北京市北京市丰台区小井九队136号</t>
  </si>
  <si>
    <t>江苏省淮安市金湖县健康西路卡萨布兰卡小区27-2-104</t>
  </si>
  <si>
    <t>吴合昌</t>
  </si>
  <si>
    <t>肖常康</t>
  </si>
  <si>
    <t>山东省青岛市黄岛区临港七路453号</t>
  </si>
  <si>
    <t>山东省青岛市黄岛区琅琊镇斋堂岛49号</t>
  </si>
  <si>
    <t>武影</t>
  </si>
  <si>
    <t>山东省荷泽市牡丹区曹县合商路176号</t>
  </si>
  <si>
    <t>山东省荷泽市牡丹区水岸城邦b区25号楼1单元101</t>
  </si>
  <si>
    <t>李发艳</t>
  </si>
  <si>
    <t>云南省文山壮族苗族自治州麻栗坡县莱溪独田园丁小区学府路141号</t>
  </si>
  <si>
    <t>云南省文山壮族苗族自治州麻栗坡县麻栗坡镇环城南路红银小区8栋201室</t>
  </si>
  <si>
    <t>陈文广</t>
  </si>
  <si>
    <t>刘文波</t>
  </si>
  <si>
    <t>谢蒙志</t>
  </si>
  <si>
    <t>王皎全</t>
  </si>
  <si>
    <t>谢小华</t>
  </si>
  <si>
    <t>赖德昌</t>
  </si>
  <si>
    <t>福建省漳州市芗城区漳州市胜利路西洋坪段南侧</t>
  </si>
  <si>
    <t>福建省漳州市芗城区丽水臻品2栋2502</t>
  </si>
  <si>
    <t>陈源杰</t>
  </si>
  <si>
    <t>王兴隆</t>
  </si>
  <si>
    <t>陈怡萍</t>
  </si>
  <si>
    <t>廖小娟</t>
  </si>
  <si>
    <t>周嘉敏</t>
  </si>
  <si>
    <t>戴德军</t>
  </si>
  <si>
    <t>杨富涵</t>
  </si>
  <si>
    <t>穆村</t>
  </si>
  <si>
    <t>周雨波</t>
  </si>
  <si>
    <t>江西省上饶市上饶县广信区七六路2号</t>
  </si>
  <si>
    <t>江西省上饶市上饶县茶亭镇白沙村周家25号</t>
  </si>
  <si>
    <t>杨凱</t>
  </si>
  <si>
    <t>王继会</t>
  </si>
  <si>
    <t>黄秋于</t>
  </si>
  <si>
    <t>程加春</t>
  </si>
  <si>
    <t>唐远泽</t>
  </si>
  <si>
    <t>广西贺州市八步区贺州市建设西路二级路段一类98</t>
  </si>
  <si>
    <t>广西贺州市八步区八步区建设计西路368号</t>
  </si>
  <si>
    <t>刘镇伟</t>
  </si>
  <si>
    <t>陈潘飞</t>
  </si>
  <si>
    <t>葛韦林</t>
  </si>
  <si>
    <t>杜坤</t>
  </si>
  <si>
    <t>黄金发</t>
  </si>
  <si>
    <t>谢象汇</t>
  </si>
  <si>
    <t>江栋杰</t>
  </si>
  <si>
    <t>李勇禄</t>
  </si>
  <si>
    <t>云南省曲靖市师宗县云南省曲靖市师宗县丹凤镇丹凤街道凤竹路53号</t>
  </si>
  <si>
    <t>云南省曲靖市师宗县丹凤镇丹凤街道凤竹路53号</t>
  </si>
  <si>
    <t>邓小年</t>
  </si>
  <si>
    <t>何呈娥</t>
  </si>
  <si>
    <t>郭更华</t>
  </si>
  <si>
    <t>山东省莱芜市莱城区长勺北路，109号</t>
  </si>
  <si>
    <t>山东省莱芜市莱城区和庄镇南麻峪村中心街</t>
  </si>
  <si>
    <t>薛金蒲</t>
  </si>
  <si>
    <t>关文龙</t>
  </si>
  <si>
    <t>石斌</t>
  </si>
  <si>
    <t>徐少华</t>
  </si>
  <si>
    <t>杨伟青</t>
  </si>
  <si>
    <t>闫霄霄</t>
  </si>
  <si>
    <t>李永胜</t>
  </si>
  <si>
    <t>傅宝康</t>
  </si>
  <si>
    <t>河南省新乡市牧野区北环路与东环路口6号</t>
  </si>
  <si>
    <t>河南省新乡市牧野区丰乐里西街394号</t>
  </si>
  <si>
    <t>潘俊煌</t>
  </si>
  <si>
    <t>吴朝阳</t>
  </si>
  <si>
    <t>李昆仑</t>
  </si>
  <si>
    <t>岳野</t>
  </si>
  <si>
    <t>朱杰杰</t>
  </si>
  <si>
    <t>曾大卫</t>
  </si>
  <si>
    <t>常昌</t>
  </si>
  <si>
    <t>赵建萍</t>
  </si>
  <si>
    <t>仇亚东</t>
  </si>
  <si>
    <t>薛亚文</t>
  </si>
  <si>
    <t>吴扩册</t>
  </si>
  <si>
    <t>张启建</t>
  </si>
  <si>
    <t>江西省上饶市上饶县凤凰西大道翡翠城14号</t>
  </si>
  <si>
    <t>江西省上饶市上饶县茶亭镇南岩村下坳60号</t>
  </si>
  <si>
    <t>崔雪岩</t>
  </si>
  <si>
    <t>岳雯</t>
  </si>
  <si>
    <t>范航</t>
  </si>
  <si>
    <t>薛家林</t>
  </si>
  <si>
    <t>田桂金</t>
  </si>
  <si>
    <t>陈莎莎</t>
  </si>
  <si>
    <t>北京市北京市西城区地铁四号线西四站乘务室</t>
  </si>
  <si>
    <t>北京市北京市海淀区水岸家园北区16号楼6单元601</t>
  </si>
  <si>
    <t>宋腾飞</t>
  </si>
  <si>
    <t>湖北省武汉市蔡甸区东风大道888号</t>
  </si>
  <si>
    <t>湖北省武汉市蔡甸区经开全力北公寓</t>
  </si>
  <si>
    <t>倪渲俊</t>
  </si>
  <si>
    <t>江西省景德镇市昌江区瓷都大道688号</t>
  </si>
  <si>
    <t>江西省景德镇市昌江区香山御园3栋704</t>
  </si>
  <si>
    <t>胡加鑫</t>
  </si>
  <si>
    <t>刘如双</t>
  </si>
  <si>
    <t>李江梅</t>
  </si>
  <si>
    <t>王昌悦</t>
  </si>
  <si>
    <t>成浩</t>
  </si>
  <si>
    <t>黄旻卉</t>
  </si>
  <si>
    <t>姜淋云</t>
  </si>
  <si>
    <t>徐旭旭</t>
  </si>
  <si>
    <t>武传海</t>
  </si>
  <si>
    <t>四川省资阳市雁江区莲花路50号</t>
  </si>
  <si>
    <t>四川省资阳市雁江区万达华府小区六栋一单元3102</t>
  </si>
  <si>
    <t>艾克然木·依拉依木</t>
  </si>
  <si>
    <t>邱盖迪</t>
  </si>
  <si>
    <t>闫登尧</t>
  </si>
  <si>
    <t>上海市上海市闵行区上海市闵行区华宁路3399号</t>
  </si>
  <si>
    <t>上海市上海市松江区洞泾镇洞薛路美善公寓3号楼306</t>
  </si>
  <si>
    <t>孙卿</t>
  </si>
  <si>
    <t>陈孝文</t>
  </si>
  <si>
    <t>何军</t>
  </si>
  <si>
    <t>林芳徐</t>
  </si>
  <si>
    <t>闫龙龙</t>
  </si>
  <si>
    <t>鞠花</t>
  </si>
  <si>
    <t>朱秋霜</t>
  </si>
  <si>
    <t>马思杰</t>
  </si>
  <si>
    <t>魏船授</t>
  </si>
  <si>
    <t>范自华</t>
  </si>
  <si>
    <t>马思琦</t>
  </si>
  <si>
    <t>兰健美</t>
  </si>
  <si>
    <t>孔乐乐</t>
  </si>
  <si>
    <t>汪三艳</t>
  </si>
  <si>
    <t>尤文雅</t>
  </si>
  <si>
    <t>曾强</t>
  </si>
  <si>
    <t>祝正勤</t>
  </si>
  <si>
    <t>吴昊天</t>
  </si>
  <si>
    <t>赵思岩</t>
  </si>
  <si>
    <t>冯煊</t>
  </si>
  <si>
    <t>徐暖鑫</t>
  </si>
  <si>
    <t>辽宁省沈阳市大东区东站街与工农路交汇</t>
  </si>
  <si>
    <t>辽宁省沈阳市大东区小什字街金星小区15-1</t>
  </si>
  <si>
    <t>林少琴</t>
  </si>
  <si>
    <t>广东省佛山市顺德区大良街道甲子路207号银畔丽苑30号</t>
  </si>
  <si>
    <t>广东省佛山市顺德区杏坛镇昌教观堂路观堂二巷2号</t>
  </si>
  <si>
    <t>林彬</t>
  </si>
  <si>
    <t>湖北省恩施土家族苗族自治州恩施市清江东路9号</t>
  </si>
  <si>
    <t>湖北省恩施土家族苗族自治州恩施市六角亭街道后山湾首府小区5号楼1201</t>
  </si>
  <si>
    <t>李祥光</t>
  </si>
  <si>
    <t>广东省深圳市宝安区美篮大厦701室</t>
  </si>
  <si>
    <t>塘厦镇田心村建材市场南区86号</t>
  </si>
  <si>
    <t>梁晶华</t>
  </si>
  <si>
    <t>李一刚</t>
  </si>
  <si>
    <t>张哲通</t>
  </si>
  <si>
    <t>徐克来</t>
  </si>
  <si>
    <t>梁金海</t>
  </si>
  <si>
    <t>赵艳</t>
  </si>
  <si>
    <t>肖仁</t>
  </si>
  <si>
    <t>广东省广州市南沙区大岗镇灵山村金山路14～15号</t>
  </si>
  <si>
    <t>广东省广州市南沙区大岗镇灵山村新涌下街二巷7号</t>
  </si>
  <si>
    <t>张国丽</t>
  </si>
  <si>
    <t>广东省深圳市龙岗区龙岗街道同乐社区赖屋路32号</t>
  </si>
  <si>
    <t>张耀松</t>
  </si>
  <si>
    <t>丁欣欣</t>
  </si>
  <si>
    <t>林泽音</t>
  </si>
  <si>
    <t>余舟</t>
  </si>
  <si>
    <t>重庆市重庆市渝北区重庆市渝北区春华大道99号</t>
  </si>
  <si>
    <t>重庆市重庆市渝北区宝圣街道圣湖花园A栋一单元5-2</t>
  </si>
  <si>
    <t>张青强</t>
  </si>
  <si>
    <t>郭正欣</t>
  </si>
  <si>
    <t>梁君华</t>
  </si>
  <si>
    <t>安徽省合肥市包河区振兴三路</t>
  </si>
  <si>
    <t>田忠康</t>
  </si>
  <si>
    <t>马继平</t>
  </si>
  <si>
    <t>唐晓鹏</t>
  </si>
  <si>
    <t>李福永</t>
  </si>
  <si>
    <t>张浩宇</t>
  </si>
  <si>
    <t>辽宁省朝阳市双塔区电台街673号</t>
  </si>
  <si>
    <t>辽宁省朝阳市双塔区吉法小区450栋12单元503室</t>
  </si>
  <si>
    <t>于友祥</t>
  </si>
  <si>
    <t>高恒</t>
  </si>
  <si>
    <t>董杰坤</t>
  </si>
  <si>
    <t>郭金燕</t>
  </si>
  <si>
    <t>云南省普洱市思茅区云南省普洱市思茅区宁洱大道64号</t>
  </si>
  <si>
    <t>林敬</t>
  </si>
  <si>
    <t>孙平</t>
  </si>
  <si>
    <t>辽宁省鞍山市铁东区千山路81号</t>
  </si>
  <si>
    <t>辽宁省鞍山市立山区</t>
  </si>
  <si>
    <t>沈秉龙</t>
  </si>
  <si>
    <t>谢镇杰</t>
  </si>
  <si>
    <t>邹邦桃</t>
  </si>
  <si>
    <t>刘春杰</t>
  </si>
  <si>
    <t>李伍</t>
  </si>
  <si>
    <t>山西省忻州市忻府区和平西街往北500米路东</t>
  </si>
  <si>
    <t>山西省忻州市忻府区建设路大卢野八八路</t>
  </si>
  <si>
    <t>彭长春</t>
  </si>
  <si>
    <t>董宾占</t>
  </si>
  <si>
    <t>王明明</t>
  </si>
  <si>
    <t>浙江省宁波市余姚市阳明街道舜宇路66-68号</t>
  </si>
  <si>
    <t>浙江省宁波市余姚市凤山街道子陵路翁家村56号</t>
  </si>
  <si>
    <t>薄纯雪</t>
  </si>
  <si>
    <t>广西防城港市港口区翡翠园二期二号楼10033底商</t>
  </si>
  <si>
    <t>广西防城港市港口区翡翠园二期二号楼一单元2201室</t>
  </si>
  <si>
    <t>韩霓霓</t>
  </si>
  <si>
    <t>王占伟</t>
  </si>
  <si>
    <t>朱惠盛</t>
  </si>
  <si>
    <t>汪伟国</t>
  </si>
  <si>
    <t>郭立龙</t>
  </si>
  <si>
    <t>廖建</t>
  </si>
  <si>
    <t>张金辉</t>
  </si>
  <si>
    <t>北京市北京市平谷区北京市平谷区贾各庄东南街甲6号</t>
  </si>
  <si>
    <t>北京市北京市平谷区山东庄镇北屯后街5号</t>
  </si>
  <si>
    <t>张晓清</t>
  </si>
  <si>
    <t>尤俊鑫</t>
  </si>
  <si>
    <t>江苏省无锡市锡山区无锡市皮革城C4栋19-20</t>
  </si>
  <si>
    <t>江苏省无锡市锡山区无锡市皮革城A6栋二楼209室</t>
  </si>
  <si>
    <t>韦玉晓</t>
  </si>
  <si>
    <t>王品昌</t>
  </si>
  <si>
    <t>朱惠雅</t>
  </si>
  <si>
    <t>边晓均</t>
  </si>
  <si>
    <t>宋志刚</t>
  </si>
  <si>
    <t>魏安飞</t>
  </si>
  <si>
    <t>王珊迪</t>
  </si>
  <si>
    <t>邹天健</t>
  </si>
  <si>
    <t>卢寿连</t>
  </si>
  <si>
    <t>马星</t>
  </si>
  <si>
    <t>李思慧</t>
  </si>
  <si>
    <t>陈晓艺</t>
  </si>
  <si>
    <t>刘鸽英</t>
  </si>
  <si>
    <t>郝劭鹏</t>
  </si>
  <si>
    <t>内蒙古呼和浩特市赛罕区海东路6号</t>
  </si>
  <si>
    <t>内蒙古呼和浩特市新城区如意小区A区101东</t>
  </si>
  <si>
    <t>张志飞</t>
  </si>
  <si>
    <t>尚华</t>
  </si>
  <si>
    <t>湖北省襄阳市樊城区湖北襄阳樊城春园西路盛特区A座2307</t>
  </si>
  <si>
    <t>湖北省襄阳市襄城区憻溪路卧龙山庄一幢二单元801</t>
  </si>
  <si>
    <t>王卫强</t>
  </si>
  <si>
    <t>周新刚</t>
  </si>
  <si>
    <t>陈道国</t>
  </si>
  <si>
    <t>黄营</t>
  </si>
  <si>
    <t>林丽卿</t>
  </si>
  <si>
    <t>陈帅</t>
  </si>
  <si>
    <t>毛琴</t>
  </si>
  <si>
    <t>湖南省长沙市岳麓区金星中路247号</t>
  </si>
  <si>
    <t>湖南省长沙市岳麓区咸嘉湖西路阿普阿布</t>
  </si>
  <si>
    <t>王志妥</t>
  </si>
  <si>
    <t>曾志龙</t>
  </si>
  <si>
    <t>蒋英娜</t>
  </si>
  <si>
    <t>黄助春</t>
  </si>
  <si>
    <t>孟雨</t>
  </si>
  <si>
    <t>崔晓</t>
  </si>
  <si>
    <t>重庆市重庆市九龙坡区石桥铺渝州路33号</t>
  </si>
  <si>
    <t>重庆市重庆市九龙坡区石桥铺白马凼公交站57号4-1</t>
  </si>
  <si>
    <t>符超科</t>
  </si>
  <si>
    <t>广东省清远市清城区厚街镇桥头第三工业区</t>
  </si>
  <si>
    <t>广东东莞厚街镇南五村岭祥街二巷</t>
  </si>
  <si>
    <t>吴凌辉</t>
  </si>
  <si>
    <t>辽宁省朝阳市凌源市凌源市凌钢西区钢铁路3号</t>
  </si>
  <si>
    <t>辽宁省朝阳市凌源市凌源见健康路双圆佳苑A区21号楼3单元608</t>
  </si>
  <si>
    <t>刁怀康</t>
  </si>
  <si>
    <t>袁进波</t>
  </si>
  <si>
    <t>张继超</t>
  </si>
  <si>
    <t>福建省厦门市湖里区凤头社567号</t>
  </si>
  <si>
    <t>江西省抚州市黎川县福建省厦门市湖里区凤头社856号</t>
  </si>
  <si>
    <t>杨祝宣</t>
  </si>
  <si>
    <t>张艺飞</t>
  </si>
  <si>
    <t>李照奇</t>
  </si>
  <si>
    <t>谢朝刚</t>
  </si>
  <si>
    <t>江苏省南京市栖霞区南京市栖霞区迈皋桥街道晓庄广场1栋1319室</t>
  </si>
  <si>
    <t>江苏省南京市栖霞区南京市栖霞区中心村137号</t>
  </si>
  <si>
    <t>简晓海</t>
  </si>
  <si>
    <t>周东城</t>
  </si>
  <si>
    <t>张荣莉</t>
  </si>
  <si>
    <t>湖北省荆州市沙市区荆沙大道228号</t>
  </si>
  <si>
    <t>湖北省荆州市沙市区江津中路洪垸小区50栋1门5楼9号</t>
  </si>
  <si>
    <t>陶怡</t>
  </si>
  <si>
    <t>朱立伟</t>
  </si>
  <si>
    <t>吴福祥</t>
  </si>
  <si>
    <t>林亭锦</t>
  </si>
  <si>
    <t>胡顺杰</t>
  </si>
  <si>
    <t>周靖</t>
  </si>
  <si>
    <t>徐博</t>
  </si>
  <si>
    <t>李华伟</t>
  </si>
  <si>
    <t>于忠海</t>
  </si>
  <si>
    <t>李双军</t>
  </si>
  <si>
    <t>黄公立</t>
  </si>
  <si>
    <t>王正基</t>
  </si>
  <si>
    <t>张大博</t>
  </si>
  <si>
    <t>周源进</t>
  </si>
  <si>
    <t>陈思雪</t>
  </si>
  <si>
    <t>银本涛</t>
  </si>
  <si>
    <t>四川省宜宾市翠屏区商贸路110号附16号</t>
  </si>
  <si>
    <t>四川省宜宾市翠屏区龙源府邸9栋1单元503</t>
  </si>
  <si>
    <t>吾提库尔·艾麦提</t>
  </si>
  <si>
    <t>滕静静</t>
  </si>
  <si>
    <t>刘向东</t>
  </si>
  <si>
    <t>吕文松</t>
  </si>
  <si>
    <t>胡自春</t>
  </si>
  <si>
    <t>云南省保山市隆阳区保山市隆阳区建设路79号</t>
  </si>
  <si>
    <t>云南省保山市隆阳区云南省保山市隆阳区汉庄镇彭海村5组</t>
  </si>
  <si>
    <t>葛烽毅</t>
  </si>
  <si>
    <t>郭红亮</t>
  </si>
  <si>
    <t>弓坤</t>
  </si>
  <si>
    <t>栗印佳</t>
  </si>
  <si>
    <t>杨益芳</t>
  </si>
  <si>
    <t>云南省昆明市西山区马街大渔路</t>
  </si>
  <si>
    <t>云南省昆明市五华区黑林铺街道办事处小团山</t>
  </si>
  <si>
    <t>纪宇鹏</t>
  </si>
  <si>
    <t>福建省厦门市同安区火炬园二期</t>
  </si>
  <si>
    <t>福建省厦门市同安区火炬园三期小区</t>
  </si>
  <si>
    <t>张立生</t>
  </si>
  <si>
    <t>田仕意</t>
  </si>
  <si>
    <t>陆代建</t>
  </si>
  <si>
    <t>秦作衡</t>
  </si>
  <si>
    <t>崔宇</t>
  </si>
  <si>
    <t>罗长庚</t>
  </si>
  <si>
    <t>楚景育</t>
  </si>
  <si>
    <t>马荣</t>
  </si>
  <si>
    <t>郑春晖</t>
  </si>
  <si>
    <t>巫振耀</t>
  </si>
  <si>
    <t>福建省厦门市海沧区厦门市海沧区滨湖东路25号</t>
  </si>
  <si>
    <t>福建省厦门市海沧区厦门市海沧区兴港花园兴港一里284号401</t>
  </si>
  <si>
    <t>郑少奇</t>
  </si>
  <si>
    <t>张兆峰</t>
  </si>
  <si>
    <t>张源生</t>
  </si>
  <si>
    <t>何维广</t>
  </si>
  <si>
    <t>广东省珠海市金湾区三灶镇映月路58号4栋29号</t>
  </si>
  <si>
    <t>广东省珠海市金湾区三灶镇东升村山元路170号503</t>
  </si>
  <si>
    <t>沈家勇</t>
  </si>
  <si>
    <t>四川省成都市彭州市彭州市蒙阳镇</t>
  </si>
  <si>
    <t>四川省成都市彭州市四川成都彭州蒙阳镇</t>
  </si>
  <si>
    <t>赵亚军</t>
  </si>
  <si>
    <t>徐高杰</t>
  </si>
  <si>
    <t>贾文东</t>
  </si>
  <si>
    <t>揭伟</t>
  </si>
  <si>
    <t>盛徳顺</t>
  </si>
  <si>
    <t>辽宁省沈阳市铁西区奖工南街31-2号</t>
  </si>
  <si>
    <t>辽宁省沈阳市和平区文化路17号金科名苑803</t>
  </si>
  <si>
    <t>何均健</t>
  </si>
  <si>
    <t>广东省江门市新会区睦洲镇新兴街401</t>
  </si>
  <si>
    <t>汪国涛</t>
  </si>
  <si>
    <t>湖北省武汉市青山区工人村都市生态工业园</t>
  </si>
  <si>
    <t>武汉市江汉区燕马新村81-3号7楼4号</t>
  </si>
  <si>
    <t>李相贵</t>
  </si>
  <si>
    <t>宗雷玲</t>
  </si>
  <si>
    <t>云南省德宏傣族景颇族自治州芒市芒市文蚌街28号</t>
  </si>
  <si>
    <t>云南省德宏傣族景颇族自治州芒市芒市新建路121号</t>
  </si>
  <si>
    <t>李寒</t>
  </si>
  <si>
    <t>李伟平</t>
  </si>
  <si>
    <t>张石磊</t>
  </si>
  <si>
    <t>黄为林</t>
  </si>
  <si>
    <t>加洪强</t>
  </si>
  <si>
    <t>李泮洪</t>
  </si>
  <si>
    <t>尚平</t>
  </si>
  <si>
    <t>山东省青岛市即墨市振华街8号宝龙广场1F</t>
  </si>
  <si>
    <t>山东省青岛市即墨市即墨市府前街7排内4户</t>
  </si>
  <si>
    <t>张淑仙</t>
  </si>
  <si>
    <t>蒋方明</t>
  </si>
  <si>
    <t>浙江省永康市城东路1052号</t>
  </si>
  <si>
    <t>浙江省永康市夏溪一街69号</t>
  </si>
  <si>
    <t>陈苏日娜</t>
  </si>
  <si>
    <t>高格</t>
  </si>
  <si>
    <t>齐小丰</t>
  </si>
  <si>
    <t>丁艺</t>
  </si>
  <si>
    <t>刘美君</t>
  </si>
  <si>
    <t>刘枫</t>
  </si>
  <si>
    <t>周旋律</t>
  </si>
  <si>
    <t>郑川虎</t>
  </si>
  <si>
    <t>何艳芳</t>
  </si>
  <si>
    <t>穆陆陆</t>
  </si>
  <si>
    <t>曹干</t>
  </si>
  <si>
    <t>何泽</t>
  </si>
  <si>
    <t>何建海</t>
  </si>
  <si>
    <t>赵豪</t>
  </si>
  <si>
    <t>欧真妹</t>
  </si>
  <si>
    <t>徐宝俊</t>
  </si>
  <si>
    <t>朱卫华</t>
  </si>
  <si>
    <t>李天银</t>
  </si>
  <si>
    <t>陈虞</t>
  </si>
  <si>
    <t>易丹丹</t>
  </si>
  <si>
    <t>新疆乌鲁木齐市天山区碱泉三街446号</t>
  </si>
  <si>
    <t>广东省广州市番禺区洛溪新城奥园友谊尚居A706</t>
  </si>
  <si>
    <t>何路</t>
  </si>
  <si>
    <t>辽宁省抚顺市新抚区东七路7号</t>
  </si>
  <si>
    <t>辽宁省抚顺市顺城区恒大华府十二号楼3302室</t>
  </si>
  <si>
    <t>钱琛</t>
  </si>
  <si>
    <t>张丽芳</t>
  </si>
  <si>
    <t>许少林</t>
  </si>
  <si>
    <t>张琼</t>
  </si>
  <si>
    <t>朱勇</t>
  </si>
  <si>
    <t>张盛利</t>
  </si>
  <si>
    <t>宋代智</t>
  </si>
  <si>
    <t>诸佳骏</t>
  </si>
  <si>
    <t>内蒙古包头市九原区职教园区</t>
  </si>
  <si>
    <t>内蒙古包头市东河区职教园区</t>
  </si>
  <si>
    <t>谷晓明</t>
  </si>
  <si>
    <t>郑元金</t>
  </si>
  <si>
    <t>广东省揭阳市普宁市普宁市流沙镇平湖村98栋1号</t>
  </si>
  <si>
    <t>广东省揭阳市普宁市广东省揭阳市普宁市流沙镇平湖寨后7栋701</t>
  </si>
  <si>
    <t>徐智元</t>
  </si>
  <si>
    <t>广东省深圳市宝安区公明镇下石家第五工业区4栋</t>
  </si>
  <si>
    <t>广东省深圳市宝安区公明镇下石家新村28栋605房</t>
  </si>
  <si>
    <t>闫昊</t>
  </si>
  <si>
    <t>李茂波</t>
  </si>
  <si>
    <t>辽宁省沈阳市苏家屯区瑰香街12号</t>
  </si>
  <si>
    <t>辽宁省沈阳市于洪区沈辽路261号3单元3楼1号</t>
  </si>
  <si>
    <t>李京祥</t>
  </si>
  <si>
    <t>徐新</t>
  </si>
  <si>
    <t>冯豪隆</t>
  </si>
  <si>
    <t>吴生根</t>
  </si>
  <si>
    <t>陈伟民</t>
  </si>
  <si>
    <t>农进</t>
  </si>
  <si>
    <t>沈秀芬</t>
  </si>
  <si>
    <t>陈佳欣</t>
  </si>
  <si>
    <t>辽宁省大连市金州区开发区辽宁街5号</t>
  </si>
  <si>
    <t>辽宁省大连市金州区开发区万达广场七号公寓</t>
  </si>
  <si>
    <t>孙东州</t>
  </si>
  <si>
    <t>黑龙江省哈尔滨市南岗区清明二道街中兴阳光家园3号楼1单元1806</t>
  </si>
  <si>
    <t>黑龙江省哈尔滨市南岗区文景街77号三文小区2单元305</t>
  </si>
  <si>
    <t>葛俊宏</t>
  </si>
  <si>
    <t>王冉</t>
  </si>
  <si>
    <t>郭朋亮</t>
  </si>
  <si>
    <t>甘朋业</t>
  </si>
  <si>
    <t>康飞</t>
  </si>
  <si>
    <t>安徽省合肥市蜀山区桃花工业园凌云路3号</t>
  </si>
  <si>
    <t>安徽省合肥市蜀山区芙蓉社区肥西县桃花工业园管委会探海路丹霞新村7栋501</t>
  </si>
  <si>
    <t>叶佩仪</t>
  </si>
  <si>
    <t>林荣伟</t>
  </si>
  <si>
    <t>闫林林</t>
  </si>
  <si>
    <t>赵薇</t>
  </si>
  <si>
    <t>刘慧玲</t>
  </si>
  <si>
    <t>张海伦</t>
  </si>
  <si>
    <t>邹光辉</t>
  </si>
  <si>
    <t>朱明明</t>
  </si>
  <si>
    <t>安徽省合肥市蜀山区龙图路蓝蝶苑小区物业管理</t>
  </si>
  <si>
    <t>安徽省合肥市庐阳区四里河路紫桐新村6栋402</t>
  </si>
  <si>
    <t>聂倪</t>
  </si>
  <si>
    <t>山东省临沂市罗庄区通达路与文化二路交叉口向南500米</t>
  </si>
  <si>
    <t>山东省临沂市罗庄区罗庄办事处蟠龙庄村370号</t>
  </si>
  <si>
    <t>苏亚莉</t>
  </si>
  <si>
    <t>江苏省苏州市昆山市张浦镇花苑路170号</t>
  </si>
  <si>
    <t>江苏省苏州市昆山市张浦镇花苑路77号</t>
  </si>
  <si>
    <t>蒋哲魁</t>
  </si>
  <si>
    <t>姚巧林</t>
  </si>
  <si>
    <t>李薰洋</t>
  </si>
  <si>
    <t>云南省昆明市晋宁县云南省昆明市晋宁区昆阳永乐大街磷都路107号</t>
  </si>
  <si>
    <t>安徽省合肥市包河区云南省昆明市晋宁区昆阳街道办兴隆村委会兴塘村76号</t>
  </si>
  <si>
    <t>秦祥源</t>
  </si>
  <si>
    <t>扎西拉姆</t>
  </si>
  <si>
    <t>凌昆</t>
  </si>
  <si>
    <t>徐效东</t>
  </si>
  <si>
    <t>王爱存</t>
  </si>
  <si>
    <t>梁道涵</t>
  </si>
  <si>
    <t>潘绍标</t>
  </si>
  <si>
    <t>黄旭彬</t>
  </si>
  <si>
    <t>广东省深圳市宝安区翻身47区自由路52号</t>
  </si>
  <si>
    <t>广东省深圳市宝安区翻身49区鸿昌花园9栋10C</t>
  </si>
  <si>
    <t>范星星</t>
  </si>
  <si>
    <t>欧胜意</t>
  </si>
  <si>
    <t>古晓亮</t>
  </si>
  <si>
    <t>拉宗</t>
  </si>
  <si>
    <t>李怡</t>
  </si>
  <si>
    <t>景阳洋</t>
  </si>
  <si>
    <t>江苏省南通市港闸区天生路888</t>
  </si>
  <si>
    <t>江苏省南通市港闸区天玺花园27号楼</t>
  </si>
  <si>
    <t>刘铁男</t>
  </si>
  <si>
    <t>范文龙</t>
  </si>
  <si>
    <t>丁胜</t>
  </si>
  <si>
    <t>谯林</t>
  </si>
  <si>
    <t>重庆市重庆市江津区双福新区南北大道北段588号附28号</t>
  </si>
  <si>
    <t>重庆市重庆市江津区双福新区状元路6号建宇新时期6栋29-27</t>
  </si>
  <si>
    <t>徐翩</t>
  </si>
  <si>
    <t>徐毅</t>
  </si>
  <si>
    <t>邱迎龙</t>
  </si>
  <si>
    <t>姚宏巍</t>
  </si>
  <si>
    <t>江苏省南通市通州区张芝山街办锡通工业园区江苏虹宇</t>
  </si>
  <si>
    <t>江苏省南通市崇川区任港路孩儿巷南路都市华城15幢101室</t>
  </si>
  <si>
    <t>蔡新凯</t>
  </si>
  <si>
    <t>南柯</t>
  </si>
  <si>
    <t>王小浪</t>
  </si>
  <si>
    <t>苏惠勇</t>
  </si>
  <si>
    <t>广东省广州市白云区同泰路10号</t>
  </si>
  <si>
    <t>广东省广州市白云区永平街道永泰永康路磨刀南街15号701</t>
  </si>
  <si>
    <t>谭鸿</t>
  </si>
  <si>
    <t>重庆市重庆市永川区昌州大道579号</t>
  </si>
  <si>
    <t>重庆市重庆市永川区内环南路张家坡社区1-8-9</t>
  </si>
  <si>
    <t>彭艳</t>
  </si>
  <si>
    <t>姜孟霞</t>
  </si>
  <si>
    <t>山东省威海市文登市威海市文登区天福路街道办事处东藕湾鸿德渔具厂</t>
  </si>
  <si>
    <t>山东省威海市文登市天福路街道办事处东藕湾村63号</t>
  </si>
  <si>
    <t>邓露瑜</t>
  </si>
  <si>
    <t>江西省南昌市东湖区万达中心B3写字楼3007</t>
  </si>
  <si>
    <t>江西省南昌市东湖区丰和花园区八栋302</t>
  </si>
  <si>
    <t>邓家香</t>
  </si>
  <si>
    <t>何军红</t>
  </si>
  <si>
    <t>田立伟</t>
  </si>
  <si>
    <t>河北省唐山市玉田县北环西路1288号</t>
  </si>
  <si>
    <t>河北省唐山市玉田县玉田镇豪门街豪门新园小区二栋一门901</t>
  </si>
  <si>
    <t>蓝茂明</t>
  </si>
  <si>
    <t>陈文奇</t>
  </si>
  <si>
    <t>山东省东营市东营区东城金达源时代广场b座406</t>
  </si>
  <si>
    <t>山东省东营市东营区牛庄镇陈庄村838号</t>
  </si>
  <si>
    <t>娜珍</t>
  </si>
  <si>
    <t>何兵</t>
  </si>
  <si>
    <t>张仕周</t>
  </si>
  <si>
    <t>詹鑫海</t>
  </si>
  <si>
    <t>陈正威</t>
  </si>
  <si>
    <t>江苏省泰州市泰兴市江苏省泰州市泰兴市大庆西路宝塔湾1号</t>
  </si>
  <si>
    <t>江苏省泰州市泰兴市江苏省泰州市泰兴市永大翠景园四号楼306</t>
  </si>
  <si>
    <t>陈汝材</t>
  </si>
  <si>
    <t>陈锡遥</t>
  </si>
  <si>
    <t>杨志镪</t>
  </si>
  <si>
    <t>钱多多</t>
  </si>
  <si>
    <t>北京市北京市朝阳区朝外大街乙6号0755</t>
  </si>
  <si>
    <t>北京市北京市大兴区润枫锦尚7号楼2单元804</t>
  </si>
  <si>
    <t>陈海鸿</t>
  </si>
  <si>
    <t>福建省厦门市思明区黄厝新村151号</t>
  </si>
  <si>
    <t>福建省厦门市思明区富山女人街815704</t>
  </si>
  <si>
    <t>高颖倩</t>
  </si>
  <si>
    <t>周洪斌</t>
  </si>
  <si>
    <t>湖北省孝感市应城市城中蒲阳大道明星居一楼门店</t>
  </si>
  <si>
    <t>湖北省孝感市应城市城中光明村胡家湾29号</t>
  </si>
  <si>
    <t>许福梅</t>
  </si>
  <si>
    <t>罗荣忠</t>
  </si>
  <si>
    <t>章冬梅</t>
  </si>
  <si>
    <t>北京市北京市昌平区北京昌平区科学园路31号</t>
  </si>
  <si>
    <t>北京市北京市昌平区北京市昌平区回龙观定福皇庄</t>
  </si>
  <si>
    <t>付月磊</t>
  </si>
  <si>
    <t>华贤渊</t>
  </si>
  <si>
    <t>江苏省无锡市锡山区安镇镇大成工业园隆达路2号</t>
  </si>
  <si>
    <t>江苏省无锡市锡山区安镇镇春风苑11号401室</t>
  </si>
  <si>
    <t>华琼</t>
  </si>
  <si>
    <t>安徽省蚌埠市龙子湖区安徽省蚌埠市龙子湖区延安路302号</t>
  </si>
  <si>
    <t>安徽省蚌埠市龙子湖区安徽省蚌埠市龙子湖区新城路荣盛香榭兰庭8号楼三单元901室</t>
  </si>
  <si>
    <t>皮贝贝</t>
  </si>
  <si>
    <t>山东省青岛市平度市三城路经济开发区北郭家庄北侧</t>
  </si>
  <si>
    <t>山东省青岛市平度市云山镇后营村39号</t>
  </si>
  <si>
    <t>张壮壮</t>
  </si>
  <si>
    <t>鲁福美</t>
  </si>
  <si>
    <t>山东省青岛市市北区福州北路127号</t>
  </si>
  <si>
    <t>山东省青岛市市北区浮山后六小区59号楼4单元201户</t>
  </si>
  <si>
    <t>河南省平顶山市卫东区高阳路神马大道九号</t>
  </si>
  <si>
    <t>河南省平顶山市湛河区东风路九号院十四号楼一单元一楼西户</t>
  </si>
  <si>
    <t>周雅诗</t>
  </si>
  <si>
    <t>徐志鹏</t>
  </si>
  <si>
    <t>江西省南昌市新建县岭北五路33号</t>
  </si>
  <si>
    <t>江西省南昌市西湖区东书院街四号一单元802室</t>
  </si>
  <si>
    <t>李秉欣</t>
  </si>
  <si>
    <t>喻利丰</t>
  </si>
  <si>
    <t>四川省泸州市江阳区天远红树湾门口</t>
  </si>
  <si>
    <t>四川省泸州市江阳区天远红树湾一号楼一单元203</t>
  </si>
  <si>
    <t>陕西省西安市雁塔区文艺路123号</t>
  </si>
  <si>
    <t>陕西省西安市雁塔区东仪路中通二局家属楼</t>
  </si>
  <si>
    <t>郭荣华</t>
  </si>
  <si>
    <t>郭润孖</t>
  </si>
  <si>
    <t>叶鹏飞</t>
  </si>
  <si>
    <t>梁权</t>
  </si>
  <si>
    <t>广东省中山市横栏镇乐丰2路11号</t>
  </si>
  <si>
    <t>广东省中山市横栏镇乐丰三路6号</t>
  </si>
  <si>
    <t>单大财</t>
  </si>
  <si>
    <t>陈峰</t>
  </si>
  <si>
    <t>祁淦全</t>
  </si>
  <si>
    <t>武文轩</t>
  </si>
  <si>
    <t>朱厚学</t>
  </si>
  <si>
    <t>宋兆飞</t>
  </si>
  <si>
    <t>贵州省贵阳市乌当区高新路南方汇通工业园区126号</t>
  </si>
  <si>
    <t>贵州省贵阳市乌当区下坝乡喇平村小王背10号</t>
  </si>
  <si>
    <t>韩玉龙</t>
  </si>
  <si>
    <t>江苏省苏州市虎丘区狮山路277号名城花园</t>
  </si>
  <si>
    <t>江苏省苏州市姑苏区钟楼头6号</t>
  </si>
  <si>
    <t>朱景曦</t>
  </si>
  <si>
    <t>重庆市渝北区空港工业园区翔宇路28号</t>
  </si>
  <si>
    <t>石坪桥正街隆鑫国际3栋24-7</t>
  </si>
  <si>
    <t>罗国强</t>
  </si>
  <si>
    <t>吴兆丹</t>
  </si>
  <si>
    <t>山西省晋城市城区端氏镇端氏交警队</t>
  </si>
  <si>
    <t>山西省晋城市城区龙港镇梅苑社区前沟56号</t>
  </si>
  <si>
    <t>程中</t>
  </si>
  <si>
    <t>朱晓辉</t>
  </si>
  <si>
    <t>付诗</t>
  </si>
  <si>
    <t>李湘梅</t>
  </si>
  <si>
    <t>刘润亮</t>
  </si>
  <si>
    <t>曾庆涛</t>
  </si>
  <si>
    <t>田里</t>
  </si>
  <si>
    <t>广东省佛山市南海区狮山镇北区工业园民狮路</t>
  </si>
  <si>
    <t>湖南省湘西土家族苗族自治州花垣县广东省佛山市</t>
  </si>
  <si>
    <t>刘小红</t>
  </si>
  <si>
    <t>冯康宇</t>
  </si>
  <si>
    <t>江丽娟</t>
  </si>
  <si>
    <t>牟小康</t>
  </si>
  <si>
    <t>丁翔</t>
  </si>
  <si>
    <t>王小稳</t>
  </si>
  <si>
    <t>王连杰</t>
  </si>
  <si>
    <t>王中峰</t>
  </si>
  <si>
    <t>河北省衡水市冀州市冀州市金鸡南大街118号</t>
  </si>
  <si>
    <t>河北省衡水市冀州市温泉小区一栋三单元303</t>
  </si>
  <si>
    <t>叶海华</t>
  </si>
  <si>
    <t>吕威</t>
  </si>
  <si>
    <t>陈祥龙</t>
  </si>
  <si>
    <t>胡春阳</t>
  </si>
  <si>
    <t>崔瑶玲</t>
  </si>
  <si>
    <t>杨凤香</t>
  </si>
  <si>
    <t>江苏省南通市启东市吕四港镇瑞峰假日酒店</t>
  </si>
  <si>
    <t>江苏省南通市启东市吕四港镇吉买盛超市对面404</t>
  </si>
  <si>
    <t>刘常贵</t>
  </si>
  <si>
    <t>李家升</t>
  </si>
  <si>
    <t>曾艳</t>
  </si>
  <si>
    <t>胡小冰</t>
  </si>
  <si>
    <t>张茂森</t>
  </si>
  <si>
    <t>代龚</t>
  </si>
  <si>
    <t>李阿四</t>
  </si>
  <si>
    <t>周少锋</t>
  </si>
  <si>
    <t>别涛</t>
  </si>
  <si>
    <t>黄世宽</t>
  </si>
  <si>
    <t>邱炳城</t>
  </si>
  <si>
    <t>福建省三明市宁化县中山路翻身弄2号</t>
  </si>
  <si>
    <t>福建省三明市宁化县翠江镇南大街粮食局1栋301</t>
  </si>
  <si>
    <t>明小兵</t>
  </si>
  <si>
    <t>江西省赣州市南康市横塞乡三塘工业园</t>
  </si>
  <si>
    <t>江西省赣州市南康市江西省南康市商茂城泰康东路8号</t>
  </si>
  <si>
    <t>贾继广</t>
  </si>
  <si>
    <t>陈巍</t>
  </si>
  <si>
    <t>湖北省武汉市青山区冶金一街4号</t>
  </si>
  <si>
    <t>湖北省武汉市江岸区建一南路景胜花园58门10号</t>
  </si>
  <si>
    <t>严立</t>
  </si>
  <si>
    <t>湖南省长沙市天心区暮云街道中意二路暮云派出所</t>
  </si>
  <si>
    <t>湖南省长沙市天心区暮云街道莲华村垅塘组98号</t>
  </si>
  <si>
    <t>郑秉琳</t>
  </si>
  <si>
    <t>刘维强</t>
  </si>
  <si>
    <t>山东省滨州市邹平县经济技术开发区魏桥创业集团总部</t>
  </si>
  <si>
    <t>山东省滨州市邹平县高新街道办事处香槟广场小区4号楼1单元301室</t>
  </si>
  <si>
    <t>张四辉</t>
  </si>
  <si>
    <t>江苏省南通市如皋市经济开发区惠民路八号</t>
  </si>
  <si>
    <t>江苏省南通市如皋市城北街道镇南社区</t>
  </si>
  <si>
    <t>甘肃省庆阳市环县二十里沟口一号项目部</t>
  </si>
  <si>
    <t>宁夏固原市彭阳县幸福城11号楼3单元401</t>
  </si>
  <si>
    <t>覃柳燕</t>
  </si>
  <si>
    <t>陈霖敏</t>
  </si>
  <si>
    <t>高璟文</t>
  </si>
  <si>
    <t>四川省成都市武侯区益州大道888号智地哥谭2004室</t>
  </si>
  <si>
    <t>四川省成都市金牛区人民北路一段二号1904室</t>
  </si>
  <si>
    <t>原挹琨</t>
  </si>
  <si>
    <t>贵州省遵义市桐梓县天坪乡金山村梅子垭组</t>
  </si>
  <si>
    <t>贵州省遵义市红花岗区百合公寓</t>
  </si>
  <si>
    <t>蒋意军</t>
  </si>
  <si>
    <t>王娟娟</t>
  </si>
  <si>
    <t>李雪梨</t>
  </si>
  <si>
    <t>刘秉臣</t>
  </si>
  <si>
    <t>北京市北京市石景山区后沙峪镇政府北侧</t>
  </si>
  <si>
    <t>北京市北京市顺义区高丽营镇张喜庄商业街92号院</t>
  </si>
  <si>
    <t>潘世鸿</t>
  </si>
  <si>
    <t>韦荣龙</t>
  </si>
  <si>
    <t>重庆市重庆市南岸区经开区明佳路9栋一单元15层</t>
  </si>
  <si>
    <t>重庆市重庆市南岸区弹子石东海长洲b10 1916</t>
  </si>
  <si>
    <t>赵佳</t>
  </si>
  <si>
    <t>郑铭源</t>
  </si>
  <si>
    <t>广东省深圳市罗湖区华强北太平洋安防通讯市场</t>
  </si>
  <si>
    <t>广东省深圳市罗湖区桑达小区104栋405</t>
  </si>
  <si>
    <t>彭雨龙</t>
  </si>
  <si>
    <t>骆锦森</t>
  </si>
  <si>
    <t>广东省广州市花都区新华镇玫瑰路9橦44</t>
  </si>
  <si>
    <t>广东省广州市花都区新华镇玫瑰路44</t>
  </si>
  <si>
    <t>陕西省商洛市商南县永乐镇永安路电力局对面</t>
  </si>
  <si>
    <t>陕西省商洛市镇安县高峰镇银坪村2组</t>
  </si>
  <si>
    <t>叶燕云</t>
  </si>
  <si>
    <t>广东省揭阳市普宁市流沙燎原街道新晋202号</t>
  </si>
  <si>
    <t>广东省揭阳市普宁市广太镇黄叶村洋和里106号</t>
  </si>
  <si>
    <t>张玉飞</t>
  </si>
  <si>
    <t>覃志对</t>
  </si>
  <si>
    <t>云南省昆明市呈贡县经开区小石坝东冲顶村10号</t>
  </si>
  <si>
    <t>刘海波</t>
  </si>
  <si>
    <t>阎昕</t>
  </si>
  <si>
    <t>朱德</t>
  </si>
  <si>
    <t>方兰</t>
  </si>
  <si>
    <t>何亮涛</t>
  </si>
  <si>
    <t>梁志亮</t>
  </si>
  <si>
    <t>广东省惠州市惠城区广东省惠州市惠城区金裕碧水湾金碧苑A栋1号</t>
  </si>
  <si>
    <t>广东省江门市开平市广东省开平市大沙镇黎雄黎塘二村八巷8号</t>
  </si>
  <si>
    <t>闫妍</t>
  </si>
  <si>
    <t>廖琳峰</t>
  </si>
  <si>
    <t>广东省深圳市罗湖区深圳市中核兴业实业有限公司</t>
  </si>
  <si>
    <t>广东省韶关市乐昌市坪石镇梅子冲铁路房7单元六栋501室</t>
  </si>
  <si>
    <t>王缅</t>
  </si>
  <si>
    <t>湖北省武汉市汉阳区经济开发区春晓路6号</t>
  </si>
  <si>
    <t>湖北省武汉市汉阳区建桥街道西大街102号</t>
  </si>
  <si>
    <t>李照晔</t>
  </si>
  <si>
    <t>李凯鹏</t>
  </si>
  <si>
    <t>陕西省西安市碑林区西大街14号</t>
  </si>
  <si>
    <t>陕西省西安市碑林区柿园路135号帝标大厦A座13A</t>
  </si>
  <si>
    <t>郝鸿志</t>
  </si>
  <si>
    <t>贾世超</t>
  </si>
  <si>
    <t>张潞</t>
  </si>
  <si>
    <t>北京市北京市东城区白广路24号</t>
  </si>
  <si>
    <t>北京市北京市西城区白纸坊西街白广路24号</t>
  </si>
  <si>
    <t>沈云杰</t>
  </si>
  <si>
    <t>陈晓萍</t>
  </si>
  <si>
    <t>孙明悦</t>
  </si>
  <si>
    <t>四川省达州市通川区西外朝阳西路宏升国际小区</t>
  </si>
  <si>
    <t>四川省达州市通川区西外朝阳西路憩苑小区</t>
  </si>
  <si>
    <t>四川省资阳市简阳市简阳市红建路南段147-148号</t>
  </si>
  <si>
    <t>四川省资阳市简阳市简阳市白塔路特26号附43号一单元201号</t>
  </si>
  <si>
    <t>蒲凯</t>
  </si>
  <si>
    <t>四川省成都市武侯区兆景路金楠美食广场附199号</t>
  </si>
  <si>
    <t>四川省成都市武侯区兆景路保利花园二期一栋二单元1602</t>
  </si>
  <si>
    <t>杜德飞</t>
  </si>
  <si>
    <t>郭安勇</t>
  </si>
  <si>
    <t>钟风益</t>
  </si>
  <si>
    <t>陈敏仪</t>
  </si>
  <si>
    <t>孙少然</t>
  </si>
  <si>
    <t>王建中</t>
  </si>
  <si>
    <t>黑龙江省哈尔滨市香坊区赣水路216号宝丰大厦</t>
  </si>
  <si>
    <t>黑龙江省哈尔滨市道里区城乡路迎宾家园302栋1001室</t>
  </si>
  <si>
    <t>赵定发</t>
  </si>
  <si>
    <t>陕西省西安市灞桥区半引路湾子村四队117号付1号</t>
  </si>
  <si>
    <t>陕西省西安市高陵县泾渭二路河风雅苑十七号</t>
  </si>
  <si>
    <t>董其超</t>
  </si>
  <si>
    <t>山东省青岛市崂山区北宅街道乌衣巷</t>
  </si>
  <si>
    <t>山东省青岛市崂山区北宅街道南北岭</t>
  </si>
  <si>
    <t>林朝阳</t>
  </si>
  <si>
    <t>杜美丽</t>
  </si>
  <si>
    <t>郭柏滨</t>
  </si>
  <si>
    <t>吴英俊</t>
  </si>
  <si>
    <t>赖贤倩</t>
  </si>
  <si>
    <t>惠一洺</t>
  </si>
  <si>
    <t>周佳妮</t>
  </si>
  <si>
    <t>马建有</t>
  </si>
  <si>
    <t>胥建</t>
  </si>
  <si>
    <t>李玉</t>
  </si>
  <si>
    <t>湖北省武汉市洪山区野芷湖西路创意天地11栋</t>
  </si>
  <si>
    <t>湖北省武汉市洪山区文馨街金地格林莱茵区a3102</t>
  </si>
  <si>
    <t>翁小龙</t>
  </si>
  <si>
    <t>吴贤友</t>
  </si>
  <si>
    <t>安徽省合肥市瑶海区安徽省合肥市瑶海区站西路惠康大厦601</t>
  </si>
  <si>
    <t>安徽省合肥市瑶海区新蚌埠路临泉花苑小区5-2705</t>
  </si>
  <si>
    <t>宁纪伟</t>
  </si>
  <si>
    <t>钟建国</t>
  </si>
  <si>
    <t>吴开忠</t>
  </si>
  <si>
    <t>海南省海口市秀英区海府路华运大厦1002室</t>
  </si>
  <si>
    <t>海南省海口市琼山区新大洲大道水厂东路7号</t>
  </si>
  <si>
    <t>陈春才</t>
  </si>
  <si>
    <t>谢登康</t>
  </si>
  <si>
    <t>程国强</t>
  </si>
  <si>
    <t>陈斌伟</t>
  </si>
  <si>
    <t>安一铭</t>
  </si>
  <si>
    <t>李万鑫</t>
  </si>
  <si>
    <t>张黎黎</t>
  </si>
  <si>
    <t>王星星</t>
  </si>
  <si>
    <t>广西南宁市青秀区金湖路57号五象广场B1楼</t>
  </si>
  <si>
    <t>广西南宁市良庆区大沙田街道建新路西二里一号</t>
  </si>
  <si>
    <t>黄义林</t>
  </si>
  <si>
    <t>罗诗旺</t>
  </si>
  <si>
    <t>广东省惠州市惠城区龙湖开发区第27小区</t>
  </si>
  <si>
    <t>湖南省郴州市桂东县清泉镇铜锣村黄泥组118号</t>
  </si>
  <si>
    <t>牟军萍</t>
  </si>
  <si>
    <t>尹静文</t>
  </si>
  <si>
    <t>广东省佛山市南海区大沥镇钟边新城新区凤平路</t>
  </si>
  <si>
    <t>广东省佛山市南海区大沥镇钟边新城新区四路八号春天公寓十号楼</t>
  </si>
  <si>
    <t>周振忠</t>
  </si>
  <si>
    <t>江西省宜春市万载县江西省宜春市万载县罗城镇</t>
  </si>
  <si>
    <t>江西省宜春市万载县罗城镇罗城街66号4楼</t>
  </si>
  <si>
    <t>徐雪娥</t>
  </si>
  <si>
    <t>赵美阳</t>
  </si>
  <si>
    <t>湖北省武汉市武昌区中南二路2号</t>
  </si>
  <si>
    <t>湖北省武汉市武昌区工人村51-2-1号</t>
  </si>
  <si>
    <t>胡胜阳</t>
  </si>
  <si>
    <t>侯玲云</t>
  </si>
  <si>
    <t>桂世荣</t>
  </si>
  <si>
    <t>牛心</t>
  </si>
  <si>
    <t>湖南省怀化市溆浦县湖南省怀化市溆浦县卢峰镇S308(旧)南阳医院</t>
  </si>
  <si>
    <t>湖南省怀化市溆浦县湖南省溆浦县卢峰镇城北综合市场</t>
  </si>
  <si>
    <t>白晓艳</t>
  </si>
  <si>
    <t>山西省太原市万柏林区西山矿务局杜儿坪坑口</t>
  </si>
  <si>
    <t>山西省太原市万柏林区西山矿务局杜儿坪大虎峪四号楼二单元</t>
  </si>
  <si>
    <t>李筛成</t>
  </si>
  <si>
    <t>于建国</t>
  </si>
  <si>
    <t>山东省聊城市高唐县汇鑫南路11号</t>
  </si>
  <si>
    <t>山东省聊城市高唐县汇鑫南路11号智德家园</t>
  </si>
  <si>
    <t>周豆豆</t>
  </si>
  <si>
    <t>山西省运城市盐湖区解放北路46号</t>
  </si>
  <si>
    <t>山西省运城市盐湖区河东广场华祥小区</t>
  </si>
  <si>
    <t>杨洪刚</t>
  </si>
  <si>
    <t>芮楠林</t>
  </si>
  <si>
    <t>金建彬</t>
  </si>
  <si>
    <t>浙江省金华市婺城区宾虹西路668号</t>
  </si>
  <si>
    <t>浙江省金华市义乌市佛堂镇宝山头村</t>
  </si>
  <si>
    <t>李振杰</t>
  </si>
  <si>
    <t>广东省茂名市化州市迎宾大道迎宾大桥南侧</t>
  </si>
  <si>
    <t>广东省茂名市茂南区林尘镇官塘南冲村8号</t>
  </si>
  <si>
    <t>金兢</t>
  </si>
  <si>
    <t>乔泽新</t>
  </si>
  <si>
    <t>内蒙古呼和浩特市新城区新城区通道北路公主府街煕湖东郡小区</t>
  </si>
  <si>
    <t>内蒙古乌兰察布市集宁区集宁区北官房72</t>
  </si>
  <si>
    <t>陈昭伦</t>
  </si>
  <si>
    <t>广东省佛山市顺德区乐从镇新桂路星光广场聚丰国际</t>
  </si>
  <si>
    <t>佛山乐从</t>
  </si>
  <si>
    <t>艾云强</t>
  </si>
  <si>
    <t>江西省赣州市章贡区解放街道文清路13号永信广场四楼</t>
  </si>
  <si>
    <t>江西省赣州市章贡区解放街道文清路53号银都花园小区E栋602室</t>
  </si>
  <si>
    <t>张海玉</t>
  </si>
  <si>
    <t>邓伟海</t>
  </si>
  <si>
    <t>广东省河源市东源县广东省河源市东源县新港镇港中路17号</t>
  </si>
  <si>
    <t>广东省河源市东源县新港镇碉楼居会港中路1之4号</t>
  </si>
  <si>
    <t>桂龙</t>
  </si>
  <si>
    <t>吴维</t>
  </si>
  <si>
    <t>楚门镇力美国际健身</t>
  </si>
  <si>
    <t>楚门力美国际健身</t>
  </si>
  <si>
    <t>陈秋</t>
  </si>
  <si>
    <t>田朋飞</t>
  </si>
  <si>
    <t>李卓</t>
  </si>
  <si>
    <t>朱有明</t>
  </si>
  <si>
    <t>福建省福州市鼓楼区福建省福州市鼓楼区东街33号武夷中心19F</t>
  </si>
  <si>
    <t>福建省福州市鼓楼区西洪路88号湖滨公寓1号楼611</t>
  </si>
  <si>
    <t>曾培森</t>
  </si>
  <si>
    <t>余罗</t>
  </si>
  <si>
    <t>湖北省恩施土家族苗族自治州恩施市咸丰县乐乐夜宵店</t>
  </si>
  <si>
    <t>湖北省恩施土家族苗族自治州恩施市恩施市虎民路首府一品2栋403室</t>
  </si>
  <si>
    <t>戴叶</t>
  </si>
  <si>
    <t>崔任</t>
  </si>
  <si>
    <t>陈浩全</t>
  </si>
  <si>
    <t>广东省佛山市南海区平洲夏南二大街东南500米</t>
  </si>
  <si>
    <t>广东省肇庆市广宁县435县道东50米</t>
  </si>
  <si>
    <t>何光卫</t>
  </si>
  <si>
    <t>汤艳红</t>
  </si>
  <si>
    <t>山东省威海市荣成市石岛峨石山西路1011号</t>
  </si>
  <si>
    <t>山东省威海市荣成市港湾街道东南山小区52号楼四单元301室</t>
  </si>
  <si>
    <t>贾瑞</t>
  </si>
  <si>
    <t>丁佳琪</t>
  </si>
  <si>
    <t>胡耀虎</t>
  </si>
  <si>
    <t>杜宏</t>
  </si>
  <si>
    <t>云南省普洱市思茅区云南省普洱市思茅区林源路创基尚城</t>
  </si>
  <si>
    <t>云南省普洱市思茅区云南省普洱市宁洱哈尼族彝族自冶县勐先镇和平村委会曼片二组21号</t>
  </si>
  <si>
    <t>边培</t>
  </si>
  <si>
    <t>项靖</t>
  </si>
  <si>
    <t>何立斌</t>
  </si>
  <si>
    <t>云南省昆明市官渡区长水国际机场</t>
  </si>
  <si>
    <t>云南省昆明市官渡区春城路196号</t>
  </si>
  <si>
    <t>吴泽轩</t>
  </si>
  <si>
    <t>湖北省武汉市江夏区纸纺街宁安路2号</t>
  </si>
  <si>
    <t>湖北省武汉市江夏区纸纺街博雅豪庭4栋2单元1702室</t>
  </si>
  <si>
    <t>路春雨</t>
  </si>
  <si>
    <t>河北省廊坊市香河县香河县城</t>
  </si>
  <si>
    <t>河北省廊坊市香河县安头屯镇安三村324号</t>
  </si>
  <si>
    <t>吴英</t>
  </si>
  <si>
    <t>李德勇</t>
  </si>
  <si>
    <t>辽宁省葫芦岛市建昌县光明街10号</t>
  </si>
  <si>
    <t>辽宁省葫芦岛市建昌县巴什罕乡西山根村水泉沟东山屯17号</t>
  </si>
  <si>
    <t>郑昌宇</t>
  </si>
  <si>
    <t>张育苗</t>
  </si>
  <si>
    <t>陈雨波</t>
  </si>
  <si>
    <t>龚慧龙</t>
  </si>
  <si>
    <t>孙忠明</t>
  </si>
  <si>
    <t>王文旭</t>
  </si>
  <si>
    <t>刘鲁山</t>
  </si>
  <si>
    <t>金健</t>
  </si>
  <si>
    <t>唐峰</t>
  </si>
  <si>
    <t>山东省临沂市临沭县夏庄东街90号</t>
  </si>
  <si>
    <t>山东省临沂市临沭县佳禾公园小区</t>
  </si>
  <si>
    <t>欧庆华</t>
  </si>
  <si>
    <t>朱丽娟</t>
  </si>
  <si>
    <t>万星</t>
  </si>
  <si>
    <t>上官兵兵</t>
  </si>
  <si>
    <t>张值</t>
  </si>
  <si>
    <t>广西来宾市兴宾区广西来宾政和路279号</t>
  </si>
  <si>
    <t>广西来宾市兴宾区广西来宾铁道2路一栋2杠3</t>
  </si>
  <si>
    <t>任加来</t>
  </si>
  <si>
    <t>杨晓鹏</t>
  </si>
  <si>
    <t>吕松全</t>
  </si>
  <si>
    <t>云南省昆明市官渡区昆明市经济开发区玉缘路</t>
  </si>
  <si>
    <t>李越冬</t>
  </si>
  <si>
    <t>徐岗</t>
  </si>
  <si>
    <t>李庚源</t>
  </si>
  <si>
    <t>俸玉高</t>
  </si>
  <si>
    <t>沙漠</t>
  </si>
  <si>
    <t>郑丽珍</t>
  </si>
  <si>
    <t>丁荣祥</t>
  </si>
  <si>
    <t>广东省广州市天河区天河区棠下大东汇商务501</t>
  </si>
  <si>
    <t>广东省广州市天河区天河区珠吉街道18号408</t>
  </si>
  <si>
    <t>李衬</t>
  </si>
  <si>
    <t>胡兵</t>
  </si>
  <si>
    <t>陈宇峰</t>
  </si>
  <si>
    <t>杨晨宇</t>
  </si>
  <si>
    <t>韩林</t>
  </si>
  <si>
    <t>童士强</t>
  </si>
  <si>
    <t>祝姜波</t>
  </si>
  <si>
    <t>叶爱卿</t>
  </si>
  <si>
    <t>曾锦亮</t>
  </si>
  <si>
    <t>张利倩</t>
  </si>
  <si>
    <t>甘肃省张掖市甘州区西大街65号</t>
  </si>
  <si>
    <t>甘肃省张掖市甘州区上秦镇哈寨子村一社9号</t>
  </si>
  <si>
    <t>高义明</t>
  </si>
  <si>
    <t>吕聪</t>
  </si>
  <si>
    <t>钟义彪</t>
  </si>
  <si>
    <t>汤立伟</t>
  </si>
  <si>
    <t>河南省开封市尉氏县渔市街14号</t>
  </si>
  <si>
    <t>河南省开封市尉氏县河南省开封市尉氏县建设路天泰欧洲豪园三栋楼二单元207室</t>
  </si>
  <si>
    <t>冀名城</t>
  </si>
  <si>
    <t>胡建红</t>
  </si>
  <si>
    <t>浙江省宁波市鄞州区邱隘镇盛莫路505号</t>
  </si>
  <si>
    <t>卢子梅</t>
  </si>
  <si>
    <t>张弋</t>
  </si>
  <si>
    <t>四川省德阳市广汉市九江路75号</t>
  </si>
  <si>
    <t>四川省德阳市广汉市洛阳路86号</t>
  </si>
  <si>
    <t>吴序刚</t>
  </si>
  <si>
    <t>黎景蓝</t>
  </si>
  <si>
    <t>张圣陶</t>
  </si>
  <si>
    <t>郝晓彬</t>
  </si>
  <si>
    <t>杨慧茹</t>
  </si>
  <si>
    <t>周明远</t>
  </si>
  <si>
    <t>福建省南平市武夷山市兴夷路66号1栋1层</t>
  </si>
  <si>
    <t>福建省南平市武夷山市崇安街道温岭新街98号</t>
  </si>
  <si>
    <t>钱光明</t>
  </si>
  <si>
    <t>云南省昆明市五华区云南省昆明市五华区</t>
  </si>
  <si>
    <t>云南省文山壮族苗族自治州麻栗坡县麻栗坡县马街乡</t>
  </si>
  <si>
    <t>陈海鹏</t>
  </si>
  <si>
    <t>上海市上海市长宁区愚园路1107号</t>
  </si>
  <si>
    <t>上海市上海市闵行区华漕镇东美路华漕苑229号</t>
  </si>
  <si>
    <t>肖裕</t>
  </si>
  <si>
    <t>李俊龙</t>
  </si>
  <si>
    <t>夏秋江</t>
  </si>
  <si>
    <t>王先哲</t>
  </si>
  <si>
    <t>陈维旭</t>
  </si>
  <si>
    <t>曾德才</t>
  </si>
  <si>
    <t>江苏省宿迁市沭阳县颐和家园南门</t>
  </si>
  <si>
    <t>江苏省宿迁市沭阳县颐和家园3-2-501</t>
  </si>
  <si>
    <t>赖文生</t>
  </si>
  <si>
    <t>福建省龙岩市新罗区龙岩市工业西路68号</t>
  </si>
  <si>
    <t>福建省龙岩市新罗区小洋龙铁名苑东区9栋1梯504</t>
  </si>
  <si>
    <t>田志发</t>
  </si>
  <si>
    <t>汪友成</t>
  </si>
  <si>
    <t>广东省广州市番禺区南村镇塘西村迎龙路北排3栋2楼</t>
  </si>
  <si>
    <t>广东省广州市番禺区南村镇塘西村惠福里一巷10号</t>
  </si>
  <si>
    <t>尚玉清</t>
  </si>
  <si>
    <t>钟陈柱</t>
  </si>
  <si>
    <t>安徽省六安市金寨县江苏省苏州吴江区盛泽镇罗绮路</t>
  </si>
  <si>
    <t>江苏省苏州市吴江区盛泽镇罗绮路1号</t>
  </si>
  <si>
    <t>胡静飞</t>
  </si>
  <si>
    <t>刀云松</t>
  </si>
  <si>
    <t>云南省普洱市思茅区菜园新村安置区41号</t>
  </si>
  <si>
    <t>云南省普洱市思茅区菜园新村居民一组54号</t>
  </si>
  <si>
    <t>何辉</t>
  </si>
  <si>
    <t>贵州省安顺市西秀区贵州省安顺市西秀区西航大道贵州百灵集团</t>
  </si>
  <si>
    <t>贵州省安顺市西秀区贵州省安顺市西秀区幺铺镇青山村三组20号</t>
  </si>
  <si>
    <t>包圆圆</t>
  </si>
  <si>
    <t>黑龙江省大庆市林甸县林甸县鹤乡路东</t>
  </si>
  <si>
    <t>黑龙江省大庆市林甸县你练县林甸镇东街二委55组五号</t>
  </si>
  <si>
    <t>林嘉成</t>
  </si>
  <si>
    <t>段晓敏</t>
  </si>
  <si>
    <t>邱金荣</t>
  </si>
  <si>
    <t>霍川</t>
  </si>
  <si>
    <t>翟礼甜</t>
  </si>
  <si>
    <t>张振田</t>
  </si>
  <si>
    <t>高晓敏</t>
  </si>
  <si>
    <t>隆屹</t>
  </si>
  <si>
    <t>广东省东莞市常平镇九江水村中信路</t>
  </si>
  <si>
    <t>广东省东莞市常平镇九江水村乌扣眼街</t>
  </si>
  <si>
    <t>王校峰</t>
  </si>
  <si>
    <t>胡宗北</t>
  </si>
  <si>
    <t>黑龙江省鸡西市虎林市革命街道革命委西苑小区465号</t>
  </si>
  <si>
    <t>黑龙江省鸡西市虎林市金元雅居8号楼4单元601</t>
  </si>
  <si>
    <t>胡行周</t>
  </si>
  <si>
    <t>北京市北京市朝阳区东恒时代一期3号楼2007室</t>
  </si>
  <si>
    <t>北京市北京市东城区方庄芳城园二区4号楼405</t>
  </si>
  <si>
    <t>王霜</t>
  </si>
  <si>
    <t>许修武</t>
  </si>
  <si>
    <t>朱正林</t>
  </si>
  <si>
    <t>梁榜</t>
  </si>
  <si>
    <t>太能昆</t>
  </si>
  <si>
    <t>王恩柱</t>
  </si>
  <si>
    <t>云南省曲靖市麒麟区宣威市文化路西侧158号</t>
  </si>
  <si>
    <t>云南省曲靖市宣威市双龙街道齐井路298号</t>
  </si>
  <si>
    <t>陈丰前</t>
  </si>
  <si>
    <t>山东省青岛市李沧区广水路612医保城</t>
  </si>
  <si>
    <t>山东省青岛市李沧区广水路612号</t>
  </si>
  <si>
    <t>林春之</t>
  </si>
  <si>
    <t>叶伟侑</t>
  </si>
  <si>
    <t>叶轩</t>
  </si>
  <si>
    <t>江西省九江市武宁县九岭大道5-7阳光保险</t>
  </si>
  <si>
    <t>江西省九江市武宁县碧海龙湾小区6栋1单元502</t>
  </si>
  <si>
    <t>胡岑</t>
  </si>
  <si>
    <t>董金波</t>
  </si>
  <si>
    <t>辽宁省沈阳市铁西区景星北街21号6门</t>
  </si>
  <si>
    <t>辽宁省沈阳市和平区造化街道白山路汀江街21-1号华润橡树湾四期二号楼一单元2402室</t>
  </si>
  <si>
    <t>王孝丰</t>
  </si>
  <si>
    <t>云南省昆明市五华区高新区海源中路285号</t>
  </si>
  <si>
    <t>云南省昆明市五华区高新区海源中路274号</t>
  </si>
  <si>
    <t>杨嫒姗</t>
  </si>
  <si>
    <t>段毕英</t>
  </si>
  <si>
    <t>江苏省扬州市邗江区槐子路2号</t>
  </si>
  <si>
    <t>江苏省扬州市邗江区鸿福二村27幢304</t>
  </si>
  <si>
    <t>李豆</t>
  </si>
  <si>
    <t>何贤挺</t>
  </si>
  <si>
    <t>王进鑫</t>
  </si>
  <si>
    <t>四川省成都市蒲江县大塘镇洪福街100号</t>
  </si>
  <si>
    <t>四川省成都市蒲江县大塘镇八角井村13组61号</t>
  </si>
  <si>
    <t>李锌</t>
  </si>
  <si>
    <t>戴宗虎</t>
  </si>
  <si>
    <t>山东省青岛市崂山区东海东路1号</t>
  </si>
  <si>
    <t>山东省青岛市崂山区大麦岛居委会1544号</t>
  </si>
  <si>
    <t>张梦旦</t>
  </si>
  <si>
    <t>伍尚祈</t>
  </si>
  <si>
    <t>李思琪</t>
  </si>
  <si>
    <t>杨伟镔</t>
  </si>
  <si>
    <t>王盼</t>
  </si>
  <si>
    <t>武效南</t>
  </si>
  <si>
    <t>张三安</t>
  </si>
  <si>
    <t>万聪聪</t>
  </si>
  <si>
    <t>党生华</t>
  </si>
  <si>
    <t>张彩霞</t>
  </si>
  <si>
    <t>祁传波</t>
  </si>
  <si>
    <t>重庆市重庆市开县白鹤镇大胜社区大胜路</t>
  </si>
  <si>
    <t>重庆市重庆市开县开县白鹤大胜6组49号</t>
  </si>
  <si>
    <t>汪军勇</t>
  </si>
  <si>
    <t>安徽省合肥市肥西县长江西路130号</t>
  </si>
  <si>
    <t>安徽省合肥市包河区霍山路85号</t>
  </si>
  <si>
    <t>陈坚毅</t>
  </si>
  <si>
    <t>邱兴群</t>
  </si>
  <si>
    <t>何竹青</t>
  </si>
  <si>
    <t>宣金玉</t>
  </si>
  <si>
    <t>杨俊武</t>
  </si>
  <si>
    <t>唐建安</t>
  </si>
  <si>
    <t>广东省广州市海珠区宝岗路马涌直街61号302</t>
  </si>
  <si>
    <t>广东省广州市天河区天河区黄埔大道中235号806</t>
  </si>
  <si>
    <t>王金平</t>
  </si>
  <si>
    <t>刘秀军</t>
  </si>
  <si>
    <t>广东省湛江市廉江市河唇罗洲路22号</t>
  </si>
  <si>
    <t>广东省湛江市廉江市河唇镇居民三队201(菜市场东侧)</t>
  </si>
  <si>
    <t>钱黎</t>
  </si>
  <si>
    <t>湖南省邵阳市新邵县陈家坊镇上田村</t>
  </si>
  <si>
    <t>湖南省邵阳市大祥区宝庆中路159号1单元701号</t>
  </si>
  <si>
    <t>夏寒阳</t>
  </si>
  <si>
    <t>四川省成都市武侯区一环路西一段88号</t>
  </si>
  <si>
    <t>四川省成都市武侯区剑南大道保利星座5栋1803号</t>
  </si>
  <si>
    <t>汪健</t>
  </si>
  <si>
    <t>李琦蕊</t>
  </si>
  <si>
    <t>陕西省西安市碑林区钟楼南大街东木头市口海大实业5楼</t>
  </si>
  <si>
    <t>陕西省西安市碑林区朱雀大街西安公馆1号楼1单元803</t>
  </si>
  <si>
    <t>李定加</t>
  </si>
  <si>
    <t>杨甲玉</t>
  </si>
  <si>
    <t>邓湘琴</t>
  </si>
  <si>
    <t>张海洋</t>
  </si>
  <si>
    <t>钱友辉</t>
  </si>
  <si>
    <t>云南省昭通市鲁甸县云南省昭通市鲁甸县文屏镇文屏东路148号</t>
  </si>
  <si>
    <t>云南省昭通市鲁甸县云南省昭通市鲁甸县文屏镇文屏东路139号1幢2单元302号</t>
  </si>
  <si>
    <t>黎思敏</t>
  </si>
  <si>
    <t>任晓波</t>
  </si>
  <si>
    <t>史克义</t>
  </si>
  <si>
    <t>黑龙江省齐齐哈尔市龙沙区齐昂公路</t>
  </si>
  <si>
    <t>黑龙江省齐齐哈尔市龙沙区大民街道商校农村信用社家属楼二单元三楼</t>
  </si>
  <si>
    <t>夏健萍</t>
  </si>
  <si>
    <t>贵州省六盘水市钟山区德坞德宏路口祺庄园对面</t>
  </si>
  <si>
    <t>贵州省六盘水市钟山区凤凰山水木清华华庭居</t>
  </si>
  <si>
    <t>王新建</t>
  </si>
  <si>
    <t>辽宁省大连市庄河市大营镇四平家村雨丰食品有限公司</t>
  </si>
  <si>
    <t>辽宁省大连市庄河市大营镇四家村</t>
  </si>
  <si>
    <t>杨吉福</t>
  </si>
  <si>
    <t>陈龙兴</t>
  </si>
  <si>
    <t>代云川</t>
  </si>
  <si>
    <t>温正挡</t>
  </si>
  <si>
    <t>杨玉合</t>
  </si>
  <si>
    <t>薛启云</t>
  </si>
  <si>
    <t>侯乐敏</t>
  </si>
  <si>
    <t>戴华祥</t>
  </si>
  <si>
    <t>陈鹏宇</t>
  </si>
  <si>
    <t>成志星</t>
  </si>
  <si>
    <t>李殿胜</t>
  </si>
  <si>
    <t>张敏婕</t>
  </si>
  <si>
    <t>邱静</t>
  </si>
  <si>
    <t>罗广金</t>
  </si>
  <si>
    <t>陈先美</t>
  </si>
  <si>
    <t>贵州省贵阳市云岩区中华北路130号</t>
  </si>
  <si>
    <t>贵州省贵阳市南明区省府北街1号6单元603</t>
  </si>
  <si>
    <t>浙江省杭州市余杭区临平街道振兴西路1号</t>
  </si>
  <si>
    <t>浙江省杭州市余杭区临平街道顺达花苑东区19栋一单元1302</t>
  </si>
  <si>
    <t>潘建华</t>
  </si>
  <si>
    <t>滕跃</t>
  </si>
  <si>
    <t>魏金霞</t>
  </si>
  <si>
    <t>黑龙江省哈尔滨市道里区机场路211号</t>
  </si>
  <si>
    <t>黑龙江省哈尔滨市道里区河鼓街58号3单元301</t>
  </si>
  <si>
    <t>李曼</t>
  </si>
  <si>
    <t>戴鹏飞</t>
  </si>
  <si>
    <t>欧智安</t>
  </si>
  <si>
    <t>章君峰</t>
  </si>
  <si>
    <t>浙江省宁波市慈溪市龙山镇施公山菜场路32号</t>
  </si>
  <si>
    <t>浙江省宁波市慈溪市龙山镇邱王村邱王路67弄26号</t>
  </si>
  <si>
    <t>伍鸣镝</t>
  </si>
  <si>
    <t>潘希松</t>
  </si>
  <si>
    <t>张琦琦</t>
  </si>
  <si>
    <t>陕西省延安市宝塔区陕西省延安市宝塔区陵园路吉利4S店</t>
  </si>
  <si>
    <t>陕西省延安市宝塔区陕西省宝塔区陵园路宏远小区三号楼三单元302室</t>
  </si>
  <si>
    <t>龚杰</t>
  </si>
  <si>
    <t>周禄西</t>
  </si>
  <si>
    <t>杨美娟</t>
  </si>
  <si>
    <t>贵州省贵阳市小河区万科大都会</t>
  </si>
  <si>
    <t>贵州省贵阳市云岩区中天甜蜜小镇</t>
  </si>
  <si>
    <t>徐晋彪</t>
  </si>
  <si>
    <t>邱相栋</t>
  </si>
  <si>
    <t>谷玉飞</t>
  </si>
  <si>
    <t>河北省石家庄市赵县赵州镇影院街五一路金正电器商场</t>
  </si>
  <si>
    <t>河北省石家庄市赵县范庄镇常信营村育才街东二巷一号</t>
  </si>
  <si>
    <t>齐书亮</t>
  </si>
  <si>
    <t>许唐林</t>
  </si>
  <si>
    <t>翁宏林</t>
  </si>
  <si>
    <t>闵长青</t>
  </si>
  <si>
    <t>河南省信阳市平桥区明港镇大营村邓庄</t>
  </si>
  <si>
    <t>河南省信阳市平桥区明港镇市场路张庄</t>
  </si>
  <si>
    <t>陈立柯</t>
  </si>
  <si>
    <t>吴疆</t>
  </si>
  <si>
    <t>贵州省铜仁市碧江区贵州省铜仁市碧江区开发区锦江大桥头</t>
  </si>
  <si>
    <t>贵州省铜仁市碧江区贵州省铜仁市碧江区锦江北路27号9栋附48号</t>
  </si>
  <si>
    <t>马玉刚</t>
  </si>
  <si>
    <t>何宝来</t>
  </si>
  <si>
    <t>吉林省大安市临江一小学南门门市</t>
  </si>
  <si>
    <t>吉林省大安市水晶城一期八号楼二单元301</t>
  </si>
  <si>
    <t>阮茂繁</t>
  </si>
  <si>
    <t>湖北省咸宁市通山县九宫大道516号</t>
  </si>
  <si>
    <t>湖北省咸宁市咸安区滨河苑17栋2单元502室</t>
  </si>
  <si>
    <t>朱龙龙</t>
  </si>
  <si>
    <t>燕玉烨</t>
  </si>
  <si>
    <t>端全刚</t>
  </si>
  <si>
    <t>王鉴洲</t>
  </si>
  <si>
    <t>袁强</t>
  </si>
  <si>
    <t>郑怡蕊</t>
  </si>
  <si>
    <t>赖文才</t>
  </si>
  <si>
    <t>胥生燕</t>
  </si>
  <si>
    <t>重庆市重庆市永川区兴龙大道123号协信写字楼三楼</t>
  </si>
  <si>
    <t>重庆市重庆市永川区大安镇隆西大道15号</t>
  </si>
  <si>
    <t>尚晶晶</t>
  </si>
  <si>
    <t>河南省安阳市殷都区文峰大道西段87号</t>
  </si>
  <si>
    <t>河南省安阳市文峰区文峰区高庄乡开信村683</t>
  </si>
  <si>
    <t>马文琪</t>
  </si>
  <si>
    <t>袁晋伟</t>
  </si>
  <si>
    <t>王玉</t>
  </si>
  <si>
    <t>湖北省恩施土家族苗族自治州恩施市舞阳坝东风大道</t>
  </si>
  <si>
    <t>湖北省恩施土家族苗族自治州恩施市黔龙一号六栋二单元602</t>
  </si>
  <si>
    <t>黄朝金</t>
  </si>
  <si>
    <t>福建省三明市永安市槐南乡后溪村87号</t>
  </si>
  <si>
    <t>福建省三明市大田县建设镇和平村85号</t>
  </si>
  <si>
    <t>陈智豪</t>
  </si>
  <si>
    <t>梁瑞新</t>
  </si>
  <si>
    <t>游锦辉</t>
  </si>
  <si>
    <t>江苏省淮安市清浦区经济开发区迎宾大道195号</t>
  </si>
  <si>
    <t>江苏省淮安市清浦区经济开发区红豆国际城17幢1712室</t>
  </si>
  <si>
    <t>夏宇轩</t>
  </si>
  <si>
    <t>张苗蕾</t>
  </si>
  <si>
    <t>衣萌</t>
  </si>
  <si>
    <t>陈冬琴</t>
  </si>
  <si>
    <t>蒋为民</t>
  </si>
  <si>
    <t>浙江省杭州市江干区九堡镇三村二区56号</t>
  </si>
  <si>
    <t>浙江省杭州市江干区八堡家园10排3号404</t>
  </si>
  <si>
    <t>文永红</t>
  </si>
  <si>
    <t>贾文娟</t>
  </si>
  <si>
    <t>浙江省杭州市萧山区红山农场红十五线萧山拘留所</t>
  </si>
  <si>
    <t>浙江省杭州市萧山区河庄街道至高钱塘一品2单元2202</t>
  </si>
  <si>
    <t>王雅培</t>
  </si>
  <si>
    <t>钟怡</t>
  </si>
  <si>
    <t>肖军</t>
  </si>
  <si>
    <t>何前</t>
  </si>
  <si>
    <t>湖南省郴州市汝城县大坪镇人民政府</t>
  </si>
  <si>
    <t>章伟杰</t>
  </si>
  <si>
    <t>邱红明</t>
  </si>
  <si>
    <t>肖诗雨</t>
  </si>
  <si>
    <t>河北省保定市安国市义丰大路175号</t>
  </si>
  <si>
    <t>河北省保定市安国市佳业公寓二号楼一单元402</t>
  </si>
  <si>
    <t>王怀松</t>
  </si>
  <si>
    <t>薛蕃珑</t>
  </si>
  <si>
    <t>胡明艳</t>
  </si>
  <si>
    <t>欧夏明</t>
  </si>
  <si>
    <t>虞龙海</t>
  </si>
  <si>
    <t>四川省成都市郫县高新西区新达路6号</t>
  </si>
  <si>
    <t>四川省攀枝花市东区新源路666号17栋1单元11-1</t>
  </si>
  <si>
    <t>田小花</t>
  </si>
  <si>
    <t>李仕锋</t>
  </si>
  <si>
    <t>苏荣庚</t>
  </si>
  <si>
    <t>李松达</t>
  </si>
  <si>
    <t>刘朝二</t>
  </si>
  <si>
    <t>肖明</t>
  </si>
  <si>
    <t>周崇毅</t>
  </si>
  <si>
    <t>付信乾</t>
  </si>
  <si>
    <t>刘润民</t>
  </si>
  <si>
    <t>韦守源</t>
  </si>
  <si>
    <t>黄飞龙</t>
  </si>
  <si>
    <t>李科辰</t>
  </si>
  <si>
    <t>张尚敏</t>
  </si>
  <si>
    <t>重庆市重庆市江北区江北区观音桥红鼎国际A座3308</t>
  </si>
  <si>
    <t>重庆市重庆市沙坪坝区沙坪坝区锦绣天城4号楼2216</t>
  </si>
  <si>
    <t>徐剑</t>
  </si>
  <si>
    <t>浙江省杭州市临安市经济开发区东环路88号</t>
  </si>
  <si>
    <t>浙江省杭州市临安市锦城街道临水路171号</t>
  </si>
  <si>
    <t>刘子铭</t>
  </si>
  <si>
    <t>河北省石家庄市长安区中山东路192号</t>
  </si>
  <si>
    <t>河北省石家庄市长安区谈南路棉四生活区46号楼三单元602</t>
  </si>
  <si>
    <t>向洋</t>
  </si>
  <si>
    <t>湖北省孝感市汉川市广场路21号</t>
  </si>
  <si>
    <t>湖北省孝感市汉川市汉川市韩集村</t>
  </si>
  <si>
    <t>张二妮</t>
  </si>
  <si>
    <t>梁欣愉</t>
  </si>
  <si>
    <t>黑龙江省哈尔滨市道里区安红街207号门市</t>
  </si>
  <si>
    <t>王福春</t>
  </si>
  <si>
    <t>梁令宜</t>
  </si>
  <si>
    <t>内蒙古鄂尔多斯市准格尔旗内蒙古鄂尔多斯市准格尔旗</t>
  </si>
  <si>
    <t>内蒙古鄂尔多斯市东胜区纺织街郝家圪卜路</t>
  </si>
  <si>
    <t>叶定坤</t>
  </si>
  <si>
    <t>郭立生</t>
  </si>
  <si>
    <t>刘远超</t>
  </si>
  <si>
    <t>蒋同武</t>
  </si>
  <si>
    <t>安徽省黄山市黟县洪星乡大星村</t>
  </si>
  <si>
    <t>安徽黄山市黟县</t>
  </si>
  <si>
    <t>程海港</t>
  </si>
  <si>
    <t>李建东</t>
  </si>
  <si>
    <t>江苏省南京市六合区瓜埠街道丰原路1号</t>
  </si>
  <si>
    <t>江苏省南京市六合区横梁镇王子村</t>
  </si>
  <si>
    <t>王文琴</t>
  </si>
  <si>
    <t>陈俭</t>
  </si>
  <si>
    <t>祁浩川</t>
  </si>
  <si>
    <t>周立松</t>
  </si>
  <si>
    <t>重庆市重庆市巴南区巴南区接龙镇兴正街与104省道交叉路口东100米</t>
  </si>
  <si>
    <t>重庆市重庆市巴南区巴南区接龙镇龙峡路147号</t>
  </si>
  <si>
    <t>胡振华</t>
  </si>
  <si>
    <t>钟键</t>
  </si>
  <si>
    <t>毛娇娇</t>
  </si>
  <si>
    <t>胡晓娜</t>
  </si>
  <si>
    <t>湖北省荆州市沙市区中山路138号</t>
  </si>
  <si>
    <t>湖北省荆州市沙市区北京路丹凤小区5栋一单元6楼10号</t>
  </si>
  <si>
    <t>毕保胜</t>
  </si>
  <si>
    <t>赵志全</t>
  </si>
  <si>
    <t>靳忠伟</t>
  </si>
  <si>
    <t>杨文谦</t>
  </si>
  <si>
    <t>赵官</t>
  </si>
  <si>
    <t>张桓汉</t>
  </si>
  <si>
    <t>张承文</t>
  </si>
  <si>
    <t>贵州省黔东南苗族侗族自治州麻江县杏山镇环城东路20号</t>
  </si>
  <si>
    <t>贵州省黔东南苗族侗族自治州麻江县杏山镇环城东路林场宿舍2单元1号</t>
  </si>
  <si>
    <t>张利娟</t>
  </si>
  <si>
    <t>张荣珈</t>
  </si>
  <si>
    <t>四川省南充市顺庆区白土坝英伦城邦商业街300号附25号</t>
  </si>
  <si>
    <t>四川省南充市高坪区都京镇红都路五段16幢6楼3号</t>
  </si>
  <si>
    <t>崔福军</t>
  </si>
  <si>
    <t>黄立强</t>
  </si>
  <si>
    <t>徐铭漉</t>
  </si>
  <si>
    <t>天津市天津市和平区南京路诚基中心一号楼二门1409</t>
  </si>
  <si>
    <t>天津市天津市南开区万德庄大街红磡花园五号楼五门203</t>
  </si>
  <si>
    <t>广东省佛山市顺德区乐从汇集物流园D17号</t>
  </si>
  <si>
    <t>广东省佛山市顺德区乐从镇平步三元坊4巷5号</t>
  </si>
  <si>
    <t>姬永祥</t>
  </si>
  <si>
    <t>林汉富</t>
  </si>
  <si>
    <t>侯清华</t>
  </si>
  <si>
    <t>郑灶创</t>
  </si>
  <si>
    <t>高超</t>
  </si>
  <si>
    <t>代露婿</t>
  </si>
  <si>
    <t>梁颖琪</t>
  </si>
  <si>
    <t>宋洪蕾</t>
  </si>
  <si>
    <t>陈文钿</t>
  </si>
  <si>
    <t>广东省潮州市潮安县东凤镇大寮工业区嘉炜五金厂</t>
  </si>
  <si>
    <t>广东省潮州市潮安县东凤镇大寮村东香二巷一号</t>
  </si>
  <si>
    <t>郑雪林</t>
  </si>
  <si>
    <t>周瑞英</t>
  </si>
  <si>
    <t>程旭东</t>
  </si>
  <si>
    <t>山西省太原市万柏林区西矿街320号</t>
  </si>
  <si>
    <t>山西省太原市万柏林区西矿街兴苑小区5楼65号</t>
  </si>
  <si>
    <t>王祖奇</t>
  </si>
  <si>
    <t>孙亚甜</t>
  </si>
  <si>
    <t>胡晓民</t>
  </si>
  <si>
    <t>黑龙江省伊春市带岭区迎宾路64号</t>
  </si>
  <si>
    <t>黑龙江省伊春市带岭区育西社区17栋2单元502室</t>
  </si>
  <si>
    <t>方洪</t>
  </si>
  <si>
    <t>钟利国</t>
  </si>
  <si>
    <t>王韦方</t>
  </si>
  <si>
    <t>李国豪</t>
  </si>
  <si>
    <t>黄燕飞</t>
  </si>
  <si>
    <t>广东省茂名市茂南区高凉北路豪丰大厦三楼</t>
  </si>
  <si>
    <t>广东省茂名市茂南区天桥路丽景湾名苑</t>
  </si>
  <si>
    <t>朱振俏</t>
  </si>
  <si>
    <t>康小红</t>
  </si>
  <si>
    <t>贵州省遵义市红花岗区遵义市南部新区遵南大道中山社区</t>
  </si>
  <si>
    <t>贵州省遵义市遵义县遵义市播州区南白镇龙泉村龙泉路9号</t>
  </si>
  <si>
    <t>王慧颖</t>
  </si>
  <si>
    <t>上海市上海市普陀区大渡河路168号E幢2楼</t>
  </si>
  <si>
    <t>上海市上海市嘉定区华江支路328弄30号604</t>
  </si>
  <si>
    <t>湖北省武汉市东西湖区美联奥林匹克花园一期16号</t>
  </si>
  <si>
    <t>湖北省武汉市硚口区长华公寓102栋2单元1003</t>
  </si>
  <si>
    <t>祁省</t>
  </si>
  <si>
    <t>陈芳芳</t>
  </si>
  <si>
    <t>福建省福州市仓山区盖山镇叶下工业区197号</t>
  </si>
  <si>
    <t>福建省福州市鼓楼区盖山镇叶下村51号</t>
  </si>
  <si>
    <t>梁城深</t>
  </si>
  <si>
    <t>焦露森</t>
  </si>
  <si>
    <t>白海伟</t>
  </si>
  <si>
    <t>莫可先</t>
  </si>
  <si>
    <t>袁琳</t>
  </si>
  <si>
    <t>周善民</t>
  </si>
  <si>
    <t>金顺枢</t>
  </si>
  <si>
    <t>浙江省温州市乐清市虹桥镇西工业区1_17号</t>
  </si>
  <si>
    <t>浙江省温州市乐清市虹桥镇蒋宅村长安路89号</t>
  </si>
  <si>
    <t>贾福勤</t>
  </si>
  <si>
    <t>河南省郑州市中原区郑州市中原区建设路179号</t>
  </si>
  <si>
    <t>河南省郑州市中原区郑州市中原区王府井一号二号楼306室</t>
  </si>
  <si>
    <t>胡麟君</t>
  </si>
  <si>
    <t>胡亚泉</t>
  </si>
  <si>
    <t>赵子瑜</t>
  </si>
  <si>
    <t>河北省石家庄市桥西区新石中路169号</t>
  </si>
  <si>
    <t>河北省石家庄市桥西区西三教西北区六段九排六号</t>
  </si>
  <si>
    <t>陈振新</t>
  </si>
  <si>
    <t>强鹏</t>
  </si>
  <si>
    <t>江苏省南京市浦口区南京市浦口区盘新路5号</t>
  </si>
  <si>
    <t>江苏省南京市浦口区盘城新居25栋2单元1404</t>
  </si>
  <si>
    <t>曾海龙</t>
  </si>
  <si>
    <t>四川省德阳市旌阳区旌阳区珠江西路460号</t>
  </si>
  <si>
    <t>四川省德阳市中江县玉兴镇望云村3组</t>
  </si>
  <si>
    <t>江苏省扬州市广陵区泰安镇金湾河与金湾路交口</t>
  </si>
  <si>
    <t>天津市天津市南开区嘉陵道咸阳北里8号楼4门302室</t>
  </si>
  <si>
    <t>董闯</t>
  </si>
  <si>
    <t>辽宁省辽阳市灯塔市灯塔市光明路21号</t>
  </si>
  <si>
    <t>辽宁省灯塔市铧鑫小区</t>
  </si>
  <si>
    <t>赵青松</t>
  </si>
  <si>
    <t>湖南省郴州市北湖区同心路新客运站对面</t>
  </si>
  <si>
    <t>湖南省郴州市北湖区石盖塘镇枫木岭村8组</t>
  </si>
  <si>
    <t>殷荣明</t>
  </si>
  <si>
    <t>韩海丽</t>
  </si>
  <si>
    <t>张胜男</t>
  </si>
  <si>
    <t>张瑞莲</t>
  </si>
  <si>
    <t>王怀光</t>
  </si>
  <si>
    <t>潘艳娥</t>
  </si>
  <si>
    <t>云南省曲靖市麒麟区南宁西路68号摩尔百货首层</t>
  </si>
  <si>
    <t>云南省曲靖市麒麟区泽福佳园1栋2908室</t>
  </si>
  <si>
    <t>安伟伟</t>
  </si>
  <si>
    <t>贵州省贵阳市白云区贵州省贵阳市白云区高新沙文科技生态园白金大道3491号</t>
  </si>
  <si>
    <t>贵州省贵阳市白云区世纪城龙慧苑11栋1单元12楼3号</t>
  </si>
  <si>
    <t>施磊</t>
  </si>
  <si>
    <t>张运芳</t>
  </si>
  <si>
    <t>王梦雅</t>
  </si>
  <si>
    <t>付正涛</t>
  </si>
  <si>
    <t>彭荣</t>
  </si>
  <si>
    <t>湖北省恩施土家族苗族自治州恩施市湖北省恩施市工农路169号煌庭国际广场三栋501室</t>
  </si>
  <si>
    <t>湖北省恩施土家族苗族自治州利川市利川市岩洞湾路45号</t>
  </si>
  <si>
    <t>刘晓飞</t>
  </si>
  <si>
    <t>山西省阳泉市平定县石门口乡乱流村</t>
  </si>
  <si>
    <t>山西身阳泉市城区南山路街道北岭坡四区五单元11号</t>
  </si>
  <si>
    <t>北京市北京市朝阳区北京市朝阳区化工路甲8号</t>
  </si>
  <si>
    <t>北京市北京市朝阳区北京市朝阳区双合家园小区1号楼2单元402室</t>
  </si>
  <si>
    <t>谢亚东</t>
  </si>
  <si>
    <t>福建省厦门市同安区西柯镇美溪道思明工业园6号1楼</t>
  </si>
  <si>
    <t>福建省厦门市同安区西柯镇洪塘头村塘边里11号</t>
  </si>
  <si>
    <t>李细娇</t>
  </si>
  <si>
    <t>王开兴</t>
  </si>
  <si>
    <t>福建省泉州市丰泽区华大街华大泰禾广场营销中心企划部</t>
  </si>
  <si>
    <t>福建省泉州市丰泽区泉州丰泽街冠亚城市花园1号楼a梯202室</t>
  </si>
  <si>
    <t>吴双发</t>
  </si>
  <si>
    <t>江苏省南京市江宁区义乌小商品城</t>
  </si>
  <si>
    <t>江苏省南京市江宁区北沿路174号一7</t>
  </si>
  <si>
    <t>石莉莉</t>
  </si>
  <si>
    <t>周家兰</t>
  </si>
  <si>
    <t>徐金</t>
  </si>
  <si>
    <t>邢剑</t>
  </si>
  <si>
    <t>崔秀</t>
  </si>
  <si>
    <t>辽宁省大连市甘井子区华北路435号</t>
  </si>
  <si>
    <t>辽宁省大连市甘井子区西南路绿洲园63号一单元601</t>
  </si>
  <si>
    <t>王忠强</t>
  </si>
  <si>
    <t>广东省湛江市雷州市雷州市西湖大道97号</t>
  </si>
  <si>
    <t>广东省湛江市雷州市群众大道106号</t>
  </si>
  <si>
    <t>安徽省六安市金安区六安市金安区皖西路147号</t>
  </si>
  <si>
    <t>安徽省六安市裕安区六安市裕安区单王乡单王街道</t>
  </si>
  <si>
    <t>屠礼达</t>
  </si>
  <si>
    <t>广东省广州市海珠区新港中路215号</t>
  </si>
  <si>
    <t>广东省广州市海珠区新渔新村北三巷二号</t>
  </si>
  <si>
    <t>陈婉萍</t>
  </si>
  <si>
    <t>浙江省杭州市萧山区建设三路大成名座3幢902</t>
  </si>
  <si>
    <t>浙江省杭州市萧山区建设一路市北公寓4幢514</t>
  </si>
  <si>
    <t>张卓</t>
  </si>
  <si>
    <t>朱传恩</t>
  </si>
  <si>
    <t>赵珊</t>
  </si>
  <si>
    <t>陈华芬</t>
  </si>
  <si>
    <t>李佳慧</t>
  </si>
  <si>
    <t>翁忠良</t>
  </si>
  <si>
    <t>路海</t>
  </si>
  <si>
    <t>邱必伟</t>
  </si>
  <si>
    <t>江苏省南京市鼓楼区南京市鼓楼区凤凰街道湛江路65号</t>
  </si>
  <si>
    <t>江苏省南京市浦口区浦口区浦口秦冯路69号天华绿谷庄园31栋701</t>
  </si>
  <si>
    <t>范群群</t>
  </si>
  <si>
    <t>陈善文</t>
  </si>
  <si>
    <t>柯瑾</t>
  </si>
  <si>
    <t>乃比江·阿不力米提</t>
  </si>
  <si>
    <t>新疆乌鲁木齐市米东区米东区小地磅</t>
  </si>
  <si>
    <t>新疆乌鲁木齐市天山区团结路19小学家属院</t>
  </si>
  <si>
    <t>宁夏银川市兴庆区同心南路嘉宝花园24号楼6号营业房</t>
  </si>
  <si>
    <t>宁夏银川市西夏区同心路银川三毛厂2号楼2单元401号</t>
  </si>
  <si>
    <t>王才军</t>
  </si>
  <si>
    <t>文德意</t>
  </si>
  <si>
    <t>广东省东莞市石排镇生态园区</t>
  </si>
  <si>
    <t>翁湫</t>
  </si>
  <si>
    <t>宋连群</t>
  </si>
  <si>
    <t>叶鑫岗</t>
  </si>
  <si>
    <t>侯永成</t>
  </si>
  <si>
    <t>青海省西宁市城中区西宁城中区西大街14号</t>
  </si>
  <si>
    <t>青海省西宁市城东区成中区南川东路同心家园7幢1单元1024</t>
  </si>
  <si>
    <t>李以航</t>
  </si>
  <si>
    <t>彭安发</t>
  </si>
  <si>
    <t>梁志旗</t>
  </si>
  <si>
    <t>宋森</t>
  </si>
  <si>
    <t>上海市上海市虹口区曲阳路800号24楼</t>
  </si>
  <si>
    <t>上海市上海市普陀区曹杨路710弄17号101室</t>
  </si>
  <si>
    <t>刘立坤</t>
  </si>
  <si>
    <t>韩玉双</t>
  </si>
  <si>
    <t>李映纯</t>
  </si>
  <si>
    <t>林钟锋</t>
  </si>
  <si>
    <t>马婷</t>
  </si>
  <si>
    <t>张文静</t>
  </si>
  <si>
    <t>乌兰格日勒</t>
  </si>
  <si>
    <t>于象</t>
  </si>
  <si>
    <t>张想德</t>
  </si>
  <si>
    <t>赵少龙</t>
  </si>
  <si>
    <t>河南省郑州市新密市密杞大道新密祥峰</t>
  </si>
  <si>
    <t>河南省郑州市新密市岳村镇老庄门村大井10号附1号</t>
  </si>
  <si>
    <t>昝天路</t>
  </si>
  <si>
    <t>岳阳</t>
  </si>
  <si>
    <t>云南省西双版纳傣族自治州景洪市广电路8号</t>
  </si>
  <si>
    <t>云南省西双版纳傣族自治州景洪市宣慰大道53号1栋1单元402号</t>
  </si>
  <si>
    <t>康彦</t>
  </si>
  <si>
    <t>虞爱民</t>
  </si>
  <si>
    <t>张亚勋</t>
  </si>
  <si>
    <t>谢一铭</t>
  </si>
  <si>
    <t>华梓捷</t>
  </si>
  <si>
    <t>项强羽</t>
  </si>
  <si>
    <t>许斌斌</t>
  </si>
  <si>
    <t>陈宗</t>
  </si>
  <si>
    <t>符青霄</t>
  </si>
  <si>
    <t>苑阳</t>
  </si>
  <si>
    <t>王培杰</t>
  </si>
  <si>
    <t>黑龙江省哈尔滨市南岗区东大直街319号</t>
  </si>
  <si>
    <t>黑龙江省哈尔滨市双城市花园小区4号楼1单元302</t>
  </si>
  <si>
    <t>贡迁</t>
  </si>
  <si>
    <t>徐敏峰</t>
  </si>
  <si>
    <t>仲建新</t>
  </si>
  <si>
    <t>刘召</t>
  </si>
  <si>
    <t>陈福兵</t>
  </si>
  <si>
    <t>山东省烟台市芝罘区北马路177号</t>
  </si>
  <si>
    <t>山东省烟台市芝罘区利丰街时代广场大奔公寓7102号</t>
  </si>
  <si>
    <t>蔡烘炜</t>
  </si>
  <si>
    <t>王雅琴</t>
  </si>
  <si>
    <t>柯水秀</t>
  </si>
  <si>
    <t>李红亮</t>
  </si>
  <si>
    <t>邵崇</t>
  </si>
  <si>
    <t>李耀文</t>
  </si>
  <si>
    <t>严明</t>
  </si>
  <si>
    <t>上海市上海市杨浦区周家嘴路3388号</t>
  </si>
  <si>
    <t>上海市上海市嘉定区丰庄路268弄10号601室</t>
  </si>
  <si>
    <t>罗文伯</t>
  </si>
  <si>
    <t>孙欣涛</t>
  </si>
  <si>
    <t>云南省昆明市官渡区长水国际机场长港中路</t>
  </si>
  <si>
    <t>云南省昆明市五华区关上街道办事处长村十七号</t>
  </si>
  <si>
    <t>王朝芳</t>
  </si>
  <si>
    <t>郑潺</t>
  </si>
  <si>
    <t>福建省厦门市湖里区金山街道后坑388b栋</t>
  </si>
  <si>
    <t>福建省厦门市湖里区金山街道后坑后社58号</t>
  </si>
  <si>
    <t>庞子健</t>
  </si>
  <si>
    <t>任传政</t>
  </si>
  <si>
    <t>吴俭</t>
  </si>
  <si>
    <t>谢启润</t>
  </si>
  <si>
    <t>李益</t>
  </si>
  <si>
    <t>郭晓艳</t>
  </si>
  <si>
    <t>梁修</t>
  </si>
  <si>
    <t>杜海</t>
  </si>
  <si>
    <t>高咏萍</t>
  </si>
  <si>
    <t>许成俊</t>
  </si>
  <si>
    <t>刘贞涛</t>
  </si>
  <si>
    <t>张欣欣</t>
  </si>
  <si>
    <t>汪正伟</t>
  </si>
  <si>
    <t>潘勇平</t>
  </si>
  <si>
    <t>雷智勇</t>
  </si>
  <si>
    <t>高国栋</t>
  </si>
  <si>
    <t>河北省石家庄市裕华区方兴路86号院内</t>
  </si>
  <si>
    <t>方兴路方兴小区</t>
  </si>
  <si>
    <t>孙胜男</t>
  </si>
  <si>
    <t>罗野</t>
  </si>
  <si>
    <t>四川省广安市广安区环溪一路B段8号</t>
  </si>
  <si>
    <t>四川省广安市人民路89号1单元401号</t>
  </si>
  <si>
    <t>杨静静</t>
  </si>
  <si>
    <t>邹晓莉</t>
  </si>
  <si>
    <t>浙江省温州市龙湾区滨海园区二道六路滨海医院</t>
  </si>
  <si>
    <t>浙江省温州市永嘉县桥头镇溪心路104弄4号</t>
  </si>
  <si>
    <t>陶慈欣</t>
  </si>
  <si>
    <t>浙江省温州市泰顺县罗阳新城大道76号</t>
  </si>
  <si>
    <t>浙江省温州市泰顺县罗阳下洪旁桥头</t>
  </si>
  <si>
    <t>何冠锋</t>
  </si>
  <si>
    <t>广东省云浮市罗定市广东省罗定市双东公路办</t>
  </si>
  <si>
    <t>广东省云浮市罗定市广东省罗定市苹塘镇龙吉村委磨针25号</t>
  </si>
  <si>
    <t>陈晓莲</t>
  </si>
  <si>
    <t>于恩强</t>
  </si>
  <si>
    <t>刘忠志</t>
  </si>
  <si>
    <t>云南省曲靖市会泽县云南省曲靖市会泽县华泥村</t>
  </si>
  <si>
    <t>云南省曲靖市会泽县云南省曲靖市会泽县</t>
  </si>
  <si>
    <t>蒋勇刚</t>
  </si>
  <si>
    <t>许东芬</t>
  </si>
  <si>
    <t>方雪圆</t>
  </si>
  <si>
    <t>梁志军</t>
  </si>
  <si>
    <t>广东省清远市清城区洲心镇龙华大道36号</t>
  </si>
  <si>
    <t>广东省清远市清城区小市金业民居北塔1301</t>
  </si>
  <si>
    <t>蒲程</t>
  </si>
  <si>
    <t>四川省遂宁市船山区盐关街51号</t>
  </si>
  <si>
    <t>四川省遂宁市船山区凯旋中路34号</t>
  </si>
  <si>
    <t>张华洲</t>
  </si>
  <si>
    <t>陈淼彬</t>
  </si>
  <si>
    <t>王章波</t>
  </si>
  <si>
    <t>刘学斌</t>
  </si>
  <si>
    <t>唐梅</t>
  </si>
  <si>
    <t>杨春丽</t>
  </si>
  <si>
    <t>云南省保山市隆阳区兰城街道人民路97号</t>
  </si>
  <si>
    <t>云南省保山市隆阳区正阳南路64号锦辉公寓</t>
  </si>
  <si>
    <t>刘洪刚</t>
  </si>
  <si>
    <t>朱运</t>
  </si>
  <si>
    <t>崔政</t>
  </si>
  <si>
    <t>宋正红</t>
  </si>
  <si>
    <t>房本军</t>
  </si>
  <si>
    <t>陕西省西安市雁塔区芙蓉南路东段紫汀苑</t>
  </si>
  <si>
    <t>陕西省西安市雁塔区东仪路沙泘沱村南一街90号</t>
  </si>
  <si>
    <t>崔文跃</t>
  </si>
  <si>
    <t>陶金波</t>
  </si>
  <si>
    <t>邓海玲</t>
  </si>
  <si>
    <t>四川省眉山市东坡区二环东路273号</t>
  </si>
  <si>
    <t>四川省眉山市东坡区大雅路金杯星苑2期11栋3单元301</t>
  </si>
  <si>
    <t>杨志宏</t>
  </si>
  <si>
    <t>邹海胜</t>
  </si>
  <si>
    <t>张盛能</t>
  </si>
  <si>
    <t>唐燕曦</t>
  </si>
  <si>
    <t>广东省深圳市福田区深圳市福田区彩田路中深花园大厦A座2812</t>
  </si>
  <si>
    <t>广东省深圳市福田区福民新村17栋503</t>
  </si>
  <si>
    <t>孟丽</t>
  </si>
  <si>
    <t>崔向前</t>
  </si>
  <si>
    <t>浙江省台州市路桥区台州市路桥区蓬街镇立马车业有限公司</t>
  </si>
  <si>
    <t>河南省洛阳市孟津县洛阳市孟津县小浪底镇崔岭城</t>
  </si>
  <si>
    <t>庄江鸿</t>
  </si>
  <si>
    <t>古丽佳娜·托了哈孜</t>
  </si>
  <si>
    <t>逯济源</t>
  </si>
  <si>
    <t>甘肃省嘉峪关市金昌市金川区金川东路2栋8号</t>
  </si>
  <si>
    <t>甘肃省嘉峪关市金昌市金川区金川西路龙泉家园7栋1单元108室</t>
  </si>
  <si>
    <t>金敏健</t>
  </si>
  <si>
    <t>浙江省台州市黄岩区新前街道模具新城锦川路220号</t>
  </si>
  <si>
    <t>浙江省台州市黄岩区北城塔水桥村2区</t>
  </si>
  <si>
    <t>梁燕军</t>
  </si>
  <si>
    <t>河南省郑州市荥阳市洞林路西段</t>
  </si>
  <si>
    <t>河南省郑州市巩义市贾峪镇洞林路中段邪坟村</t>
  </si>
  <si>
    <t>刘亚培</t>
  </si>
  <si>
    <t>商艳超</t>
  </si>
  <si>
    <t>钟玮玮</t>
  </si>
  <si>
    <t>董贺瑨</t>
  </si>
  <si>
    <t>湖南省湘潭市岳塘区书院路电工北路春满江南江南小街2号店面</t>
  </si>
  <si>
    <t>湖南省湘潭市岳塘区板马路安乐社区东风塘34号</t>
  </si>
  <si>
    <t>和海雄</t>
  </si>
  <si>
    <t>王志宏</t>
  </si>
  <si>
    <t>新疆乌鲁木齐市沙依巴克区新疆乌鲁木齐市沙依巴克区钱塘江路508号德汇国际广场1栋3层D22</t>
  </si>
  <si>
    <t>新疆乌鲁木齐市新市区喀什西路499号龙海龙海新和居25号楼6单元202</t>
  </si>
  <si>
    <t>江苏省扬州市广陵区扬州南通东路128号</t>
  </si>
  <si>
    <t>江苏省扬州市邗江区月明苑2102栋506</t>
  </si>
  <si>
    <t>李津津</t>
  </si>
  <si>
    <t>彭东</t>
  </si>
  <si>
    <t>罗应川</t>
  </si>
  <si>
    <t>林桂荣</t>
  </si>
  <si>
    <t>格桑卓玛</t>
  </si>
  <si>
    <t>陈妮</t>
  </si>
  <si>
    <t>宋鑫帅</t>
  </si>
  <si>
    <t>河南省郑州市金水区金水路盛润国际广场301</t>
  </si>
  <si>
    <t>河南省郑州市金水区未来滨河小区五号楼2503</t>
  </si>
  <si>
    <t>王佳美</t>
  </si>
  <si>
    <t>吴清林</t>
  </si>
  <si>
    <t>潘景聪</t>
  </si>
  <si>
    <t>周龙虎</t>
  </si>
  <si>
    <t>向会琼</t>
  </si>
  <si>
    <t>童桐</t>
  </si>
  <si>
    <t>杜尚霖</t>
  </si>
  <si>
    <t>广西玉林市玉州区玉林市江南开发区华商国际香港城一栋103商铺</t>
  </si>
  <si>
    <t>广西玉林市玉州区广西壮族自治区玉林市玉州区白石桥路八号天禾春城1栋2204</t>
  </si>
  <si>
    <t>古明江</t>
  </si>
  <si>
    <t>毛峰</t>
  </si>
  <si>
    <t>河北省廊坊市固安县固安县新源街五交化商场一层</t>
  </si>
  <si>
    <t>河北省廊坊市固安县固安县前西丈</t>
  </si>
  <si>
    <t>郭兵兵</t>
  </si>
  <si>
    <t>杨文山</t>
  </si>
  <si>
    <t>李纲</t>
  </si>
  <si>
    <t>山东省济宁市任城区吴泰闸东路京投大厦15楼</t>
  </si>
  <si>
    <t>山东省济宁市任城区车站东路42号3号楼2单元303号</t>
  </si>
  <si>
    <t>卓雅芝</t>
  </si>
  <si>
    <t>方玲洁</t>
  </si>
  <si>
    <t>史学文</t>
  </si>
  <si>
    <t>张同林</t>
  </si>
  <si>
    <t>王雨萌</t>
  </si>
  <si>
    <t>彭韵洁</t>
  </si>
  <si>
    <t>上海市上海市奉贤区上海市奉贤区通阳路361号</t>
  </si>
  <si>
    <t>上海市上海市奉贤区肖南路1268号歌友公寓266室</t>
  </si>
  <si>
    <t>江苏省连云港市赣榆县海头大官庄庄头石子厂</t>
  </si>
  <si>
    <t>江苏省连云港市赣榆县海头大官庄村六队429号</t>
  </si>
  <si>
    <t>向燕</t>
  </si>
  <si>
    <t>郜建强</t>
  </si>
  <si>
    <t>葛云浩</t>
  </si>
  <si>
    <t>河北省沧州市泊头市裕华西路52号</t>
  </si>
  <si>
    <t>河北省沧州市南皮县王寺镇东葛家村</t>
  </si>
  <si>
    <t>王少锋</t>
  </si>
  <si>
    <t>华国胜</t>
  </si>
  <si>
    <t>葛军帅</t>
  </si>
  <si>
    <t>河南省郑州市新郑市航空港区锦荣悦汇城三楼怡鼎轩</t>
  </si>
  <si>
    <t>河南省郑州市新郑市航空港区山顶御和园三栋三楼332</t>
  </si>
  <si>
    <t>谭佩珊</t>
  </si>
  <si>
    <t>邹学明</t>
  </si>
  <si>
    <t>张青阳</t>
  </si>
  <si>
    <t>陈照伟</t>
  </si>
  <si>
    <t>罗汉都</t>
  </si>
  <si>
    <t>徐忠华</t>
  </si>
  <si>
    <t>李卫国</t>
  </si>
  <si>
    <t>麦伟超</t>
  </si>
  <si>
    <t>马建英</t>
  </si>
  <si>
    <t>甘肃省定西市安定区甘肃省定西市安定区交通南路199号</t>
  </si>
  <si>
    <t>甘肃省定西市安定区甘肃省定西市安定区凤凰苑小区6号楼3单元403室</t>
  </si>
  <si>
    <t>刘桂权</t>
  </si>
  <si>
    <t>山西省大同市城区御河西路御华帝景19号楼底商</t>
  </si>
  <si>
    <t>山西省大同市城区御河西路御华帝景19号楼三单元601</t>
  </si>
  <si>
    <t>罗丽平</t>
  </si>
  <si>
    <t>广西桂林市兴安县康宁街78号</t>
  </si>
  <si>
    <t>广西桂林市兴安县志玲路175号</t>
  </si>
  <si>
    <t>木叶斯尔·阿布拉</t>
  </si>
  <si>
    <t>新疆喀什地区巴楚县巴楚县巴楚镇友谊北路154号</t>
  </si>
  <si>
    <t>新疆喀什地区巴楚县巴楚县巴楚镇人民东路1组014号</t>
  </si>
  <si>
    <t>杨强强</t>
  </si>
  <si>
    <t>魏均</t>
  </si>
  <si>
    <t>冯彦全</t>
  </si>
  <si>
    <t>李东平</t>
  </si>
  <si>
    <t>芦琰</t>
  </si>
  <si>
    <t>孙旭</t>
  </si>
  <si>
    <t>马驰</t>
  </si>
  <si>
    <t>王伦勇</t>
  </si>
  <si>
    <t>江志勇</t>
  </si>
  <si>
    <t>福建省厦门市思明区软件园二期望海路65号之二801室</t>
  </si>
  <si>
    <t>福建省厦门市湖里区围里社645号205室</t>
  </si>
  <si>
    <t>徐日照</t>
  </si>
  <si>
    <t>朱玉祠</t>
  </si>
  <si>
    <t>郑嘉殷</t>
  </si>
  <si>
    <t>周盼盼</t>
  </si>
  <si>
    <t>广东省深圳市宝安区新永丰工业园</t>
  </si>
  <si>
    <t>广东省广州市白云区美馨小区11栋1705</t>
  </si>
  <si>
    <t>臧晓雄</t>
  </si>
  <si>
    <t>卢蒙禹</t>
  </si>
  <si>
    <t>广东省广州市花都区狮岭镇团结五队团五大楼</t>
  </si>
  <si>
    <t>广州花都狮岭镇团结五队</t>
  </si>
  <si>
    <t>廖琼兵</t>
  </si>
  <si>
    <t>曾小军</t>
  </si>
  <si>
    <t>广东省梅州市五华县广东省梅州市五华县河东镇油田工业区</t>
  </si>
  <si>
    <t>广东省梅州市五华县广东省梅州市五华县河东镇浮湖村坑尾</t>
  </si>
  <si>
    <t>周恩建</t>
  </si>
  <si>
    <t>肖喻</t>
  </si>
  <si>
    <t>郑瑜</t>
  </si>
  <si>
    <t>重庆市重庆市涪陵区桃岭街15号</t>
  </si>
  <si>
    <t>重庆市涪陵区江东群沱子居委三组</t>
  </si>
  <si>
    <t>郝泽锋</t>
  </si>
  <si>
    <t>朱传彪</t>
  </si>
  <si>
    <t>马天瑞</t>
  </si>
  <si>
    <t>河北省保定市高碑店市朝阳街游乐堡</t>
  </si>
  <si>
    <t>北京市北京市房山区燕山星城建德四里15号楼二单元601室</t>
  </si>
  <si>
    <t>张同鑫</t>
  </si>
  <si>
    <t>江苏省苏州市吴中区胜浦镇浦湾公馆13栋</t>
  </si>
  <si>
    <t>赵岩柏</t>
  </si>
  <si>
    <t>孙晓彬</t>
  </si>
  <si>
    <t>侯路溪</t>
  </si>
  <si>
    <t>郭兴旺</t>
  </si>
  <si>
    <t>董家瑞</t>
  </si>
  <si>
    <t>王小琴</t>
  </si>
  <si>
    <t>胡显军</t>
  </si>
  <si>
    <t>覃彬</t>
  </si>
  <si>
    <t>广东省揭阳市榕城区揭阳市榕城区梅云镇潮东工业区</t>
  </si>
  <si>
    <t>广西贵港市平南县揭阳市榕城区梅云镇潮东新社区</t>
  </si>
  <si>
    <t>何广成</t>
  </si>
  <si>
    <t>李宪忠</t>
  </si>
  <si>
    <t>秦来军</t>
  </si>
  <si>
    <t>湖北省黄冈市红安县红烟大道58号</t>
  </si>
  <si>
    <t>湖北省黄冈市红安县杏花乡培城村6组156号</t>
  </si>
  <si>
    <t>赵东妮</t>
  </si>
  <si>
    <t>河北省承德市双桥区名都广场东塔11层</t>
  </si>
  <si>
    <t>河北省承德市双桥区泰丰时代城9号楼一单元502</t>
  </si>
  <si>
    <t>王新刚</t>
  </si>
  <si>
    <t>易芳冰</t>
  </si>
  <si>
    <t>王锋顺</t>
  </si>
  <si>
    <t>杨楠</t>
  </si>
  <si>
    <t>石仙锋</t>
  </si>
  <si>
    <t>广东省深圳市罗湖区坪山区龙田街道兰竹东路12号健马科技厂区3#厂房1-5层</t>
  </si>
  <si>
    <t>东莞市塘厦田心燕山围78号</t>
  </si>
  <si>
    <t>安徽省蚌埠市蚌山区延安路1151号跨境电子商务产业园602</t>
  </si>
  <si>
    <t>安徽省蚌埠市龙子湖区涂山路187号红阳小区2栋5单元407号</t>
  </si>
  <si>
    <t>山东省潍坊市奎文区四平路电子街</t>
  </si>
  <si>
    <t>山东省潍坊市奎文区东风东街阳光外滩</t>
  </si>
  <si>
    <t>祖曙光</t>
  </si>
  <si>
    <t>李仅希</t>
  </si>
  <si>
    <t>江苏省南京市秦淮区运粮河西路9号</t>
  </si>
  <si>
    <t>江苏省南京市雨花台区板桥新城古雄新居4栋304</t>
  </si>
  <si>
    <t>鲁灵</t>
  </si>
  <si>
    <t>云南省保山市昌宁县龙泉向阳寨</t>
  </si>
  <si>
    <t>云南省保山市昌宁县云南省保山市昌宁县田园镇达丙村委会苏家湾</t>
  </si>
  <si>
    <t>杨冰峰</t>
  </si>
  <si>
    <t>崔晓婷</t>
  </si>
  <si>
    <t>何智</t>
  </si>
  <si>
    <t>叶东</t>
  </si>
  <si>
    <t>陈广超</t>
  </si>
  <si>
    <t>辽宁省阜新市海州区解放大街57号</t>
  </si>
  <si>
    <t>辽宁省阜新市海州区真理路建设社区青年公寓402</t>
  </si>
  <si>
    <t>谭汝威</t>
  </si>
  <si>
    <t>许晓冬</t>
  </si>
  <si>
    <t>杜玲珑</t>
  </si>
  <si>
    <t>孟运涛</t>
  </si>
  <si>
    <t>周明生</t>
  </si>
  <si>
    <t>王珂欣</t>
  </si>
  <si>
    <t>管玥坤</t>
  </si>
  <si>
    <t>季海燕</t>
  </si>
  <si>
    <t>王国燕</t>
  </si>
  <si>
    <t>谌燕松</t>
  </si>
  <si>
    <t>湖南省怀化市鹤城区?水路179号</t>
  </si>
  <si>
    <t>湖南省怀化市溆浦县龙潭镇白坳村五组</t>
  </si>
  <si>
    <t>史建波</t>
  </si>
  <si>
    <t>刘泽政</t>
  </si>
  <si>
    <t>贺山耽</t>
  </si>
  <si>
    <t>傅煜</t>
  </si>
  <si>
    <t>辽宁省沈阳市皇姑区崇山东路21号19栋3号</t>
  </si>
  <si>
    <t>辽宁省沈阳市沈河区万柳塘路51号116栋47号</t>
  </si>
  <si>
    <t>陈衢</t>
  </si>
  <si>
    <t>杨远奎</t>
  </si>
  <si>
    <t>俞波</t>
  </si>
  <si>
    <t>丁心义</t>
  </si>
  <si>
    <t>陕西省西安市新城区朝阳门益田大厦B座2017室</t>
  </si>
  <si>
    <t>陕西省西安市未央区苏席二村10排15号</t>
  </si>
  <si>
    <t>黄万锋</t>
  </si>
  <si>
    <t>邹琳</t>
  </si>
  <si>
    <t>孙蒙</t>
  </si>
  <si>
    <t>山东省济南市历下区舜泰广场1号楼西座1211</t>
  </si>
  <si>
    <t>山东省济南市历下区东城逸家逸贤园1区3号楼1单元1301</t>
  </si>
  <si>
    <t>陈林艳</t>
  </si>
  <si>
    <t>朱嫱</t>
  </si>
  <si>
    <t>郑毅根</t>
  </si>
  <si>
    <t>邓桂莲</t>
  </si>
  <si>
    <t>贵州省黔南布依族苗族自治州都匀市银湖星城7栋16-18层</t>
  </si>
  <si>
    <t>贵州省黔南布依族苗族自治州都匀市南州国际24栋2201</t>
  </si>
  <si>
    <t>王茂兵</t>
  </si>
  <si>
    <t>四川省成都市彭州市彭州市天彭镇建设巷47号</t>
  </si>
  <si>
    <t>四川省成都市彭州市彭州市隆丰镇同德村2组2号</t>
  </si>
  <si>
    <t>贺源</t>
  </si>
  <si>
    <t>纪洁珠</t>
  </si>
  <si>
    <t>资文碧</t>
  </si>
  <si>
    <t>云南省昆明市官渡区众天路晓东村813号</t>
  </si>
  <si>
    <t>朱立村</t>
  </si>
  <si>
    <t>罗帮梅</t>
  </si>
  <si>
    <t>郭海威</t>
  </si>
  <si>
    <t>陕西省西安市高陵县高陵区迎宾大道</t>
  </si>
  <si>
    <t>陕西省西安市高陵县高陵区东方红路东方名城小区</t>
  </si>
  <si>
    <t>高弃疾</t>
  </si>
  <si>
    <t>徐孝磊</t>
  </si>
  <si>
    <t>江苏省南京市江宁区生态路60号</t>
  </si>
  <si>
    <t>江苏省南京市江宁区淳化街道青龙大城村6号</t>
  </si>
  <si>
    <t>郑言辉</t>
  </si>
  <si>
    <t>秦宁</t>
  </si>
  <si>
    <t>贾磊</t>
  </si>
  <si>
    <t>殷文兵</t>
  </si>
  <si>
    <t>张宝江</t>
  </si>
  <si>
    <t>练伦巧</t>
  </si>
  <si>
    <t>曾光燕</t>
  </si>
  <si>
    <t>梅傲雪</t>
  </si>
  <si>
    <t>辽宁省丹东市振兴区锦山大街342路</t>
  </si>
  <si>
    <t>辽宁省丹东市振兴区安民镇鑫园小区3号楼3单元209</t>
  </si>
  <si>
    <t>高军利</t>
  </si>
  <si>
    <t>毕静</t>
  </si>
  <si>
    <t>刘宝军</t>
  </si>
  <si>
    <t>辽宁省营口市盖州市长征大街和谐家园小区21号楼供水大厦</t>
  </si>
  <si>
    <t>辽宁省营口市盖州市西海街辰州秀景小区20号楼1单元602</t>
  </si>
  <si>
    <t>王成毅</t>
  </si>
  <si>
    <t>李平兰</t>
  </si>
  <si>
    <t>陈艳生</t>
  </si>
  <si>
    <t>江苏省无锡市锡山区查桥映山路1号</t>
  </si>
  <si>
    <t>江苏省无锡市锡山区安镇鑫安苑三期78栋502</t>
  </si>
  <si>
    <t>邓闯</t>
  </si>
  <si>
    <t>四川省成都市邛崃市冉义镇兴祥街89号</t>
  </si>
  <si>
    <t>四川省成都市大邑县晋原镇龙华村9组</t>
  </si>
  <si>
    <t>陈国志</t>
  </si>
  <si>
    <t>武继恩</t>
  </si>
  <si>
    <t>巴燚飞</t>
  </si>
  <si>
    <t>辽宁省沈阳市皇姑区长江街6号财富大厦617室</t>
  </si>
  <si>
    <t>辽宁省沈阳市沈河区大南街通天小区214-3 4-4-1</t>
  </si>
  <si>
    <t>张桂洋</t>
  </si>
  <si>
    <t>庞连喜</t>
  </si>
  <si>
    <t>张先洪</t>
  </si>
  <si>
    <t>余庆国</t>
  </si>
  <si>
    <t>湖北省鄂州市鄂城区泽林镇吴城路特1号</t>
  </si>
  <si>
    <t>湖北省鄂州市鄂城区雨台山9栋5楼4号</t>
  </si>
  <si>
    <t>周茂成</t>
  </si>
  <si>
    <t>安徽省合肥市包河区东方广场B座906室</t>
  </si>
  <si>
    <t>安徽省合肥市包河区包河苑c区4栋602</t>
  </si>
  <si>
    <t>骆志斌</t>
  </si>
  <si>
    <t>莫科明</t>
  </si>
  <si>
    <t>广东省广州市荔湾区奥体南路12号</t>
  </si>
  <si>
    <t>广东省广州市海珠区河畔公寓205号</t>
  </si>
  <si>
    <t>黄进行</t>
  </si>
  <si>
    <t>张敬宇</t>
  </si>
  <si>
    <t>俞政伟</t>
  </si>
  <si>
    <t>王文学</t>
  </si>
  <si>
    <t>李滨杉</t>
  </si>
  <si>
    <t>张璇</t>
  </si>
  <si>
    <t>闻静宇</t>
  </si>
  <si>
    <t>黄月旺</t>
  </si>
  <si>
    <t>徐燕楠</t>
  </si>
  <si>
    <t>张继新</t>
  </si>
  <si>
    <t>姚于成</t>
  </si>
  <si>
    <t>林曙滨</t>
  </si>
  <si>
    <t>王庆捷</t>
  </si>
  <si>
    <t>安徽省马鞍山市雨山区创新路164号</t>
  </si>
  <si>
    <t>安徽省马鞍山市花山区安徽省马鞍山市花山区湖北东路460号3栋508</t>
  </si>
  <si>
    <t>陈江洪</t>
  </si>
  <si>
    <t>夏旋旋</t>
  </si>
  <si>
    <t>王启锋</t>
  </si>
  <si>
    <t>奠建敏</t>
  </si>
  <si>
    <t>陈金科</t>
  </si>
  <si>
    <t>湖南省长沙市雨花区中意一路A片5栋</t>
  </si>
  <si>
    <t>湖南省长沙市雨花区香樟路香樟公馆2—3204</t>
  </si>
  <si>
    <t>万明金</t>
  </si>
  <si>
    <t>卜南南</t>
  </si>
  <si>
    <t>山西省吕梁市临县临县林家坪镇28号</t>
  </si>
  <si>
    <t>陕西省延安市宝塔区冯庄乡冯庄村44号</t>
  </si>
  <si>
    <t>罗杨</t>
  </si>
  <si>
    <t>江苏省南京市雨花台区梅山村路1号院4幢602室</t>
  </si>
  <si>
    <t>江苏省南京市建邺区虹苑新寓二村10幢101室</t>
  </si>
  <si>
    <t>公维军</t>
  </si>
  <si>
    <t>江苏省南京市栖霞区经济开发区恒谊路17号</t>
  </si>
  <si>
    <t>江苏省南京市栖霞区丁家庄燕舞园14栋一单元2006室</t>
  </si>
  <si>
    <t>王贤国</t>
  </si>
  <si>
    <t>金召洋</t>
  </si>
  <si>
    <t>费荣</t>
  </si>
  <si>
    <t>胡霞</t>
  </si>
  <si>
    <t>重庆市重庆市沙坪坝区红槽房正街99号附189号</t>
  </si>
  <si>
    <t>重庆市重庆市沙坪坝区阳光康居31号5单元4-2</t>
  </si>
  <si>
    <t>黄仅云</t>
  </si>
  <si>
    <t>陈国全</t>
  </si>
  <si>
    <t>江健</t>
  </si>
  <si>
    <t>甘肃省兰州市榆中县小康营乡窑坡村56号</t>
  </si>
  <si>
    <t>甘肃省兰州市榆中县二建小区三单元602</t>
  </si>
  <si>
    <t>苏自强</t>
  </si>
  <si>
    <t>重庆市重庆市江北区金源时代广场书刊市场301</t>
  </si>
  <si>
    <t>重庆市重庆市巴南区恒大城2期14栋1单元3103号</t>
  </si>
  <si>
    <t>侯卫国</t>
  </si>
  <si>
    <t>湖南省郴州市北湖区国庆南路93号</t>
  </si>
  <si>
    <t>湖南省郴州市安仁县竹山乡涟沅村中湾组</t>
  </si>
  <si>
    <t>李靖宇</t>
  </si>
  <si>
    <t>彭彦嘉</t>
  </si>
  <si>
    <t>张明威</t>
  </si>
  <si>
    <t>刘桭佑</t>
  </si>
  <si>
    <t>白绍军</t>
  </si>
  <si>
    <t>广东省惠州市博罗县龙溪镇白莲湖村万胜工业园区</t>
  </si>
  <si>
    <t>广东省惠州市博罗县龙溪镇白莲湖村荣康顺公司职工宿舍</t>
  </si>
  <si>
    <t>彭仕俊</t>
  </si>
  <si>
    <t>秦向峰</t>
  </si>
  <si>
    <t>付亚龙</t>
  </si>
  <si>
    <t>江苏省苏州市吴中区江苏省苏州市吴中区迎春南路97号</t>
  </si>
  <si>
    <t>江苏省苏州市吴中区服装城一区五幢九号</t>
  </si>
  <si>
    <t>张征安</t>
  </si>
  <si>
    <t>叶锋</t>
  </si>
  <si>
    <t>周德剑</t>
  </si>
  <si>
    <t>陈志鸣</t>
  </si>
  <si>
    <t>黄培林</t>
  </si>
  <si>
    <t>福建省厦门市思明区仙岳路525号602室</t>
  </si>
  <si>
    <t>福建省厦门市思明区仙岳路宝嘉誉峰三号楼602室</t>
  </si>
  <si>
    <t>万小兵</t>
  </si>
  <si>
    <t>徐浪平</t>
  </si>
  <si>
    <t>唐卫晖</t>
  </si>
  <si>
    <t>杨辉恒</t>
  </si>
  <si>
    <t>陈国明</t>
  </si>
  <si>
    <t>马峰</t>
  </si>
  <si>
    <t>成志林</t>
  </si>
  <si>
    <t>王雪英</t>
  </si>
  <si>
    <t>安徽省亳州市谯城区光明路丹华山庄综合办公楼二楼</t>
  </si>
  <si>
    <t>安徽省亳州市谯城区养生大道翡翠庄园5栋701</t>
  </si>
  <si>
    <t>刘赛赛</t>
  </si>
  <si>
    <t>山东省青岛市市北区延吉路万达写字楼B座709</t>
  </si>
  <si>
    <t>山东省青岛市城阳区瑞阳路99号云鼎国际A座707</t>
  </si>
  <si>
    <t>古莉红</t>
  </si>
  <si>
    <t>张芳琴</t>
  </si>
  <si>
    <t>黄文静</t>
  </si>
  <si>
    <t>重庆市重庆市渝中区重庆市渝中区解放碑</t>
  </si>
  <si>
    <t>重庆市重庆市九龙坡区重庆市九龙坡区谢家湾文化三村</t>
  </si>
  <si>
    <t>王国喜</t>
  </si>
  <si>
    <t>韩伟</t>
  </si>
  <si>
    <t>山东省德州市乐陵市城区乐德路南侧542号</t>
  </si>
  <si>
    <t>黄启源</t>
  </si>
  <si>
    <t>张晓雪</t>
  </si>
  <si>
    <t>江苏省徐州市睢宁县香谢梧桐北门8栋</t>
  </si>
  <si>
    <t>江苏省徐州市睢宁县邱集镇香店村大孙组</t>
  </si>
  <si>
    <t>刘剑章</t>
  </si>
  <si>
    <t>顾晨</t>
  </si>
  <si>
    <t>梅卫群</t>
  </si>
  <si>
    <t>江西省九江市庐山区五里西洋垄11栋</t>
  </si>
  <si>
    <t>江西省九江市浔阳区九江市一马路104号五栋一单元503</t>
  </si>
  <si>
    <t>黎海清</t>
  </si>
  <si>
    <t>丁驰</t>
  </si>
  <si>
    <t>李明华</t>
  </si>
  <si>
    <t>钱少华</t>
  </si>
  <si>
    <t>裴佳豪</t>
  </si>
  <si>
    <t>乔建文</t>
  </si>
  <si>
    <t>杜春燕</t>
  </si>
  <si>
    <t>四川省巴中市通江县四川省巴中市通江县诺江中路钻石广场泰康人寿</t>
  </si>
  <si>
    <t>四川省巴中市通江县通江县诺江中路97号</t>
  </si>
  <si>
    <t>安徽省安庆市桐城市安徽省安庆市桐城市文城东路后街廊桥4号</t>
  </si>
  <si>
    <t>安徽省安庆市桐城市安徽省安庆市桐城市同安路澳门花园一期4-02</t>
  </si>
  <si>
    <t>姚俊清</t>
  </si>
  <si>
    <t>天津市天津市北辰区北仓镇志和里底商一号</t>
  </si>
  <si>
    <t>天津市天津市北辰区双街镇汉沟村夏记胡同15号</t>
  </si>
  <si>
    <t>高秀峰</t>
  </si>
  <si>
    <t>田宇骏</t>
  </si>
  <si>
    <t>韩立中</t>
  </si>
  <si>
    <t>山东省滨州市邹平县邹平县好生经济开发区</t>
  </si>
  <si>
    <t>山东省滨州市邹平县邹平县好生街道办事处屯里村83号</t>
  </si>
  <si>
    <t>胡晓星</t>
  </si>
  <si>
    <t>魏来福</t>
  </si>
  <si>
    <t>河南省郑州市管城回族区城东路43号</t>
  </si>
  <si>
    <t>河南省郑州市管城回族区货站北街31绿云公寓</t>
  </si>
  <si>
    <t>穆侨洋</t>
  </si>
  <si>
    <t>河南省焦作市中站区中站区中冰路与新园路交叉口</t>
  </si>
  <si>
    <t>河南省焦作市武陟县河南省武陟县大虹桥乡大虹桥村十六号院</t>
  </si>
  <si>
    <t>冯嵩</t>
  </si>
  <si>
    <t>重庆市重庆市渝中区人民路22号5-1</t>
  </si>
  <si>
    <t>重庆市重庆市江北区红土地70号27-1</t>
  </si>
  <si>
    <t>肖远福</t>
  </si>
  <si>
    <t>何清</t>
  </si>
  <si>
    <t>唐雅婷</t>
  </si>
  <si>
    <t>金登高</t>
  </si>
  <si>
    <t>涂金栋</t>
  </si>
  <si>
    <t>李选锋</t>
  </si>
  <si>
    <t>海南省三沙市琼海市潭门镇富巷街51号</t>
  </si>
  <si>
    <t>海南省三沙市琼海市潭门镇富门街2号</t>
  </si>
  <si>
    <t>戴海旺</t>
  </si>
  <si>
    <t>广东省深圳市宝安区广东省深圳市宝安区石岩街道水田村民营工业园</t>
  </si>
  <si>
    <t>广东省深圳市福田区福田区嘉园小区2栋</t>
  </si>
  <si>
    <t>黄永光</t>
  </si>
  <si>
    <t>江苏省苏州市昆山市昆山市周市镇华盛东路1号</t>
  </si>
  <si>
    <t>江苏省苏州市昆山市昆山市巴城镇凤祥园小区三栋十楼102</t>
  </si>
  <si>
    <t>孔燕</t>
  </si>
  <si>
    <t>肖绪玲</t>
  </si>
  <si>
    <t>张晨思</t>
  </si>
  <si>
    <t>内蒙古呼和浩特市赛罕区银河北街万豪美墅城</t>
  </si>
  <si>
    <t>内蒙古呼和浩特市赛罕区银河北街万豪美墅城9号楼401</t>
  </si>
  <si>
    <t>蔡学敏</t>
  </si>
  <si>
    <t>湖南省郴州市桂阳县宝山铅锌银矿有限公司</t>
  </si>
  <si>
    <t>湖南省郴州市桂阳县仁义镇田湾村合山组</t>
  </si>
  <si>
    <t>阿卜杜热合曼·玉苏普</t>
  </si>
  <si>
    <t>韦青海</t>
  </si>
  <si>
    <t>肉苏利·买买</t>
  </si>
  <si>
    <t>何崇福</t>
  </si>
  <si>
    <t>安徽省宣城市宣州区府山广场附近瑞景公寓三单元607</t>
  </si>
  <si>
    <t>安徽省宣城市宣州区杜鹃路东方燕园22栋二单元808室</t>
  </si>
  <si>
    <t>李守松</t>
  </si>
  <si>
    <t>黄开杰</t>
  </si>
  <si>
    <t>廖敏东</t>
  </si>
  <si>
    <t>黄莺</t>
  </si>
  <si>
    <t>沈大春</t>
  </si>
  <si>
    <t>贵州省贵阳市南明区油榨街28号红星美凯龙富源美店一期三楼8178号</t>
  </si>
  <si>
    <t>贵州省贵阳市云岩区百花山路金狮小区巫峰组团92栋二单元201号</t>
  </si>
  <si>
    <t>林立顺</t>
  </si>
  <si>
    <t>景行</t>
  </si>
  <si>
    <t>陕西省宝鸡市陈仓区渭阳路1号</t>
  </si>
  <si>
    <t>陕西省宝鸡市陈仓区千渭渭阳路4号3号楼一单元一层西户</t>
  </si>
  <si>
    <t>潘伟</t>
  </si>
  <si>
    <t>鲍宜雷</t>
  </si>
  <si>
    <t>林铅灯</t>
  </si>
  <si>
    <t>湖北省黄冈市黄州区赤壁大道特1号</t>
  </si>
  <si>
    <t>湖北省黄冈市黄州区嘉豪幸福里小区3栋1单元502</t>
  </si>
  <si>
    <t>王尚书</t>
  </si>
  <si>
    <t>程燕</t>
  </si>
  <si>
    <t>张军训</t>
  </si>
  <si>
    <t>梁琼</t>
  </si>
  <si>
    <t>王伟平</t>
  </si>
  <si>
    <t>向娥</t>
  </si>
  <si>
    <t>湖北省恩施土家族苗族自治州建始县高坪城高坪工程有限责任公司</t>
  </si>
  <si>
    <t>湖北省恩施土家族苗族自治州建始县湖北建始县高坪填青花乡乡村51号</t>
  </si>
  <si>
    <t>韩锦茹</t>
  </si>
  <si>
    <t>陈屈铵妮</t>
  </si>
  <si>
    <t>代德双</t>
  </si>
  <si>
    <t>湖南省长沙市开福区洪山街道万家丽北路一段699号恒大雅苑</t>
  </si>
  <si>
    <t>湖南省长沙市岳麓区梅溪湖街道嘉顺苑六栋一单元1502</t>
  </si>
  <si>
    <t>李孝成</t>
  </si>
  <si>
    <t>李均钊</t>
  </si>
  <si>
    <t>裴洋洋</t>
  </si>
  <si>
    <t>李满全</t>
  </si>
  <si>
    <t>河北省唐山市开平区前白寺口村南行100米</t>
  </si>
  <si>
    <t>河北省唐山市丰润区乡居假日人和园</t>
  </si>
  <si>
    <t>周小翔</t>
  </si>
  <si>
    <t>刘行</t>
  </si>
  <si>
    <t>潘玉卫</t>
  </si>
  <si>
    <t>江苏省连云港市新浦区海宁中路54号</t>
  </si>
  <si>
    <t>江苏省连云港市新浦区华润公寓东单元702室</t>
  </si>
  <si>
    <t>李文庆</t>
  </si>
  <si>
    <t>青海省西宁市城东区青海省乌兰县铜普镇察汗诺</t>
  </si>
  <si>
    <t>青海省海西蒙古族藏族自治州乌兰县青海省乌兰县希里沟镇</t>
  </si>
  <si>
    <t>程文娟</t>
  </si>
  <si>
    <t>祁智娜</t>
  </si>
  <si>
    <t>云南省保山市隆阳区人民路012乡道与320国道交叉口往南200米</t>
  </si>
  <si>
    <t>保山市隆阳区青阳一期10栋1102</t>
  </si>
  <si>
    <t>黄旭锋</t>
  </si>
  <si>
    <t>李国龙</t>
  </si>
  <si>
    <t>姚吉友</t>
  </si>
  <si>
    <t>朱俊橙</t>
  </si>
  <si>
    <t>杨伟华</t>
  </si>
  <si>
    <t>苏应加</t>
  </si>
  <si>
    <t>龙志军</t>
  </si>
  <si>
    <t>广东省中山市南头镇正兴路9号</t>
  </si>
  <si>
    <t>广东省中山市南头镇南城新村二街3号</t>
  </si>
  <si>
    <t>蔡盛强</t>
  </si>
  <si>
    <t>苏国庆</t>
  </si>
  <si>
    <t>高宇洁</t>
  </si>
  <si>
    <t>四川省成都市锦江区华润路36号附30号</t>
  </si>
  <si>
    <t>四川省成都市锦江区华润路36号</t>
  </si>
  <si>
    <t>山东省淄博市博山区域城镇蕉庄村</t>
  </si>
  <si>
    <t>山东省淄博市博山区域城镇蕉庄村9号楼3单元501号</t>
  </si>
  <si>
    <t>黄利娜</t>
  </si>
  <si>
    <t>郭先辉</t>
  </si>
  <si>
    <t>赵学全</t>
  </si>
  <si>
    <t>白鹏</t>
  </si>
  <si>
    <t>山西省太原市小店区经济开发区龙飞街一号</t>
  </si>
  <si>
    <t>山西省吕梁市兴县蔚汾镇草架湾村398号</t>
  </si>
  <si>
    <t>徐国兰</t>
  </si>
  <si>
    <t>姜建刚</t>
  </si>
  <si>
    <t>玛尔娅汗·纳哈希拜</t>
  </si>
  <si>
    <t>新疆哈密地区巴里坤哈萨克自治县萨尔乔克乡市场7村2号店</t>
  </si>
  <si>
    <t>新疆哈密地区巴里坤哈萨克自治县下涝坝乡小红柳峡村一组173号</t>
  </si>
  <si>
    <t>韩全阳</t>
  </si>
  <si>
    <t>车玲飞</t>
  </si>
  <si>
    <t>柳培宇</t>
  </si>
  <si>
    <t>夏媛媛</t>
  </si>
  <si>
    <t>四川省内江市隆昌县锦绣外滩226号</t>
  </si>
  <si>
    <t>四川省内江市隆昌县北关小区四栋三单元五楼十九号</t>
  </si>
  <si>
    <t>张雪艳</t>
  </si>
  <si>
    <t>周洁卫</t>
  </si>
  <si>
    <t>广西南宁市青秀区中山路2号三源商住大厦5号铺面</t>
  </si>
  <si>
    <t>广西南宁市江南区白沙大道65号云星尚雅名都</t>
  </si>
  <si>
    <t>吴清专</t>
  </si>
  <si>
    <t>海南省海口市美兰区碧海大道9号金茂滨江温泉花园商铺</t>
  </si>
  <si>
    <t>海南省海口市秀英区西秀镇雨苍村1队</t>
  </si>
  <si>
    <t>林娴</t>
  </si>
  <si>
    <t>广东省揭阳市榕城区金溪大道与城西市场交界处</t>
  </si>
  <si>
    <t>广东省揭阳市榕城区临江北路南东升街道办事处后集资楼</t>
  </si>
  <si>
    <t>上海市上海市杨浦区黄兴路1800号</t>
  </si>
  <si>
    <t>上海市上海市闵行区浦江镇三达支路537弄38号</t>
  </si>
  <si>
    <t>朱有志</t>
  </si>
  <si>
    <t>李袁</t>
  </si>
  <si>
    <t>韩炼</t>
  </si>
  <si>
    <t>刘文鹏</t>
  </si>
  <si>
    <t>牟海波</t>
  </si>
  <si>
    <t>郑云杰</t>
  </si>
  <si>
    <t>黄晓蓓</t>
  </si>
  <si>
    <t>浙江省绍兴市绍兴县柯桥区笛扬路1588号</t>
  </si>
  <si>
    <t>浙江省绍兴市绍兴县柯桥区兴越路兴越小区西门34幢三单元405</t>
  </si>
  <si>
    <t>李纾</t>
  </si>
  <si>
    <t>叶亚辉</t>
  </si>
  <si>
    <t>楚军</t>
  </si>
  <si>
    <t>周玛超</t>
  </si>
  <si>
    <t>广东省佛山市南海区里水镇白岗工业区马飞鞋业二楼</t>
  </si>
  <si>
    <t>广东省佛山市南海区里水镇白岗村叶氏大街惠隆超市2楼205</t>
  </si>
  <si>
    <t>张新松</t>
  </si>
  <si>
    <t>李素影</t>
  </si>
  <si>
    <t>曾庆元</t>
  </si>
  <si>
    <t>徐永刚</t>
  </si>
  <si>
    <t>乌日查义呼</t>
  </si>
  <si>
    <t>吴高文</t>
  </si>
  <si>
    <t>林立枫</t>
  </si>
  <si>
    <t>侯绪友</t>
  </si>
  <si>
    <t>黑龙江省牡丹江市东安区西安区宝丰装饰材料市场118号</t>
  </si>
  <si>
    <t>黑龙江省牡丹江市西安区西三条路牡丹街兴通小区1号楼4单元702</t>
  </si>
  <si>
    <t>任月</t>
  </si>
  <si>
    <t>李美丽</t>
  </si>
  <si>
    <t>内蒙古鄂尔多斯市鄂托克旗棋盘井镇天誉天城小区底商</t>
  </si>
  <si>
    <t>内蒙古鄂尔多斯市鄂托克旗棋盘井镇泰祥国际5号楼二单元103</t>
  </si>
  <si>
    <t>陈守祥</t>
  </si>
  <si>
    <t>齐学斌</t>
  </si>
  <si>
    <t>吴发梁</t>
  </si>
  <si>
    <t>柏玉雷</t>
  </si>
  <si>
    <t>山东省济南市历城区济南市历城区春晖路1777</t>
  </si>
  <si>
    <t>山东省济南市历城区济南市历城区孙村镇白谷堆二区36号</t>
  </si>
  <si>
    <t>蒋成</t>
  </si>
  <si>
    <t>四川省成都市成华区府青东街94号</t>
  </si>
  <si>
    <t>四川省成都市新都区斑竹园镇北欧知识城一期12栋1004</t>
  </si>
  <si>
    <t>余佳根</t>
  </si>
  <si>
    <t>王少亮</t>
  </si>
  <si>
    <t>卜晓龙</t>
  </si>
  <si>
    <t>四川省乐山市峨眉山市峨眉山市佛欣路147号</t>
  </si>
  <si>
    <t>四川省乐山市峨眉山市峨眉山市光明大道99号峨胜东城国际7栋1401</t>
  </si>
  <si>
    <t>朱建渭</t>
  </si>
  <si>
    <t>马红</t>
  </si>
  <si>
    <t>李振柱</t>
  </si>
  <si>
    <t>河北省承德市平泉县欢乐谷</t>
  </si>
  <si>
    <t>河北省承德市平泉县七家岱乡雹神庙村16组589号</t>
  </si>
  <si>
    <t>李宗良</t>
  </si>
  <si>
    <t>山东省青岛市胶南市烟台东七路海信中央空调</t>
  </si>
  <si>
    <t>山东省青岛市平度市隐珠镇大珠山中路我家阳光1号</t>
  </si>
  <si>
    <t>伍明旺</t>
  </si>
  <si>
    <t>黄生万</t>
  </si>
  <si>
    <t>王丽江</t>
  </si>
  <si>
    <t>余科</t>
  </si>
  <si>
    <t>禤彩虹</t>
  </si>
  <si>
    <t>广东省东莞市樟木头镇香樟绿洲6栋106号店铺狗狗屋宠物店</t>
  </si>
  <si>
    <t>广东省东莞市樟木头镇香樟绿洲6栋106号铺</t>
  </si>
  <si>
    <t>田立夫</t>
  </si>
  <si>
    <t>丁方浩</t>
  </si>
  <si>
    <t>浙江省杭州市萧山区宁围镇博地中心A座2203</t>
  </si>
  <si>
    <t>浙江省杭州市萧山区宁围镇宁安社区459号</t>
  </si>
  <si>
    <t>李银乾</t>
  </si>
  <si>
    <t>满帅</t>
  </si>
  <si>
    <t>山东省淄博市淄川区财富陶瓷城</t>
  </si>
  <si>
    <t>山东省淄博市淄川区双杨镇杨寨村阳光小区</t>
  </si>
  <si>
    <t>黄林苹</t>
  </si>
  <si>
    <t>福建省宁德市福安市穆阳镇东旭街67号</t>
  </si>
  <si>
    <t>福建省宁德市福安市穆阳镇桂林村长春街24号</t>
  </si>
  <si>
    <t>夏立波</t>
  </si>
  <si>
    <t>黄云龙</t>
  </si>
  <si>
    <t>河南省信阳市浉河区虎头山1号</t>
  </si>
  <si>
    <t>河南省信阳市浉河区航空路中铁领秀城福华园38号楼2单元604</t>
  </si>
  <si>
    <t>沈念念</t>
  </si>
  <si>
    <t>潘帅</t>
  </si>
  <si>
    <t>张九尊</t>
  </si>
  <si>
    <t>黄江川</t>
  </si>
  <si>
    <t>四川省德阳市旌阳区凉山路111号</t>
  </si>
  <si>
    <t>四川省德阳市旌阳区银山巷三十栋40号2一1一2</t>
  </si>
  <si>
    <t>王淑珍</t>
  </si>
  <si>
    <t>崔东霞</t>
  </si>
  <si>
    <t>潘晨晨</t>
  </si>
  <si>
    <t>山东省烟台市招远市招远市金龙路777号</t>
  </si>
  <si>
    <t>山东省烟台市招远市招远市阜山镇潘家村</t>
  </si>
  <si>
    <t>孙雅平</t>
  </si>
  <si>
    <t>金险云</t>
  </si>
  <si>
    <t>袁来银</t>
  </si>
  <si>
    <t>丁炜</t>
  </si>
  <si>
    <t>邓祥毅</t>
  </si>
  <si>
    <t>覃卫华</t>
  </si>
  <si>
    <t>广东省深圳市龙岗区宝龙工业区高科大道与宝龙四路交汇处西南角</t>
  </si>
  <si>
    <t>广东省深圳市龙岗区龙岗街道宝龙街道办景园公寓2栋B座307房</t>
  </si>
  <si>
    <t>李映花</t>
  </si>
  <si>
    <t>黄雅琳</t>
  </si>
  <si>
    <t>杜向文</t>
  </si>
  <si>
    <t>张陆波</t>
  </si>
  <si>
    <t>沈强</t>
  </si>
  <si>
    <t>魏连生</t>
  </si>
  <si>
    <t>段杰超</t>
  </si>
  <si>
    <t>蒙自市天马路10号</t>
  </si>
  <si>
    <t>云南省红河哈尼族彝族自治州蒙自县明月石溪小区1栋1806</t>
  </si>
  <si>
    <t>蒋志勇</t>
  </si>
  <si>
    <t>新疆塔城地区沙湾县沙湾县和谐市场内82栋</t>
  </si>
  <si>
    <t>新疆塔城地区塔城市沙湾县青岛假日花园七号楼一单元401</t>
  </si>
  <si>
    <t>邓先高</t>
  </si>
  <si>
    <t>湖北省神农架潜江市熊口镇中心幼儿园旁</t>
  </si>
  <si>
    <t>湖北省神农架潜江市熊口镇中物院四组</t>
  </si>
  <si>
    <t>母怀双</t>
  </si>
  <si>
    <t>四川省绵阳市北川羌族自治县擂鼓镇五星街10号</t>
  </si>
  <si>
    <t>四川省绵阳市涪城区绵阳市御景名城</t>
  </si>
  <si>
    <t>谭亚明</t>
  </si>
  <si>
    <t>牛浩彬</t>
  </si>
  <si>
    <t>尹建国</t>
  </si>
  <si>
    <t>郭天伟</t>
  </si>
  <si>
    <t>云南省保山市腾冲县云南省保山市腾冲市腾越镇秀峰社区黉学小区44号</t>
  </si>
  <si>
    <t>云南省保山市腾冲固东镇甸苴村山脚组62号</t>
  </si>
  <si>
    <t>熊康健</t>
  </si>
  <si>
    <t>江全艳</t>
  </si>
  <si>
    <t>葛艳萍</t>
  </si>
  <si>
    <t>李三娃</t>
  </si>
  <si>
    <t>毛建斌</t>
  </si>
  <si>
    <t>史琪良</t>
  </si>
  <si>
    <t>云南省普洱市景谷傣族彝族自治县警苑佳园小区2幢17-18号</t>
  </si>
  <si>
    <t>云南省普洱市北市区东日凯旋城A区1栋1单元1301室</t>
  </si>
  <si>
    <t>段兵龙</t>
  </si>
  <si>
    <t>周富贵</t>
  </si>
  <si>
    <t>黑龙江省双鸭山市宝清县人民路200号</t>
  </si>
  <si>
    <t>黑龙江省双鸭山市宝清县新世纪家园三号楼二单元802</t>
  </si>
  <si>
    <t>山西省大同市城区关帝庙街29</t>
  </si>
  <si>
    <t>山西省大同市城区迎泽北街3号院</t>
  </si>
  <si>
    <t>谭智伟</t>
  </si>
  <si>
    <t>盛军</t>
  </si>
  <si>
    <t>孙鑫洋</t>
  </si>
  <si>
    <t>谢政学</t>
  </si>
  <si>
    <t>王志涛</t>
  </si>
  <si>
    <t>冯思敏</t>
  </si>
  <si>
    <t>王娅妮</t>
  </si>
  <si>
    <t>梁玉钦</t>
  </si>
  <si>
    <t>广西玉林市北流市北流市永安路七里10号</t>
  </si>
  <si>
    <t>广西玉林市北流市新丰镇观南村东村组68-1号</t>
  </si>
  <si>
    <t>焦淑娟</t>
  </si>
  <si>
    <t>山西省太原市小店区吴城路通达街口</t>
  </si>
  <si>
    <t>山西省太原市小店区许坦西街开元南小区</t>
  </si>
  <si>
    <t>何锐</t>
  </si>
  <si>
    <t>山西省运城市稷山县化峪镇程杜村</t>
  </si>
  <si>
    <t>谢勇</t>
  </si>
  <si>
    <t>黑龙江省哈尔滨市香坊区集中开发区哈平路青岛路1号</t>
  </si>
  <si>
    <t>黑龙江省哈尔滨市平房区香悦蓝天下小区二号楼三单元503室</t>
  </si>
  <si>
    <t>阳威</t>
  </si>
  <si>
    <t>杨璐丹</t>
  </si>
  <si>
    <t>四川省巴中市巴州区回风大道西湖名都4栋402</t>
  </si>
  <si>
    <t>巴中市巴州区碧水云天3栋906</t>
  </si>
  <si>
    <t>李明玉</t>
  </si>
  <si>
    <t>胡博绍</t>
  </si>
  <si>
    <t>张安伟</t>
  </si>
  <si>
    <t>山西省阳泉市矿区桃北西街11楼</t>
  </si>
  <si>
    <t>山西省阳泉市矿区菜洼三区排房16号</t>
  </si>
  <si>
    <t>刘新宁</t>
  </si>
  <si>
    <t>陆永林</t>
  </si>
  <si>
    <t>李剑栋</t>
  </si>
  <si>
    <t>戚海浩</t>
  </si>
  <si>
    <t>余春华</t>
  </si>
  <si>
    <t>于涵</t>
  </si>
  <si>
    <t>邝代原</t>
  </si>
  <si>
    <t>广东省广州市黄埔区九龙镇13号时尚天韵</t>
  </si>
  <si>
    <t>广东省广州市黄埔区九龙大道汤村122号301房</t>
  </si>
  <si>
    <t>邵世杰</t>
  </si>
  <si>
    <t>李望杰</t>
  </si>
  <si>
    <t>崔佳立</t>
  </si>
  <si>
    <t>辽宁省大连市金州区汉正路6号</t>
  </si>
  <si>
    <t>辽宁省大连市金州区金州区古城甲区33号楼一单元301</t>
  </si>
  <si>
    <t>龙龙</t>
  </si>
  <si>
    <t>谢垒</t>
  </si>
  <si>
    <t>文永军</t>
  </si>
  <si>
    <t>林兆茹</t>
  </si>
  <si>
    <t>蒙碧佳</t>
  </si>
  <si>
    <t>广东省广州市天河区长湴白沙水路117号</t>
  </si>
  <si>
    <t>广东省广州市天河区柯木朗高塘石三街二巷6号</t>
  </si>
  <si>
    <t>林祺凤</t>
  </si>
  <si>
    <t>毛行敏</t>
  </si>
  <si>
    <t>福建省福州市仓山区花溪南路48号</t>
  </si>
  <si>
    <t>福建省福州市闽侯县南屿镇两园安置房15号楼603</t>
  </si>
  <si>
    <t>林爱</t>
  </si>
  <si>
    <t>贵州省贵阳市南明区花果园金融街E栋38楼1904</t>
  </si>
  <si>
    <t>贵州省贵阳市云岩区宝山北路照壁巷14号1单元601</t>
  </si>
  <si>
    <t>胡宝凌</t>
  </si>
  <si>
    <t>江苏省常州市武进区武宜南路519号</t>
  </si>
  <si>
    <t>江苏省常州市天宁区青龙街道紫云苑20栋302室</t>
  </si>
  <si>
    <t>重庆市重庆市黔江区重庆市黔江区新华大道西段64号</t>
  </si>
  <si>
    <t>重庆市重庆市黔江区重庆市黔江区长征路北段96号</t>
  </si>
  <si>
    <t>侯淑萍</t>
  </si>
  <si>
    <t>内蒙古呼伦贝尔市牙克石市天悦城小区1号楼1-15</t>
  </si>
  <si>
    <t>内蒙古呼伦贝尔市牙克石市民生C小区12B栋2单元203室</t>
  </si>
  <si>
    <t>蒋双新</t>
  </si>
  <si>
    <t>时时</t>
  </si>
  <si>
    <t>苑振国</t>
  </si>
  <si>
    <t>谢富忠</t>
  </si>
  <si>
    <t>李永生</t>
  </si>
  <si>
    <t>李云涛</t>
  </si>
  <si>
    <t>河南省新乡市卫滨区西华大道217号</t>
  </si>
  <si>
    <t>河南省新乡市牧野区商场后街西三巷六号</t>
  </si>
  <si>
    <t>熊立</t>
  </si>
  <si>
    <t>湖北省荆门市掇刀区迎春大道15号</t>
  </si>
  <si>
    <t>湖北省荆门市掇刀区城南新区关帝路89号</t>
  </si>
  <si>
    <t>贾文强</t>
  </si>
  <si>
    <t>山东省潍坊市青州市东京路3988号</t>
  </si>
  <si>
    <t>山东省潍坊市青州市普通社区Ｂ区8号楼3单元202</t>
  </si>
  <si>
    <t>沈军辉</t>
  </si>
  <si>
    <t>周胜男</t>
  </si>
  <si>
    <t>李剑波</t>
  </si>
  <si>
    <t>李春民</t>
  </si>
  <si>
    <t>山东省青岛市李沧区黑龙江中路482弄21号</t>
  </si>
  <si>
    <t>山东省青岛市李沧区江西省乐平市塔前镇戴智坞村76号</t>
  </si>
  <si>
    <t>吕志明</t>
  </si>
  <si>
    <t>安树凯</t>
  </si>
  <si>
    <t>山东省青岛市市北区镇海路27号凯景广场5号楼1309</t>
  </si>
  <si>
    <t>山东省青岛市城阳区双元路卓越蔚蓝群岛212号楼1单元504</t>
  </si>
  <si>
    <t>高开喜</t>
  </si>
  <si>
    <t>郭小琴</t>
  </si>
  <si>
    <t>山西省晋中市寿阳县朝阳街行政大楼</t>
  </si>
  <si>
    <t>山西省晋中市寿阳县北大街董家洼</t>
  </si>
  <si>
    <t>冯学江</t>
  </si>
  <si>
    <t>曾成</t>
  </si>
  <si>
    <t>四川省遂宁市船山区河东新区五彩缤纷路19号</t>
  </si>
  <si>
    <t>四川省遂宁市船山区河沙镇梓桐村3社29号附1号</t>
  </si>
  <si>
    <t>谯欢欢</t>
  </si>
  <si>
    <t>感恩广场</t>
  </si>
  <si>
    <t>山西省运城市盐湖区泓芝驿镇寨头村三组</t>
  </si>
  <si>
    <t>郑细华</t>
  </si>
  <si>
    <t>宋瑞</t>
  </si>
  <si>
    <t>龙希彪</t>
  </si>
  <si>
    <t>何俊龙</t>
  </si>
  <si>
    <t>蒋康</t>
  </si>
  <si>
    <t>于长成</t>
  </si>
  <si>
    <t>王振飞</t>
  </si>
  <si>
    <t>艾涛</t>
  </si>
  <si>
    <t>赖银森</t>
  </si>
  <si>
    <t>吴礼彪</t>
  </si>
  <si>
    <t>王裕香</t>
  </si>
  <si>
    <t>海南省三沙市澄迈县澄迈县福山镇福山咖啡馆</t>
  </si>
  <si>
    <t>海南省三沙市澄迈县澄迈县福山镇福山社区居委会福山圩第四组新集港</t>
  </si>
  <si>
    <t>王孟</t>
  </si>
  <si>
    <t>卢代金</t>
  </si>
  <si>
    <t>广东省深圳市宝安区沙井街道创新路荣泰园B1A栋</t>
  </si>
  <si>
    <t>广东省深圳市宝安区桥头桥南荔丰路东四巷</t>
  </si>
  <si>
    <t>徐宇群</t>
  </si>
  <si>
    <t>丛婕</t>
  </si>
  <si>
    <t>黑龙江省哈尔滨市南岗区金爵万象三期一号楼2111</t>
  </si>
  <si>
    <t>黑龙江省哈尔滨市南岗区壹品新境A栋2515</t>
  </si>
  <si>
    <t>谷耀增</t>
  </si>
  <si>
    <t>山东省潍坊市寿光市圣城街与尧河路交汇处</t>
  </si>
  <si>
    <t>山东省潍坊市寿光市洛城街道谷家齐村183号</t>
  </si>
  <si>
    <t>赵世杰</t>
  </si>
  <si>
    <t>山东省青岛市城阳区流亭街道</t>
  </si>
  <si>
    <t>山东省青岛市城阳区小北曲1区1号楼602</t>
  </si>
  <si>
    <t>辽宁省沈阳市东陵区浑南四路富腾大厦A座</t>
  </si>
  <si>
    <t>辽宁省沈阳市于洪区南阳湖街恒大绿洲124栋楼903室</t>
  </si>
  <si>
    <t>龚超</t>
  </si>
  <si>
    <t>邵细明</t>
  </si>
  <si>
    <t>原乃祺</t>
  </si>
  <si>
    <t>王云生</t>
  </si>
  <si>
    <t>彭飞燕</t>
  </si>
  <si>
    <t>彭瑾</t>
  </si>
  <si>
    <t>朱恺</t>
  </si>
  <si>
    <t>辽宁省沈阳市皇姑区嘉陵江街37号楼</t>
  </si>
  <si>
    <t>辽宁省沈阳市皇姑区嫩江街冠虹家园23号</t>
  </si>
  <si>
    <t>吴言</t>
  </si>
  <si>
    <t>杨爱廷</t>
  </si>
  <si>
    <t>李宪武</t>
  </si>
  <si>
    <t>崔东臣</t>
  </si>
  <si>
    <t>湖南省岳阳市君山区大湾芦苇场洞庭西路洞庭村五队476号</t>
  </si>
  <si>
    <t>湖南省岳阳市岳阳楼区金鄂街道水泥厂新家属区209栋</t>
  </si>
  <si>
    <t>钱利丰</t>
  </si>
  <si>
    <t>彭烈雄</t>
  </si>
  <si>
    <t>福建省厦门市湖里区殿前街道殿前二路1713号</t>
  </si>
  <si>
    <t>福建省厦门市湖里区殿前街道马垅社40号</t>
  </si>
  <si>
    <t>邵伟</t>
  </si>
  <si>
    <t>卢丽清</t>
  </si>
  <si>
    <t>新疆克拉玛依市白碱滩区石化工业园区平安大道666号</t>
  </si>
  <si>
    <t>新疆克拉玛依市克拉玛依区南林小区榆园12栋33号</t>
  </si>
  <si>
    <t>刘佳玲</t>
  </si>
  <si>
    <t>殷少军</t>
  </si>
  <si>
    <t>丘泽宇</t>
  </si>
  <si>
    <t>董安洲</t>
  </si>
  <si>
    <t>樊远成</t>
  </si>
  <si>
    <t>范敬扬</t>
  </si>
  <si>
    <t>李亭</t>
  </si>
  <si>
    <t>何恺</t>
  </si>
  <si>
    <t>柴长友</t>
  </si>
  <si>
    <t>山东省潍坊市高密市柴沟镇商贸街1227号</t>
  </si>
  <si>
    <t>山东省潍坊市高密市柴沟镇南刘家村10号</t>
  </si>
  <si>
    <t>黄义益</t>
  </si>
  <si>
    <t>福建省莆田市仙游县榜头填中校路251号</t>
  </si>
  <si>
    <t>福建省莆田市仙游县榜头中校路166号</t>
  </si>
  <si>
    <t>湖北省神农架潜江市潜江市园林南路27号</t>
  </si>
  <si>
    <t>湖北省神农架潜江市潜江市深河路阳光西苑11栋三单元601</t>
  </si>
  <si>
    <t>冯坚明</t>
  </si>
  <si>
    <t>程超</t>
  </si>
  <si>
    <t>孙环</t>
  </si>
  <si>
    <t>王宏达</t>
  </si>
  <si>
    <t>黑龙江省哈尔滨市呼兰区利民大道555号</t>
  </si>
  <si>
    <t>黑龙江省哈尔滨市呼兰区呼兰镇富强村五队</t>
  </si>
  <si>
    <t>陈芋汛</t>
  </si>
  <si>
    <t>贾林萍</t>
  </si>
  <si>
    <t>王小阳</t>
  </si>
  <si>
    <t>江苏省无锡市江阴市华士镇穿山路112号</t>
  </si>
  <si>
    <t>江苏省无锡市江阴市华士镇金茂花园12幢1403号</t>
  </si>
  <si>
    <t>孙立华</t>
  </si>
  <si>
    <t>董风</t>
  </si>
  <si>
    <t>湖北省襄阳市谷城县火车站附近的加油站</t>
  </si>
  <si>
    <t>湖北省襄阳市谷城县城关镇城垣路1号</t>
  </si>
  <si>
    <t>马丽娜</t>
  </si>
  <si>
    <t>焦亚龙</t>
  </si>
  <si>
    <t>董欣萍</t>
  </si>
  <si>
    <t>卢锦昌</t>
  </si>
  <si>
    <t>刘清武</t>
  </si>
  <si>
    <t>陈圆</t>
  </si>
  <si>
    <t>河南省南阳市宛城区长江路邮政大楼六楼</t>
  </si>
  <si>
    <t>河南省南阳市宛城区白河镇大梁庄村384号</t>
  </si>
  <si>
    <t>郑联源</t>
  </si>
  <si>
    <t>辽宁省沈阳市和平区夹河路7-11号</t>
  </si>
  <si>
    <t>辽宁省沈阳市和平区浑河站西街前鲜小区二号楼一单元603</t>
  </si>
  <si>
    <t>陕西省延安市黄陵县店头镇中心街博艺幼儿园</t>
  </si>
  <si>
    <t>陕西省延安市黄陵县店头镇中心街寺湾小区</t>
  </si>
  <si>
    <t>刘雲</t>
  </si>
  <si>
    <t>任晓峰</t>
  </si>
  <si>
    <t>郑言言</t>
  </si>
  <si>
    <t>涂俊琦</t>
  </si>
  <si>
    <t>张智海</t>
  </si>
  <si>
    <t>福建省三明市永安市尼葛开发区1029号</t>
  </si>
  <si>
    <t>福建省三明市永安市西洋镇蚌口村42号</t>
  </si>
  <si>
    <t>王宝瑜</t>
  </si>
  <si>
    <t>方哲文</t>
  </si>
  <si>
    <t>浙江省宁波市鄞州区鄞县大道东段888号</t>
  </si>
  <si>
    <t>浙江省杭州市下城区漾河公寓3幢1单元102室</t>
  </si>
  <si>
    <t>肖云吉</t>
  </si>
  <si>
    <t>重庆市重庆市綦江区三江街道雷园路西50米</t>
  </si>
  <si>
    <t>重庆市重庆市綦江区三江街道四钢钢锋小区13栋4单元5-2</t>
  </si>
  <si>
    <t>王佃伟</t>
  </si>
  <si>
    <t>曾令得</t>
  </si>
  <si>
    <t>慕容建豪</t>
  </si>
  <si>
    <t>曾榆涵</t>
  </si>
  <si>
    <t>四川省乐山市市中区柏杨东路85号</t>
  </si>
  <si>
    <t>四川省乐山市市中区王浩儿街225号金江苑小区</t>
  </si>
  <si>
    <t>黑龙江省哈尔滨市平房区青岛路2号</t>
  </si>
  <si>
    <t>黑龙江省哈尔滨市道里区黑龙江哈尔滨道里区红专街114号2号楼3单元202室</t>
  </si>
  <si>
    <t>陈建帮</t>
  </si>
  <si>
    <t>韩斌斌</t>
  </si>
  <si>
    <t>钟洪超</t>
  </si>
  <si>
    <t>闵建波</t>
  </si>
  <si>
    <t>广东省深圳市南山区西丽镇牛成村150栋</t>
  </si>
  <si>
    <t>广东省深圳市南山区西丽镇牛成村154栋102</t>
  </si>
  <si>
    <t>殷红鸽</t>
  </si>
  <si>
    <t>周前洪</t>
  </si>
  <si>
    <t>张远航</t>
  </si>
  <si>
    <t>陶涛</t>
  </si>
  <si>
    <t>康林</t>
  </si>
  <si>
    <t>山西省晋中市介休市义安镇礼世村东</t>
  </si>
  <si>
    <t>山西省晋中市介休市三佳乡西宋丁村康和苑小区7号楼3单元302室</t>
  </si>
  <si>
    <t>重庆市重庆市合川区南津街499号文悦酒店B座8楼十一部</t>
  </si>
  <si>
    <t>重庆市重庆市大渡口区塔坪91号5-2</t>
  </si>
  <si>
    <t>刘成文</t>
  </si>
  <si>
    <t>广西防城港市上思县中华路明江市场</t>
  </si>
  <si>
    <t>广西防城港市上思县城南风凰西一巷</t>
  </si>
  <si>
    <t>翟昕宇</t>
  </si>
  <si>
    <t>鲁毅</t>
  </si>
  <si>
    <t>邱建文</t>
  </si>
  <si>
    <t>广西南宁市良庆区良庆区星光大道136号</t>
  </si>
  <si>
    <t>广西南宁市良庆区恒大名都5栋1单元1202</t>
  </si>
  <si>
    <t>雷飞</t>
  </si>
  <si>
    <t>董成涛</t>
  </si>
  <si>
    <t>纪博元</t>
  </si>
  <si>
    <t>康瑞</t>
  </si>
  <si>
    <t>苏俊霖</t>
  </si>
  <si>
    <t>广东省肇庆市高要市肇庆市高要区南岸江南名庭B幢首层23号</t>
  </si>
  <si>
    <t>戴永生</t>
  </si>
  <si>
    <t>贾红英</t>
  </si>
  <si>
    <t>杨军鹏</t>
  </si>
  <si>
    <t>陕西省渭南市韩城市龙门镇工业园区</t>
  </si>
  <si>
    <t>陕西省渭南市韩城市世纪花园小区五号楼西单元五楼西户</t>
  </si>
  <si>
    <t>路国栋</t>
  </si>
  <si>
    <t>王梦语</t>
  </si>
  <si>
    <t>谢兵</t>
  </si>
  <si>
    <t>吴立旭</t>
  </si>
  <si>
    <t>汤超</t>
  </si>
  <si>
    <t>沈水清</t>
  </si>
  <si>
    <t>董春芳</t>
  </si>
  <si>
    <t>谢效奇</t>
  </si>
  <si>
    <t>江涛</t>
  </si>
  <si>
    <t>董明</t>
  </si>
  <si>
    <t>周劼</t>
  </si>
  <si>
    <t>韩容容</t>
  </si>
  <si>
    <t>贺明</t>
  </si>
  <si>
    <t>福建省福州市台江区鳌峰街道武夷绿洲20栋1号店</t>
  </si>
  <si>
    <t>福建省福州市台江区鳌峰街道武夷绿洲16栋302</t>
  </si>
  <si>
    <t>周再华</t>
  </si>
  <si>
    <t>四川省成都市金牛区两河西四路55号</t>
  </si>
  <si>
    <t>四川省成都市金牛区金科苑小区4区5栋3单元9号</t>
  </si>
  <si>
    <t>林恩玉</t>
  </si>
  <si>
    <t>张剑</t>
  </si>
  <si>
    <t>重庆市重庆市沙坪坝区重庆市沙坪坝区沙正街174号</t>
  </si>
  <si>
    <t>重庆市重庆市沙坪坝区重庆市沙坪坝区柏树林66号附1号18-1</t>
  </si>
  <si>
    <t>蔡晓雪</t>
  </si>
  <si>
    <t>李慧祖</t>
  </si>
  <si>
    <t>张佳妮</t>
  </si>
  <si>
    <t>龙红霞</t>
  </si>
  <si>
    <t>钱思宁</t>
  </si>
  <si>
    <t>辽宁省大连市甘井子区促进路166号瑞家地产</t>
  </si>
  <si>
    <t>辽宁省大连市中山区金地艺境三期34号楼一单元2001</t>
  </si>
  <si>
    <t>岳洋</t>
  </si>
  <si>
    <t>高扬康</t>
  </si>
  <si>
    <t>任梦娟</t>
  </si>
  <si>
    <t>陈钰对</t>
  </si>
  <si>
    <t>福建省宁德市周宁县双城镇上桥路88号</t>
  </si>
  <si>
    <t>福建省宁德市柘荣县双城镇观里116号</t>
  </si>
  <si>
    <t>张武亭</t>
  </si>
  <si>
    <t>孔德赫</t>
  </si>
  <si>
    <t>黄云娇</t>
  </si>
  <si>
    <t>辽宁省沈阳市铁西区经济技术开发区十三号</t>
  </si>
  <si>
    <t>辽宁省沈阳市沈河区奉天街271号6-3-1</t>
  </si>
  <si>
    <t>叶凯园</t>
  </si>
  <si>
    <t>毕赢</t>
  </si>
  <si>
    <t>辽宁省沈阳市和平区南京北街155号</t>
  </si>
  <si>
    <t>辽宁省沈阳市和平区兰州北街28-2号1-17-2</t>
  </si>
  <si>
    <t>方冬冬</t>
  </si>
  <si>
    <t>杨远强</t>
  </si>
  <si>
    <t>广东省广州市天河区中山大道中盈珠机械市场B8-9号</t>
  </si>
  <si>
    <t>广东省广州市黄埔区黄埔区大沙地东183号远洋大院10号楼202</t>
  </si>
  <si>
    <t>罗春艳</t>
  </si>
  <si>
    <t>赖阳雯</t>
  </si>
  <si>
    <t>周玉英</t>
  </si>
  <si>
    <t>广东省广州市增城市新塘镇大敦大道155号</t>
  </si>
  <si>
    <t>广东省广州市增城市新塘镇大敦村同德路16号</t>
  </si>
  <si>
    <t>邹继全</t>
  </si>
  <si>
    <t>查凡</t>
  </si>
  <si>
    <t>云南省曲靖市麒麟区南海子工业园</t>
  </si>
  <si>
    <t>云南省曲靖市麒麟区瑞和西路恒大名都100幢1203室</t>
  </si>
  <si>
    <t>阎兴钦</t>
  </si>
  <si>
    <t>河北省张家口市桥东区胜利南路12号</t>
  </si>
  <si>
    <t>河北省张家口市万全县永盛小区四单元502</t>
  </si>
  <si>
    <t>马蒙蒙</t>
  </si>
  <si>
    <t>河北省廊坊市广阳区新世界写字楼B座1516</t>
  </si>
  <si>
    <t>河北省廊坊市安次区大拇指广场3-501</t>
  </si>
  <si>
    <t>莫一民</t>
  </si>
  <si>
    <t>韩娇</t>
  </si>
  <si>
    <t>北京市北京市东城区高碑店</t>
  </si>
  <si>
    <t>河北省廊坊市三河市燕郊经济技术开发区迎宾北路四十五号</t>
  </si>
  <si>
    <t>黄畅明</t>
  </si>
  <si>
    <t>张其安</t>
  </si>
  <si>
    <t>广东省广州市天河区广州大道中900号201</t>
  </si>
  <si>
    <t>广东省广州市天河区平川路613号裕景大厦2座15K</t>
  </si>
  <si>
    <t>许中春</t>
  </si>
  <si>
    <t>党祖铭</t>
  </si>
  <si>
    <t>贵州省贵阳市云岩区花果园国际中心一号楼</t>
  </si>
  <si>
    <t>贵州省贵阳市云岩区蔡关路一号</t>
  </si>
  <si>
    <t>吕丞蛟</t>
  </si>
  <si>
    <t>蒋文聪</t>
  </si>
  <si>
    <t>郭晟昆</t>
  </si>
  <si>
    <t>广州市番禺区大石镇迎宾路202号</t>
  </si>
  <si>
    <t>广东省广州市番禺区大石镇迎宾路东海花园5座209</t>
  </si>
  <si>
    <t>常彬</t>
  </si>
  <si>
    <t>林少华</t>
  </si>
  <si>
    <t>广东省广州市荔湾区中山大道西140号华港商务大厦东塔11楼</t>
  </si>
  <si>
    <t>广东省广州市天河区中山大道西东方一路华港花园东街6号2702房</t>
  </si>
  <si>
    <t>李陈晨</t>
  </si>
  <si>
    <t>丁金海</t>
  </si>
  <si>
    <t>江苏省扬州市广陵区信息服务产业基地沙湾路13号</t>
  </si>
  <si>
    <t>江苏省扬州市广陵区解放北路97号万颐苑小区3-205</t>
  </si>
  <si>
    <t>郑志芳</t>
  </si>
  <si>
    <t>董建能</t>
  </si>
  <si>
    <t>吴昊明</t>
  </si>
  <si>
    <t>陈荣芳</t>
  </si>
  <si>
    <t>王学峰</t>
  </si>
  <si>
    <t>黑龙江省哈尔滨市道里区迎宾路集中区青山路17号</t>
  </si>
  <si>
    <t>黑龙江省哈尔滨市道里区清河湾小区6栋一单元602</t>
  </si>
  <si>
    <t>蒋申花</t>
  </si>
  <si>
    <t>王源圳</t>
  </si>
  <si>
    <t>浙江省杭州市萧山区萧山国际机场五号路长龙航空办公大楼</t>
  </si>
  <si>
    <t>浙江省杭州市萧山区靖江路618号德意空港国际7栋2单元1302</t>
  </si>
  <si>
    <t>陈喜</t>
  </si>
  <si>
    <t>杨小燕</t>
  </si>
  <si>
    <t>重庆市重庆市南岸区亚太商谷7栋17-19</t>
  </si>
  <si>
    <t>重庆市重庆市巴南区旭辉城4栋14-1</t>
  </si>
  <si>
    <t>覃春豆</t>
  </si>
  <si>
    <t>冯巍</t>
  </si>
  <si>
    <t>陕西省西安市雁塔区西安市雁塔区南二环西段100号</t>
  </si>
  <si>
    <t>陕西省西安市雁塔区鱼化寨鱼化街15号</t>
  </si>
  <si>
    <t>胡善才</t>
  </si>
  <si>
    <t>广东省广州市天河区广州市天河区天河南二路31号</t>
  </si>
  <si>
    <t>广东省广州市海珠区广州市海珠区北山村桥头大街24号</t>
  </si>
  <si>
    <t>俞玲茹</t>
  </si>
  <si>
    <t>陈千华</t>
  </si>
  <si>
    <t>曾勇勇</t>
  </si>
  <si>
    <t>杨海林</t>
  </si>
  <si>
    <t>洪建国</t>
  </si>
  <si>
    <t>赵明杰</t>
  </si>
  <si>
    <t>卢汉豪</t>
  </si>
  <si>
    <t>广东省佛山市顺德区容桂海尾汇华路13号</t>
  </si>
  <si>
    <t>广东省佛山市顺德区容桂汇华路13号</t>
  </si>
  <si>
    <t>马杨</t>
  </si>
  <si>
    <t>熊浩</t>
  </si>
  <si>
    <t>陈高淦</t>
  </si>
  <si>
    <t>骆明</t>
  </si>
  <si>
    <t>上海市上海市宝山区友谊西路钢领2号楼401</t>
  </si>
  <si>
    <t>上海市上海市闸北区闻喜路1110弄19号202室</t>
  </si>
  <si>
    <t>黄新钟</t>
  </si>
  <si>
    <t>纪来佳</t>
  </si>
  <si>
    <t>黑龙江省七台河市新兴区新源双叶一号大道五号门88</t>
  </si>
  <si>
    <t>黑龙江省七台河市新兴区北岸新城99号楼三单元301室</t>
  </si>
  <si>
    <t>朱念</t>
  </si>
  <si>
    <t>冯显豪</t>
  </si>
  <si>
    <t>海南省三沙市琼海市金海路109号</t>
  </si>
  <si>
    <t>海南省三沙市五指山市长坡镇陈村村委会陈村村7号</t>
  </si>
  <si>
    <t>田金</t>
  </si>
  <si>
    <t>黄雪莹</t>
  </si>
  <si>
    <t>孙晓玮</t>
  </si>
  <si>
    <t>梁凯</t>
  </si>
  <si>
    <t>苏享</t>
  </si>
  <si>
    <t>胡春玉</t>
  </si>
  <si>
    <t>江苏省无锡市锡山区新吴区星洲电子商务园10栋505</t>
  </si>
  <si>
    <t>江苏省无锡市锡山区新吴区春雷嘉苑35栋601</t>
  </si>
  <si>
    <t>高泽然</t>
  </si>
  <si>
    <t>李玲哲</t>
  </si>
  <si>
    <t>薛甜甜</t>
  </si>
  <si>
    <t>王其威</t>
  </si>
  <si>
    <t>李冰梅</t>
  </si>
  <si>
    <t>胡新强</t>
  </si>
  <si>
    <t>浙江省湖州市吴兴区织里镇为民路159号</t>
  </si>
  <si>
    <t>浙江省湖州市吴兴区织里镇爱家皇家花园24栋一单元805室</t>
  </si>
  <si>
    <t>殷伟伦</t>
  </si>
  <si>
    <t>聂流昌</t>
  </si>
  <si>
    <t>朱成涛</t>
  </si>
  <si>
    <t>安徽省淮北市杜集区矿山集镇龙湖开发区</t>
  </si>
  <si>
    <t>安徽省淮北市杜集区矿山集镇徐庄行政村后徐组12号</t>
  </si>
  <si>
    <t>闫赫</t>
  </si>
  <si>
    <t>黑龙江省牡丹江市西安区西安区，平安街110号</t>
  </si>
  <si>
    <t>黑龙江省牡丹江市爱民区山河铭家6号楼6单元702</t>
  </si>
  <si>
    <t>朱浩亮</t>
  </si>
  <si>
    <t>吴美玲</t>
  </si>
  <si>
    <t>广东省韶关市浈江区广东省韶关市浈江区东河路东河职工新村18栋</t>
  </si>
  <si>
    <t>广东省韶关市浈江区广东省韶关市浈江区车站街道北江路16栋</t>
  </si>
  <si>
    <t>张剑丽</t>
  </si>
  <si>
    <t>杜垒</t>
  </si>
  <si>
    <t>陆志豪</t>
  </si>
  <si>
    <t>江苏省无锡市宜兴市经济开发区文庄路20号</t>
  </si>
  <si>
    <t>江苏省无锡市宜兴市官林镇都山六村33栋501</t>
  </si>
  <si>
    <t>吴智勇</t>
  </si>
  <si>
    <t>福建省莆田市仙游县大济坑北后张29号</t>
  </si>
  <si>
    <t>福建省莆田市仙游县解放东路263号</t>
  </si>
  <si>
    <t>陕西省西安市莲湖区玉祥门地铁A口蔚蓝国际A座16楼</t>
  </si>
  <si>
    <t>陕西省西安市未央区凤城南路炕底寨小区2001室</t>
  </si>
  <si>
    <t>杨永国</t>
  </si>
  <si>
    <t>阳凯</t>
  </si>
  <si>
    <t>云南省昆明市五华区青年路志远大厦10楼</t>
  </si>
  <si>
    <t>云南省昆明市五华区昌源中路中天阳光小区1栋709</t>
  </si>
  <si>
    <t>蔡旖璇</t>
  </si>
  <si>
    <t>杨星明</t>
  </si>
  <si>
    <t>敖雪松</t>
  </si>
  <si>
    <t>杨宁壁</t>
  </si>
  <si>
    <t>申云</t>
  </si>
  <si>
    <t>刘冰冰</t>
  </si>
  <si>
    <t>秦严</t>
  </si>
  <si>
    <t>河南省南阳市内乡县城关镇大成路1号</t>
  </si>
  <si>
    <t>河南省南阳市内乡县城关镇丽都花园28号楼1202</t>
  </si>
  <si>
    <t>党柱</t>
  </si>
  <si>
    <t>郭克忠</t>
  </si>
  <si>
    <t>张香君</t>
  </si>
  <si>
    <t>左永锋</t>
  </si>
  <si>
    <t>康海涛</t>
  </si>
  <si>
    <t>何成杰</t>
  </si>
  <si>
    <t>郑智仁</t>
  </si>
  <si>
    <t>董新知</t>
  </si>
  <si>
    <t>汪小梅</t>
  </si>
  <si>
    <t>边世伟</t>
  </si>
  <si>
    <t>林作庆</t>
  </si>
  <si>
    <t>卢琨</t>
  </si>
  <si>
    <t>河南省洛阳市涧西区河南省洛阳市涧西区华夏路9号</t>
  </si>
  <si>
    <t>河南省洛阳市涧西区河南省洛阳涧西区丰华路顺河湾小区</t>
  </si>
  <si>
    <t>徐艳飞</t>
  </si>
  <si>
    <t>戴文佳</t>
  </si>
  <si>
    <t>湖南省长沙市开福区洞阳镇康宁路385号</t>
  </si>
  <si>
    <t>福建省莆田市城厢区湖南省浏阳市洞阳镇康宁路</t>
  </si>
  <si>
    <t>王建骑</t>
  </si>
  <si>
    <t>巫小芳</t>
  </si>
  <si>
    <t>诸伟平</t>
  </si>
  <si>
    <t>王国威</t>
  </si>
  <si>
    <t>惠祥霈</t>
  </si>
  <si>
    <t>江苏省连云港市灌南县新安镇人民东路157号</t>
  </si>
  <si>
    <t>江苏省连云港市灌南县新安镇镇中西路</t>
  </si>
  <si>
    <t>王培付</t>
  </si>
  <si>
    <t>孙颜</t>
  </si>
  <si>
    <t>辽宁省丹东市宽甸满族自治县宽甸镇南环东路41号</t>
  </si>
  <si>
    <t>辽宁省丹东市宽甸满族自治县宽甸镇阳光金地园15号楼一单元601室</t>
  </si>
  <si>
    <t>陈智华</t>
  </si>
  <si>
    <t>浙江省金华市义乌市义乌市苏溪镇长付路93号</t>
  </si>
  <si>
    <t>浙江省金华市义乌市苏溪镇杨梅岗小区12号</t>
  </si>
  <si>
    <t>庞福高</t>
  </si>
  <si>
    <t>陈廷锋</t>
  </si>
  <si>
    <t>李焕杰</t>
  </si>
  <si>
    <t>吕树杰</t>
  </si>
  <si>
    <t>郭斌</t>
  </si>
  <si>
    <t>张焕文</t>
  </si>
  <si>
    <t>徐文建</t>
  </si>
  <si>
    <t>陈美玲</t>
  </si>
  <si>
    <t>盖宇</t>
  </si>
  <si>
    <t>黑龙江省哈尔滨市松北区松北大道245号</t>
  </si>
  <si>
    <t>黑龙江省哈尔滨市道里区群力第五大道恒祥空间10号楼三单元2702</t>
  </si>
  <si>
    <t>杨燕菁</t>
  </si>
  <si>
    <t>陈炜雄</t>
  </si>
  <si>
    <t>姜斌</t>
  </si>
  <si>
    <t>李英</t>
  </si>
  <si>
    <t>秦科</t>
  </si>
  <si>
    <t>江苏省苏州市张家港市杨舍镇经济开发区勤星路1号</t>
  </si>
  <si>
    <t>江苏省苏州市张家港市凤凰镇安庆花苑16幢401</t>
  </si>
  <si>
    <t>黄文芳</t>
  </si>
  <si>
    <t>石竹</t>
  </si>
  <si>
    <t>周余</t>
  </si>
  <si>
    <t>刘星宇</t>
  </si>
  <si>
    <t>朱志伟</t>
  </si>
  <si>
    <t>云孝政</t>
  </si>
  <si>
    <t>林季军</t>
  </si>
  <si>
    <t>福建省泉州市晋江市陈埭镇洋埭村</t>
  </si>
  <si>
    <t>福建省泉州市晋江市陈埭镇洋埭村中兴路89号陈埭镇洋埭村中兴路89号</t>
  </si>
  <si>
    <t>杨巍</t>
  </si>
  <si>
    <t>龚运高</t>
  </si>
  <si>
    <t>席晓光</t>
  </si>
  <si>
    <t>包亚昭</t>
  </si>
  <si>
    <t>赵春雪</t>
  </si>
  <si>
    <t>沙海艳</t>
  </si>
  <si>
    <t>龚贞</t>
  </si>
  <si>
    <t>湖北省荆州市荆州区荆州区汉宜公路256公里</t>
  </si>
  <si>
    <t>湖北省荆州市荆州区荆州市川店镇三界村七组</t>
  </si>
  <si>
    <t>钱号</t>
  </si>
  <si>
    <t>于洪国</t>
  </si>
  <si>
    <t>费晶</t>
  </si>
  <si>
    <t>苏万胜</t>
  </si>
  <si>
    <t>毕可心</t>
  </si>
  <si>
    <t>陶展宏</t>
  </si>
  <si>
    <t>浙江省丽水市缙云县新建镇新南街</t>
  </si>
  <si>
    <t>浙江省丽水市缙云县新建镇溪东村双港桥92号</t>
  </si>
  <si>
    <t>龙美玲</t>
  </si>
  <si>
    <t>黄卫贤</t>
  </si>
  <si>
    <t>谢太全</t>
  </si>
  <si>
    <t>范秋兰</t>
  </si>
  <si>
    <t>宋刘扬</t>
  </si>
  <si>
    <t>河南省郑州市金水区丰产路搜狐世纪城西塔1601室</t>
  </si>
  <si>
    <t>河南省周口市淮阳县刘振屯乡宋庄018号</t>
  </si>
  <si>
    <t>郭玉晶</t>
  </si>
  <si>
    <t>黎国军</t>
  </si>
  <si>
    <t>广东省清远市清城区长安厦边大街380号:</t>
  </si>
  <si>
    <t>广东省清远市清城区长安厦边沿河路48号</t>
  </si>
  <si>
    <t>孟希河</t>
  </si>
  <si>
    <t>河南省南阳市邓州市文化路时代广场北50米</t>
  </si>
  <si>
    <t>河南省南阳市邓州市河南省南阳市邓州市工业路惠恩小区1号楼605室</t>
  </si>
  <si>
    <t>张希哲</t>
  </si>
  <si>
    <t>赵明明</t>
  </si>
  <si>
    <t>陕西省西安市未央区元朔路35号1203</t>
  </si>
  <si>
    <t>陕西省西安市未央区建元路长乐东苑D区7号楼B单元903</t>
  </si>
  <si>
    <t>潘加刚</t>
  </si>
  <si>
    <t>农志华</t>
  </si>
  <si>
    <t>东莞市虎门镇小捷滘捷东南路19号</t>
  </si>
  <si>
    <t>漆峰</t>
  </si>
  <si>
    <t>四川省成都市郫县西区大道西部园区461</t>
  </si>
  <si>
    <t>四川省成都市金牛区西华大道府河星城81栋1406</t>
  </si>
  <si>
    <t>卢孔笔</t>
  </si>
  <si>
    <t>福建省宁德市福鼎市秦屿镇柏洋村永和苑</t>
  </si>
  <si>
    <t>福建省宁德市福安市铂金华城四期五栋406</t>
  </si>
  <si>
    <t>李强勇</t>
  </si>
  <si>
    <t>浙江省温州市瓯海区浙江省温州市瓯海区巨溪镇巨任路10号</t>
  </si>
  <si>
    <t>浙江省温州市瓯海区湖北省宜城市刘猴镇邓冲村五组</t>
  </si>
  <si>
    <t>宋明声</t>
  </si>
  <si>
    <t>曹姣</t>
  </si>
  <si>
    <t>钟文鹏</t>
  </si>
  <si>
    <t>马利亚</t>
  </si>
  <si>
    <t>广东省深圳市宝安区西乡街道固戍社区航空路与顺昌路交汇处泰华梧桐岛15栋</t>
  </si>
  <si>
    <t>广东省深圳市宝安区沙井街道马安山鞍山四路22号105</t>
  </si>
  <si>
    <t>龙慧婷</t>
  </si>
  <si>
    <t>广东省广州市荔湾区广州市从化区太平镇广从南路18号</t>
  </si>
  <si>
    <t>广东省广州市萝岗区广州市从化区江埔街河东南路51号</t>
  </si>
  <si>
    <t>代喻兵</t>
  </si>
  <si>
    <t>王正岩</t>
  </si>
  <si>
    <t>徐卓</t>
  </si>
  <si>
    <t>湖北省黄石市西塞山区花园路21号</t>
  </si>
  <si>
    <t>湖北省黄石市大冶市大冶大道128号</t>
  </si>
  <si>
    <t>朱瑛瑛</t>
  </si>
  <si>
    <t>杨颖</t>
  </si>
  <si>
    <t>姚丹</t>
  </si>
  <si>
    <t>邓楚军</t>
  </si>
  <si>
    <t>李嫚</t>
  </si>
  <si>
    <t>旷江林</t>
  </si>
  <si>
    <t>邹洪龙</t>
  </si>
  <si>
    <t>梁婵</t>
  </si>
  <si>
    <t>马志林</t>
  </si>
  <si>
    <t>云南省红河哈尼族彝族自治州个旧市宝华门41号</t>
  </si>
  <si>
    <t>云南省红河哈尼族彝族自治州个旧市桃家巷3幢601号</t>
  </si>
  <si>
    <t>翟祎茗</t>
  </si>
  <si>
    <t>徐培丽</t>
  </si>
  <si>
    <t>郭晓彤</t>
  </si>
  <si>
    <t>陈红亮</t>
  </si>
  <si>
    <t>广东省深圳市福田区深圳市福田区振华路122海外装饰大厦</t>
  </si>
  <si>
    <t>广东省深圳市宝安区深圳市龙华新区观澜新塘柏荣工业区</t>
  </si>
  <si>
    <t>余晓胜</t>
  </si>
  <si>
    <t>温伟锋</t>
  </si>
  <si>
    <t>蓝耿林</t>
  </si>
  <si>
    <t>梁湘松</t>
  </si>
  <si>
    <t>黄广标</t>
  </si>
  <si>
    <t>管乐鸿</t>
  </si>
  <si>
    <t>赵家福</t>
  </si>
  <si>
    <t>黎磊</t>
  </si>
  <si>
    <t>柴青南</t>
  </si>
  <si>
    <t>李光华</t>
  </si>
  <si>
    <t>杨双双</t>
  </si>
  <si>
    <t>吴长春</t>
  </si>
  <si>
    <t>丁泽明</t>
  </si>
  <si>
    <t>浙江省台州市仙居县晨曦路80号</t>
  </si>
  <si>
    <t>浙江省台州市仙居县省耕路36号</t>
  </si>
  <si>
    <t>李绍军</t>
  </si>
  <si>
    <t>黄林杰</t>
  </si>
  <si>
    <t>孙婷</t>
  </si>
  <si>
    <t>陈志吉</t>
  </si>
  <si>
    <t>李小军</t>
  </si>
  <si>
    <t>广东省珠海市香洲区三灶科技园机场西路693号</t>
  </si>
  <si>
    <t>广东省珠海市金湾区三灶镇伟明路75号</t>
  </si>
  <si>
    <t>孔繁义</t>
  </si>
  <si>
    <t>陈琼红</t>
  </si>
  <si>
    <t>廖柳兰</t>
  </si>
  <si>
    <t>冶买亥</t>
  </si>
  <si>
    <t>左晓峰</t>
  </si>
  <si>
    <t>河北省邯郸市武安市武安市固镇村东北角</t>
  </si>
  <si>
    <t>河北省邯郸市武安市武安市徘徊镇徘徊村440</t>
  </si>
  <si>
    <t>孟凡宇</t>
  </si>
  <si>
    <t>任涛涛</t>
  </si>
  <si>
    <t>山西省长治市沁县沁县松村乡五科村任家凹</t>
  </si>
  <si>
    <t>山西省长治市沁县沁县松村乡五科村021号</t>
  </si>
  <si>
    <t>马方伟</t>
  </si>
  <si>
    <t>卢二雷</t>
  </si>
  <si>
    <t>张俊超</t>
  </si>
  <si>
    <t>李樟林</t>
  </si>
  <si>
    <t>广东省揭阳市榕城区梅云镇新乡村工业区</t>
  </si>
  <si>
    <t>广东省揭阳市榕城区梅云镇新乡村赤水四号</t>
  </si>
  <si>
    <t>任峰</t>
  </si>
  <si>
    <t>秦璐</t>
  </si>
  <si>
    <t>侯国平</t>
  </si>
  <si>
    <t>卢坤</t>
  </si>
  <si>
    <t>梁伟明</t>
  </si>
  <si>
    <t>广东省佛山市顺德区大良滨河路八街二号</t>
  </si>
  <si>
    <t>广东省佛山市顺德区容桂街道长业路直街一巷7号</t>
  </si>
  <si>
    <t>邹佳明</t>
  </si>
  <si>
    <t>广东省深圳市罗湖区南湖街道深南大道鸿昌广场2001号</t>
  </si>
  <si>
    <t>广东省深圳市罗湖区东门街道湖贝旧村北坊3号505</t>
  </si>
  <si>
    <t>孔令燕</t>
  </si>
  <si>
    <t>山东省潍坊市诸城市人民路与西关大街交界处南</t>
  </si>
  <si>
    <t>山东省潍坊市诸城市和平街时尚巴黎ds1706</t>
  </si>
  <si>
    <t>刘孝成</t>
  </si>
  <si>
    <t>商旭</t>
  </si>
  <si>
    <t>四川省眉山市东坡区眉山市东坡区眉州大道西五段</t>
  </si>
  <si>
    <t>四川省眉山市东坡区眉山市东坡区苏祠街道商业东街127号</t>
  </si>
  <si>
    <t>谭严</t>
  </si>
  <si>
    <t>纪海英</t>
  </si>
  <si>
    <t>黑龙江省黑河市爱辉区宏志街11号</t>
  </si>
  <si>
    <t>黑龙江省黑河市爱辉区中房94号楼二单元601</t>
  </si>
  <si>
    <t>徐侃</t>
  </si>
  <si>
    <t>李业加</t>
  </si>
  <si>
    <t>湖南省长沙市浏阳市鼎丰家居建材城9栋101-104号</t>
  </si>
  <si>
    <t>湖南省长沙市浏阳市大围山镇泥坞村枧坑组044号</t>
  </si>
  <si>
    <t>张张</t>
  </si>
  <si>
    <t>江源</t>
  </si>
  <si>
    <t>浙江省杭州市上城区清泰街金泰商务大厦</t>
  </si>
  <si>
    <t>浙江省台州市椒江区马庄小区135栋</t>
  </si>
  <si>
    <t>毛远举</t>
  </si>
  <si>
    <t>王香</t>
  </si>
  <si>
    <t>江苏省南通市通州区通杨南路79号</t>
  </si>
  <si>
    <t>江苏省南通市通州区平东镇甸北村十六组101号</t>
  </si>
  <si>
    <t>刘少锋</t>
  </si>
  <si>
    <t>河南省郑州市中牟县河南省郑州市中牟县三官庙乡地税所院内</t>
  </si>
  <si>
    <t>河南省郑州市中牟县三官庙乡三官庙村</t>
  </si>
  <si>
    <t>刘言</t>
  </si>
  <si>
    <t>湖北省襄阳市樊城区大庆西路襄阳花园写字楼7楼</t>
  </si>
  <si>
    <t>湖北省襄阳市樊城区交通路居委会八组</t>
  </si>
  <si>
    <t>陶亚楠</t>
  </si>
  <si>
    <t>丁环宇</t>
  </si>
  <si>
    <t>贺百顺</t>
  </si>
  <si>
    <t>黄冬招</t>
  </si>
  <si>
    <t>刘荣泵</t>
  </si>
  <si>
    <t>赵红星</t>
  </si>
  <si>
    <t>孟德伟</t>
  </si>
  <si>
    <t>河北省唐山市曹妃甸区尖坨子光明路与希望道交叉路口西行150米</t>
  </si>
  <si>
    <t>河北省唐山市曹妃甸区唐海县香题西岸1号楼三单元1302</t>
  </si>
  <si>
    <t>甘肃省定西市安定区永定西路大川地宾馆二楼</t>
  </si>
  <si>
    <t>甘肃省定西市安定区永定西路军鑫山庄二楼201室</t>
  </si>
  <si>
    <t>方勇</t>
  </si>
  <si>
    <t>杨坤贤</t>
  </si>
  <si>
    <t>四川省成都市青羊区宽窄巷子街道26号附2号</t>
  </si>
  <si>
    <t>四川省南充市顺庆区外小北街凯旋帝景一单元209</t>
  </si>
  <si>
    <t>严河清</t>
  </si>
  <si>
    <t>薛余</t>
  </si>
  <si>
    <t>李念香</t>
  </si>
  <si>
    <t>王艳贵</t>
  </si>
  <si>
    <t>钱斌</t>
  </si>
  <si>
    <t>山东省济南市天桥区无影山中路130号</t>
  </si>
  <si>
    <t>山东省济南市槐荫区小清河北路美里新居一区七号楼三单元</t>
  </si>
  <si>
    <t>崔红伟</t>
  </si>
  <si>
    <t>陈立民</t>
  </si>
  <si>
    <t>魏来</t>
  </si>
  <si>
    <t>山东省青岛市李沧区城阳区王沙路</t>
  </si>
  <si>
    <t>山东省青岛市李沧区金水路金秋小区2期11号1单元502</t>
  </si>
  <si>
    <t>张星辉</t>
  </si>
  <si>
    <t>江苏省常州市武进区江苏省常州市武进区武进大道常漕路3号</t>
  </si>
  <si>
    <t>江苏省常州市武进区东环路马池沟3号</t>
  </si>
  <si>
    <t>韩文</t>
  </si>
  <si>
    <t>徐任碧</t>
  </si>
  <si>
    <t>湖南省永州市道县潇水中路108号</t>
  </si>
  <si>
    <t>湖南省永州市道县道州中路石山丘北巷15号</t>
  </si>
  <si>
    <t>谢生虎</t>
  </si>
  <si>
    <t>邢小小</t>
  </si>
  <si>
    <t>翟鹏飞</t>
  </si>
  <si>
    <t>金红胜</t>
  </si>
  <si>
    <t>杨文浩</t>
  </si>
  <si>
    <t>陈明建</t>
  </si>
  <si>
    <t>郭艳涛</t>
  </si>
  <si>
    <t>河北省邯郸市武安市武安市上团城乡崇义二街</t>
  </si>
  <si>
    <t>河北省邯郸市魏县河北省邯郸市魏县北台头乡台西西村和平路41号</t>
  </si>
  <si>
    <t>赖名经</t>
  </si>
  <si>
    <t>杨兆民</t>
  </si>
  <si>
    <t>胡霄</t>
  </si>
  <si>
    <t>李传帅</t>
  </si>
  <si>
    <t>褚冬丽</t>
  </si>
  <si>
    <t>吴明江</t>
  </si>
  <si>
    <t>江西省萍乡市湘东区广寒寨乡杜家冲</t>
  </si>
  <si>
    <t>江西省萍乡市安源区开发区观丰路115号</t>
  </si>
  <si>
    <t>柏文研</t>
  </si>
  <si>
    <t>郑光忠</t>
  </si>
  <si>
    <t>朱锈霜</t>
  </si>
  <si>
    <t>汪治强</t>
  </si>
  <si>
    <t>余美琴</t>
  </si>
  <si>
    <t>李其钰</t>
  </si>
  <si>
    <t>山东省济南市历城区工业北路243号</t>
  </si>
  <si>
    <t>山东省济南市历城区王舍人镇东沙河五村</t>
  </si>
  <si>
    <t>赵加维</t>
  </si>
  <si>
    <t>柴磊</t>
  </si>
  <si>
    <t>陕西省安康市宁陕县城关镇迎宾大道关池路中段</t>
  </si>
  <si>
    <t>陕西省安康市宁陕县城关镇迎宾大道关池路</t>
  </si>
  <si>
    <t>卢文雯</t>
  </si>
  <si>
    <t>赵君莉</t>
  </si>
  <si>
    <t>王延益</t>
  </si>
  <si>
    <t>何裕</t>
  </si>
  <si>
    <t>高照</t>
  </si>
  <si>
    <t>湖北省武汉市武昌区中山路312号凤凰大厦3号楼1702室</t>
  </si>
  <si>
    <t>湖北省武汉市硚口区南泥湾大道千禧城六号院24栋2805室</t>
  </si>
  <si>
    <t>马蓉</t>
  </si>
  <si>
    <t>王青汉</t>
  </si>
  <si>
    <t>姚雨君</t>
  </si>
  <si>
    <t>云南省文山壮族苗族自治州文山市和谐路1号</t>
  </si>
  <si>
    <t>云南省文山壮族苗族自治州文山市七花南路龙福3苑1幢2单元702</t>
  </si>
  <si>
    <t>苏世聪</t>
  </si>
  <si>
    <t>福建省泉州市鲤城区南环路1143号安达电子4楼</t>
  </si>
  <si>
    <t>福建省泉州市鲤城区常泰街道南环路西埕雅园3梯208室</t>
  </si>
  <si>
    <t>王敏学</t>
  </si>
  <si>
    <t>沈荣华</t>
  </si>
  <si>
    <t>李康宁</t>
  </si>
  <si>
    <t>四川省成都市武侯区科园二路航利中心三栋二单元四楼</t>
  </si>
  <si>
    <t>四川省成都市武侯区红牌楼北街五号院三栋二单元</t>
  </si>
  <si>
    <t>房云霞</t>
  </si>
  <si>
    <t>丁建荣</t>
  </si>
  <si>
    <t>卢波</t>
  </si>
  <si>
    <t>魏峰</t>
  </si>
  <si>
    <t>谢大海</t>
  </si>
  <si>
    <t>江苏省苏州市昆山市花桥镇商务大道99号</t>
  </si>
  <si>
    <t>江苏省苏州市昆山市花桥镇万科魅力花园88号楼二单元903</t>
  </si>
  <si>
    <t>谢志彬</t>
  </si>
  <si>
    <t>石超</t>
  </si>
  <si>
    <t>孙世明</t>
  </si>
  <si>
    <t>黄定滨</t>
  </si>
  <si>
    <t>张滢芹</t>
  </si>
  <si>
    <t>张伟坚</t>
  </si>
  <si>
    <t>余明民</t>
  </si>
  <si>
    <t>湖北省荆门市钟祥市襄汉路22号</t>
  </si>
  <si>
    <t>湖北省荆门市钟祥市文峰路西滩三巷20号</t>
  </si>
  <si>
    <t>赵聚鑫</t>
  </si>
  <si>
    <t>河北省石家庄市新华区学府路46号对面</t>
  </si>
  <si>
    <t>河北省石家庄市新华区学府路河北经贸大学家属院11号楼三单元</t>
  </si>
  <si>
    <t>占文轩</t>
  </si>
  <si>
    <t>温林敏</t>
  </si>
  <si>
    <t>李有哲</t>
  </si>
  <si>
    <t>蔡敏玲</t>
  </si>
  <si>
    <t>广西梧州市苍梧县进口再生资源加工园区</t>
  </si>
  <si>
    <t>广西梧州市长洲区大塘街道太平洋保险公司大楼702室</t>
  </si>
  <si>
    <t>刘福顺</t>
  </si>
  <si>
    <t>张丹芳</t>
  </si>
  <si>
    <t>杨世安</t>
  </si>
  <si>
    <t>曾少鹏</t>
  </si>
  <si>
    <t>于海</t>
  </si>
  <si>
    <t>陈华川</t>
  </si>
  <si>
    <t>巴立楠</t>
  </si>
  <si>
    <t>刘业</t>
  </si>
  <si>
    <t>毛黎川</t>
  </si>
  <si>
    <t>付小玲</t>
  </si>
  <si>
    <t>朱正威</t>
  </si>
  <si>
    <t>禹雄飞</t>
  </si>
  <si>
    <t>陈金才</t>
  </si>
  <si>
    <t>苟朝永</t>
  </si>
  <si>
    <t>平艳龙</t>
  </si>
  <si>
    <t>何兆方</t>
  </si>
  <si>
    <t>龚江涛</t>
  </si>
  <si>
    <t>孟微璐</t>
  </si>
  <si>
    <t>郑益杰</t>
  </si>
  <si>
    <t>钟建</t>
  </si>
  <si>
    <t>梁燕梅</t>
  </si>
  <si>
    <t>黄纪伟</t>
  </si>
  <si>
    <t>谢珊君</t>
  </si>
  <si>
    <t>张燕标</t>
  </si>
  <si>
    <t>郭晶</t>
  </si>
  <si>
    <t>桂秋波</t>
  </si>
  <si>
    <t>周友龙</t>
  </si>
  <si>
    <t>严军雄</t>
  </si>
  <si>
    <t>肖永华</t>
  </si>
  <si>
    <t>福建省厦门市集美区英瑶路499号3楼</t>
  </si>
  <si>
    <t>福建省厦门市湖里区马垅社2230号305室</t>
  </si>
  <si>
    <t>刘美丽</t>
  </si>
  <si>
    <t>江西省抚州市崇仁县崇仁县工业园区西南500米</t>
  </si>
  <si>
    <t>江西省抚州市崇仁县巴山镇坊牌下一号</t>
  </si>
  <si>
    <t>潘福隆</t>
  </si>
  <si>
    <t>胡信平</t>
  </si>
  <si>
    <t>应德友</t>
  </si>
  <si>
    <t>樊根旺</t>
  </si>
  <si>
    <t>吴少波</t>
  </si>
  <si>
    <t>赖李萍</t>
  </si>
  <si>
    <t>韦广办</t>
  </si>
  <si>
    <t>廖骁</t>
  </si>
  <si>
    <t>年忠英</t>
  </si>
  <si>
    <t>郭秋香</t>
  </si>
  <si>
    <t>向进萍</t>
  </si>
  <si>
    <t>浙江省温州市鹿城区南白象金竹工业区霞金路405-1</t>
  </si>
  <si>
    <t>贵州省黔东南苗族侗族自治州凯里市洗马河街道桐阴坪路615号</t>
  </si>
  <si>
    <t>徐建昌</t>
  </si>
  <si>
    <t>马雷</t>
  </si>
  <si>
    <t>宁夏吴忠市同心县同心县河西镇昊天领志飞合作社</t>
  </si>
  <si>
    <t>宁夏吴忠市同心县同心县河西镇昊天领村</t>
  </si>
  <si>
    <t>刘光辉</t>
  </si>
  <si>
    <t>游建</t>
  </si>
  <si>
    <t>广东省湛江市雷州市雷州市雷城镇西湖三横路005号</t>
  </si>
  <si>
    <t>广东省湛江市雷州市湛江市霞山区东风路8号</t>
  </si>
  <si>
    <t>李红敏</t>
  </si>
  <si>
    <t>王晓林</t>
  </si>
  <si>
    <t>河北省邯郸市邯山区光明南大街148号城市新秀1804</t>
  </si>
  <si>
    <t>河北省邯郸市曲周县曲周镇苗庄村189号</t>
  </si>
  <si>
    <t>闭应深</t>
  </si>
  <si>
    <t>蔡伶浩</t>
  </si>
  <si>
    <t>候举银</t>
  </si>
  <si>
    <t>刘洪兵</t>
  </si>
  <si>
    <t>黄乐明</t>
  </si>
  <si>
    <t>张凤华</t>
  </si>
  <si>
    <t>陕西省西安市长安区东长安街589号</t>
  </si>
  <si>
    <t>陈玉仪</t>
  </si>
  <si>
    <t>文军</t>
  </si>
  <si>
    <t>穆春富</t>
  </si>
  <si>
    <t>江苏省无锡市滨湖区薛典北路69号</t>
  </si>
  <si>
    <t>江苏省无锡市滨湖区硕放镇云港佳园4-802</t>
  </si>
  <si>
    <t>王天懿</t>
  </si>
  <si>
    <t>河南省郑州市中牟县中牟县航空港区郑港十路交叉口综合保税区f区f07二楼</t>
  </si>
  <si>
    <t>河南省开封市尉氏县洧川镇老庄王村</t>
  </si>
  <si>
    <t>徐本旭</t>
  </si>
  <si>
    <t>温正齐</t>
  </si>
  <si>
    <t>何锐蛟</t>
  </si>
  <si>
    <t>河北省沧州市肃宁县尚村镇鹏润印刷厂</t>
  </si>
  <si>
    <t>河北省沧州市肃宁县南干河村19栋6号</t>
  </si>
  <si>
    <t>冯华川</t>
  </si>
  <si>
    <t>上海市上海市闵行区华宁路2898号</t>
  </si>
  <si>
    <t>上海市上海市闵行区银春路1800弄69号401</t>
  </si>
  <si>
    <t>汪悠洋</t>
  </si>
  <si>
    <t>罗新建</t>
  </si>
  <si>
    <t>吴庆武</t>
  </si>
  <si>
    <t>河北省保定市安国市都市花园北环城路220号</t>
  </si>
  <si>
    <t>安国市北段村乡北都村新开一排10号</t>
  </si>
  <si>
    <t>吕永胜</t>
  </si>
  <si>
    <t>顾晓军</t>
  </si>
  <si>
    <t>上海市上海市闵行区吴中路1100号炫润大厦1006室</t>
  </si>
  <si>
    <t>上海市上海市闵行区吴中路870弄6号203室</t>
  </si>
  <si>
    <t>朱广建</t>
  </si>
  <si>
    <t>邓鹏</t>
  </si>
  <si>
    <t>温贤俊</t>
  </si>
  <si>
    <t>郭刚卫</t>
  </si>
  <si>
    <t>张文苑</t>
  </si>
  <si>
    <t>郑达辉</t>
  </si>
  <si>
    <t>浙江省衢州市柯城区沈家东方广场3幢54-62号</t>
  </si>
  <si>
    <t>浙江省衢州市衢江区周家乡三源村江家63号</t>
  </si>
  <si>
    <t>毛一鸣</t>
  </si>
  <si>
    <t>山西省晋城市城区山西省晋城市晋煤集团机关大院内</t>
  </si>
  <si>
    <t>山西省晋城市城区晋煤集团机关东二区22号楼二单元502</t>
  </si>
  <si>
    <t>文荣奎</t>
  </si>
  <si>
    <t>杨正建</t>
  </si>
  <si>
    <t>杨汉炯</t>
  </si>
  <si>
    <t>广东省深圳市南山区深圳市南山区</t>
  </si>
  <si>
    <t>广东省深圳市南山区广东省深圳市南山区科技园</t>
  </si>
  <si>
    <t>符晓雨</t>
  </si>
  <si>
    <t>高国梁</t>
  </si>
  <si>
    <t>吴灶鸿</t>
  </si>
  <si>
    <t>广西玉林市玉州区宏进市场4区2栋8号</t>
  </si>
  <si>
    <t>广西玉林市玉州区南江水车里55号</t>
  </si>
  <si>
    <t>曹升岺</t>
  </si>
  <si>
    <t>崔卫林</t>
  </si>
  <si>
    <t>孙海琳</t>
  </si>
  <si>
    <t>吴荣</t>
  </si>
  <si>
    <t>刘嘉慧</t>
  </si>
  <si>
    <t>秦宇斐</t>
  </si>
  <si>
    <t>徐良福</t>
  </si>
  <si>
    <t>叶向云</t>
  </si>
  <si>
    <t>刘晓阳</t>
  </si>
  <si>
    <t>河北省保定市定州市西城区定曲路长安工业园区</t>
  </si>
  <si>
    <t>河北省保定市唐县东旺乡大高门村第五居民区564号</t>
  </si>
  <si>
    <t>李文宝</t>
  </si>
  <si>
    <t>黑龙江省哈尔滨市南岗区中兴大道哈西万达写字楼B1座3层</t>
  </si>
  <si>
    <t>黑龙江省哈尔滨市道里区征仪路征仪花园1栋2单元403室</t>
  </si>
  <si>
    <t>王艺凝</t>
  </si>
  <si>
    <t>李建林</t>
  </si>
  <si>
    <t>路运武</t>
  </si>
  <si>
    <t>孙忠伯</t>
  </si>
  <si>
    <t>任可霞</t>
  </si>
  <si>
    <t>汤莉娟</t>
  </si>
  <si>
    <t>方圆</t>
  </si>
  <si>
    <t>代佳瑞</t>
  </si>
  <si>
    <t>陕西省西安市新城区纺渭路海棠华府二号商业楼</t>
  </si>
  <si>
    <t>陕西省西安市灞桥区纺渭路园丁小区</t>
  </si>
  <si>
    <t>宋晓利</t>
  </si>
  <si>
    <t>唐秘</t>
  </si>
  <si>
    <t>李腾陆</t>
  </si>
  <si>
    <t>伍丽珍</t>
  </si>
  <si>
    <t>郝仁江</t>
  </si>
  <si>
    <t>河北省邢台市内丘县福园小区西门87号</t>
  </si>
  <si>
    <t>河北省邢台市桥西区兴达路百合小筑3号楼4单元1102号</t>
  </si>
  <si>
    <t>宁香宁</t>
  </si>
  <si>
    <t>潘婷</t>
  </si>
  <si>
    <t>蔡聪卯</t>
  </si>
  <si>
    <t>孙东</t>
  </si>
  <si>
    <t>辽宁省锦州市黑山县解放路5段52号</t>
  </si>
  <si>
    <t>辽宁省锦州市黑山县帝王府邸小区5号楼7单元1201室</t>
  </si>
  <si>
    <t>陈诗画</t>
  </si>
  <si>
    <t>陈登雅</t>
  </si>
  <si>
    <t>郭楠栋</t>
  </si>
  <si>
    <t>广东省深圳市罗湖区铜盂镇肖渡村汉隆工业区1幢</t>
  </si>
  <si>
    <t>广东省深圳市罗湖区铜盂镇铜钵盂大坽头四巷9号</t>
  </si>
  <si>
    <t>季晓</t>
  </si>
  <si>
    <t>北京市房山区燕山</t>
  </si>
  <si>
    <t>北京市北京市房山区北京市房山区燕山岗北路26号</t>
  </si>
  <si>
    <t>山东省临沂市蒙阴县桃墟镇花果庄村</t>
  </si>
  <si>
    <t>马仕国</t>
  </si>
  <si>
    <t>吴思思</t>
  </si>
  <si>
    <t>闫学超</t>
  </si>
  <si>
    <t>李炎枝</t>
  </si>
  <si>
    <t>福建省泉州市惠安县惠安县螺阳镇城南工业区迎宾东路</t>
  </si>
  <si>
    <t>福建省漳州市平和县福建省平和县五寨乡前岭村前坂163</t>
  </si>
  <si>
    <t>阿米娜古丽·阿布都克热木</t>
  </si>
  <si>
    <t>张朔</t>
  </si>
  <si>
    <t>翁丽华</t>
  </si>
  <si>
    <t>鲁晓进</t>
  </si>
  <si>
    <t>李修贤</t>
  </si>
  <si>
    <t>湖南省怀化市鹤城区怀化大厦25楼</t>
  </si>
  <si>
    <t>湖南省怀化市鹤城区怀化市湖天一色世纪花园6栋3单元201</t>
  </si>
  <si>
    <t>游杰</t>
  </si>
  <si>
    <t>孙大双</t>
  </si>
  <si>
    <t>云南省曲靖市陆良县三岔河镇紫溪后街120号</t>
  </si>
  <si>
    <t>云南省曲靖市陆良县三岔河镇刘良村委会新庄村161号</t>
  </si>
  <si>
    <t>余成武</t>
  </si>
  <si>
    <t>庄翔翔</t>
  </si>
  <si>
    <t>福建省厦门市思明区观音山国际商务营运中心8号楼5层B</t>
  </si>
  <si>
    <t>福建省厦门市思明区金山街道五通小区3梯601</t>
  </si>
  <si>
    <t>湖南省衡阳市耒阳市耒阳市沿江路23号2栋201室</t>
  </si>
  <si>
    <t>陈声贤</t>
  </si>
  <si>
    <t>任士全</t>
  </si>
  <si>
    <t>湖北省武汉市武昌区中北路广泽中心4楼</t>
  </si>
  <si>
    <t>湖北省武汉市武昌区黄鹤楼小区5栋3单元705</t>
  </si>
  <si>
    <t>胡毫</t>
  </si>
  <si>
    <t>王路琴</t>
  </si>
  <si>
    <t>邓发华</t>
  </si>
  <si>
    <t>陕西省西安市碑林区东关南街国税局家属院10号楼101。</t>
  </si>
  <si>
    <t>陕西省西安市雁塔区电子城街道杜城村</t>
  </si>
  <si>
    <t>柯伟健</t>
  </si>
  <si>
    <t>刘远火</t>
  </si>
  <si>
    <t>周成虎</t>
  </si>
  <si>
    <t>乔隆祥</t>
  </si>
  <si>
    <t>唐道府</t>
  </si>
  <si>
    <t>江苏省苏州市虎丘区何山路366号</t>
  </si>
  <si>
    <t>江苏省苏州市虎丘区马浜花园北区117栋二单元401</t>
  </si>
  <si>
    <t>施志强</t>
  </si>
  <si>
    <t>浙江省湖州市德清县新安镇下舍农贸市场</t>
  </si>
  <si>
    <t>浙江省湖州市德清县浙江省德清县新安镇下舍村荡郎4号</t>
  </si>
  <si>
    <t>王西莹</t>
  </si>
  <si>
    <t>江苏省无锡市北塘区金桥商贸城南街泡沫厂18号</t>
  </si>
  <si>
    <t>江苏省无锡市崇安区黄巷街道民丰公寓113栋502</t>
  </si>
  <si>
    <t>魏畅</t>
  </si>
  <si>
    <t>徐鑫航</t>
  </si>
  <si>
    <t>余景峯</t>
  </si>
  <si>
    <t>裘军亮</t>
  </si>
  <si>
    <t>张方卫</t>
  </si>
  <si>
    <t>游丞</t>
  </si>
  <si>
    <t>湖南省长沙市开福区湘江中路潮宗御苑4楼</t>
  </si>
  <si>
    <t>湖南省长沙市开福区福元西路万科城17栋1506</t>
  </si>
  <si>
    <t>代金海</t>
  </si>
  <si>
    <t>张吉康</t>
  </si>
  <si>
    <t>河南省新乡市红旗区人民中路199号</t>
  </si>
  <si>
    <t>河南省新乡市牧野区康宁家园二期10号楼3单元2楼东户</t>
  </si>
  <si>
    <t>魏晓单</t>
  </si>
  <si>
    <t>柯凯强</t>
  </si>
  <si>
    <t>福建省厦门市集美区侨英街道霞梧里122-104店面</t>
  </si>
  <si>
    <t>福建省厦门市集美区侨英街道霞梧里122号</t>
  </si>
  <si>
    <t>莫占良</t>
  </si>
  <si>
    <t>杨敏玲</t>
  </si>
  <si>
    <t>李文君</t>
  </si>
  <si>
    <t>朱修娜</t>
  </si>
  <si>
    <t>河北省廊坊市安次区廊坊市广阳区光明道3号</t>
  </si>
  <si>
    <t>河北省廊坊市安次区顺安道顺安小区4号楼二单元202室</t>
  </si>
  <si>
    <t>宋志强</t>
  </si>
  <si>
    <t>江西省赣州市章贡区经济开发区客家大道国兴永安居1201</t>
  </si>
  <si>
    <t>江西省赣州市章贡区经济开发区田心安居社区4栋2单元301室</t>
  </si>
  <si>
    <t>李春青</t>
  </si>
  <si>
    <t>武翔</t>
  </si>
  <si>
    <t>张开国</t>
  </si>
  <si>
    <t>陈经文</t>
  </si>
  <si>
    <t>周晓菲</t>
  </si>
  <si>
    <t>山东省威海市环翠区山东省威海市高技区1396号</t>
  </si>
  <si>
    <t>山东省威海市环翠区山东省威海市环翠区文化东路51好404</t>
  </si>
  <si>
    <t>邢红保</t>
  </si>
  <si>
    <t>旷才林</t>
  </si>
  <si>
    <t>高美玲</t>
  </si>
  <si>
    <t>叶丽雲</t>
  </si>
  <si>
    <t>广东省惠州市惠阳区广东省惠州市惠阳区三和莲塘面小布仔</t>
  </si>
  <si>
    <t>广东省惠州市惠阳区广东省惠州市惠阳区三和莲塘面农围村旭峰百货旁</t>
  </si>
  <si>
    <t>吴郑镭</t>
  </si>
  <si>
    <t>缪强林</t>
  </si>
  <si>
    <t>朱庆丰</t>
  </si>
  <si>
    <t>李壹杰</t>
  </si>
  <si>
    <t>湖南省长沙市岳麓区银盆岭街道岳麓大道59号</t>
  </si>
  <si>
    <t>湖南省湘潭市湘乡市翻江镇南郑村第十村民组</t>
  </si>
  <si>
    <t>邵兵战</t>
  </si>
  <si>
    <t>王永红</t>
  </si>
  <si>
    <t>张子平</t>
  </si>
  <si>
    <t>辛玲芳</t>
  </si>
  <si>
    <t>福建省泉州市惠安县崇武镇海景商贸城8号楼</t>
  </si>
  <si>
    <t>福建省泉州市惠安县崇武镇西华村华兴巷33号</t>
  </si>
  <si>
    <t>陈圳</t>
  </si>
  <si>
    <t>姜昆</t>
  </si>
  <si>
    <t>栗东东</t>
  </si>
  <si>
    <t>杨昌杰</t>
  </si>
  <si>
    <t>郎文江</t>
  </si>
  <si>
    <t>甘肃省张掖市甘州区东大街388号</t>
  </si>
  <si>
    <t>甘肃省张掖市甘州区颐景嘉园小区5号楼3单元1002</t>
  </si>
  <si>
    <t>宁夏石嘴山市惠农区南大街38号</t>
  </si>
  <si>
    <t>宁夏石嘴山市惠农区新村路392一8一1号</t>
  </si>
  <si>
    <t>马志松</t>
  </si>
  <si>
    <t>辽宁省沈阳市于洪区沈阳市于洪区白山路172号一杠三门</t>
  </si>
  <si>
    <t>辽宁省沈阳市东陵区沈阳市浑南区白塔堡白塔茗居四号楼二单元331</t>
  </si>
  <si>
    <t>张忠东</t>
  </si>
  <si>
    <t>陕西省西安市未央区西安工业大学未央校区内</t>
  </si>
  <si>
    <t>陕西省西安市未央区辽宁省朝阳市喀左县公营子镇乐寿村三组0052号</t>
  </si>
  <si>
    <t>云南省临沧市临翔区博尚镇大芋地</t>
  </si>
  <si>
    <t>云南省临沧市双江拉祜族佤族布朗族傣族自治县临沧市双江县沙河乡红星路16</t>
  </si>
  <si>
    <t>张全慧</t>
  </si>
  <si>
    <t>翟凯</t>
  </si>
  <si>
    <t>李福印</t>
  </si>
  <si>
    <t>邹俊</t>
  </si>
  <si>
    <t>柳常青</t>
  </si>
  <si>
    <t>刘京京</t>
  </si>
  <si>
    <t>陈忠孝</t>
  </si>
  <si>
    <t>陈慧</t>
  </si>
  <si>
    <t>广东省深圳市宝安区宝安36区上川路201号</t>
  </si>
  <si>
    <t>广东省深圳市宝安区宝安36区岭下花园3巷15号907</t>
  </si>
  <si>
    <t>林泽松</t>
  </si>
  <si>
    <t>湖北省武汉市江岸区武汉市江岸区沿江大道256号</t>
  </si>
  <si>
    <t>湖北省武汉市江汉区北湖路8-3号3楼1号好</t>
  </si>
  <si>
    <t>资陈</t>
  </si>
  <si>
    <t>王祥惠</t>
  </si>
  <si>
    <t>甘肃省平凉市崆峒区崆峒中路8号</t>
  </si>
  <si>
    <t>甘肃省平凉市崆峒区朝阳街32号楼二单元702室</t>
  </si>
  <si>
    <t>孙颖</t>
  </si>
  <si>
    <t>徐秀梅</t>
  </si>
  <si>
    <t>衡宇</t>
  </si>
  <si>
    <t>赵金华</t>
  </si>
  <si>
    <t>北京市北京市门头沟区北京市门头沟区新桥大街10号</t>
  </si>
  <si>
    <t>北京市北京市门头沟区山东省苍山县下村乡明山村392号</t>
  </si>
  <si>
    <t>李德斌</t>
  </si>
  <si>
    <t>郑承业</t>
  </si>
  <si>
    <t>谢小翠</t>
  </si>
  <si>
    <t>河南省南阳市宛城区李苏路88号</t>
  </si>
  <si>
    <t>河南省南阳市宛城区医圣祠路仲景花园801</t>
  </si>
  <si>
    <t>陈都</t>
  </si>
  <si>
    <t>吕兆锐</t>
  </si>
  <si>
    <t>杨宇峰</t>
  </si>
  <si>
    <t>徐建伟</t>
  </si>
  <si>
    <t>甘肃省平凉市崆峒区中街街道南雅园广场</t>
  </si>
  <si>
    <t>甘肃省平凉市崆峒区崆峒镇太统村南坡东社056号</t>
  </si>
  <si>
    <t>张明浩</t>
  </si>
  <si>
    <t>辽宁省大连市金州区连大文润金宸二期</t>
  </si>
  <si>
    <t>辽宁省大连市金州区三十里堡学府尚居二单元502</t>
  </si>
  <si>
    <t>孙学龙</t>
  </si>
  <si>
    <t>甘肃省嘉峪关市金川区屯乐街1-4号门</t>
  </si>
  <si>
    <t>甘肃省酒泉市肃州区建设路怡和家园10号楼一单元401室</t>
  </si>
  <si>
    <t>李兴兴</t>
  </si>
  <si>
    <t>宁夏银川市兴庆区兴庆区东城人家58号楼4单元102室</t>
  </si>
  <si>
    <t>宁夏银川市永宁县望远镇银子湖小区五号楼一单元301</t>
  </si>
  <si>
    <t>陈美红</t>
  </si>
  <si>
    <t>于清雷</t>
  </si>
  <si>
    <t>宋孟超</t>
  </si>
  <si>
    <t>山东省青岛市黄岛区峨眉山路396号光谷软件园3号楼101</t>
  </si>
  <si>
    <t>山东省青岛市黄岛区长江西路翠屏山庭3号楼一单元401</t>
  </si>
  <si>
    <t>黄业富</t>
  </si>
  <si>
    <t>海南省海口市龙华区海南海口市龙昆南路昌茂花园12栋</t>
  </si>
  <si>
    <t>海南省海口市龙华区海南海口龙昆南路7号宏昌楼</t>
  </si>
  <si>
    <t>戴斌</t>
  </si>
  <si>
    <t>赵成军</t>
  </si>
  <si>
    <t>陈珍珍</t>
  </si>
  <si>
    <t>孟伟</t>
  </si>
  <si>
    <t>李为红</t>
  </si>
  <si>
    <t>叶玉青</t>
  </si>
  <si>
    <t>许巧娣</t>
  </si>
  <si>
    <t>白玉东</t>
  </si>
  <si>
    <t>陕西省西安市莲湖区桃园路西区623号楼</t>
  </si>
  <si>
    <t>陕西省西安市莲湖区沣惠北路百欣花园8号楼</t>
  </si>
  <si>
    <t>许佳莹</t>
  </si>
  <si>
    <t>浙江省台州市温岭市山坑工业区</t>
  </si>
  <si>
    <t>浙江省台州市温岭市大溪名雅花苑2栋2单元1003</t>
  </si>
  <si>
    <t>时铭阳</t>
  </si>
  <si>
    <t>江苏省徐州市铜山区江苏省徐州市睢宁县大儒世家2栋137</t>
  </si>
  <si>
    <t>江苏省徐州市睢宁县文学南路2号水岸馨都8栋1003</t>
  </si>
  <si>
    <t>侯文彦</t>
  </si>
  <si>
    <t>韩小静</t>
  </si>
  <si>
    <t>刘瑞娟</t>
  </si>
  <si>
    <t>张吉祥</t>
  </si>
  <si>
    <t>天津市天津市津南区辛庄鑫旺里</t>
  </si>
  <si>
    <t>河南省开封市杞县邢口王寺寨村后街82号</t>
  </si>
  <si>
    <t>李冬青</t>
  </si>
  <si>
    <t>屈藤</t>
  </si>
  <si>
    <t>北京市北京市海淀区车公庄西路外文文化创意园8号楼</t>
  </si>
  <si>
    <t>北京市北京市房山区良乡镇苏庄一里小区3号楼二单元502</t>
  </si>
  <si>
    <t>黑龙江省哈尔滨市香坊区民生路311</t>
  </si>
  <si>
    <t>黑龙江省哈尔滨市道里区九江街7号406</t>
  </si>
  <si>
    <t>沈靖宇</t>
  </si>
  <si>
    <t>潘福丽</t>
  </si>
  <si>
    <t>丁永旭</t>
  </si>
  <si>
    <t>杨建欣</t>
  </si>
  <si>
    <t>王秋城</t>
  </si>
  <si>
    <t>李攀勇</t>
  </si>
  <si>
    <t>胡裕坦</t>
  </si>
  <si>
    <t>杜力</t>
  </si>
  <si>
    <t>柴荘荘</t>
  </si>
  <si>
    <t>曾莉</t>
  </si>
  <si>
    <t>湖北省恩施土家族苗族自治州恩施市来凤县翔凤镇喳西泰水城餐饮街</t>
  </si>
  <si>
    <t>湖北省恩施土家族苗族自治州恩施市来凤县翔凤镇喳西泰水城餐饮街2栋105</t>
  </si>
  <si>
    <t>号</t>
  </si>
  <si>
    <t>施志远</t>
  </si>
  <si>
    <t>王凤姣</t>
  </si>
  <si>
    <t>何炎飞</t>
  </si>
  <si>
    <t>江苏省南通市如皋市桃园镇丁磨路口南180米</t>
  </si>
  <si>
    <t>江苏省南通市如皋市白蒲镇蒲东居11组32号</t>
  </si>
  <si>
    <t>王顺航</t>
  </si>
  <si>
    <t>许明</t>
  </si>
  <si>
    <t>江苏省南京市江宁区庄排路99号</t>
  </si>
  <si>
    <t>江苏省南京市江宁区诚信大道清园雅居南楼七单元414室</t>
  </si>
  <si>
    <t>桂洪兵</t>
  </si>
  <si>
    <t>董强龙</t>
  </si>
  <si>
    <t>曹永祥</t>
  </si>
  <si>
    <t>甘肃省兰州市安宁区安宁区众邦大道</t>
  </si>
  <si>
    <t>甘肃省兰州市城关区安宁区枣林路188号</t>
  </si>
  <si>
    <t>沐梅</t>
  </si>
  <si>
    <t>江西省抚州市南城县南城县人民医院</t>
  </si>
  <si>
    <t>江西省抚州市南城县交通路427号</t>
  </si>
  <si>
    <t>胡晨星</t>
  </si>
  <si>
    <t>陕西省西安市雁塔区科技四路南窑头小区西区84排9号</t>
  </si>
  <si>
    <t>陕西省西安市雁塔区科技四路南窑头小区西区84排8号</t>
  </si>
  <si>
    <t>安文明</t>
  </si>
  <si>
    <t>罗玲</t>
  </si>
  <si>
    <t>谭焗</t>
  </si>
  <si>
    <t>朱雯晖</t>
  </si>
  <si>
    <t>范成浩</t>
  </si>
  <si>
    <t>张程皓</t>
  </si>
  <si>
    <t>开发区78小区</t>
  </si>
  <si>
    <t>山西省忻州市忻府区董村镇董村一组</t>
  </si>
  <si>
    <t>张有辉</t>
  </si>
  <si>
    <t>赵文静</t>
  </si>
  <si>
    <t>黄玉胜</t>
  </si>
  <si>
    <t>杨永杰</t>
  </si>
  <si>
    <t>辽宁省沈阳市大东区边东街12号</t>
  </si>
  <si>
    <t>辽宁省沈阳市大东区珠林路四安南巷5号</t>
  </si>
  <si>
    <t>辽宁省阜新市太平区煤成路83号</t>
  </si>
  <si>
    <t>辽宁省阜新市太平区高德七小区19号楼四单元401</t>
  </si>
  <si>
    <t>叶平龙</t>
  </si>
  <si>
    <t>丁德财</t>
  </si>
  <si>
    <t>陕西省汉中市镇巴县镇巴县新街17号</t>
  </si>
  <si>
    <t>陕西省汉中市镇巴县小洋镇潘家河村白果树小组</t>
  </si>
  <si>
    <t>徐镇</t>
  </si>
  <si>
    <t>浙江省金华市武义县王宅镇江南工业区1号</t>
  </si>
  <si>
    <t>浙江省金华市武义县王宅镇岩宅村2路48号</t>
  </si>
  <si>
    <t>朱忠良</t>
  </si>
  <si>
    <t>上海市上海市浦东新区张杨路1516号202室</t>
  </si>
  <si>
    <t>上海市上海市虹口区四平路621弄29号12室</t>
  </si>
  <si>
    <t>连俊</t>
  </si>
  <si>
    <t>邱丽萍</t>
  </si>
  <si>
    <t>孔锦</t>
  </si>
  <si>
    <t>葛剑彬</t>
  </si>
  <si>
    <t>罗微</t>
  </si>
  <si>
    <t>薛银</t>
  </si>
  <si>
    <t>韦保政</t>
  </si>
  <si>
    <t>天津市天津市武清区天津市武清区汊沽港镇自行车王国</t>
  </si>
  <si>
    <t>天津市天津市东丽区天津市武清区汊沽港镇六道口村</t>
  </si>
  <si>
    <t>葛磊</t>
  </si>
  <si>
    <t>江苏省无锡市滨湖区西郊市场A区36号</t>
  </si>
  <si>
    <t>江苏省无锡市滨湖区荣巷鑫龙佳苑46号203</t>
  </si>
  <si>
    <t>解智宇</t>
  </si>
  <si>
    <t>杨钧翔</t>
  </si>
  <si>
    <t>贾万朋</t>
  </si>
  <si>
    <t>辽宁省沈阳市新民市吉林省长春市光复路水产市场调料3号</t>
  </si>
  <si>
    <t>辽宁省沈阳市新民市吉林省长春市</t>
  </si>
  <si>
    <t>于强</t>
  </si>
  <si>
    <t>内蒙古巴彦淖尔市临河区东开发区富源南路1号联邦制药</t>
  </si>
  <si>
    <t>内蒙古巴彦淖尔市临河区八一路温馨华庭3栋二单元402</t>
  </si>
  <si>
    <t>张志祥</t>
  </si>
  <si>
    <t>湖北省黄石市大冶市殷祖镇殷祖街</t>
  </si>
  <si>
    <t>湖北省黄石市大冶市殷祖镇七里冲村大张明湾131号</t>
  </si>
  <si>
    <t>陶冬烈</t>
  </si>
  <si>
    <t>吴道路</t>
  </si>
  <si>
    <t>浙江省温州市平阳县昆阳镇前宕路开创电商园</t>
  </si>
  <si>
    <t>浙江省温州市平阳县鳌江镇曹门新村23幢2单元304</t>
  </si>
  <si>
    <t>吴雪梅</t>
  </si>
  <si>
    <t>吴望</t>
  </si>
  <si>
    <t>吕淡佳</t>
  </si>
  <si>
    <t>广东省揭阳市普宁市普宁市流沙镇G324（福昆线）</t>
  </si>
  <si>
    <t>广东省揭阳市普宁市流沙东街道中华新城2101号</t>
  </si>
  <si>
    <t>吕秀兰</t>
  </si>
  <si>
    <t>四川省成都市邛崃市羊安镇工业园区纵一路132号</t>
  </si>
  <si>
    <t>四川省成都市邛崃市羊安镇安居小区7-3-5-1</t>
  </si>
  <si>
    <t>安芳</t>
  </si>
  <si>
    <t>彭英杰</t>
  </si>
  <si>
    <t>阮肖</t>
  </si>
  <si>
    <t>张文林</t>
  </si>
  <si>
    <t>安鹤鸣</t>
  </si>
  <si>
    <t>天津市天津市河西区前进道40号</t>
  </si>
  <si>
    <t>天津市天津市北辰区双辰中路城际美景家园20-4-203</t>
  </si>
  <si>
    <t>赵昱婷</t>
  </si>
  <si>
    <t>张宜</t>
  </si>
  <si>
    <t>陈锐</t>
  </si>
  <si>
    <t>福建省福州市台江区赢福东路83号光明港苑2座底层</t>
  </si>
  <si>
    <t>福建省福州市晋安区后浦路698香开新城1栋1701单元</t>
  </si>
  <si>
    <t>丁冬华</t>
  </si>
  <si>
    <t>李华文</t>
  </si>
  <si>
    <t>付琳</t>
  </si>
  <si>
    <t>黄妙香</t>
  </si>
  <si>
    <t>赖剑鹏</t>
  </si>
  <si>
    <t>徐家彬</t>
  </si>
  <si>
    <t>夏少山</t>
  </si>
  <si>
    <t>阿不里克木·玉素甫</t>
  </si>
  <si>
    <t>新疆喀什地区喀什市人民西路40号</t>
  </si>
  <si>
    <t>新疆喀什地区喀什市萨格拉木路38号2号楼6单元601</t>
  </si>
  <si>
    <t>高晓东</t>
  </si>
  <si>
    <t>李佳成</t>
  </si>
  <si>
    <t>河南省周口市西华县西华县电商产业园</t>
  </si>
  <si>
    <t>河南省周口市西华县昆山路街道华龙学校</t>
  </si>
  <si>
    <t>沈丙圣</t>
  </si>
  <si>
    <t>浙江省绍兴市绍兴县柯桥区钱清镇西后街267426号</t>
  </si>
  <si>
    <t>安徽省阜阳市阜南县浙江省绍兴市柯桥区钱清镇清风村205号</t>
  </si>
  <si>
    <t>张春媛</t>
  </si>
  <si>
    <t>冯彪</t>
  </si>
  <si>
    <t>湖南省湘潭市湘潭县湘潭县易俗河镇吴家巷72号</t>
  </si>
  <si>
    <t>湖南省湘潭市湘潭县湘潭县易俗河镇吴家巷78号</t>
  </si>
  <si>
    <t>肖新宇</t>
  </si>
  <si>
    <t>程丽娜</t>
  </si>
  <si>
    <t>重庆市重庆市渝中区桂花园路87号</t>
  </si>
  <si>
    <t>重庆市重庆市渝中区上清寺路111号10-15</t>
  </si>
  <si>
    <t>石雅利</t>
  </si>
  <si>
    <t>李贤亮</t>
  </si>
  <si>
    <t>刘远华</t>
  </si>
  <si>
    <t>张辉钦</t>
  </si>
  <si>
    <t>彭活英</t>
  </si>
  <si>
    <t>吕磊</t>
  </si>
  <si>
    <t>北京市北京市房山区窦店镇交道西街</t>
  </si>
  <si>
    <t>北京市北京市房山区阎村镇开古庄</t>
  </si>
  <si>
    <t>吉强</t>
  </si>
  <si>
    <t>江苏省常州市钟楼区新闸街道新昌路56号</t>
  </si>
  <si>
    <t>江苏省常州市天宁区丽华二村40幢丁单元102</t>
  </si>
  <si>
    <t>赵朦朦</t>
  </si>
  <si>
    <t>杨明礼</t>
  </si>
  <si>
    <t>朱文凯</t>
  </si>
  <si>
    <t>杜珠力</t>
  </si>
  <si>
    <t>莫杰彬</t>
  </si>
  <si>
    <t>石贵海</t>
  </si>
  <si>
    <t>孙玥</t>
  </si>
  <si>
    <t>董双阳</t>
  </si>
  <si>
    <t>宋淑青</t>
  </si>
  <si>
    <t>许余良</t>
  </si>
  <si>
    <t>梁维新</t>
  </si>
  <si>
    <t>管少柏</t>
  </si>
  <si>
    <t>广东省深圳市宝安区沙井街道新和大道昊海弘工业园4号</t>
  </si>
  <si>
    <t>广东省深圳市宝安区沙井街道上星社区裕富苑A栋608</t>
  </si>
  <si>
    <t>任锋</t>
  </si>
  <si>
    <t>白振洋</t>
  </si>
  <si>
    <t>汤潇</t>
  </si>
  <si>
    <t>四川省成都市郫县郫县南大街383号</t>
  </si>
  <si>
    <t>四川省成都市郫县郫县中冶田园世界4栋1单元806号</t>
  </si>
  <si>
    <t>刘凯飞</t>
  </si>
  <si>
    <t>邹青松</t>
  </si>
  <si>
    <t>辽宁省大连市金州区大连开发区金石路it产业园</t>
  </si>
  <si>
    <t>辽宁省大连市金州区亮甲店镇镇西街273号</t>
  </si>
  <si>
    <t>林翔</t>
  </si>
  <si>
    <t>邵伟臻</t>
  </si>
  <si>
    <t>王业森</t>
  </si>
  <si>
    <t>浙江省金华市义乌市经发大道317号</t>
  </si>
  <si>
    <t>浙江省金华市义乌市稠江街道杨一村三栋四单元202</t>
  </si>
  <si>
    <t>朱井平</t>
  </si>
  <si>
    <t>樊建斌</t>
  </si>
  <si>
    <t>周子钺</t>
  </si>
  <si>
    <t>姜春军</t>
  </si>
  <si>
    <t>陈晓丹</t>
  </si>
  <si>
    <t>王亚辉</t>
  </si>
  <si>
    <t>张艳娇</t>
  </si>
  <si>
    <t>林志武</t>
  </si>
  <si>
    <t>杨炜</t>
  </si>
  <si>
    <t>唐冕</t>
  </si>
  <si>
    <t>广东省深圳市罗湖区广东省深圳市南山区西丽镇中兴通讯工业园</t>
  </si>
  <si>
    <t>广东省深圳市南山区广东省深圳市南山区西丽镇中兴通讯工业园员工宿舍4栋102</t>
  </si>
  <si>
    <t>董志强</t>
  </si>
  <si>
    <t>秦善岩</t>
  </si>
  <si>
    <t>王昕媛</t>
  </si>
  <si>
    <t>涂磊</t>
  </si>
  <si>
    <t>陈亚福</t>
  </si>
  <si>
    <t>周如焱</t>
  </si>
  <si>
    <t>胡元翠</t>
  </si>
  <si>
    <t>康锦昆</t>
  </si>
  <si>
    <t>福建省泉州市惠安县小岞镇岞兴街210号</t>
  </si>
  <si>
    <t>福建省泉州市惠安县小岞镇前群村石埕48号</t>
  </si>
  <si>
    <t>戴丽</t>
  </si>
  <si>
    <t>郭程</t>
  </si>
  <si>
    <t>张泽秋</t>
  </si>
  <si>
    <t>梁静</t>
  </si>
  <si>
    <t>符秀天</t>
  </si>
  <si>
    <t>王启航</t>
  </si>
  <si>
    <t>陈昌华</t>
  </si>
  <si>
    <t>金秋</t>
  </si>
  <si>
    <t>陈亚娟</t>
  </si>
  <si>
    <t>贵州省贵阳市乌当区金阳财富中心c栋10楼3号</t>
  </si>
  <si>
    <t>贵州省贵阳市白云区米兰春天二期20栋15楼3号</t>
  </si>
  <si>
    <t>王小亚</t>
  </si>
  <si>
    <t>孟时军</t>
  </si>
  <si>
    <t>韦向前</t>
  </si>
  <si>
    <t>吕献文</t>
  </si>
  <si>
    <t>云南省昭通市昭阳区北顺城街道罗斌辉广场1-8商铺</t>
  </si>
  <si>
    <t>云南省昭通市昭阳区凤凰街道瓦窑村294号</t>
  </si>
  <si>
    <t>辽宁省大连市沙河口区中长东四街道34号</t>
  </si>
  <si>
    <t>辽宁省大连市沙河口区福佳新天地g座2501</t>
  </si>
  <si>
    <t>齐华明</t>
  </si>
  <si>
    <t>江西省赣州市南康市康唐公路西侧238省道太窝乡元岭村</t>
  </si>
  <si>
    <t>江西省赣州市大余县新城镇桥西村下孜堆14号</t>
  </si>
  <si>
    <t>吴希兵</t>
  </si>
  <si>
    <t>李占新</t>
  </si>
  <si>
    <t>杨玉洁</t>
  </si>
  <si>
    <t>北京市北京市朝阳区农展南路甲1号</t>
  </si>
  <si>
    <t>北京市北京市朝阳区高井北街7号院1楼1单元1305</t>
  </si>
  <si>
    <t>李红广</t>
  </si>
  <si>
    <t>杨金玉</t>
  </si>
  <si>
    <t>梅勇添</t>
  </si>
  <si>
    <t>杨国晖</t>
  </si>
  <si>
    <t>甘肃省白银市白银区甘肃省白银市白银区滨河东路</t>
  </si>
  <si>
    <t>甘肃省白银市白银区甘肃省白银市白银区山南小区</t>
  </si>
  <si>
    <t>胡新利</t>
  </si>
  <si>
    <t>石佳辉</t>
  </si>
  <si>
    <t>四川省成都市金牛区兴科中路一号迪欧时代5楼</t>
  </si>
  <si>
    <t>四川省成都市武侯区大源北一街25号院</t>
  </si>
  <si>
    <t>赵圣成</t>
  </si>
  <si>
    <t>山东省淄博市桓台县山东省淄博市桓台县红辛路2564号</t>
  </si>
  <si>
    <t>山东省临沂市沂水县山东省沂水县高庄镇赵家庄子村153号</t>
  </si>
  <si>
    <t>江志鹏</t>
  </si>
  <si>
    <t>蔡晓丽</t>
  </si>
  <si>
    <t>矣佳</t>
  </si>
  <si>
    <t>朱海斌</t>
  </si>
  <si>
    <t>崔玉钢</t>
  </si>
  <si>
    <t>辽宁省沈阳市和平区十一纬路169号富中大厦1001</t>
  </si>
  <si>
    <t>辽宁省沈阳市和平区十一纬路34-2号2单元202</t>
  </si>
  <si>
    <t>王君实</t>
  </si>
  <si>
    <t>张孝根</t>
  </si>
  <si>
    <t>孙华</t>
  </si>
  <si>
    <t>黄仲辉</t>
  </si>
  <si>
    <t>王铎</t>
  </si>
  <si>
    <t>詹明灿</t>
  </si>
  <si>
    <t>吴皓</t>
  </si>
  <si>
    <t>谢亚浩</t>
  </si>
  <si>
    <t>吕仔涵</t>
  </si>
  <si>
    <t>叶碧丛</t>
  </si>
  <si>
    <t>浙江省温州市鹿城区解放街247号</t>
  </si>
  <si>
    <t>浙江省温州市鹿城区解放街后巷68号</t>
  </si>
  <si>
    <t>田进敏</t>
  </si>
  <si>
    <t>辽宁省锦州市黑山县黑山县桃源街2号</t>
  </si>
  <si>
    <t>黑山县幸福家园小区一号楼一单元</t>
  </si>
  <si>
    <t>梁榕辉</t>
  </si>
  <si>
    <t>广东省江门市蓬江区高沙三街16号</t>
  </si>
  <si>
    <t>广东省江门市蓬江区广东省江门市蓬江区高沙三街16号</t>
  </si>
  <si>
    <t>陈进口</t>
  </si>
  <si>
    <t>福建省厦门市同安区西柯镇下山头村426号</t>
  </si>
  <si>
    <t>福建省厦门市同安区新民镇柑岭村下棋盘里158号</t>
  </si>
  <si>
    <t>丁鹏</t>
  </si>
  <si>
    <t>王丹红</t>
  </si>
  <si>
    <t>高友志</t>
  </si>
  <si>
    <t>张秋宇</t>
  </si>
  <si>
    <t>韩卫华</t>
  </si>
  <si>
    <t>北京市北京市顺义区后沙峪金地中央世家广场</t>
  </si>
  <si>
    <t>北京市北京市顺义区北京市顺义区后沙峪双峪小区10号楼二单元601</t>
  </si>
  <si>
    <t>邱惠颖</t>
  </si>
  <si>
    <t>张美钰</t>
  </si>
  <si>
    <t>刘宝林</t>
  </si>
  <si>
    <t>周振旭</t>
  </si>
  <si>
    <t>新疆乌鲁木齐市头屯河区北站北西路965号</t>
  </si>
  <si>
    <t>新疆乌鲁木齐市新市区迎宾路北六巷1号</t>
  </si>
  <si>
    <t>朱云</t>
  </si>
  <si>
    <t>王宝龙</t>
  </si>
  <si>
    <t>李友河</t>
  </si>
  <si>
    <t>王浩琪</t>
  </si>
  <si>
    <t>张雁华</t>
  </si>
  <si>
    <t>李会蓉</t>
  </si>
  <si>
    <t>王继龙</t>
  </si>
  <si>
    <t>甘肃省平凉市崆峒区红旗街251号</t>
  </si>
  <si>
    <t>甘肃省平凉市崆峒区望康家园7号楼1单元102</t>
  </si>
  <si>
    <t>王永强</t>
  </si>
  <si>
    <t>王建维</t>
  </si>
  <si>
    <t>曹金成</t>
  </si>
  <si>
    <t>金廷怡</t>
  </si>
  <si>
    <t>张贵超</t>
  </si>
  <si>
    <t>山东省枣庄市滕州市荆河西路西城怡园东</t>
  </si>
  <si>
    <t>山东省枣庄市滕州市荆河西路金州花园12号楼506室</t>
  </si>
  <si>
    <t>吴亚平</t>
  </si>
  <si>
    <t>黄婧</t>
  </si>
  <si>
    <t>代兴旺</t>
  </si>
  <si>
    <t>李健美</t>
  </si>
  <si>
    <t>卢泳岐</t>
  </si>
  <si>
    <t>陈付华</t>
  </si>
  <si>
    <t>江苏省盐城市亭湖区解放南路108号</t>
  </si>
  <si>
    <t>江苏省盐城市盐都区潘黄镇朱庄村</t>
  </si>
  <si>
    <t>陈庆舟</t>
  </si>
  <si>
    <t>谭杏焜</t>
  </si>
  <si>
    <t>四川省成都市武侯区人民南路四段49号曼哈顿一期3-16</t>
  </si>
  <si>
    <t>四川省成都市双流县剑南大道南段688号骑龙家园二期5-1-502</t>
  </si>
  <si>
    <t>康泽安</t>
  </si>
  <si>
    <t>姜瑜</t>
  </si>
  <si>
    <t>朱豪栋</t>
  </si>
  <si>
    <t>刘军涛</t>
  </si>
  <si>
    <t>任颖</t>
  </si>
  <si>
    <t>刘海薇</t>
  </si>
  <si>
    <t>洪海涛</t>
  </si>
  <si>
    <t>韩震</t>
  </si>
  <si>
    <t>任振华</t>
  </si>
  <si>
    <t>梁滔</t>
  </si>
  <si>
    <t>王少亭</t>
  </si>
  <si>
    <t>齐大洋</t>
  </si>
  <si>
    <t>黑龙江省哈尔滨市松北区学院路丽景花园德金娱乐广场时佳快捷酒店</t>
  </si>
  <si>
    <t>黑龙江省哈尔滨市道外区十八道街滨江凤凰城5栋4单元503</t>
  </si>
  <si>
    <t>曾维涛</t>
  </si>
  <si>
    <t>上海市上海市浦东新区上南路3352号</t>
  </si>
  <si>
    <t>上海市上海市浦东新区思浦路16弄12号501室</t>
  </si>
  <si>
    <t>田强</t>
  </si>
  <si>
    <t>陈职军</t>
  </si>
  <si>
    <t>魏恒士</t>
  </si>
  <si>
    <t>张华宇</t>
  </si>
  <si>
    <t>辽宁省葫芦岛市龙港区锦葫北路32号</t>
  </si>
  <si>
    <t>辽宁省葫芦岛市连山区滨河路2段5-21号楼8单元16号</t>
  </si>
  <si>
    <t>周藩</t>
  </si>
  <si>
    <t>缪宇峰</t>
  </si>
  <si>
    <t>高俊新</t>
  </si>
  <si>
    <t>韩娜</t>
  </si>
  <si>
    <t>杜黎明</t>
  </si>
  <si>
    <t>夏澎伟</t>
  </si>
  <si>
    <t>喻首猛</t>
  </si>
  <si>
    <t>郭浩洋</t>
  </si>
  <si>
    <t>阿尔庆·马海</t>
  </si>
  <si>
    <t>新疆塔城地区乌苏市乌苏市北京东路八十四户乡</t>
  </si>
  <si>
    <t>新疆塔城地区乌苏市乌苏市北京西路大江水榭4号楼四单元101室</t>
  </si>
  <si>
    <t>黄志坤</t>
  </si>
  <si>
    <t>王政华</t>
  </si>
  <si>
    <t>贵州省六盘水市六枝特区贵州六盘水六枝特区交通路天成广告</t>
  </si>
  <si>
    <t>贵州省六盘水市六枝特区六枝特区银壶街道东方龙城</t>
  </si>
  <si>
    <t>庞真龙</t>
  </si>
  <si>
    <t>广东省湛江市霞山区人民大道中21号泉庄小区A座2栋2311号</t>
  </si>
  <si>
    <t>广东省湛江市霞山区坡头区南三镇南中村2311号</t>
  </si>
  <si>
    <t>闵德臣</t>
  </si>
  <si>
    <t>赵冠杰</t>
  </si>
  <si>
    <t>白江坤</t>
  </si>
  <si>
    <t>孙世鹏</t>
  </si>
  <si>
    <t>王洪利</t>
  </si>
  <si>
    <t>辽宁省阜新市清河门区阜新市海州区中华路128号</t>
  </si>
  <si>
    <t>辽宁省阜新市清河门区细河堡村2-109号</t>
  </si>
  <si>
    <t>安徽省六安市裕安区磨子潭路龙河路路口</t>
  </si>
  <si>
    <t>安徽省六安市裕安区磨子潭路73号</t>
  </si>
  <si>
    <t>王英树</t>
  </si>
  <si>
    <t>鲁晓姝</t>
  </si>
  <si>
    <t>贵州省黔南布依族苗族自治州都匀市都匀市毛尖大道41号</t>
  </si>
  <si>
    <t>贵州省黔南布依族苗族自治州都匀市都匀市剑江北路110号附18号</t>
  </si>
  <si>
    <t>杨秀丽</t>
  </si>
  <si>
    <t>李敬新</t>
  </si>
  <si>
    <t>广西南宁市西乡塘区前进南一街24号</t>
  </si>
  <si>
    <t>广西南宁市西乡塘区大沙田公平街8号</t>
  </si>
  <si>
    <t>郝佳</t>
  </si>
  <si>
    <t>韩红旭</t>
  </si>
  <si>
    <t>白艳卫</t>
  </si>
  <si>
    <t>河南省郑州市金水区郑东新区商务内环路金城阳光世纪大厦</t>
  </si>
  <si>
    <t>河南省郑州市金水区杨金路办事处王庄村18号</t>
  </si>
  <si>
    <t>杨建霞</t>
  </si>
  <si>
    <t>徐田增</t>
  </si>
  <si>
    <t>山东省聊城市临清市先锋街道大众路1050号</t>
  </si>
  <si>
    <t>山东省聊城市临清市八岔路镇西艾寨村88号</t>
  </si>
  <si>
    <t>赵李峰</t>
  </si>
  <si>
    <t>余永中</t>
  </si>
  <si>
    <t>刘铁</t>
  </si>
  <si>
    <t>刘贵菊</t>
  </si>
  <si>
    <t>何素芹</t>
  </si>
  <si>
    <t>安徽省宣城市广德县桃州镇中央乐城49号</t>
  </si>
  <si>
    <t>安徽省宣城市广德县桃州镇横山南路15幢</t>
  </si>
  <si>
    <t>冯晓伟</t>
  </si>
  <si>
    <t>山西省吕梁市离石区世纪广场新世纪大酒店附近世纪商城购物44号</t>
  </si>
  <si>
    <t>山西省吕梁市离石区世纪广场天益巷内艺苑华庭一单元1201</t>
  </si>
  <si>
    <t>于天池</t>
  </si>
  <si>
    <t>陈成文</t>
  </si>
  <si>
    <t>熊刚</t>
  </si>
  <si>
    <t>杨文豪</t>
  </si>
  <si>
    <t>沈洪波</t>
  </si>
  <si>
    <t>周海</t>
  </si>
  <si>
    <t>景士海</t>
  </si>
  <si>
    <t>杜鑫</t>
  </si>
  <si>
    <t>北京市北京市丰台区北京市丰台区丰北路甲79号</t>
  </si>
  <si>
    <t>北京市北京市海淀区北京市海淀区苏家坨镇台头村124号</t>
  </si>
  <si>
    <t>赵仕娇</t>
  </si>
  <si>
    <t>邱栋梁</t>
  </si>
  <si>
    <t>云南省曲靖市宣威市双龙街道文化路573号</t>
  </si>
  <si>
    <t>云南省宣威市双龙街道新天地小区9-1-701</t>
  </si>
  <si>
    <t>张苏杭</t>
  </si>
  <si>
    <t>吴杰昆</t>
  </si>
  <si>
    <t>胡宝伟</t>
  </si>
  <si>
    <t>山西省大同市左云县山西省大同市开发区金龙街</t>
  </si>
  <si>
    <t>山西省朔州市朔城区山西省朔州市怀仁县</t>
  </si>
  <si>
    <t>朱彪</t>
  </si>
  <si>
    <t>河南省信阳市固始县凤凰大道光明路南200米东</t>
  </si>
  <si>
    <t>河南省商丘市睢阳区天明第一城38号楼4单元508</t>
  </si>
  <si>
    <t>刘检波</t>
  </si>
  <si>
    <t>李秋影</t>
  </si>
  <si>
    <t>杜渊</t>
  </si>
  <si>
    <t>洪贵妹</t>
  </si>
  <si>
    <t>福建省漳州市漳浦县古雷新港城</t>
  </si>
  <si>
    <t>江苏省泰州市海陵区九龙镇水岸豪庭36幢114</t>
  </si>
  <si>
    <t>江苏省泰州市海陵区兴业小区22幢405</t>
  </si>
  <si>
    <t>张光</t>
  </si>
  <si>
    <t>黑龙江省鸡西市鸡冠区平安街广源小区一号楼门市</t>
  </si>
  <si>
    <t>黑龙江省鸡西市鸡冠区西鸡西街道幸福里小区17号楼三单元503室</t>
  </si>
  <si>
    <t>李桂芳</t>
  </si>
  <si>
    <t>张宇飞</t>
  </si>
  <si>
    <t>瞿章勇</t>
  </si>
  <si>
    <t>福建省厦门市思明区东湖街道顶山中路88号</t>
  </si>
  <si>
    <t>福建省厦门市海沧区东湖街道嘉福花园一期109室</t>
  </si>
  <si>
    <t>赵洪</t>
  </si>
  <si>
    <t>谌燕</t>
  </si>
  <si>
    <t>重庆市重庆市渝北区青枫北路30号凤凰C座5楼</t>
  </si>
  <si>
    <t>重庆市重庆市江北区黄泥磅森柯一馨园6-3</t>
  </si>
  <si>
    <t>覃远胜</t>
  </si>
  <si>
    <t>贵州省贵阳市云岩区贵州省贵阳市观山湖区金阳世纪城龙福苑。</t>
  </si>
  <si>
    <t>贵州省铜仁市碧江区贵州省贵阳市南明区花果园</t>
  </si>
  <si>
    <t>程硕</t>
  </si>
  <si>
    <t>梁照东</t>
  </si>
  <si>
    <t>辽宁省鞍山市海城市接文镇集贸市场正门口西88米</t>
  </si>
  <si>
    <t>辽宁省鞍山市海城市接文镇宋家村太阳沟村27号</t>
  </si>
  <si>
    <t>马跃</t>
  </si>
  <si>
    <t>辽宁省大连市金州区淮河西路68号</t>
  </si>
  <si>
    <t>辽宁省大连市金州区马桥子街道安盛花园4号楼2单元802</t>
  </si>
  <si>
    <t>刘龙飞</t>
  </si>
  <si>
    <t>耿闯</t>
  </si>
  <si>
    <t>周友良</t>
  </si>
  <si>
    <t>程剑</t>
  </si>
  <si>
    <t>曾水根</t>
  </si>
  <si>
    <t>袁勇</t>
  </si>
  <si>
    <t>姚樟彬</t>
  </si>
  <si>
    <t>河北省张家口市怀来县河北省张家口市怀来县董存瑞西街</t>
  </si>
  <si>
    <t>河北省张家口市赤城县白草镇二道川村卯道沟北街6号</t>
  </si>
  <si>
    <t>吴思梅</t>
  </si>
  <si>
    <t>四川省甘孜藏族自治州康定县将军桥</t>
  </si>
  <si>
    <t>四川省甘孜藏族自治州康定县宏大名苑</t>
  </si>
  <si>
    <t>程鹏丽</t>
  </si>
  <si>
    <t>上海市上海市松江区上海市松江区</t>
  </si>
  <si>
    <t>河南省安阳市林州市河南省安阳市林州市任村镇井头村</t>
  </si>
  <si>
    <t>陈少雄</t>
  </si>
  <si>
    <t>武立芳</t>
  </si>
  <si>
    <t>高英环</t>
  </si>
  <si>
    <t>辽宁省本溪市平山区银座购物广场</t>
  </si>
  <si>
    <t>辽宁省本溪市明山区消防路56栋3-9-27</t>
  </si>
  <si>
    <t>俞凯</t>
  </si>
  <si>
    <t>浙江省宁波市鄞州区东吴镇北村</t>
  </si>
  <si>
    <t>浙江省宁波市鄞州区东吴镇南村</t>
  </si>
  <si>
    <t>崔鹏亮</t>
  </si>
  <si>
    <t>戴乐波</t>
  </si>
  <si>
    <t>吴电山</t>
  </si>
  <si>
    <t>山东省临沂市兰山区临沂二路与开阳路交汇平安大厦2楼鸿瑞部</t>
  </si>
  <si>
    <t>山东省临沂市平邑县魏庄乡印荷庄村149号</t>
  </si>
  <si>
    <t>刘万平</t>
  </si>
  <si>
    <t>杨雨婷</t>
  </si>
  <si>
    <t>赵群</t>
  </si>
  <si>
    <t>周航宇</t>
  </si>
  <si>
    <t>蒋平</t>
  </si>
  <si>
    <t>广东省广州市番禺区大石街朝阳东路中段156号</t>
  </si>
  <si>
    <t>广东省广州市番禺区钟村镇钟四村南浦大街21巷5号</t>
  </si>
  <si>
    <t>范东旭</t>
  </si>
  <si>
    <t>苏嘉欣</t>
  </si>
  <si>
    <t>欧伟宏</t>
  </si>
  <si>
    <t>姚志文</t>
  </si>
  <si>
    <t>林昱衡</t>
  </si>
  <si>
    <t>福建省厦门市思明区厦门第一广场28层01</t>
  </si>
  <si>
    <t>福建省厦门市思明区金桥路米兰春天26号1207</t>
  </si>
  <si>
    <t>黄璐</t>
  </si>
  <si>
    <t>邓远航</t>
  </si>
  <si>
    <t>四川省宜宾市翠屏区临港装备城4A座1号</t>
  </si>
  <si>
    <t>四川省宜宾市南溪区福临大道钻石城3栋2003</t>
  </si>
  <si>
    <t>刘炳治</t>
  </si>
  <si>
    <t>彭健</t>
  </si>
  <si>
    <t>程伟</t>
  </si>
  <si>
    <t>向昌皇</t>
  </si>
  <si>
    <t>尹会子</t>
  </si>
  <si>
    <t>关静宇</t>
  </si>
  <si>
    <t>汪健伟</t>
  </si>
  <si>
    <t>阮华杰</t>
  </si>
  <si>
    <t>蒋继鑫</t>
  </si>
  <si>
    <t>北京市北京市朝阳区望京SOHO塔2-C座2708</t>
  </si>
  <si>
    <t>北京市北京市丰台区马家堡东路海户西里34号院3201</t>
  </si>
  <si>
    <t>凃仲超</t>
  </si>
  <si>
    <t>方骏</t>
  </si>
  <si>
    <t>庄鸿键</t>
  </si>
  <si>
    <t>叶龙虎</t>
  </si>
  <si>
    <t>贵州省贵阳市南明区贵州大学沙冲路校区</t>
  </si>
  <si>
    <t>贵州省黔南布依族苗族自治州惠水县好花红镇小龙村九组10号</t>
  </si>
  <si>
    <t>北京市北京市昌平区百沙路沙河地铁站对面二层</t>
  </si>
  <si>
    <t>北京市北京市昌平区百沙路松兰堡盛辉公寓</t>
  </si>
  <si>
    <t>旺信</t>
  </si>
  <si>
    <t>付璇</t>
  </si>
  <si>
    <t>邓兴强</t>
  </si>
  <si>
    <t>张言章</t>
  </si>
  <si>
    <t>岳帅华</t>
  </si>
  <si>
    <t>河南省安阳市林州市河南省安阳市林州市s228省道东区</t>
  </si>
  <si>
    <t>河南省安阳市林州市河南省安阳市林州市任村镇井头村北区65号</t>
  </si>
  <si>
    <t>黄珣</t>
  </si>
  <si>
    <t>四川省达州市大竹县四川省达州市大竹县竹阳镇高峰寺社区六组</t>
  </si>
  <si>
    <t>四川省达州市大竹县新华广场丰竹名苑b栋4单元201</t>
  </si>
  <si>
    <t>段超</t>
  </si>
  <si>
    <t>高云鹤</t>
  </si>
  <si>
    <t>李永恒</t>
  </si>
  <si>
    <t>左沈明</t>
  </si>
  <si>
    <t>杨旭超</t>
  </si>
  <si>
    <t>朱陈华</t>
  </si>
  <si>
    <t>湖北省荆州市沙市区银湖工业园</t>
  </si>
  <si>
    <t>湖北省荆州市沙市区皇城相府七栋</t>
  </si>
  <si>
    <t>付光泽</t>
  </si>
  <si>
    <t>张传军</t>
  </si>
  <si>
    <t>四川省成都市双流县新兴镇庙山村8号</t>
  </si>
  <si>
    <t>四川省成都市双流县新兴镇庙山村6号</t>
  </si>
  <si>
    <t>韩帅林</t>
  </si>
  <si>
    <t>严利明</t>
  </si>
  <si>
    <t>四川省宜宾市翠屏区华富戎州新城一栋一单元一号</t>
  </si>
  <si>
    <t>四川省宜宾市翠屏区山水原著一期19栋一单元3104</t>
  </si>
  <si>
    <t>梁仲谋</t>
  </si>
  <si>
    <t>项森瑞</t>
  </si>
  <si>
    <t>安徽省安庆市桐城市范岗镇挂镇村挂镇街96号</t>
  </si>
  <si>
    <t>安徽省安庆市桐城市金马花园1栋二单元502</t>
  </si>
  <si>
    <t>叶强</t>
  </si>
  <si>
    <t>魏冲</t>
  </si>
  <si>
    <t>孔福旺</t>
  </si>
  <si>
    <t>潘天元</t>
  </si>
  <si>
    <t>江国征</t>
  </si>
  <si>
    <t>王乐永</t>
  </si>
  <si>
    <t>安徽省合肥市庐阳区亳州路天庆大厦1703</t>
  </si>
  <si>
    <t>安徽省合肥市包河区肥东县撮镇和谐家园</t>
  </si>
  <si>
    <t>孙雅楠</t>
  </si>
  <si>
    <t>陕西省咸阳市秦都区渭阳西路西延段123号</t>
  </si>
  <si>
    <t>陕西省咸阳市渭城区民生东路凤凰嘉园B02号1单元201号</t>
  </si>
  <si>
    <t>贾瑶瑶</t>
  </si>
  <si>
    <t>江苏省苏州市吴中区吴东路1198号</t>
  </si>
  <si>
    <t>江苏省苏州市吴中区木渎镇善人桥村下官山32号</t>
  </si>
  <si>
    <t>河北省承德市双滦区双塔山镇御水花园第13栋102号</t>
  </si>
  <si>
    <t>河北省承德市承德县高寺台镇东营村七组33号</t>
  </si>
  <si>
    <t>刘东岳</t>
  </si>
  <si>
    <t>上海市上海市宝山区</t>
  </si>
  <si>
    <t>上海市宝山区蕴川路5300弄1号4-177室</t>
  </si>
  <si>
    <t>上海市上海市虹口区水电路818弄9号1003</t>
  </si>
  <si>
    <t>王大牛</t>
  </si>
  <si>
    <t>冯永兴</t>
  </si>
  <si>
    <t>霍晓韦</t>
  </si>
  <si>
    <t>徐智沈</t>
  </si>
  <si>
    <t>王光耀</t>
  </si>
  <si>
    <t>河南省许昌市长葛市后河镇小辛庄牌坊</t>
  </si>
  <si>
    <t>河南省许昌市长葛市后河镇三角王村一组</t>
  </si>
  <si>
    <t>姚来福</t>
  </si>
  <si>
    <t>彩霞</t>
  </si>
  <si>
    <t>匡依莲</t>
  </si>
  <si>
    <t>李世震</t>
  </si>
  <si>
    <t>李海平</t>
  </si>
  <si>
    <t>徐厚轩</t>
  </si>
  <si>
    <t>宋岚</t>
  </si>
  <si>
    <t>李小花</t>
  </si>
  <si>
    <t>方忠忠</t>
  </si>
  <si>
    <t>何张成</t>
  </si>
  <si>
    <t>张彩鹏</t>
  </si>
  <si>
    <t>石天桥</t>
  </si>
  <si>
    <t>詹金钢</t>
  </si>
  <si>
    <t>辽宁省大连市沙河口区南昌平东街87号</t>
  </si>
  <si>
    <t>辽宁省大连市甘井子区海燕街395号1-2-3</t>
  </si>
  <si>
    <t>郭晓媞</t>
  </si>
  <si>
    <t>王天美</t>
  </si>
  <si>
    <t>杨佳乐</t>
  </si>
  <si>
    <t>沈世涛</t>
  </si>
  <si>
    <t>重庆市重庆市九龙坡区兰美路110号8栋24号</t>
  </si>
  <si>
    <t>重庆市重庆市江津区杜市镇龙凤街龙凤茶楼6-1</t>
  </si>
  <si>
    <t>陈洪飞</t>
  </si>
  <si>
    <t>陈燕华</t>
  </si>
  <si>
    <t>黑龙江省鸡西市鸡冠区和平大街129号</t>
  </si>
  <si>
    <t>黑龙江省鸡西市鸡冠区电工路局东小区3号楼3单元501</t>
  </si>
  <si>
    <t>刘佳宝</t>
  </si>
  <si>
    <t>许振东</t>
  </si>
  <si>
    <t>权高峰</t>
  </si>
  <si>
    <t>陕西省西安市雁塔区高新一路创业大厦一楼</t>
  </si>
  <si>
    <t>陕西省西安市雁塔区高新路靡家桥小区2206</t>
  </si>
  <si>
    <t>潘汉钟</t>
  </si>
  <si>
    <t>朱俭秋</t>
  </si>
  <si>
    <t>辽宁省沈阳市和平区华山路珠江街135号4楼</t>
  </si>
  <si>
    <t>辽宁省沈阳市皇姑区昆山西路202巷15-2号1-5-4</t>
  </si>
  <si>
    <t>刘国泰</t>
  </si>
  <si>
    <t>陕西省西安市临潼区人民西路石油城石榴花城九号楼三单元一楼西</t>
  </si>
  <si>
    <t>陕西省渭南市韩城市金城办苏村二组二十四号</t>
  </si>
  <si>
    <t>张金红</t>
  </si>
  <si>
    <t>瞿健</t>
  </si>
  <si>
    <t>上海市上海市黄浦区金地城547号</t>
  </si>
  <si>
    <t>上海市上海市奉贤区六灶湾村勤俭845号</t>
  </si>
  <si>
    <t>周俏</t>
  </si>
  <si>
    <t>王力娜</t>
  </si>
  <si>
    <t>张耀祥</t>
  </si>
  <si>
    <t>湖北省恩施土家族苗族自治州恩施市恩施市旗峰大道213号</t>
  </si>
  <si>
    <t>湖北省恩施土家族苗族自治州恩施市湖北省恩施土家族自治州恩施市航空大道198号欧逸佳苑A栋1单元1003</t>
  </si>
  <si>
    <t>兰君</t>
  </si>
  <si>
    <t>陈泽龙</t>
  </si>
  <si>
    <t>胡婧婧</t>
  </si>
  <si>
    <t>温晶晶</t>
  </si>
  <si>
    <t>陈勇斌</t>
  </si>
  <si>
    <t>章云祥</t>
  </si>
  <si>
    <t>陈东杰</t>
  </si>
  <si>
    <t>辛胜光</t>
  </si>
  <si>
    <t>吴晓兴</t>
  </si>
  <si>
    <t>瞿四梅</t>
  </si>
  <si>
    <t>李秀达</t>
  </si>
  <si>
    <t>何奎锋</t>
  </si>
  <si>
    <t>福建省厦门市同安区洪塘镇新厝村尤厝里42号</t>
  </si>
  <si>
    <t>福建省厦门市同安区洪塘镇新厝村尤厝里17号</t>
  </si>
  <si>
    <t>徐伏彦</t>
  </si>
  <si>
    <t>江苏省镇江市润州区镇江万达广场DB1幢0508室</t>
  </si>
  <si>
    <t>江苏省镇江市润洲区戴家圩59号</t>
  </si>
  <si>
    <t>重庆市重庆市涪陵区涪陵区太极大道71号区委办</t>
  </si>
  <si>
    <t>重庆市重庆市涪陵区涪陵区太极大道71号11幢3单元8一1</t>
  </si>
  <si>
    <t>耿加伟</t>
  </si>
  <si>
    <t>河南省郑州市金水区东明路218号索克大厦309</t>
  </si>
  <si>
    <t>河南省郑州市金水区陈旭路10号院恒生府邸</t>
  </si>
  <si>
    <t>何责宁</t>
  </si>
  <si>
    <t>山西省太原市小店区太榆路199号</t>
  </si>
  <si>
    <t>山西省太原市万柏林区万水澜庭3-3-1901</t>
  </si>
  <si>
    <t>汤广威</t>
  </si>
  <si>
    <t>汪嘉庆</t>
  </si>
  <si>
    <t>山西省太原市杏花岭区胜利街229号</t>
  </si>
  <si>
    <t>山西省太原市杏花岭区胜利街上北关小区2-3-704</t>
  </si>
  <si>
    <t>颜玲</t>
  </si>
  <si>
    <t>叶勤仿</t>
  </si>
  <si>
    <t>陈广发</t>
  </si>
  <si>
    <t>广东省广州市海珠区新港东路1168号环汇商业广场5楼</t>
  </si>
  <si>
    <t>广东省广州市番禺区东环路132号番艺花苑永丰楼701</t>
  </si>
  <si>
    <t>叶懿</t>
  </si>
  <si>
    <t>丁宝成</t>
  </si>
  <si>
    <t>曾聪</t>
  </si>
  <si>
    <t>袁玉娜</t>
  </si>
  <si>
    <t>司徒永钲</t>
  </si>
  <si>
    <t>广东省广州市白云区新市新天地109号地铺</t>
  </si>
  <si>
    <t>广东省江门市开平市赤坎镇永坚雁翔里南四巷十三号</t>
  </si>
  <si>
    <t>王琼</t>
  </si>
  <si>
    <t>张力士</t>
  </si>
  <si>
    <t>河南省许昌市长葛市长葛市魏武路东五十米</t>
  </si>
  <si>
    <t>河南省许昌市长葛市建设路马东羊肉馆颐秀家园小区</t>
  </si>
  <si>
    <t>唐广丹</t>
  </si>
  <si>
    <t>胡金鹏</t>
  </si>
  <si>
    <t>湖北省黄冈市英山县英山县杨柳湾镇杨柳大道179号</t>
  </si>
  <si>
    <t>湖北省黄冈市英山县杨柳湾镇文良巷23号</t>
  </si>
  <si>
    <t>胡鸿</t>
  </si>
  <si>
    <t>张晓明</t>
  </si>
  <si>
    <t>湖北省宜昌市枝江市玉泉办事处合意村一组</t>
  </si>
  <si>
    <t>湖北省宜昌市西陵区和平路安居小区3310号</t>
  </si>
  <si>
    <t>李锦强</t>
  </si>
  <si>
    <t>郑康柱</t>
  </si>
  <si>
    <t>四川省绵阳市涪城区四川绵阳天骄摩尔商业广场三楼</t>
  </si>
  <si>
    <t>四川省绵阳市涪城区园艺山长兴星城一栋二单元十四楼三号</t>
  </si>
  <si>
    <t>李建宇</t>
  </si>
  <si>
    <t>于鹤</t>
  </si>
  <si>
    <t>林巧顺</t>
  </si>
  <si>
    <t>广东省广州市荔湾区东莞市南城区莞太路周溪路口向107国道环西7/8号</t>
  </si>
  <si>
    <t>广东省广州市荔湾区东莞市寮步镇横竹塘路万荣网吧</t>
  </si>
  <si>
    <t>任洋锋</t>
  </si>
  <si>
    <t>黄文晶</t>
  </si>
  <si>
    <t>官一鹏</t>
  </si>
  <si>
    <t>何雅倩</t>
  </si>
  <si>
    <t>重庆市重庆市北碚区重庆市北碚区状元府第绕城高速公路收费站</t>
  </si>
  <si>
    <t>重庆市重庆市北碚区天生人民村195号</t>
  </si>
  <si>
    <t>河南省郑州市中原区高新技术开发区枫香街祥营安置小区27号商铺</t>
  </si>
  <si>
    <t>河南省郑州市中原区高新技术开发区枫香街祥瑞苑小区19号楼一单元2201室</t>
  </si>
  <si>
    <t>刘志豪</t>
  </si>
  <si>
    <t>谭克洪</t>
  </si>
  <si>
    <t>安徽省合肥市瑶海区北二环国际汽车城</t>
  </si>
  <si>
    <t>安徽省合肥市瑶海区琥珀名城和园17栋一单元302</t>
  </si>
  <si>
    <t>张观灵</t>
  </si>
  <si>
    <t>冯玥玮</t>
  </si>
  <si>
    <t>吴友龙</t>
  </si>
  <si>
    <t>梅权英</t>
  </si>
  <si>
    <t>苏光英</t>
  </si>
  <si>
    <t>纪续双</t>
  </si>
  <si>
    <t>瞿德才</t>
  </si>
  <si>
    <t>山东省潍坊市临朐县沂山路2277号</t>
  </si>
  <si>
    <t>山东省潍坊市临朐县辛寨镇瞿家圈村553号</t>
  </si>
  <si>
    <t>沈波</t>
  </si>
  <si>
    <t>浙江省湖州市南浔区菱湖镇公园北路47号</t>
  </si>
  <si>
    <t>浙江省湖州市南浔区菱湖镇世纪佳园3幢306室</t>
  </si>
  <si>
    <t>孙达</t>
  </si>
  <si>
    <t>潘学峰</t>
  </si>
  <si>
    <t>何雪</t>
  </si>
  <si>
    <t>新疆乌鲁木齐市水磨沟区石人沟中路1711号</t>
  </si>
  <si>
    <t>新疆乌鲁木齐市水磨沟区芦草沟乡石人沟村一队</t>
  </si>
  <si>
    <t>莫嵛钧</t>
  </si>
  <si>
    <t>李锴锐</t>
  </si>
  <si>
    <t>苏小珊</t>
  </si>
  <si>
    <t>张学奇</t>
  </si>
  <si>
    <t>兰景旗</t>
  </si>
  <si>
    <t>康罗有</t>
  </si>
  <si>
    <t>广东省茂名市茂南区光华南路59号大院首层五月花名店</t>
  </si>
  <si>
    <t>广东省湛江市霞山区友谊路9号12栋1门101房</t>
  </si>
  <si>
    <t>陶娟秀</t>
  </si>
  <si>
    <t>梁红振</t>
  </si>
  <si>
    <t>山东省荷泽市鄄城县鄄城工业园区</t>
  </si>
  <si>
    <t>山东省荷泽市鄄城县红船镇梁楼行政村中梁楼村134号</t>
  </si>
  <si>
    <t>彭雪杰</t>
  </si>
  <si>
    <t>辛雨桐</t>
  </si>
  <si>
    <t>廖驰杭</t>
  </si>
  <si>
    <t>贺东东</t>
  </si>
  <si>
    <t>孙让文</t>
  </si>
  <si>
    <t>山东省青岛市黄岛区山东省青岛市黄岛区</t>
  </si>
  <si>
    <t>山东省青岛市黄岛区山东省青岛市黄岛区胶南街道办事处峡沟村</t>
  </si>
  <si>
    <t>龙妍</t>
  </si>
  <si>
    <t>梁妙言</t>
  </si>
  <si>
    <t>姚红</t>
  </si>
  <si>
    <t>郭万林</t>
  </si>
  <si>
    <t>俞宗伟</t>
  </si>
  <si>
    <t>席明瑜</t>
  </si>
  <si>
    <t>叶铭</t>
  </si>
  <si>
    <t>广东省肇庆市端州区信安路敏捷城1期2栋2001室</t>
  </si>
  <si>
    <t>广东省肇庆市端州区端州四路17号11幢805房</t>
  </si>
  <si>
    <t>刘全鑫</t>
  </si>
  <si>
    <t>胡一涛</t>
  </si>
  <si>
    <t>江西省景德镇市昌江区蟠龙路古窑后门鼎窑瓷园</t>
  </si>
  <si>
    <t>江西省景德镇市珠山区新厂西路玉风宿舍1栋506室</t>
  </si>
  <si>
    <t>辽宁省沈阳市铁西区南八中路73号</t>
  </si>
  <si>
    <t>辽宁省沈阳市皇姑区崇山西路1号4单元501室</t>
  </si>
  <si>
    <t>陈会福</t>
  </si>
  <si>
    <t>彭海</t>
  </si>
  <si>
    <t>杨清永</t>
  </si>
  <si>
    <t>河南省鹤壁市淇滨区淇滨大道215号</t>
  </si>
  <si>
    <t>鹤壁市淇滨区大来店镇申屯村77号</t>
  </si>
  <si>
    <t>陆兰飘</t>
  </si>
  <si>
    <t>陈明振</t>
  </si>
  <si>
    <t>安徽省合肥市肥东县撮镇大郭路86号</t>
  </si>
  <si>
    <t>李俊良</t>
  </si>
  <si>
    <t>内蒙古鄂尔多斯市准格尔旗大路新区久泰能源化工有限责任公司</t>
  </si>
  <si>
    <t>内蒙古鄂尔多斯市准格尔旗大路新区水红花小区12号楼1单元601</t>
  </si>
  <si>
    <t>赵怀宽</t>
  </si>
  <si>
    <t>阿布力肯木·阿布迪热木</t>
  </si>
  <si>
    <t>新疆阿克苏地区库车县天山东路</t>
  </si>
  <si>
    <t>新疆阿克苏地区库车县玉奇吾斯塘乡玉奇吾斯塘村一组140号</t>
  </si>
  <si>
    <t>吴委宸</t>
  </si>
  <si>
    <t>四川省广安市广安区龙塘街道宏前大道一号</t>
  </si>
  <si>
    <t>四川省广安市华蓥市双河街道桂花路一号</t>
  </si>
  <si>
    <t>杨双成</t>
  </si>
  <si>
    <t>高明杨</t>
  </si>
  <si>
    <t>上海市上海市浦东新区惠南镇卫星西路11号18栋206室</t>
  </si>
  <si>
    <t>上海市上海市青浦区徐民路与盘龙路交口中核二二项目部</t>
  </si>
  <si>
    <t>徐晓辉</t>
  </si>
  <si>
    <t>杨智钧</t>
  </si>
  <si>
    <t>河南省商丘市民权县波尔多风情街6号楼4楼</t>
  </si>
  <si>
    <t>河南省商丘市民权县绿洲街道办事处和平东路83号</t>
  </si>
  <si>
    <t>徐增增</t>
  </si>
  <si>
    <t>王花勇</t>
  </si>
  <si>
    <t>北京市北京市朝阳区北京市朝阳区望京西路48号金隅国际A座1005</t>
  </si>
  <si>
    <t>北京市北京市密云县巨各庄镇水峪村南山街甲1号</t>
  </si>
  <si>
    <t>古鑫</t>
  </si>
  <si>
    <t>四川省宜宾市宜宾县阳光康郡6_1_3</t>
  </si>
  <si>
    <t>四川省宜宾市翠屏区红坝大道5号15栋2单元26号</t>
  </si>
  <si>
    <t>黄宇洋</t>
  </si>
  <si>
    <t>罗凯强</t>
  </si>
  <si>
    <t>包学亮</t>
  </si>
  <si>
    <t>云南省昆明市五华区昆明市五华区黄土坡</t>
  </si>
  <si>
    <t>云南省昆明市五华区云南省昆明市五华区黄土坡北村</t>
  </si>
  <si>
    <t>戚辉彬</t>
  </si>
  <si>
    <t>徐海军</t>
  </si>
  <si>
    <t>许少华</t>
  </si>
  <si>
    <t>安徽省铜陵市铜陵县铜陵市义安区西联镇钟仓街道</t>
  </si>
  <si>
    <t>安徽省铜陵市狮子山区铜陵市狮子山区双桥村许咀组30号</t>
  </si>
  <si>
    <t>李乐媛</t>
  </si>
  <si>
    <t>天津市天津市东丽区空港经济区环河西路八号增三号</t>
  </si>
  <si>
    <t>天津市天津市东丽区东丽湖万科城观湖苑4号楼1703</t>
  </si>
  <si>
    <t>陈雪玲</t>
  </si>
  <si>
    <t>福建省漳州市芗城区福建省漳州市腾飞路388</t>
  </si>
  <si>
    <t>福建省漳州市诏安县福建省漳州市诏安县深桥镇岸屿村</t>
  </si>
  <si>
    <t>卢里朝</t>
  </si>
  <si>
    <t>项乾峰</t>
  </si>
  <si>
    <t>刘根华</t>
  </si>
  <si>
    <t>翟宏宇</t>
  </si>
  <si>
    <t>内蒙古包头市青山区青山路七号街坊底店2栋10号</t>
  </si>
  <si>
    <t>内蒙古包头市青山区青东路都兰小区15栋90号</t>
  </si>
  <si>
    <t>徐蒙蒙</t>
  </si>
  <si>
    <t>樊天聪</t>
  </si>
  <si>
    <t>赖丰</t>
  </si>
  <si>
    <t>严海波</t>
  </si>
  <si>
    <t>刘二林</t>
  </si>
  <si>
    <t>陕西省榆林市榆阳区东沙银沙路与红山路西南角275号</t>
  </si>
  <si>
    <t>陕西省榆林市榆阳区东沙恒安路恒安小区四排一号</t>
  </si>
  <si>
    <t>穆春</t>
  </si>
  <si>
    <t>纪高亮</t>
  </si>
  <si>
    <t>山东省青岛市城阳区城阳街道崇阳路</t>
  </si>
  <si>
    <t>山东省青岛市城阳区城阳街道大北曲东村408号</t>
  </si>
  <si>
    <t>王玉亮</t>
  </si>
  <si>
    <t>雷甜甜</t>
  </si>
  <si>
    <t>何华勇</t>
  </si>
  <si>
    <t>浙江省温州市鹿城区马鞍池东路320号</t>
  </si>
  <si>
    <t>浙江省温州市鹿城区葡萄棚3号</t>
  </si>
  <si>
    <t>蒋世涛</t>
  </si>
  <si>
    <t>山东省济宁市汶上县汶上县圣泽大街西段路南华儒重创空间406室</t>
  </si>
  <si>
    <t>山东省济宁市汶上县汶上县康驿镇麻窝村后刘街095号</t>
  </si>
  <si>
    <t>张小喜</t>
  </si>
  <si>
    <t>河南省濮阳市华龙区濮阳市华龙区黄河路与长庆路交叉口</t>
  </si>
  <si>
    <t>河南省濮阳市华龙区濮阳市南乐县城关镇岳古村</t>
  </si>
  <si>
    <t>张银磊</t>
  </si>
  <si>
    <t>刘力源</t>
  </si>
  <si>
    <t>云南省昆明市五华区白塔路397号</t>
  </si>
  <si>
    <t>云南省昆明市五华区国际花园</t>
  </si>
  <si>
    <t>宁夏石嘴山市平罗县阳光文化城美食汇内1-6号</t>
  </si>
  <si>
    <t>宁夏石嘴山市平罗县鑫盛家园4号楼3单元302</t>
  </si>
  <si>
    <t>陈喆</t>
  </si>
  <si>
    <t>唐冬</t>
  </si>
  <si>
    <t>广西南宁市江南区南站路30号</t>
  </si>
  <si>
    <t>广西南宁市江南区新站路8号中馨苑一幢二单元604</t>
  </si>
  <si>
    <t>王笑</t>
  </si>
  <si>
    <t>高会军</t>
  </si>
  <si>
    <t>河北省邯郸市复兴区前进大街258号</t>
  </si>
  <si>
    <t>河北省邯郸市复兴区阳春小区一号楼一单元401</t>
  </si>
  <si>
    <t>李毅斯</t>
  </si>
  <si>
    <t>童昌宏</t>
  </si>
  <si>
    <t>丁春霞</t>
  </si>
  <si>
    <t>湖南省常德市武陵区湖南省常德市德山经济开发区乾明南路</t>
  </si>
  <si>
    <t>湖南省长沙市芙蓉区湖南省长沙市雨花区万家丽路三段美洲故事</t>
  </si>
  <si>
    <t>郭建小</t>
  </si>
  <si>
    <t>袁靖杰</t>
  </si>
  <si>
    <t>浙江省嘉兴市桐乡市屠甸前进路1400号</t>
  </si>
  <si>
    <t>浙江省嘉兴市嘉善县车站路格林春天2-2-102</t>
  </si>
  <si>
    <t>伍师光</t>
  </si>
  <si>
    <t>司大江</t>
  </si>
  <si>
    <t>余瑞龙</t>
  </si>
  <si>
    <t>云南省昆明市官渡区昆明市官渡区云大西路326号</t>
  </si>
  <si>
    <t>云南省昆明市官渡区昆明市官渡区晓东村220号</t>
  </si>
  <si>
    <t>胥小波</t>
  </si>
  <si>
    <t>四川省遂宁市射洪县文化路32号</t>
  </si>
  <si>
    <t>四川省遂宁市射洪县滨湖花园3单元4-1</t>
  </si>
  <si>
    <t>李友财</t>
  </si>
  <si>
    <t>杨祖平</t>
  </si>
  <si>
    <t>马小波</t>
  </si>
  <si>
    <t>赵梦莹</t>
  </si>
  <si>
    <t>彭刚</t>
  </si>
  <si>
    <t>湖南省长沙市岳麓区含浦大道与云栖路交汇处起亚4s店</t>
  </si>
  <si>
    <t>湖南省长沙市雨花区左家塘妹子山曙光领峰1栋三单元2509号</t>
  </si>
  <si>
    <t>陈玉正</t>
  </si>
  <si>
    <t>王道伟</t>
  </si>
  <si>
    <t>李聪聪</t>
  </si>
  <si>
    <t>湖北省武汉市汉阳区鹦鹉大道409号</t>
  </si>
  <si>
    <t>湖北省武汉市汉阳区倒口南村向阳雅居</t>
  </si>
  <si>
    <t>冉劲</t>
  </si>
  <si>
    <t>郭海英</t>
  </si>
  <si>
    <t>黄健立</t>
  </si>
  <si>
    <t>广东省深圳市龙岗区宝龙街道宝龙社区锦龙一路9号c栋2-3楼</t>
  </si>
  <si>
    <t>广东省深圳市龙岗区坪山新区三洋湖小区一巷2号</t>
  </si>
  <si>
    <t>陈海鑫</t>
  </si>
  <si>
    <t>褚姗姗</t>
  </si>
  <si>
    <t>齐荣培</t>
  </si>
  <si>
    <t>董站伟</t>
  </si>
  <si>
    <t>黄学嫒</t>
  </si>
  <si>
    <t>邹良伟</t>
  </si>
  <si>
    <t>姚野</t>
  </si>
  <si>
    <t>李彩虹</t>
  </si>
  <si>
    <t>胡大海</t>
  </si>
  <si>
    <t>祝文琴</t>
  </si>
  <si>
    <t>茆芮祥</t>
  </si>
  <si>
    <t>江苏省扬州市宝应县宝应县安宜北路652号</t>
  </si>
  <si>
    <t>江苏省扬州市宝应县安宜东路95号</t>
  </si>
  <si>
    <t>陈元宁</t>
  </si>
  <si>
    <t>郭浩</t>
  </si>
  <si>
    <t>隆志锋</t>
  </si>
  <si>
    <t>鲍乐乐</t>
  </si>
  <si>
    <t>聂雯雯</t>
  </si>
  <si>
    <t>俞瑞媛</t>
  </si>
  <si>
    <t>龚列萍</t>
  </si>
  <si>
    <t>卫江松</t>
  </si>
  <si>
    <t>李青兰</t>
  </si>
  <si>
    <t>宋伟娜</t>
  </si>
  <si>
    <t>尚福玉</t>
  </si>
  <si>
    <t>张世龙</t>
  </si>
  <si>
    <t>四川省成都市锦江区青石桥南街88号</t>
  </si>
  <si>
    <t>四川省成都市锦江区龙王庙街雅士院一栋一单元四楼</t>
  </si>
  <si>
    <t>阳青科</t>
  </si>
  <si>
    <t>胡琪琪</t>
  </si>
  <si>
    <t>黄天依</t>
  </si>
  <si>
    <t>山东省青岛市崂山区沙子口街道岭西真诚家超市喜旺专柜</t>
  </si>
  <si>
    <t>山东省青岛市崂山区沙子口街道前登瀛村</t>
  </si>
  <si>
    <t>张隽</t>
  </si>
  <si>
    <t>唐宏文</t>
  </si>
  <si>
    <t>韩宜波</t>
  </si>
  <si>
    <t>山西省运城市盐湖区黄河大道姚孟高铁桥北</t>
  </si>
  <si>
    <t>山西省运城市盐湖区东城街道南风百货负一楼</t>
  </si>
  <si>
    <t>河北省保定市徐水县小千秋村东85号</t>
  </si>
  <si>
    <t>河北省保定市徐水县联兴路五巷五号楼一号</t>
  </si>
  <si>
    <t>辽宁省本溪市平山区本溪市南地路本钢</t>
  </si>
  <si>
    <t>辽宁省本溪市溪湖区彩北路彩新街</t>
  </si>
  <si>
    <t>陕西省西安市未央区未央路盛龙广场</t>
  </si>
  <si>
    <t>陕西省西安市未央区龙首北路凯跃汇景</t>
  </si>
  <si>
    <t>张修宝</t>
  </si>
  <si>
    <t>崔志峰</t>
  </si>
  <si>
    <t>胡容</t>
  </si>
  <si>
    <t>河北省唐山市曹妃甸区曹妃甸工业区港口物流园区</t>
  </si>
  <si>
    <t>河北省唐山市曹妃甸区滨海大道盛世雅居小区2-3-1041</t>
  </si>
  <si>
    <t>王精精</t>
  </si>
  <si>
    <t>翟洪亮</t>
  </si>
  <si>
    <t>山东省济南市历城区洪家楼西路31号</t>
  </si>
  <si>
    <t>山东省济南市历城区花园小区四区四号楼一单元一零一室</t>
  </si>
  <si>
    <t>周春娇</t>
  </si>
  <si>
    <t>辽宁省本溪市南芬区本溪市南芬区下马塘镇金塘佳苑第10栋1单元8号</t>
  </si>
  <si>
    <t>辽宁省本溪市南芬区本溪市南芬区下马塘镇金塘小区</t>
  </si>
  <si>
    <t>陈冬梅</t>
  </si>
  <si>
    <t>郑明武</t>
  </si>
  <si>
    <t>万成龙</t>
  </si>
  <si>
    <t>叶连嘉</t>
  </si>
  <si>
    <t>韩福东</t>
  </si>
  <si>
    <t>山西省阳泉市矿区河神庙美丽家园16号底商</t>
  </si>
  <si>
    <t>山西省阳泉市矿区馨康家园24楼12门15号</t>
  </si>
  <si>
    <t>谢贤</t>
  </si>
  <si>
    <t>宁夏吴忠市利通区朝阳东街早茶牛肉面</t>
  </si>
  <si>
    <t>宁夏吴忠市利通区星河嘉诚十号楼二单元402</t>
  </si>
  <si>
    <t>斯鹏</t>
  </si>
  <si>
    <t>周娟</t>
  </si>
  <si>
    <t>何进</t>
  </si>
  <si>
    <t>吴志明</t>
  </si>
  <si>
    <t>何起源</t>
  </si>
  <si>
    <t>赵京兵</t>
  </si>
  <si>
    <t>山东省济南市槐荫区经七路泰山国际大厦20层</t>
  </si>
  <si>
    <t>山东省临沂市平邑县银花路商贸城15号楼三单元1102</t>
  </si>
  <si>
    <t>张春霞</t>
  </si>
  <si>
    <t>楚立涛</t>
  </si>
  <si>
    <t>河北省石家庄市桥西区新石中路金石大厦A座603室</t>
  </si>
  <si>
    <t>河北省石家庄市裕华区东岗路国大全城7号楼1单元901室</t>
  </si>
  <si>
    <t>杨霖</t>
  </si>
  <si>
    <t>牟小伟</t>
  </si>
  <si>
    <t>黄鸿长</t>
  </si>
  <si>
    <t>鲁婷</t>
  </si>
  <si>
    <t>陕西省汉中市汉台区西一环路北段嘉远建材城三楼</t>
  </si>
  <si>
    <t>陕西省汉中市汉台区河东店镇瞿鲁营村五组75号</t>
  </si>
  <si>
    <t>姚翔</t>
  </si>
  <si>
    <t>田翠翠</t>
  </si>
  <si>
    <t>赵浚</t>
  </si>
  <si>
    <t>徐金岭</t>
  </si>
  <si>
    <t>陈恒</t>
  </si>
  <si>
    <t>黄华红</t>
  </si>
  <si>
    <t>徐峻松</t>
  </si>
  <si>
    <t>山东省威海市环翠区经区金海湾花园18号楼</t>
  </si>
  <si>
    <t>山东省威海市环翠区青岛南路百度城B座522室</t>
  </si>
  <si>
    <t>张孟昌</t>
  </si>
  <si>
    <t>海南省海口市美兰区海口市美兰区美群路13号</t>
  </si>
  <si>
    <t>海口市龙华区解放西路11号</t>
  </si>
  <si>
    <t>程斌</t>
  </si>
  <si>
    <t>湖北省咸宁市赤壁市陆水湖大道90号</t>
  </si>
  <si>
    <t>湖北省咸宁市赤壁市城北花园6栋302</t>
  </si>
  <si>
    <t>邱洪文</t>
  </si>
  <si>
    <t>季飞</t>
  </si>
  <si>
    <t>徐慧</t>
  </si>
  <si>
    <t>王福星</t>
  </si>
  <si>
    <t>高长更</t>
  </si>
  <si>
    <t>曹延炜</t>
  </si>
  <si>
    <t>余满江</t>
  </si>
  <si>
    <t>左亚军</t>
  </si>
  <si>
    <t>张荣庆</t>
  </si>
  <si>
    <t>胡振新</t>
  </si>
  <si>
    <t>苏东青</t>
  </si>
  <si>
    <t>江西省上饶市横峰县人民大道112号</t>
  </si>
  <si>
    <t>江西省上饶市上饶县横峰县姚家乡兰子村朝地门组2号</t>
  </si>
  <si>
    <t>关宏国</t>
  </si>
  <si>
    <t>郤鑫铭</t>
  </si>
  <si>
    <t>耿仕旺</t>
  </si>
  <si>
    <t>全磊</t>
  </si>
  <si>
    <t>冷保华</t>
  </si>
  <si>
    <t>谢梦云</t>
  </si>
  <si>
    <t>黄盛林</t>
  </si>
  <si>
    <t>姚元政</t>
  </si>
  <si>
    <t>刘润中</t>
  </si>
  <si>
    <t>郝志飞</t>
  </si>
  <si>
    <t>阳仟</t>
  </si>
  <si>
    <t>沈楠</t>
  </si>
  <si>
    <t>冒攀</t>
  </si>
  <si>
    <t>山西省朔州市朔城区开发北路68号</t>
  </si>
  <si>
    <t>山西省朔州市朔城区梁郡路畅春苑小区4号楼一单元302室</t>
  </si>
  <si>
    <t>魏荣</t>
  </si>
  <si>
    <t>李鉴超</t>
  </si>
  <si>
    <t>温霞</t>
  </si>
  <si>
    <t>马燕</t>
  </si>
  <si>
    <t>山西省太原市杏花岭区鼓楼街鼓楼世纪广场巴黎大街</t>
  </si>
  <si>
    <t>山西省太原市杏花岭区胜利街煤气化小区1号楼一单元2602</t>
  </si>
  <si>
    <t>张学春</t>
  </si>
  <si>
    <t>简相东</t>
  </si>
  <si>
    <t>张益亭</t>
  </si>
  <si>
    <t>周德广</t>
  </si>
  <si>
    <t>浙江省湖州市吴兴区浙江省湖州市长兴县长洲路518号</t>
  </si>
  <si>
    <t>江苏省盐城市滨海县正红镇獐沟居委会薛庄组44号</t>
  </si>
  <si>
    <t>高倩</t>
  </si>
  <si>
    <t>金浴蛟</t>
  </si>
  <si>
    <t>李莹</t>
  </si>
  <si>
    <t>山东省潍坊市青州市青州市益都中路2098号</t>
  </si>
  <si>
    <t>山东省潍坊市青州市青州市徐桥南街南一巷2号</t>
  </si>
  <si>
    <t>唐小强</t>
  </si>
  <si>
    <t>安徽省合肥市蜀山区长江西路7号锦江大厦b座2310室</t>
  </si>
  <si>
    <t>安徽省合肥市庐阳区四里河路中铁国际城品园9栋2503室</t>
  </si>
  <si>
    <t>班明红</t>
  </si>
  <si>
    <t>王晓垒</t>
  </si>
  <si>
    <t>河南省濮阳市华龙区河南省濮阳市南乐县东环建材市场内121号</t>
  </si>
  <si>
    <t>河南省濮阳市南乐县谷金楼乡王方山固村</t>
  </si>
  <si>
    <t>向东</t>
  </si>
  <si>
    <t>丰宇</t>
  </si>
  <si>
    <t>钱鑫洲</t>
  </si>
  <si>
    <t>崔玉红</t>
  </si>
  <si>
    <t>张晓利</t>
  </si>
  <si>
    <t>曹宇琪</t>
  </si>
  <si>
    <t>吴广业</t>
  </si>
  <si>
    <t>广西贵港市港北区平南镇大将古龙街37号</t>
  </si>
  <si>
    <t>广西贵港市平南县思界乡官塘村新江屯30号</t>
  </si>
  <si>
    <t>肖洪波</t>
  </si>
  <si>
    <t>曹云</t>
  </si>
  <si>
    <t>邓顺友</t>
  </si>
  <si>
    <t>刘富城</t>
  </si>
  <si>
    <t>郑晓龙</t>
  </si>
  <si>
    <t>庄志兴</t>
  </si>
  <si>
    <t>安徽省合肥市肥西县明珠大道108号</t>
  </si>
  <si>
    <t>安徽省合肥市肥西县金塞路与三岗路交叉口春景花园小区</t>
  </si>
  <si>
    <t>刘鈐</t>
  </si>
  <si>
    <t>王玉林</t>
  </si>
  <si>
    <t>金政</t>
  </si>
  <si>
    <t>何立栋</t>
  </si>
  <si>
    <t>苟冬梅</t>
  </si>
  <si>
    <t>乔鲁孟</t>
  </si>
  <si>
    <t>李立武</t>
  </si>
  <si>
    <t>孟云清</t>
  </si>
  <si>
    <t>袁珍珍</t>
  </si>
  <si>
    <t>常云豹</t>
  </si>
  <si>
    <t>杨思旋</t>
  </si>
  <si>
    <t>陕西省咸阳市秦都区玉泉西路5号</t>
  </si>
  <si>
    <t>陕西省咸阳市泾阳县体育路农行家属院</t>
  </si>
  <si>
    <t>陆文锋</t>
  </si>
  <si>
    <t>广西南宁市良庆区广西南宁市良庆区银海大道84号</t>
  </si>
  <si>
    <t>广西南宁市良庆区广西南宁市良庆区兴业一街2号</t>
  </si>
  <si>
    <t>丁佐建</t>
  </si>
  <si>
    <t>赵景德</t>
  </si>
  <si>
    <t>伍林帮</t>
  </si>
  <si>
    <t>毛迟军</t>
  </si>
  <si>
    <t>王慧霞</t>
  </si>
  <si>
    <t>严贤炫</t>
  </si>
  <si>
    <t>李雯璐</t>
  </si>
  <si>
    <t>叶剑伟</t>
  </si>
  <si>
    <t>刘峥</t>
  </si>
  <si>
    <t>何俊玲</t>
  </si>
  <si>
    <t>赵建勇</t>
  </si>
  <si>
    <t>李良权</t>
  </si>
  <si>
    <t>黄剑峰</t>
  </si>
  <si>
    <t>福建省泉州市洛江区安吉路韵动领地五号楼1305</t>
  </si>
  <si>
    <t>福建省泉州市南安市罗东镇山坂村洋美19号</t>
  </si>
  <si>
    <t>吴兆荣</t>
  </si>
  <si>
    <t>何剑波</t>
  </si>
  <si>
    <t>汪晶</t>
  </si>
  <si>
    <t>肖健</t>
  </si>
  <si>
    <t>邓宗英</t>
  </si>
  <si>
    <t>黄小媚</t>
  </si>
  <si>
    <t>广东省河源市源城区河源市河源大道北50号</t>
  </si>
  <si>
    <t>广东省河源市源城区河源市源城区红星路红康居502室</t>
  </si>
  <si>
    <t>沈宾斌</t>
  </si>
  <si>
    <t>段利永</t>
  </si>
  <si>
    <t>徐增</t>
  </si>
  <si>
    <t>湖北省武汉市洪山区光谷软件园中路</t>
  </si>
  <si>
    <t>湖北省武汉市洪山区中谷苑14栋301</t>
  </si>
  <si>
    <t>黄明达</t>
  </si>
  <si>
    <t>高航</t>
  </si>
  <si>
    <t>广东省佛山市南海区里水镇河村雄星东园工业区54号</t>
  </si>
  <si>
    <t>广东省佛山市南海区里水镇河村雄星东园工业区</t>
  </si>
  <si>
    <t>夏燕梅</t>
  </si>
  <si>
    <t>初晓春</t>
  </si>
  <si>
    <t>高银川</t>
  </si>
  <si>
    <t>重庆市重庆市南岸区南坪正街天龙城市花园b栋一单元2504</t>
  </si>
  <si>
    <t>重庆市重庆市沙坪坝区磁建村88号8栋一单元2010</t>
  </si>
  <si>
    <t>田时刚</t>
  </si>
  <si>
    <t>山东省青岛市莱西市杭州北路179号</t>
  </si>
  <si>
    <t>山东省青岛市市南区日庄镇路南埠村191号</t>
  </si>
  <si>
    <t>沈辉</t>
  </si>
  <si>
    <t>吴腾坤</t>
  </si>
  <si>
    <t>徐明扬</t>
  </si>
  <si>
    <t>谭大江</t>
  </si>
  <si>
    <t>顾枫</t>
  </si>
  <si>
    <t>廖青荣</t>
  </si>
  <si>
    <t>福建省厦门市海沧区东孚大道1999号</t>
  </si>
  <si>
    <t>福建省厦门市海沧区新垵村东片131号</t>
  </si>
  <si>
    <t>刘桂通</t>
  </si>
  <si>
    <t>隆靖</t>
  </si>
  <si>
    <t>陕西省汉中市略阳县峡口驿镇邵家营村</t>
  </si>
  <si>
    <t>陕西省汉中市勉县勉阳镇继光村一组</t>
  </si>
  <si>
    <t>熊华辉</t>
  </si>
  <si>
    <t>吕著阳</t>
  </si>
  <si>
    <t>鹿晶梅</t>
  </si>
  <si>
    <t>叶尔保力·阿合买提江</t>
  </si>
  <si>
    <t>勾剑</t>
  </si>
  <si>
    <t>李灿</t>
  </si>
  <si>
    <t>沙怀肖</t>
  </si>
  <si>
    <t>徐德双</t>
  </si>
  <si>
    <t>陈其元</t>
  </si>
  <si>
    <t>孙姝</t>
  </si>
  <si>
    <t>于寰</t>
  </si>
  <si>
    <t>柯运水</t>
  </si>
  <si>
    <t>阳四海</t>
  </si>
  <si>
    <t>四川省成都市温江区南江路拉菲酒店八楼</t>
  </si>
  <si>
    <t>四川省成都市锦江区柳城镇永宁正街362号</t>
  </si>
  <si>
    <t>胡雯越</t>
  </si>
  <si>
    <t>游江</t>
  </si>
  <si>
    <t>四川省成都市锦江区横丁字街27号2栋三单元6号</t>
  </si>
  <si>
    <t>四川省成都市成华区新风路189号1栋2602</t>
  </si>
  <si>
    <t>饶杰</t>
  </si>
  <si>
    <t>丁长哲</t>
  </si>
  <si>
    <t>王梦言</t>
  </si>
  <si>
    <t>黑龙江省大庆市萨尔图区红卫小区5号楼5单元101室</t>
  </si>
  <si>
    <t>黑龙江省大庆市让胡路区乘风6区13号楼1单元101室</t>
  </si>
  <si>
    <t>陆钟</t>
  </si>
  <si>
    <t>符章杰</t>
  </si>
  <si>
    <t>安志彬</t>
  </si>
  <si>
    <t>赵怡君</t>
  </si>
  <si>
    <t>朱永久</t>
  </si>
  <si>
    <t>全恒</t>
  </si>
  <si>
    <t>广西贵港市港北区德宝大夏1110室</t>
  </si>
  <si>
    <t>广西贵港市港北区狮岭路257号院5栋6号</t>
  </si>
  <si>
    <t>杨永金</t>
  </si>
  <si>
    <t>王宏伟</t>
  </si>
  <si>
    <t>山东省济南市槐荫区张庄路98号第一茶市西邻</t>
  </si>
  <si>
    <t>山东省济南市市中区白马山街道欣都小区13号楼3单元402</t>
  </si>
  <si>
    <t>林楠</t>
  </si>
  <si>
    <t>盖礼宁</t>
  </si>
  <si>
    <t>何超平</t>
  </si>
  <si>
    <t>贺微</t>
  </si>
  <si>
    <t>聂翀</t>
  </si>
  <si>
    <t>周加俊</t>
  </si>
  <si>
    <t>周瑾</t>
  </si>
  <si>
    <t>广东省深圳市宝安区龙华新区东环二路二号</t>
  </si>
  <si>
    <t>江苏省连云港市东海县贯庄村60-5号</t>
  </si>
  <si>
    <t>樊腾飞</t>
  </si>
  <si>
    <t>四川省绵阳市涪城区园艺山温莎国际3期</t>
  </si>
  <si>
    <t>四川省绵阳市涪城区园艺山太阳城46/3/101</t>
  </si>
  <si>
    <t>杨江明</t>
  </si>
  <si>
    <t>贵州省贵阳市南明区贵阳市花果园财富广场一号楼17楼</t>
  </si>
  <si>
    <t>贵州省贵阳市云岩区贵阳市云岩区金顶山金阳街72号</t>
  </si>
  <si>
    <t>邓凯文</t>
  </si>
  <si>
    <t>云南省昆明市安宁市安宁市太平镇万辉星城A1栋</t>
  </si>
  <si>
    <t>云南省昆明市安宁市安宁市县街街道办事处上元良村31号</t>
  </si>
  <si>
    <t>林长龙</t>
  </si>
  <si>
    <t>张立元</t>
  </si>
  <si>
    <t>胡敬</t>
  </si>
  <si>
    <t>浙江省台州市天台县城关劳动路31号</t>
  </si>
  <si>
    <t>浙江省台州市天台县赤城街道人民东路636号</t>
  </si>
  <si>
    <t>王迪</t>
  </si>
  <si>
    <t>黑龙江省绥化市青冈县人民办事中心对过</t>
  </si>
  <si>
    <t>黑龙江省绥化市青冈县天赋家园</t>
  </si>
  <si>
    <t>肖杨</t>
  </si>
  <si>
    <t>周铁刚</t>
  </si>
  <si>
    <t>广东省佛山市顺德区沙边六涌工业园五座之一</t>
  </si>
  <si>
    <t>广东省佛山市顺德区沙边六涌工业园五座之一216</t>
  </si>
  <si>
    <t>邵晓波</t>
  </si>
  <si>
    <t>钟意成</t>
  </si>
  <si>
    <t>李錶</t>
  </si>
  <si>
    <t>程小雷</t>
  </si>
  <si>
    <t>上官鹏杰</t>
  </si>
  <si>
    <t>浙江省宁波市鄞州区宁波高新区江南路1206号</t>
  </si>
  <si>
    <t>浙江省宁波市江东区扬木碶路28弄40号301</t>
  </si>
  <si>
    <t>林军燕</t>
  </si>
  <si>
    <t>姚洋</t>
  </si>
  <si>
    <t>任帮军</t>
  </si>
  <si>
    <t>河南省驻马店市驿城区铜山大道与创业路交叉口</t>
  </si>
  <si>
    <t>河南省驻马店市驿城区关王庙乡洪堂村洪堂南组</t>
  </si>
  <si>
    <t>江苏省苏州市相城区黄埭镇华阳路170号</t>
  </si>
  <si>
    <t>江苏省苏州市吴江区黎里镇陈家湾堂弄11户101室</t>
  </si>
  <si>
    <t>徐庚深</t>
  </si>
  <si>
    <t>刘成斌</t>
  </si>
  <si>
    <t>蒋秋艳</t>
  </si>
  <si>
    <t>梁树森</t>
  </si>
  <si>
    <t>谷义</t>
  </si>
  <si>
    <t>湖南省湘西土家族苗族自治州吉首市吉首市乾州世纪大道与建新路交汇处</t>
  </si>
  <si>
    <t>湖南省湘西土家族苗族自治州吉首市吉首市乾州街道湘西州人民医院公租房401</t>
  </si>
  <si>
    <t>杨来宝</t>
  </si>
  <si>
    <t>海南省三沙市文昌市文建东里76号</t>
  </si>
  <si>
    <t>海南省三沙市文昌市文昌市文建东里76号</t>
  </si>
  <si>
    <t>向振文</t>
  </si>
  <si>
    <t>刘世苏</t>
  </si>
  <si>
    <t>江苏省连云港市赣榆县赣榆区经济开发区香港路5号</t>
  </si>
  <si>
    <t>江苏省连云港市赣榆县金山镇</t>
  </si>
  <si>
    <t>黄卫宁</t>
  </si>
  <si>
    <t>广西柳州市城中区高新开发区高新二路北</t>
  </si>
  <si>
    <t>广西柳州市柳北区石碑坪镇大滩村</t>
  </si>
  <si>
    <t>冯崧淇</t>
  </si>
  <si>
    <t>张福鹏</t>
  </si>
  <si>
    <t>内蒙古呼和浩特市新城区锡林郭勒南路恩和大厦</t>
  </si>
  <si>
    <t>内蒙古呼和浩特市玉泉区呼伦贝尔南路双树景馨家园</t>
  </si>
  <si>
    <t>何瑞山</t>
  </si>
  <si>
    <t>庞志强</t>
  </si>
  <si>
    <t>胡云玲</t>
  </si>
  <si>
    <t>彭忠友</t>
  </si>
  <si>
    <t>赵申楷</t>
  </si>
  <si>
    <t>王俊渊</t>
  </si>
  <si>
    <t>田桃</t>
  </si>
  <si>
    <t>四川省成都市武侯区高升桥东路二号罗马假日广场高盛中心409</t>
  </si>
  <si>
    <t>四川省成都市金牛区站西桥东巷一号2栋2单元24号</t>
  </si>
  <si>
    <t>吕凤军</t>
  </si>
  <si>
    <t>任彦恒</t>
  </si>
  <si>
    <t>齐鹏坤</t>
  </si>
  <si>
    <t>毛国锋</t>
  </si>
  <si>
    <t>徐锡彬</t>
  </si>
  <si>
    <t>山东省烟台市芝罘区西盛街27号汇通国际三楼</t>
  </si>
  <si>
    <t>山东省烟台市芝罘区白梅街5-6</t>
  </si>
  <si>
    <t>郑云霞</t>
  </si>
  <si>
    <t>顾冬冬</t>
  </si>
  <si>
    <t>孙煜晖</t>
  </si>
  <si>
    <t>朱孝蝶</t>
  </si>
  <si>
    <t>傅传杰</t>
  </si>
  <si>
    <t>辽宁省大连市金州区松岚街6号</t>
  </si>
  <si>
    <t>辽宁省大连市金州区高城花园3号楼三单元</t>
  </si>
  <si>
    <t>王备钱</t>
  </si>
  <si>
    <t>朱道东</t>
  </si>
  <si>
    <t>湖北省宜昌市西陵区宜昌市东山大道卓悦广场A栋5楼2001室</t>
  </si>
  <si>
    <t>湖北省宜昌市西陵区东山大道卓悦广场B栋13楼3001室</t>
  </si>
  <si>
    <t>金建力</t>
  </si>
  <si>
    <t>尤浩</t>
  </si>
  <si>
    <t>潘国辉</t>
  </si>
  <si>
    <t>李西娜</t>
  </si>
  <si>
    <t>郑聪</t>
  </si>
  <si>
    <t>朱元艺</t>
  </si>
  <si>
    <t>黄利锋</t>
  </si>
  <si>
    <t>湖北省襄阳市襄州区伙牌镇尹张村二组</t>
  </si>
  <si>
    <t>宁艳鶴</t>
  </si>
  <si>
    <t>穆海静</t>
  </si>
  <si>
    <t>上海市上海市闵行区航北路218号2楼</t>
  </si>
  <si>
    <t>上海市上海市闵行区航华一村</t>
  </si>
  <si>
    <t>万滔</t>
  </si>
  <si>
    <t>江西省南昌市西湖区八一大道194号</t>
  </si>
  <si>
    <t>江西省南昌市东湖区井冈山大道848号1栋2单元302户</t>
  </si>
  <si>
    <t>浙江省嘉兴市海宁市许村镇塘桥村朱油车桥80号</t>
  </si>
  <si>
    <t>安徽省安庆市潜山县源潭镇源潭新城五栋三单元502</t>
  </si>
  <si>
    <t>马凯</t>
  </si>
  <si>
    <t>彭小保</t>
  </si>
  <si>
    <t>侯丽艳</t>
  </si>
  <si>
    <t>广东省珠海市香洲区珠海市香洲区福田路10号</t>
  </si>
  <si>
    <t>广东省珠海市香洲区南屏镇西城街158号</t>
  </si>
  <si>
    <t>刘瑛瑜</t>
  </si>
  <si>
    <t>方正</t>
  </si>
  <si>
    <t>安徽省合肥市庐阳区阜阳北路</t>
  </si>
  <si>
    <t>安徽省淮南市大通区洛河镇陈庄村141</t>
  </si>
  <si>
    <t>陕西省西安市雁塔区西安市雁塔区杜城堡东门</t>
  </si>
  <si>
    <t>陕西省西安市雁塔区西安市雁塔区杜城堡275号付1号</t>
  </si>
  <si>
    <t>赵跃</t>
  </si>
  <si>
    <t>唐臣臣</t>
  </si>
  <si>
    <t>湖北省荆门市沙洋县钟祥市西环三路16号</t>
  </si>
  <si>
    <t>湖北省荆门市钟祥市莫愁国际中心2-2-1902</t>
  </si>
  <si>
    <t>林泽望</t>
  </si>
  <si>
    <t>福建省福州市长乐市金峰镇南华花园b座29号</t>
  </si>
  <si>
    <t>福建省福州市长乐市金峰镇南华花园c2502</t>
  </si>
  <si>
    <t>王嘉墨</t>
  </si>
  <si>
    <t>关宏雷</t>
  </si>
  <si>
    <t>李万龙</t>
  </si>
  <si>
    <t>姚建国</t>
  </si>
  <si>
    <t>祁彦军</t>
  </si>
  <si>
    <t>山西省太原市小店区小店区长治路73号</t>
  </si>
  <si>
    <t>河南省林州市姚村镇白草坡村</t>
  </si>
  <si>
    <t>王松海</t>
  </si>
  <si>
    <t>苏福德</t>
  </si>
  <si>
    <t>卢剑辉</t>
  </si>
  <si>
    <t>宋磊</t>
  </si>
  <si>
    <t>顾洁</t>
  </si>
  <si>
    <t>江苏省南京市浦口区明发外滩广场三楼</t>
  </si>
  <si>
    <t>江苏省南京市浦口区旭日爱上城四区北区</t>
  </si>
  <si>
    <t>程建国</t>
  </si>
  <si>
    <t>许百元</t>
  </si>
  <si>
    <t>河南省商丘市睢县河南睢县城南工业区原付楼酒厂</t>
  </si>
  <si>
    <t>河南省商丘市睢县城关镇洪学路17号</t>
  </si>
  <si>
    <t>杨化芹</t>
  </si>
  <si>
    <t>李晓晓</t>
  </si>
  <si>
    <t>雷双双</t>
  </si>
  <si>
    <t>湖北省黄石市大冶市湖北省黄石市大冶市保安镇宝玉路</t>
  </si>
  <si>
    <t>湖北省黄石市大冶市湖北省黄石市大冶市保安镇银湾花园</t>
  </si>
  <si>
    <t>王之城</t>
  </si>
  <si>
    <t>重庆市重庆市九龙坡区直港大道206号</t>
  </si>
  <si>
    <t>重庆市重庆市九龙坡区杨家坪民主一村20幢一单元5-2</t>
  </si>
  <si>
    <t>陈宝</t>
  </si>
  <si>
    <t>袁发成</t>
  </si>
  <si>
    <t>陕西省西安市未央区玄武路中段</t>
  </si>
  <si>
    <t>陕西省西安市新城区兴庆坊金花坊小区11号楼3211</t>
  </si>
  <si>
    <t>邵家亮</t>
  </si>
  <si>
    <t>上海市上海市浦东新区机场大道66号</t>
  </si>
  <si>
    <t>浙江省台州市临海市永丰镇浦叶村</t>
  </si>
  <si>
    <t>唐润花</t>
  </si>
  <si>
    <t>陶玉娟</t>
  </si>
  <si>
    <t>何树春</t>
  </si>
  <si>
    <t>毕玉杰</t>
  </si>
  <si>
    <t>詹毅</t>
  </si>
  <si>
    <t>胡秋月</t>
  </si>
  <si>
    <t>金钊</t>
  </si>
  <si>
    <t>高民杰</t>
  </si>
  <si>
    <t>李庆仑</t>
  </si>
  <si>
    <t>傅化健</t>
  </si>
  <si>
    <t>宋昭洋</t>
  </si>
  <si>
    <t>吴汉欧</t>
  </si>
  <si>
    <t>山西省阳泉市矿区山西省阳泉市桥西街11号</t>
  </si>
  <si>
    <t>山西省阳泉市矿区花地沟93号</t>
  </si>
  <si>
    <t>尚良邦</t>
  </si>
  <si>
    <t>黄章美</t>
  </si>
  <si>
    <t>马丽霞</t>
  </si>
  <si>
    <t>尹德雄</t>
  </si>
  <si>
    <t>广西桂林市永福县苏桥工业园木兰北街1号</t>
  </si>
  <si>
    <t>广西桂林市永福县苏桥镇石门村塘料屯273号</t>
  </si>
  <si>
    <t>张广田</t>
  </si>
  <si>
    <t>山东省东营市广饶县大王镇大王经济开发区胜利路</t>
  </si>
  <si>
    <t>山东省东营市广饶县大王镇东张庄村59号</t>
  </si>
  <si>
    <t>赖宜乐</t>
  </si>
  <si>
    <t>崔志远</t>
  </si>
  <si>
    <t>山东省德州市德城区晶华大道2868号</t>
  </si>
  <si>
    <t>山东省德州市德城区东方红路唐人中心5号楼二单元1504</t>
  </si>
  <si>
    <t>福建省厦门市湖里区泗水道宝拓大厦13楼</t>
  </si>
  <si>
    <t>福建省厦门市湖里区嘉禾路福隆国际300号</t>
  </si>
  <si>
    <t>丛哲</t>
  </si>
  <si>
    <t>高景琳</t>
  </si>
  <si>
    <t>陈渡江</t>
  </si>
  <si>
    <t>孙天波</t>
  </si>
  <si>
    <t>张宝茹</t>
  </si>
  <si>
    <t>刘处东</t>
  </si>
  <si>
    <t>江西省赣州市南康市金鸡镇泰康东路92号</t>
  </si>
  <si>
    <t>江西省赣州市南康市蓉江镇泰康中路社会停车场安福巷35号</t>
  </si>
  <si>
    <t>福建省厦门市集美区凤林村前山路1号</t>
  </si>
  <si>
    <t>福建省厦门市集美区凤林村前山路130号</t>
  </si>
  <si>
    <t>蓝昌健</t>
  </si>
  <si>
    <t>江苏省镇江市润州区朱方路朱方大厦17号</t>
  </si>
  <si>
    <t>江苏省镇江市京口区谷阳大道横大绿洲2栋503</t>
  </si>
  <si>
    <t>李秀娟</t>
  </si>
  <si>
    <t>李亚蒙</t>
  </si>
  <si>
    <t>苏恒</t>
  </si>
  <si>
    <t>广东省湛江市赤坎区湛江市赤坎区双港路189号</t>
  </si>
  <si>
    <t>任晓丽</t>
  </si>
  <si>
    <t>金沫含</t>
  </si>
  <si>
    <t>张犇</t>
  </si>
  <si>
    <t>云南省昆明市盘龙区新迎九组团1栋一单元602室</t>
  </si>
  <si>
    <t>云南省昆明市官渡区中苜蓿村170号302室</t>
  </si>
  <si>
    <t>吴家煽</t>
  </si>
  <si>
    <t>长安镇乌沙社区振安中路三号</t>
  </si>
  <si>
    <t>乌沙社区振安中路3号</t>
  </si>
  <si>
    <t>傅逸</t>
  </si>
  <si>
    <t>侯肖肖</t>
  </si>
  <si>
    <t>陈月鹭</t>
  </si>
  <si>
    <t>福建省厦门市同安区梧侣同集路559号</t>
  </si>
  <si>
    <t>福建省厦门市同安区马巷镇山仔尾巷96号</t>
  </si>
  <si>
    <t>尹路斌</t>
  </si>
  <si>
    <t>游学</t>
  </si>
  <si>
    <t>左书林</t>
  </si>
  <si>
    <t>苏笃俞</t>
  </si>
  <si>
    <t>金哲勇</t>
  </si>
  <si>
    <t>浙江省温州市乐清市蒲岐镇东门村政通路一号</t>
  </si>
  <si>
    <t>浙江省温州市乐清市蒲岐镇南门街46弄2号</t>
  </si>
  <si>
    <t>刘吉祥</t>
  </si>
  <si>
    <t>黄凤梅</t>
  </si>
  <si>
    <t>广东省湛江市雷州市湛江雷州市新城大道44号</t>
  </si>
  <si>
    <t>广东省湛江市雷州市湛江雷州市新城大道北44号</t>
  </si>
  <si>
    <t>崔德超</t>
  </si>
  <si>
    <t>邱嘉文</t>
  </si>
  <si>
    <t>郭艺坚</t>
  </si>
  <si>
    <t>罗玉川</t>
  </si>
  <si>
    <t>凌海</t>
  </si>
  <si>
    <t>过雨锋</t>
  </si>
  <si>
    <t>肖戬</t>
  </si>
  <si>
    <t>李文斌</t>
  </si>
  <si>
    <t>杨亮宽</t>
  </si>
  <si>
    <t>河北省保定市清苑县温仁镇南和庄</t>
  </si>
  <si>
    <t>河北省保定市蠡县林堡乡杨马庄</t>
  </si>
  <si>
    <t>刘小叶</t>
  </si>
  <si>
    <t>湖南省怀化市鹤城区建设东街98号</t>
  </si>
  <si>
    <t>湖南省怀化市沅陵县建设西街法院旁文化巷光明律师事务所六楼</t>
  </si>
  <si>
    <t>徐敏超</t>
  </si>
  <si>
    <t>吴杰飞</t>
  </si>
  <si>
    <t>邱雪</t>
  </si>
  <si>
    <t>四川省成都市郫县犀浦犀池六街105号</t>
  </si>
  <si>
    <t>四川省成都市郫县锦园路91号六栋一单元九号</t>
  </si>
  <si>
    <t>覃露丹</t>
  </si>
  <si>
    <t>吴维瑾</t>
  </si>
  <si>
    <t>冼观妹</t>
  </si>
  <si>
    <t>广西北海市银海区广东路招和28号</t>
  </si>
  <si>
    <t>广西北海市海城区浙江路融旗华堂小区5单2单元503</t>
  </si>
  <si>
    <t>徐容辉</t>
  </si>
  <si>
    <t>覃军</t>
  </si>
  <si>
    <t>上海市上海市松江区出口加工区三庄路58弄7号</t>
  </si>
  <si>
    <t>上海市上海市松江区车墩镇北松公路沪松五金建材市场3栋24号301室</t>
  </si>
  <si>
    <t>施可可</t>
  </si>
  <si>
    <t>斯子龙</t>
  </si>
  <si>
    <t>吴道生</t>
  </si>
  <si>
    <t>海南省海口市龙华区国贸大道1号景瑞大厦A座18楼1815室</t>
  </si>
  <si>
    <t>海南省海口市秀英区长流镇文丽村74号</t>
  </si>
  <si>
    <t>罗礼有</t>
  </si>
  <si>
    <t>李坤键</t>
  </si>
  <si>
    <t>王基天</t>
  </si>
  <si>
    <t>邓胜强</t>
  </si>
  <si>
    <t>魏志强</t>
  </si>
  <si>
    <t>江东</t>
  </si>
  <si>
    <t>广西南宁市西乡塘区鲁班路89号同和慧源辉煌置业</t>
  </si>
  <si>
    <t>广西南宁市西乡塘区秀厢大道鹧鸪渌村三队26号</t>
  </si>
  <si>
    <t>黎志鹏</t>
  </si>
  <si>
    <t>四川省成都市青羊区日月大道一段978号2栋附349</t>
  </si>
  <si>
    <t>四川省成都市青羊区瑞联路49号2栋1单元201</t>
  </si>
  <si>
    <t>莫绍锐</t>
  </si>
  <si>
    <t>海南省海口市龙华区海南省海口市龙华区金盘工业区金星路6号</t>
  </si>
  <si>
    <t>海南省海口市龙华区海南省海口市龙华南沙路东50米外经小区A栋601房</t>
  </si>
  <si>
    <t>陈润和</t>
  </si>
  <si>
    <t>龚本富</t>
  </si>
  <si>
    <t>郝雅丽</t>
  </si>
  <si>
    <t>邓志颖</t>
  </si>
  <si>
    <t>张启麟</t>
  </si>
  <si>
    <t>山东省青岛市黄岛区江山北路201号</t>
  </si>
  <si>
    <t>山东省青岛市黄岛区刘公岛路黄岛油库小区2栋楼1单元</t>
  </si>
  <si>
    <t>彭新盼</t>
  </si>
  <si>
    <t>江苏省苏州市吴中区木渎镇香港街68号</t>
  </si>
  <si>
    <t>江苏省苏州市姑苏区枣市街114号2幢302</t>
  </si>
  <si>
    <t>温桂枫</t>
  </si>
  <si>
    <t>祝发顺</t>
  </si>
  <si>
    <t>彭旺</t>
  </si>
  <si>
    <t>重庆市重庆市江北区北城天街48号九街东区</t>
  </si>
  <si>
    <t>重庆市重庆市江北区洋河中路望海花园小区c2栋7-6</t>
  </si>
  <si>
    <t>刘海荣</t>
  </si>
  <si>
    <t>彭迦星</t>
  </si>
  <si>
    <t>陈彬文</t>
  </si>
  <si>
    <t>四川省乐山市市中区安谷镇民主街249号</t>
  </si>
  <si>
    <t>四川省乐山市市中区乐山市市中区安谷镇民主街249号</t>
  </si>
  <si>
    <t>冯昭华</t>
  </si>
  <si>
    <t>邱树鹏</t>
  </si>
  <si>
    <t>李茂君</t>
  </si>
  <si>
    <t>肖韵寒</t>
  </si>
  <si>
    <t>高伟民</t>
  </si>
  <si>
    <t>刘春玲</t>
  </si>
  <si>
    <t>胡亚双</t>
  </si>
  <si>
    <t>吴翠仪</t>
  </si>
  <si>
    <t>四川省遂宁市船山区天宫南路</t>
  </si>
  <si>
    <t>四川省遂宁市船山区南津北路378号</t>
  </si>
  <si>
    <t>范兴华</t>
  </si>
  <si>
    <t>江苏省苏州市昆山市吴淞江工业园南松路299号</t>
  </si>
  <si>
    <t>江苏省苏州市昆山市美丰路茗景苑17幢3单元401</t>
  </si>
  <si>
    <t>单清先</t>
  </si>
  <si>
    <t>牟宁</t>
  </si>
  <si>
    <t>侯路伟</t>
  </si>
  <si>
    <t>杜晶</t>
  </si>
  <si>
    <t>云南省昆明市西山区滇池卫城尚层31栋</t>
  </si>
  <si>
    <t>云南省昆明市安宁市太平新城云报记者村40栋3002室</t>
  </si>
  <si>
    <t>方阳</t>
  </si>
  <si>
    <t>邓艺坤</t>
  </si>
  <si>
    <t>孙文娟</t>
  </si>
  <si>
    <t>沙松亮</t>
  </si>
  <si>
    <t>北京市北京市昌平区昌盛园小区2区16号楼下百世快递</t>
  </si>
  <si>
    <t>北京市北京市昌平区北京市昌平区延寿镇南庄村160号</t>
  </si>
  <si>
    <t>重庆市重庆市南岸区江南大道69号</t>
  </si>
  <si>
    <t>重庆市重庆市南岸区金色家园D栋2单元15-5</t>
  </si>
  <si>
    <t>钟山</t>
  </si>
  <si>
    <t>湖北省襄阳市襄州区米庄镇车站路2号</t>
  </si>
  <si>
    <t>湖北省襄阳市谷城县泰山路1号</t>
  </si>
  <si>
    <t>王祥宇</t>
  </si>
  <si>
    <t>河北省沧州市东光县东光县千盛源大酒店</t>
  </si>
  <si>
    <t>河北省沧州市东光县沧州市东光县连镇镇</t>
  </si>
  <si>
    <t>肖作</t>
  </si>
  <si>
    <t>陈远</t>
  </si>
  <si>
    <t>冷浩</t>
  </si>
  <si>
    <t>四川省成都市温江区迎晖路113号</t>
  </si>
  <si>
    <t>四川省成都市温江区南江路289号光华苑小区2栋10单元303号</t>
  </si>
  <si>
    <t>刘小田</t>
  </si>
  <si>
    <t>江苏省苏州市昆山市千灯镇石浦机场路1号</t>
  </si>
  <si>
    <t>江苏省苏州市昆山市千灯镇石浦阳光新城3栋402</t>
  </si>
  <si>
    <t>李良迁</t>
  </si>
  <si>
    <t>袁永</t>
  </si>
  <si>
    <t>陈颖杰</t>
  </si>
  <si>
    <t>许云明</t>
  </si>
  <si>
    <t>云南省楚雄彝族自治州南华县龙川镇龙山路47号</t>
  </si>
  <si>
    <t>云南省楚雄彝族自治州南华县龙川镇南秀社区居委会南街53号</t>
  </si>
  <si>
    <t>马海正</t>
  </si>
  <si>
    <t>李炳桐</t>
  </si>
  <si>
    <t>福建省漳州市芗城区延安北路96号</t>
  </si>
  <si>
    <t>福建省漳州市芗城区大通北路67号</t>
  </si>
  <si>
    <t>袁道君</t>
  </si>
  <si>
    <t>佘欣澧</t>
  </si>
  <si>
    <t>湖北省宜昌市西陵区东山开发区青岛路6号</t>
  </si>
  <si>
    <t>湖北省宜昌市当阳市长坂路融华时代</t>
  </si>
  <si>
    <t>薛扬朋</t>
  </si>
  <si>
    <t>何文康</t>
  </si>
  <si>
    <t>浙江省杭州市余杭区临平路</t>
  </si>
  <si>
    <t>浙江省杭州市余杭区云南省广南县珠街镇</t>
  </si>
  <si>
    <t>何沂瑾</t>
  </si>
  <si>
    <t>李熹</t>
  </si>
  <si>
    <t>新疆塔城地区裕民县裕民县拦河坝一号</t>
  </si>
  <si>
    <t>重庆市重庆市万州区沙龙路二段91号</t>
  </si>
  <si>
    <t>黄少藩</t>
  </si>
  <si>
    <t>姚朱军</t>
  </si>
  <si>
    <t>冯丕文</t>
  </si>
  <si>
    <t>向捷臣</t>
  </si>
  <si>
    <t>陈忠剑</t>
  </si>
  <si>
    <t>广西南宁市良庆区兴业二街2号</t>
  </si>
  <si>
    <t>广西南宁市青秀区仙葫大道西277号</t>
  </si>
  <si>
    <t>田涛豪</t>
  </si>
  <si>
    <t>刘麟</t>
  </si>
  <si>
    <t>湖北省孝感市孝南区东西杨村春尚小区2区28栋7号车库</t>
  </si>
  <si>
    <t>湖北省孝感市孝南区卧龙乡熊家湾村三组</t>
  </si>
  <si>
    <t>田海川</t>
  </si>
  <si>
    <t>山西省吕梁市孝义市中和路交叉口向东350米</t>
  </si>
  <si>
    <t>山西省吕梁市孝义市中阳楼街道办事处楼西村河东街078号</t>
  </si>
  <si>
    <t>王艺锨</t>
  </si>
  <si>
    <t>吴空</t>
  </si>
  <si>
    <t>四川省成都市锦江区宏济新路46号</t>
  </si>
  <si>
    <t>四川省成都市武侯区一环路南一段2号2栋5楼12号</t>
  </si>
  <si>
    <t>崔燕</t>
  </si>
  <si>
    <t>陕西省榆林市神木县东兴街惠泉路</t>
  </si>
  <si>
    <t>广东省江门市江海区兴南小区朗悦居</t>
  </si>
  <si>
    <t>肖洋</t>
  </si>
  <si>
    <t>江苏省扬州市广陵区京华城路168号</t>
  </si>
  <si>
    <t>江苏省扬州市广陵区运河北路1号5幢504</t>
  </si>
  <si>
    <t>霍亮</t>
  </si>
  <si>
    <t>朱江</t>
  </si>
  <si>
    <t>刘玉良</t>
  </si>
  <si>
    <t>李海滔</t>
  </si>
  <si>
    <t>广东省惠州市惠城区江北碧水湾金碧苑207</t>
  </si>
  <si>
    <t>广东省惠州市惠城区江北水北新村10栋三单元404</t>
  </si>
  <si>
    <t>蓝佳</t>
  </si>
  <si>
    <t>浙江省宁波市鄞州区江南路289号明州商务大厦711</t>
  </si>
  <si>
    <t>浙江省宁波市鄞州区潘火街道沧海路2069弄1号星河晨光1102室</t>
  </si>
  <si>
    <t>向幼</t>
  </si>
  <si>
    <t>张秀波</t>
  </si>
  <si>
    <t>胡顺凯</t>
  </si>
  <si>
    <t>迟增杰</t>
  </si>
  <si>
    <t>山东省青岛市李沧区久水路</t>
  </si>
  <si>
    <t>山东省青岛市胶州市听溪园小区2号楼二单元601户</t>
  </si>
  <si>
    <t>邓衍</t>
  </si>
  <si>
    <t>江西省南昌市新建县红谷南大道2699号</t>
  </si>
  <si>
    <t>江西省南昌市东湖区苏圃路132号2单元503室</t>
  </si>
  <si>
    <t>孔美玲</t>
  </si>
  <si>
    <t>刘金城</t>
  </si>
  <si>
    <t>李红岩</t>
  </si>
  <si>
    <t>华倩</t>
  </si>
  <si>
    <t>欧阳永业</t>
  </si>
  <si>
    <t>广东省广州市越秀区广州市越秀区东风东路</t>
  </si>
  <si>
    <t>广东省广州市越秀区广东省云浮市郁南县桂圩镇勿坦村</t>
  </si>
  <si>
    <t>廖安峰</t>
  </si>
  <si>
    <t>马俊高</t>
  </si>
  <si>
    <t>蔡敏</t>
  </si>
  <si>
    <t>基恒元</t>
  </si>
  <si>
    <t>浙江省金华市永康市东城街道大园童村大路山脊16号</t>
  </si>
  <si>
    <t>冯智辉</t>
  </si>
  <si>
    <t>海南省海口市龙华区海南省洋浦经济开发区</t>
  </si>
  <si>
    <t>海南省海口市龙华区海南省海口市龙华区龙华路月朗新村32号</t>
  </si>
  <si>
    <t>李隆喜</t>
  </si>
  <si>
    <t>海南省海口市龙华区海南省海口市高新区海马二期工业园</t>
  </si>
  <si>
    <t>海南省海口市美兰区海南省海口市美兰区演丰镇河港村129号</t>
  </si>
  <si>
    <t>郭祥伟</t>
  </si>
  <si>
    <t>内蒙古呼伦贝尔市满洲里市灵泉</t>
  </si>
  <si>
    <t>内蒙古呼伦贝尔市满洲里市云山小区</t>
  </si>
  <si>
    <t>邹晓舟</t>
  </si>
  <si>
    <t>重庆市重庆市大足区棠香街道办事处五星大道266号</t>
  </si>
  <si>
    <t>重庆市重庆市大足区龙岗街道龙岗西路21号2幢5单元4-2</t>
  </si>
  <si>
    <t>单梦颖</t>
  </si>
  <si>
    <t>房理维</t>
  </si>
  <si>
    <t>四川省德阳市广汉市地质大厦1栋</t>
  </si>
  <si>
    <t>四川省德阳市广汉市广汉市南丰镇元盛村7组</t>
  </si>
  <si>
    <t>付涛</t>
  </si>
  <si>
    <t>王金杰</t>
  </si>
  <si>
    <t>姜玉</t>
  </si>
  <si>
    <t>马文华</t>
  </si>
  <si>
    <t>江苏省泰州市海陵区凤凰西98号</t>
  </si>
  <si>
    <t>江苏省泰州市泰兴市济川新村2号2幢203室</t>
  </si>
  <si>
    <t>尚丽</t>
  </si>
  <si>
    <t>谢丰国</t>
  </si>
  <si>
    <t>湖南省长沙市长沙县长沙县星沙蓝思科技</t>
  </si>
  <si>
    <t>湖南省长沙市开福区月湖小区二期5栋601</t>
  </si>
  <si>
    <t>吴富</t>
  </si>
  <si>
    <t>广东省广州市花都区狮岭镇南方工业园南合二街12号</t>
  </si>
  <si>
    <t>湖南省衡阳市常宁市群英西路桃园小区三栋三单元302室</t>
  </si>
  <si>
    <t>关舒月</t>
  </si>
  <si>
    <t>罗金龙</t>
  </si>
  <si>
    <t>阮浩成</t>
  </si>
  <si>
    <t>张慧广</t>
  </si>
  <si>
    <t>沈文丽</t>
  </si>
  <si>
    <t>潘才强</t>
  </si>
  <si>
    <t>敖梅微</t>
  </si>
  <si>
    <t>黑龙江省哈尔滨市南岗区涧桥西畔20栋楼301</t>
  </si>
  <si>
    <t>黑龙江省哈尔滨市南岗区涧桥西畔20栋楼1单元102</t>
  </si>
  <si>
    <t>毛义勇</t>
  </si>
  <si>
    <t>徐文静</t>
  </si>
  <si>
    <t>廖王俊</t>
  </si>
  <si>
    <t>王其鼎</t>
  </si>
  <si>
    <t>福建省宁德市福鼎市福鼎市龙川路25号</t>
  </si>
  <si>
    <t>福建省宁德市福鼎市福建省福鼎市淡水桥春晖里三栋6号</t>
  </si>
  <si>
    <t>杨美璇</t>
  </si>
  <si>
    <t>曹萍萍</t>
  </si>
  <si>
    <t>陈如有</t>
  </si>
  <si>
    <t>福建省三明市三元区富兴路23号</t>
  </si>
  <si>
    <t>福建省三明市梅列区徐碧二村26幢501</t>
  </si>
  <si>
    <t>周梦雪</t>
  </si>
  <si>
    <t>崔桂朋</t>
  </si>
  <si>
    <t>江苏省南京市雨花台区雨花西路121号</t>
  </si>
  <si>
    <t>南京市雨花西路安德里20号安德新寓二栋二单元404</t>
  </si>
  <si>
    <t>毛航</t>
  </si>
  <si>
    <t>丁振</t>
  </si>
  <si>
    <t>周富华</t>
  </si>
  <si>
    <t>李志鑫</t>
  </si>
  <si>
    <t>汪贻贵</t>
  </si>
  <si>
    <t>安徽省芜湖市鸠江区凤鸣湖南路118号</t>
  </si>
  <si>
    <t>安徽省芜湖市镜湖区城北公寓13栋202</t>
  </si>
  <si>
    <t>王晋光</t>
  </si>
  <si>
    <t>柳亚伦</t>
  </si>
  <si>
    <t>黑龙江省佳木斯市抚远县二道河农场</t>
  </si>
  <si>
    <t>郭思萌</t>
  </si>
  <si>
    <t>张静波</t>
  </si>
  <si>
    <t>瞿亚强</t>
  </si>
  <si>
    <t>上海市上海市杨浦区隆昌路210号博海商务楼D17室</t>
  </si>
  <si>
    <t>上海市上海市虹口区车站北路625弄3号301室</t>
  </si>
  <si>
    <t>党淑燕</t>
  </si>
  <si>
    <t>康丽芬</t>
  </si>
  <si>
    <t>王龙林</t>
  </si>
  <si>
    <t>单久秦</t>
  </si>
  <si>
    <t>辽宁省大连市沙河口区黄河路762号</t>
  </si>
  <si>
    <t>大连市西岗区功勋街1-3-2</t>
  </si>
  <si>
    <t>吴亚州</t>
  </si>
  <si>
    <t>普惠</t>
  </si>
  <si>
    <t>罗蕊蕊</t>
  </si>
  <si>
    <t>于培培</t>
  </si>
  <si>
    <t>江苏省苏州市太仓市浮桥镇民营小区</t>
  </si>
  <si>
    <t>江苏省苏州市太仓市河南省周口市郸城县石槽镇刘庄行政村大刘庄</t>
  </si>
  <si>
    <t>杜建兵</t>
  </si>
  <si>
    <t>马景润</t>
  </si>
  <si>
    <t>吴必志</t>
  </si>
  <si>
    <t>郭闵静</t>
  </si>
  <si>
    <t>叶石林</t>
  </si>
  <si>
    <t>上海市上海市闵行区七宝镇中谊路868号</t>
  </si>
  <si>
    <t>上海市上海市闵行区上海市闵行区七宝镇宝华花园</t>
  </si>
  <si>
    <t>周子嘉</t>
  </si>
  <si>
    <t>湖南省娄底市涟源市湖南省涟源市文艺北路18号</t>
  </si>
  <si>
    <t>湖南省娄底市涟源市湖南省涟源市芙蓉广场和谐园</t>
  </si>
  <si>
    <t>刘伟峰</t>
  </si>
  <si>
    <t>邝俊华</t>
  </si>
  <si>
    <t>郭清坤</t>
  </si>
  <si>
    <t>郭高鸿</t>
  </si>
  <si>
    <t>郝若丞</t>
  </si>
  <si>
    <t>魏健</t>
  </si>
  <si>
    <t>李广建</t>
  </si>
  <si>
    <t>张小云</t>
  </si>
  <si>
    <t>银丽丽</t>
  </si>
  <si>
    <t>江佩媛</t>
  </si>
  <si>
    <t>梁运昌</t>
  </si>
  <si>
    <t>谭周然</t>
  </si>
  <si>
    <t>王仕武</t>
  </si>
  <si>
    <t>甘家栋</t>
  </si>
  <si>
    <t>龚文鑫</t>
  </si>
  <si>
    <t>江苏省常州市天宁区常州市天宁区青龙东路639号</t>
  </si>
  <si>
    <t>江苏省常州市钟楼区勤业新村88幢乙单元102室</t>
  </si>
  <si>
    <t>姚昱至</t>
  </si>
  <si>
    <t>邓莎</t>
  </si>
  <si>
    <t>四川省成都市新津县太康社区居委会</t>
  </si>
  <si>
    <t>四川省成都市新津县惠丰路后街</t>
  </si>
  <si>
    <t>甘亚勇</t>
  </si>
  <si>
    <t>李富</t>
  </si>
  <si>
    <t>广东省江门市蓬江区小榄镇联丰村福乐路二巷一号</t>
  </si>
  <si>
    <t>广东省江门市蓬江区小榄镇绩东一茂安一街13号201</t>
  </si>
  <si>
    <t>李冠彬</t>
  </si>
  <si>
    <t>施天宇</t>
  </si>
  <si>
    <t>陈双喜</t>
  </si>
  <si>
    <t>贵州省遵义市汇川区厦门路天安大厦19楼1909</t>
  </si>
  <si>
    <t>贵州省遵义市汇川区钦州路消防支队家属楼502</t>
  </si>
  <si>
    <t>贵州省毕节市威宁彝族回族苗族自治县威宁县六桥街道渔市路</t>
  </si>
  <si>
    <t>贵州省毕节市威宁彝族回族苗族自治县建设西路复烤厂宿舍</t>
  </si>
  <si>
    <t>常思尧</t>
  </si>
  <si>
    <t>顾恒忠</t>
  </si>
  <si>
    <t>杨可馨</t>
  </si>
  <si>
    <t>司帅康</t>
  </si>
  <si>
    <t>孔犁</t>
  </si>
  <si>
    <t>云南省红河哈尼族彝族自治州建水县建水县甸尾乡甸尾村民族寄宿制小学</t>
  </si>
  <si>
    <t>云南省红河哈尼族彝族自治州建水县建水县迎恩路107号</t>
  </si>
  <si>
    <t>陶丹</t>
  </si>
  <si>
    <t>施少生</t>
  </si>
  <si>
    <t>浙江省杭州市西湖区三墩镇创美华彩国际7栋1506室</t>
  </si>
  <si>
    <t>浙江省杭州市西湖区三墩镇创美华彩国际8栋2122室</t>
  </si>
  <si>
    <t>杨开</t>
  </si>
  <si>
    <t>张逸飞</t>
  </si>
  <si>
    <t>广东省深圳市宝安区中华路24号广明工业区e3</t>
  </si>
  <si>
    <t>广东省深圳市宝安区油松路上油松156-401</t>
  </si>
  <si>
    <t>许梅芳</t>
  </si>
  <si>
    <t>广东省深圳市龙岗区坪山华润万家六和店</t>
  </si>
  <si>
    <t>广东省深圳市龙岗区坪山区坪山围国泰路81号</t>
  </si>
  <si>
    <t>赵青彪</t>
  </si>
  <si>
    <t>李中洋</t>
  </si>
  <si>
    <t>林伟源</t>
  </si>
  <si>
    <t>李隆</t>
  </si>
  <si>
    <t>四川省德阳市旌阳区上美广场A座20楼</t>
  </si>
  <si>
    <t>四川省德阳市旌阳区和新镇永兴村8组</t>
  </si>
  <si>
    <t>张进忠</t>
  </si>
  <si>
    <t>董海杰</t>
  </si>
  <si>
    <t>平凉路1890</t>
  </si>
  <si>
    <t>上海市上海市杨浦区平凉路1890-8</t>
  </si>
  <si>
    <t>洪雄光</t>
  </si>
  <si>
    <t>姜浩</t>
  </si>
  <si>
    <t>马胜贵</t>
  </si>
  <si>
    <t>田雷鸣</t>
  </si>
  <si>
    <t>苏立冬</t>
  </si>
  <si>
    <t>辽宁省营口市老边区营口中小企业园凯旋路101</t>
  </si>
  <si>
    <t>辽宁省营口市西市区安康里30号2-5-37</t>
  </si>
  <si>
    <t>宋翰奇</t>
  </si>
  <si>
    <t>赵强钢</t>
  </si>
  <si>
    <t>蒲塔仙</t>
  </si>
  <si>
    <t>广东省深圳市宝安区福永镇福围社区下十围村广生十巷15号</t>
  </si>
  <si>
    <t>广东省深圳市宝安区福永镇航站四路机场二道交叉口保安宿舍</t>
  </si>
  <si>
    <t>苏建光</t>
  </si>
  <si>
    <t>郭子一</t>
  </si>
  <si>
    <t>葛登永</t>
  </si>
  <si>
    <t>由益水</t>
  </si>
  <si>
    <t>山东省淄博市周村区新建中路598号</t>
  </si>
  <si>
    <t>山东省淄博市周村区东门路聚恒名都花苑20号楼1单元703室</t>
  </si>
  <si>
    <t>方金剑</t>
  </si>
  <si>
    <t>庄少彪</t>
  </si>
  <si>
    <t>贝云新</t>
  </si>
  <si>
    <t>陈长海</t>
  </si>
  <si>
    <t>杨维星</t>
  </si>
  <si>
    <t>萧柳贞</t>
  </si>
  <si>
    <t>广东省广州市番禺区清河东路319号</t>
  </si>
  <si>
    <t>广东省广州市番禺区市莲路石碁村段八达大街七巷8号</t>
  </si>
  <si>
    <t>林志宏</t>
  </si>
  <si>
    <t>辽宁省沈阳市法库县北外环物流经济开发区王家路口对面50米</t>
  </si>
  <si>
    <t>辽宁省沈阳市法库县边门街龙山路镇医院斜对面统建八号楼三单元401</t>
  </si>
  <si>
    <t>甄婉儿</t>
  </si>
  <si>
    <t>北京市北京市海淀区北京市海淀区万柳亿城中心C1座1001</t>
  </si>
  <si>
    <t>北京市北京市海淀区中关村82楼平房1号</t>
  </si>
  <si>
    <t>张雪岩</t>
  </si>
  <si>
    <t>范清伟</t>
  </si>
  <si>
    <t>孟泽维</t>
  </si>
  <si>
    <t>丁章同</t>
  </si>
  <si>
    <t>吕红</t>
  </si>
  <si>
    <t>谢炼军</t>
  </si>
  <si>
    <t>广东省东莞市长安镇上沙华强路5号</t>
  </si>
  <si>
    <t>广东省广州市增城市中新镇福和联安村玉田路10号</t>
  </si>
  <si>
    <t>重庆市重庆市长寿区晶山新城际大门旁</t>
  </si>
  <si>
    <t>重庆市重庆市长寿区梅村10栋1单元</t>
  </si>
  <si>
    <t>梁璇</t>
  </si>
  <si>
    <t>河北省石家庄市长安区中山东路466号新钻石广场A座1214</t>
  </si>
  <si>
    <t>河北省石家庄市鹿泉市龙泉东路166号果岭湾小区17-1-2703</t>
  </si>
  <si>
    <t>刘遥</t>
  </si>
  <si>
    <t>陈倩</t>
  </si>
  <si>
    <t>福建省福州市仓山区上三路文山园新村1号楼1层18店面万嘉超市</t>
  </si>
  <si>
    <t>福建省福州市仓山区白湖亭后坂村林珠64-13</t>
  </si>
  <si>
    <t>苗丹</t>
  </si>
  <si>
    <t>杨光琦</t>
  </si>
  <si>
    <t>贵州省遵义市汇川区国际商城湘江大道100号</t>
  </si>
  <si>
    <t>贵州省遵义市红花岗区红花岗区舟水桥菜市小区</t>
  </si>
  <si>
    <t>林淑琴</t>
  </si>
  <si>
    <t>杨兆元</t>
  </si>
  <si>
    <t>河北省承德市滦平县金沟屯镇滦河岩村</t>
  </si>
  <si>
    <t>河北省承德市滦平县金沟屯镇柳家台村山后124号</t>
  </si>
  <si>
    <t>石宸铭</t>
  </si>
  <si>
    <t>丁方平</t>
  </si>
  <si>
    <t>冯靖</t>
  </si>
  <si>
    <t>胡高峰</t>
  </si>
  <si>
    <t>卞城光</t>
  </si>
  <si>
    <t>梁志</t>
  </si>
  <si>
    <t>胡小利</t>
  </si>
  <si>
    <t>严丹</t>
  </si>
  <si>
    <t>成艳婷</t>
  </si>
  <si>
    <t>河北省张家口市桥东区张家口桥东区工业街惠安苑小区1031</t>
  </si>
  <si>
    <t>河北省张家口市桥西区张家口桥西区美居丽景园西区32号楼708</t>
  </si>
  <si>
    <t>闵生堂</t>
  </si>
  <si>
    <t>寿佳梦</t>
  </si>
  <si>
    <t>陈汝飞</t>
  </si>
  <si>
    <t>吕柔</t>
  </si>
  <si>
    <t>邓陈晨</t>
  </si>
  <si>
    <t>叶青龙</t>
  </si>
  <si>
    <t>邱横</t>
  </si>
  <si>
    <t>洪勇成</t>
  </si>
  <si>
    <t>周晓虹</t>
  </si>
  <si>
    <t>程吉</t>
  </si>
  <si>
    <t>李瑞琴</t>
  </si>
  <si>
    <t>熊宇</t>
  </si>
  <si>
    <t>江苏省南京市浦口区盘城镇永丰组47号</t>
  </si>
  <si>
    <t>江苏省南京市浦口区盘城新居11栋405</t>
  </si>
  <si>
    <t>许金龙</t>
  </si>
  <si>
    <t>杨福能</t>
  </si>
  <si>
    <t>徐通</t>
  </si>
  <si>
    <t>四川省成都市金牛区十二桥路39号</t>
  </si>
  <si>
    <t>四川省成都市成华区五桂桥北路8号水岸华庭5栋1902</t>
  </si>
  <si>
    <t>张学清</t>
  </si>
  <si>
    <t>于琪</t>
  </si>
  <si>
    <t>曾卫键</t>
  </si>
  <si>
    <t>李大弟</t>
  </si>
  <si>
    <t>邓义龙</t>
  </si>
  <si>
    <t>江宗革</t>
  </si>
  <si>
    <t>熊珍杰</t>
  </si>
  <si>
    <t>四川省成都市金牛区新城国际广场盛兴街66号1栋1单元301</t>
  </si>
  <si>
    <t>四川省成都市武侯区机投镇祥和街1号</t>
  </si>
  <si>
    <t>熊杰</t>
  </si>
  <si>
    <t>湖北省武汉市东西湖区辛安渡办事处徐家台1</t>
  </si>
  <si>
    <t>湖北省武汉市洪山区鲁磨路方家村121</t>
  </si>
  <si>
    <t>魏名键</t>
  </si>
  <si>
    <t>上海市上海市松江区贵南路889号15栋</t>
  </si>
  <si>
    <t>上海市上海市松江区荣乐西路100弄41号102室</t>
  </si>
  <si>
    <t>崔勇涛</t>
  </si>
  <si>
    <t>王耀健</t>
  </si>
  <si>
    <t>王建惠</t>
  </si>
  <si>
    <t>祁克勇</t>
  </si>
  <si>
    <t>马野</t>
  </si>
  <si>
    <t>吴燕萍</t>
  </si>
  <si>
    <t>关诗婷</t>
  </si>
  <si>
    <t>武秦安</t>
  </si>
  <si>
    <t>梁家乐</t>
  </si>
  <si>
    <t>陈淡斯</t>
  </si>
  <si>
    <t>金芝</t>
  </si>
  <si>
    <t>生志军</t>
  </si>
  <si>
    <t>范晶</t>
  </si>
  <si>
    <t>孙威</t>
  </si>
  <si>
    <t>宋家安</t>
  </si>
  <si>
    <t>江苏省南京市江宁区南京紫金研发创业中心4栋601-604室</t>
  </si>
  <si>
    <t>江苏省南京市浦口区东方万汇城一栋二单元416室</t>
  </si>
  <si>
    <t>何天飞</t>
  </si>
  <si>
    <t>孔尹娜</t>
  </si>
  <si>
    <t>夏娜</t>
  </si>
  <si>
    <t>陈生远</t>
  </si>
  <si>
    <t>周程阳</t>
  </si>
  <si>
    <t>刘东生</t>
  </si>
  <si>
    <t>林武中</t>
  </si>
  <si>
    <t>刘海茵</t>
  </si>
  <si>
    <t>廖东杰</t>
  </si>
  <si>
    <t>王海彦</t>
  </si>
  <si>
    <t>上海市上海市浦东新区航凡路2号</t>
  </si>
  <si>
    <t>上海市上海市浦东新区航头镇梅园村848号</t>
  </si>
  <si>
    <t>贵州省贵阳市南明区世纪金源商务中心三号楼28楼</t>
  </si>
  <si>
    <t>贵州省安顺市西秀区迎宾路中铁御岭六栋二单元2702</t>
  </si>
  <si>
    <t>陈秋昱</t>
  </si>
  <si>
    <t>周蕊</t>
  </si>
  <si>
    <t>河南省焦作市解放区民生街道贸易大厦二楼东天井北</t>
  </si>
  <si>
    <t>河南省焦作市解放区西村乡洼村东区54号</t>
  </si>
  <si>
    <t>廉清波</t>
  </si>
  <si>
    <t>付潇雨</t>
  </si>
  <si>
    <t>河北省邯郸市丛台区展览路17号七一八研究所</t>
  </si>
  <si>
    <t>河北省邯郸市丛台区联纺路79号26号楼2单元4号</t>
  </si>
  <si>
    <t>赖锦平</t>
  </si>
  <si>
    <t>侯立凤</t>
  </si>
  <si>
    <t>常俊浩</t>
  </si>
  <si>
    <t>田珊珊</t>
  </si>
  <si>
    <t>姜立波</t>
  </si>
  <si>
    <t>广东省深圳市福田区深南大道兴业银行大厦9楼</t>
  </si>
  <si>
    <t>广东省深圳市宝安区民治大道466号沙下村六巷七栋705</t>
  </si>
  <si>
    <t>陈梦祥</t>
  </si>
  <si>
    <t>杨录军</t>
  </si>
  <si>
    <t>苏宝虎</t>
  </si>
  <si>
    <t>新疆塔城地区塔城市乌苏市北京东路145号</t>
  </si>
  <si>
    <t>新疆塔城地区乌苏市四季花城21号楼2单元402</t>
  </si>
  <si>
    <t>冉帆</t>
  </si>
  <si>
    <t>张新友</t>
  </si>
  <si>
    <t>高艳丽</t>
  </si>
  <si>
    <t>俞友清</t>
  </si>
  <si>
    <t>芦建</t>
  </si>
  <si>
    <t>杨文丽</t>
  </si>
  <si>
    <t>张明俊</t>
  </si>
  <si>
    <t>李小运</t>
  </si>
  <si>
    <t>圣军</t>
  </si>
  <si>
    <t>江苏省无锡市惠山区惠山大道108号电子商务大厦B栋5楼</t>
  </si>
  <si>
    <t>江苏省无锡市惠山区堰桥街道寺头家园20号1602室</t>
  </si>
  <si>
    <t>袁玉振</t>
  </si>
  <si>
    <t>浙江省台州市黄岩区新前街道茂丰街28号</t>
  </si>
  <si>
    <t>浙江省台州市黄岩区新前街道西范村</t>
  </si>
  <si>
    <t>蔡跃田</t>
  </si>
  <si>
    <t>福建省厦门市翔安区翔安区翔海路1</t>
  </si>
  <si>
    <t>福建省厦门市翔安区新店镇刘五店浦南里271号</t>
  </si>
  <si>
    <t>丁洪斌</t>
  </si>
  <si>
    <t>甘肃省张掖市高台县高台县新坝镇</t>
  </si>
  <si>
    <t>甘肃省张掖市高台县城关镇奇正嘉苑</t>
  </si>
  <si>
    <t>陕西省西安市碑林区南稍门中贸广场15号楼2单元602室</t>
  </si>
  <si>
    <t>陕西省西安市莲湖区红光东路贺家村269号302室</t>
  </si>
  <si>
    <t>孙韦观</t>
  </si>
  <si>
    <t>钟婷</t>
  </si>
  <si>
    <t>赵雅男</t>
  </si>
  <si>
    <t>骆玲玲</t>
  </si>
  <si>
    <t>福建省泉州市惠安县张坂镇福满酒店对面</t>
  </si>
  <si>
    <t>福建省泉州市惠安县张坂镇渠道巷7号</t>
  </si>
  <si>
    <t>山东省莱芜市莱城区鹿鸣路传染医院西200米</t>
  </si>
  <si>
    <t>山东省莱芜市莱城区凤城西大街231号17号楼3单元102室</t>
  </si>
  <si>
    <t>韦兰芳</t>
  </si>
  <si>
    <t>彭朝敏</t>
  </si>
  <si>
    <t>王周游</t>
  </si>
  <si>
    <t>谭安阳</t>
  </si>
  <si>
    <t>武爽</t>
  </si>
  <si>
    <t>顾少伟</t>
  </si>
  <si>
    <t>陈德烨</t>
  </si>
  <si>
    <t>夏红光</t>
  </si>
  <si>
    <t>韩晔</t>
  </si>
  <si>
    <t>韩梦</t>
  </si>
  <si>
    <t>广东省中山市古镇镇冈东第二工业区和丰街五号七楼</t>
  </si>
  <si>
    <t>湖南省怀化市沅陵县七甲坪镇寨溪村五斗坪组</t>
  </si>
  <si>
    <t>袁登明</t>
  </si>
  <si>
    <t>张松杰</t>
  </si>
  <si>
    <t>福建省漳州市芗城区新浦路8号</t>
  </si>
  <si>
    <t>福建省漳州市芗城区金永社区胜利西路凤凰尚城6栋702</t>
  </si>
  <si>
    <t>陶冶</t>
  </si>
  <si>
    <t>叶柱杰</t>
  </si>
  <si>
    <t>广西梧州市苍梧县龙圩区进口再生资源华景大道28号</t>
  </si>
  <si>
    <t>广西梧州市苍梧县新地镇题甫村孔容口组23号</t>
  </si>
  <si>
    <t>刘锦耀</t>
  </si>
  <si>
    <t>吕震</t>
  </si>
  <si>
    <t>江苏省苏州市吴中区星汉街108号月光会所内</t>
  </si>
  <si>
    <t>江苏省苏州市吴中区莲花新村六区18幢2单元204</t>
  </si>
  <si>
    <t>徐安泽</t>
  </si>
  <si>
    <t>黄力新</t>
  </si>
  <si>
    <t>黑龙江省哈尔滨市南岗区哈尔滨东大直接369号</t>
  </si>
  <si>
    <t>黑龙江省哈尔滨市道里区道里区康安二道街新华小区2栋一单元401</t>
  </si>
  <si>
    <t>孙凤</t>
  </si>
  <si>
    <t>柳耀东</t>
  </si>
  <si>
    <t>四川省成都市金牛区金府路799号</t>
  </si>
  <si>
    <t>四川省成都市金牛区安蓉路139号</t>
  </si>
  <si>
    <t>司文刚</t>
  </si>
  <si>
    <t>罗芮</t>
  </si>
  <si>
    <t>河南省周口市沈丘县闸北路16号</t>
  </si>
  <si>
    <t>河南省周口市沈丘县颍河嘉园二期三十三栋二单元204室</t>
  </si>
  <si>
    <t>刘焕武</t>
  </si>
  <si>
    <t>杜小岭</t>
  </si>
  <si>
    <t>河北省唐山市滦县茨榆坨开发区</t>
  </si>
  <si>
    <t>河北省唐山市滦县茨榆坨镇前茨榆坨村</t>
  </si>
  <si>
    <t>林明辉</t>
  </si>
  <si>
    <t>福建省福州市台江区台江广场永辉超市</t>
  </si>
  <si>
    <t>福建省福州市闽侯县青口镇青秀村岭头园6-3</t>
  </si>
  <si>
    <t>杨婉朋</t>
  </si>
  <si>
    <t>王航</t>
  </si>
  <si>
    <t>刘兆新</t>
  </si>
  <si>
    <t>福建省福州市台江区鳌峰街道鳌江路8号（江滨中大道北侧、曙光路东侧）福州金融街万达广场二期C2#写字楼6层10、11、12室</t>
  </si>
  <si>
    <t>福建省三明市梅列区阳光城小区80栋一单元202室</t>
  </si>
  <si>
    <t>郭天长</t>
  </si>
  <si>
    <t>甘肃省武威市凉州区南关东路161号</t>
  </si>
  <si>
    <t>甘肃省武威市凉州区发放镇发放社区三期2号楼3201</t>
  </si>
  <si>
    <t>巩龙</t>
  </si>
  <si>
    <t>隋再明</t>
  </si>
  <si>
    <t>山东省威海市荣成市荣成市观海东路185号</t>
  </si>
  <si>
    <t>山东省威海市荣成市惠风小区39号105室</t>
  </si>
  <si>
    <t>陈兆书</t>
  </si>
  <si>
    <t>杨沁宇</t>
  </si>
  <si>
    <t>解光跃</t>
  </si>
  <si>
    <t>陈睿</t>
  </si>
  <si>
    <t>四川省成都市新津县成都市新津县五津镇惠丰路117号</t>
  </si>
  <si>
    <t>四川省德阳市旌阳区四川省德阳市龙山街单身公寓4楼413</t>
  </si>
  <si>
    <t>杨文帅</t>
  </si>
  <si>
    <t>徐子昌</t>
  </si>
  <si>
    <t>白永坤</t>
  </si>
  <si>
    <t>乔卫波</t>
  </si>
  <si>
    <t>黄坤妹</t>
  </si>
  <si>
    <t>杨仕容</t>
  </si>
  <si>
    <t>莫幼德</t>
  </si>
  <si>
    <t>杜博</t>
  </si>
  <si>
    <t>江苏省常州市钟楼区长江中路勤业四村2号</t>
  </si>
  <si>
    <t>江苏省常州市钟楼区勤业路假日公寓427</t>
  </si>
  <si>
    <t>杨宇浩</t>
  </si>
  <si>
    <t>宋佳明</t>
  </si>
  <si>
    <t>辽宁省抚顺市新抚区望花区</t>
  </si>
  <si>
    <t>辽宁省抚顺市新抚区刘山二街三号楼三单元403</t>
  </si>
  <si>
    <t>谭钦文</t>
  </si>
  <si>
    <t>云南省曲靖市麒麟区财富中心商铺2栋11号</t>
  </si>
  <si>
    <t>云南省曲靖市麒麟区阳光花园金麒苑</t>
  </si>
  <si>
    <t>严焕丽</t>
  </si>
  <si>
    <t>杨亮敏</t>
  </si>
  <si>
    <t>张文文</t>
  </si>
  <si>
    <t>上海市上海市长宁区天山支路209号长宁科技大楼717室</t>
  </si>
  <si>
    <t>上海市上海市闵行区万源路2289弄68号501</t>
  </si>
  <si>
    <t>罗国辉</t>
  </si>
  <si>
    <t>林小冰</t>
  </si>
  <si>
    <t>郭品</t>
  </si>
  <si>
    <t>韩媛媛</t>
  </si>
  <si>
    <t>上海市上海市宝山区逸仙路2816号华滋奔腾大厦b栋8楼</t>
  </si>
  <si>
    <t>上海市上海市宝山区盘古路1015号4栋412</t>
  </si>
  <si>
    <t>甘肃省兰州市安宁区北滨河路立达汽配城1428号</t>
  </si>
  <si>
    <t>甘肃省兰州市七里河区机车厂一区1号楼4.单元802</t>
  </si>
  <si>
    <t>禄召文</t>
  </si>
  <si>
    <t>张建雪</t>
  </si>
  <si>
    <t>张洪兵</t>
  </si>
  <si>
    <t>江苏省宿迁市沭阳县北工业园区海宁路5号</t>
  </si>
  <si>
    <t>江苏省宿迁市沭阳县天宇天和花城海棠苑三单元301室</t>
  </si>
  <si>
    <t>周权</t>
  </si>
  <si>
    <t>龚涛</t>
  </si>
  <si>
    <t>石柳</t>
  </si>
  <si>
    <t>熊运波</t>
  </si>
  <si>
    <t>黄东海</t>
  </si>
  <si>
    <t>钱立春</t>
  </si>
  <si>
    <t>内蒙古包头市昆都仑区钢铁大街万號酒店院内</t>
  </si>
  <si>
    <t>内蒙古包头市昆都仑区包头钢铁职业技术学院6号楼109</t>
  </si>
  <si>
    <t>云南省红河哈尼族彝族自治州蒙自县蒙自市天马路延长线</t>
  </si>
  <si>
    <t>云南省红河哈尼族彝族自治州蒙自县蒙自市文澜西路183号</t>
  </si>
  <si>
    <t>吴学文</t>
  </si>
  <si>
    <t>戴雨轩</t>
  </si>
  <si>
    <t>内蒙古乌海市乌达区公园北路13号</t>
  </si>
  <si>
    <t>内蒙古乌海市海勃湾区海北西街北一街坊2栋3号</t>
  </si>
  <si>
    <t>龙凤</t>
  </si>
  <si>
    <t>魏晓倩</t>
  </si>
  <si>
    <t>崔飞堂</t>
  </si>
  <si>
    <t>孟升升</t>
  </si>
  <si>
    <t>李杨昆</t>
  </si>
  <si>
    <t>李志源</t>
  </si>
  <si>
    <t>海南省三沙市琼海市加积镇爱海南路5号</t>
  </si>
  <si>
    <t>海南省三沙市琼海市嘉积镇北门农贸四号街12号402室</t>
  </si>
  <si>
    <t>郑元明</t>
  </si>
  <si>
    <t>湖北省武汉市蔡甸区全力五路龙王工业园区</t>
  </si>
  <si>
    <t>湖北省武汉市黄陂区盘龙城汉飞洋房印象七栋二单元102</t>
  </si>
  <si>
    <t>张秋丽</t>
  </si>
  <si>
    <t>罗权</t>
  </si>
  <si>
    <t>关美玲</t>
  </si>
  <si>
    <t>李进虎</t>
  </si>
  <si>
    <t>张志彬</t>
  </si>
  <si>
    <t>内蒙古包头市昆都仑区钢铁大街33号</t>
  </si>
  <si>
    <t>内蒙古包头市昆都仑区青年路20号街坊1栋36号</t>
  </si>
  <si>
    <t>林婉俊</t>
  </si>
  <si>
    <t>福建省漳州市芗城区新浦路新城花园</t>
  </si>
  <si>
    <t>福建省漳州市平和县文峰镇三坪村五山17号</t>
  </si>
  <si>
    <t>黄小艳</t>
  </si>
  <si>
    <t>崔情情</t>
  </si>
  <si>
    <t>吴菲菲</t>
  </si>
  <si>
    <t>广东省广州市荔湾区花地大道翠竹苑首层</t>
  </si>
  <si>
    <t>广东省广州市荔湾区招村二十亩六十号</t>
  </si>
  <si>
    <t>刘艳平</t>
  </si>
  <si>
    <t>谢胜超</t>
  </si>
  <si>
    <t>施玉峰</t>
  </si>
  <si>
    <t>成忠庆</t>
  </si>
  <si>
    <t>胡祖超</t>
  </si>
  <si>
    <t>何建强</t>
  </si>
  <si>
    <t>浙江省湖州市吴兴区北街9号手机卖场</t>
  </si>
  <si>
    <t>浙江省湖州市吴兴区八里店镇紫金桥村农民新村三单元306</t>
  </si>
  <si>
    <t>曲恩龙</t>
  </si>
  <si>
    <t>秦爽</t>
  </si>
  <si>
    <t>王然然</t>
  </si>
  <si>
    <t>汪海宇</t>
  </si>
  <si>
    <t>高永建</t>
  </si>
  <si>
    <t>四川省凉山彝族自治州西昌市上顺城西昌电脑城</t>
  </si>
  <si>
    <t>四川省凉山彝族自治州西昌市高枧乡中所村3组27号</t>
  </si>
  <si>
    <t>付庆杰</t>
  </si>
  <si>
    <t>温建棚</t>
  </si>
  <si>
    <t>祁笑</t>
  </si>
  <si>
    <t>和慧恩</t>
  </si>
  <si>
    <t>张应兵</t>
  </si>
  <si>
    <t>贵州省六盘水市钟山区钟山区钟山大道人民广场天翼大厦10楼</t>
  </si>
  <si>
    <t>贵州省六盘水市钟山区凤凰山山海观天下A1006室</t>
  </si>
  <si>
    <t>贺路路</t>
  </si>
  <si>
    <t>李光金</t>
  </si>
  <si>
    <t>刘林真</t>
  </si>
  <si>
    <t>唐军君</t>
  </si>
  <si>
    <t>戚响</t>
  </si>
  <si>
    <t>俞莹萍</t>
  </si>
  <si>
    <t>叶泽挺</t>
  </si>
  <si>
    <t>徐迪</t>
  </si>
  <si>
    <t>杨昌秀</t>
  </si>
  <si>
    <t>河北省邯郸市馆陶县柴堡镇卫生院西50米路北</t>
  </si>
  <si>
    <t>河北省邯郸市馆陶县馆陶镇政府西街陶山市场南路086号</t>
  </si>
  <si>
    <t>许春龙</t>
  </si>
  <si>
    <t>福建省泉州市石狮市荆山学校新塘街道119号</t>
  </si>
  <si>
    <t>福建省泉州市石狮市荆山学校新塘街道26号</t>
  </si>
  <si>
    <t>范婷君</t>
  </si>
  <si>
    <t>张桂宝</t>
  </si>
  <si>
    <t>朱泰安</t>
  </si>
  <si>
    <t>辜志明</t>
  </si>
  <si>
    <t>白昭辉</t>
  </si>
  <si>
    <t>黄保成</t>
  </si>
  <si>
    <t>广东省佛山市禅城区忠信路11号</t>
  </si>
  <si>
    <t>广东省佛山市禅城区忠信路16号5座301房</t>
  </si>
  <si>
    <t>袁承睿</t>
  </si>
  <si>
    <t>于兰</t>
  </si>
  <si>
    <t>辽宁省沈阳市和平区南京北街109号和泰运恒大厦A座9004</t>
  </si>
  <si>
    <t>辽宁省沈阳市沈河区万柳塘路51号12栋1单元一楼一</t>
  </si>
  <si>
    <t>刘卫红</t>
  </si>
  <si>
    <t>谷阳阳</t>
  </si>
  <si>
    <t>邵博超</t>
  </si>
  <si>
    <t>刘东斌</t>
  </si>
  <si>
    <t>冯杨杨</t>
  </si>
  <si>
    <t>梁琴</t>
  </si>
  <si>
    <t>宋倩娜</t>
  </si>
  <si>
    <t>湖南省湘潭市岳塘区晶都公馆A座270120</t>
  </si>
  <si>
    <t>湖南省湘潭市岳塘区天元美居乐11栋2单元601</t>
  </si>
  <si>
    <t>韩洪光</t>
  </si>
  <si>
    <t>辽宁省锦州市太和区汤河子街道奥越汽车维修站</t>
  </si>
  <si>
    <t>潘层层</t>
  </si>
  <si>
    <t>湖南省郴州市宜章县瑶岗仙和平路一号</t>
  </si>
  <si>
    <t>湖南郴州宜章瑶岗仙矿了本部26栋</t>
  </si>
  <si>
    <t>黄和平</t>
  </si>
  <si>
    <t>滕亿</t>
  </si>
  <si>
    <t>四川省南充市顺庆区蓝光香江国际14栋2604</t>
  </si>
  <si>
    <t>四川省南充市顺庆区延安路179号三单元7-1</t>
  </si>
  <si>
    <t>柏海霞</t>
  </si>
  <si>
    <t>江苏省盐城市亭湖区开放大道88号</t>
  </si>
  <si>
    <t>江苏省盐城市亭湖区城南新区益丰村一组48号</t>
  </si>
  <si>
    <t>贺元彬</t>
  </si>
  <si>
    <t>张宏豆</t>
  </si>
  <si>
    <t>郭彦龙</t>
  </si>
  <si>
    <t>河南省濮阳市华龙区濮阳市中原路与卫河路交叉口南十米路东</t>
  </si>
  <si>
    <t>河南省濮阳市华龙区濮阳市四季花城二号楼一单元1501</t>
  </si>
  <si>
    <t>郭文军</t>
  </si>
  <si>
    <t>宁夏固原市原州区固原市东关路34号</t>
  </si>
  <si>
    <t>宁夏固原市原州区固原市coco蜜城五号楼一单元601</t>
  </si>
  <si>
    <t>曹宏</t>
  </si>
  <si>
    <t>安徽省合肥市蜀山区合肥市蜀山区天智路51号</t>
  </si>
  <si>
    <t>安徽省合肥市蜀山区合肥市蜀山区新西茗阁2420</t>
  </si>
  <si>
    <t>陈珊</t>
  </si>
  <si>
    <t>云南省楚雄彝族自治州楚雄市冬瓜镇上章村上章酒店旁</t>
  </si>
  <si>
    <t>云南省楚雄彝族自治州楚雄市丰盛路井家小区10号</t>
  </si>
  <si>
    <t>韩国栋</t>
  </si>
  <si>
    <t>黑龙江省绥化市海伦市雷炎大街路南德粮大酒店对面</t>
  </si>
  <si>
    <t>黑龙江省绥化市海伦市致富路鑫达家园C栋10单元201室</t>
  </si>
  <si>
    <t>冉祖聪</t>
  </si>
  <si>
    <t>云南省昆明市富民县环城南路445号</t>
  </si>
  <si>
    <t>云南省昆明市富民县富民县水泥厂生活区</t>
  </si>
  <si>
    <t>陈红香</t>
  </si>
  <si>
    <t>姚佟杰</t>
  </si>
  <si>
    <t>张李瑞</t>
  </si>
  <si>
    <t>重庆市重庆市铜梁县重庆市璧山县文星路214号</t>
  </si>
  <si>
    <t>重庆市重庆市璧山县璧青路康乐园住宅小区1栋3单元6-2</t>
  </si>
  <si>
    <t>曾维彬</t>
  </si>
  <si>
    <t>福建省厦门市思明区坊湖二路1507号301</t>
  </si>
  <si>
    <t>福建省厦门市思明区新村南里路48号</t>
  </si>
  <si>
    <t>王妙林</t>
  </si>
  <si>
    <t>方晓佩</t>
  </si>
  <si>
    <t>马龙泽</t>
  </si>
  <si>
    <t>胡红飞</t>
  </si>
  <si>
    <t>朱家闯</t>
  </si>
  <si>
    <t>刘志坤</t>
  </si>
  <si>
    <t>朱章帝</t>
  </si>
  <si>
    <t>徐强强</t>
  </si>
  <si>
    <t>宋婧雅</t>
  </si>
  <si>
    <t>唐志锋</t>
  </si>
  <si>
    <t>山东省临沂市兰山区通达财富广场1613</t>
  </si>
  <si>
    <t>山东省临沂市兰山区北园小区6号楼2单元401</t>
  </si>
  <si>
    <t>王瑞泉</t>
  </si>
  <si>
    <t>广东省深圳市罗湖区迎春路8号安华大厦710室</t>
  </si>
  <si>
    <t>广东省深圳市龙岗区南湾街道南岭东路富源居一栋1706</t>
  </si>
  <si>
    <t>李大强</t>
  </si>
  <si>
    <t>李慧慧</t>
  </si>
  <si>
    <t>叶小舟</t>
  </si>
  <si>
    <t>杨龙玺</t>
  </si>
  <si>
    <t>郑胜侑</t>
  </si>
  <si>
    <t>郭利亚</t>
  </si>
  <si>
    <t>夏飞</t>
  </si>
  <si>
    <t>郑奔雷</t>
  </si>
  <si>
    <t>浙江省金华市金东区江东镇18里村330国道旁边</t>
  </si>
  <si>
    <t>浙江省金华市永康市龙山镇下奠口村177号</t>
  </si>
  <si>
    <t>侯伟</t>
  </si>
  <si>
    <t>张志权</t>
  </si>
  <si>
    <t>福建省泉州市惠安县东岭镇前林工业区</t>
  </si>
  <si>
    <t>福建省泉州市惠安县涂寨镇岩峰村下东山40号</t>
  </si>
  <si>
    <t>罗维豪</t>
  </si>
  <si>
    <t>付豪</t>
  </si>
  <si>
    <t>徐玉梅</t>
  </si>
  <si>
    <t>谢桥</t>
  </si>
  <si>
    <t>李云川</t>
  </si>
  <si>
    <t>王雲露</t>
  </si>
  <si>
    <t>河南省郑州市二七区航海路工人路往帝湖花园东王府305号楼201室</t>
  </si>
  <si>
    <t>河南省郑州市二七区汉江路工人路往南300米正商蔚蓝港湾22号楼一单元540</t>
  </si>
  <si>
    <t>田振杰</t>
  </si>
  <si>
    <t>陈俊良</t>
  </si>
  <si>
    <t>王柯涵</t>
  </si>
  <si>
    <t>卓家超</t>
  </si>
  <si>
    <t>何亚林</t>
  </si>
  <si>
    <t>广西桂林市兴安县三台路15号</t>
  </si>
  <si>
    <t>广西桂林市兴安县教育路116号教育小区4栋301室</t>
  </si>
  <si>
    <t>四川省成都市青羊区清江西路中大君悦广场1栋24楼</t>
  </si>
  <si>
    <t>四川省成都市温江区人和路光华国际9栋1101</t>
  </si>
  <si>
    <t>邵珠红</t>
  </si>
  <si>
    <t>丁光畅</t>
  </si>
  <si>
    <t>山西省运城市绛县涑水大街西</t>
  </si>
  <si>
    <t>山西省运城市绛县阳光花园17幢一单元602</t>
  </si>
  <si>
    <t>王赣</t>
  </si>
  <si>
    <t>鲁统秋</t>
  </si>
  <si>
    <t>葛帅</t>
  </si>
  <si>
    <t>韦敏敏</t>
  </si>
  <si>
    <t>左小龙</t>
  </si>
  <si>
    <t>陕西省汉中市城固县陕飞公司辖区北区</t>
  </si>
  <si>
    <t>陕西省汉中市汉台区陕飞公司北区一区七栋08号</t>
  </si>
  <si>
    <t>杨克辉</t>
  </si>
  <si>
    <t>江苏省苏州市吴中区临湖镇石庄工业园B1幢</t>
  </si>
  <si>
    <t>江苏省苏州市吴中区城南街道147号阳光水榭94栋208</t>
  </si>
  <si>
    <t>罗冬妹</t>
  </si>
  <si>
    <t>石义文</t>
  </si>
  <si>
    <t>蔡丽芬</t>
  </si>
  <si>
    <t>江友坤</t>
  </si>
  <si>
    <t>河南省周口市川汇区川汇区八一路与兴业路交叉口100米路南</t>
  </si>
  <si>
    <t>河南省周口市川汇区泛区新建四路159号</t>
  </si>
  <si>
    <t>何建宏</t>
  </si>
  <si>
    <t>四川省成都市双流县九江镇蛟龙港海滨城购物有限公司</t>
  </si>
  <si>
    <t>四川省成都市双流县九江镇蛟龙港海港广场15栋10楼5号</t>
  </si>
  <si>
    <t>李正雄</t>
  </si>
  <si>
    <t>贵州省黔西南布依族苗族自治州兴义市无</t>
  </si>
  <si>
    <t>贵州省黔西南布依族苗族自治州兴义市丰都街道胖山安置区81号</t>
  </si>
  <si>
    <t>杨带明</t>
  </si>
  <si>
    <t>张金泉</t>
  </si>
  <si>
    <t>孙克利</t>
  </si>
  <si>
    <t>蔡以琳</t>
  </si>
  <si>
    <t>黄洁文</t>
  </si>
  <si>
    <t>王培梁</t>
  </si>
  <si>
    <t>周智勇</t>
  </si>
  <si>
    <t>河北省廊坊市广阳区万达广场e座1927</t>
  </si>
  <si>
    <t>河北省廊坊市广阳区河北省廊坊市广阳区解放道富兴里</t>
  </si>
  <si>
    <t>张丙禄</t>
  </si>
  <si>
    <t>徐钱</t>
  </si>
  <si>
    <t>王玛莉娜</t>
  </si>
  <si>
    <t>黄美迎</t>
  </si>
  <si>
    <t>孙艳佳</t>
  </si>
  <si>
    <t>漆勇</t>
  </si>
  <si>
    <t>肖聪聪</t>
  </si>
  <si>
    <t>湖北省武汉市青山区武东街五星村星力路168号</t>
  </si>
  <si>
    <t>湖北省武汉市青山区武东三村230门12号</t>
  </si>
  <si>
    <t>常亮</t>
  </si>
  <si>
    <t>辽宁省沈阳市沈河区沈河路万宝盖巷37号</t>
  </si>
  <si>
    <t>辽宁省沈阳市大东区大东区东望北街惠民家园3号楼5-6-1</t>
  </si>
  <si>
    <t>何家荣</t>
  </si>
  <si>
    <t>冯佩婵</t>
  </si>
  <si>
    <t>陆大为</t>
  </si>
  <si>
    <t>汪留懿</t>
  </si>
  <si>
    <t>黄渊亮</t>
  </si>
  <si>
    <t>刘子超</t>
  </si>
  <si>
    <t>山东省潍坊市奎文区福寿街鸢飞路交叉口万达广场A座1518</t>
  </si>
  <si>
    <t>山东省潍坊市奎文区大虞街道老农科院宿舍5号楼1单元302</t>
  </si>
  <si>
    <t>杨雁行</t>
  </si>
  <si>
    <t>陕西省西安市周至县二曲镇南新街3号</t>
  </si>
  <si>
    <t>陕西省西安市周至县马召镇纪家村九组</t>
  </si>
  <si>
    <t>骆廷斌</t>
  </si>
  <si>
    <t>杜进雄</t>
  </si>
  <si>
    <t>丁家杰</t>
  </si>
  <si>
    <t>吴维庆</t>
  </si>
  <si>
    <t>宋得銓</t>
  </si>
  <si>
    <t>杨权</t>
  </si>
  <si>
    <t>张栗</t>
  </si>
  <si>
    <t>秦维龙</t>
  </si>
  <si>
    <t>江悦</t>
  </si>
  <si>
    <t>付瑞奎</t>
  </si>
  <si>
    <t>山东省枣庄市市中区枣庄市市中区永安驻地</t>
  </si>
  <si>
    <t>山东省枣庄市市中区西王庄乡付刘耀村314号</t>
  </si>
  <si>
    <t>郝玉德</t>
  </si>
  <si>
    <t>陈兴龙</t>
  </si>
  <si>
    <t>周志刚</t>
  </si>
  <si>
    <t>山东省淄博市张店区张店区鲁泰大道315号</t>
  </si>
  <si>
    <t>山东省淄博市淄川区西河镇东坪生活区耐火厂楼三单元</t>
  </si>
  <si>
    <t>于志辉</t>
  </si>
  <si>
    <t>郝玉涛</t>
  </si>
  <si>
    <t>李保林</t>
  </si>
  <si>
    <t>田丹丹</t>
  </si>
  <si>
    <t>吴思儒</t>
  </si>
  <si>
    <t>苗志浩</t>
  </si>
  <si>
    <t>山东省威海市环翠区光明路60-19号</t>
  </si>
  <si>
    <t>山东省威海市环翠区孙家疃镇靖子社区11-406</t>
  </si>
  <si>
    <t>欧阳康平</t>
  </si>
  <si>
    <t>刘禹航</t>
  </si>
  <si>
    <t>吴婉凤</t>
  </si>
  <si>
    <t>王树林</t>
  </si>
  <si>
    <t>赵光云</t>
  </si>
  <si>
    <t>霍四军</t>
  </si>
  <si>
    <t>浙江省金华市义乌市稠江街道文昌路100号</t>
  </si>
  <si>
    <t>浙江省金华市义乌市北苑街道柳青二区三栋一单元302</t>
  </si>
  <si>
    <t>张茂林</t>
  </si>
  <si>
    <t>重庆市重庆市黔江区重庆市黔江区伴山国际</t>
  </si>
  <si>
    <t>重庆市重庆市黔江区舟白街道学府路一号</t>
  </si>
  <si>
    <t>朱毅</t>
  </si>
  <si>
    <t>四川省广安市广安区枣新街12号</t>
  </si>
  <si>
    <t>四川省广安市广安区枣山镇枣山村2组30号</t>
  </si>
  <si>
    <t>潘志远</t>
  </si>
  <si>
    <t>史智明</t>
  </si>
  <si>
    <t>吴家志</t>
  </si>
  <si>
    <t>彭珍</t>
  </si>
  <si>
    <t>陆友良</t>
  </si>
  <si>
    <t>马小龙</t>
  </si>
  <si>
    <t>王应兵</t>
  </si>
  <si>
    <t>江苏省苏州市相城区希望大道20号</t>
  </si>
  <si>
    <t>江苏省苏州市相城区庄基新村1栋202室</t>
  </si>
  <si>
    <t>杨立业</t>
  </si>
  <si>
    <t>谷林华</t>
  </si>
  <si>
    <t>吴利荣</t>
  </si>
  <si>
    <t>滕海涛</t>
  </si>
  <si>
    <t>丰宗华</t>
  </si>
  <si>
    <t>常璐璐</t>
  </si>
  <si>
    <t>刘万松</t>
  </si>
  <si>
    <t>赵泽华</t>
  </si>
  <si>
    <t>景江朋</t>
  </si>
  <si>
    <t>湖南省衡阳市石鼓区石鼓区松木塘</t>
  </si>
  <si>
    <t>湖南省衡阳市珠晖区衡阳市珠晖区湖北路东江尚品</t>
  </si>
  <si>
    <t>范罗森</t>
  </si>
  <si>
    <t>毛其忠</t>
  </si>
  <si>
    <t>王金鹏</t>
  </si>
  <si>
    <t>魏世明</t>
  </si>
  <si>
    <t>刘闪闪</t>
  </si>
  <si>
    <t>沈力维</t>
  </si>
  <si>
    <t>湖南省怀化市沅陵县沅陵县沅陵镇28号街坊望圣西路安置区E9号位101</t>
  </si>
  <si>
    <t>湖南省怀化市沅陵县湖南省沅陵县沅陵镇咪子山组1号2楼</t>
  </si>
  <si>
    <t>邓杯</t>
  </si>
  <si>
    <t>赵庆刚</t>
  </si>
  <si>
    <t>章伟帆</t>
  </si>
  <si>
    <t>刘云超</t>
  </si>
  <si>
    <t>朱丽菲</t>
  </si>
  <si>
    <t>张平红</t>
  </si>
  <si>
    <t>吉星歌</t>
  </si>
  <si>
    <t>广东省广州市荔湾区东圃大马路6号二楼</t>
  </si>
  <si>
    <t>广东省广州市天河区车陂金东花园2栋501</t>
  </si>
  <si>
    <t>卞光野</t>
  </si>
  <si>
    <t>张传应</t>
  </si>
  <si>
    <t>曹玉</t>
  </si>
  <si>
    <t>张响鹏</t>
  </si>
  <si>
    <t>彭招阳</t>
  </si>
  <si>
    <t>湖南省湘西土家族苗族自治州龙山县湖南省龙山县民族路水电骨伤科医院斜对面</t>
  </si>
  <si>
    <t>湖南省湘西土家族苗族自治州龙山县民安镇湘鄂路在水一方A栋三楼</t>
  </si>
  <si>
    <t>王雯雯</t>
  </si>
  <si>
    <t>魏志伟</t>
  </si>
  <si>
    <t>吴多壮</t>
  </si>
  <si>
    <t>陈兰</t>
  </si>
  <si>
    <t>于家碧</t>
  </si>
  <si>
    <t>何水波</t>
  </si>
  <si>
    <t>北京市北京市朝阳区建国路89号601</t>
  </si>
  <si>
    <t>北京市北京市朝阳区王四营盛腾公寓62306</t>
  </si>
  <si>
    <t>王兴健</t>
  </si>
  <si>
    <t>四川省成都市金牛区金丰路6号量力钢材交易大厦A座</t>
  </si>
  <si>
    <t>四川省成都市青羊区东城根街桂花巷51号1栋1单元</t>
  </si>
  <si>
    <t>曹朝辉</t>
  </si>
  <si>
    <t>河南省郑州市二七区兴华南街99号一号楼东一单元9号</t>
  </si>
  <si>
    <t>河南省郑州市二七区南曹乡政府家属院3号楼3单元701</t>
  </si>
  <si>
    <t>周彬</t>
  </si>
  <si>
    <t>吴新中</t>
  </si>
  <si>
    <t>郑福来</t>
  </si>
  <si>
    <t>陕西省西安市灞桥区广运潭大道22号</t>
  </si>
  <si>
    <t>陕西省西安市未央区灞浦五路浐灞惠泽居10号楼1501</t>
  </si>
  <si>
    <t>赵震杰</t>
  </si>
  <si>
    <t>陈仁荣</t>
  </si>
  <si>
    <t>张卫红</t>
  </si>
  <si>
    <t>陆强</t>
  </si>
  <si>
    <t>浙江省杭州市上城区康乐路11号</t>
  </si>
  <si>
    <t>浙江省杭州市余杭区崇贤街道崇贤村吴下庙桥14组80号</t>
  </si>
  <si>
    <t>周清胜</t>
  </si>
  <si>
    <t>张胜利</t>
  </si>
  <si>
    <t>陈水</t>
  </si>
  <si>
    <t>李生文</t>
  </si>
  <si>
    <t>广东省深圳市龙岗区集银市场</t>
  </si>
  <si>
    <t>广东省深圳市龙岗区莱茵路糖厂宿舍楼</t>
  </si>
  <si>
    <t>邱宇</t>
  </si>
  <si>
    <t>辽宁省葫芦岛市建昌县建昌县城建局院内</t>
  </si>
  <si>
    <t>辽宁省葫芦岛市建昌县辽宁省葫芦岛市建昌县</t>
  </si>
  <si>
    <t>朱丽娜</t>
  </si>
  <si>
    <t>山东省临沂市郯城县山东省临沂市郯城县李庄镇</t>
  </si>
  <si>
    <t>山东省临沂市郯城县山东省临沂市郯城县李庄镇大官庄</t>
  </si>
  <si>
    <t>孙国志</t>
  </si>
  <si>
    <t>陆明</t>
  </si>
  <si>
    <t>朱炜杰</t>
  </si>
  <si>
    <t>广东省茂名市茂南区茂名市茂南区站前一路189号</t>
  </si>
  <si>
    <t>云南省昆明市官渡区经景路66号</t>
  </si>
  <si>
    <t>云南省昆明市官渡区矣六街道子君村338号</t>
  </si>
  <si>
    <t>缪平贵</t>
  </si>
  <si>
    <t>黄日鑫</t>
  </si>
  <si>
    <t>卢海</t>
  </si>
  <si>
    <t>王云成</t>
  </si>
  <si>
    <t>辽宁省葫芦岛市龙港区锌厂一条街中段</t>
  </si>
  <si>
    <t>辽宁省葫芦岛市龙港区连山区上东盛景B区49号楼2单元4O2号</t>
  </si>
  <si>
    <t>朱秋婷</t>
  </si>
  <si>
    <t>毛洪富</t>
  </si>
  <si>
    <t>蔡广强</t>
  </si>
  <si>
    <t>胡亚光</t>
  </si>
  <si>
    <t>马金瑶</t>
  </si>
  <si>
    <t>陈实</t>
  </si>
  <si>
    <t>姚瑞馨</t>
  </si>
  <si>
    <t>林娟</t>
  </si>
  <si>
    <t>许世斌</t>
  </si>
  <si>
    <t>贾毅飞</t>
  </si>
  <si>
    <t>龙飞佑</t>
  </si>
  <si>
    <t>周发佳</t>
  </si>
  <si>
    <t>山东省潍坊市奎文区樱前街1399号</t>
  </si>
  <si>
    <t>山东省潍坊市临朐县辛寨镇新王庄村76号</t>
  </si>
  <si>
    <t>赵振龙</t>
  </si>
  <si>
    <t>马天磊</t>
  </si>
  <si>
    <t>符广远</t>
  </si>
  <si>
    <t>山东省临沂市兰山区金雀山路齐鲁大厦1906</t>
  </si>
  <si>
    <t>山东省临沂市兰山区银河湾3号院318-1-2303</t>
  </si>
  <si>
    <t>冯慧栋</t>
  </si>
  <si>
    <t>彭桂圆</t>
  </si>
  <si>
    <t>陈先兵</t>
  </si>
  <si>
    <t>王文义</t>
  </si>
  <si>
    <t>董啸</t>
  </si>
  <si>
    <t>李美来</t>
  </si>
  <si>
    <t>云南省西双版纳傣族自治州景洪市景洪市澜沧江路13号</t>
  </si>
  <si>
    <t>云南省西双版纳傣族自治州勐海县勐海县佛双路170号301室</t>
  </si>
  <si>
    <t>卞化</t>
  </si>
  <si>
    <t>顾佳一</t>
  </si>
  <si>
    <t>上海市上海市松江区沪松路1号</t>
  </si>
  <si>
    <t>上海市上海市松江区乐都支路85弄16号401室</t>
  </si>
  <si>
    <t>岳磊</t>
  </si>
  <si>
    <t>边麒元</t>
  </si>
  <si>
    <t>李灿江</t>
  </si>
  <si>
    <t>黄留天</t>
  </si>
  <si>
    <t>郭璞童</t>
  </si>
  <si>
    <t>陕西省商洛市商州区商洛市商州区中心街200号</t>
  </si>
  <si>
    <t>陕西省商洛市商州区商洛市商州区威尼斯401栋2单元</t>
  </si>
  <si>
    <t>史贻超</t>
  </si>
  <si>
    <t>蒲以平</t>
  </si>
  <si>
    <t>四川省达州市通川区达人街与人民广场交汇处8号</t>
  </si>
  <si>
    <t>四川省达州市通川区雍河弯9-28-2</t>
  </si>
  <si>
    <t>苏逸滨</t>
  </si>
  <si>
    <t>云南省曲靖市麒麟区白石江街道办事处一楼</t>
  </si>
  <si>
    <t>云南省曲靖市麒麟区丰登机电市场3组</t>
  </si>
  <si>
    <t>王海豹</t>
  </si>
  <si>
    <t>黄继斌</t>
  </si>
  <si>
    <t>高中卫</t>
  </si>
  <si>
    <t>李铖</t>
  </si>
  <si>
    <t>蒋玉珍</t>
  </si>
  <si>
    <t>湖北省武汉市江岸区中山大道805号长青广场商务中心A座310</t>
  </si>
  <si>
    <t>湖北省武汉市汉阳区倒口南村向阳小区215号</t>
  </si>
  <si>
    <t>尹曼</t>
  </si>
  <si>
    <t>安徽省合肥市瑶海区瑶海工业园内11栋</t>
  </si>
  <si>
    <t>安徽省合肥市瑶海区合郢花园25栋1103</t>
  </si>
  <si>
    <t>张龙辉</t>
  </si>
  <si>
    <t>何劲龙</t>
  </si>
  <si>
    <t>樊超</t>
  </si>
  <si>
    <t>张能财</t>
  </si>
  <si>
    <t>四川省成都市龙泉驿区成都市龙泉驿区北京路625号</t>
  </si>
  <si>
    <t>四川省成都市龙泉驿区成都市龙泉驿区北泉路388号</t>
  </si>
  <si>
    <t>袁瑗</t>
  </si>
  <si>
    <t>湖北省武汉市江岸区台北一路天下国际公馆5-1002</t>
  </si>
  <si>
    <t>湖北省武汉市硚口区仁寿路皮子街仁硚新村5-2-602</t>
  </si>
  <si>
    <t>杨友林</t>
  </si>
  <si>
    <t>毕松科</t>
  </si>
  <si>
    <t>乔琦</t>
  </si>
  <si>
    <t>高晓荣</t>
  </si>
  <si>
    <t>北京市北京市朝阳区十八里店自主城一号楼2层201</t>
  </si>
  <si>
    <t>北京市北京市大兴区瀛海镇瀛海家园17号院9号楼2单元603</t>
  </si>
  <si>
    <t>闫增鹏</t>
  </si>
  <si>
    <t>甘肃省张掖市甘州区乾和御园4号楼一层103室</t>
  </si>
  <si>
    <t>甘肃省张掖市甘州区宁和园A区31号楼四单元401室</t>
  </si>
  <si>
    <t>徐玉垒</t>
  </si>
  <si>
    <t>陈尚龄</t>
  </si>
  <si>
    <t>陆东旭</t>
  </si>
  <si>
    <t>黑龙江省大兴安岭地区塔河县十八站林业局</t>
  </si>
  <si>
    <t>黑龙江省大兴安岭地区塔河县十八站林业地区中央大街39栋1单元202号</t>
  </si>
  <si>
    <t>陈玲华</t>
  </si>
  <si>
    <t>陈灿潮</t>
  </si>
  <si>
    <t>张美玲</t>
  </si>
  <si>
    <t>广东省肇庆市四会市东城区陶冲村委会黄寨村岗腰53号</t>
  </si>
  <si>
    <t>广东省肇庆市四会市大沙镇隆马村委会张湾村</t>
  </si>
  <si>
    <t>孟路方</t>
  </si>
  <si>
    <t>伍新伟</t>
  </si>
  <si>
    <t>云南省昆明市盘龙区金色大道32号</t>
  </si>
  <si>
    <t>云南省昆明市西山区梁源三组8栋二单元301室</t>
  </si>
  <si>
    <t>图门吉日嘎拉</t>
  </si>
  <si>
    <t>古兵</t>
  </si>
  <si>
    <t>四川省遂宁市安居区四川省遂宁市南坝路口</t>
  </si>
  <si>
    <t>四川省遂宁市射洪县四川省射洪县柳树镇文家巷10号</t>
  </si>
  <si>
    <t>张瑞卿</t>
  </si>
  <si>
    <t>侯鑫鑫</t>
  </si>
  <si>
    <t>周韶建</t>
  </si>
  <si>
    <t>湖南省郴州市临武县新建路4号</t>
  </si>
  <si>
    <t>湖南省郴州市临武县临武城东市场12栋302</t>
  </si>
  <si>
    <t>夏伟</t>
  </si>
  <si>
    <t>江苏省扬州市邗江区邗江中路326号</t>
  </si>
  <si>
    <t>江苏省扬州市仪征市陈集镇丁桥村南窑组</t>
  </si>
  <si>
    <t>苏嘉帅</t>
  </si>
  <si>
    <t>广东省茂名市茂南区福华一街17号首层</t>
  </si>
  <si>
    <t>广东省茂名市茂南区油城七路福华三街40号602房</t>
  </si>
  <si>
    <t>屈家正</t>
  </si>
  <si>
    <t>高海丽</t>
  </si>
  <si>
    <t>芦霞</t>
  </si>
  <si>
    <t>潘宁辉</t>
  </si>
  <si>
    <t>李星明</t>
  </si>
  <si>
    <t>崔志辉</t>
  </si>
  <si>
    <t>吴国斌</t>
  </si>
  <si>
    <t>高梦茹</t>
  </si>
  <si>
    <t>王兴宇</t>
  </si>
  <si>
    <t>湖南省长沙市长沙县星沙尚都花园城7栋106号</t>
  </si>
  <si>
    <t>湖南省长沙市长沙县凉塘路三区52栋329号</t>
  </si>
  <si>
    <t>吴云灿</t>
  </si>
  <si>
    <t>陆贺</t>
  </si>
  <si>
    <t>杨正海</t>
  </si>
  <si>
    <t>江苏省无锡市锡山区无锡市新区华山路5号</t>
  </si>
  <si>
    <t>江苏省无锡市锡山区尚书苑67号202室</t>
  </si>
  <si>
    <t>吴茂</t>
  </si>
  <si>
    <t>四川省泸州市江阳区大田口巷15号楼附6号</t>
  </si>
  <si>
    <t>四川省泸州市江阳区江南路四段江南易居七号楼二单元</t>
  </si>
  <si>
    <t>管云彬</t>
  </si>
  <si>
    <t>陈旺钦</t>
  </si>
  <si>
    <t>福建省漳州市漳浦县福建省漳浦县深土镇庵下吴村庵下吴104号</t>
  </si>
  <si>
    <t>福建省漳州市漳浦县福建省漳浦县赤湖镇北桥村瑞丰8号</t>
  </si>
  <si>
    <t>谢文生</t>
  </si>
  <si>
    <t>福建省泉州市石狮市宝盖科技园锦盈广场288号</t>
  </si>
  <si>
    <t>胡祥</t>
  </si>
  <si>
    <t>北京市北京市朝阳区北京市朝阳区酒仙桥驼房营南路新华科技大厦8号</t>
  </si>
  <si>
    <t>北京市北京市朝阳区朝阳区金盏乡皮村西口盛腾公寓楼</t>
  </si>
  <si>
    <t>邝艳青</t>
  </si>
  <si>
    <t>尹艳</t>
  </si>
  <si>
    <t>河北省唐山市曹妃甸区开发区</t>
  </si>
  <si>
    <t>河南省南阳市西峡县丹水镇陈沟村张营组</t>
  </si>
  <si>
    <t>李远茂</t>
  </si>
  <si>
    <t>沈钱东</t>
  </si>
  <si>
    <t>江苏省盐城市滨海县滨海玉龙南路104号</t>
  </si>
  <si>
    <t>江苏省盐城市滨海县滨淮镇合新村九组34号</t>
  </si>
  <si>
    <t>关雅斯</t>
  </si>
  <si>
    <t>肉孜玩古丽·尼亚孜</t>
  </si>
  <si>
    <t>尼玛次仁</t>
  </si>
  <si>
    <t>殷志晨</t>
  </si>
  <si>
    <t>黄建萌</t>
  </si>
  <si>
    <t>赵子霞</t>
  </si>
  <si>
    <t>谢晓军</t>
  </si>
  <si>
    <t>傅建飞</t>
  </si>
  <si>
    <t>刘惠</t>
  </si>
  <si>
    <t>周晴</t>
  </si>
  <si>
    <t>肖清平</t>
  </si>
  <si>
    <t>陈丽园</t>
  </si>
  <si>
    <t>许世贵</t>
  </si>
  <si>
    <t>刘春月</t>
  </si>
  <si>
    <t>黎爱芬</t>
  </si>
  <si>
    <t>熊琴</t>
  </si>
  <si>
    <t>周芬</t>
  </si>
  <si>
    <t>李义平</t>
  </si>
  <si>
    <t>甘琳</t>
  </si>
  <si>
    <t>江西省萍乡市上栗县楚萍东路98号</t>
  </si>
  <si>
    <t>江西省萍乡市安源区田心村瓦叉16号</t>
  </si>
  <si>
    <t>云南省红河哈尼族彝族自治州建水县临镇碗窑村58号</t>
  </si>
  <si>
    <t>云南省红河哈尼族彝族自治州建水县临安镇右所村235号</t>
  </si>
  <si>
    <t>吴俊南</t>
  </si>
  <si>
    <t>林松斌</t>
  </si>
  <si>
    <t>杨小倩</t>
  </si>
  <si>
    <t>赵城</t>
  </si>
  <si>
    <t>陈家健</t>
  </si>
  <si>
    <t>广东省佛山市顺德区广东省佛山市顺德区大良云良路71号投资大厦8楼803</t>
  </si>
  <si>
    <t>广东省佛山市禅城区容桂街道东宝直街三巷9号</t>
  </si>
  <si>
    <t>谈强</t>
  </si>
  <si>
    <t>曹善燕</t>
  </si>
  <si>
    <t>福建省泉州市晋江市陈埭镇岸兜南工业区28号</t>
  </si>
  <si>
    <t>福建省泉州市晋江市长兴路永隆国际1号楼2107室</t>
  </si>
  <si>
    <t>钱立德</t>
  </si>
  <si>
    <t>浙江省杭州市拱墅区星桥街199号</t>
  </si>
  <si>
    <t>浙江省杭州市上城区秋涛路148号2幢412</t>
  </si>
  <si>
    <t>姜康</t>
  </si>
  <si>
    <t>曾焯新</t>
  </si>
  <si>
    <t>欧志娟</t>
  </si>
  <si>
    <t>王金鑫</t>
  </si>
  <si>
    <t>范祺</t>
  </si>
  <si>
    <t>陈奇波</t>
  </si>
  <si>
    <t>翁海鹰</t>
  </si>
  <si>
    <t>郭玉超</t>
  </si>
  <si>
    <t>张志松</t>
  </si>
  <si>
    <t>重庆市重庆市渝北区泰山大道华宇北城中央，</t>
  </si>
  <si>
    <t>重庆市重庆市渝北区华宇北城中央2栋9-2</t>
  </si>
  <si>
    <t>浙江省宁波市北仑区霞浦永定河路20号</t>
  </si>
  <si>
    <t>浙江省宁波市北仑区大夜市时代先锋公寓713室</t>
  </si>
  <si>
    <t>任红亚</t>
  </si>
  <si>
    <t>徐明</t>
  </si>
  <si>
    <t>孙一</t>
  </si>
  <si>
    <t>周升华</t>
  </si>
  <si>
    <t>吕永琪</t>
  </si>
  <si>
    <t>徐佰良</t>
  </si>
  <si>
    <t>黑龙江省牡丹江市爱民区地明街168号</t>
  </si>
  <si>
    <t>黑龙江省牡丹江市爱民区西新荣街一道街112栋105号</t>
  </si>
  <si>
    <t>彭友嘉</t>
  </si>
  <si>
    <t>吕海柱</t>
  </si>
  <si>
    <t>陕西省咸阳市秦都区人民路正大国际一层48号</t>
  </si>
  <si>
    <t>陕西省咸阳市秦都区珠泉新城8号楼二单元2012</t>
  </si>
  <si>
    <t>曾雅玲</t>
  </si>
  <si>
    <t>欧植守</t>
  </si>
  <si>
    <t>广东省江门市江海区东升路284号一栋</t>
  </si>
  <si>
    <t>曾围洲</t>
  </si>
  <si>
    <t>贵州省六盘水市钟山区金果建材城C区3楼</t>
  </si>
  <si>
    <t>贵州省六盘水市钟山区帝都新城2号楼205</t>
  </si>
  <si>
    <t>胡支芳</t>
  </si>
  <si>
    <t>夏德伟</t>
  </si>
  <si>
    <t>孙成</t>
  </si>
  <si>
    <t>安徽省合肥市巢湖市巢湖市凤凰山街道黎明社区创客巢B座302</t>
  </si>
  <si>
    <t>安徽省合肥市巢湖市弘宇雍景湾18栋一单元703</t>
  </si>
  <si>
    <t>李成春</t>
  </si>
  <si>
    <t>福建省厦门市同安区五显镇布塘中路1668号</t>
  </si>
  <si>
    <t>福建省厦门市同安区五显镇布塘中路53号306室</t>
  </si>
  <si>
    <t>张忠志</t>
  </si>
  <si>
    <t>重庆市重庆市綦江区綦江区黑山镇紫薇路13号</t>
  </si>
  <si>
    <t>重庆市重庆市綦江区重庆市綦江区东城大道102号</t>
  </si>
  <si>
    <t>陕西省西安市临潼区陕鼓大道8号</t>
  </si>
  <si>
    <t>陕西省商洛市柞水县陕西省西安市临潼区骊山新家园E1区4号楼三单元602室</t>
  </si>
  <si>
    <t>罗晴</t>
  </si>
  <si>
    <t>贾永胜</t>
  </si>
  <si>
    <t>江西省南昌市青山湖区黄家湖西路欧菲光科技园</t>
  </si>
  <si>
    <t>江西省南昌市青山湖区玉屏西大街麦园小区C区三排一栋101室</t>
  </si>
  <si>
    <t>李新杰</t>
  </si>
  <si>
    <t>龚庆国</t>
  </si>
  <si>
    <t>沈建</t>
  </si>
  <si>
    <t>朱忠林</t>
  </si>
  <si>
    <t>江苏省泰州市姜堰市江苏省泰州市姜堰市张甸镇张甸村张后路</t>
  </si>
  <si>
    <t>江苏省泰州市海陵区江苏省泰州市海陵区鹏欣领誉四期82栋3304室</t>
  </si>
  <si>
    <t>刘嘉鑫</t>
  </si>
  <si>
    <t>乙天杨</t>
  </si>
  <si>
    <t>任卫跃</t>
  </si>
  <si>
    <t>黄国庆</t>
  </si>
  <si>
    <t>蒋金违</t>
  </si>
  <si>
    <t>江苏省常州市新北区泰山路</t>
  </si>
  <si>
    <t>江苏省常州市天宁区新城蓝钻12幢甲单元2802</t>
  </si>
  <si>
    <t>何妮</t>
  </si>
  <si>
    <t>洪佳威</t>
  </si>
  <si>
    <t>福建省泉州市石狮市世茂广场摩天城北区1号楼1层107号</t>
  </si>
  <si>
    <t>福建省泉州市石狮市世茂SOHO单身公寓23楼2305室</t>
  </si>
  <si>
    <t>山东省济宁市金乡县金乡二中对面百度外卖</t>
  </si>
  <si>
    <t>山东省济宁市金乡县住建佳苑</t>
  </si>
  <si>
    <t>云南省昆明市五华区昆明市盘龙区白云路470号</t>
  </si>
  <si>
    <t>昆明市五华区红域路远洋风景5幢一单元806</t>
  </si>
  <si>
    <t>张雪柳</t>
  </si>
  <si>
    <t>于维志</t>
  </si>
  <si>
    <t>王会强</t>
  </si>
  <si>
    <t>沈亮</t>
  </si>
  <si>
    <t>湖北省武汉市江岸区解放大道2020号交易一厅819</t>
  </si>
  <si>
    <t>湖北省武汉市江岸区二七路东立国际1栋302</t>
  </si>
  <si>
    <t>杜铭</t>
  </si>
  <si>
    <t>付松松</t>
  </si>
  <si>
    <t>占敏</t>
  </si>
  <si>
    <t>闫旭光</t>
  </si>
  <si>
    <t>陈群慧</t>
  </si>
  <si>
    <t>李付泽</t>
  </si>
  <si>
    <t>赖侯欢</t>
  </si>
  <si>
    <t>邱健飞</t>
  </si>
  <si>
    <t>刘慕峰</t>
  </si>
  <si>
    <t>王琨</t>
  </si>
  <si>
    <t>龚宏立</t>
  </si>
  <si>
    <t>李亮辉</t>
  </si>
  <si>
    <t>支磊</t>
  </si>
  <si>
    <t>吕新建</t>
  </si>
  <si>
    <t>黄光荣</t>
  </si>
  <si>
    <t>江西省赣州市章贡区经济技术开发区劲嘉山与城9栋3号商铺</t>
  </si>
  <si>
    <t>江西省赣州市章贡区经济技术开发区大坪康居社区18栋23单元三楼301室</t>
  </si>
  <si>
    <t>刘叶里</t>
  </si>
  <si>
    <t>李忆华</t>
  </si>
  <si>
    <t>邓昆</t>
  </si>
  <si>
    <t>江苏省苏州市常熟市尚湖填尚湖大道蒂亚保罗有限公司</t>
  </si>
  <si>
    <t>安徽省滁州市定远县永康填</t>
  </si>
  <si>
    <t>邹玉晖</t>
  </si>
  <si>
    <t>吴元福</t>
  </si>
  <si>
    <t>余加良</t>
  </si>
  <si>
    <t>张英杰</t>
  </si>
  <si>
    <t>胡凯</t>
  </si>
  <si>
    <t>蔡美</t>
  </si>
  <si>
    <t>彭良栋</t>
  </si>
  <si>
    <t>高石云</t>
  </si>
  <si>
    <t>湖南省长沙市长沙县长沙县长沙经济开发区桂花路1号</t>
  </si>
  <si>
    <t>湖南省长沙市长沙县泉塘小区A6栋1单元402</t>
  </si>
  <si>
    <t>唐语歆</t>
  </si>
  <si>
    <t>宋学进</t>
  </si>
  <si>
    <t>上海市上海市浦东新区陆家嘴环路13号35层bf室</t>
  </si>
  <si>
    <t>上海市上海市浦东新区陆家嘴环路168号</t>
  </si>
  <si>
    <t>刘金茂</t>
  </si>
  <si>
    <t>黄陈帅</t>
  </si>
  <si>
    <t>周立标</t>
  </si>
  <si>
    <t>温学党</t>
  </si>
  <si>
    <t>江庆春</t>
  </si>
  <si>
    <t>安徽省合肥市瑶海区碧水雅居9栋2单元1504室</t>
  </si>
  <si>
    <t>安徽省合肥市瑶海区信地城市广场一号楼1806室</t>
  </si>
  <si>
    <t>郭朋朋</t>
  </si>
  <si>
    <t>冯德壹</t>
  </si>
  <si>
    <t>陈国</t>
  </si>
  <si>
    <t>淳泽忠</t>
  </si>
  <si>
    <t>张道涵</t>
  </si>
  <si>
    <t>严成锦</t>
  </si>
  <si>
    <t>广西梧州市苍梧县龙圩镇广信路23号</t>
  </si>
  <si>
    <t>广西梧州市苍梧县龙圩镇沿江路160号</t>
  </si>
  <si>
    <t>李玉敏</t>
  </si>
  <si>
    <t>张有明</t>
  </si>
  <si>
    <t>江苏省苏州市吴江区吴江区新黎路168号</t>
  </si>
  <si>
    <t>江苏省苏州市吴江区吴江区新黎路1111号c2栋428室</t>
  </si>
  <si>
    <t>单伟</t>
  </si>
  <si>
    <t>潘宁静</t>
  </si>
  <si>
    <t>重庆市重庆市云阳县江口镇工业园区</t>
  </si>
  <si>
    <t>重庆市重庆市云阳县江口镇滨河社区团河路98号</t>
  </si>
  <si>
    <t>安徽省蚌埠市禹会区东海大道君临天下</t>
  </si>
  <si>
    <t>安徽省蚌埠市龙子湖区解放一路223号</t>
  </si>
  <si>
    <t>刘鲁军</t>
  </si>
  <si>
    <t>李子刚</t>
  </si>
  <si>
    <t>林泽欣</t>
  </si>
  <si>
    <t>张世成</t>
  </si>
  <si>
    <t>韩玉林</t>
  </si>
  <si>
    <t>高永明</t>
  </si>
  <si>
    <t>项健强</t>
  </si>
  <si>
    <t>张木桂</t>
  </si>
  <si>
    <t>卢清泉</t>
  </si>
  <si>
    <t>张蒙蒙</t>
  </si>
  <si>
    <t>马磊</t>
  </si>
  <si>
    <t>谢德纲</t>
  </si>
  <si>
    <t>安徽省马鞍山市花山区丰收村</t>
  </si>
  <si>
    <t>安徽省马鞍山市花山区花和佳苑19栋811</t>
  </si>
  <si>
    <t>陈奇兴</t>
  </si>
  <si>
    <t>王伟彬</t>
  </si>
  <si>
    <t>区秉游</t>
  </si>
  <si>
    <t>陈传航</t>
  </si>
  <si>
    <t>王子珍</t>
  </si>
  <si>
    <t>侯春清</t>
  </si>
  <si>
    <t>天津市天津市滨海新区幸福路光明大道第五采油厂</t>
  </si>
  <si>
    <t>天津市天津市滨海新区海滨街华福小区13号楼4单元101</t>
  </si>
  <si>
    <t>陈一杰</t>
  </si>
  <si>
    <t>费虎杰</t>
  </si>
  <si>
    <t>晏长华</t>
  </si>
  <si>
    <t>王潮钢</t>
  </si>
  <si>
    <t>吴昆</t>
  </si>
  <si>
    <t>江苏省苏州市常熟市常熟市尚湖镇邓家湾工业开发区</t>
  </si>
  <si>
    <t>江苏省苏州市常熟市常熟市尚湖镇邓家湾福寿村苏庄1号</t>
  </si>
  <si>
    <t>吴杰俊雄</t>
  </si>
  <si>
    <t>上海市上海市静安区余姚路420号</t>
  </si>
  <si>
    <t>上海市上海市普陀区光新路250弄1号602</t>
  </si>
  <si>
    <t>邢雪</t>
  </si>
  <si>
    <t>杨世斌</t>
  </si>
  <si>
    <t>程红霖</t>
  </si>
  <si>
    <t>四川省成都市成华区建设路2号附6号</t>
  </si>
  <si>
    <t>四川省成都市青羊区石人正街小区21号四单元301</t>
  </si>
  <si>
    <t>许冬冬</t>
  </si>
  <si>
    <t>内蒙古呼和浩特市赛罕区新华东街26号</t>
  </si>
  <si>
    <t>内蒙古呼和浩特市玉泉区昭君路世源佳境小区C1.262</t>
  </si>
  <si>
    <t>杨亚娟</t>
  </si>
  <si>
    <t>严焕然</t>
  </si>
  <si>
    <t>陆远聪</t>
  </si>
  <si>
    <t>张先洲</t>
  </si>
  <si>
    <t>江海建</t>
  </si>
  <si>
    <t>邓春平</t>
  </si>
  <si>
    <t>陕西省铜川市王益区育才路福源尚品一楼</t>
  </si>
  <si>
    <t>陕西省铜川市王益区王家河乡南雷村70号</t>
  </si>
  <si>
    <t>刘欧阳</t>
  </si>
  <si>
    <t>广东省佛山市禅城区南丫岛市场66铺</t>
  </si>
  <si>
    <t>广东省佛山市禅城区万科广场五座205</t>
  </si>
  <si>
    <t>黄利敏</t>
  </si>
  <si>
    <t>广东省惠州市惠城区惠环街道西坑工业区TCL环境科技有限公司</t>
  </si>
  <si>
    <t>广东省惠州市惠城区江南街道青年路3号A栋301房</t>
  </si>
  <si>
    <t>张艳朋</t>
  </si>
  <si>
    <t>河北省廊坊市霸州市南孟镇东坨村工业园区1号</t>
  </si>
  <si>
    <t>河北省廊坊市三河市南孟镇东坨村222号</t>
  </si>
  <si>
    <t>毕世攀</t>
  </si>
  <si>
    <t>河南省新乡市卫滨区解放大道115号</t>
  </si>
  <si>
    <t>河南省新乡市牧野区王村镇高湾村803号</t>
  </si>
  <si>
    <t>杜前进</t>
  </si>
  <si>
    <t>山东省临沂市兰山区临西十一路华强水暖商贸城</t>
  </si>
  <si>
    <t>山东省临沂市兰山区临沂市兰山区启阳路鼎盛家园5号楼3单元201室</t>
  </si>
  <si>
    <t>黄中光</t>
  </si>
  <si>
    <t>陈天培</t>
  </si>
  <si>
    <t>湖南省怀化市新晃侗族自治县上环城路37号</t>
  </si>
  <si>
    <t>湖南省怀化市新晃侗族自治县晃州镇木铎溪村下院子组34号</t>
  </si>
  <si>
    <t>赵唯答</t>
  </si>
  <si>
    <t>何俊毅</t>
  </si>
  <si>
    <t>王晓燕</t>
  </si>
  <si>
    <t>张雷雷</t>
  </si>
  <si>
    <t>山东省东营市东营区山东省东营市东营区史口镇郝纯路与消防路交叉口</t>
  </si>
  <si>
    <t>山东省东营市东营区山东省东营市东营区史口镇石庄村15号</t>
  </si>
  <si>
    <t>赵泳淇</t>
  </si>
  <si>
    <t>河南省许昌市魏都区经济技术开发区长庆街9号</t>
  </si>
  <si>
    <t>河南省许昌市魏都区五一路许模小区家属院2单元1楼</t>
  </si>
  <si>
    <t>申永强</t>
  </si>
  <si>
    <t>于王欢</t>
  </si>
  <si>
    <t>吴毓靖</t>
  </si>
  <si>
    <t>王金成</t>
  </si>
  <si>
    <t>罗群华</t>
  </si>
  <si>
    <t>陆小荣</t>
  </si>
  <si>
    <t>刘希义</t>
  </si>
  <si>
    <t>赵栋</t>
  </si>
  <si>
    <t>四川省成都市锦江区苍溪县陵江镇江南新区美居中心二楼</t>
  </si>
  <si>
    <t>四川省成都市锦江区苍溪县歧坪镇宋水村三组</t>
  </si>
  <si>
    <t>赵喻</t>
  </si>
  <si>
    <t>倪静</t>
  </si>
  <si>
    <t>江苏省常州市新北区江苏省常州市新北去时代商务广场3幢403室</t>
  </si>
  <si>
    <t>江苏省淮安市清河区复兴镇北界村东界庄二组22号</t>
  </si>
  <si>
    <t>陈吉任</t>
  </si>
  <si>
    <t>赵新元</t>
  </si>
  <si>
    <t>杜曦</t>
  </si>
  <si>
    <t>师晓鹏</t>
  </si>
  <si>
    <t>寇丹</t>
  </si>
  <si>
    <t>伍明均</t>
  </si>
  <si>
    <t>王治国</t>
  </si>
  <si>
    <t>山西省运城市永济市河东大道北段024</t>
  </si>
  <si>
    <t>山西省运城市永济市永济市西厢路永纺中院一号楼204</t>
  </si>
  <si>
    <t>刘美玉</t>
  </si>
  <si>
    <t>张栖宁</t>
  </si>
  <si>
    <t>黄学良</t>
  </si>
  <si>
    <t>巴都拉呼</t>
  </si>
  <si>
    <t>王绍伟</t>
  </si>
  <si>
    <t>青爽</t>
  </si>
  <si>
    <t>李召颖</t>
  </si>
  <si>
    <t>尹平杰</t>
  </si>
  <si>
    <t>姚虹</t>
  </si>
  <si>
    <t>谢宗明</t>
  </si>
  <si>
    <t>孙一文</t>
  </si>
  <si>
    <t>辽宁省葫芦岛市兴城市龙兴路交叉口9号</t>
  </si>
  <si>
    <t>辽宁省葫芦岛市兴城市钓鱼台街道世纪阳光小区二号楼五单元602</t>
  </si>
  <si>
    <t>田崇献</t>
  </si>
  <si>
    <t>白玛仁增</t>
  </si>
  <si>
    <t>王元谱</t>
  </si>
  <si>
    <t>江西省景德镇市昌江区乐平市财富中心广场4栋26-27号</t>
  </si>
  <si>
    <t>江西省景德镇市乐平市后港镇程家边村68号</t>
  </si>
  <si>
    <t>邓家胜</t>
  </si>
  <si>
    <t>江苏省南京市鼓楼区三牌楼大街151号2楼</t>
  </si>
  <si>
    <t>江苏省南京市鼓楼区三牌楼大街151号6楼603</t>
  </si>
  <si>
    <t>刘印坤</t>
  </si>
  <si>
    <t>河北省邢台市清河县河北省邢台市清河县新世纪大街9号</t>
  </si>
  <si>
    <t>河北省邢台市南宫市河北省南宫市垂杨镇刘家庄村</t>
  </si>
  <si>
    <t>李惠珍</t>
  </si>
  <si>
    <t>袁贵明</t>
  </si>
  <si>
    <t>赖良波</t>
  </si>
  <si>
    <t>曹仁平</t>
  </si>
  <si>
    <t>俞雅婷</t>
  </si>
  <si>
    <t>刘志朋</t>
  </si>
  <si>
    <t>刘如森</t>
  </si>
  <si>
    <t>朱增凡</t>
  </si>
  <si>
    <t>阮咏梅</t>
  </si>
  <si>
    <t>蔡蕊</t>
  </si>
  <si>
    <t>杨思涛</t>
  </si>
  <si>
    <t>张三</t>
  </si>
  <si>
    <t>陈凡龙</t>
  </si>
  <si>
    <t>林永康</t>
  </si>
  <si>
    <t>广东省惠州市惠城区吉隆镇粤东国际鞋材市场b3栋09号</t>
  </si>
  <si>
    <t>广东省惠州市惠东县黄埠镇环城二路七巷2号</t>
  </si>
  <si>
    <t>张禄飞</t>
  </si>
  <si>
    <t>金卫其</t>
  </si>
  <si>
    <t>江苏省苏州市吴中区胥口镇曹丰路236号</t>
  </si>
  <si>
    <t>江苏省苏州市虎丘区阳山花苑三区七幢103室</t>
  </si>
  <si>
    <t>杨云峰</t>
  </si>
  <si>
    <t>四川省成都市彭州市彭州市天彭镇东大街83号</t>
  </si>
  <si>
    <t>四川省成都市彭州市彭州市丽春镇景林村18组38号</t>
  </si>
  <si>
    <t>郑帅</t>
  </si>
  <si>
    <t>徐佳龙</t>
  </si>
  <si>
    <t>丁香</t>
  </si>
  <si>
    <t>韦美艳</t>
  </si>
  <si>
    <t>吴长根</t>
  </si>
  <si>
    <t>冯军</t>
  </si>
  <si>
    <t>邱立忠</t>
  </si>
  <si>
    <t>福建省龙岩市新罗区龙腾中路体育公园网球馆商务楼401</t>
  </si>
  <si>
    <t>福建省龙岩市新罗区龙腾北路理想城小区七号楼1301</t>
  </si>
  <si>
    <t>陈俊璠</t>
  </si>
  <si>
    <t>陈思翔</t>
  </si>
  <si>
    <t>贵州省贵阳市云岩区枫丹白鹭洲负一楼一号宏达居不动产</t>
  </si>
  <si>
    <t>贵州省贵阳市南明区花溪大道北段185号2单元附18号603</t>
  </si>
  <si>
    <t>吴海昆</t>
  </si>
  <si>
    <t>鲁元全</t>
  </si>
  <si>
    <t>苗永清</t>
  </si>
  <si>
    <t>胡浩杰</t>
  </si>
  <si>
    <t>冯阳</t>
  </si>
  <si>
    <t>山东省日照市东港区沿海路600号</t>
  </si>
  <si>
    <t>山东省日照市岚山区轿顶山花园15号楼一单元601</t>
  </si>
  <si>
    <t>李锡洋</t>
  </si>
  <si>
    <t>曹延兄</t>
  </si>
  <si>
    <t>辽宁省大连市甘井子区川岭路186号</t>
  </si>
  <si>
    <t>辽宁省大连市甘井子区南关岭街道云岭街3号楼二单元501</t>
  </si>
  <si>
    <t>吴家兴</t>
  </si>
  <si>
    <t>吴宝锐</t>
  </si>
  <si>
    <t>徐卫强</t>
  </si>
  <si>
    <t>孟祥涛</t>
  </si>
  <si>
    <t>张艳龙</t>
  </si>
  <si>
    <t>邱昌宁</t>
  </si>
  <si>
    <t>逄文涛</t>
  </si>
  <si>
    <t>彭秋艳</t>
  </si>
  <si>
    <t>谢涛</t>
  </si>
  <si>
    <t>何贤良</t>
  </si>
  <si>
    <t>杨佳其</t>
  </si>
  <si>
    <t>河南省南阳市社旗县北京路与赊店路交叉口</t>
  </si>
  <si>
    <t>河南省南阳市社旗县滨河路南丽水名门</t>
  </si>
  <si>
    <t>王春元</t>
  </si>
  <si>
    <t>江苏省苏州市张家港市锦丰镇创业路</t>
  </si>
  <si>
    <t>江苏省苏州市张家港市锦丰镇星火村书院片六组</t>
  </si>
  <si>
    <t>王冠鹏</t>
  </si>
  <si>
    <t>山东省潍坊市寿光市山东省寿光市北洛镇工业园区</t>
  </si>
  <si>
    <t>山东省潍坊市寿光市山东省寿光市上口镇王家北楼村</t>
  </si>
  <si>
    <t>罗创华</t>
  </si>
  <si>
    <t>王芳赐</t>
  </si>
  <si>
    <t>纪玉敏</t>
  </si>
  <si>
    <t>樊远龙</t>
  </si>
  <si>
    <t>文韬</t>
  </si>
  <si>
    <t>邵晓</t>
  </si>
  <si>
    <t>重庆市重庆市武隆县巷口镇建设东路150号</t>
  </si>
  <si>
    <t>重庆市重庆市武隆县重庆市武隆县巷口镇建设东路150号</t>
  </si>
  <si>
    <t>何芳</t>
  </si>
  <si>
    <t>向前</t>
  </si>
  <si>
    <t>湖北省恩施土家族苗族自治州利川市利川市凉桥路3号</t>
  </si>
  <si>
    <t>湖北省恩施土家族苗族自治州利川市汪云镇清源街道一组</t>
  </si>
  <si>
    <t>浙江省宁波市慈溪市开发大道香格大厦1082</t>
  </si>
  <si>
    <t>浙江省宁波市慈溪市后横江路10号楼203</t>
  </si>
  <si>
    <t>袁礼翔</t>
  </si>
  <si>
    <t>毛维平</t>
  </si>
  <si>
    <t>许唯文</t>
  </si>
  <si>
    <t>岳航飞</t>
  </si>
  <si>
    <t>廖忠勤</t>
  </si>
  <si>
    <t>湖南省株洲市芦淞区株洲市芦淞区金轮服装市场B座1061</t>
  </si>
  <si>
    <t>湖南省株洲市芦淞区中鸿世代华庭1座1103</t>
  </si>
  <si>
    <t>李凤雨</t>
  </si>
  <si>
    <t>湖北省武汉市黄陂区横店街蓝色星城二期一单元一层3号</t>
  </si>
  <si>
    <t>湖北省武汉市黄陂区横店街新春村杨寨湾26号</t>
  </si>
  <si>
    <t>广东省深圳市宝安区深圳市龙华区观湖街道樟坑径宝业路33号</t>
  </si>
  <si>
    <t>广东省深圳市宝安区观澜镇马坜围仔村154号501</t>
  </si>
  <si>
    <t>刘宇宁</t>
  </si>
  <si>
    <t>李志成</t>
  </si>
  <si>
    <t>吴隆军</t>
  </si>
  <si>
    <t>黄圣平</t>
  </si>
  <si>
    <t>广东省深圳市宝安区龙华新区东环二路港深时代大厦303号</t>
  </si>
  <si>
    <t>江西省上饶市上饶县茶亭镇昆山村昆山191号</t>
  </si>
  <si>
    <t>张明龙</t>
  </si>
  <si>
    <t>冯全伟</t>
  </si>
  <si>
    <t>王清杰</t>
  </si>
  <si>
    <t>闫欣光</t>
  </si>
  <si>
    <t>黑龙江省哈尔滨市道里区向前街道哈西大街2288号</t>
  </si>
  <si>
    <t>黑龙江省哈尔滨市道里区希望小区2号楼4单元601</t>
  </si>
  <si>
    <t>马晓云</t>
  </si>
  <si>
    <t>马文福</t>
  </si>
  <si>
    <t>吴丽梅</t>
  </si>
  <si>
    <t>马恒雷</t>
  </si>
  <si>
    <t>安徽省蚌埠市蚌山区工农路写字楼清大德人718号</t>
  </si>
  <si>
    <t>安徽省蚌埠市禹会区金厦花园小区6栋一单元503号</t>
  </si>
  <si>
    <t>母本安</t>
  </si>
  <si>
    <t>公维艺</t>
  </si>
  <si>
    <t>宋祯祯</t>
  </si>
  <si>
    <t>马志江</t>
  </si>
  <si>
    <t>江苏省南京市浦口区兰花路19号11栋</t>
  </si>
  <si>
    <t>江苏省南京市江宁区清水亭西路188号3栋2单元104室</t>
  </si>
  <si>
    <t>杨孝云</t>
  </si>
  <si>
    <t>钱国云</t>
  </si>
  <si>
    <t>宋剑宇</t>
  </si>
  <si>
    <t>赵娟</t>
  </si>
  <si>
    <t>山东省青岛市市北区乐陵路12号</t>
  </si>
  <si>
    <t>山东省青岛市市北区益都路16号2单元503户</t>
  </si>
  <si>
    <t>秦健平</t>
  </si>
  <si>
    <t>广西南宁市青秀区民族大道184号</t>
  </si>
  <si>
    <t>广西南宁市江南区五一中路16号老虎岭小区一栋一单元</t>
  </si>
  <si>
    <t>万家纳</t>
  </si>
  <si>
    <t>谌翔</t>
  </si>
  <si>
    <t>湖南省株洲市天元区株洲大道长江北路体育中心对面金德工业园333号</t>
  </si>
  <si>
    <t>湖南省株洲市荷塘区株洲大道长江北路体育中心对面金德工业园333号一栋209</t>
  </si>
  <si>
    <t>王永春</t>
  </si>
  <si>
    <t>孙朋波</t>
  </si>
  <si>
    <t>宗炜</t>
  </si>
  <si>
    <t>浙江省湖州市南浔区劳动路227号</t>
  </si>
  <si>
    <t>浙江省湖州市吴兴区日月城20-504</t>
  </si>
  <si>
    <t>孙风</t>
  </si>
  <si>
    <t>江苏省连云港市东海县牛山北路288号</t>
  </si>
  <si>
    <t>江苏省连云港市东海县牛山街道贯庄村3-24号</t>
  </si>
  <si>
    <t>冯兴康</t>
  </si>
  <si>
    <t>万丽洁</t>
  </si>
  <si>
    <t>乔胖胖</t>
  </si>
  <si>
    <t>赵迎省</t>
  </si>
  <si>
    <t>湖北省宜昌市西陵区西陵一路1-2</t>
  </si>
  <si>
    <t>湖北省宜昌市兴山县古夫镇万家岭小区18号</t>
  </si>
  <si>
    <t>郝烽燃</t>
  </si>
  <si>
    <t>北京市北京市大兴区经海五路数字工场三号楼三层</t>
  </si>
  <si>
    <t>北京市北京市通州区兴贸二街富力尚悦居D区一号楼401</t>
  </si>
  <si>
    <t>曾青</t>
  </si>
  <si>
    <t>段春林</t>
  </si>
  <si>
    <t>河北省沧州市任丘市任丘市北石水电厂西侧</t>
  </si>
  <si>
    <t>河北省沧州市任丘市任丘市新华路市社小区8栋2单元201室</t>
  </si>
  <si>
    <t>孙东东</t>
  </si>
  <si>
    <t>山西省临汾市尧都区县底镇县底村临响路北侧</t>
  </si>
  <si>
    <t>山西省临汾市尧都区南孝北街沙坑7巷2号201</t>
  </si>
  <si>
    <t>廖思思</t>
  </si>
  <si>
    <t>湖南省长沙市开福区湖南省长沙市开福区广电中心金鹰大厦</t>
  </si>
  <si>
    <t>湖南省长沙市开福区四方坪雅雀湖小区20栋</t>
  </si>
  <si>
    <t>张力峰</t>
  </si>
  <si>
    <t>王燕昌</t>
  </si>
  <si>
    <t>甘光平</t>
  </si>
  <si>
    <t>罗科</t>
  </si>
  <si>
    <t>马雪琴</t>
  </si>
  <si>
    <t>石薇</t>
  </si>
  <si>
    <t>杨桂光</t>
  </si>
  <si>
    <t>市桥街康乐路159号</t>
  </si>
  <si>
    <t>广州市番禺区市桥沙溪大街四巷一横5号601室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</si>
</sst>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51498-B0DE-4F8A-8712-1108DA4233CB}">
  <dimension ref="A1:G27205"/>
  <sheetViews>
    <sheetView tabSelected="1" workbookViewId="0">
      <selection activeCell="J15" sqref="J15"/>
    </sheetView>
  </sheetViews>
  <sheetFormatPr defaultRowHeight="14.25" x14ac:dyDescent="0.2"/>
  <sheetData>
    <row r="1" spans="1:7" x14ac:dyDescent="0.2">
      <c r="A1" t="s">
        <v>1</v>
      </c>
      <c r="B1" t="str">
        <f>"15828171577"</f>
        <v>15828171577</v>
      </c>
      <c r="C1" t="s">
        <v>1</v>
      </c>
      <c r="D1" t="s">
        <v>1</v>
      </c>
      <c r="E1" t="s">
        <v>1</v>
      </c>
      <c r="F1" t="s">
        <v>0</v>
      </c>
      <c r="G1" t="str">
        <f>"2018-10-18 20:01:30"</f>
        <v>2018-10-18 20:01:30</v>
      </c>
    </row>
    <row r="2" spans="1:7" x14ac:dyDescent="0.2">
      <c r="A2" t="s">
        <v>1878</v>
      </c>
      <c r="B2" t="str">
        <f>"18288965902"</f>
        <v>18288965902</v>
      </c>
      <c r="C2" t="str">
        <f>"53252619871210002X"</f>
        <v>53252619871210002X</v>
      </c>
      <c r="D2" t="s">
        <v>1879</v>
      </c>
      <c r="E2" t="s">
        <v>1880</v>
      </c>
      <c r="F2" t="s">
        <v>0</v>
      </c>
      <c r="G2" t="str">
        <f>"2018-10-19 15:12:31"</f>
        <v>2018-10-19 15:12:31</v>
      </c>
    </row>
    <row r="3" spans="1:7" x14ac:dyDescent="0.2">
      <c r="A3" t="s">
        <v>1881</v>
      </c>
      <c r="B3" t="str">
        <f>"13887948445"</f>
        <v>13887948445</v>
      </c>
      <c r="C3" t="str">
        <f>"532725198604153313"</f>
        <v>532725198604153313</v>
      </c>
      <c r="D3" t="s">
        <v>1</v>
      </c>
      <c r="E3" t="s">
        <v>1</v>
      </c>
      <c r="F3" t="s">
        <v>0</v>
      </c>
      <c r="G3" t="str">
        <f>"2018-10-18 20:03:32"</f>
        <v>2018-10-18 20:03:32</v>
      </c>
    </row>
    <row r="4" spans="1:7" x14ac:dyDescent="0.2">
      <c r="A4" t="s">
        <v>1</v>
      </c>
      <c r="B4" t="str">
        <f>"15839385633"</f>
        <v>15839385633</v>
      </c>
      <c r="C4" t="s">
        <v>1</v>
      </c>
      <c r="D4" t="s">
        <v>1</v>
      </c>
      <c r="E4" t="s">
        <v>1</v>
      </c>
      <c r="F4" t="s">
        <v>0</v>
      </c>
      <c r="G4" t="str">
        <f>"2018-10-18 20:06:24"</f>
        <v>2018-10-18 20:06:24</v>
      </c>
    </row>
    <row r="5" spans="1:7" x14ac:dyDescent="0.2">
      <c r="A5" t="s">
        <v>1882</v>
      </c>
      <c r="B5" t="str">
        <f>"13304525299"</f>
        <v>13304525299</v>
      </c>
      <c r="C5" t="str">
        <f>"230281198605110615"</f>
        <v>230281198605110615</v>
      </c>
      <c r="D5" t="s">
        <v>1883</v>
      </c>
      <c r="E5" t="s">
        <v>1884</v>
      </c>
      <c r="F5" t="s">
        <v>0</v>
      </c>
      <c r="G5" t="str">
        <f>"2018-10-18 20:12:28"</f>
        <v>2018-10-18 20:12:28</v>
      </c>
    </row>
    <row r="6" spans="1:7" x14ac:dyDescent="0.2">
      <c r="A6" t="s">
        <v>1885</v>
      </c>
      <c r="B6" t="str">
        <f>"17612327507"</f>
        <v>17612327507</v>
      </c>
      <c r="C6" t="str">
        <f>"500239199408293739"</f>
        <v>500239199408293739</v>
      </c>
      <c r="D6" t="s">
        <v>1</v>
      </c>
      <c r="E6" t="s">
        <v>1</v>
      </c>
      <c r="F6" t="s">
        <v>0</v>
      </c>
      <c r="G6" t="str">
        <f>"2018-10-18 20:01:44"</f>
        <v>2018-10-18 20:01:44</v>
      </c>
    </row>
    <row r="7" spans="1:7" x14ac:dyDescent="0.2">
      <c r="A7" t="s">
        <v>475</v>
      </c>
      <c r="B7" t="str">
        <f>"13405150769"</f>
        <v>13405150769</v>
      </c>
      <c r="C7" t="str">
        <f>"320925198210162858"</f>
        <v>320925198210162858</v>
      </c>
      <c r="D7" t="s">
        <v>1</v>
      </c>
      <c r="E7" t="s">
        <v>1</v>
      </c>
      <c r="F7" t="s">
        <v>0</v>
      </c>
      <c r="G7" t="str">
        <f>"2018-10-18 20:03:31"</f>
        <v>2018-10-18 20:03:31</v>
      </c>
    </row>
    <row r="8" spans="1:7" x14ac:dyDescent="0.2">
      <c r="A8" t="s">
        <v>1</v>
      </c>
      <c r="B8" t="str">
        <f>"18095494864"</f>
        <v>18095494864</v>
      </c>
      <c r="C8" t="s">
        <v>1</v>
      </c>
      <c r="D8" t="s">
        <v>1</v>
      </c>
      <c r="E8" t="s">
        <v>1</v>
      </c>
      <c r="F8" t="s">
        <v>0</v>
      </c>
      <c r="G8" t="str">
        <f>"2018-10-18 19:59:31"</f>
        <v>2018-10-18 19:59:31</v>
      </c>
    </row>
    <row r="9" spans="1:7" x14ac:dyDescent="0.2">
      <c r="A9" t="s">
        <v>1886</v>
      </c>
      <c r="B9" t="str">
        <f>"13783754582"</f>
        <v>13783754582</v>
      </c>
      <c r="C9" t="str">
        <f>"410425196411133012"</f>
        <v>410425196411133012</v>
      </c>
      <c r="D9" t="s">
        <v>1</v>
      </c>
      <c r="E9" t="s">
        <v>1</v>
      </c>
      <c r="F9" t="s">
        <v>0</v>
      </c>
      <c r="G9" t="str">
        <f>"2018-10-18 20:05:27"</f>
        <v>2018-10-18 20:05:27</v>
      </c>
    </row>
    <row r="10" spans="1:7" x14ac:dyDescent="0.2">
      <c r="A10" t="s">
        <v>1</v>
      </c>
      <c r="B10" t="str">
        <f>"17623852965"</f>
        <v>17623852965</v>
      </c>
      <c r="C10" t="s">
        <v>1</v>
      </c>
      <c r="D10" t="s">
        <v>1</v>
      </c>
      <c r="E10" t="s">
        <v>1</v>
      </c>
      <c r="F10" t="s">
        <v>0</v>
      </c>
      <c r="G10" t="str">
        <f>"2018-10-18 20:00:17"</f>
        <v>2018-10-18 20:00:17</v>
      </c>
    </row>
    <row r="11" spans="1:7" x14ac:dyDescent="0.2">
      <c r="A11" t="s">
        <v>1</v>
      </c>
      <c r="B11" t="str">
        <f>"13732507935"</f>
        <v>13732507935</v>
      </c>
      <c r="C11" t="s">
        <v>1</v>
      </c>
      <c r="D11" t="s">
        <v>1</v>
      </c>
      <c r="E11" t="s">
        <v>1</v>
      </c>
      <c r="F11" t="s">
        <v>0</v>
      </c>
      <c r="G11" t="str">
        <f>"2018-10-18 19:57:43"</f>
        <v>2018-10-18 19:57:43</v>
      </c>
    </row>
    <row r="12" spans="1:7" x14ac:dyDescent="0.2">
      <c r="A12" t="s">
        <v>1887</v>
      </c>
      <c r="B12" t="str">
        <f>"15065784388"</f>
        <v>15065784388</v>
      </c>
      <c r="C12" t="str">
        <f>"370687199407075463"</f>
        <v>370687199407075463</v>
      </c>
      <c r="D12" t="s">
        <v>1</v>
      </c>
      <c r="E12" t="s">
        <v>1</v>
      </c>
      <c r="F12" t="s">
        <v>0</v>
      </c>
      <c r="G12" t="str">
        <f>"2018-10-18 19:59:37"</f>
        <v>2018-10-18 19:59:37</v>
      </c>
    </row>
    <row r="13" spans="1:7" x14ac:dyDescent="0.2">
      <c r="A13" t="s">
        <v>1888</v>
      </c>
      <c r="B13" t="str">
        <f>"15814156016"</f>
        <v>15814156016</v>
      </c>
      <c r="C13" t="str">
        <f>"36242219961012302X"</f>
        <v>36242219961012302X</v>
      </c>
      <c r="D13" t="s">
        <v>1</v>
      </c>
      <c r="E13" t="s">
        <v>1</v>
      </c>
      <c r="F13" t="s">
        <v>0</v>
      </c>
      <c r="G13" t="str">
        <f>"2018-10-18 20:38:19"</f>
        <v>2018-10-18 20:38:19</v>
      </c>
    </row>
    <row r="14" spans="1:7" x14ac:dyDescent="0.2">
      <c r="A14" t="s">
        <v>370</v>
      </c>
      <c r="B14" t="str">
        <f>"18653275538"</f>
        <v>18653275538</v>
      </c>
      <c r="C14" t="str">
        <f>"370283199111251213"</f>
        <v>370283199111251213</v>
      </c>
      <c r="D14" t="s">
        <v>1889</v>
      </c>
      <c r="E14" t="s">
        <v>1890</v>
      </c>
      <c r="F14" t="s">
        <v>0</v>
      </c>
      <c r="G14" t="str">
        <f>"2018-10-18 19:58:39"</f>
        <v>2018-10-18 19:58:39</v>
      </c>
    </row>
    <row r="15" spans="1:7" x14ac:dyDescent="0.2">
      <c r="A15" t="s">
        <v>1</v>
      </c>
      <c r="B15" t="str">
        <f>"15036003262"</f>
        <v>15036003262</v>
      </c>
      <c r="C15" t="s">
        <v>1</v>
      </c>
      <c r="D15" t="s">
        <v>1</v>
      </c>
      <c r="E15" t="s">
        <v>1</v>
      </c>
      <c r="F15" t="s">
        <v>0</v>
      </c>
      <c r="G15" t="str">
        <f>"2018-10-18 19:56:30"</f>
        <v>2018-10-18 19:56:30</v>
      </c>
    </row>
    <row r="16" spans="1:7" x14ac:dyDescent="0.2">
      <c r="A16" t="s">
        <v>1891</v>
      </c>
      <c r="B16" t="str">
        <f>"15936230583"</f>
        <v>15936230583</v>
      </c>
      <c r="C16" t="str">
        <f>"410426199010081012"</f>
        <v>410426199010081012</v>
      </c>
      <c r="D16" t="s">
        <v>1</v>
      </c>
      <c r="E16" t="s">
        <v>1</v>
      </c>
      <c r="F16" t="s">
        <v>0</v>
      </c>
      <c r="G16" t="str">
        <f>"2018-11-03 15:29:54"</f>
        <v>2018-11-03 15:29:54</v>
      </c>
    </row>
    <row r="17" spans="1:7" x14ac:dyDescent="0.2">
      <c r="A17" t="s">
        <v>1892</v>
      </c>
      <c r="B17" t="str">
        <f>"15505368351"</f>
        <v>15505368351</v>
      </c>
      <c r="C17" t="str">
        <f>"370702198709266211"</f>
        <v>370702198709266211</v>
      </c>
      <c r="D17" t="s">
        <v>1893</v>
      </c>
      <c r="E17" t="s">
        <v>1894</v>
      </c>
      <c r="F17" t="s">
        <v>0</v>
      </c>
      <c r="G17" t="str">
        <f>"2018-11-01 14:12:26"</f>
        <v>2018-11-01 14:12:26</v>
      </c>
    </row>
    <row r="18" spans="1:7" x14ac:dyDescent="0.2">
      <c r="A18" t="s">
        <v>1895</v>
      </c>
      <c r="B18" t="str">
        <f>"15804418978"</f>
        <v>15804418978</v>
      </c>
      <c r="C18" t="str">
        <f>"220122198708240917"</f>
        <v>220122198708240917</v>
      </c>
      <c r="D18" t="s">
        <v>1</v>
      </c>
      <c r="E18" t="s">
        <v>1</v>
      </c>
      <c r="F18" t="s">
        <v>0</v>
      </c>
      <c r="G18" t="str">
        <f>"2018-10-18 19:57:46"</f>
        <v>2018-10-18 19:57:46</v>
      </c>
    </row>
    <row r="19" spans="1:7" x14ac:dyDescent="0.2">
      <c r="A19" t="s">
        <v>1896</v>
      </c>
      <c r="B19" t="str">
        <f>"15823563018"</f>
        <v>15823563018</v>
      </c>
      <c r="C19" t="str">
        <f>"500232198608092799"</f>
        <v>500232198608092799</v>
      </c>
      <c r="D19" t="s">
        <v>1</v>
      </c>
      <c r="E19" t="s">
        <v>1</v>
      </c>
      <c r="F19" t="s">
        <v>0</v>
      </c>
      <c r="G19" t="str">
        <f>"2018-10-28 13:14:58"</f>
        <v>2018-10-28 13:14:58</v>
      </c>
    </row>
    <row r="20" spans="1:7" x14ac:dyDescent="0.2">
      <c r="A20" t="s">
        <v>753</v>
      </c>
      <c r="B20" t="str">
        <f>"18271284180"</f>
        <v>18271284180</v>
      </c>
      <c r="C20" t="str">
        <f>"420602197804270010"</f>
        <v>420602197804270010</v>
      </c>
      <c r="D20" t="s">
        <v>1</v>
      </c>
      <c r="E20" t="s">
        <v>1</v>
      </c>
      <c r="F20" t="s">
        <v>0</v>
      </c>
      <c r="G20" t="str">
        <f>"2018-10-18 20:18:28"</f>
        <v>2018-10-18 20:18:28</v>
      </c>
    </row>
    <row r="21" spans="1:7" x14ac:dyDescent="0.2">
      <c r="A21" t="s">
        <v>1897</v>
      </c>
      <c r="B21" t="str">
        <f>"13705156775"</f>
        <v>13705156775</v>
      </c>
      <c r="C21" t="str">
        <f>"320123197805163218"</f>
        <v>320123197805163218</v>
      </c>
      <c r="D21" t="s">
        <v>1</v>
      </c>
      <c r="E21" t="s">
        <v>1</v>
      </c>
      <c r="F21" t="s">
        <v>0</v>
      </c>
      <c r="G21" t="str">
        <f>"2018-10-18 19:55:36"</f>
        <v>2018-10-18 19:55:36</v>
      </c>
    </row>
    <row r="22" spans="1:7" x14ac:dyDescent="0.2">
      <c r="A22" t="s">
        <v>1898</v>
      </c>
      <c r="B22" t="str">
        <f>"18106327358"</f>
        <v>18106327358</v>
      </c>
      <c r="C22" t="str">
        <f>"370406198102050173"</f>
        <v>370406198102050173</v>
      </c>
      <c r="D22" t="s">
        <v>1</v>
      </c>
      <c r="E22" t="s">
        <v>1</v>
      </c>
      <c r="F22" t="s">
        <v>0</v>
      </c>
      <c r="G22" t="str">
        <f>"2018-10-18 19:57:07"</f>
        <v>2018-10-18 19:57:07</v>
      </c>
    </row>
    <row r="23" spans="1:7" x14ac:dyDescent="0.2">
      <c r="A23" t="s">
        <v>1</v>
      </c>
      <c r="B23" t="str">
        <f>"15871791179"</f>
        <v>15871791179</v>
      </c>
      <c r="C23" t="s">
        <v>1</v>
      </c>
      <c r="D23" t="s">
        <v>1</v>
      </c>
      <c r="E23" t="s">
        <v>1</v>
      </c>
      <c r="F23" t="s">
        <v>0</v>
      </c>
      <c r="G23" t="str">
        <f>"2018-10-23 19:48:15"</f>
        <v>2018-10-23 19:48:15</v>
      </c>
    </row>
    <row r="24" spans="1:7" x14ac:dyDescent="0.2">
      <c r="A24" t="s">
        <v>1899</v>
      </c>
      <c r="B24" t="str">
        <f>"18848088858"</f>
        <v>18848088858</v>
      </c>
      <c r="C24" t="str">
        <f>"220881199802091527"</f>
        <v>220881199802091527</v>
      </c>
      <c r="D24" t="s">
        <v>1</v>
      </c>
      <c r="E24" t="s">
        <v>1</v>
      </c>
      <c r="F24" t="s">
        <v>0</v>
      </c>
      <c r="G24" t="str">
        <f>"2018-10-18 19:56:16"</f>
        <v>2018-10-18 19:56:16</v>
      </c>
    </row>
    <row r="25" spans="1:7" x14ac:dyDescent="0.2">
      <c r="A25" t="s">
        <v>1</v>
      </c>
      <c r="B25" t="str">
        <f>"15676465341"</f>
        <v>15676465341</v>
      </c>
      <c r="C25" t="s">
        <v>1</v>
      </c>
      <c r="D25" t="s">
        <v>1</v>
      </c>
      <c r="E25" t="s">
        <v>1</v>
      </c>
      <c r="F25" t="s">
        <v>0</v>
      </c>
      <c r="G25" t="str">
        <f>"2018-10-18 19:54:29"</f>
        <v>2018-10-18 19:54:29</v>
      </c>
    </row>
    <row r="26" spans="1:7" x14ac:dyDescent="0.2">
      <c r="A26" t="s">
        <v>1900</v>
      </c>
      <c r="B26" t="str">
        <f>"15136360581"</f>
        <v>15136360581</v>
      </c>
      <c r="C26" t="str">
        <f>"410311198810173527"</f>
        <v>410311198810173527</v>
      </c>
      <c r="D26" t="s">
        <v>1</v>
      </c>
      <c r="E26" t="s">
        <v>1</v>
      </c>
      <c r="F26" t="s">
        <v>0</v>
      </c>
      <c r="G26" t="str">
        <f>"2018-10-19 09:08:59"</f>
        <v>2018-10-19 09:08:59</v>
      </c>
    </row>
    <row r="27" spans="1:7" x14ac:dyDescent="0.2">
      <c r="A27" t="s">
        <v>1</v>
      </c>
      <c r="B27" t="str">
        <f>"15211571165"</f>
        <v>15211571165</v>
      </c>
      <c r="C27" t="s">
        <v>1</v>
      </c>
      <c r="D27" t="s">
        <v>1</v>
      </c>
      <c r="E27" t="s">
        <v>1</v>
      </c>
      <c r="F27" t="s">
        <v>0</v>
      </c>
      <c r="G27" t="str">
        <f>"2018-10-18 19:54:12"</f>
        <v>2018-10-18 19:54:12</v>
      </c>
    </row>
    <row r="28" spans="1:7" x14ac:dyDescent="0.2">
      <c r="A28" t="s">
        <v>1901</v>
      </c>
      <c r="B28" t="str">
        <f>"15987053535"</f>
        <v>15987053535</v>
      </c>
      <c r="C28" t="str">
        <f>"532101198902131653"</f>
        <v>532101198902131653</v>
      </c>
      <c r="D28" t="s">
        <v>1</v>
      </c>
      <c r="E28" t="s">
        <v>1</v>
      </c>
      <c r="F28" t="s">
        <v>0</v>
      </c>
      <c r="G28" t="str">
        <f>"2018-10-18 19:56:45"</f>
        <v>2018-10-18 19:56:45</v>
      </c>
    </row>
    <row r="29" spans="1:7" x14ac:dyDescent="0.2">
      <c r="A29" t="s">
        <v>1</v>
      </c>
      <c r="B29" t="str">
        <f>"15677174356"</f>
        <v>15677174356</v>
      </c>
      <c r="C29" t="s">
        <v>1</v>
      </c>
      <c r="D29" t="s">
        <v>1</v>
      </c>
      <c r="E29" t="s">
        <v>1</v>
      </c>
      <c r="F29" t="s">
        <v>0</v>
      </c>
      <c r="G29" t="str">
        <f>"2018-10-18 19:54:08"</f>
        <v>2018-10-18 19:54:08</v>
      </c>
    </row>
    <row r="30" spans="1:7" x14ac:dyDescent="0.2">
      <c r="A30" t="s">
        <v>1902</v>
      </c>
      <c r="B30" t="str">
        <f>"15826038024"</f>
        <v>15826038024</v>
      </c>
      <c r="C30" t="str">
        <f>"50038119951209931X"</f>
        <v>50038119951209931X</v>
      </c>
      <c r="D30" t="s">
        <v>1</v>
      </c>
      <c r="E30" t="s">
        <v>1</v>
      </c>
      <c r="F30" t="s">
        <v>0</v>
      </c>
      <c r="G30" t="str">
        <f>"2018-10-18 19:56:35"</f>
        <v>2018-10-18 19:56:35</v>
      </c>
    </row>
    <row r="31" spans="1:7" x14ac:dyDescent="0.2">
      <c r="A31" t="s">
        <v>1903</v>
      </c>
      <c r="B31" t="str">
        <f>"15924248689"</f>
        <v>15924248689</v>
      </c>
      <c r="C31" t="str">
        <f>"330725198010105411"</f>
        <v>330725198010105411</v>
      </c>
      <c r="D31" t="s">
        <v>1</v>
      </c>
      <c r="E31" t="s">
        <v>1</v>
      </c>
      <c r="F31" t="s">
        <v>0</v>
      </c>
      <c r="G31" t="str">
        <f>"2018-10-18 19:54:45"</f>
        <v>2018-10-18 19:54:45</v>
      </c>
    </row>
    <row r="32" spans="1:7" x14ac:dyDescent="0.2">
      <c r="A32" t="s">
        <v>1</v>
      </c>
      <c r="B32" t="str">
        <f>"18809165023"</f>
        <v>18809165023</v>
      </c>
      <c r="C32" t="s">
        <v>1</v>
      </c>
      <c r="D32" t="s">
        <v>1</v>
      </c>
      <c r="E32" t="s">
        <v>1</v>
      </c>
      <c r="F32" t="s">
        <v>0</v>
      </c>
      <c r="G32" t="str">
        <f>"2018-10-18 19:54:30"</f>
        <v>2018-10-18 19:54:30</v>
      </c>
    </row>
    <row r="33" spans="1:7" x14ac:dyDescent="0.2">
      <c r="A33" t="s">
        <v>1</v>
      </c>
      <c r="B33" t="str">
        <f>"15658640344"</f>
        <v>15658640344</v>
      </c>
      <c r="C33" t="s">
        <v>1</v>
      </c>
      <c r="D33" t="s">
        <v>1</v>
      </c>
      <c r="E33" t="s">
        <v>1</v>
      </c>
      <c r="F33" t="s">
        <v>0</v>
      </c>
      <c r="G33" t="str">
        <f>"2018-10-18 19:52:21"</f>
        <v>2018-10-18 19:52:21</v>
      </c>
    </row>
    <row r="34" spans="1:7" x14ac:dyDescent="0.2">
      <c r="A34" t="s">
        <v>1904</v>
      </c>
      <c r="B34" t="str">
        <f>"18996685871"</f>
        <v>18996685871</v>
      </c>
      <c r="C34" t="str">
        <f>"500235199608091351"</f>
        <v>500235199608091351</v>
      </c>
      <c r="D34" t="s">
        <v>1</v>
      </c>
      <c r="E34" t="s">
        <v>1</v>
      </c>
      <c r="F34" t="s">
        <v>0</v>
      </c>
      <c r="G34" t="str">
        <f>"2018-10-18 19:52:42"</f>
        <v>2018-10-18 19:52:42</v>
      </c>
    </row>
    <row r="35" spans="1:7" x14ac:dyDescent="0.2">
      <c r="A35" t="s">
        <v>1905</v>
      </c>
      <c r="B35" t="str">
        <f>"15530802037"</f>
        <v>15530802037</v>
      </c>
      <c r="C35" t="str">
        <f>"130282198312115124"</f>
        <v>130282198312115124</v>
      </c>
      <c r="D35" t="s">
        <v>1</v>
      </c>
      <c r="E35" t="s">
        <v>1</v>
      </c>
      <c r="F35" t="s">
        <v>0</v>
      </c>
      <c r="G35" t="str">
        <f>"2018-10-18 19:51:37"</f>
        <v>2018-10-18 19:51:37</v>
      </c>
    </row>
    <row r="36" spans="1:7" x14ac:dyDescent="0.2">
      <c r="A36" t="s">
        <v>1</v>
      </c>
      <c r="B36" t="str">
        <f>"17703664521"</f>
        <v>17703664521</v>
      </c>
      <c r="C36" t="s">
        <v>1</v>
      </c>
      <c r="D36" t="s">
        <v>1</v>
      </c>
      <c r="E36" t="s">
        <v>1</v>
      </c>
      <c r="F36" t="s">
        <v>0</v>
      </c>
      <c r="G36" t="str">
        <f>"2018-10-18 19:51:28"</f>
        <v>2018-10-18 19:51:28</v>
      </c>
    </row>
    <row r="37" spans="1:7" x14ac:dyDescent="0.2">
      <c r="A37" t="s">
        <v>1906</v>
      </c>
      <c r="B37" t="str">
        <f>"15617814971"</f>
        <v>15617814971</v>
      </c>
      <c r="C37" t="str">
        <f>"410181198210233010"</f>
        <v>410181198210233010</v>
      </c>
      <c r="D37" t="s">
        <v>1</v>
      </c>
      <c r="E37" t="s">
        <v>1</v>
      </c>
      <c r="F37" t="s">
        <v>0</v>
      </c>
      <c r="G37" t="str">
        <f>"2018-10-18 19:56:43"</f>
        <v>2018-10-18 19:56:43</v>
      </c>
    </row>
    <row r="38" spans="1:7" x14ac:dyDescent="0.2">
      <c r="A38" t="s">
        <v>1</v>
      </c>
      <c r="B38" t="str">
        <f>"15577646435"</f>
        <v>15577646435</v>
      </c>
      <c r="C38" t="s">
        <v>1</v>
      </c>
      <c r="D38" t="s">
        <v>1</v>
      </c>
      <c r="E38" t="s">
        <v>1</v>
      </c>
      <c r="F38" t="s">
        <v>0</v>
      </c>
      <c r="G38" t="str">
        <f>"2018-10-18 19:50:52"</f>
        <v>2018-10-18 19:50:52</v>
      </c>
    </row>
    <row r="39" spans="1:7" x14ac:dyDescent="0.2">
      <c r="A39" t="s">
        <v>1463</v>
      </c>
      <c r="B39" t="str">
        <f>"15202802312"</f>
        <v>15202802312</v>
      </c>
      <c r="C39" t="str">
        <f>"622628199002152014"</f>
        <v>622628199002152014</v>
      </c>
      <c r="D39" t="s">
        <v>1</v>
      </c>
      <c r="E39" t="s">
        <v>1</v>
      </c>
      <c r="F39" t="s">
        <v>0</v>
      </c>
      <c r="G39" t="str">
        <f>"2018-10-18 19:52:42"</f>
        <v>2018-10-18 19:52:42</v>
      </c>
    </row>
    <row r="40" spans="1:7" x14ac:dyDescent="0.2">
      <c r="A40" t="s">
        <v>1</v>
      </c>
      <c r="B40" t="str">
        <f>"18283909829"</f>
        <v>18283909829</v>
      </c>
      <c r="C40" t="s">
        <v>1</v>
      </c>
      <c r="D40" t="s">
        <v>1</v>
      </c>
      <c r="E40" t="s">
        <v>1</v>
      </c>
      <c r="F40" t="s">
        <v>0</v>
      </c>
      <c r="G40" t="str">
        <f>"2018-10-18 19:50:14"</f>
        <v>2018-10-18 19:50:14</v>
      </c>
    </row>
    <row r="41" spans="1:7" x14ac:dyDescent="0.2">
      <c r="A41" t="s">
        <v>1060</v>
      </c>
      <c r="B41" t="str">
        <f>"18137953780"</f>
        <v>18137953780</v>
      </c>
      <c r="C41" t="str">
        <f>"410327198510221524"</f>
        <v>410327198510221524</v>
      </c>
      <c r="D41" t="s">
        <v>1</v>
      </c>
      <c r="E41" t="s">
        <v>1</v>
      </c>
      <c r="F41" t="s">
        <v>0</v>
      </c>
      <c r="G41" t="str">
        <f>"2018-10-19 13:43:22"</f>
        <v>2018-10-19 13:43:22</v>
      </c>
    </row>
    <row r="42" spans="1:7" x14ac:dyDescent="0.2">
      <c r="A42" t="s">
        <v>1684</v>
      </c>
      <c r="B42" t="str">
        <f>"13684880899"</f>
        <v>13684880899</v>
      </c>
      <c r="C42" t="str">
        <f>"360281198612084039"</f>
        <v>360281198612084039</v>
      </c>
      <c r="D42" t="s">
        <v>1</v>
      </c>
      <c r="E42" t="s">
        <v>1</v>
      </c>
      <c r="F42" t="s">
        <v>0</v>
      </c>
      <c r="G42" t="str">
        <f>"2018-10-18 19:50:54"</f>
        <v>2018-10-18 19:50:54</v>
      </c>
    </row>
    <row r="43" spans="1:7" x14ac:dyDescent="0.2">
      <c r="A43" t="s">
        <v>1</v>
      </c>
      <c r="B43" t="str">
        <f>"15085300045"</f>
        <v>15085300045</v>
      </c>
      <c r="C43" t="s">
        <v>1</v>
      </c>
      <c r="D43" t="s">
        <v>1</v>
      </c>
      <c r="E43" t="s">
        <v>1</v>
      </c>
      <c r="F43" t="s">
        <v>0</v>
      </c>
      <c r="G43" t="str">
        <f>"2018-10-18 19:49:55"</f>
        <v>2018-10-18 19:49:55</v>
      </c>
    </row>
    <row r="44" spans="1:7" x14ac:dyDescent="0.2">
      <c r="A44" t="s">
        <v>1907</v>
      </c>
      <c r="B44" t="str">
        <f>"15170452756"</f>
        <v>15170452756</v>
      </c>
      <c r="C44" t="str">
        <f>"362426199403210011"</f>
        <v>362426199403210011</v>
      </c>
      <c r="D44" t="s">
        <v>1</v>
      </c>
      <c r="E44" t="s">
        <v>1</v>
      </c>
      <c r="F44" t="s">
        <v>0</v>
      </c>
      <c r="G44" t="str">
        <f>"2018-10-18 19:51:35"</f>
        <v>2018-10-18 19:51:35</v>
      </c>
    </row>
    <row r="45" spans="1:7" x14ac:dyDescent="0.2">
      <c r="A45" t="s">
        <v>1</v>
      </c>
      <c r="B45" t="str">
        <f>"13539694491"</f>
        <v>13539694491</v>
      </c>
      <c r="C45" t="s">
        <v>1</v>
      </c>
      <c r="D45" t="s">
        <v>1</v>
      </c>
      <c r="E45" t="s">
        <v>1</v>
      </c>
      <c r="F45" t="s">
        <v>0</v>
      </c>
      <c r="G45" t="str">
        <f>"2018-10-18 19:49:51"</f>
        <v>2018-10-18 19:49:51</v>
      </c>
    </row>
    <row r="46" spans="1:7" x14ac:dyDescent="0.2">
      <c r="A46" t="s">
        <v>1</v>
      </c>
      <c r="B46" t="str">
        <f>"15111486377"</f>
        <v>15111486377</v>
      </c>
      <c r="C46" t="s">
        <v>1</v>
      </c>
      <c r="D46" t="s">
        <v>1</v>
      </c>
      <c r="E46" t="s">
        <v>1</v>
      </c>
      <c r="F46" t="s">
        <v>0</v>
      </c>
      <c r="G46" t="str">
        <f>"2018-10-18 19:49:45"</f>
        <v>2018-10-18 19:49:45</v>
      </c>
    </row>
    <row r="47" spans="1:7" x14ac:dyDescent="0.2">
      <c r="A47" t="s">
        <v>1</v>
      </c>
      <c r="B47" t="str">
        <f>"15947713571"</f>
        <v>15947713571</v>
      </c>
      <c r="C47" t="s">
        <v>1</v>
      </c>
      <c r="D47" t="s">
        <v>1</v>
      </c>
      <c r="E47" t="s">
        <v>1</v>
      </c>
      <c r="F47" t="s">
        <v>0</v>
      </c>
      <c r="G47" t="str">
        <f>"2018-10-18 19:49:08"</f>
        <v>2018-10-18 19:49:08</v>
      </c>
    </row>
    <row r="48" spans="1:7" x14ac:dyDescent="0.2">
      <c r="A48" t="s">
        <v>1</v>
      </c>
      <c r="B48" t="str">
        <f>"18280203053"</f>
        <v>18280203053</v>
      </c>
      <c r="C48" t="s">
        <v>1</v>
      </c>
      <c r="D48" t="s">
        <v>1</v>
      </c>
      <c r="E48" t="s">
        <v>1</v>
      </c>
      <c r="F48" t="s">
        <v>0</v>
      </c>
      <c r="G48" t="str">
        <f>"2018-10-18 19:50:03"</f>
        <v>2018-10-18 19:50:03</v>
      </c>
    </row>
    <row r="49" spans="1:7" x14ac:dyDescent="0.2">
      <c r="A49" t="s">
        <v>248</v>
      </c>
      <c r="B49" t="str">
        <f>"15929319831"</f>
        <v>15929319831</v>
      </c>
      <c r="C49" t="str">
        <f>"610423199501126412"</f>
        <v>610423199501126412</v>
      </c>
      <c r="D49" t="s">
        <v>1</v>
      </c>
      <c r="E49" t="s">
        <v>1</v>
      </c>
      <c r="F49" t="s">
        <v>0</v>
      </c>
      <c r="G49" t="str">
        <f>"2018-10-18 19:57:00"</f>
        <v>2018-10-18 19:57:00</v>
      </c>
    </row>
    <row r="50" spans="1:7" x14ac:dyDescent="0.2">
      <c r="A50" t="s">
        <v>1908</v>
      </c>
      <c r="B50" t="str">
        <f>"15260125222"</f>
        <v>15260125222</v>
      </c>
      <c r="C50" t="str">
        <f>"35062319910209051X"</f>
        <v>35062319910209051X</v>
      </c>
      <c r="D50" t="s">
        <v>1</v>
      </c>
      <c r="E50" t="s">
        <v>1</v>
      </c>
      <c r="F50" t="s">
        <v>0</v>
      </c>
      <c r="G50" t="str">
        <f>"2018-10-18 19:49:56"</f>
        <v>2018-10-18 19:49:56</v>
      </c>
    </row>
    <row r="51" spans="1:7" x14ac:dyDescent="0.2">
      <c r="A51" t="s">
        <v>1</v>
      </c>
      <c r="B51" t="str">
        <f>"13919985133"</f>
        <v>13919985133</v>
      </c>
      <c r="C51" t="s">
        <v>1</v>
      </c>
      <c r="D51" t="s">
        <v>1</v>
      </c>
      <c r="E51" t="s">
        <v>1</v>
      </c>
      <c r="F51" t="s">
        <v>0</v>
      </c>
      <c r="G51" t="str">
        <f>"2018-10-18 19:47:49"</f>
        <v>2018-10-18 19:47:49</v>
      </c>
    </row>
    <row r="52" spans="1:7" x14ac:dyDescent="0.2">
      <c r="A52" t="s">
        <v>1909</v>
      </c>
      <c r="B52" t="str">
        <f>"15851848819"</f>
        <v>15851848819</v>
      </c>
      <c r="C52" t="str">
        <f>"320322199803313124"</f>
        <v>320322199803313124</v>
      </c>
      <c r="D52" t="s">
        <v>1910</v>
      </c>
      <c r="E52" t="s">
        <v>1911</v>
      </c>
      <c r="F52" t="s">
        <v>0</v>
      </c>
      <c r="G52" t="str">
        <f>"2018-10-18 19:55:58"</f>
        <v>2018-10-18 19:55:58</v>
      </c>
    </row>
    <row r="53" spans="1:7" x14ac:dyDescent="0.2">
      <c r="A53" t="s">
        <v>1</v>
      </c>
      <c r="B53" t="str">
        <f>"15677871410"</f>
        <v>15677871410</v>
      </c>
      <c r="C53" t="s">
        <v>1</v>
      </c>
      <c r="D53" t="s">
        <v>1</v>
      </c>
      <c r="E53" t="s">
        <v>1</v>
      </c>
      <c r="F53" t="s">
        <v>0</v>
      </c>
      <c r="G53" t="str">
        <f>"2018-10-18 19:47:12"</f>
        <v>2018-10-18 19:47:12</v>
      </c>
    </row>
    <row r="54" spans="1:7" x14ac:dyDescent="0.2">
      <c r="A54" t="s">
        <v>1912</v>
      </c>
      <c r="B54" t="str">
        <f>"15339979129"</f>
        <v>15339979129</v>
      </c>
      <c r="C54" t="str">
        <f>"37132319810223461X"</f>
        <v>37132319810223461X</v>
      </c>
      <c r="D54" t="s">
        <v>1</v>
      </c>
      <c r="E54" t="s">
        <v>1</v>
      </c>
      <c r="F54" t="s">
        <v>0</v>
      </c>
      <c r="G54" t="str">
        <f>"2018-10-21 09:37:19"</f>
        <v>2018-10-21 09:37:19</v>
      </c>
    </row>
    <row r="55" spans="1:7" x14ac:dyDescent="0.2">
      <c r="A55" t="s">
        <v>1205</v>
      </c>
      <c r="B55" t="str">
        <f>"15270913134"</f>
        <v>15270913134</v>
      </c>
      <c r="C55" t="str">
        <f>"522601198908150017"</f>
        <v>522601198908150017</v>
      </c>
      <c r="D55" t="s">
        <v>1</v>
      </c>
      <c r="E55" t="s">
        <v>1</v>
      </c>
      <c r="F55" t="s">
        <v>0</v>
      </c>
      <c r="G55" t="str">
        <f>"2018-10-18 19:49:20"</f>
        <v>2018-10-18 19:49:20</v>
      </c>
    </row>
    <row r="56" spans="1:7" x14ac:dyDescent="0.2">
      <c r="A56" t="s">
        <v>1913</v>
      </c>
      <c r="B56" t="str">
        <f>"18608812265"</f>
        <v>18608812265</v>
      </c>
      <c r="C56" t="str">
        <f>"533525199801011036"</f>
        <v>533525199801011036</v>
      </c>
      <c r="D56" t="s">
        <v>1</v>
      </c>
      <c r="E56" t="s">
        <v>1</v>
      </c>
      <c r="F56" t="s">
        <v>0</v>
      </c>
      <c r="G56" t="str">
        <f>"2018-10-18 19:46:20"</f>
        <v>2018-10-18 19:46:20</v>
      </c>
    </row>
    <row r="57" spans="1:7" x14ac:dyDescent="0.2">
      <c r="A57" t="s">
        <v>1</v>
      </c>
      <c r="B57" t="str">
        <f>"18612277725"</f>
        <v>18612277725</v>
      </c>
      <c r="C57" t="s">
        <v>1</v>
      </c>
      <c r="D57" t="s">
        <v>1</v>
      </c>
      <c r="E57" t="s">
        <v>1</v>
      </c>
      <c r="F57" t="s">
        <v>0</v>
      </c>
      <c r="G57" t="str">
        <f>"2018-10-18 19:46:01"</f>
        <v>2018-10-18 19:46:01</v>
      </c>
    </row>
    <row r="58" spans="1:7" x14ac:dyDescent="0.2">
      <c r="A58" t="s">
        <v>1</v>
      </c>
      <c r="B58" t="str">
        <f>"15575551288"</f>
        <v>15575551288</v>
      </c>
      <c r="C58" t="s">
        <v>1</v>
      </c>
      <c r="D58" t="s">
        <v>1</v>
      </c>
      <c r="E58" t="s">
        <v>1</v>
      </c>
      <c r="F58" t="s">
        <v>0</v>
      </c>
      <c r="G58" t="str">
        <f>"2018-10-18 19:45:56"</f>
        <v>2018-10-18 19:45:56</v>
      </c>
    </row>
    <row r="59" spans="1:7" x14ac:dyDescent="0.2">
      <c r="A59" t="s">
        <v>164</v>
      </c>
      <c r="B59" t="str">
        <f>"15843876117"</f>
        <v>15843876117</v>
      </c>
      <c r="C59" t="str">
        <f>"220721199111031822"</f>
        <v>220721199111031822</v>
      </c>
      <c r="D59" t="s">
        <v>1</v>
      </c>
      <c r="E59" t="s">
        <v>1</v>
      </c>
      <c r="F59" t="s">
        <v>0</v>
      </c>
      <c r="G59" t="str">
        <f>"2018-10-18 19:46:58"</f>
        <v>2018-10-18 19:46:58</v>
      </c>
    </row>
    <row r="60" spans="1:7" x14ac:dyDescent="0.2">
      <c r="A60" t="s">
        <v>1</v>
      </c>
      <c r="B60" t="str">
        <f>"18781500321"</f>
        <v>18781500321</v>
      </c>
      <c r="C60" t="s">
        <v>1</v>
      </c>
      <c r="D60" t="s">
        <v>1</v>
      </c>
      <c r="E60" t="s">
        <v>1</v>
      </c>
      <c r="F60" t="s">
        <v>0</v>
      </c>
      <c r="G60" t="str">
        <f>"2018-10-18 19:47:03"</f>
        <v>2018-10-18 19:47:03</v>
      </c>
    </row>
    <row r="61" spans="1:7" x14ac:dyDescent="0.2">
      <c r="A61" t="s">
        <v>1914</v>
      </c>
      <c r="B61" t="str">
        <f>"15311895231"</f>
        <v>15311895231</v>
      </c>
      <c r="C61" t="str">
        <f>"450225199801206117"</f>
        <v>450225199801206117</v>
      </c>
      <c r="D61" t="s">
        <v>1</v>
      </c>
      <c r="E61" t="s">
        <v>1</v>
      </c>
      <c r="F61" t="s">
        <v>0</v>
      </c>
      <c r="G61" t="str">
        <f>"2018-10-18 19:50:09"</f>
        <v>2018-10-18 19:50:09</v>
      </c>
    </row>
    <row r="62" spans="1:7" x14ac:dyDescent="0.2">
      <c r="A62" t="s">
        <v>1915</v>
      </c>
      <c r="B62" t="str">
        <f>"18340440776"</f>
        <v>18340440776</v>
      </c>
      <c r="C62" t="str">
        <f>"210504198401070527"</f>
        <v>210504198401070527</v>
      </c>
      <c r="D62" t="s">
        <v>1</v>
      </c>
      <c r="E62" t="s">
        <v>1</v>
      </c>
      <c r="F62" t="s">
        <v>0</v>
      </c>
      <c r="G62" t="str">
        <f>"2018-10-18 19:49:30"</f>
        <v>2018-10-18 19:49:30</v>
      </c>
    </row>
    <row r="63" spans="1:7" x14ac:dyDescent="0.2">
      <c r="A63" t="s">
        <v>1916</v>
      </c>
      <c r="B63" t="str">
        <f>"18599145424"</f>
        <v>18599145424</v>
      </c>
      <c r="C63" t="str">
        <f>"652201199906180679"</f>
        <v>652201199906180679</v>
      </c>
      <c r="D63" t="s">
        <v>1917</v>
      </c>
      <c r="E63" t="s">
        <v>1918</v>
      </c>
      <c r="F63" t="s">
        <v>0</v>
      </c>
      <c r="G63" t="str">
        <f>"2018-10-18 19:45:10"</f>
        <v>2018-10-18 19:45:10</v>
      </c>
    </row>
    <row r="64" spans="1:7" x14ac:dyDescent="0.2">
      <c r="A64" t="s">
        <v>1919</v>
      </c>
      <c r="B64" t="str">
        <f>"18457386237"</f>
        <v>18457386237</v>
      </c>
      <c r="C64" t="str">
        <f>"362322199608174818"</f>
        <v>362322199608174818</v>
      </c>
      <c r="D64" t="s">
        <v>1</v>
      </c>
      <c r="E64" t="s">
        <v>1</v>
      </c>
      <c r="F64" t="s">
        <v>0</v>
      </c>
      <c r="G64" t="str">
        <f>"2018-10-18 19:46:09"</f>
        <v>2018-10-18 19:46:09</v>
      </c>
    </row>
    <row r="65" spans="1:7" x14ac:dyDescent="0.2">
      <c r="A65" t="s">
        <v>1</v>
      </c>
      <c r="B65" t="str">
        <f>"13275716856"</f>
        <v>13275716856</v>
      </c>
      <c r="C65" t="s">
        <v>1</v>
      </c>
      <c r="D65" t="s">
        <v>1</v>
      </c>
      <c r="E65" t="s">
        <v>1</v>
      </c>
      <c r="F65" t="s">
        <v>0</v>
      </c>
      <c r="G65" t="str">
        <f>"2018-10-18 19:44:23"</f>
        <v>2018-10-18 19:44:23</v>
      </c>
    </row>
    <row r="66" spans="1:7" x14ac:dyDescent="0.2">
      <c r="A66" t="s">
        <v>1920</v>
      </c>
      <c r="B66" t="str">
        <f>"18072006926"</f>
        <v>18072006926</v>
      </c>
      <c r="C66" t="str">
        <f>"33038219860318179X"</f>
        <v>33038219860318179X</v>
      </c>
      <c r="D66" t="s">
        <v>1</v>
      </c>
      <c r="E66" t="s">
        <v>1</v>
      </c>
      <c r="F66" t="s">
        <v>0</v>
      </c>
      <c r="G66" t="str">
        <f>"2018-10-18 19:45:40"</f>
        <v>2018-10-18 19:45:40</v>
      </c>
    </row>
    <row r="67" spans="1:7" x14ac:dyDescent="0.2">
      <c r="A67" t="s">
        <v>1</v>
      </c>
      <c r="B67" t="str">
        <f>"15220502260"</f>
        <v>15220502260</v>
      </c>
      <c r="C67" t="s">
        <v>1</v>
      </c>
      <c r="D67" t="s">
        <v>1</v>
      </c>
      <c r="E67" t="s">
        <v>1</v>
      </c>
      <c r="F67" t="s">
        <v>0</v>
      </c>
      <c r="G67" t="str">
        <f>"2018-10-18 19:43:58"</f>
        <v>2018-10-18 19:43:58</v>
      </c>
    </row>
    <row r="68" spans="1:7" x14ac:dyDescent="0.2">
      <c r="A68" t="s">
        <v>1921</v>
      </c>
      <c r="B68" t="str">
        <f>"18879803872"</f>
        <v>18879803872</v>
      </c>
      <c r="C68" t="str">
        <f>"362421199803200013"</f>
        <v>362421199803200013</v>
      </c>
      <c r="D68" t="s">
        <v>1</v>
      </c>
      <c r="E68" t="s">
        <v>1</v>
      </c>
      <c r="F68" t="s">
        <v>0</v>
      </c>
      <c r="G68" t="str">
        <f>"2018-10-18 19:45:12"</f>
        <v>2018-10-18 19:45:12</v>
      </c>
    </row>
    <row r="69" spans="1:7" x14ac:dyDescent="0.2">
      <c r="A69" t="s">
        <v>1922</v>
      </c>
      <c r="B69" t="str">
        <f>"18898677733"</f>
        <v>18898677733</v>
      </c>
      <c r="C69" t="str">
        <f>"44522119810127121X"</f>
        <v>44522119810127121X</v>
      </c>
      <c r="D69" t="s">
        <v>1923</v>
      </c>
      <c r="E69" t="s">
        <v>1924</v>
      </c>
      <c r="F69" t="s">
        <v>0</v>
      </c>
      <c r="G69" t="str">
        <f>"2018-10-18 20:51:59"</f>
        <v>2018-10-18 20:51:59</v>
      </c>
    </row>
    <row r="70" spans="1:7" x14ac:dyDescent="0.2">
      <c r="A70" t="s">
        <v>1</v>
      </c>
      <c r="B70" t="str">
        <f>"13064594653"</f>
        <v>13064594653</v>
      </c>
      <c r="C70" t="s">
        <v>1</v>
      </c>
      <c r="D70" t="s">
        <v>1</v>
      </c>
      <c r="E70" t="s">
        <v>1</v>
      </c>
      <c r="F70" t="s">
        <v>0</v>
      </c>
      <c r="G70" t="str">
        <f>"2018-10-18 19:43:36"</f>
        <v>2018-10-18 19:43:36</v>
      </c>
    </row>
    <row r="71" spans="1:7" x14ac:dyDescent="0.2">
      <c r="A71" t="s">
        <v>1925</v>
      </c>
      <c r="B71" t="str">
        <f>"18328679183"</f>
        <v>18328679183</v>
      </c>
      <c r="C71" t="str">
        <f>"510122199505186424"</f>
        <v>510122199505186424</v>
      </c>
      <c r="D71" t="s">
        <v>1926</v>
      </c>
      <c r="E71" t="s">
        <v>1927</v>
      </c>
      <c r="F71" t="s">
        <v>0</v>
      </c>
      <c r="G71" t="str">
        <f>"2018-10-18 19:44:58"</f>
        <v>2018-10-18 19:44:58</v>
      </c>
    </row>
    <row r="72" spans="1:7" x14ac:dyDescent="0.2">
      <c r="A72" t="s">
        <v>1928</v>
      </c>
      <c r="B72" t="str">
        <f>"13723671490"</f>
        <v>13723671490</v>
      </c>
      <c r="C72" t="str">
        <f>"441421199010026448"</f>
        <v>441421199010026448</v>
      </c>
      <c r="D72" t="s">
        <v>1</v>
      </c>
      <c r="E72" t="s">
        <v>1</v>
      </c>
      <c r="F72" t="s">
        <v>0</v>
      </c>
      <c r="G72" t="str">
        <f>"2018-10-19 21:32:34"</f>
        <v>2018-10-19 21:32:34</v>
      </c>
    </row>
    <row r="73" spans="1:7" x14ac:dyDescent="0.2">
      <c r="A73" t="s">
        <v>1929</v>
      </c>
      <c r="B73" t="str">
        <f>"18557532124"</f>
        <v>18557532124</v>
      </c>
      <c r="C73" t="str">
        <f>"513901199004204916"</f>
        <v>513901199004204916</v>
      </c>
      <c r="D73" t="s">
        <v>1</v>
      </c>
      <c r="E73" t="s">
        <v>1</v>
      </c>
      <c r="F73" t="s">
        <v>0</v>
      </c>
      <c r="G73" t="str">
        <f>"2018-10-18 22:07:53"</f>
        <v>2018-10-18 22:07:53</v>
      </c>
    </row>
    <row r="74" spans="1:7" x14ac:dyDescent="0.2">
      <c r="A74" t="s">
        <v>244</v>
      </c>
      <c r="B74" t="str">
        <f>"14797288157"</f>
        <v>14797288157</v>
      </c>
      <c r="C74" t="str">
        <f>"14243119900520007X"</f>
        <v>14243119900520007X</v>
      </c>
      <c r="D74" t="s">
        <v>1</v>
      </c>
      <c r="E74" t="s">
        <v>1</v>
      </c>
      <c r="F74" t="s">
        <v>0</v>
      </c>
      <c r="G74" t="str">
        <f>"2018-10-22 16:27:19"</f>
        <v>2018-10-22 16:27:19</v>
      </c>
    </row>
    <row r="75" spans="1:7" x14ac:dyDescent="0.2">
      <c r="A75" t="s">
        <v>1</v>
      </c>
      <c r="B75" t="str">
        <f>"13034252655"</f>
        <v>13034252655</v>
      </c>
      <c r="C75" t="s">
        <v>1</v>
      </c>
      <c r="D75" t="s">
        <v>1</v>
      </c>
      <c r="E75" t="s">
        <v>1</v>
      </c>
      <c r="F75" t="s">
        <v>0</v>
      </c>
      <c r="G75" t="str">
        <f>"2018-10-18 19:42:42"</f>
        <v>2018-10-18 19:42:42</v>
      </c>
    </row>
    <row r="76" spans="1:7" x14ac:dyDescent="0.2">
      <c r="A76" t="s">
        <v>1930</v>
      </c>
      <c r="B76" t="str">
        <f>"13295568912"</f>
        <v>13295568912</v>
      </c>
      <c r="C76" t="str">
        <f>"340828199302065811"</f>
        <v>340828199302065811</v>
      </c>
      <c r="D76" t="s">
        <v>1</v>
      </c>
      <c r="E76" t="s">
        <v>1</v>
      </c>
      <c r="F76" t="s">
        <v>0</v>
      </c>
      <c r="G76" t="str">
        <f>"2018-10-18 19:45:38"</f>
        <v>2018-10-18 19:45:38</v>
      </c>
    </row>
    <row r="77" spans="1:7" x14ac:dyDescent="0.2">
      <c r="A77" t="s">
        <v>1</v>
      </c>
      <c r="B77" t="str">
        <f>"13101419036"</f>
        <v>13101419036</v>
      </c>
      <c r="C77" t="s">
        <v>1</v>
      </c>
      <c r="D77" t="s">
        <v>1</v>
      </c>
      <c r="E77" t="s">
        <v>1</v>
      </c>
      <c r="F77" t="s">
        <v>0</v>
      </c>
      <c r="G77" t="str">
        <f>"2018-10-18 19:42:02"</f>
        <v>2018-10-18 19:42:02</v>
      </c>
    </row>
    <row r="78" spans="1:7" x14ac:dyDescent="0.2">
      <c r="A78" t="s">
        <v>1</v>
      </c>
      <c r="B78" t="str">
        <f>"17339677597"</f>
        <v>17339677597</v>
      </c>
      <c r="C78" t="s">
        <v>1</v>
      </c>
      <c r="D78" t="s">
        <v>1</v>
      </c>
      <c r="E78" t="s">
        <v>1</v>
      </c>
      <c r="F78" t="s">
        <v>0</v>
      </c>
      <c r="G78" t="str">
        <f>"2018-10-18 19:41:49"</f>
        <v>2018-10-18 19:41:49</v>
      </c>
    </row>
    <row r="79" spans="1:7" x14ac:dyDescent="0.2">
      <c r="A79" t="s">
        <v>1</v>
      </c>
      <c r="B79" t="str">
        <f>"18816735121"</f>
        <v>18816735121</v>
      </c>
      <c r="C79" t="s">
        <v>1</v>
      </c>
      <c r="D79" t="s">
        <v>1</v>
      </c>
      <c r="E79" t="s">
        <v>1</v>
      </c>
      <c r="F79" t="s">
        <v>0</v>
      </c>
      <c r="G79" t="str">
        <f>"2018-10-18 19:41:46"</f>
        <v>2018-10-18 19:41:46</v>
      </c>
    </row>
    <row r="80" spans="1:7" x14ac:dyDescent="0.2">
      <c r="A80" t="s">
        <v>1931</v>
      </c>
      <c r="B80" t="str">
        <f>"13421406061"</f>
        <v>13421406061</v>
      </c>
      <c r="C80" t="str">
        <f>"430481199505187212"</f>
        <v>430481199505187212</v>
      </c>
      <c r="D80" t="s">
        <v>1</v>
      </c>
      <c r="E80" t="s">
        <v>1</v>
      </c>
      <c r="F80" t="s">
        <v>0</v>
      </c>
      <c r="G80" t="str">
        <f>"2018-10-18 22:08:55"</f>
        <v>2018-10-18 22:08:55</v>
      </c>
    </row>
    <row r="81" spans="1:7" x14ac:dyDescent="0.2">
      <c r="A81" t="s">
        <v>1</v>
      </c>
      <c r="B81" t="str">
        <f>"13534622233"</f>
        <v>13534622233</v>
      </c>
      <c r="C81" t="s">
        <v>1</v>
      </c>
      <c r="D81" t="s">
        <v>1</v>
      </c>
      <c r="E81" t="s">
        <v>1</v>
      </c>
      <c r="F81" t="s">
        <v>0</v>
      </c>
      <c r="G81" t="str">
        <f>"2018-10-18 19:41:37"</f>
        <v>2018-10-18 19:41:37</v>
      </c>
    </row>
    <row r="82" spans="1:7" x14ac:dyDescent="0.2">
      <c r="A82" t="s">
        <v>1</v>
      </c>
      <c r="B82" t="str">
        <f>"18188048172"</f>
        <v>18188048172</v>
      </c>
      <c r="C82" t="s">
        <v>1</v>
      </c>
      <c r="D82" t="s">
        <v>1</v>
      </c>
      <c r="E82" t="s">
        <v>1</v>
      </c>
      <c r="F82" t="s">
        <v>0</v>
      </c>
      <c r="G82" t="str">
        <f>"2018-10-18 19:41:33"</f>
        <v>2018-10-18 19:41:33</v>
      </c>
    </row>
    <row r="83" spans="1:7" x14ac:dyDescent="0.2">
      <c r="A83" t="s">
        <v>1932</v>
      </c>
      <c r="B83" t="str">
        <f>"18567266087"</f>
        <v>18567266087</v>
      </c>
      <c r="C83" t="str">
        <f>"412921196811061533"</f>
        <v>412921196811061533</v>
      </c>
      <c r="D83" t="s">
        <v>1</v>
      </c>
      <c r="E83" t="s">
        <v>1</v>
      </c>
      <c r="F83" t="s">
        <v>0</v>
      </c>
      <c r="G83" t="str">
        <f>"2018-10-18 19:42:39"</f>
        <v>2018-10-18 19:42:39</v>
      </c>
    </row>
    <row r="84" spans="1:7" x14ac:dyDescent="0.2">
      <c r="A84" t="s">
        <v>305</v>
      </c>
      <c r="B84" t="str">
        <f>"18942819659"</f>
        <v>18942819659</v>
      </c>
      <c r="C84" t="str">
        <f>"510322198908103810"</f>
        <v>510322198908103810</v>
      </c>
      <c r="D84" t="s">
        <v>1</v>
      </c>
      <c r="E84" t="s">
        <v>1</v>
      </c>
      <c r="F84" t="s">
        <v>0</v>
      </c>
      <c r="G84" t="str">
        <f>"2018-10-18 19:46:23"</f>
        <v>2018-10-18 19:46:23</v>
      </c>
    </row>
    <row r="85" spans="1:7" x14ac:dyDescent="0.2">
      <c r="A85" t="s">
        <v>1</v>
      </c>
      <c r="B85" t="str">
        <f>"13377015256"</f>
        <v>13377015256</v>
      </c>
      <c r="C85" t="s">
        <v>1</v>
      </c>
      <c r="D85" t="s">
        <v>1</v>
      </c>
      <c r="E85" t="s">
        <v>1</v>
      </c>
      <c r="F85" t="s">
        <v>0</v>
      </c>
      <c r="G85" t="str">
        <f>"2018-10-18 19:41:31"</f>
        <v>2018-10-18 19:41:31</v>
      </c>
    </row>
    <row r="86" spans="1:7" x14ac:dyDescent="0.2">
      <c r="A86" t="s">
        <v>1933</v>
      </c>
      <c r="B86" t="str">
        <f>"13356400813"</f>
        <v>13356400813</v>
      </c>
      <c r="C86" t="str">
        <f>"440711199310083017"</f>
        <v>440711199310083017</v>
      </c>
      <c r="D86" t="s">
        <v>1</v>
      </c>
      <c r="E86" t="s">
        <v>1</v>
      </c>
      <c r="F86" t="s">
        <v>0</v>
      </c>
      <c r="G86" t="str">
        <f>"2018-10-18 19:44:05"</f>
        <v>2018-10-18 19:44:05</v>
      </c>
    </row>
    <row r="87" spans="1:7" x14ac:dyDescent="0.2">
      <c r="A87" t="s">
        <v>1742</v>
      </c>
      <c r="B87" t="str">
        <f>"15135001830"</f>
        <v>15135001830</v>
      </c>
      <c r="C87" t="str">
        <f>"142202198706163884"</f>
        <v>142202198706163884</v>
      </c>
      <c r="D87" t="s">
        <v>1</v>
      </c>
      <c r="E87" t="s">
        <v>1</v>
      </c>
      <c r="F87" t="s">
        <v>0</v>
      </c>
      <c r="G87" t="str">
        <f>"2018-10-18 19:42:15"</f>
        <v>2018-10-18 19:42:15</v>
      </c>
    </row>
    <row r="88" spans="1:7" x14ac:dyDescent="0.2">
      <c r="A88" t="s">
        <v>1</v>
      </c>
      <c r="B88" t="str">
        <f>"13193345185"</f>
        <v>13193345185</v>
      </c>
      <c r="C88" t="s">
        <v>1</v>
      </c>
      <c r="D88" t="s">
        <v>1</v>
      </c>
      <c r="E88" t="s">
        <v>1</v>
      </c>
      <c r="F88" t="s">
        <v>0</v>
      </c>
      <c r="G88" t="str">
        <f>"2018-10-18 19:39:56"</f>
        <v>2018-10-18 19:39:56</v>
      </c>
    </row>
    <row r="89" spans="1:7" x14ac:dyDescent="0.2">
      <c r="A89" t="s">
        <v>584</v>
      </c>
      <c r="B89" t="str">
        <f>"13636829189"</f>
        <v>13636829189</v>
      </c>
      <c r="C89" t="str">
        <f>"610303199308062495"</f>
        <v>610303199308062495</v>
      </c>
      <c r="D89" t="s">
        <v>1</v>
      </c>
      <c r="E89" t="s">
        <v>1</v>
      </c>
      <c r="F89" t="s">
        <v>0</v>
      </c>
      <c r="G89" t="str">
        <f>"2018-10-18 19:42:03"</f>
        <v>2018-10-18 19:42:03</v>
      </c>
    </row>
    <row r="90" spans="1:7" x14ac:dyDescent="0.2">
      <c r="A90" t="s">
        <v>1</v>
      </c>
      <c r="B90" t="str">
        <f>"13761115350"</f>
        <v>13761115350</v>
      </c>
      <c r="C90" t="s">
        <v>1</v>
      </c>
      <c r="D90" t="s">
        <v>1</v>
      </c>
      <c r="E90" t="s">
        <v>1</v>
      </c>
      <c r="F90" t="s">
        <v>0</v>
      </c>
      <c r="G90" t="str">
        <f>"2018-10-18 19:51:21"</f>
        <v>2018-10-18 19:51:21</v>
      </c>
    </row>
    <row r="91" spans="1:7" x14ac:dyDescent="0.2">
      <c r="A91" t="s">
        <v>1</v>
      </c>
      <c r="B91" t="str">
        <f>"15159715325"</f>
        <v>15159715325</v>
      </c>
      <c r="C91" t="s">
        <v>1</v>
      </c>
      <c r="D91" t="s">
        <v>1</v>
      </c>
      <c r="E91" t="s">
        <v>1</v>
      </c>
      <c r="F91" t="s">
        <v>0</v>
      </c>
      <c r="G91" t="str">
        <f>"2018-10-18 19:39:06"</f>
        <v>2018-10-18 19:39:06</v>
      </c>
    </row>
    <row r="92" spans="1:7" x14ac:dyDescent="0.2">
      <c r="A92" t="s">
        <v>1</v>
      </c>
      <c r="B92" t="str">
        <f>"13058663427"</f>
        <v>13058663427</v>
      </c>
      <c r="C92" t="s">
        <v>1</v>
      </c>
      <c r="D92" t="s">
        <v>1</v>
      </c>
      <c r="E92" t="s">
        <v>1</v>
      </c>
      <c r="F92" t="s">
        <v>0</v>
      </c>
      <c r="G92" t="str">
        <f>"2018-10-18 19:38:00"</f>
        <v>2018-10-18 19:38:00</v>
      </c>
    </row>
    <row r="93" spans="1:7" x14ac:dyDescent="0.2">
      <c r="A93" t="s">
        <v>1</v>
      </c>
      <c r="B93" t="str">
        <f>"18948122265"</f>
        <v>18948122265</v>
      </c>
      <c r="C93" t="s">
        <v>1</v>
      </c>
      <c r="D93" t="s">
        <v>1</v>
      </c>
      <c r="E93" t="s">
        <v>1</v>
      </c>
      <c r="F93" t="s">
        <v>0</v>
      </c>
      <c r="G93" t="str">
        <f>"2018-10-26 16:07:59"</f>
        <v>2018-10-26 16:07:59</v>
      </c>
    </row>
    <row r="94" spans="1:7" x14ac:dyDescent="0.2">
      <c r="A94" t="s">
        <v>622</v>
      </c>
      <c r="B94" t="str">
        <f>"15522567965"</f>
        <v>15522567965</v>
      </c>
      <c r="C94" t="str">
        <f>"120112199105140931"</f>
        <v>120112199105140931</v>
      </c>
      <c r="D94" t="s">
        <v>1</v>
      </c>
      <c r="E94" t="s">
        <v>1</v>
      </c>
      <c r="F94" t="s">
        <v>0</v>
      </c>
      <c r="G94" t="str">
        <f>"2018-10-19 10:55:47"</f>
        <v>2018-10-19 10:55:47</v>
      </c>
    </row>
    <row r="95" spans="1:7" x14ac:dyDescent="0.2">
      <c r="A95" t="s">
        <v>1934</v>
      </c>
      <c r="B95" t="str">
        <f>"13466622397"</f>
        <v>13466622397</v>
      </c>
      <c r="C95" t="str">
        <f>"210921199006145210"</f>
        <v>210921199006145210</v>
      </c>
      <c r="D95" t="s">
        <v>1</v>
      </c>
      <c r="E95" t="s">
        <v>1</v>
      </c>
      <c r="F95" t="s">
        <v>0</v>
      </c>
      <c r="G95" t="str">
        <f>"2018-10-18 19:47:14"</f>
        <v>2018-10-18 19:47:14</v>
      </c>
    </row>
    <row r="96" spans="1:7" x14ac:dyDescent="0.2">
      <c r="A96" t="s">
        <v>1</v>
      </c>
      <c r="B96" t="str">
        <f>"13837705087"</f>
        <v>13837705087</v>
      </c>
      <c r="C96" t="s">
        <v>1</v>
      </c>
      <c r="D96" t="s">
        <v>1</v>
      </c>
      <c r="E96" t="s">
        <v>1</v>
      </c>
      <c r="F96" t="s">
        <v>0</v>
      </c>
      <c r="G96" t="str">
        <f>"2018-10-18 19:43:01"</f>
        <v>2018-10-18 19:43:01</v>
      </c>
    </row>
    <row r="97" spans="1:7" x14ac:dyDescent="0.2">
      <c r="A97" t="s">
        <v>1</v>
      </c>
      <c r="B97" t="str">
        <f>"15977520559"</f>
        <v>15977520559</v>
      </c>
      <c r="C97" t="s">
        <v>1</v>
      </c>
      <c r="D97" t="s">
        <v>1</v>
      </c>
      <c r="E97" t="s">
        <v>1</v>
      </c>
      <c r="F97" t="s">
        <v>0</v>
      </c>
      <c r="G97" t="str">
        <f>"2018-10-18 19:37:17"</f>
        <v>2018-10-18 19:37:17</v>
      </c>
    </row>
    <row r="98" spans="1:7" x14ac:dyDescent="0.2">
      <c r="A98" t="s">
        <v>1935</v>
      </c>
      <c r="B98" t="str">
        <f>"15713003832"</f>
        <v>15713003832</v>
      </c>
      <c r="C98" t="str">
        <f>"130427198406096960"</f>
        <v>130427198406096960</v>
      </c>
      <c r="D98" t="s">
        <v>1</v>
      </c>
      <c r="E98" t="s">
        <v>1</v>
      </c>
      <c r="F98" t="s">
        <v>0</v>
      </c>
      <c r="G98" t="str">
        <f>"2018-10-18 19:39:25"</f>
        <v>2018-10-18 19:39:25</v>
      </c>
    </row>
    <row r="99" spans="1:7" x14ac:dyDescent="0.2">
      <c r="A99" t="s">
        <v>1</v>
      </c>
      <c r="B99" t="str">
        <f>"15578543424"</f>
        <v>15578543424</v>
      </c>
      <c r="C99" t="s">
        <v>1</v>
      </c>
      <c r="D99" t="s">
        <v>1</v>
      </c>
      <c r="E99" t="s">
        <v>1</v>
      </c>
      <c r="F99" t="s">
        <v>0</v>
      </c>
      <c r="G99" t="str">
        <f>"2018-10-18 19:36:57"</f>
        <v>2018-10-18 19:36:57</v>
      </c>
    </row>
    <row r="100" spans="1:7" x14ac:dyDescent="0.2">
      <c r="A100" t="s">
        <v>1936</v>
      </c>
      <c r="B100" t="str">
        <f>"15637113239"</f>
        <v>15637113239</v>
      </c>
      <c r="C100" t="str">
        <f>"410105198308131622"</f>
        <v>410105198308131622</v>
      </c>
      <c r="D100" t="s">
        <v>1</v>
      </c>
      <c r="E100" t="s">
        <v>1</v>
      </c>
      <c r="F100" t="s">
        <v>0</v>
      </c>
      <c r="G100" t="str">
        <f>"2018-10-18 19:38:21"</f>
        <v>2018-10-18 19:38:21</v>
      </c>
    </row>
    <row r="101" spans="1:7" x14ac:dyDescent="0.2">
      <c r="A101" t="s">
        <v>1937</v>
      </c>
      <c r="B101" t="str">
        <f>"18604851235"</f>
        <v>18604851235</v>
      </c>
      <c r="C101" t="str">
        <f>"152325198502154531"</f>
        <v>152325198502154531</v>
      </c>
      <c r="D101" t="s">
        <v>1938</v>
      </c>
      <c r="E101" t="s">
        <v>1939</v>
      </c>
      <c r="F101" t="s">
        <v>0</v>
      </c>
      <c r="G101" t="str">
        <f>"2018-10-18 19:37:55"</f>
        <v>2018-10-18 19:37:55</v>
      </c>
    </row>
    <row r="102" spans="1:7" x14ac:dyDescent="0.2">
      <c r="A102" t="s">
        <v>1</v>
      </c>
      <c r="B102" t="str">
        <f>"13988199762"</f>
        <v>13988199762</v>
      </c>
      <c r="C102" t="s">
        <v>1</v>
      </c>
      <c r="D102" t="s">
        <v>1</v>
      </c>
      <c r="E102" t="s">
        <v>1</v>
      </c>
      <c r="F102" t="s">
        <v>0</v>
      </c>
      <c r="G102" t="str">
        <f>"2018-10-18 19:35:25"</f>
        <v>2018-10-18 19:35:25</v>
      </c>
    </row>
    <row r="103" spans="1:7" x14ac:dyDescent="0.2">
      <c r="A103" t="s">
        <v>1940</v>
      </c>
      <c r="B103" t="str">
        <f>"13632571684"</f>
        <v>13632571684</v>
      </c>
      <c r="C103" t="str">
        <f>"410823199206080137"</f>
        <v>410823199206080137</v>
      </c>
      <c r="D103" t="s">
        <v>1941</v>
      </c>
      <c r="E103" t="s">
        <v>1942</v>
      </c>
      <c r="F103" t="s">
        <v>0</v>
      </c>
      <c r="G103" t="str">
        <f>"2018-10-18 19:41:30"</f>
        <v>2018-10-18 19:41:30</v>
      </c>
    </row>
    <row r="104" spans="1:7" x14ac:dyDescent="0.2">
      <c r="A104" t="s">
        <v>410</v>
      </c>
      <c r="B104" t="str">
        <f>"18392624531"</f>
        <v>18392624531</v>
      </c>
      <c r="C104" t="str">
        <f>"610104198712236144"</f>
        <v>610104198712236144</v>
      </c>
      <c r="D104" t="s">
        <v>1</v>
      </c>
      <c r="E104" t="s">
        <v>1</v>
      </c>
      <c r="F104" t="s">
        <v>0</v>
      </c>
      <c r="G104" t="str">
        <f>"2018-10-18 19:36:51"</f>
        <v>2018-10-18 19:36:51</v>
      </c>
    </row>
    <row r="105" spans="1:7" x14ac:dyDescent="0.2">
      <c r="A105" t="s">
        <v>1</v>
      </c>
      <c r="B105" t="str">
        <f>"18826288648"</f>
        <v>18826288648</v>
      </c>
      <c r="C105" t="s">
        <v>1</v>
      </c>
      <c r="D105" t="s">
        <v>1</v>
      </c>
      <c r="E105" t="s">
        <v>1</v>
      </c>
      <c r="F105" t="s">
        <v>0</v>
      </c>
      <c r="G105" t="str">
        <f>"2018-10-18 19:36:03"</f>
        <v>2018-10-18 19:36:03</v>
      </c>
    </row>
    <row r="106" spans="1:7" x14ac:dyDescent="0.2">
      <c r="A106" t="s">
        <v>1943</v>
      </c>
      <c r="B106" t="str">
        <f>"18773914681"</f>
        <v>18773914681</v>
      </c>
      <c r="C106" t="str">
        <f>"430523198001121516"</f>
        <v>430523198001121516</v>
      </c>
      <c r="D106" t="s">
        <v>1</v>
      </c>
      <c r="E106" t="s">
        <v>1</v>
      </c>
      <c r="F106" t="s">
        <v>0</v>
      </c>
      <c r="G106" t="str">
        <f>"2018-10-18 19:35:56"</f>
        <v>2018-10-18 19:35:56</v>
      </c>
    </row>
    <row r="107" spans="1:7" x14ac:dyDescent="0.2">
      <c r="A107" t="s">
        <v>1944</v>
      </c>
      <c r="B107" t="str">
        <f>"13131473653"</f>
        <v>13131473653</v>
      </c>
      <c r="C107" t="str">
        <f>"130821198512305715"</f>
        <v>130821198512305715</v>
      </c>
      <c r="D107" t="s">
        <v>1</v>
      </c>
      <c r="E107" t="s">
        <v>1</v>
      </c>
      <c r="F107" t="s">
        <v>0</v>
      </c>
      <c r="G107" t="str">
        <f>"2018-10-31 22:15:32"</f>
        <v>2018-10-31 22:15:32</v>
      </c>
    </row>
    <row r="108" spans="1:7" x14ac:dyDescent="0.2">
      <c r="A108" t="s">
        <v>1</v>
      </c>
      <c r="B108" t="str">
        <f>"15676463624"</f>
        <v>15676463624</v>
      </c>
      <c r="C108" t="s">
        <v>1</v>
      </c>
      <c r="D108" t="s">
        <v>1</v>
      </c>
      <c r="E108" t="s">
        <v>1</v>
      </c>
      <c r="F108" t="s">
        <v>0</v>
      </c>
      <c r="G108" t="str">
        <f>"2018-10-18 19:32:58"</f>
        <v>2018-10-18 19:32:58</v>
      </c>
    </row>
    <row r="109" spans="1:7" x14ac:dyDescent="0.2">
      <c r="A109" t="s">
        <v>1945</v>
      </c>
      <c r="B109" t="str">
        <f>"18539531058"</f>
        <v>18539531058</v>
      </c>
      <c r="C109" t="str">
        <f>"411122198911258334"</f>
        <v>411122198911258334</v>
      </c>
      <c r="D109" t="s">
        <v>1</v>
      </c>
      <c r="E109" t="s">
        <v>1</v>
      </c>
      <c r="F109" t="s">
        <v>0</v>
      </c>
      <c r="G109" t="str">
        <f>"2018-10-19 12:12:42"</f>
        <v>2018-10-19 12:12:42</v>
      </c>
    </row>
    <row r="110" spans="1:7" x14ac:dyDescent="0.2">
      <c r="A110" t="s">
        <v>1</v>
      </c>
      <c r="B110" t="str">
        <f>"13117610589"</f>
        <v>13117610589</v>
      </c>
      <c r="C110" t="s">
        <v>1</v>
      </c>
      <c r="D110" t="s">
        <v>1</v>
      </c>
      <c r="E110" t="s">
        <v>1</v>
      </c>
      <c r="F110" t="s">
        <v>0</v>
      </c>
      <c r="G110" t="str">
        <f>"2018-10-18 19:32:37"</f>
        <v>2018-10-18 19:32:37</v>
      </c>
    </row>
    <row r="111" spans="1:7" x14ac:dyDescent="0.2">
      <c r="A111" t="s">
        <v>1946</v>
      </c>
      <c r="B111" t="str">
        <f>"18720460386"</f>
        <v>18720460386</v>
      </c>
      <c r="C111" t="str">
        <f>"362426199112201828"</f>
        <v>362426199112201828</v>
      </c>
      <c r="D111" t="s">
        <v>1</v>
      </c>
      <c r="E111" t="s">
        <v>1</v>
      </c>
      <c r="F111" t="s">
        <v>0</v>
      </c>
      <c r="G111" t="str">
        <f>"2018-10-18 19:45:05"</f>
        <v>2018-10-18 19:45:05</v>
      </c>
    </row>
    <row r="112" spans="1:7" x14ac:dyDescent="0.2">
      <c r="A112" t="s">
        <v>1</v>
      </c>
      <c r="B112" t="str">
        <f>"13556842041"</f>
        <v>13556842041</v>
      </c>
      <c r="C112" t="s">
        <v>1</v>
      </c>
      <c r="D112" t="s">
        <v>1</v>
      </c>
      <c r="E112" t="s">
        <v>1</v>
      </c>
      <c r="F112" t="s">
        <v>0</v>
      </c>
      <c r="G112" t="str">
        <f>"2018-10-18 19:32:12"</f>
        <v>2018-10-18 19:32:12</v>
      </c>
    </row>
    <row r="113" spans="1:7" x14ac:dyDescent="0.2">
      <c r="A113" t="s">
        <v>1947</v>
      </c>
      <c r="B113" t="str">
        <f>"18659418191"</f>
        <v>18659418191</v>
      </c>
      <c r="C113" t="str">
        <f>"350628199805077559"</f>
        <v>350628199805077559</v>
      </c>
      <c r="D113" t="s">
        <v>1</v>
      </c>
      <c r="E113" t="s">
        <v>1</v>
      </c>
      <c r="F113" t="s">
        <v>0</v>
      </c>
      <c r="G113" t="str">
        <f>"2018-10-20 20:30:38"</f>
        <v>2018-10-20 20:30:38</v>
      </c>
    </row>
    <row r="114" spans="1:7" x14ac:dyDescent="0.2">
      <c r="A114" t="s">
        <v>1948</v>
      </c>
      <c r="B114" t="str">
        <f>"13069839223"</f>
        <v>13069839223</v>
      </c>
      <c r="C114" t="str">
        <f>"232103199403020613"</f>
        <v>232103199403020613</v>
      </c>
      <c r="D114" t="s">
        <v>1</v>
      </c>
      <c r="E114" t="s">
        <v>1</v>
      </c>
      <c r="F114" t="s">
        <v>0</v>
      </c>
      <c r="G114" t="str">
        <f>"2018-11-05 12:17:19"</f>
        <v>2018-11-05 12:17:19</v>
      </c>
    </row>
    <row r="115" spans="1:7" x14ac:dyDescent="0.2">
      <c r="A115" t="s">
        <v>1</v>
      </c>
      <c r="B115" t="str">
        <f>"18088088656"</f>
        <v>18088088656</v>
      </c>
      <c r="C115" t="s">
        <v>1</v>
      </c>
      <c r="D115" t="s">
        <v>1</v>
      </c>
      <c r="E115" t="s">
        <v>1</v>
      </c>
      <c r="F115" t="s">
        <v>0</v>
      </c>
      <c r="G115" t="str">
        <f>"2018-10-18 19:31:28"</f>
        <v>2018-10-18 19:31:28</v>
      </c>
    </row>
    <row r="116" spans="1:7" x14ac:dyDescent="0.2">
      <c r="A116" t="s">
        <v>1</v>
      </c>
      <c r="B116" t="str">
        <f>"18906416958"</f>
        <v>18906416958</v>
      </c>
      <c r="C116" t="s">
        <v>1</v>
      </c>
      <c r="D116" t="s">
        <v>1</v>
      </c>
      <c r="E116" t="s">
        <v>1</v>
      </c>
      <c r="F116" t="s">
        <v>0</v>
      </c>
      <c r="G116" t="str">
        <f>"2018-10-18 19:31:21"</f>
        <v>2018-10-18 19:31:21</v>
      </c>
    </row>
    <row r="117" spans="1:7" x14ac:dyDescent="0.2">
      <c r="A117" t="s">
        <v>1</v>
      </c>
      <c r="B117" t="str">
        <f>"13810702328"</f>
        <v>13810702328</v>
      </c>
      <c r="C117" t="s">
        <v>1</v>
      </c>
      <c r="D117" t="s">
        <v>1</v>
      </c>
      <c r="E117" t="s">
        <v>1</v>
      </c>
      <c r="F117" t="s">
        <v>0</v>
      </c>
      <c r="G117" t="str">
        <f>"2018-10-18 19:31:06"</f>
        <v>2018-10-18 19:31:06</v>
      </c>
    </row>
    <row r="118" spans="1:7" x14ac:dyDescent="0.2">
      <c r="A118" t="s">
        <v>1949</v>
      </c>
      <c r="B118" t="str">
        <f>"18133213311"</f>
        <v>18133213311</v>
      </c>
      <c r="C118" t="str">
        <f>"342201199305177711"</f>
        <v>342201199305177711</v>
      </c>
      <c r="D118" t="s">
        <v>1</v>
      </c>
      <c r="E118" t="s">
        <v>1</v>
      </c>
      <c r="F118" t="s">
        <v>0</v>
      </c>
      <c r="G118" t="str">
        <f>"2018-10-18 19:32:51"</f>
        <v>2018-10-18 19:32:51</v>
      </c>
    </row>
    <row r="119" spans="1:7" x14ac:dyDescent="0.2">
      <c r="A119" t="s">
        <v>1950</v>
      </c>
      <c r="B119" t="str">
        <f>"13986705512"</f>
        <v>13986705512</v>
      </c>
      <c r="C119" t="str">
        <f>"422425197611110075"</f>
        <v>422425197611110075</v>
      </c>
      <c r="D119" t="s">
        <v>1</v>
      </c>
      <c r="E119" t="s">
        <v>1</v>
      </c>
      <c r="F119" t="s">
        <v>0</v>
      </c>
      <c r="G119" t="str">
        <f>"2018-11-02 18:22:12"</f>
        <v>2018-11-02 18:22:12</v>
      </c>
    </row>
    <row r="120" spans="1:7" x14ac:dyDescent="0.2">
      <c r="A120" t="s">
        <v>1</v>
      </c>
      <c r="B120" t="str">
        <f>"13825467900"</f>
        <v>13825467900</v>
      </c>
      <c r="C120" t="s">
        <v>1</v>
      </c>
      <c r="D120" t="s">
        <v>1</v>
      </c>
      <c r="E120" t="s">
        <v>1</v>
      </c>
      <c r="F120" t="s">
        <v>0</v>
      </c>
      <c r="G120" t="str">
        <f>"2018-10-18 19:30:51"</f>
        <v>2018-10-18 19:30:51</v>
      </c>
    </row>
    <row r="121" spans="1:7" x14ac:dyDescent="0.2">
      <c r="A121" t="s">
        <v>1</v>
      </c>
      <c r="B121" t="str">
        <f>"13850492621"</f>
        <v>13850492621</v>
      </c>
      <c r="C121" t="s">
        <v>1</v>
      </c>
      <c r="D121" t="s">
        <v>1</v>
      </c>
      <c r="E121" t="s">
        <v>1</v>
      </c>
      <c r="F121" t="s">
        <v>0</v>
      </c>
      <c r="G121" t="str">
        <f>"2018-10-18 19:33:46"</f>
        <v>2018-10-18 19:33:46</v>
      </c>
    </row>
    <row r="122" spans="1:7" x14ac:dyDescent="0.2">
      <c r="A122" t="s">
        <v>1</v>
      </c>
      <c r="B122" t="str">
        <f>"15960348343"</f>
        <v>15960348343</v>
      </c>
      <c r="C122" t="s">
        <v>1</v>
      </c>
      <c r="D122" t="s">
        <v>1</v>
      </c>
      <c r="E122" t="s">
        <v>1</v>
      </c>
      <c r="F122" t="s">
        <v>0</v>
      </c>
      <c r="G122" t="str">
        <f>"2018-10-18 19:30:02"</f>
        <v>2018-10-18 19:30:02</v>
      </c>
    </row>
    <row r="123" spans="1:7" x14ac:dyDescent="0.2">
      <c r="A123" t="s">
        <v>1</v>
      </c>
      <c r="B123" t="str">
        <f>"15038896275"</f>
        <v>15038896275</v>
      </c>
      <c r="C123" t="s">
        <v>1</v>
      </c>
      <c r="D123" t="s">
        <v>1</v>
      </c>
      <c r="E123" t="s">
        <v>1</v>
      </c>
      <c r="F123" t="s">
        <v>0</v>
      </c>
      <c r="G123" t="str">
        <f>"2018-10-18 19:30:00"</f>
        <v>2018-10-18 19:30:00</v>
      </c>
    </row>
    <row r="124" spans="1:7" x14ac:dyDescent="0.2">
      <c r="A124" t="s">
        <v>1951</v>
      </c>
      <c r="B124" t="str">
        <f>"18202888770"</f>
        <v>18202888770</v>
      </c>
      <c r="C124" t="str">
        <f>"511111199112212312"</f>
        <v>511111199112212312</v>
      </c>
      <c r="D124" t="s">
        <v>1</v>
      </c>
      <c r="E124" t="s">
        <v>1</v>
      </c>
      <c r="F124" t="s">
        <v>0</v>
      </c>
      <c r="G124" t="str">
        <f>"2018-10-18 19:34:24"</f>
        <v>2018-10-18 19:34:24</v>
      </c>
    </row>
    <row r="125" spans="1:7" x14ac:dyDescent="0.2">
      <c r="A125" t="s">
        <v>1952</v>
      </c>
      <c r="B125" t="str">
        <f>"15269815109"</f>
        <v>15269815109</v>
      </c>
      <c r="C125" t="str">
        <f>"370982199611117274"</f>
        <v>370982199611117274</v>
      </c>
      <c r="D125" t="s">
        <v>1</v>
      </c>
      <c r="E125" t="s">
        <v>1</v>
      </c>
      <c r="F125" t="s">
        <v>0</v>
      </c>
      <c r="G125" t="str">
        <f>"2018-10-18 20:05:48"</f>
        <v>2018-10-18 20:05:48</v>
      </c>
    </row>
    <row r="126" spans="1:7" x14ac:dyDescent="0.2">
      <c r="A126" t="s">
        <v>1</v>
      </c>
      <c r="B126" t="str">
        <f>"15983270012"</f>
        <v>15983270012</v>
      </c>
      <c r="C126" t="s">
        <v>1</v>
      </c>
      <c r="D126" t="s">
        <v>1</v>
      </c>
      <c r="E126" t="s">
        <v>1</v>
      </c>
      <c r="F126" t="s">
        <v>0</v>
      </c>
      <c r="G126" t="str">
        <f>"2018-10-18 19:29:10"</f>
        <v>2018-10-18 19:29:10</v>
      </c>
    </row>
    <row r="127" spans="1:7" x14ac:dyDescent="0.2">
      <c r="A127" t="s">
        <v>1953</v>
      </c>
      <c r="B127" t="str">
        <f>"18369854312"</f>
        <v>18369854312</v>
      </c>
      <c r="C127" t="str">
        <f>"150121199102228155"</f>
        <v>150121199102228155</v>
      </c>
      <c r="D127" t="s">
        <v>1954</v>
      </c>
      <c r="E127" t="s">
        <v>1955</v>
      </c>
      <c r="F127" t="s">
        <v>0</v>
      </c>
      <c r="G127" t="str">
        <f>"2018-10-18 19:33:27"</f>
        <v>2018-10-18 19:33:27</v>
      </c>
    </row>
    <row r="128" spans="1:7" x14ac:dyDescent="0.2">
      <c r="A128" t="s">
        <v>1</v>
      </c>
      <c r="B128" t="str">
        <f>"18270404717"</f>
        <v>18270404717</v>
      </c>
      <c r="C128" t="s">
        <v>1</v>
      </c>
      <c r="D128" t="s">
        <v>1</v>
      </c>
      <c r="E128" t="s">
        <v>1</v>
      </c>
      <c r="F128" t="s">
        <v>0</v>
      </c>
      <c r="G128" t="str">
        <f>"2018-10-18 19:27:58"</f>
        <v>2018-10-18 19:27:58</v>
      </c>
    </row>
    <row r="129" spans="1:7" x14ac:dyDescent="0.2">
      <c r="A129" t="s">
        <v>1956</v>
      </c>
      <c r="B129" t="str">
        <f>"13755590627"</f>
        <v>13755590627</v>
      </c>
      <c r="C129" t="str">
        <f>"360521198506270049"</f>
        <v>360521198506270049</v>
      </c>
      <c r="D129" t="s">
        <v>1</v>
      </c>
      <c r="E129" t="s">
        <v>1</v>
      </c>
      <c r="F129" t="s">
        <v>0</v>
      </c>
      <c r="G129" t="str">
        <f>"2018-10-27 11:12:01"</f>
        <v>2018-10-27 11:12:01</v>
      </c>
    </row>
    <row r="130" spans="1:7" x14ac:dyDescent="0.2">
      <c r="A130" t="s">
        <v>1</v>
      </c>
      <c r="B130" t="str">
        <f>"13117773402"</f>
        <v>13117773402</v>
      </c>
      <c r="C130" t="s">
        <v>1</v>
      </c>
      <c r="D130" t="s">
        <v>1</v>
      </c>
      <c r="E130" t="s">
        <v>1</v>
      </c>
      <c r="F130" t="s">
        <v>0</v>
      </c>
      <c r="G130" t="str">
        <f>"2018-10-18 19:27:31"</f>
        <v>2018-10-18 19:27:31</v>
      </c>
    </row>
    <row r="131" spans="1:7" x14ac:dyDescent="0.2">
      <c r="A131" t="s">
        <v>1</v>
      </c>
      <c r="B131" t="str">
        <f>"17370892345"</f>
        <v>17370892345</v>
      </c>
      <c r="C131" t="s">
        <v>1</v>
      </c>
      <c r="D131" t="s">
        <v>1</v>
      </c>
      <c r="E131" t="s">
        <v>1</v>
      </c>
      <c r="F131" t="s">
        <v>0</v>
      </c>
      <c r="G131" t="str">
        <f>"2018-10-18 19:27:16"</f>
        <v>2018-10-18 19:27:16</v>
      </c>
    </row>
    <row r="132" spans="1:7" x14ac:dyDescent="0.2">
      <c r="A132" t="s">
        <v>1</v>
      </c>
      <c r="B132" t="str">
        <f>"13924901230"</f>
        <v>13924901230</v>
      </c>
      <c r="C132" t="s">
        <v>1</v>
      </c>
      <c r="D132" t="s">
        <v>1</v>
      </c>
      <c r="E132" t="s">
        <v>1</v>
      </c>
      <c r="F132" t="s">
        <v>0</v>
      </c>
      <c r="G132" t="str">
        <f>"2018-10-18 19:28:18"</f>
        <v>2018-10-18 19:28:18</v>
      </c>
    </row>
    <row r="133" spans="1:7" x14ac:dyDescent="0.2">
      <c r="A133" t="s">
        <v>1</v>
      </c>
      <c r="B133" t="str">
        <f>"18752186768"</f>
        <v>18752186768</v>
      </c>
      <c r="C133" t="s">
        <v>1</v>
      </c>
      <c r="D133" t="s">
        <v>1</v>
      </c>
      <c r="E133" t="s">
        <v>1</v>
      </c>
      <c r="F133" t="s">
        <v>0</v>
      </c>
      <c r="G133" t="str">
        <f>"2018-10-18 19:26:42"</f>
        <v>2018-10-18 19:26:42</v>
      </c>
    </row>
    <row r="134" spans="1:7" x14ac:dyDescent="0.2">
      <c r="A134" t="s">
        <v>1957</v>
      </c>
      <c r="B134" t="str">
        <f>"18582305732"</f>
        <v>18582305732</v>
      </c>
      <c r="C134" t="str">
        <f>"510824199911205417"</f>
        <v>510824199911205417</v>
      </c>
      <c r="D134" t="s">
        <v>1</v>
      </c>
      <c r="E134" t="s">
        <v>1</v>
      </c>
      <c r="F134" t="s">
        <v>0</v>
      </c>
      <c r="G134" t="str">
        <f>"2018-10-18 19:26:29"</f>
        <v>2018-10-18 19:26:29</v>
      </c>
    </row>
    <row r="135" spans="1:7" x14ac:dyDescent="0.2">
      <c r="A135" t="s">
        <v>1958</v>
      </c>
      <c r="B135" t="str">
        <f>"18892622924"</f>
        <v>18892622924</v>
      </c>
      <c r="C135" t="str">
        <f>"330183199608294320"</f>
        <v>330183199608294320</v>
      </c>
      <c r="D135" t="s">
        <v>1</v>
      </c>
      <c r="E135" t="s">
        <v>1</v>
      </c>
      <c r="F135" t="s">
        <v>0</v>
      </c>
      <c r="G135" t="str">
        <f>"2018-10-27 17:11:11"</f>
        <v>2018-10-27 17:11:11</v>
      </c>
    </row>
    <row r="136" spans="1:7" x14ac:dyDescent="0.2">
      <c r="A136" t="s">
        <v>1959</v>
      </c>
      <c r="B136" t="str">
        <f>"13470056456"</f>
        <v>13470056456</v>
      </c>
      <c r="C136" t="str">
        <f>"210682198811041061"</f>
        <v>210682198811041061</v>
      </c>
      <c r="D136" t="s">
        <v>1960</v>
      </c>
      <c r="E136" t="s">
        <v>1961</v>
      </c>
      <c r="F136" t="s">
        <v>0</v>
      </c>
      <c r="G136" t="str">
        <f>"2018-10-23 13:53:41"</f>
        <v>2018-10-23 13:53:41</v>
      </c>
    </row>
    <row r="137" spans="1:7" x14ac:dyDescent="0.2">
      <c r="A137" t="s">
        <v>1</v>
      </c>
      <c r="B137" t="str">
        <f>"18288016375"</f>
        <v>18288016375</v>
      </c>
      <c r="C137" t="s">
        <v>1</v>
      </c>
      <c r="D137" t="s">
        <v>1</v>
      </c>
      <c r="E137" t="s">
        <v>1</v>
      </c>
      <c r="F137" t="s">
        <v>0</v>
      </c>
      <c r="G137" t="str">
        <f>"2018-10-18 19:24:19"</f>
        <v>2018-10-18 19:24:19</v>
      </c>
    </row>
    <row r="138" spans="1:7" x14ac:dyDescent="0.2">
      <c r="A138" t="s">
        <v>1</v>
      </c>
      <c r="B138" t="str">
        <f>"17318453201"</f>
        <v>17318453201</v>
      </c>
      <c r="C138" t="s">
        <v>1</v>
      </c>
      <c r="D138" t="s">
        <v>1</v>
      </c>
      <c r="E138" t="s">
        <v>1</v>
      </c>
      <c r="F138" t="s">
        <v>0</v>
      </c>
      <c r="G138" t="str">
        <f>"2018-10-18 19:22:41"</f>
        <v>2018-10-18 19:22:41</v>
      </c>
    </row>
    <row r="139" spans="1:7" x14ac:dyDescent="0.2">
      <c r="A139" t="s">
        <v>1962</v>
      </c>
      <c r="B139" t="str">
        <f>"13650307626"</f>
        <v>13650307626</v>
      </c>
      <c r="C139" t="str">
        <f>"440881199704182717"</f>
        <v>440881199704182717</v>
      </c>
      <c r="D139" t="s">
        <v>1963</v>
      </c>
      <c r="E139" t="s">
        <v>1964</v>
      </c>
      <c r="F139" t="s">
        <v>0</v>
      </c>
      <c r="G139" t="str">
        <f>"2018-10-18 19:22:38"</f>
        <v>2018-10-18 19:22:38</v>
      </c>
    </row>
    <row r="140" spans="1:7" x14ac:dyDescent="0.2">
      <c r="A140" t="s">
        <v>1965</v>
      </c>
      <c r="B140" t="str">
        <f>"13991009045"</f>
        <v>13991009045</v>
      </c>
      <c r="C140" t="str">
        <f>"610481199106262637"</f>
        <v>610481199106262637</v>
      </c>
      <c r="D140" t="s">
        <v>1</v>
      </c>
      <c r="E140" t="s">
        <v>1</v>
      </c>
      <c r="F140" t="s">
        <v>0</v>
      </c>
      <c r="G140" t="str">
        <f>"2018-10-18 19:24:15"</f>
        <v>2018-10-18 19:24:15</v>
      </c>
    </row>
    <row r="141" spans="1:7" x14ac:dyDescent="0.2">
      <c r="A141" t="s">
        <v>1966</v>
      </c>
      <c r="B141" t="str">
        <f>"15966050715"</f>
        <v>15966050715</v>
      </c>
      <c r="C141" t="str">
        <f>"371481199604177815"</f>
        <v>371481199604177815</v>
      </c>
      <c r="D141" t="s">
        <v>1</v>
      </c>
      <c r="E141" t="s">
        <v>1</v>
      </c>
      <c r="F141" t="s">
        <v>0</v>
      </c>
      <c r="G141" t="str">
        <f>"2018-10-18 22:48:52"</f>
        <v>2018-10-18 22:48:52</v>
      </c>
    </row>
    <row r="142" spans="1:7" x14ac:dyDescent="0.2">
      <c r="A142" t="s">
        <v>1663</v>
      </c>
      <c r="B142" t="str">
        <f>"13081697941"</f>
        <v>13081697941</v>
      </c>
      <c r="C142" t="str">
        <f>"370725199010095278"</f>
        <v>370725199010095278</v>
      </c>
      <c r="D142" t="s">
        <v>1</v>
      </c>
      <c r="E142" t="s">
        <v>1</v>
      </c>
      <c r="F142" t="s">
        <v>0</v>
      </c>
      <c r="G142" t="str">
        <f>"2018-10-19 08:17:45"</f>
        <v>2018-10-19 08:17:45</v>
      </c>
    </row>
    <row r="143" spans="1:7" x14ac:dyDescent="0.2">
      <c r="A143" t="s">
        <v>1967</v>
      </c>
      <c r="B143" t="str">
        <f>"15779777035"</f>
        <v>15779777035</v>
      </c>
      <c r="C143" t="str">
        <f>"360726199511110012"</f>
        <v>360726199511110012</v>
      </c>
      <c r="D143" t="s">
        <v>1968</v>
      </c>
      <c r="E143" t="s">
        <v>1969</v>
      </c>
      <c r="F143" t="s">
        <v>0</v>
      </c>
      <c r="G143" t="str">
        <f>"2018-10-18 19:23:44"</f>
        <v>2018-10-18 19:23:44</v>
      </c>
    </row>
    <row r="144" spans="1:7" x14ac:dyDescent="0.2">
      <c r="A144" t="s">
        <v>1970</v>
      </c>
      <c r="B144" t="str">
        <f>"13959446065"</f>
        <v>13959446065</v>
      </c>
      <c r="C144" t="str">
        <f>"352229199407264515"</f>
        <v>352229199407264515</v>
      </c>
      <c r="D144" t="s">
        <v>1</v>
      </c>
      <c r="E144" t="s">
        <v>1</v>
      </c>
      <c r="F144" t="s">
        <v>0</v>
      </c>
      <c r="G144" t="str">
        <f>"2018-10-18 19:42:39"</f>
        <v>2018-10-18 19:42:39</v>
      </c>
    </row>
    <row r="145" spans="1:7" x14ac:dyDescent="0.2">
      <c r="A145" t="s">
        <v>1</v>
      </c>
      <c r="B145" t="str">
        <f>"18739135308"</f>
        <v>18739135308</v>
      </c>
      <c r="C145" t="s">
        <v>1</v>
      </c>
      <c r="D145" t="s">
        <v>1</v>
      </c>
      <c r="E145" t="s">
        <v>1</v>
      </c>
      <c r="F145" t="s">
        <v>0</v>
      </c>
      <c r="G145" t="str">
        <f>"2018-10-18 19:20:15"</f>
        <v>2018-10-18 19:20:15</v>
      </c>
    </row>
    <row r="146" spans="1:7" x14ac:dyDescent="0.2">
      <c r="A146" t="s">
        <v>274</v>
      </c>
      <c r="B146" t="str">
        <f>"13858003612"</f>
        <v>13858003612</v>
      </c>
      <c r="C146" t="str">
        <f>"330184198609244124"</f>
        <v>330184198609244124</v>
      </c>
      <c r="D146" t="s">
        <v>1</v>
      </c>
      <c r="E146" t="s">
        <v>1</v>
      </c>
      <c r="F146" t="s">
        <v>0</v>
      </c>
      <c r="G146" t="str">
        <f>"2018-10-26 10:33:17"</f>
        <v>2018-10-26 10:33:17</v>
      </c>
    </row>
    <row r="147" spans="1:7" x14ac:dyDescent="0.2">
      <c r="A147" t="s">
        <v>15</v>
      </c>
      <c r="B147" t="str">
        <f>"15978624170"</f>
        <v>15978624170</v>
      </c>
      <c r="C147" t="str">
        <f>"410324199209163113"</f>
        <v>410324199209163113</v>
      </c>
      <c r="D147" t="s">
        <v>1</v>
      </c>
      <c r="E147" t="s">
        <v>1</v>
      </c>
      <c r="F147" t="s">
        <v>0</v>
      </c>
      <c r="G147" t="str">
        <f>"2018-10-19 12:27:42"</f>
        <v>2018-10-19 12:27:42</v>
      </c>
    </row>
    <row r="148" spans="1:7" x14ac:dyDescent="0.2">
      <c r="A148" t="s">
        <v>1971</v>
      </c>
      <c r="B148" t="str">
        <f>"13646981440"</f>
        <v>13646981440</v>
      </c>
      <c r="C148" t="str">
        <f>"350322199708144321"</f>
        <v>350322199708144321</v>
      </c>
      <c r="D148" t="s">
        <v>1</v>
      </c>
      <c r="E148" t="s">
        <v>1</v>
      </c>
      <c r="F148" t="s">
        <v>0</v>
      </c>
      <c r="G148" t="str">
        <f>"2018-10-25 11:26:42"</f>
        <v>2018-10-25 11:26:42</v>
      </c>
    </row>
    <row r="149" spans="1:7" x14ac:dyDescent="0.2">
      <c r="A149" t="s">
        <v>1</v>
      </c>
      <c r="B149" t="str">
        <f>"13025938524"</f>
        <v>13025938524</v>
      </c>
      <c r="C149" t="s">
        <v>1</v>
      </c>
      <c r="D149" t="s">
        <v>1</v>
      </c>
      <c r="E149" t="s">
        <v>1</v>
      </c>
      <c r="F149" t="s">
        <v>0</v>
      </c>
      <c r="G149" t="str">
        <f>"2018-10-18 19:19:23"</f>
        <v>2018-10-18 19:19:23</v>
      </c>
    </row>
    <row r="150" spans="1:7" x14ac:dyDescent="0.2">
      <c r="A150" t="s">
        <v>1</v>
      </c>
      <c r="B150" t="str">
        <f>"18819134441"</f>
        <v>18819134441</v>
      </c>
      <c r="C150" t="s">
        <v>1</v>
      </c>
      <c r="D150" t="s">
        <v>1</v>
      </c>
      <c r="E150" t="s">
        <v>1</v>
      </c>
      <c r="F150" t="s">
        <v>0</v>
      </c>
      <c r="G150" t="str">
        <f>"2018-10-18 19:19:04"</f>
        <v>2018-10-18 19:19:04</v>
      </c>
    </row>
    <row r="151" spans="1:7" x14ac:dyDescent="0.2">
      <c r="A151" t="s">
        <v>1</v>
      </c>
      <c r="B151" t="str">
        <f>"15693643109"</f>
        <v>15693643109</v>
      </c>
      <c r="C151" t="s">
        <v>1</v>
      </c>
      <c r="D151" t="s">
        <v>1</v>
      </c>
      <c r="E151" t="s">
        <v>1</v>
      </c>
      <c r="F151" t="s">
        <v>0</v>
      </c>
      <c r="G151" t="str">
        <f>"2018-10-18 19:18:45"</f>
        <v>2018-10-18 19:18:45</v>
      </c>
    </row>
    <row r="152" spans="1:7" x14ac:dyDescent="0.2">
      <c r="A152" t="s">
        <v>1972</v>
      </c>
      <c r="B152" t="str">
        <f>"17311850216"</f>
        <v>17311850216</v>
      </c>
      <c r="C152" t="str">
        <f>"510622198910023357"</f>
        <v>510622198910023357</v>
      </c>
      <c r="D152" t="s">
        <v>1</v>
      </c>
      <c r="E152" t="s">
        <v>1</v>
      </c>
      <c r="F152" t="s">
        <v>0</v>
      </c>
      <c r="G152" t="str">
        <f>"2018-10-22 20:34:36"</f>
        <v>2018-10-22 20:34:36</v>
      </c>
    </row>
    <row r="153" spans="1:7" x14ac:dyDescent="0.2">
      <c r="A153" t="s">
        <v>1</v>
      </c>
      <c r="B153" t="str">
        <f>"15228320325"</f>
        <v>15228320325</v>
      </c>
      <c r="C153" t="s">
        <v>1</v>
      </c>
      <c r="D153" t="s">
        <v>1</v>
      </c>
      <c r="E153" t="s">
        <v>1</v>
      </c>
      <c r="F153" t="s">
        <v>0</v>
      </c>
      <c r="G153" t="str">
        <f>"2018-10-18 19:18:33"</f>
        <v>2018-10-18 19:18:33</v>
      </c>
    </row>
    <row r="154" spans="1:7" x14ac:dyDescent="0.2">
      <c r="A154" t="s">
        <v>1973</v>
      </c>
      <c r="B154" t="str">
        <f>"15077337303"</f>
        <v>15077337303</v>
      </c>
      <c r="C154" t="str">
        <f>"450325199701111511"</f>
        <v>450325199701111511</v>
      </c>
      <c r="D154" t="s">
        <v>1</v>
      </c>
      <c r="E154" t="s">
        <v>1</v>
      </c>
      <c r="F154" t="s">
        <v>0</v>
      </c>
      <c r="G154" t="str">
        <f>"2018-10-18 19:17:05"</f>
        <v>2018-10-18 19:17:05</v>
      </c>
    </row>
    <row r="155" spans="1:7" x14ac:dyDescent="0.2">
      <c r="A155" t="s">
        <v>1</v>
      </c>
      <c r="B155" t="str">
        <f>"13110413714"</f>
        <v>13110413714</v>
      </c>
      <c r="C155" t="s">
        <v>1</v>
      </c>
      <c r="D155" t="s">
        <v>1</v>
      </c>
      <c r="E155" t="s">
        <v>1</v>
      </c>
      <c r="F155" t="s">
        <v>0</v>
      </c>
      <c r="G155" t="str">
        <f>"2018-10-18 19:15:36"</f>
        <v>2018-10-18 19:15:36</v>
      </c>
    </row>
    <row r="156" spans="1:7" x14ac:dyDescent="0.2">
      <c r="A156" t="s">
        <v>1974</v>
      </c>
      <c r="B156" t="str">
        <f>"18200457037"</f>
        <v>18200457037</v>
      </c>
      <c r="C156" t="str">
        <f>"510921199802261221"</f>
        <v>510921199802261221</v>
      </c>
      <c r="D156" t="s">
        <v>1</v>
      </c>
      <c r="E156" t="s">
        <v>1</v>
      </c>
      <c r="F156" t="s">
        <v>0</v>
      </c>
      <c r="G156" t="str">
        <f>"2018-10-19 09:08:32"</f>
        <v>2018-10-19 09:08:32</v>
      </c>
    </row>
    <row r="157" spans="1:7" x14ac:dyDescent="0.2">
      <c r="A157" t="s">
        <v>1975</v>
      </c>
      <c r="B157" t="str">
        <f>"18703411691"</f>
        <v>18703411691</v>
      </c>
      <c r="C157" t="str">
        <f>"142625199610100759"</f>
        <v>142625199610100759</v>
      </c>
      <c r="D157" t="s">
        <v>1</v>
      </c>
      <c r="E157" t="s">
        <v>1</v>
      </c>
      <c r="F157" t="s">
        <v>0</v>
      </c>
      <c r="G157" t="str">
        <f>"2018-10-18 19:36:34"</f>
        <v>2018-10-18 19:36:34</v>
      </c>
    </row>
    <row r="158" spans="1:7" x14ac:dyDescent="0.2">
      <c r="A158" t="s">
        <v>1</v>
      </c>
      <c r="B158" t="str">
        <f>"13532114999"</f>
        <v>13532114999</v>
      </c>
      <c r="C158" t="s">
        <v>1</v>
      </c>
      <c r="D158" t="s">
        <v>1</v>
      </c>
      <c r="E158" t="s">
        <v>1</v>
      </c>
      <c r="F158" t="s">
        <v>0</v>
      </c>
      <c r="G158" t="str">
        <f>"2018-10-18 19:14:20"</f>
        <v>2018-10-18 19:14:20</v>
      </c>
    </row>
    <row r="159" spans="1:7" x14ac:dyDescent="0.2">
      <c r="A159" t="s">
        <v>1</v>
      </c>
      <c r="B159" t="str">
        <f>"13761208432"</f>
        <v>13761208432</v>
      </c>
      <c r="C159" t="s">
        <v>1</v>
      </c>
      <c r="D159" t="s">
        <v>1</v>
      </c>
      <c r="E159" t="s">
        <v>1</v>
      </c>
      <c r="F159" t="s">
        <v>0</v>
      </c>
      <c r="G159" t="str">
        <f>"2018-10-18 19:14:16"</f>
        <v>2018-10-18 19:14:16</v>
      </c>
    </row>
    <row r="160" spans="1:7" x14ac:dyDescent="0.2">
      <c r="A160" t="s">
        <v>690</v>
      </c>
      <c r="B160" t="str">
        <f>"15934773252"</f>
        <v>15934773252</v>
      </c>
      <c r="C160" t="str">
        <f>"522426199707291615"</f>
        <v>522426199707291615</v>
      </c>
      <c r="D160" t="s">
        <v>1</v>
      </c>
      <c r="E160" t="s">
        <v>1</v>
      </c>
      <c r="F160" t="s">
        <v>0</v>
      </c>
      <c r="G160" t="str">
        <f>"2018-10-18 19:13:58"</f>
        <v>2018-10-18 19:13:58</v>
      </c>
    </row>
    <row r="161" spans="1:7" x14ac:dyDescent="0.2">
      <c r="A161" t="s">
        <v>1</v>
      </c>
      <c r="B161" t="str">
        <f>"15958565509"</f>
        <v>15958565509</v>
      </c>
      <c r="C161" t="s">
        <v>1</v>
      </c>
      <c r="D161" t="s">
        <v>1</v>
      </c>
      <c r="E161" t="s">
        <v>1</v>
      </c>
      <c r="F161" t="s">
        <v>0</v>
      </c>
      <c r="G161" t="str">
        <f>"2018-10-18 19:13:31"</f>
        <v>2018-10-18 19:13:31</v>
      </c>
    </row>
    <row r="162" spans="1:7" x14ac:dyDescent="0.2">
      <c r="A162" t="s">
        <v>1556</v>
      </c>
      <c r="B162" t="str">
        <f>"13662262571"</f>
        <v>13662262571</v>
      </c>
      <c r="C162" t="str">
        <f>"450923198510296715"</f>
        <v>450923198510296715</v>
      </c>
      <c r="D162" t="s">
        <v>1</v>
      </c>
      <c r="E162" t="s">
        <v>1</v>
      </c>
      <c r="F162" t="s">
        <v>0</v>
      </c>
      <c r="G162" t="str">
        <f>"2018-10-18 19:15:35"</f>
        <v>2018-10-18 19:15:35</v>
      </c>
    </row>
    <row r="163" spans="1:7" x14ac:dyDescent="0.2">
      <c r="A163" t="s">
        <v>1976</v>
      </c>
      <c r="B163" t="str">
        <f>"13337970451"</f>
        <v>13337970451</v>
      </c>
      <c r="C163" t="str">
        <f>"320826198806186253"</f>
        <v>320826198806186253</v>
      </c>
      <c r="D163" t="s">
        <v>1</v>
      </c>
      <c r="E163" t="s">
        <v>1</v>
      </c>
      <c r="F163" t="s">
        <v>0</v>
      </c>
      <c r="G163" t="str">
        <f>"2018-10-18 19:14:02"</f>
        <v>2018-10-18 19:14:02</v>
      </c>
    </row>
    <row r="164" spans="1:7" x14ac:dyDescent="0.2">
      <c r="A164" t="s">
        <v>1977</v>
      </c>
      <c r="B164" t="str">
        <f>"15517838301"</f>
        <v>15517838301</v>
      </c>
      <c r="C164" t="str">
        <f>"410223199410284054"</f>
        <v>410223199410284054</v>
      </c>
      <c r="D164" t="s">
        <v>1</v>
      </c>
      <c r="E164" t="s">
        <v>1</v>
      </c>
      <c r="F164" t="s">
        <v>0</v>
      </c>
      <c r="G164" t="str">
        <f>"2018-10-19 10:57:13"</f>
        <v>2018-10-19 10:57:13</v>
      </c>
    </row>
    <row r="165" spans="1:7" x14ac:dyDescent="0.2">
      <c r="A165" t="s">
        <v>1978</v>
      </c>
      <c r="B165" t="str">
        <f>"15253136796"</f>
        <v>15253136796</v>
      </c>
      <c r="C165" t="str">
        <f>"372502197810071474"</f>
        <v>372502197810071474</v>
      </c>
      <c r="D165" t="s">
        <v>1</v>
      </c>
      <c r="E165" t="s">
        <v>1</v>
      </c>
      <c r="F165" t="s">
        <v>0</v>
      </c>
      <c r="G165" t="str">
        <f>"2018-10-18 19:16:41"</f>
        <v>2018-10-18 19:16:41</v>
      </c>
    </row>
    <row r="166" spans="1:7" x14ac:dyDescent="0.2">
      <c r="A166" t="s">
        <v>1979</v>
      </c>
      <c r="B166" t="str">
        <f>"17319192764"</f>
        <v>17319192764</v>
      </c>
      <c r="C166" t="str">
        <f>"210727198607132717"</f>
        <v>210727198607132717</v>
      </c>
      <c r="D166" t="s">
        <v>1</v>
      </c>
      <c r="E166" t="s">
        <v>1</v>
      </c>
      <c r="F166" t="s">
        <v>0</v>
      </c>
      <c r="G166" t="str">
        <f>"2018-10-18 19:13:23"</f>
        <v>2018-10-18 19:13:23</v>
      </c>
    </row>
    <row r="167" spans="1:7" x14ac:dyDescent="0.2">
      <c r="A167" t="s">
        <v>1695</v>
      </c>
      <c r="B167" t="str">
        <f>"15881923847"</f>
        <v>15881923847</v>
      </c>
      <c r="C167" t="str">
        <f>"513030199512210063"</f>
        <v>513030199512210063</v>
      </c>
      <c r="D167" t="s">
        <v>1</v>
      </c>
      <c r="E167" t="s">
        <v>1</v>
      </c>
      <c r="F167" t="s">
        <v>0</v>
      </c>
      <c r="G167" t="str">
        <f>"2018-10-18 19:14:20"</f>
        <v>2018-10-18 19:14:20</v>
      </c>
    </row>
    <row r="168" spans="1:7" x14ac:dyDescent="0.2">
      <c r="A168" t="s">
        <v>1980</v>
      </c>
      <c r="B168" t="str">
        <f>"15000382586"</f>
        <v>15000382586</v>
      </c>
      <c r="C168" t="str">
        <f>"412728199709131512"</f>
        <v>412728199709131512</v>
      </c>
      <c r="D168" t="s">
        <v>1</v>
      </c>
      <c r="E168" t="s">
        <v>1</v>
      </c>
      <c r="F168" t="s">
        <v>0</v>
      </c>
      <c r="G168" t="str">
        <f>"2018-10-18 19:13:23"</f>
        <v>2018-10-18 19:13:23</v>
      </c>
    </row>
    <row r="169" spans="1:7" x14ac:dyDescent="0.2">
      <c r="A169" t="s">
        <v>1</v>
      </c>
      <c r="B169" t="str">
        <f>"15866625106"</f>
        <v>15866625106</v>
      </c>
      <c r="C169" t="s">
        <v>1</v>
      </c>
      <c r="D169" t="s">
        <v>1</v>
      </c>
      <c r="E169" t="s">
        <v>1</v>
      </c>
      <c r="F169" t="s">
        <v>0</v>
      </c>
      <c r="G169" t="str">
        <f>"2018-10-18 19:10:49"</f>
        <v>2018-10-18 19:10:49</v>
      </c>
    </row>
    <row r="170" spans="1:7" x14ac:dyDescent="0.2">
      <c r="A170" t="s">
        <v>1</v>
      </c>
      <c r="B170" t="str">
        <f>"13058756120"</f>
        <v>13058756120</v>
      </c>
      <c r="C170" t="s">
        <v>1</v>
      </c>
      <c r="D170" t="s">
        <v>1</v>
      </c>
      <c r="E170" t="s">
        <v>1</v>
      </c>
      <c r="F170" t="s">
        <v>0</v>
      </c>
      <c r="G170" t="str">
        <f>"2018-10-18 19:10:33"</f>
        <v>2018-10-18 19:10:33</v>
      </c>
    </row>
    <row r="171" spans="1:7" x14ac:dyDescent="0.2">
      <c r="A171" t="s">
        <v>1</v>
      </c>
      <c r="B171" t="str">
        <f>"15871971166"</f>
        <v>15871971166</v>
      </c>
      <c r="C171" t="s">
        <v>1</v>
      </c>
      <c r="D171" t="s">
        <v>1</v>
      </c>
      <c r="E171" t="s">
        <v>1</v>
      </c>
      <c r="F171" t="s">
        <v>0</v>
      </c>
      <c r="G171" t="str">
        <f>"2018-10-18 19:10:30"</f>
        <v>2018-10-18 19:10:30</v>
      </c>
    </row>
    <row r="172" spans="1:7" x14ac:dyDescent="0.2">
      <c r="A172" t="s">
        <v>1981</v>
      </c>
      <c r="B172" t="str">
        <f>"15023821617"</f>
        <v>15023821617</v>
      </c>
      <c r="C172" t="str">
        <f>"500234198509050019"</f>
        <v>500234198509050019</v>
      </c>
      <c r="D172" t="s">
        <v>1</v>
      </c>
      <c r="E172" t="s">
        <v>1</v>
      </c>
      <c r="F172" t="s">
        <v>0</v>
      </c>
      <c r="G172" t="str">
        <f>"2018-10-18 19:11:55"</f>
        <v>2018-10-18 19:11:55</v>
      </c>
    </row>
    <row r="173" spans="1:7" x14ac:dyDescent="0.2">
      <c r="A173" t="s">
        <v>632</v>
      </c>
      <c r="B173" t="str">
        <f>"15225108773"</f>
        <v>15225108773</v>
      </c>
      <c r="C173" t="str">
        <f>"410122199505280038"</f>
        <v>410122199505280038</v>
      </c>
      <c r="D173" t="s">
        <v>1</v>
      </c>
      <c r="E173" t="s">
        <v>1</v>
      </c>
      <c r="F173" t="s">
        <v>0</v>
      </c>
      <c r="G173" t="str">
        <f>"2018-10-18 19:11:52"</f>
        <v>2018-10-18 19:11:52</v>
      </c>
    </row>
    <row r="174" spans="1:7" x14ac:dyDescent="0.2">
      <c r="A174" t="s">
        <v>1982</v>
      </c>
      <c r="B174" t="str">
        <f>"18776968123"</f>
        <v>18776968123</v>
      </c>
      <c r="C174" t="str">
        <f>"450121199511303612"</f>
        <v>450121199511303612</v>
      </c>
      <c r="D174" t="s">
        <v>1</v>
      </c>
      <c r="E174" t="s">
        <v>1</v>
      </c>
      <c r="F174" t="s">
        <v>0</v>
      </c>
      <c r="G174" t="str">
        <f>"2018-10-18 19:51:21"</f>
        <v>2018-10-18 19:51:21</v>
      </c>
    </row>
    <row r="175" spans="1:7" x14ac:dyDescent="0.2">
      <c r="A175" t="s">
        <v>1983</v>
      </c>
      <c r="B175" t="str">
        <f>"13691868860"</f>
        <v>13691868860</v>
      </c>
      <c r="C175" t="str">
        <f>"440103198302034234"</f>
        <v>440103198302034234</v>
      </c>
      <c r="D175" t="s">
        <v>1</v>
      </c>
      <c r="E175" t="s">
        <v>1</v>
      </c>
      <c r="F175" t="s">
        <v>0</v>
      </c>
      <c r="G175" t="str">
        <f>"2018-10-18 19:11:21"</f>
        <v>2018-10-18 19:11:21</v>
      </c>
    </row>
    <row r="176" spans="1:7" x14ac:dyDescent="0.2">
      <c r="A176" t="s">
        <v>1</v>
      </c>
      <c r="B176" t="str">
        <f>"15612612188"</f>
        <v>15612612188</v>
      </c>
      <c r="C176" t="s">
        <v>1</v>
      </c>
      <c r="D176" t="s">
        <v>1</v>
      </c>
      <c r="E176" t="s">
        <v>1</v>
      </c>
      <c r="F176" t="s">
        <v>0</v>
      </c>
      <c r="G176" t="str">
        <f>"2018-10-18 19:11:25"</f>
        <v>2018-10-18 19:11:25</v>
      </c>
    </row>
    <row r="177" spans="1:7" x14ac:dyDescent="0.2">
      <c r="A177" t="s">
        <v>1984</v>
      </c>
      <c r="B177" t="str">
        <f>"13821966314"</f>
        <v>13821966314</v>
      </c>
      <c r="C177" t="str">
        <f>"13262419700422579X"</f>
        <v>13262419700422579X</v>
      </c>
      <c r="D177" t="s">
        <v>1</v>
      </c>
      <c r="E177" t="s">
        <v>1</v>
      </c>
      <c r="F177" t="s">
        <v>0</v>
      </c>
      <c r="G177" t="str">
        <f>"2018-10-18 19:10:45"</f>
        <v>2018-10-18 19:10:45</v>
      </c>
    </row>
    <row r="178" spans="1:7" x14ac:dyDescent="0.2">
      <c r="A178" t="s">
        <v>1985</v>
      </c>
      <c r="B178" t="str">
        <f>"15876273019"</f>
        <v>15876273019</v>
      </c>
      <c r="C178" t="str">
        <f>"440782199311023337"</f>
        <v>440782199311023337</v>
      </c>
      <c r="D178" t="s">
        <v>1986</v>
      </c>
      <c r="E178" t="s">
        <v>1987</v>
      </c>
      <c r="F178" t="s">
        <v>0</v>
      </c>
      <c r="G178" t="str">
        <f>"2018-10-18 19:09:50"</f>
        <v>2018-10-18 19:09:50</v>
      </c>
    </row>
    <row r="179" spans="1:7" x14ac:dyDescent="0.2">
      <c r="A179" t="s">
        <v>1988</v>
      </c>
      <c r="B179" t="str">
        <f>"15394670789"</f>
        <v>15394670789</v>
      </c>
      <c r="C179" t="str">
        <f>"320911199411106613"</f>
        <v>320911199411106613</v>
      </c>
      <c r="D179" t="s">
        <v>1</v>
      </c>
      <c r="E179" t="s">
        <v>1</v>
      </c>
      <c r="F179" t="s">
        <v>0</v>
      </c>
      <c r="G179" t="str">
        <f>"2018-10-18 19:10:03"</f>
        <v>2018-10-18 19:10:03</v>
      </c>
    </row>
    <row r="180" spans="1:7" x14ac:dyDescent="0.2">
      <c r="A180" t="s">
        <v>1989</v>
      </c>
      <c r="B180" t="str">
        <f>"17750656052"</f>
        <v>17750656052</v>
      </c>
      <c r="C180" t="str">
        <f>"360732200211090614"</f>
        <v>360732200211090614</v>
      </c>
      <c r="D180" t="s">
        <v>1</v>
      </c>
      <c r="E180" t="s">
        <v>1</v>
      </c>
      <c r="F180" t="s">
        <v>0</v>
      </c>
      <c r="G180" t="str">
        <f>"2018-10-19 11:04:24"</f>
        <v>2018-10-19 11:04:24</v>
      </c>
    </row>
    <row r="181" spans="1:7" x14ac:dyDescent="0.2">
      <c r="A181" t="s">
        <v>1</v>
      </c>
      <c r="B181" t="str">
        <f>"15900190289"</f>
        <v>15900190289</v>
      </c>
      <c r="C181" t="s">
        <v>1</v>
      </c>
      <c r="D181" t="s">
        <v>1</v>
      </c>
      <c r="E181" t="s">
        <v>1</v>
      </c>
      <c r="F181" t="s">
        <v>0</v>
      </c>
      <c r="G181" t="str">
        <f>"2018-10-18 19:06:57"</f>
        <v>2018-10-18 19:06:57</v>
      </c>
    </row>
    <row r="182" spans="1:7" x14ac:dyDescent="0.2">
      <c r="A182" t="s">
        <v>1990</v>
      </c>
      <c r="B182" t="str">
        <f>"18070657447"</f>
        <v>18070657447</v>
      </c>
      <c r="C182" t="str">
        <f>"452402199209214271"</f>
        <v>452402199209214271</v>
      </c>
      <c r="D182" t="s">
        <v>1</v>
      </c>
      <c r="E182" t="s">
        <v>1</v>
      </c>
      <c r="F182" t="s">
        <v>0</v>
      </c>
      <c r="G182" t="str">
        <f>"2018-11-02 17:51:13"</f>
        <v>2018-11-02 17:51:13</v>
      </c>
    </row>
    <row r="183" spans="1:7" x14ac:dyDescent="0.2">
      <c r="A183" t="s">
        <v>1</v>
      </c>
      <c r="B183" t="str">
        <f>"18061222650"</f>
        <v>18061222650</v>
      </c>
      <c r="C183" t="s">
        <v>1</v>
      </c>
      <c r="D183" t="s">
        <v>1</v>
      </c>
      <c r="E183" t="s">
        <v>1</v>
      </c>
      <c r="F183" t="s">
        <v>0</v>
      </c>
      <c r="G183" t="str">
        <f>"2018-10-18 19:05:51"</f>
        <v>2018-10-18 19:05:51</v>
      </c>
    </row>
    <row r="184" spans="1:7" x14ac:dyDescent="0.2">
      <c r="A184" t="s">
        <v>1</v>
      </c>
      <c r="B184" t="str">
        <f>"13917816499"</f>
        <v>13917816499</v>
      </c>
      <c r="C184" t="s">
        <v>1</v>
      </c>
      <c r="D184" t="s">
        <v>1</v>
      </c>
      <c r="E184" t="s">
        <v>1</v>
      </c>
      <c r="F184" t="s">
        <v>0</v>
      </c>
      <c r="G184" t="str">
        <f>"2018-10-18 19:05:24"</f>
        <v>2018-10-18 19:05:24</v>
      </c>
    </row>
    <row r="185" spans="1:7" x14ac:dyDescent="0.2">
      <c r="A185" t="s">
        <v>1</v>
      </c>
      <c r="B185" t="str">
        <f>"15578499904"</f>
        <v>15578499904</v>
      </c>
      <c r="C185" t="s">
        <v>1</v>
      </c>
      <c r="D185" t="s">
        <v>1</v>
      </c>
      <c r="E185" t="s">
        <v>1</v>
      </c>
      <c r="F185" t="s">
        <v>0</v>
      </c>
      <c r="G185" t="str">
        <f>"2018-10-18 19:05:14"</f>
        <v>2018-10-18 19:05:14</v>
      </c>
    </row>
    <row r="186" spans="1:7" x14ac:dyDescent="0.2">
      <c r="A186" t="s">
        <v>1991</v>
      </c>
      <c r="B186" t="str">
        <f>"17387789065"</f>
        <v>17387789065</v>
      </c>
      <c r="C186" t="str">
        <f>"532125199606180712"</f>
        <v>532125199606180712</v>
      </c>
      <c r="D186" t="s">
        <v>1992</v>
      </c>
      <c r="E186" t="s">
        <v>1993</v>
      </c>
      <c r="F186" t="s">
        <v>0</v>
      </c>
      <c r="G186" t="str">
        <f>"2018-10-18 19:06:06"</f>
        <v>2018-10-18 19:06:06</v>
      </c>
    </row>
    <row r="187" spans="1:7" x14ac:dyDescent="0.2">
      <c r="A187" t="s">
        <v>1</v>
      </c>
      <c r="B187" t="str">
        <f>"13738218770"</f>
        <v>13738218770</v>
      </c>
      <c r="C187" t="s">
        <v>1</v>
      </c>
      <c r="D187" t="s">
        <v>1</v>
      </c>
      <c r="E187" t="s">
        <v>1</v>
      </c>
      <c r="F187" t="s">
        <v>0</v>
      </c>
      <c r="G187" t="str">
        <f>"2018-10-18 19:04:20"</f>
        <v>2018-10-18 19:04:20</v>
      </c>
    </row>
    <row r="188" spans="1:7" x14ac:dyDescent="0.2">
      <c r="A188" t="s">
        <v>62</v>
      </c>
      <c r="B188" t="str">
        <f>"15693040330"</f>
        <v>15693040330</v>
      </c>
      <c r="C188" t="str">
        <f>"623027199504060015"</f>
        <v>623027199504060015</v>
      </c>
      <c r="D188" t="s">
        <v>1</v>
      </c>
      <c r="E188" t="s">
        <v>1</v>
      </c>
      <c r="F188" t="s">
        <v>0</v>
      </c>
      <c r="G188" t="str">
        <f>"2018-10-18 19:07:13"</f>
        <v>2018-10-18 19:07:13</v>
      </c>
    </row>
    <row r="189" spans="1:7" x14ac:dyDescent="0.2">
      <c r="A189" t="s">
        <v>1994</v>
      </c>
      <c r="B189" t="str">
        <f>"18396600501"</f>
        <v>18396600501</v>
      </c>
      <c r="C189" t="str">
        <f>"371121199302021214"</f>
        <v>371121199302021214</v>
      </c>
      <c r="D189" t="s">
        <v>1</v>
      </c>
      <c r="E189" t="s">
        <v>1</v>
      </c>
      <c r="F189" t="s">
        <v>0</v>
      </c>
      <c r="G189" t="str">
        <f>"2018-10-18 19:27:09"</f>
        <v>2018-10-18 19:27:09</v>
      </c>
    </row>
    <row r="190" spans="1:7" x14ac:dyDescent="0.2">
      <c r="A190" t="s">
        <v>1</v>
      </c>
      <c r="B190" t="str">
        <f>"15578589264"</f>
        <v>15578589264</v>
      </c>
      <c r="C190" t="s">
        <v>1</v>
      </c>
      <c r="D190" t="s">
        <v>1</v>
      </c>
      <c r="E190" t="s">
        <v>1</v>
      </c>
      <c r="F190" t="s">
        <v>0</v>
      </c>
      <c r="G190" t="str">
        <f>"2018-10-18 19:03:30"</f>
        <v>2018-10-18 19:03:30</v>
      </c>
    </row>
    <row r="191" spans="1:7" x14ac:dyDescent="0.2">
      <c r="A191" t="s">
        <v>1</v>
      </c>
      <c r="B191" t="str">
        <f>"15021720131"</f>
        <v>15021720131</v>
      </c>
      <c r="C191" t="s">
        <v>1</v>
      </c>
      <c r="D191" t="s">
        <v>1</v>
      </c>
      <c r="E191" t="s">
        <v>1</v>
      </c>
      <c r="F191" t="s">
        <v>0</v>
      </c>
      <c r="G191" t="str">
        <f>"2018-10-18 19:02:07"</f>
        <v>2018-10-18 19:02:07</v>
      </c>
    </row>
    <row r="192" spans="1:7" x14ac:dyDescent="0.2">
      <c r="A192" t="s">
        <v>1</v>
      </c>
      <c r="B192" t="str">
        <f>"18030265350"</f>
        <v>18030265350</v>
      </c>
      <c r="C192" t="s">
        <v>1</v>
      </c>
      <c r="D192" t="s">
        <v>1</v>
      </c>
      <c r="E192" t="s">
        <v>1</v>
      </c>
      <c r="F192" t="s">
        <v>0</v>
      </c>
      <c r="G192" t="str">
        <f>"2018-10-18 19:03:14"</f>
        <v>2018-10-18 19:03:14</v>
      </c>
    </row>
    <row r="193" spans="1:7" x14ac:dyDescent="0.2">
      <c r="A193" t="s">
        <v>1995</v>
      </c>
      <c r="B193" t="str">
        <f>"18344592783"</f>
        <v>18344592783</v>
      </c>
      <c r="C193" t="str">
        <f>"440181198111123639"</f>
        <v>440181198111123639</v>
      </c>
      <c r="D193" t="s">
        <v>1</v>
      </c>
      <c r="E193" t="s">
        <v>1</v>
      </c>
      <c r="F193" t="s">
        <v>0</v>
      </c>
      <c r="G193" t="str">
        <f>"2018-10-18 19:16:39"</f>
        <v>2018-10-18 19:16:39</v>
      </c>
    </row>
    <row r="194" spans="1:7" x14ac:dyDescent="0.2">
      <c r="A194" t="s">
        <v>1996</v>
      </c>
      <c r="B194" t="str">
        <f>"18567973863"</f>
        <v>18567973863</v>
      </c>
      <c r="C194" t="str">
        <f>"350823199103274215"</f>
        <v>350823199103274215</v>
      </c>
      <c r="D194" t="s">
        <v>1</v>
      </c>
      <c r="E194" t="s">
        <v>1</v>
      </c>
      <c r="F194" t="s">
        <v>0</v>
      </c>
      <c r="G194" t="str">
        <f>"2018-10-18 19:06:16"</f>
        <v>2018-10-18 19:06:16</v>
      </c>
    </row>
    <row r="195" spans="1:7" x14ac:dyDescent="0.2">
      <c r="A195" t="s">
        <v>1</v>
      </c>
      <c r="B195" t="str">
        <f>"15953359179"</f>
        <v>15953359179</v>
      </c>
      <c r="C195" t="s">
        <v>1</v>
      </c>
      <c r="D195" t="s">
        <v>1</v>
      </c>
      <c r="E195" t="s">
        <v>1</v>
      </c>
      <c r="F195" t="s">
        <v>0</v>
      </c>
      <c r="G195" t="str">
        <f>"2018-10-18 19:01:12"</f>
        <v>2018-10-18 19:01:12</v>
      </c>
    </row>
    <row r="196" spans="1:7" x14ac:dyDescent="0.2">
      <c r="A196" t="s">
        <v>1</v>
      </c>
      <c r="B196" t="str">
        <f>"13599290854"</f>
        <v>13599290854</v>
      </c>
      <c r="C196" t="s">
        <v>1</v>
      </c>
      <c r="D196" t="s">
        <v>1</v>
      </c>
      <c r="E196" t="s">
        <v>1</v>
      </c>
      <c r="F196" t="s">
        <v>0</v>
      </c>
      <c r="G196" t="str">
        <f>"2018-10-18 19:01:06"</f>
        <v>2018-10-18 19:01:06</v>
      </c>
    </row>
    <row r="197" spans="1:7" x14ac:dyDescent="0.2">
      <c r="A197" t="s">
        <v>1</v>
      </c>
      <c r="B197" t="str">
        <f>"13097814261"</f>
        <v>13097814261</v>
      </c>
      <c r="C197" t="s">
        <v>1</v>
      </c>
      <c r="D197" t="s">
        <v>1</v>
      </c>
      <c r="E197" t="s">
        <v>1</v>
      </c>
      <c r="F197" t="s">
        <v>0</v>
      </c>
      <c r="G197" t="str">
        <f>"2018-10-18 19:00:56"</f>
        <v>2018-10-18 19:00:56</v>
      </c>
    </row>
    <row r="198" spans="1:7" x14ac:dyDescent="0.2">
      <c r="A198" t="s">
        <v>1</v>
      </c>
      <c r="B198" t="str">
        <f>"15893970489"</f>
        <v>15893970489</v>
      </c>
      <c r="C198" t="s">
        <v>1</v>
      </c>
      <c r="D198" t="s">
        <v>1</v>
      </c>
      <c r="E198" t="s">
        <v>1</v>
      </c>
      <c r="F198" t="s">
        <v>0</v>
      </c>
      <c r="G198" t="str">
        <f>"2018-10-18 19:00:55"</f>
        <v>2018-10-18 19:00:55</v>
      </c>
    </row>
    <row r="199" spans="1:7" x14ac:dyDescent="0.2">
      <c r="A199" t="s">
        <v>1</v>
      </c>
      <c r="B199" t="str">
        <f>"15577752400"</f>
        <v>15577752400</v>
      </c>
      <c r="C199" t="s">
        <v>1</v>
      </c>
      <c r="D199" t="s">
        <v>1</v>
      </c>
      <c r="E199" t="s">
        <v>1</v>
      </c>
      <c r="F199" t="s">
        <v>0</v>
      </c>
      <c r="G199" t="str">
        <f>"2018-10-18 19:00:42"</f>
        <v>2018-10-18 19:00:42</v>
      </c>
    </row>
    <row r="200" spans="1:7" x14ac:dyDescent="0.2">
      <c r="A200" t="s">
        <v>185</v>
      </c>
      <c r="B200" t="str">
        <f>"18810366627"</f>
        <v>18810366627</v>
      </c>
      <c r="C200" t="str">
        <f>"371481198910102454"</f>
        <v>371481198910102454</v>
      </c>
      <c r="D200" t="s">
        <v>1</v>
      </c>
      <c r="E200" t="s">
        <v>1</v>
      </c>
      <c r="F200" t="s">
        <v>0</v>
      </c>
      <c r="G200" t="str">
        <f>"2018-10-18 19:06:29"</f>
        <v>2018-10-18 19:06:29</v>
      </c>
    </row>
    <row r="201" spans="1:7" x14ac:dyDescent="0.2">
      <c r="A201" t="s">
        <v>1997</v>
      </c>
      <c r="B201" t="str">
        <f>"13231368000"</f>
        <v>13231368000</v>
      </c>
      <c r="C201" t="str">
        <f>"132525197006230059"</f>
        <v>132525197006230059</v>
      </c>
      <c r="D201" t="s">
        <v>1</v>
      </c>
      <c r="E201" t="s">
        <v>1</v>
      </c>
      <c r="F201" t="s">
        <v>0</v>
      </c>
      <c r="G201" t="str">
        <f>"2018-10-20 13:50:31"</f>
        <v>2018-10-20 13:50:31</v>
      </c>
    </row>
    <row r="202" spans="1:7" x14ac:dyDescent="0.2">
      <c r="A202" t="s">
        <v>1</v>
      </c>
      <c r="B202" t="str">
        <f>"15540536015"</f>
        <v>15540536015</v>
      </c>
      <c r="C202" t="s">
        <v>1</v>
      </c>
      <c r="D202" t="s">
        <v>1</v>
      </c>
      <c r="E202" t="s">
        <v>1</v>
      </c>
      <c r="F202" t="s">
        <v>0</v>
      </c>
      <c r="G202" t="str">
        <f>"2018-10-18 19:00:18"</f>
        <v>2018-10-18 19:00:18</v>
      </c>
    </row>
    <row r="203" spans="1:7" x14ac:dyDescent="0.2">
      <c r="A203" t="s">
        <v>1998</v>
      </c>
      <c r="B203" t="str">
        <f>"15188058388"</f>
        <v>15188058388</v>
      </c>
      <c r="C203" t="str">
        <f>"530381198104253921"</f>
        <v>530381198104253921</v>
      </c>
      <c r="D203" t="s">
        <v>1</v>
      </c>
      <c r="E203" t="s">
        <v>1</v>
      </c>
      <c r="F203" t="s">
        <v>0</v>
      </c>
      <c r="G203" t="str">
        <f>"2018-10-19 11:18:13"</f>
        <v>2018-10-19 11:18:13</v>
      </c>
    </row>
    <row r="204" spans="1:7" x14ac:dyDescent="0.2">
      <c r="A204" t="s">
        <v>1999</v>
      </c>
      <c r="B204" t="str">
        <f>"13804612723"</f>
        <v>13804612723</v>
      </c>
      <c r="C204" t="str">
        <f>"230122199404073722"</f>
        <v>230122199404073722</v>
      </c>
      <c r="D204" t="s">
        <v>1</v>
      </c>
      <c r="E204" t="s">
        <v>1</v>
      </c>
      <c r="F204" t="s">
        <v>0</v>
      </c>
      <c r="G204" t="str">
        <f>"2018-10-19 13:05:18"</f>
        <v>2018-10-19 13:05:18</v>
      </c>
    </row>
    <row r="205" spans="1:7" x14ac:dyDescent="0.2">
      <c r="A205" t="s">
        <v>2000</v>
      </c>
      <c r="B205" t="str">
        <f>"13812104354"</f>
        <v>13812104354</v>
      </c>
      <c r="C205" t="str">
        <f>"320219197712180511"</f>
        <v>320219197712180511</v>
      </c>
      <c r="D205" t="s">
        <v>1</v>
      </c>
      <c r="E205" t="s">
        <v>1</v>
      </c>
      <c r="F205" t="s">
        <v>0</v>
      </c>
      <c r="G205" t="str">
        <f>"2018-10-18 19:01:32"</f>
        <v>2018-10-18 19:01:32</v>
      </c>
    </row>
    <row r="206" spans="1:7" x14ac:dyDescent="0.2">
      <c r="A206" t="s">
        <v>1</v>
      </c>
      <c r="B206" t="str">
        <f>"15274024676"</f>
        <v>15274024676</v>
      </c>
      <c r="C206" t="s">
        <v>1</v>
      </c>
      <c r="D206" t="s">
        <v>1</v>
      </c>
      <c r="E206" t="s">
        <v>1</v>
      </c>
      <c r="F206" t="s">
        <v>0</v>
      </c>
      <c r="G206" t="str">
        <f>"2018-10-18 18:58:49"</f>
        <v>2018-10-18 18:58:49</v>
      </c>
    </row>
    <row r="207" spans="1:7" x14ac:dyDescent="0.2">
      <c r="A207" t="s">
        <v>2001</v>
      </c>
      <c r="B207" t="str">
        <f>"18607501773"</f>
        <v>18607501773</v>
      </c>
      <c r="C207" t="str">
        <f>"440782198707143410"</f>
        <v>440782198707143410</v>
      </c>
      <c r="D207" t="s">
        <v>1</v>
      </c>
      <c r="E207" t="s">
        <v>1</v>
      </c>
      <c r="F207" t="s">
        <v>0</v>
      </c>
      <c r="G207" t="str">
        <f>"2018-10-18 20:22:11"</f>
        <v>2018-10-18 20:22:11</v>
      </c>
    </row>
    <row r="208" spans="1:7" x14ac:dyDescent="0.2">
      <c r="A208" t="s">
        <v>1</v>
      </c>
      <c r="B208" t="str">
        <f>"13417394999"</f>
        <v>13417394999</v>
      </c>
      <c r="C208" t="s">
        <v>1</v>
      </c>
      <c r="D208" t="s">
        <v>1</v>
      </c>
      <c r="E208" t="s">
        <v>1</v>
      </c>
      <c r="F208" t="s">
        <v>0</v>
      </c>
      <c r="G208" t="str">
        <f>"2018-10-18 18:58:47"</f>
        <v>2018-10-18 18:58:47</v>
      </c>
    </row>
    <row r="209" spans="1:7" x14ac:dyDescent="0.2">
      <c r="A209" t="s">
        <v>2002</v>
      </c>
      <c r="B209" t="str">
        <f>"18213193936"</f>
        <v>18213193936</v>
      </c>
      <c r="C209" t="str">
        <f>"532123199011121913"</f>
        <v>532123199011121913</v>
      </c>
      <c r="D209" t="s">
        <v>1</v>
      </c>
      <c r="E209" t="s">
        <v>1</v>
      </c>
      <c r="F209" t="s">
        <v>0</v>
      </c>
      <c r="G209" t="str">
        <f>"2018-10-18 18:58:32"</f>
        <v>2018-10-18 18:58:32</v>
      </c>
    </row>
    <row r="210" spans="1:7" x14ac:dyDescent="0.2">
      <c r="A210" t="s">
        <v>263</v>
      </c>
      <c r="B210" t="str">
        <f>"13350351250"</f>
        <v>13350351250</v>
      </c>
      <c r="C210" t="str">
        <f>"500383199308158450"</f>
        <v>500383199308158450</v>
      </c>
      <c r="D210" t="s">
        <v>1</v>
      </c>
      <c r="E210" t="s">
        <v>1</v>
      </c>
      <c r="F210" t="s">
        <v>0</v>
      </c>
      <c r="G210" t="str">
        <f>"2018-10-18 18:59:24"</f>
        <v>2018-10-18 18:59:24</v>
      </c>
    </row>
    <row r="211" spans="1:7" x14ac:dyDescent="0.2">
      <c r="A211" t="s">
        <v>1793</v>
      </c>
      <c r="B211" t="str">
        <f>"15228032166"</f>
        <v>15228032166</v>
      </c>
      <c r="C211" t="str">
        <f>"513022199601280178"</f>
        <v>513022199601280178</v>
      </c>
      <c r="D211" t="s">
        <v>1</v>
      </c>
      <c r="E211" t="s">
        <v>1</v>
      </c>
      <c r="F211" t="s">
        <v>0</v>
      </c>
      <c r="G211" t="str">
        <f>"2018-10-29 12:16:31"</f>
        <v>2018-10-29 12:16:31</v>
      </c>
    </row>
    <row r="212" spans="1:7" x14ac:dyDescent="0.2">
      <c r="A212" t="s">
        <v>2003</v>
      </c>
      <c r="B212" t="str">
        <f>"17689264848"</f>
        <v>17689264848</v>
      </c>
      <c r="C212" t="str">
        <f>"210504200001141314"</f>
        <v>210504200001141314</v>
      </c>
      <c r="D212" t="s">
        <v>2004</v>
      </c>
      <c r="E212" t="s">
        <v>2005</v>
      </c>
      <c r="F212" t="s">
        <v>0</v>
      </c>
      <c r="G212" t="str">
        <f>"2018-10-18 19:00:12"</f>
        <v>2018-10-18 19:00:12</v>
      </c>
    </row>
    <row r="213" spans="1:7" x14ac:dyDescent="0.2">
      <c r="A213" t="s">
        <v>2006</v>
      </c>
      <c r="B213" t="str">
        <f>"13092784975"</f>
        <v>13092784975</v>
      </c>
      <c r="C213" t="str">
        <f>"420202197912041213"</f>
        <v>420202197912041213</v>
      </c>
      <c r="D213" t="s">
        <v>1</v>
      </c>
      <c r="E213" t="s">
        <v>1</v>
      </c>
      <c r="F213" t="s">
        <v>0</v>
      </c>
      <c r="G213" t="str">
        <f>"2018-10-18 18:58:14"</f>
        <v>2018-10-18 18:58:14</v>
      </c>
    </row>
    <row r="214" spans="1:7" x14ac:dyDescent="0.2">
      <c r="A214" t="s">
        <v>2007</v>
      </c>
      <c r="B214" t="str">
        <f>"18787471040"</f>
        <v>18787471040</v>
      </c>
      <c r="C214" t="str">
        <f>"530103199904232517"</f>
        <v>530103199904232517</v>
      </c>
      <c r="D214" t="s">
        <v>1</v>
      </c>
      <c r="E214" t="s">
        <v>1</v>
      </c>
      <c r="F214" t="s">
        <v>0</v>
      </c>
      <c r="G214" t="str">
        <f>"2018-10-18 18:58:38"</f>
        <v>2018-10-18 18:58:38</v>
      </c>
    </row>
    <row r="215" spans="1:7" x14ac:dyDescent="0.2">
      <c r="A215" t="s">
        <v>2008</v>
      </c>
      <c r="B215" t="str">
        <f>"15130830637"</f>
        <v>15130830637</v>
      </c>
      <c r="C215" t="str">
        <f>"131128200205094214"</f>
        <v>131128200205094214</v>
      </c>
      <c r="D215" t="s">
        <v>1</v>
      </c>
      <c r="E215" t="s">
        <v>1</v>
      </c>
      <c r="F215" t="s">
        <v>0</v>
      </c>
      <c r="G215" t="str">
        <f>"2018-10-18 18:57:19"</f>
        <v>2018-10-18 18:57:19</v>
      </c>
    </row>
    <row r="216" spans="1:7" x14ac:dyDescent="0.2">
      <c r="A216" t="s">
        <v>1567</v>
      </c>
      <c r="B216" t="str">
        <f>"13935643992"</f>
        <v>13935643992</v>
      </c>
      <c r="C216" t="str">
        <f>"140524197410213019"</f>
        <v>140524197410213019</v>
      </c>
      <c r="D216" t="s">
        <v>1</v>
      </c>
      <c r="E216" t="s">
        <v>1</v>
      </c>
      <c r="F216" t="s">
        <v>0</v>
      </c>
      <c r="G216" t="str">
        <f>"2018-10-18 20:08:07"</f>
        <v>2018-10-18 20:08:07</v>
      </c>
    </row>
    <row r="217" spans="1:7" x14ac:dyDescent="0.2">
      <c r="A217" t="s">
        <v>2009</v>
      </c>
      <c r="B217" t="str">
        <f>"15753348494"</f>
        <v>15753348494</v>
      </c>
      <c r="C217" t="str">
        <f>"371421198103245460"</f>
        <v>371421198103245460</v>
      </c>
      <c r="D217" t="s">
        <v>1</v>
      </c>
      <c r="E217" t="s">
        <v>1</v>
      </c>
      <c r="F217" t="s">
        <v>0</v>
      </c>
      <c r="G217" t="str">
        <f>"2018-10-18 19:02:01"</f>
        <v>2018-10-18 19:02:01</v>
      </c>
    </row>
    <row r="218" spans="1:7" x14ac:dyDescent="0.2">
      <c r="A218" t="s">
        <v>2010</v>
      </c>
      <c r="B218" t="str">
        <f>"13598825675"</f>
        <v>13598825675</v>
      </c>
      <c r="C218" t="str">
        <f>"411102199611170014"</f>
        <v>411102199611170014</v>
      </c>
      <c r="D218" t="s">
        <v>2011</v>
      </c>
      <c r="E218" t="s">
        <v>2012</v>
      </c>
      <c r="F218" t="s">
        <v>0</v>
      </c>
      <c r="G218" t="str">
        <f>"2018-10-18 18:55:55"</f>
        <v>2018-10-18 18:55:55</v>
      </c>
    </row>
    <row r="219" spans="1:7" x14ac:dyDescent="0.2">
      <c r="A219" t="s">
        <v>2013</v>
      </c>
      <c r="B219" t="str">
        <f>"15157122550"</f>
        <v>15157122550</v>
      </c>
      <c r="C219" t="str">
        <f>"522123198612082036"</f>
        <v>522123198612082036</v>
      </c>
      <c r="D219" t="s">
        <v>1</v>
      </c>
      <c r="E219" t="s">
        <v>1</v>
      </c>
      <c r="F219" t="s">
        <v>0</v>
      </c>
      <c r="G219" t="str">
        <f>"2018-10-19 09:45:44"</f>
        <v>2018-10-19 09:45:44</v>
      </c>
    </row>
    <row r="220" spans="1:7" x14ac:dyDescent="0.2">
      <c r="A220" t="s">
        <v>1</v>
      </c>
      <c r="B220" t="str">
        <f>"15264737981"</f>
        <v>15264737981</v>
      </c>
      <c r="C220" t="s">
        <v>1</v>
      </c>
      <c r="D220" t="s">
        <v>1</v>
      </c>
      <c r="E220" t="s">
        <v>1</v>
      </c>
      <c r="F220" t="s">
        <v>0</v>
      </c>
      <c r="G220" t="str">
        <f>"2018-10-18 19:02:35"</f>
        <v>2018-10-18 19:02:35</v>
      </c>
    </row>
    <row r="221" spans="1:7" x14ac:dyDescent="0.2">
      <c r="A221" t="s">
        <v>2014</v>
      </c>
      <c r="B221" t="str">
        <f>"13880154146"</f>
        <v>13880154146</v>
      </c>
      <c r="C221" t="str">
        <f>"511527199101052117"</f>
        <v>511527199101052117</v>
      </c>
      <c r="D221" t="s">
        <v>2015</v>
      </c>
      <c r="E221" t="s">
        <v>2015</v>
      </c>
      <c r="F221" t="s">
        <v>0</v>
      </c>
      <c r="G221" t="str">
        <f>"2018-10-18 19:00:09"</f>
        <v>2018-10-18 19:00:09</v>
      </c>
    </row>
    <row r="222" spans="1:7" x14ac:dyDescent="0.2">
      <c r="A222" t="s">
        <v>2016</v>
      </c>
      <c r="B222" t="str">
        <f>"13662118104"</f>
        <v>13662118104</v>
      </c>
      <c r="C222" t="str">
        <f>"120225198706132112"</f>
        <v>120225198706132112</v>
      </c>
      <c r="D222" t="s">
        <v>1</v>
      </c>
      <c r="E222" t="s">
        <v>1</v>
      </c>
      <c r="F222" t="s">
        <v>0</v>
      </c>
      <c r="G222" t="str">
        <f>"2018-10-18 18:56:41"</f>
        <v>2018-10-18 18:56:41</v>
      </c>
    </row>
    <row r="223" spans="1:7" x14ac:dyDescent="0.2">
      <c r="A223" t="s">
        <v>1</v>
      </c>
      <c r="B223" t="str">
        <f>"17695084103"</f>
        <v>17695084103</v>
      </c>
      <c r="C223" t="s">
        <v>1</v>
      </c>
      <c r="D223" t="s">
        <v>1</v>
      </c>
      <c r="E223" t="s">
        <v>1</v>
      </c>
      <c r="F223" t="s">
        <v>0</v>
      </c>
      <c r="G223" t="str">
        <f>"2018-10-18 18:54:50"</f>
        <v>2018-10-18 18:54:50</v>
      </c>
    </row>
    <row r="224" spans="1:7" x14ac:dyDescent="0.2">
      <c r="A224" t="s">
        <v>1</v>
      </c>
      <c r="B224" t="str">
        <f>"13664146337"</f>
        <v>13664146337</v>
      </c>
      <c r="C224" t="s">
        <v>1</v>
      </c>
      <c r="D224" t="s">
        <v>1</v>
      </c>
      <c r="E224" t="s">
        <v>1</v>
      </c>
      <c r="F224" t="s">
        <v>0</v>
      </c>
      <c r="G224" t="str">
        <f>"2018-10-19 11:32:12"</f>
        <v>2018-10-19 11:32:12</v>
      </c>
    </row>
    <row r="225" spans="1:7" x14ac:dyDescent="0.2">
      <c r="A225" t="s">
        <v>2017</v>
      </c>
      <c r="B225" t="str">
        <f>"18880868722"</f>
        <v>18880868722</v>
      </c>
      <c r="C225" t="str">
        <f>"150204196603292118"</f>
        <v>150204196603292118</v>
      </c>
      <c r="D225" t="s">
        <v>1</v>
      </c>
      <c r="E225" t="s">
        <v>1</v>
      </c>
      <c r="F225" t="s">
        <v>0</v>
      </c>
      <c r="G225" t="str">
        <f>"2018-10-18 20:19:37"</f>
        <v>2018-10-18 20:19:37</v>
      </c>
    </row>
    <row r="226" spans="1:7" x14ac:dyDescent="0.2">
      <c r="A226" t="s">
        <v>1696</v>
      </c>
      <c r="B226" t="str">
        <f>"15862406836"</f>
        <v>15862406836</v>
      </c>
      <c r="C226" t="str">
        <f>"320586199203167816"</f>
        <v>320586199203167816</v>
      </c>
      <c r="D226" t="s">
        <v>1</v>
      </c>
      <c r="E226" t="s">
        <v>1</v>
      </c>
      <c r="F226" t="s">
        <v>0</v>
      </c>
      <c r="G226" t="str">
        <f>"2018-10-18 18:56:27"</f>
        <v>2018-10-18 18:56:27</v>
      </c>
    </row>
    <row r="227" spans="1:7" x14ac:dyDescent="0.2">
      <c r="A227" t="s">
        <v>2018</v>
      </c>
      <c r="B227" t="str">
        <f>"18438156606"</f>
        <v>18438156606</v>
      </c>
      <c r="C227" t="str">
        <f>"411627199804143324"</f>
        <v>411627199804143324</v>
      </c>
      <c r="D227" t="s">
        <v>1</v>
      </c>
      <c r="E227" t="s">
        <v>1</v>
      </c>
      <c r="F227" t="s">
        <v>0</v>
      </c>
      <c r="G227" t="str">
        <f>"2018-10-18 18:56:27"</f>
        <v>2018-10-18 18:56:27</v>
      </c>
    </row>
    <row r="228" spans="1:7" x14ac:dyDescent="0.2">
      <c r="A228" t="s">
        <v>2019</v>
      </c>
      <c r="B228" t="str">
        <f>"15204412766"</f>
        <v>15204412766</v>
      </c>
      <c r="C228" t="str">
        <f>"220322197403107812"</f>
        <v>220322197403107812</v>
      </c>
      <c r="D228" t="s">
        <v>1</v>
      </c>
      <c r="E228" t="s">
        <v>1</v>
      </c>
      <c r="F228" t="s">
        <v>0</v>
      </c>
      <c r="G228" t="str">
        <f>"2018-10-18 18:57:05"</f>
        <v>2018-10-18 18:57:05</v>
      </c>
    </row>
    <row r="229" spans="1:7" x14ac:dyDescent="0.2">
      <c r="A229" t="s">
        <v>2020</v>
      </c>
      <c r="B229" t="str">
        <f>"15080289631"</f>
        <v>15080289631</v>
      </c>
      <c r="C229" t="str">
        <f>"352624197507211614"</f>
        <v>352624197507211614</v>
      </c>
      <c r="D229" t="s">
        <v>1</v>
      </c>
      <c r="E229" t="s">
        <v>1</v>
      </c>
      <c r="F229" t="s">
        <v>0</v>
      </c>
      <c r="G229" t="str">
        <f>"2018-10-18 18:55:08"</f>
        <v>2018-10-18 18:55:08</v>
      </c>
    </row>
    <row r="230" spans="1:7" x14ac:dyDescent="0.2">
      <c r="A230" t="s">
        <v>1218</v>
      </c>
      <c r="B230" t="str">
        <f>"15244366942"</f>
        <v>15244366942</v>
      </c>
      <c r="C230" t="str">
        <f>"371323199707143424"</f>
        <v>371323199707143424</v>
      </c>
      <c r="D230" t="s">
        <v>1</v>
      </c>
      <c r="E230" t="s">
        <v>1</v>
      </c>
      <c r="F230" t="s">
        <v>0</v>
      </c>
      <c r="G230" t="str">
        <f>"2018-10-18 18:54:25"</f>
        <v>2018-10-18 18:54:25</v>
      </c>
    </row>
    <row r="231" spans="1:7" x14ac:dyDescent="0.2">
      <c r="A231" t="s">
        <v>2021</v>
      </c>
      <c r="B231" t="str">
        <f>"15209672388"</f>
        <v>15209672388</v>
      </c>
      <c r="C231" t="str">
        <f>"642222198206292413"</f>
        <v>642222198206292413</v>
      </c>
      <c r="D231" t="s">
        <v>1</v>
      </c>
      <c r="E231" t="s">
        <v>1</v>
      </c>
      <c r="F231" t="s">
        <v>0</v>
      </c>
      <c r="G231" t="str">
        <f>"2018-10-18 18:55:32"</f>
        <v>2018-10-18 18:55:32</v>
      </c>
    </row>
    <row r="232" spans="1:7" x14ac:dyDescent="0.2">
      <c r="A232" t="s">
        <v>2022</v>
      </c>
      <c r="B232" t="str">
        <f>"17644049988"</f>
        <v>17644049988</v>
      </c>
      <c r="C232" t="str">
        <f>"220721199006061819"</f>
        <v>220721199006061819</v>
      </c>
      <c r="D232" t="s">
        <v>1</v>
      </c>
      <c r="E232" t="s">
        <v>1</v>
      </c>
      <c r="F232" t="s">
        <v>0</v>
      </c>
      <c r="G232" t="str">
        <f>"2018-10-18 19:58:53"</f>
        <v>2018-10-18 19:58:53</v>
      </c>
    </row>
    <row r="233" spans="1:7" x14ac:dyDescent="0.2">
      <c r="A233" t="s">
        <v>1</v>
      </c>
      <c r="B233" t="str">
        <f>"15729866381"</f>
        <v>15729866381</v>
      </c>
      <c r="C233" t="s">
        <v>1</v>
      </c>
      <c r="D233" t="s">
        <v>1</v>
      </c>
      <c r="E233" t="s">
        <v>1</v>
      </c>
      <c r="F233" t="s">
        <v>0</v>
      </c>
      <c r="G233" t="str">
        <f>"2018-10-18 18:52:50"</f>
        <v>2018-10-18 18:52:50</v>
      </c>
    </row>
    <row r="234" spans="1:7" x14ac:dyDescent="0.2">
      <c r="A234" t="s">
        <v>2023</v>
      </c>
      <c r="B234" t="str">
        <f>"13763063574"</f>
        <v>13763063574</v>
      </c>
      <c r="C234" t="str">
        <f>"440825199109063798"</f>
        <v>440825199109063798</v>
      </c>
      <c r="D234" t="s">
        <v>2024</v>
      </c>
      <c r="E234" t="s">
        <v>2025</v>
      </c>
      <c r="F234" t="s">
        <v>0</v>
      </c>
      <c r="G234" t="str">
        <f>"2018-10-18 18:52:36"</f>
        <v>2018-10-18 18:52:36</v>
      </c>
    </row>
    <row r="235" spans="1:7" x14ac:dyDescent="0.2">
      <c r="A235" t="s">
        <v>1</v>
      </c>
      <c r="B235" t="str">
        <f>"13017900934"</f>
        <v>13017900934</v>
      </c>
      <c r="C235" t="s">
        <v>1</v>
      </c>
      <c r="D235" t="s">
        <v>1</v>
      </c>
      <c r="E235" t="s">
        <v>1</v>
      </c>
      <c r="F235" t="s">
        <v>0</v>
      </c>
      <c r="G235" t="str">
        <f>"2018-10-18 18:52:35"</f>
        <v>2018-10-18 18:52:35</v>
      </c>
    </row>
    <row r="236" spans="1:7" x14ac:dyDescent="0.2">
      <c r="A236" t="s">
        <v>2026</v>
      </c>
      <c r="B236" t="str">
        <f>"18243178652"</f>
        <v>18243178652</v>
      </c>
      <c r="C236" t="str">
        <f>"220381199301202025"</f>
        <v>220381199301202025</v>
      </c>
      <c r="D236" t="s">
        <v>1</v>
      </c>
      <c r="E236" t="s">
        <v>1</v>
      </c>
      <c r="F236" t="s">
        <v>0</v>
      </c>
      <c r="G236" t="str">
        <f>"2018-10-18 18:52:33"</f>
        <v>2018-10-18 18:52:33</v>
      </c>
    </row>
    <row r="237" spans="1:7" x14ac:dyDescent="0.2">
      <c r="A237" t="s">
        <v>1</v>
      </c>
      <c r="B237" t="str">
        <f>"13107006036"</f>
        <v>13107006036</v>
      </c>
      <c r="C237" t="s">
        <v>1</v>
      </c>
      <c r="D237" t="s">
        <v>1</v>
      </c>
      <c r="E237" t="s">
        <v>1</v>
      </c>
      <c r="F237" t="s">
        <v>0</v>
      </c>
      <c r="G237" t="str">
        <f>"2018-10-18 18:52:19"</f>
        <v>2018-10-18 18:52:19</v>
      </c>
    </row>
    <row r="238" spans="1:7" x14ac:dyDescent="0.2">
      <c r="A238" t="s">
        <v>964</v>
      </c>
      <c r="B238" t="str">
        <f>"18757729715"</f>
        <v>18757729715</v>
      </c>
      <c r="C238" t="str">
        <f>"350403199002164028"</f>
        <v>350403199002164028</v>
      </c>
      <c r="D238" t="s">
        <v>1</v>
      </c>
      <c r="E238" t="s">
        <v>1</v>
      </c>
      <c r="F238" t="s">
        <v>0</v>
      </c>
      <c r="G238" t="str">
        <f>"2018-10-18 18:52:14"</f>
        <v>2018-10-18 18:52:14</v>
      </c>
    </row>
    <row r="239" spans="1:7" x14ac:dyDescent="0.2">
      <c r="A239" t="s">
        <v>2027</v>
      </c>
      <c r="B239" t="str">
        <f>"13842063467"</f>
        <v>13842063467</v>
      </c>
      <c r="C239" t="str">
        <f>"210112198708090221"</f>
        <v>210112198708090221</v>
      </c>
      <c r="D239" t="s">
        <v>1</v>
      </c>
      <c r="E239" t="s">
        <v>1</v>
      </c>
      <c r="F239" t="s">
        <v>0</v>
      </c>
      <c r="G239" t="str">
        <f>"2018-10-18 18:54:18"</f>
        <v>2018-10-18 18:54:18</v>
      </c>
    </row>
    <row r="240" spans="1:7" x14ac:dyDescent="0.2">
      <c r="A240" t="s">
        <v>2028</v>
      </c>
      <c r="B240" t="str">
        <f>"13739324217"</f>
        <v>13739324217</v>
      </c>
      <c r="C240" t="str">
        <f>"622429199804121012"</f>
        <v>622429199804121012</v>
      </c>
      <c r="D240" t="s">
        <v>1</v>
      </c>
      <c r="E240" t="s">
        <v>1</v>
      </c>
      <c r="F240" t="s">
        <v>0</v>
      </c>
      <c r="G240" t="str">
        <f>"2018-10-18 19:26:00"</f>
        <v>2018-10-18 19:26:00</v>
      </c>
    </row>
    <row r="241" spans="1:7" x14ac:dyDescent="0.2">
      <c r="A241" t="s">
        <v>1</v>
      </c>
      <c r="B241" t="str">
        <f>"15955613597"</f>
        <v>15955613597</v>
      </c>
      <c r="C241" t="s">
        <v>1</v>
      </c>
      <c r="D241" t="s">
        <v>1</v>
      </c>
      <c r="E241" t="s">
        <v>1</v>
      </c>
      <c r="F241" t="s">
        <v>0</v>
      </c>
      <c r="G241" t="str">
        <f>"2018-10-18 18:51:55"</f>
        <v>2018-10-18 18:51:55</v>
      </c>
    </row>
    <row r="242" spans="1:7" x14ac:dyDescent="0.2">
      <c r="A242" t="s">
        <v>1</v>
      </c>
      <c r="B242" t="str">
        <f>"15610333857"</f>
        <v>15610333857</v>
      </c>
      <c r="C242" t="s">
        <v>1</v>
      </c>
      <c r="D242" t="s">
        <v>1</v>
      </c>
      <c r="E242" t="s">
        <v>1</v>
      </c>
      <c r="F242" t="s">
        <v>0</v>
      </c>
      <c r="G242" t="str">
        <f>"2018-10-18 18:53:13"</f>
        <v>2018-10-18 18:53:13</v>
      </c>
    </row>
    <row r="243" spans="1:7" x14ac:dyDescent="0.2">
      <c r="A243" t="s">
        <v>2029</v>
      </c>
      <c r="B243" t="str">
        <f>"13772344144"</f>
        <v>13772344144</v>
      </c>
      <c r="C243" t="str">
        <f>"612729199309110011"</f>
        <v>612729199309110011</v>
      </c>
      <c r="D243" t="s">
        <v>2030</v>
      </c>
      <c r="E243" t="s">
        <v>2031</v>
      </c>
      <c r="F243" t="s">
        <v>0</v>
      </c>
      <c r="G243" t="str">
        <f>"2018-10-18 19:06:24"</f>
        <v>2018-10-18 19:06:24</v>
      </c>
    </row>
    <row r="244" spans="1:7" x14ac:dyDescent="0.2">
      <c r="A244" t="s">
        <v>1</v>
      </c>
      <c r="B244" t="str">
        <f>"18821749286"</f>
        <v>18821749286</v>
      </c>
      <c r="C244" t="s">
        <v>1</v>
      </c>
      <c r="D244" t="s">
        <v>1</v>
      </c>
      <c r="E244" t="s">
        <v>1</v>
      </c>
      <c r="F244" t="s">
        <v>0</v>
      </c>
      <c r="G244" t="str">
        <f>"2018-10-18 18:50:55"</f>
        <v>2018-10-18 18:50:55</v>
      </c>
    </row>
    <row r="245" spans="1:7" x14ac:dyDescent="0.2">
      <c r="A245" t="s">
        <v>2032</v>
      </c>
      <c r="B245" t="str">
        <f>"13383857023"</f>
        <v>13383857023</v>
      </c>
      <c r="C245" t="str">
        <f>"412726198401158447"</f>
        <v>412726198401158447</v>
      </c>
      <c r="D245" t="s">
        <v>1</v>
      </c>
      <c r="E245" t="s">
        <v>1</v>
      </c>
      <c r="F245" t="s">
        <v>0</v>
      </c>
      <c r="G245" t="str">
        <f>"2018-10-18 18:50:28"</f>
        <v>2018-10-18 18:50:28</v>
      </c>
    </row>
    <row r="246" spans="1:7" x14ac:dyDescent="0.2">
      <c r="A246" t="s">
        <v>1</v>
      </c>
      <c r="B246" t="str">
        <f>"13989934929"</f>
        <v>13989934929</v>
      </c>
      <c r="C246" t="s">
        <v>1</v>
      </c>
      <c r="D246" t="s">
        <v>1</v>
      </c>
      <c r="E246" t="s">
        <v>1</v>
      </c>
      <c r="F246" t="s">
        <v>0</v>
      </c>
      <c r="G246" t="str">
        <f>"2018-10-18 18:50:27"</f>
        <v>2018-10-18 18:50:27</v>
      </c>
    </row>
    <row r="247" spans="1:7" x14ac:dyDescent="0.2">
      <c r="A247" t="s">
        <v>2033</v>
      </c>
      <c r="B247" t="str">
        <f>"13324448603"</f>
        <v>13324448603</v>
      </c>
      <c r="C247" t="str">
        <f>"220721199810270013"</f>
        <v>220721199810270013</v>
      </c>
      <c r="D247" t="s">
        <v>1</v>
      </c>
      <c r="E247" t="s">
        <v>1</v>
      </c>
      <c r="F247" t="s">
        <v>0</v>
      </c>
      <c r="G247" t="str">
        <f>"2018-10-18 18:53:25"</f>
        <v>2018-10-18 18:53:25</v>
      </c>
    </row>
    <row r="248" spans="1:7" x14ac:dyDescent="0.2">
      <c r="A248" t="s">
        <v>2034</v>
      </c>
      <c r="B248" t="str">
        <f>"13783836807"</f>
        <v>13783836807</v>
      </c>
      <c r="C248" t="str">
        <f>"410522198706011114"</f>
        <v>410522198706011114</v>
      </c>
      <c r="D248" t="s">
        <v>1</v>
      </c>
      <c r="E248" t="s">
        <v>1</v>
      </c>
      <c r="F248" t="s">
        <v>0</v>
      </c>
      <c r="G248" t="str">
        <f>"2018-10-18 18:52:17"</f>
        <v>2018-10-18 18:52:17</v>
      </c>
    </row>
    <row r="249" spans="1:7" x14ac:dyDescent="0.2">
      <c r="A249" t="s">
        <v>2035</v>
      </c>
      <c r="B249" t="str">
        <f>"15109623028"</f>
        <v>15109623028</v>
      </c>
      <c r="C249" t="str">
        <f>"342625198207111557"</f>
        <v>342625198207111557</v>
      </c>
      <c r="D249" t="s">
        <v>1</v>
      </c>
      <c r="E249" t="s">
        <v>1</v>
      </c>
      <c r="F249" t="s">
        <v>0</v>
      </c>
      <c r="G249" t="str">
        <f>"2018-10-29 17:38:13"</f>
        <v>2018-10-29 17:38:13</v>
      </c>
    </row>
    <row r="250" spans="1:7" x14ac:dyDescent="0.2">
      <c r="A250" t="s">
        <v>1</v>
      </c>
      <c r="B250" t="str">
        <f>"13893178723"</f>
        <v>13893178723</v>
      </c>
      <c r="C250" t="s">
        <v>1</v>
      </c>
      <c r="D250" t="s">
        <v>1</v>
      </c>
      <c r="E250" t="s">
        <v>1</v>
      </c>
      <c r="F250" t="s">
        <v>0</v>
      </c>
      <c r="G250" t="str">
        <f>"2018-10-18 18:52:08"</f>
        <v>2018-10-18 18:52:08</v>
      </c>
    </row>
    <row r="251" spans="1:7" x14ac:dyDescent="0.2">
      <c r="A251" t="s">
        <v>2036</v>
      </c>
      <c r="B251" t="str">
        <f>"15836593522"</f>
        <v>15836593522</v>
      </c>
      <c r="C251" t="str">
        <f>"41062119900421456X"</f>
        <v>41062119900421456X</v>
      </c>
      <c r="D251" t="s">
        <v>1</v>
      </c>
      <c r="E251" t="s">
        <v>1</v>
      </c>
      <c r="F251" t="s">
        <v>0</v>
      </c>
      <c r="G251" t="str">
        <f>"2018-10-18 22:36:53"</f>
        <v>2018-10-18 22:36:53</v>
      </c>
    </row>
    <row r="252" spans="1:7" x14ac:dyDescent="0.2">
      <c r="A252" t="s">
        <v>1</v>
      </c>
      <c r="B252" t="str">
        <f>"18813587097"</f>
        <v>18813587097</v>
      </c>
      <c r="C252" t="s">
        <v>1</v>
      </c>
      <c r="D252" t="s">
        <v>1</v>
      </c>
      <c r="E252" t="s">
        <v>1</v>
      </c>
      <c r="F252" t="s">
        <v>0</v>
      </c>
      <c r="G252" t="str">
        <f>"2018-10-18 18:49:56"</f>
        <v>2018-10-18 18:49:56</v>
      </c>
    </row>
    <row r="253" spans="1:7" x14ac:dyDescent="0.2">
      <c r="A253" t="s">
        <v>1</v>
      </c>
      <c r="B253" t="str">
        <f>"18739444998"</f>
        <v>18739444998</v>
      </c>
      <c r="C253" t="s">
        <v>1</v>
      </c>
      <c r="D253" t="s">
        <v>1</v>
      </c>
      <c r="E253" t="s">
        <v>1</v>
      </c>
      <c r="F253" t="s">
        <v>0</v>
      </c>
      <c r="G253" t="str">
        <f>"2018-10-18 18:51:58"</f>
        <v>2018-10-18 18:51:58</v>
      </c>
    </row>
    <row r="254" spans="1:7" x14ac:dyDescent="0.2">
      <c r="A254" t="s">
        <v>2037</v>
      </c>
      <c r="B254" t="str">
        <f>"13701653350"</f>
        <v>13701653350</v>
      </c>
      <c r="C254" t="str">
        <f>"310106198212084027"</f>
        <v>310106198212084027</v>
      </c>
      <c r="D254" t="s">
        <v>1</v>
      </c>
      <c r="E254" t="s">
        <v>1</v>
      </c>
      <c r="F254" t="s">
        <v>0</v>
      </c>
      <c r="G254" t="str">
        <f>"2018-10-18 19:12:29"</f>
        <v>2018-10-18 19:12:29</v>
      </c>
    </row>
    <row r="255" spans="1:7" x14ac:dyDescent="0.2">
      <c r="A255" t="s">
        <v>2038</v>
      </c>
      <c r="B255" t="str">
        <f>"13699634636"</f>
        <v>13699634636</v>
      </c>
      <c r="C255" t="str">
        <f>"510726200001134624"</f>
        <v>510726200001134624</v>
      </c>
      <c r="D255" t="s">
        <v>1</v>
      </c>
      <c r="E255" t="s">
        <v>1</v>
      </c>
      <c r="F255" t="s">
        <v>0</v>
      </c>
      <c r="G255" t="str">
        <f>"2018-10-18 18:51:47"</f>
        <v>2018-10-18 18:51:47</v>
      </c>
    </row>
    <row r="256" spans="1:7" x14ac:dyDescent="0.2">
      <c r="A256" t="s">
        <v>228</v>
      </c>
      <c r="B256" t="str">
        <f>"17685920487"</f>
        <v>17685920487</v>
      </c>
      <c r="C256" t="str">
        <f>"370782199407217015"</f>
        <v>370782199407217015</v>
      </c>
      <c r="D256" t="s">
        <v>1</v>
      </c>
      <c r="E256" t="s">
        <v>1</v>
      </c>
      <c r="F256" t="s">
        <v>0</v>
      </c>
      <c r="G256" t="str">
        <f>"2018-10-18 18:49:20"</f>
        <v>2018-10-18 18:49:20</v>
      </c>
    </row>
    <row r="257" spans="1:7" x14ac:dyDescent="0.2">
      <c r="A257" t="s">
        <v>1</v>
      </c>
      <c r="B257" t="str">
        <f>"18602226560"</f>
        <v>18602226560</v>
      </c>
      <c r="C257" t="s">
        <v>1</v>
      </c>
      <c r="D257" t="s">
        <v>1</v>
      </c>
      <c r="E257" t="s">
        <v>1</v>
      </c>
      <c r="F257" t="s">
        <v>0</v>
      </c>
      <c r="G257" t="str">
        <f>"2018-10-18 18:49:07"</f>
        <v>2018-10-18 18:49:07</v>
      </c>
    </row>
    <row r="258" spans="1:7" x14ac:dyDescent="0.2">
      <c r="A258" t="s">
        <v>2039</v>
      </c>
      <c r="B258" t="str">
        <f>"13945150670"</f>
        <v>13945150670</v>
      </c>
      <c r="C258" t="str">
        <f>"230103198112272224"</f>
        <v>230103198112272224</v>
      </c>
      <c r="D258" t="s">
        <v>2040</v>
      </c>
      <c r="E258" t="s">
        <v>2041</v>
      </c>
      <c r="F258" t="s">
        <v>0</v>
      </c>
      <c r="G258" t="str">
        <f>"2018-10-18 18:51:22"</f>
        <v>2018-10-18 18:51:22</v>
      </c>
    </row>
    <row r="259" spans="1:7" x14ac:dyDescent="0.2">
      <c r="A259" t="s">
        <v>1</v>
      </c>
      <c r="B259" t="str">
        <f>"13299201840"</f>
        <v>13299201840</v>
      </c>
      <c r="C259" t="s">
        <v>1</v>
      </c>
      <c r="D259" t="s">
        <v>1</v>
      </c>
      <c r="E259" t="s">
        <v>1</v>
      </c>
      <c r="F259" t="s">
        <v>0</v>
      </c>
      <c r="G259" t="str">
        <f>"2018-10-18 18:48:39"</f>
        <v>2018-10-18 18:48:39</v>
      </c>
    </row>
    <row r="260" spans="1:7" x14ac:dyDescent="0.2">
      <c r="A260" t="s">
        <v>608</v>
      </c>
      <c r="B260" t="str">
        <f>"18215152901"</f>
        <v>18215152901</v>
      </c>
      <c r="C260" t="str">
        <f>"622224198502040025"</f>
        <v>622224198502040025</v>
      </c>
      <c r="D260" t="s">
        <v>1</v>
      </c>
      <c r="E260" t="s">
        <v>1</v>
      </c>
      <c r="F260" t="s">
        <v>0</v>
      </c>
      <c r="G260" t="str">
        <f>"2018-10-18 18:52:37"</f>
        <v>2018-10-18 18:52:37</v>
      </c>
    </row>
    <row r="261" spans="1:7" x14ac:dyDescent="0.2">
      <c r="A261" t="s">
        <v>2042</v>
      </c>
      <c r="B261" t="str">
        <f>"13529001258"</f>
        <v>13529001258</v>
      </c>
      <c r="C261" t="str">
        <f>"530113198808220012"</f>
        <v>530113198808220012</v>
      </c>
      <c r="D261" t="s">
        <v>1</v>
      </c>
      <c r="E261" t="s">
        <v>1</v>
      </c>
      <c r="F261" t="s">
        <v>0</v>
      </c>
      <c r="G261" t="str">
        <f>"2018-10-18 18:50:43"</f>
        <v>2018-10-18 18:50:43</v>
      </c>
    </row>
    <row r="262" spans="1:7" x14ac:dyDescent="0.2">
      <c r="A262" t="s">
        <v>2043</v>
      </c>
      <c r="B262" t="str">
        <f>"15386661088"</f>
        <v>15386661088</v>
      </c>
      <c r="C262" t="str">
        <f>"510725198210245412"</f>
        <v>510725198210245412</v>
      </c>
      <c r="D262" t="s">
        <v>1</v>
      </c>
      <c r="E262" t="s">
        <v>1</v>
      </c>
      <c r="F262" t="s">
        <v>0</v>
      </c>
      <c r="G262" t="str">
        <f>"2018-10-19 08:21:42"</f>
        <v>2018-10-19 08:21:42</v>
      </c>
    </row>
    <row r="263" spans="1:7" x14ac:dyDescent="0.2">
      <c r="A263" t="s">
        <v>2044</v>
      </c>
      <c r="B263" t="str">
        <f>"13757665848"</f>
        <v>13757665848</v>
      </c>
      <c r="C263" t="str">
        <f>"331003199001152178"</f>
        <v>331003199001152178</v>
      </c>
      <c r="D263" t="s">
        <v>1</v>
      </c>
      <c r="E263" t="s">
        <v>1</v>
      </c>
      <c r="F263" t="s">
        <v>0</v>
      </c>
      <c r="G263" t="str">
        <f>"2018-10-24 23:53:45"</f>
        <v>2018-10-24 23:53:45</v>
      </c>
    </row>
    <row r="264" spans="1:7" x14ac:dyDescent="0.2">
      <c r="A264" t="s">
        <v>2045</v>
      </c>
      <c r="B264" t="str">
        <f>"13511712320"</f>
        <v>13511712320</v>
      </c>
      <c r="C264" t="str">
        <f>"321088199110206536"</f>
        <v>321088199110206536</v>
      </c>
      <c r="D264" t="s">
        <v>1</v>
      </c>
      <c r="E264" t="s">
        <v>1</v>
      </c>
      <c r="F264" t="s">
        <v>0</v>
      </c>
      <c r="G264" t="str">
        <f>"2018-10-18 21:07:14"</f>
        <v>2018-10-18 21:07:14</v>
      </c>
    </row>
    <row r="265" spans="1:7" x14ac:dyDescent="0.2">
      <c r="A265" t="s">
        <v>2046</v>
      </c>
      <c r="B265" t="str">
        <f>"15825164686"</f>
        <v>15825164686</v>
      </c>
      <c r="C265" t="str">
        <f>"532301199001302115"</f>
        <v>532301199001302115</v>
      </c>
      <c r="D265" t="s">
        <v>1</v>
      </c>
      <c r="E265" t="s">
        <v>1</v>
      </c>
      <c r="F265" t="s">
        <v>0</v>
      </c>
      <c r="G265" t="str">
        <f>"2018-10-18 19:02:58"</f>
        <v>2018-10-18 19:02:58</v>
      </c>
    </row>
    <row r="266" spans="1:7" x14ac:dyDescent="0.2">
      <c r="A266" t="s">
        <v>2047</v>
      </c>
      <c r="B266" t="str">
        <f>"17545587307"</f>
        <v>17545587307</v>
      </c>
      <c r="C266" t="str">
        <f>"232303198803074617"</f>
        <v>232303198803074617</v>
      </c>
      <c r="D266" t="s">
        <v>2048</v>
      </c>
      <c r="E266" t="s">
        <v>2049</v>
      </c>
      <c r="F266" t="s">
        <v>0</v>
      </c>
      <c r="G266" t="str">
        <f>"2018-10-18 18:49:34"</f>
        <v>2018-10-18 18:49:34</v>
      </c>
    </row>
    <row r="267" spans="1:7" x14ac:dyDescent="0.2">
      <c r="A267" t="s">
        <v>2050</v>
      </c>
      <c r="B267" t="str">
        <f>"13187238575"</f>
        <v>13187238575</v>
      </c>
      <c r="C267" t="str">
        <f>"43048119900411965X"</f>
        <v>43048119900411965X</v>
      </c>
      <c r="D267" t="s">
        <v>1</v>
      </c>
      <c r="E267" t="s">
        <v>1</v>
      </c>
      <c r="F267" t="s">
        <v>0</v>
      </c>
      <c r="G267" t="str">
        <f>"2018-10-18 18:47:15"</f>
        <v>2018-10-18 18:47:15</v>
      </c>
    </row>
    <row r="268" spans="1:7" x14ac:dyDescent="0.2">
      <c r="A268" t="s">
        <v>2051</v>
      </c>
      <c r="B268" t="str">
        <f>"15819088293"</f>
        <v>15819088293</v>
      </c>
      <c r="C268" t="str">
        <f>"441523198909146038"</f>
        <v>441523198909146038</v>
      </c>
      <c r="D268" t="s">
        <v>1</v>
      </c>
      <c r="E268" t="s">
        <v>1</v>
      </c>
      <c r="F268" t="s">
        <v>0</v>
      </c>
      <c r="G268" t="str">
        <f>"2018-10-18 18:50:39"</f>
        <v>2018-10-18 18:50:39</v>
      </c>
    </row>
    <row r="269" spans="1:7" x14ac:dyDescent="0.2">
      <c r="A269" t="s">
        <v>2052</v>
      </c>
      <c r="B269" t="str">
        <f>"13580495806"</f>
        <v>13580495806</v>
      </c>
      <c r="C269" t="str">
        <f>"452132199909240616"</f>
        <v>452132199909240616</v>
      </c>
      <c r="D269" t="s">
        <v>1</v>
      </c>
      <c r="E269" t="s">
        <v>1</v>
      </c>
      <c r="F269" t="s">
        <v>0</v>
      </c>
      <c r="G269" t="str">
        <f>"2018-10-18 18:50:15"</f>
        <v>2018-10-18 18:50:15</v>
      </c>
    </row>
    <row r="270" spans="1:7" x14ac:dyDescent="0.2">
      <c r="A270" t="s">
        <v>2053</v>
      </c>
      <c r="B270" t="str">
        <f>"17568233805"</f>
        <v>17568233805</v>
      </c>
      <c r="C270" t="str">
        <f>"371326199409261210"</f>
        <v>371326199409261210</v>
      </c>
      <c r="D270" t="s">
        <v>1</v>
      </c>
      <c r="E270" t="s">
        <v>1</v>
      </c>
      <c r="F270" t="s">
        <v>0</v>
      </c>
      <c r="G270" t="str">
        <f>"2018-10-18 18:47:52"</f>
        <v>2018-10-18 18:47:52</v>
      </c>
    </row>
    <row r="271" spans="1:7" x14ac:dyDescent="0.2">
      <c r="A271" t="s">
        <v>1</v>
      </c>
      <c r="B271" t="str">
        <f>"13814218564"</f>
        <v>13814218564</v>
      </c>
      <c r="C271" t="s">
        <v>1</v>
      </c>
      <c r="D271" t="s">
        <v>1</v>
      </c>
      <c r="E271" t="s">
        <v>1</v>
      </c>
      <c r="F271" t="s">
        <v>0</v>
      </c>
      <c r="G271" t="str">
        <f>"2018-10-18 18:46:30"</f>
        <v>2018-10-18 18:46:30</v>
      </c>
    </row>
    <row r="272" spans="1:7" x14ac:dyDescent="0.2">
      <c r="A272" t="s">
        <v>414</v>
      </c>
      <c r="B272" t="str">
        <f>"15851614451"</f>
        <v>15851614451</v>
      </c>
      <c r="C272" t="str">
        <f>"142701198501230917"</f>
        <v>142701198501230917</v>
      </c>
      <c r="D272" t="s">
        <v>1</v>
      </c>
      <c r="E272" t="s">
        <v>1</v>
      </c>
      <c r="F272" t="s">
        <v>0</v>
      </c>
      <c r="G272" t="str">
        <f>"2018-10-26 23:08:57"</f>
        <v>2018-10-26 23:08:57</v>
      </c>
    </row>
    <row r="273" spans="1:7" x14ac:dyDescent="0.2">
      <c r="A273" t="s">
        <v>1</v>
      </c>
      <c r="B273" t="str">
        <f>"13860520517"</f>
        <v>13860520517</v>
      </c>
      <c r="C273" t="s">
        <v>1</v>
      </c>
      <c r="D273" t="s">
        <v>1</v>
      </c>
      <c r="E273" t="s">
        <v>1</v>
      </c>
      <c r="F273" t="s">
        <v>0</v>
      </c>
      <c r="G273" t="str">
        <f>"2018-10-18 18:46:27"</f>
        <v>2018-10-18 18:46:27</v>
      </c>
    </row>
    <row r="274" spans="1:7" x14ac:dyDescent="0.2">
      <c r="A274" t="s">
        <v>2054</v>
      </c>
      <c r="B274" t="str">
        <f>"13359696618"</f>
        <v>13359696618</v>
      </c>
      <c r="C274" t="str">
        <f>"231003197807122020"</f>
        <v>231003197807122020</v>
      </c>
      <c r="D274" t="s">
        <v>1</v>
      </c>
      <c r="E274" t="s">
        <v>1</v>
      </c>
      <c r="F274" t="s">
        <v>0</v>
      </c>
      <c r="G274" t="str">
        <f>"2018-10-18 18:49:35"</f>
        <v>2018-10-18 18:49:35</v>
      </c>
    </row>
    <row r="275" spans="1:7" x14ac:dyDescent="0.2">
      <c r="A275" t="s">
        <v>2055</v>
      </c>
      <c r="B275" t="str">
        <f>"15298186383"</f>
        <v>15298186383</v>
      </c>
      <c r="C275" t="str">
        <f>"511527199204112717"</f>
        <v>511527199204112717</v>
      </c>
      <c r="D275" t="s">
        <v>1</v>
      </c>
      <c r="E275" t="s">
        <v>1</v>
      </c>
      <c r="F275" t="s">
        <v>0</v>
      </c>
      <c r="G275" t="str">
        <f>"2018-10-18 18:47:25"</f>
        <v>2018-10-18 18:47:25</v>
      </c>
    </row>
    <row r="276" spans="1:7" x14ac:dyDescent="0.2">
      <c r="A276" t="s">
        <v>1</v>
      </c>
      <c r="B276" t="str">
        <f>"18285637846"</f>
        <v>18285637846</v>
      </c>
      <c r="C276" t="s">
        <v>1</v>
      </c>
      <c r="D276" t="s">
        <v>1</v>
      </c>
      <c r="E276" t="s">
        <v>1</v>
      </c>
      <c r="F276" t="s">
        <v>0</v>
      </c>
      <c r="G276" t="str">
        <f>"2018-10-18 18:45:20"</f>
        <v>2018-10-18 18:45:20</v>
      </c>
    </row>
    <row r="277" spans="1:7" x14ac:dyDescent="0.2">
      <c r="A277" t="s">
        <v>2056</v>
      </c>
      <c r="B277" t="str">
        <f>"13772616872"</f>
        <v>13772616872</v>
      </c>
      <c r="C277" t="str">
        <f>"610431199005202017"</f>
        <v>610431199005202017</v>
      </c>
      <c r="D277" t="s">
        <v>1</v>
      </c>
      <c r="E277" t="s">
        <v>1</v>
      </c>
      <c r="F277" t="s">
        <v>0</v>
      </c>
      <c r="G277" t="str">
        <f>"2018-10-18 18:47:03"</f>
        <v>2018-10-18 18:47:03</v>
      </c>
    </row>
    <row r="278" spans="1:7" x14ac:dyDescent="0.2">
      <c r="A278" t="s">
        <v>1</v>
      </c>
      <c r="B278" t="str">
        <f>"15887235705"</f>
        <v>15887235705</v>
      </c>
      <c r="C278" t="s">
        <v>1</v>
      </c>
      <c r="D278" t="s">
        <v>1</v>
      </c>
      <c r="E278" t="s">
        <v>1</v>
      </c>
      <c r="F278" t="s">
        <v>0</v>
      </c>
      <c r="G278" t="str">
        <f>"2018-10-18 18:47:14"</f>
        <v>2018-10-18 18:47:14</v>
      </c>
    </row>
    <row r="279" spans="1:7" x14ac:dyDescent="0.2">
      <c r="A279" t="s">
        <v>1</v>
      </c>
      <c r="B279" t="str">
        <f>"15158106085"</f>
        <v>15158106085</v>
      </c>
      <c r="C279" t="s">
        <v>1</v>
      </c>
      <c r="D279" t="s">
        <v>1</v>
      </c>
      <c r="E279" t="s">
        <v>1</v>
      </c>
      <c r="F279" t="s">
        <v>0</v>
      </c>
      <c r="G279" t="str">
        <f>"2018-10-18 19:10:56"</f>
        <v>2018-10-18 19:10:56</v>
      </c>
    </row>
    <row r="280" spans="1:7" x14ac:dyDescent="0.2">
      <c r="A280" t="s">
        <v>2057</v>
      </c>
      <c r="B280" t="str">
        <f>"15733378873"</f>
        <v>15733378873</v>
      </c>
      <c r="C280" t="str">
        <f>"130227199407056411"</f>
        <v>130227199407056411</v>
      </c>
      <c r="D280" t="s">
        <v>1</v>
      </c>
      <c r="E280" t="s">
        <v>1</v>
      </c>
      <c r="F280" t="s">
        <v>0</v>
      </c>
      <c r="G280" t="str">
        <f>"2018-10-23 13:15:56"</f>
        <v>2018-10-23 13:15:56</v>
      </c>
    </row>
    <row r="281" spans="1:7" x14ac:dyDescent="0.2">
      <c r="A281" t="s">
        <v>846</v>
      </c>
      <c r="B281" t="str">
        <f>"18704639871"</f>
        <v>18704639871</v>
      </c>
      <c r="C281" t="str">
        <f>"231182198908227919"</f>
        <v>231182198908227919</v>
      </c>
      <c r="D281" t="s">
        <v>1</v>
      </c>
      <c r="E281" t="s">
        <v>1</v>
      </c>
      <c r="F281" t="s">
        <v>0</v>
      </c>
      <c r="G281" t="str">
        <f>"2018-11-03 10:01:29"</f>
        <v>2018-11-03 10:01:29</v>
      </c>
    </row>
    <row r="282" spans="1:7" x14ac:dyDescent="0.2">
      <c r="A282" t="s">
        <v>2058</v>
      </c>
      <c r="B282" t="str">
        <f>"13487294745"</f>
        <v>13487294745</v>
      </c>
      <c r="C282" t="str">
        <f>"420521199808285044"</f>
        <v>420521199808285044</v>
      </c>
      <c r="D282" t="s">
        <v>2059</v>
      </c>
      <c r="E282" t="s">
        <v>2060</v>
      </c>
      <c r="F282" t="s">
        <v>0</v>
      </c>
      <c r="G282" t="str">
        <f>"2018-10-19 13:52:03"</f>
        <v>2018-10-19 13:52:03</v>
      </c>
    </row>
    <row r="283" spans="1:7" x14ac:dyDescent="0.2">
      <c r="A283" t="s">
        <v>2061</v>
      </c>
      <c r="B283" t="str">
        <f>"15984655566"</f>
        <v>15984655566</v>
      </c>
      <c r="C283" t="str">
        <f>"510703198404120011"</f>
        <v>510703198404120011</v>
      </c>
      <c r="D283" t="s">
        <v>1</v>
      </c>
      <c r="E283" t="s">
        <v>1</v>
      </c>
      <c r="F283" t="s">
        <v>0</v>
      </c>
      <c r="G283" t="str">
        <f>"2018-10-18 18:49:11"</f>
        <v>2018-10-18 18:49:11</v>
      </c>
    </row>
    <row r="284" spans="1:7" x14ac:dyDescent="0.2">
      <c r="A284" t="s">
        <v>2062</v>
      </c>
      <c r="B284" t="str">
        <f>"18386491016"</f>
        <v>18386491016</v>
      </c>
      <c r="C284" t="str">
        <f>"522321199412271230"</f>
        <v>522321199412271230</v>
      </c>
      <c r="D284" t="s">
        <v>2063</v>
      </c>
      <c r="E284" t="s">
        <v>2064</v>
      </c>
      <c r="F284" t="s">
        <v>0</v>
      </c>
      <c r="G284" t="str">
        <f>"2018-10-18 18:45:34"</f>
        <v>2018-10-18 18:45:34</v>
      </c>
    </row>
    <row r="285" spans="1:7" x14ac:dyDescent="0.2">
      <c r="A285" t="s">
        <v>2065</v>
      </c>
      <c r="B285" t="str">
        <f>"15911686946"</f>
        <v>15911686946</v>
      </c>
      <c r="C285" t="str">
        <f>"53012719970821171X"</f>
        <v>53012719970821171X</v>
      </c>
      <c r="D285" t="s">
        <v>1</v>
      </c>
      <c r="E285" t="s">
        <v>1</v>
      </c>
      <c r="F285" t="s">
        <v>0</v>
      </c>
      <c r="G285" t="str">
        <f>"2018-10-18 18:43:37"</f>
        <v>2018-10-18 18:43:37</v>
      </c>
    </row>
    <row r="286" spans="1:7" x14ac:dyDescent="0.2">
      <c r="A286" t="s">
        <v>2066</v>
      </c>
      <c r="B286" t="str">
        <f>"13994262105"</f>
        <v>13994262105</v>
      </c>
      <c r="C286" t="str">
        <f>"140181199207022211"</f>
        <v>140181199207022211</v>
      </c>
      <c r="D286" t="s">
        <v>1</v>
      </c>
      <c r="E286" t="s">
        <v>1</v>
      </c>
      <c r="F286" t="s">
        <v>0</v>
      </c>
      <c r="G286" t="str">
        <f>"2018-10-18 18:52:27"</f>
        <v>2018-10-18 18:52:27</v>
      </c>
    </row>
    <row r="287" spans="1:7" x14ac:dyDescent="0.2">
      <c r="A287" t="s">
        <v>2067</v>
      </c>
      <c r="B287" t="str">
        <f>"18261737917"</f>
        <v>18261737917</v>
      </c>
      <c r="C287" t="str">
        <f>"340823198408094438"</f>
        <v>340823198408094438</v>
      </c>
      <c r="D287" t="s">
        <v>2068</v>
      </c>
      <c r="E287" t="s">
        <v>2069</v>
      </c>
      <c r="F287" t="s">
        <v>0</v>
      </c>
      <c r="G287" t="str">
        <f>"2018-10-18 18:43:27"</f>
        <v>2018-10-18 18:43:27</v>
      </c>
    </row>
    <row r="288" spans="1:7" x14ac:dyDescent="0.2">
      <c r="A288" t="s">
        <v>1</v>
      </c>
      <c r="B288" t="str">
        <f>"15578621041"</f>
        <v>15578621041</v>
      </c>
      <c r="C288" t="s">
        <v>1</v>
      </c>
      <c r="D288" t="s">
        <v>1</v>
      </c>
      <c r="E288" t="s">
        <v>1</v>
      </c>
      <c r="F288" t="s">
        <v>0</v>
      </c>
      <c r="G288" t="str">
        <f>"2018-10-18 18:43:26"</f>
        <v>2018-10-18 18:43:26</v>
      </c>
    </row>
    <row r="289" spans="1:7" x14ac:dyDescent="0.2">
      <c r="A289" t="s">
        <v>1</v>
      </c>
      <c r="B289" t="str">
        <f>"13586736503"</f>
        <v>13586736503</v>
      </c>
      <c r="C289" t="s">
        <v>1</v>
      </c>
      <c r="D289" t="s">
        <v>1</v>
      </c>
      <c r="E289" t="s">
        <v>1</v>
      </c>
      <c r="F289" t="s">
        <v>0</v>
      </c>
      <c r="G289" t="str">
        <f>"2018-10-18 18:42:40"</f>
        <v>2018-10-18 18:42:40</v>
      </c>
    </row>
    <row r="290" spans="1:7" x14ac:dyDescent="0.2">
      <c r="A290" t="s">
        <v>2070</v>
      </c>
      <c r="B290" t="str">
        <f>"18264363545"</f>
        <v>18264363545</v>
      </c>
      <c r="C290" t="str">
        <f>"370302197607313316"</f>
        <v>370302197607313316</v>
      </c>
      <c r="D290" t="s">
        <v>2071</v>
      </c>
      <c r="E290" t="s">
        <v>2072</v>
      </c>
      <c r="F290" t="s">
        <v>0</v>
      </c>
      <c r="G290" t="str">
        <f>"2018-10-18 18:46:00"</f>
        <v>2018-10-18 18:46:00</v>
      </c>
    </row>
    <row r="291" spans="1:7" x14ac:dyDescent="0.2">
      <c r="A291" t="s">
        <v>2073</v>
      </c>
      <c r="B291" t="str">
        <f>"13999827143"</f>
        <v>13999827143</v>
      </c>
      <c r="C291" t="str">
        <f>"650103198302035527"</f>
        <v>650103198302035527</v>
      </c>
      <c r="D291" t="s">
        <v>1</v>
      </c>
      <c r="E291" t="s">
        <v>1</v>
      </c>
      <c r="F291" t="s">
        <v>0</v>
      </c>
      <c r="G291" t="str">
        <f>"2018-10-18 18:42:12"</f>
        <v>2018-10-18 18:42:12</v>
      </c>
    </row>
    <row r="292" spans="1:7" x14ac:dyDescent="0.2">
      <c r="A292" t="s">
        <v>902</v>
      </c>
      <c r="B292" t="str">
        <f>"18344144201"</f>
        <v>18344144201</v>
      </c>
      <c r="C292" t="str">
        <f>"421281199210270519"</f>
        <v>421281199210270519</v>
      </c>
      <c r="D292" t="s">
        <v>2074</v>
      </c>
      <c r="E292" t="s">
        <v>2075</v>
      </c>
      <c r="F292" t="s">
        <v>0</v>
      </c>
      <c r="G292" t="str">
        <f>"2018-10-18 22:27:30"</f>
        <v>2018-10-18 22:27:30</v>
      </c>
    </row>
    <row r="293" spans="1:7" x14ac:dyDescent="0.2">
      <c r="A293" t="s">
        <v>1</v>
      </c>
      <c r="B293" t="str">
        <f>"15172385283"</f>
        <v>15172385283</v>
      </c>
      <c r="C293" t="s">
        <v>1</v>
      </c>
      <c r="D293" t="s">
        <v>1</v>
      </c>
      <c r="E293" t="s">
        <v>1</v>
      </c>
      <c r="F293" t="s">
        <v>0</v>
      </c>
      <c r="G293" t="str">
        <f>"2018-10-18 18:41:22"</f>
        <v>2018-10-18 18:41:22</v>
      </c>
    </row>
    <row r="294" spans="1:7" x14ac:dyDescent="0.2">
      <c r="A294" t="s">
        <v>2076</v>
      </c>
      <c r="B294" t="str">
        <f>"18979319685"</f>
        <v>18979319685</v>
      </c>
      <c r="C294" t="str">
        <f>"362324199102250628"</f>
        <v>362324199102250628</v>
      </c>
      <c r="D294" t="s">
        <v>1</v>
      </c>
      <c r="E294" t="s">
        <v>1</v>
      </c>
      <c r="F294" t="s">
        <v>0</v>
      </c>
      <c r="G294" t="str">
        <f>"2018-10-18 18:42:49"</f>
        <v>2018-10-18 18:42:49</v>
      </c>
    </row>
    <row r="295" spans="1:7" x14ac:dyDescent="0.2">
      <c r="A295" t="s">
        <v>1</v>
      </c>
      <c r="B295" t="str">
        <f>"15925860494"</f>
        <v>15925860494</v>
      </c>
      <c r="C295" t="s">
        <v>1</v>
      </c>
      <c r="D295" t="s">
        <v>1</v>
      </c>
      <c r="E295" t="s">
        <v>1</v>
      </c>
      <c r="F295" t="s">
        <v>0</v>
      </c>
      <c r="G295" t="str">
        <f>"2018-10-18 18:42:35"</f>
        <v>2018-10-18 18:42:35</v>
      </c>
    </row>
    <row r="296" spans="1:7" x14ac:dyDescent="0.2">
      <c r="A296" t="s">
        <v>2077</v>
      </c>
      <c r="B296" t="str">
        <f>"15231338534"</f>
        <v>15231338534</v>
      </c>
      <c r="C296" t="str">
        <f>"130732200008251213"</f>
        <v>130732200008251213</v>
      </c>
      <c r="D296" t="s">
        <v>1</v>
      </c>
      <c r="E296" t="s">
        <v>1</v>
      </c>
      <c r="F296" t="s">
        <v>0</v>
      </c>
      <c r="G296" t="str">
        <f>"2018-10-24 13:56:48"</f>
        <v>2018-10-24 13:56:48</v>
      </c>
    </row>
    <row r="297" spans="1:7" x14ac:dyDescent="0.2">
      <c r="A297" t="s">
        <v>1232</v>
      </c>
      <c r="B297" t="str">
        <f>"15011334387"</f>
        <v>15011334387</v>
      </c>
      <c r="C297" t="str">
        <f>"610521199506211213"</f>
        <v>610521199506211213</v>
      </c>
      <c r="D297" t="s">
        <v>2078</v>
      </c>
      <c r="E297" t="s">
        <v>2079</v>
      </c>
      <c r="F297" t="s">
        <v>0</v>
      </c>
      <c r="G297" t="str">
        <f>"2018-11-04 16:21:55"</f>
        <v>2018-11-04 16:21:55</v>
      </c>
    </row>
    <row r="298" spans="1:7" x14ac:dyDescent="0.2">
      <c r="A298" t="s">
        <v>2080</v>
      </c>
      <c r="B298" t="str">
        <f>"18713930215"</f>
        <v>18713930215</v>
      </c>
      <c r="C298" t="str">
        <f>"130534199406056612"</f>
        <v>130534199406056612</v>
      </c>
      <c r="D298" t="s">
        <v>2081</v>
      </c>
      <c r="E298" t="s">
        <v>2082</v>
      </c>
      <c r="F298" t="s">
        <v>0</v>
      </c>
      <c r="G298" t="str">
        <f>"2018-11-03 13:53:04"</f>
        <v>2018-11-03 13:53:04</v>
      </c>
    </row>
    <row r="299" spans="1:7" x14ac:dyDescent="0.2">
      <c r="A299" t="s">
        <v>2083</v>
      </c>
      <c r="B299" t="str">
        <f>"13621584171"</f>
        <v>13621584171</v>
      </c>
      <c r="C299" t="str">
        <f>"320121198805052317"</f>
        <v>320121198805052317</v>
      </c>
      <c r="D299" t="s">
        <v>1</v>
      </c>
      <c r="E299" t="s">
        <v>1</v>
      </c>
      <c r="F299" t="s">
        <v>0</v>
      </c>
      <c r="G299" t="str">
        <f>"2018-10-18 20:37:55"</f>
        <v>2018-10-18 20:37:55</v>
      </c>
    </row>
    <row r="300" spans="1:7" x14ac:dyDescent="0.2">
      <c r="A300" t="s">
        <v>2084</v>
      </c>
      <c r="B300" t="str">
        <f>"15064720524"</f>
        <v>15064720524</v>
      </c>
      <c r="C300" t="str">
        <f>"370830199504280824"</f>
        <v>370830199504280824</v>
      </c>
      <c r="D300" t="s">
        <v>1</v>
      </c>
      <c r="E300" t="s">
        <v>1</v>
      </c>
      <c r="F300" t="s">
        <v>0</v>
      </c>
      <c r="G300" t="str">
        <f>"2018-10-18 21:37:21"</f>
        <v>2018-10-18 21:37:21</v>
      </c>
    </row>
    <row r="301" spans="1:7" x14ac:dyDescent="0.2">
      <c r="A301" t="s">
        <v>2085</v>
      </c>
      <c r="B301" t="str">
        <f>"18523083441"</f>
        <v>18523083441</v>
      </c>
      <c r="C301" t="str">
        <f>"513001199109240025"</f>
        <v>513001199109240025</v>
      </c>
      <c r="D301" t="s">
        <v>1</v>
      </c>
      <c r="E301" t="s">
        <v>1</v>
      </c>
      <c r="F301" t="s">
        <v>0</v>
      </c>
      <c r="G301" t="str">
        <f>"2018-10-28 15:54:18"</f>
        <v>2018-10-28 15:54:18</v>
      </c>
    </row>
    <row r="302" spans="1:7" x14ac:dyDescent="0.2">
      <c r="A302" t="s">
        <v>2086</v>
      </c>
      <c r="B302" t="str">
        <f>"13095816916"</f>
        <v>13095816916</v>
      </c>
      <c r="C302" t="str">
        <f>"330903197412204912"</f>
        <v>330903197412204912</v>
      </c>
      <c r="D302" t="s">
        <v>1</v>
      </c>
      <c r="E302" t="s">
        <v>1</v>
      </c>
      <c r="F302" t="s">
        <v>0</v>
      </c>
      <c r="G302" t="str">
        <f>"2018-10-18 18:40:50"</f>
        <v>2018-10-18 18:40:50</v>
      </c>
    </row>
    <row r="303" spans="1:7" x14ac:dyDescent="0.2">
      <c r="A303" t="s">
        <v>2087</v>
      </c>
      <c r="B303" t="str">
        <f>"15524577882"</f>
        <v>15524577882</v>
      </c>
      <c r="C303" t="str">
        <f>"210281199303165523"</f>
        <v>210281199303165523</v>
      </c>
      <c r="D303" t="s">
        <v>1</v>
      </c>
      <c r="E303" t="s">
        <v>1</v>
      </c>
      <c r="F303" t="s">
        <v>0</v>
      </c>
      <c r="G303" t="str">
        <f>"2018-10-18 19:04:49"</f>
        <v>2018-10-18 19:04:49</v>
      </c>
    </row>
    <row r="304" spans="1:7" x14ac:dyDescent="0.2">
      <c r="A304" t="s">
        <v>2088</v>
      </c>
      <c r="B304" t="str">
        <f>"13984455885"</f>
        <v>13984455885</v>
      </c>
      <c r="C304" t="str">
        <f>"522625197501021121"</f>
        <v>522625197501021121</v>
      </c>
      <c r="D304" t="s">
        <v>1</v>
      </c>
      <c r="E304" t="s">
        <v>1</v>
      </c>
      <c r="F304" t="s">
        <v>0</v>
      </c>
      <c r="G304" t="str">
        <f>"2018-10-18 18:41:42"</f>
        <v>2018-10-18 18:41:42</v>
      </c>
    </row>
    <row r="305" spans="1:7" x14ac:dyDescent="0.2">
      <c r="A305" t="s">
        <v>1</v>
      </c>
      <c r="B305" t="str">
        <f>"15577637174"</f>
        <v>15577637174</v>
      </c>
      <c r="C305" t="s">
        <v>1</v>
      </c>
      <c r="D305" t="s">
        <v>1</v>
      </c>
      <c r="E305" t="s">
        <v>1</v>
      </c>
      <c r="F305" t="s">
        <v>0</v>
      </c>
      <c r="G305" t="str">
        <f>"2018-10-18 18:39:13"</f>
        <v>2018-10-18 18:39:13</v>
      </c>
    </row>
    <row r="306" spans="1:7" x14ac:dyDescent="0.2">
      <c r="A306" t="s">
        <v>1296</v>
      </c>
      <c r="B306" t="str">
        <f>"15284639519"</f>
        <v>15284639519</v>
      </c>
      <c r="C306" t="str">
        <f>"522423198509249340"</f>
        <v>522423198509249340</v>
      </c>
      <c r="D306" t="s">
        <v>1</v>
      </c>
      <c r="E306" t="s">
        <v>1</v>
      </c>
      <c r="F306" t="s">
        <v>0</v>
      </c>
      <c r="G306" t="str">
        <f>"2018-10-18 18:40:38"</f>
        <v>2018-10-18 18:40:38</v>
      </c>
    </row>
    <row r="307" spans="1:7" x14ac:dyDescent="0.2">
      <c r="A307" t="s">
        <v>2089</v>
      </c>
      <c r="B307" t="str">
        <f>"18298572885"</f>
        <v>18298572885</v>
      </c>
      <c r="C307" t="str">
        <f>"622224199403170515"</f>
        <v>622224199403170515</v>
      </c>
      <c r="D307" t="s">
        <v>1</v>
      </c>
      <c r="E307" t="s">
        <v>1</v>
      </c>
      <c r="F307" t="s">
        <v>0</v>
      </c>
      <c r="G307" t="str">
        <f>"2018-10-18 18:38:54"</f>
        <v>2018-10-18 18:38:54</v>
      </c>
    </row>
    <row r="308" spans="1:7" x14ac:dyDescent="0.2">
      <c r="A308" t="s">
        <v>2090</v>
      </c>
      <c r="B308" t="str">
        <f>"13735748839"</f>
        <v>13735748839</v>
      </c>
      <c r="C308" t="str">
        <f>"330723198301062375"</f>
        <v>330723198301062375</v>
      </c>
      <c r="D308" t="s">
        <v>1</v>
      </c>
      <c r="E308" t="s">
        <v>1</v>
      </c>
      <c r="F308" t="s">
        <v>0</v>
      </c>
      <c r="G308" t="str">
        <f>"2018-10-18 18:41:12"</f>
        <v>2018-10-18 18:41:12</v>
      </c>
    </row>
    <row r="309" spans="1:7" x14ac:dyDescent="0.2">
      <c r="A309" t="s">
        <v>2091</v>
      </c>
      <c r="B309" t="str">
        <f>"14769626104"</f>
        <v>14769626104</v>
      </c>
      <c r="C309" t="str">
        <f>"532625200009062534"</f>
        <v>532625200009062534</v>
      </c>
      <c r="D309" t="s">
        <v>1</v>
      </c>
      <c r="E309" t="s">
        <v>1</v>
      </c>
      <c r="F309" t="s">
        <v>0</v>
      </c>
      <c r="G309" t="str">
        <f>"2018-10-18 18:43:05"</f>
        <v>2018-10-18 18:43:05</v>
      </c>
    </row>
    <row r="310" spans="1:7" x14ac:dyDescent="0.2">
      <c r="A310" t="s">
        <v>2092</v>
      </c>
      <c r="B310" t="str">
        <f>"15825959229"</f>
        <v>15825959229</v>
      </c>
      <c r="C310" t="str">
        <f>"500103199107146565"</f>
        <v>500103199107146565</v>
      </c>
      <c r="D310" t="s">
        <v>1</v>
      </c>
      <c r="E310" t="s">
        <v>1</v>
      </c>
      <c r="F310" t="s">
        <v>0</v>
      </c>
      <c r="G310" t="str">
        <f>"2018-10-18 18:38:52"</f>
        <v>2018-10-18 18:38:52</v>
      </c>
    </row>
    <row r="311" spans="1:7" x14ac:dyDescent="0.2">
      <c r="A311" t="s">
        <v>2093</v>
      </c>
      <c r="B311" t="str">
        <f>"15141665571"</f>
        <v>15141665571</v>
      </c>
      <c r="C311" t="str">
        <f>"210702197109170233"</f>
        <v>210702197109170233</v>
      </c>
      <c r="D311" t="s">
        <v>1</v>
      </c>
      <c r="E311" t="s">
        <v>1</v>
      </c>
      <c r="F311" t="s">
        <v>0</v>
      </c>
      <c r="G311" t="str">
        <f>"2018-10-18 19:10:59"</f>
        <v>2018-10-18 19:10:59</v>
      </c>
    </row>
    <row r="312" spans="1:7" x14ac:dyDescent="0.2">
      <c r="A312" t="s">
        <v>2094</v>
      </c>
      <c r="B312" t="str">
        <f>"18768543000"</f>
        <v>18768543000</v>
      </c>
      <c r="C312" t="str">
        <f>"33028319911023721X"</f>
        <v>33028319911023721X</v>
      </c>
      <c r="D312" t="s">
        <v>1</v>
      </c>
      <c r="E312" t="s">
        <v>1</v>
      </c>
      <c r="F312" t="s">
        <v>0</v>
      </c>
      <c r="G312" t="str">
        <f>"2018-10-18 19:36:08"</f>
        <v>2018-10-18 19:36:08</v>
      </c>
    </row>
    <row r="313" spans="1:7" x14ac:dyDescent="0.2">
      <c r="A313" t="s">
        <v>2095</v>
      </c>
      <c r="B313" t="str">
        <f>"18388060701"</f>
        <v>18388060701</v>
      </c>
      <c r="C313" t="str">
        <f>"530126199010090817"</f>
        <v>530126199010090817</v>
      </c>
      <c r="D313" t="s">
        <v>1</v>
      </c>
      <c r="E313" t="s">
        <v>1</v>
      </c>
      <c r="F313" t="s">
        <v>0</v>
      </c>
      <c r="G313" t="str">
        <f>"2018-10-18 18:42:15"</f>
        <v>2018-10-18 18:42:15</v>
      </c>
    </row>
    <row r="314" spans="1:7" x14ac:dyDescent="0.2">
      <c r="A314" t="s">
        <v>2096</v>
      </c>
      <c r="B314" t="str">
        <f>"13266159780"</f>
        <v>13266159780</v>
      </c>
      <c r="C314" t="str">
        <f>"431121200005238822"</f>
        <v>431121200005238822</v>
      </c>
      <c r="D314" t="s">
        <v>1</v>
      </c>
      <c r="E314" t="s">
        <v>1</v>
      </c>
      <c r="F314" t="s">
        <v>0</v>
      </c>
      <c r="G314" t="str">
        <f>"2018-10-18 18:39:48"</f>
        <v>2018-10-18 18:39:48</v>
      </c>
    </row>
    <row r="315" spans="1:7" x14ac:dyDescent="0.2">
      <c r="A315" t="s">
        <v>1</v>
      </c>
      <c r="B315" t="str">
        <f>"13559721707"</f>
        <v>13559721707</v>
      </c>
      <c r="C315" t="s">
        <v>1</v>
      </c>
      <c r="D315" t="s">
        <v>1</v>
      </c>
      <c r="E315" t="s">
        <v>1</v>
      </c>
      <c r="F315" t="s">
        <v>0</v>
      </c>
      <c r="G315" t="str">
        <f>"2018-10-18 18:36:21"</f>
        <v>2018-10-18 18:36:21</v>
      </c>
    </row>
    <row r="316" spans="1:7" x14ac:dyDescent="0.2">
      <c r="A316" t="s">
        <v>1</v>
      </c>
      <c r="B316" t="str">
        <f>"18376285159"</f>
        <v>18376285159</v>
      </c>
      <c r="C316" t="s">
        <v>1</v>
      </c>
      <c r="D316" t="s">
        <v>1</v>
      </c>
      <c r="E316" t="s">
        <v>1</v>
      </c>
      <c r="F316" t="s">
        <v>0</v>
      </c>
      <c r="G316" t="str">
        <f>"2018-10-18 18:36:16"</f>
        <v>2018-10-18 18:36:16</v>
      </c>
    </row>
    <row r="317" spans="1:7" x14ac:dyDescent="0.2">
      <c r="A317" t="s">
        <v>1</v>
      </c>
      <c r="B317" t="str">
        <f>"15840370668"</f>
        <v>15840370668</v>
      </c>
      <c r="C317" t="s">
        <v>1</v>
      </c>
      <c r="D317" t="s">
        <v>1</v>
      </c>
      <c r="E317" t="s">
        <v>1</v>
      </c>
      <c r="F317" t="s">
        <v>0</v>
      </c>
      <c r="G317" t="str">
        <f>"2018-10-18 18:36:14"</f>
        <v>2018-10-18 18:36:14</v>
      </c>
    </row>
    <row r="318" spans="1:7" x14ac:dyDescent="0.2">
      <c r="A318" t="s">
        <v>280</v>
      </c>
      <c r="B318" t="str">
        <f>"15024900403"</f>
        <v>15024900403</v>
      </c>
      <c r="C318" t="str">
        <f>"15222119901128401X"</f>
        <v>15222119901128401X</v>
      </c>
      <c r="D318" t="s">
        <v>1</v>
      </c>
      <c r="E318" t="s">
        <v>1</v>
      </c>
      <c r="F318" t="s">
        <v>0</v>
      </c>
      <c r="G318" t="str">
        <f>"2018-10-18 18:35:46"</f>
        <v>2018-10-18 18:35:46</v>
      </c>
    </row>
    <row r="319" spans="1:7" x14ac:dyDescent="0.2">
      <c r="A319" t="s">
        <v>1</v>
      </c>
      <c r="B319" t="str">
        <f>"15849631388"</f>
        <v>15849631388</v>
      </c>
      <c r="C319" t="s">
        <v>1</v>
      </c>
      <c r="D319" t="s">
        <v>1</v>
      </c>
      <c r="E319" t="s">
        <v>1</v>
      </c>
      <c r="F319" t="s">
        <v>0</v>
      </c>
      <c r="G319" t="str">
        <f>"2018-10-18 18:35:30"</f>
        <v>2018-10-18 18:35:30</v>
      </c>
    </row>
    <row r="320" spans="1:7" x14ac:dyDescent="0.2">
      <c r="A320" t="s">
        <v>1</v>
      </c>
      <c r="B320" t="str">
        <f>"18691599954"</f>
        <v>18691599954</v>
      </c>
      <c r="C320" t="s">
        <v>1</v>
      </c>
      <c r="D320" t="s">
        <v>1</v>
      </c>
      <c r="E320" t="s">
        <v>1</v>
      </c>
      <c r="F320" t="s">
        <v>0</v>
      </c>
      <c r="G320" t="str">
        <f>"2018-10-18 18:34:55"</f>
        <v>2018-10-18 18:34:55</v>
      </c>
    </row>
    <row r="321" spans="1:7" x14ac:dyDescent="0.2">
      <c r="A321" t="s">
        <v>779</v>
      </c>
      <c r="B321" t="str">
        <f>"18516698112"</f>
        <v>18516698112</v>
      </c>
      <c r="C321" t="str">
        <f>"420921199608184953"</f>
        <v>420921199608184953</v>
      </c>
      <c r="D321" t="s">
        <v>1</v>
      </c>
      <c r="E321" t="s">
        <v>1</v>
      </c>
      <c r="F321" t="s">
        <v>0</v>
      </c>
      <c r="G321" t="str">
        <f>"2018-10-18 18:42:13"</f>
        <v>2018-10-18 18:42:13</v>
      </c>
    </row>
    <row r="322" spans="1:7" x14ac:dyDescent="0.2">
      <c r="A322" t="s">
        <v>2097</v>
      </c>
      <c r="B322" t="str">
        <f>"18344712031"</f>
        <v>18344712031</v>
      </c>
      <c r="C322" t="str">
        <f>"532627198101071911"</f>
        <v>532627198101071911</v>
      </c>
      <c r="D322" t="s">
        <v>2098</v>
      </c>
      <c r="E322" t="s">
        <v>2099</v>
      </c>
      <c r="F322" t="s">
        <v>0</v>
      </c>
      <c r="G322" t="str">
        <f>"2018-10-18 18:50:08"</f>
        <v>2018-10-18 18:50:08</v>
      </c>
    </row>
    <row r="323" spans="1:7" x14ac:dyDescent="0.2">
      <c r="A323" t="s">
        <v>2100</v>
      </c>
      <c r="B323" t="str">
        <f>"15007597753"</f>
        <v>15007597753</v>
      </c>
      <c r="C323" t="str">
        <f>"440881198403241635"</f>
        <v>440881198403241635</v>
      </c>
      <c r="D323" t="s">
        <v>1</v>
      </c>
      <c r="E323" t="s">
        <v>1</v>
      </c>
      <c r="F323" t="s">
        <v>0</v>
      </c>
      <c r="G323" t="str">
        <f>"2018-10-18 18:35:28"</f>
        <v>2018-10-18 18:35:28</v>
      </c>
    </row>
    <row r="324" spans="1:7" x14ac:dyDescent="0.2">
      <c r="A324" t="s">
        <v>1</v>
      </c>
      <c r="B324" t="str">
        <f>"15569650093"</f>
        <v>15569650093</v>
      </c>
      <c r="C324" t="s">
        <v>1</v>
      </c>
      <c r="D324" t="s">
        <v>1</v>
      </c>
      <c r="E324" t="s">
        <v>1</v>
      </c>
      <c r="F324" t="s">
        <v>0</v>
      </c>
      <c r="G324" t="str">
        <f>"2018-10-18 18:34:20"</f>
        <v>2018-10-18 18:34:20</v>
      </c>
    </row>
    <row r="325" spans="1:7" x14ac:dyDescent="0.2">
      <c r="A325" t="s">
        <v>1</v>
      </c>
      <c r="B325" t="str">
        <f>"15212553995"</f>
        <v>15212553995</v>
      </c>
      <c r="C325" t="s">
        <v>1</v>
      </c>
      <c r="D325" t="s">
        <v>1</v>
      </c>
      <c r="E325" t="s">
        <v>1</v>
      </c>
      <c r="F325" t="s">
        <v>0</v>
      </c>
      <c r="G325" t="str">
        <f>"2018-10-18 18:34:01"</f>
        <v>2018-10-18 18:34:01</v>
      </c>
    </row>
    <row r="326" spans="1:7" x14ac:dyDescent="0.2">
      <c r="A326" t="s">
        <v>1</v>
      </c>
      <c r="B326" t="str">
        <f>"13428065264"</f>
        <v>13428065264</v>
      </c>
      <c r="C326" t="s">
        <v>1</v>
      </c>
      <c r="D326" t="s">
        <v>1</v>
      </c>
      <c r="E326" t="s">
        <v>1</v>
      </c>
      <c r="F326" t="s">
        <v>0</v>
      </c>
      <c r="G326" t="str">
        <f>"2018-10-18 20:04:15"</f>
        <v>2018-10-18 20:04:15</v>
      </c>
    </row>
    <row r="327" spans="1:7" x14ac:dyDescent="0.2">
      <c r="A327" t="s">
        <v>1</v>
      </c>
      <c r="B327" t="str">
        <f>"13546969892"</f>
        <v>13546969892</v>
      </c>
      <c r="C327" t="s">
        <v>1</v>
      </c>
      <c r="D327" t="s">
        <v>1</v>
      </c>
      <c r="E327" t="s">
        <v>1</v>
      </c>
      <c r="F327" t="s">
        <v>0</v>
      </c>
      <c r="G327" t="str">
        <f>"2018-10-18 18:33:51"</f>
        <v>2018-10-18 18:33:51</v>
      </c>
    </row>
    <row r="328" spans="1:7" x14ac:dyDescent="0.2">
      <c r="A328" t="s">
        <v>2101</v>
      </c>
      <c r="B328" t="str">
        <f>"18382099914"</f>
        <v>18382099914</v>
      </c>
      <c r="C328" t="str">
        <f>"513223199504261618"</f>
        <v>513223199504261618</v>
      </c>
      <c r="D328" t="s">
        <v>1</v>
      </c>
      <c r="E328" t="s">
        <v>1</v>
      </c>
      <c r="F328" t="s">
        <v>0</v>
      </c>
      <c r="G328" t="str">
        <f>"2018-10-18 18:34:57"</f>
        <v>2018-10-18 18:34:57</v>
      </c>
    </row>
    <row r="329" spans="1:7" x14ac:dyDescent="0.2">
      <c r="A329" t="s">
        <v>2102</v>
      </c>
      <c r="B329" t="str">
        <f>"13837025705"</f>
        <v>13837025705</v>
      </c>
      <c r="C329" t="str">
        <f>"411481199003310126"</f>
        <v>411481199003310126</v>
      </c>
      <c r="D329" t="s">
        <v>1</v>
      </c>
      <c r="E329" t="s">
        <v>1</v>
      </c>
      <c r="F329" t="s">
        <v>0</v>
      </c>
      <c r="G329" t="str">
        <f>"2018-10-18 18:33:39"</f>
        <v>2018-10-18 18:33:39</v>
      </c>
    </row>
    <row r="330" spans="1:7" x14ac:dyDescent="0.2">
      <c r="A330" t="s">
        <v>1</v>
      </c>
      <c r="B330" t="str">
        <f>"13569357036"</f>
        <v>13569357036</v>
      </c>
      <c r="C330" t="s">
        <v>1</v>
      </c>
      <c r="D330" t="s">
        <v>1</v>
      </c>
      <c r="E330" t="s">
        <v>1</v>
      </c>
      <c r="F330" t="s">
        <v>0</v>
      </c>
      <c r="G330" t="str">
        <f>"2018-10-18 18:34:38"</f>
        <v>2018-10-18 18:34:38</v>
      </c>
    </row>
    <row r="331" spans="1:7" x14ac:dyDescent="0.2">
      <c r="A331" t="s">
        <v>2103</v>
      </c>
      <c r="B331" t="str">
        <f>"18508232718"</f>
        <v>18508232718</v>
      </c>
      <c r="C331" t="str">
        <f>"511023199801136810"</f>
        <v>511023199801136810</v>
      </c>
      <c r="D331" t="s">
        <v>1</v>
      </c>
      <c r="E331" t="s">
        <v>1</v>
      </c>
      <c r="F331" t="s">
        <v>0</v>
      </c>
      <c r="G331" t="str">
        <f>"2018-10-18 18:33:16"</f>
        <v>2018-10-18 18:33:16</v>
      </c>
    </row>
    <row r="332" spans="1:7" x14ac:dyDescent="0.2">
      <c r="A332" t="s">
        <v>1</v>
      </c>
      <c r="B332" t="str">
        <f>"15635486910"</f>
        <v>15635486910</v>
      </c>
      <c r="C332" t="s">
        <v>1</v>
      </c>
      <c r="D332" t="s">
        <v>1</v>
      </c>
      <c r="E332" t="s">
        <v>1</v>
      </c>
      <c r="F332" t="s">
        <v>0</v>
      </c>
      <c r="G332" t="str">
        <f>"2018-10-18 18:34:23"</f>
        <v>2018-10-18 18:34:23</v>
      </c>
    </row>
    <row r="333" spans="1:7" x14ac:dyDescent="0.2">
      <c r="A333" t="s">
        <v>1</v>
      </c>
      <c r="B333" t="str">
        <f>"13711021386"</f>
        <v>13711021386</v>
      </c>
      <c r="C333" t="s">
        <v>1</v>
      </c>
      <c r="D333" t="s">
        <v>1</v>
      </c>
      <c r="E333" t="s">
        <v>1</v>
      </c>
      <c r="F333" t="s">
        <v>0</v>
      </c>
      <c r="G333" t="str">
        <f>"2018-10-18 18:32:46"</f>
        <v>2018-10-18 18:32:46</v>
      </c>
    </row>
    <row r="334" spans="1:7" x14ac:dyDescent="0.2">
      <c r="A334" t="s">
        <v>2104</v>
      </c>
      <c r="B334" t="str">
        <f>"13231217155"</f>
        <v>13231217155</v>
      </c>
      <c r="C334" t="str">
        <f>"130634198708292312"</f>
        <v>130634198708292312</v>
      </c>
      <c r="D334" t="s">
        <v>1</v>
      </c>
      <c r="E334" t="s">
        <v>1</v>
      </c>
      <c r="F334" t="s">
        <v>0</v>
      </c>
      <c r="G334" t="str">
        <f>"2018-10-18 19:07:46"</f>
        <v>2018-10-18 19:07:46</v>
      </c>
    </row>
    <row r="335" spans="1:7" x14ac:dyDescent="0.2">
      <c r="A335" t="s">
        <v>2105</v>
      </c>
      <c r="B335" t="str">
        <f>"14726146736"</f>
        <v>14726146736</v>
      </c>
      <c r="C335" t="str">
        <f>"51052119931117536X"</f>
        <v>51052119931117536X</v>
      </c>
      <c r="D335" t="s">
        <v>1</v>
      </c>
      <c r="E335" t="s">
        <v>1</v>
      </c>
      <c r="F335" t="s">
        <v>0</v>
      </c>
      <c r="G335" t="str">
        <f>"2018-10-18 18:34:59"</f>
        <v>2018-10-18 18:34:59</v>
      </c>
    </row>
    <row r="336" spans="1:7" x14ac:dyDescent="0.2">
      <c r="A336" t="s">
        <v>2106</v>
      </c>
      <c r="B336" t="str">
        <f>"18313738716"</f>
        <v>18313738716</v>
      </c>
      <c r="C336" t="str">
        <f>"530111199606084413"</f>
        <v>530111199606084413</v>
      </c>
      <c r="D336" t="s">
        <v>1</v>
      </c>
      <c r="E336" t="s">
        <v>1</v>
      </c>
      <c r="F336" t="s">
        <v>0</v>
      </c>
      <c r="G336" t="str">
        <f>"2018-10-18 21:53:22"</f>
        <v>2018-10-18 21:53:22</v>
      </c>
    </row>
    <row r="337" spans="1:7" x14ac:dyDescent="0.2">
      <c r="A337" t="s">
        <v>1</v>
      </c>
      <c r="B337" t="str">
        <f>"18757967602"</f>
        <v>18757967602</v>
      </c>
      <c r="C337" t="s">
        <v>1</v>
      </c>
      <c r="D337" t="s">
        <v>1</v>
      </c>
      <c r="E337" t="s">
        <v>1</v>
      </c>
      <c r="F337" t="s">
        <v>0</v>
      </c>
      <c r="G337" t="str">
        <f>"2018-10-18 18:32:18"</f>
        <v>2018-10-18 18:32:18</v>
      </c>
    </row>
    <row r="338" spans="1:7" x14ac:dyDescent="0.2">
      <c r="A338" t="s">
        <v>2107</v>
      </c>
      <c r="B338" t="str">
        <f>"15511279555"</f>
        <v>15511279555</v>
      </c>
      <c r="C338" t="str">
        <f>"130625199105061214"</f>
        <v>130625199105061214</v>
      </c>
      <c r="D338" t="s">
        <v>1</v>
      </c>
      <c r="E338" t="s">
        <v>1</v>
      </c>
      <c r="F338" t="s">
        <v>0</v>
      </c>
      <c r="G338" t="str">
        <f>"2018-10-18 18:33:20"</f>
        <v>2018-10-18 18:33:20</v>
      </c>
    </row>
    <row r="339" spans="1:7" x14ac:dyDescent="0.2">
      <c r="A339" t="s">
        <v>2108</v>
      </c>
      <c r="B339" t="str">
        <f>"18226681969"</f>
        <v>18226681969</v>
      </c>
      <c r="C339" t="str">
        <f>"34012219850108394X"</f>
        <v>34012219850108394X</v>
      </c>
      <c r="D339" t="s">
        <v>1</v>
      </c>
      <c r="E339" t="s">
        <v>1</v>
      </c>
      <c r="F339" t="s">
        <v>0</v>
      </c>
      <c r="G339" t="str">
        <f>"2018-10-18 18:32:48"</f>
        <v>2018-10-18 18:32:48</v>
      </c>
    </row>
    <row r="340" spans="1:7" x14ac:dyDescent="0.2">
      <c r="A340" t="s">
        <v>2109</v>
      </c>
      <c r="B340" t="str">
        <f>"15923547304"</f>
        <v>15923547304</v>
      </c>
      <c r="C340" t="str">
        <f>"500227198602198217"</f>
        <v>500227198602198217</v>
      </c>
      <c r="D340" t="s">
        <v>1</v>
      </c>
      <c r="E340" t="s">
        <v>1</v>
      </c>
      <c r="F340" t="s">
        <v>0</v>
      </c>
      <c r="G340" t="str">
        <f>"2018-10-18 18:32:52"</f>
        <v>2018-10-18 18:32:52</v>
      </c>
    </row>
    <row r="341" spans="1:7" x14ac:dyDescent="0.2">
      <c r="A341" t="s">
        <v>2110</v>
      </c>
      <c r="B341" t="str">
        <f>"15800191899"</f>
        <v>15800191899</v>
      </c>
      <c r="C341" t="str">
        <f>"44088119880604613X"</f>
        <v>44088119880604613X</v>
      </c>
      <c r="D341" t="s">
        <v>2111</v>
      </c>
      <c r="E341" t="s">
        <v>2112</v>
      </c>
      <c r="F341" t="s">
        <v>0</v>
      </c>
      <c r="G341" t="str">
        <f>"2018-10-18 18:38:01"</f>
        <v>2018-10-18 18:38:01</v>
      </c>
    </row>
    <row r="342" spans="1:7" x14ac:dyDescent="0.2">
      <c r="A342" t="s">
        <v>1</v>
      </c>
      <c r="B342" t="str">
        <f>"13885235728"</f>
        <v>13885235728</v>
      </c>
      <c r="C342" t="s">
        <v>1</v>
      </c>
      <c r="D342" t="s">
        <v>1</v>
      </c>
      <c r="E342" t="s">
        <v>1</v>
      </c>
      <c r="F342" t="s">
        <v>0</v>
      </c>
      <c r="G342" t="str">
        <f>"2018-10-18 18:31:05"</f>
        <v>2018-10-18 18:31:05</v>
      </c>
    </row>
    <row r="343" spans="1:7" x14ac:dyDescent="0.2">
      <c r="A343" t="s">
        <v>1</v>
      </c>
      <c r="B343" t="str">
        <f>"18868656286"</f>
        <v>18868656286</v>
      </c>
      <c r="C343" t="s">
        <v>1</v>
      </c>
      <c r="D343" t="s">
        <v>1</v>
      </c>
      <c r="E343" t="s">
        <v>1</v>
      </c>
      <c r="F343" t="s">
        <v>0</v>
      </c>
      <c r="G343" t="str">
        <f>"2018-10-18 18:30:54"</f>
        <v>2018-10-18 18:30:54</v>
      </c>
    </row>
    <row r="344" spans="1:7" x14ac:dyDescent="0.2">
      <c r="A344" t="s">
        <v>2113</v>
      </c>
      <c r="B344" t="str">
        <f>"15233403282"</f>
        <v>15233403282</v>
      </c>
      <c r="C344" t="str">
        <f>"130826198507231717"</f>
        <v>130826198507231717</v>
      </c>
      <c r="D344" t="s">
        <v>1</v>
      </c>
      <c r="E344" t="s">
        <v>1</v>
      </c>
      <c r="F344" t="s">
        <v>0</v>
      </c>
      <c r="G344" t="str">
        <f>"2018-10-18 18:55:54"</f>
        <v>2018-10-18 18:55:54</v>
      </c>
    </row>
    <row r="345" spans="1:7" x14ac:dyDescent="0.2">
      <c r="A345" t="s">
        <v>1</v>
      </c>
      <c r="B345" t="str">
        <f>"13014838946"</f>
        <v>13014838946</v>
      </c>
      <c r="C345" t="s">
        <v>1</v>
      </c>
      <c r="D345" t="s">
        <v>1</v>
      </c>
      <c r="E345" t="s">
        <v>1</v>
      </c>
      <c r="F345" t="s">
        <v>0</v>
      </c>
      <c r="G345" t="str">
        <f>"2018-10-18 18:30:42"</f>
        <v>2018-10-18 18:30:42</v>
      </c>
    </row>
    <row r="346" spans="1:7" x14ac:dyDescent="0.2">
      <c r="A346" t="s">
        <v>2114</v>
      </c>
      <c r="B346" t="str">
        <f>"15881422641"</f>
        <v>15881422641</v>
      </c>
      <c r="C346" t="str">
        <f>"510781199401088371"</f>
        <v>510781199401088371</v>
      </c>
      <c r="D346" t="s">
        <v>1</v>
      </c>
      <c r="E346" t="s">
        <v>1</v>
      </c>
      <c r="F346" t="s">
        <v>0</v>
      </c>
      <c r="G346" t="str">
        <f>"2018-10-18 18:36:37"</f>
        <v>2018-10-18 18:36:37</v>
      </c>
    </row>
    <row r="347" spans="1:7" x14ac:dyDescent="0.2">
      <c r="A347" t="s">
        <v>1</v>
      </c>
      <c r="B347" t="str">
        <f>"13359789895"</f>
        <v>13359789895</v>
      </c>
      <c r="C347" t="s">
        <v>1</v>
      </c>
      <c r="D347" t="s">
        <v>1</v>
      </c>
      <c r="E347" t="s">
        <v>1</v>
      </c>
      <c r="F347" t="s">
        <v>0</v>
      </c>
      <c r="G347" t="str">
        <f>"2018-10-18 18:30:27"</f>
        <v>2018-10-18 18:30:27</v>
      </c>
    </row>
    <row r="348" spans="1:7" x14ac:dyDescent="0.2">
      <c r="A348" t="s">
        <v>2115</v>
      </c>
      <c r="B348" t="str">
        <f>"13922465845"</f>
        <v>13922465845</v>
      </c>
      <c r="C348" t="str">
        <f>"511602199009208201"</f>
        <v>511602199009208201</v>
      </c>
      <c r="D348" t="s">
        <v>1</v>
      </c>
      <c r="E348" t="s">
        <v>1</v>
      </c>
      <c r="F348" t="s">
        <v>0</v>
      </c>
      <c r="G348" t="str">
        <f>"2018-10-29 09:17:03"</f>
        <v>2018-10-29 09:17:03</v>
      </c>
    </row>
    <row r="349" spans="1:7" x14ac:dyDescent="0.2">
      <c r="A349" t="s">
        <v>2116</v>
      </c>
      <c r="B349" t="str">
        <f>"15261776014"</f>
        <v>15261776014</v>
      </c>
      <c r="C349" t="str">
        <f>"320830198811110717"</f>
        <v>320830198811110717</v>
      </c>
      <c r="D349" t="s">
        <v>1</v>
      </c>
      <c r="E349" t="s">
        <v>1</v>
      </c>
      <c r="F349" t="s">
        <v>0</v>
      </c>
      <c r="G349" t="str">
        <f>"2018-10-18 19:01:22"</f>
        <v>2018-10-18 19:01:22</v>
      </c>
    </row>
    <row r="350" spans="1:7" x14ac:dyDescent="0.2">
      <c r="A350" t="s">
        <v>2117</v>
      </c>
      <c r="B350" t="str">
        <f>"18143710973"</f>
        <v>18143710973</v>
      </c>
      <c r="C350" t="str">
        <f>"513027197801060914"</f>
        <v>513027197801060914</v>
      </c>
      <c r="D350" t="s">
        <v>1</v>
      </c>
      <c r="E350" t="s">
        <v>1</v>
      </c>
      <c r="F350" t="s">
        <v>0</v>
      </c>
      <c r="G350" t="str">
        <f>"2018-10-18 18:35:07"</f>
        <v>2018-10-18 18:35:07</v>
      </c>
    </row>
    <row r="351" spans="1:7" x14ac:dyDescent="0.2">
      <c r="A351" t="s">
        <v>577</v>
      </c>
      <c r="B351" t="str">
        <f>"15904610214"</f>
        <v>15904610214</v>
      </c>
      <c r="C351" t="str">
        <f>"230103198402073653"</f>
        <v>230103198402073653</v>
      </c>
      <c r="D351" t="s">
        <v>1</v>
      </c>
      <c r="E351" t="s">
        <v>1</v>
      </c>
      <c r="F351" t="s">
        <v>0</v>
      </c>
      <c r="G351" t="str">
        <f>"2018-10-18 18:29:40"</f>
        <v>2018-10-18 18:29:40</v>
      </c>
    </row>
    <row r="352" spans="1:7" x14ac:dyDescent="0.2">
      <c r="A352" t="s">
        <v>1</v>
      </c>
      <c r="B352" t="str">
        <f>"15996054240"</f>
        <v>15996054240</v>
      </c>
      <c r="C352" t="s">
        <v>1</v>
      </c>
      <c r="D352" t="s">
        <v>1</v>
      </c>
      <c r="E352" t="s">
        <v>1</v>
      </c>
      <c r="F352" t="s">
        <v>0</v>
      </c>
      <c r="G352" t="str">
        <f>"2018-10-18 18:29:34"</f>
        <v>2018-10-18 18:29:34</v>
      </c>
    </row>
    <row r="353" spans="1:7" x14ac:dyDescent="0.2">
      <c r="A353" t="s">
        <v>2118</v>
      </c>
      <c r="B353" t="str">
        <f>"13736735085"</f>
        <v>13736735085</v>
      </c>
      <c r="C353" t="str">
        <f>"220221197911060019"</f>
        <v>220221197911060019</v>
      </c>
      <c r="D353" t="s">
        <v>2119</v>
      </c>
      <c r="E353" t="s">
        <v>2120</v>
      </c>
      <c r="F353" t="s">
        <v>0</v>
      </c>
      <c r="G353" t="str">
        <f>"2018-10-19 20:23:47"</f>
        <v>2018-10-19 20:23:47</v>
      </c>
    </row>
    <row r="354" spans="1:7" x14ac:dyDescent="0.2">
      <c r="A354" t="s">
        <v>1</v>
      </c>
      <c r="B354" t="str">
        <f>"18608720118"</f>
        <v>18608720118</v>
      </c>
      <c r="C354" t="s">
        <v>1</v>
      </c>
      <c r="D354" t="s">
        <v>1</v>
      </c>
      <c r="E354" t="s">
        <v>1</v>
      </c>
      <c r="F354" t="s">
        <v>0</v>
      </c>
      <c r="G354" t="str">
        <f>"2018-10-18 18:30:13"</f>
        <v>2018-10-18 18:30:13</v>
      </c>
    </row>
    <row r="355" spans="1:7" x14ac:dyDescent="0.2">
      <c r="A355" t="s">
        <v>1</v>
      </c>
      <c r="B355" t="str">
        <f>"13667226313"</f>
        <v>13667226313</v>
      </c>
      <c r="C355" t="s">
        <v>1</v>
      </c>
      <c r="D355" t="s">
        <v>1</v>
      </c>
      <c r="E355" t="s">
        <v>1</v>
      </c>
      <c r="F355" t="s">
        <v>0</v>
      </c>
      <c r="G355" t="str">
        <f>"2018-10-18 18:30:43"</f>
        <v>2018-10-18 18:30:43</v>
      </c>
    </row>
    <row r="356" spans="1:7" x14ac:dyDescent="0.2">
      <c r="A356" t="s">
        <v>1</v>
      </c>
      <c r="B356" t="str">
        <f>"13906172420"</f>
        <v>13906172420</v>
      </c>
      <c r="C356" t="s">
        <v>1</v>
      </c>
      <c r="D356" t="s">
        <v>1</v>
      </c>
      <c r="E356" t="s">
        <v>1</v>
      </c>
      <c r="F356" t="s">
        <v>0</v>
      </c>
      <c r="G356" t="str">
        <f>"2018-10-18 18:29:14"</f>
        <v>2018-10-18 18:29:14</v>
      </c>
    </row>
    <row r="357" spans="1:7" x14ac:dyDescent="0.2">
      <c r="A357" t="s">
        <v>2121</v>
      </c>
      <c r="B357" t="str">
        <f>"13163242735"</f>
        <v>13163242735</v>
      </c>
      <c r="C357" t="str">
        <f>"421023199006187115"</f>
        <v>421023199006187115</v>
      </c>
      <c r="D357" t="s">
        <v>1</v>
      </c>
      <c r="E357" t="s">
        <v>1</v>
      </c>
      <c r="F357" t="s">
        <v>0</v>
      </c>
      <c r="G357" t="str">
        <f>"2018-11-04 10:17:03"</f>
        <v>2018-11-04 10:17:03</v>
      </c>
    </row>
    <row r="358" spans="1:7" x14ac:dyDescent="0.2">
      <c r="A358" t="s">
        <v>2122</v>
      </c>
      <c r="B358" t="str">
        <f>"13477846276"</f>
        <v>13477846276</v>
      </c>
      <c r="C358" t="str">
        <f>"420526199508130413"</f>
        <v>420526199508130413</v>
      </c>
      <c r="D358" t="s">
        <v>1</v>
      </c>
      <c r="E358" t="s">
        <v>1</v>
      </c>
      <c r="F358" t="s">
        <v>0</v>
      </c>
      <c r="G358" t="str">
        <f>"2018-10-18 18:30:34"</f>
        <v>2018-10-18 18:30:34</v>
      </c>
    </row>
    <row r="359" spans="1:7" x14ac:dyDescent="0.2">
      <c r="A359" t="s">
        <v>2123</v>
      </c>
      <c r="B359" t="str">
        <f>"15007972750"</f>
        <v>15007972750</v>
      </c>
      <c r="C359" t="str">
        <f>"362202198806196625"</f>
        <v>362202198806196625</v>
      </c>
      <c r="D359" t="s">
        <v>1</v>
      </c>
      <c r="E359" t="s">
        <v>1</v>
      </c>
      <c r="F359" t="s">
        <v>0</v>
      </c>
      <c r="G359" t="str">
        <f>"2018-10-18 18:31:17"</f>
        <v>2018-10-18 18:31:17</v>
      </c>
    </row>
    <row r="360" spans="1:7" x14ac:dyDescent="0.2">
      <c r="A360" t="s">
        <v>2124</v>
      </c>
      <c r="B360" t="str">
        <f>"15842071903"</f>
        <v>15842071903</v>
      </c>
      <c r="C360" t="str">
        <f>"211021199401118425"</f>
        <v>211021199401118425</v>
      </c>
      <c r="D360" t="s">
        <v>1</v>
      </c>
      <c r="E360" t="s">
        <v>1</v>
      </c>
      <c r="F360" t="s">
        <v>0</v>
      </c>
      <c r="G360" t="str">
        <f>"2018-10-18 18:31:16"</f>
        <v>2018-10-18 18:31:16</v>
      </c>
    </row>
    <row r="361" spans="1:7" x14ac:dyDescent="0.2">
      <c r="A361" t="s">
        <v>2125</v>
      </c>
      <c r="B361" t="str">
        <f>"17621135982"</f>
        <v>17621135982</v>
      </c>
      <c r="C361" t="str">
        <f>"232330199103141413"</f>
        <v>232330199103141413</v>
      </c>
      <c r="D361" t="s">
        <v>1</v>
      </c>
      <c r="E361" t="s">
        <v>1</v>
      </c>
      <c r="F361" t="s">
        <v>0</v>
      </c>
      <c r="G361" t="str">
        <f>"2018-10-18 19:00:22"</f>
        <v>2018-10-18 19:00:22</v>
      </c>
    </row>
    <row r="362" spans="1:7" x14ac:dyDescent="0.2">
      <c r="A362" t="s">
        <v>2126</v>
      </c>
      <c r="B362" t="str">
        <f>"15282017939"</f>
        <v>15282017939</v>
      </c>
      <c r="C362" t="str">
        <f>"51081219880920002X"</f>
        <v>51081219880920002X</v>
      </c>
      <c r="D362" t="s">
        <v>1</v>
      </c>
      <c r="E362" t="s">
        <v>1</v>
      </c>
      <c r="F362" t="s">
        <v>0</v>
      </c>
      <c r="G362" t="str">
        <f>"2018-10-18 18:29:32"</f>
        <v>2018-10-18 18:29:32</v>
      </c>
    </row>
    <row r="363" spans="1:7" x14ac:dyDescent="0.2">
      <c r="A363" t="s">
        <v>2127</v>
      </c>
      <c r="B363" t="str">
        <f>"18865315598"</f>
        <v>18865315598</v>
      </c>
      <c r="C363" t="str">
        <f>"130425198612025538"</f>
        <v>130425198612025538</v>
      </c>
      <c r="D363" t="s">
        <v>1740</v>
      </c>
      <c r="E363" t="s">
        <v>2128</v>
      </c>
      <c r="F363" t="s">
        <v>0</v>
      </c>
      <c r="G363" t="str">
        <f>"2018-10-18 18:30:10"</f>
        <v>2018-10-18 18:30:10</v>
      </c>
    </row>
    <row r="364" spans="1:7" x14ac:dyDescent="0.2">
      <c r="A364" t="s">
        <v>2129</v>
      </c>
      <c r="B364" t="str">
        <f>"18318619535"</f>
        <v>18318619535</v>
      </c>
      <c r="C364" t="str">
        <f>"441702198007062635"</f>
        <v>441702198007062635</v>
      </c>
      <c r="D364" t="s">
        <v>1</v>
      </c>
      <c r="E364" t="s">
        <v>1</v>
      </c>
      <c r="F364" t="s">
        <v>0</v>
      </c>
      <c r="G364" t="str">
        <f>"2018-10-18 18:29:27"</f>
        <v>2018-10-18 18:29:27</v>
      </c>
    </row>
    <row r="365" spans="1:7" x14ac:dyDescent="0.2">
      <c r="A365" t="s">
        <v>2130</v>
      </c>
      <c r="B365" t="str">
        <f>"13349999158"</f>
        <v>13349999158</v>
      </c>
      <c r="C365" t="str">
        <f>"420106198507043615"</f>
        <v>420106198507043615</v>
      </c>
      <c r="D365" t="s">
        <v>1</v>
      </c>
      <c r="E365" t="s">
        <v>1</v>
      </c>
      <c r="F365" t="s">
        <v>0</v>
      </c>
      <c r="G365" t="str">
        <f>"2018-10-18 18:42:46"</f>
        <v>2018-10-18 18:42:46</v>
      </c>
    </row>
    <row r="366" spans="1:7" x14ac:dyDescent="0.2">
      <c r="A366" t="s">
        <v>1</v>
      </c>
      <c r="B366" t="str">
        <f>"13276842964"</f>
        <v>13276842964</v>
      </c>
      <c r="C366" t="s">
        <v>1</v>
      </c>
      <c r="D366" t="s">
        <v>1</v>
      </c>
      <c r="E366" t="s">
        <v>1</v>
      </c>
      <c r="F366" t="s">
        <v>0</v>
      </c>
      <c r="G366" t="str">
        <f>"2018-10-18 18:28:22"</f>
        <v>2018-10-18 18:28:22</v>
      </c>
    </row>
    <row r="367" spans="1:7" x14ac:dyDescent="0.2">
      <c r="A367" t="s">
        <v>2131</v>
      </c>
      <c r="B367" t="str">
        <f>"13553264921"</f>
        <v>13553264921</v>
      </c>
      <c r="C367" t="str">
        <f>"441625198208306949"</f>
        <v>441625198208306949</v>
      </c>
      <c r="D367" t="s">
        <v>1</v>
      </c>
      <c r="E367" t="s">
        <v>1</v>
      </c>
      <c r="F367" t="s">
        <v>0</v>
      </c>
      <c r="G367" t="str">
        <f>"2018-10-18 18:29:54"</f>
        <v>2018-10-18 18:29:54</v>
      </c>
    </row>
    <row r="368" spans="1:7" x14ac:dyDescent="0.2">
      <c r="A368" t="s">
        <v>1</v>
      </c>
      <c r="B368" t="str">
        <f>"13263788641"</f>
        <v>13263788641</v>
      </c>
      <c r="C368" t="s">
        <v>1</v>
      </c>
      <c r="D368" t="s">
        <v>1</v>
      </c>
      <c r="E368" t="s">
        <v>1</v>
      </c>
      <c r="F368" t="s">
        <v>0</v>
      </c>
      <c r="G368" t="str">
        <f>"2018-10-18 18:28:03"</f>
        <v>2018-10-18 18:28:03</v>
      </c>
    </row>
    <row r="369" spans="1:7" x14ac:dyDescent="0.2">
      <c r="A369" t="s">
        <v>2132</v>
      </c>
      <c r="B369" t="str">
        <f>"13878870695"</f>
        <v>13878870695</v>
      </c>
      <c r="C369" t="str">
        <f>"450103199008100014"</f>
        <v>450103199008100014</v>
      </c>
      <c r="D369" t="s">
        <v>2133</v>
      </c>
      <c r="E369" t="s">
        <v>2134</v>
      </c>
      <c r="F369" t="s">
        <v>0</v>
      </c>
      <c r="G369" t="str">
        <f>"2018-10-18 18:29:39"</f>
        <v>2018-10-18 18:29:39</v>
      </c>
    </row>
    <row r="370" spans="1:7" x14ac:dyDescent="0.2">
      <c r="A370" t="s">
        <v>2135</v>
      </c>
      <c r="B370" t="str">
        <f>"15868470254"</f>
        <v>15868470254</v>
      </c>
      <c r="C370" t="str">
        <f>"410181199509280019"</f>
        <v>410181199509280019</v>
      </c>
      <c r="D370" t="s">
        <v>1</v>
      </c>
      <c r="E370" t="s">
        <v>1</v>
      </c>
      <c r="F370" t="s">
        <v>0</v>
      </c>
      <c r="G370" t="str">
        <f>"2018-10-18 18:30:58"</f>
        <v>2018-10-18 18:30:58</v>
      </c>
    </row>
    <row r="371" spans="1:7" x14ac:dyDescent="0.2">
      <c r="A371" t="s">
        <v>1</v>
      </c>
      <c r="B371" t="str">
        <f>"18382852337"</f>
        <v>18382852337</v>
      </c>
      <c r="C371" t="s">
        <v>1</v>
      </c>
      <c r="D371" t="s">
        <v>1</v>
      </c>
      <c r="E371" t="s">
        <v>1</v>
      </c>
      <c r="F371" t="s">
        <v>0</v>
      </c>
      <c r="G371" t="str">
        <f>"2018-10-18 18:27:50"</f>
        <v>2018-10-18 18:27:50</v>
      </c>
    </row>
    <row r="372" spans="1:7" x14ac:dyDescent="0.2">
      <c r="A372" t="s">
        <v>1</v>
      </c>
      <c r="B372" t="str">
        <f>"18409360097"</f>
        <v>18409360097</v>
      </c>
      <c r="C372" t="s">
        <v>1</v>
      </c>
      <c r="D372" t="s">
        <v>1</v>
      </c>
      <c r="E372" t="s">
        <v>1</v>
      </c>
      <c r="F372" t="s">
        <v>0</v>
      </c>
      <c r="G372" t="str">
        <f>"2018-10-18 18:27:37"</f>
        <v>2018-10-18 18:27:37</v>
      </c>
    </row>
    <row r="373" spans="1:7" x14ac:dyDescent="0.2">
      <c r="A373" t="s">
        <v>2136</v>
      </c>
      <c r="B373" t="str">
        <f>"15502253193"</f>
        <v>15502253193</v>
      </c>
      <c r="C373" t="str">
        <f>"62042319971001753X"</f>
        <v>62042319971001753X</v>
      </c>
      <c r="D373" t="s">
        <v>1</v>
      </c>
      <c r="E373" t="s">
        <v>1</v>
      </c>
      <c r="F373" t="s">
        <v>0</v>
      </c>
      <c r="G373" t="str">
        <f>"2018-10-18 18:27:17"</f>
        <v>2018-10-18 18:27:17</v>
      </c>
    </row>
    <row r="374" spans="1:7" x14ac:dyDescent="0.2">
      <c r="A374" t="s">
        <v>2137</v>
      </c>
      <c r="B374" t="str">
        <f>"15639760293"</f>
        <v>15639760293</v>
      </c>
      <c r="C374" t="str">
        <f>"410922199303031352"</f>
        <v>410922199303031352</v>
      </c>
      <c r="D374" t="s">
        <v>1</v>
      </c>
      <c r="E374" t="s">
        <v>1</v>
      </c>
      <c r="F374" t="s">
        <v>0</v>
      </c>
      <c r="G374" t="str">
        <f>"2018-10-18 18:28:49"</f>
        <v>2018-10-18 18:28:49</v>
      </c>
    </row>
    <row r="375" spans="1:7" x14ac:dyDescent="0.2">
      <c r="A375" t="s">
        <v>2138</v>
      </c>
      <c r="B375" t="str">
        <f>"18587924269"</f>
        <v>18587924269</v>
      </c>
      <c r="C375" t="str">
        <f>"452131199205062114"</f>
        <v>452131199205062114</v>
      </c>
      <c r="D375" t="s">
        <v>1</v>
      </c>
      <c r="E375" t="s">
        <v>1</v>
      </c>
      <c r="F375" t="s">
        <v>0</v>
      </c>
      <c r="G375" t="str">
        <f>"2018-10-18 18:29:03"</f>
        <v>2018-10-18 18:29:03</v>
      </c>
    </row>
    <row r="376" spans="1:7" x14ac:dyDescent="0.2">
      <c r="A376" t="s">
        <v>1</v>
      </c>
      <c r="B376" t="str">
        <f>"15066804350"</f>
        <v>15066804350</v>
      </c>
      <c r="C376" t="s">
        <v>1</v>
      </c>
      <c r="D376" t="s">
        <v>1</v>
      </c>
      <c r="E376" t="s">
        <v>1</v>
      </c>
      <c r="F376" t="s">
        <v>0</v>
      </c>
      <c r="G376" t="str">
        <f>"2018-10-18 18:26:48"</f>
        <v>2018-10-18 18:26:48</v>
      </c>
    </row>
    <row r="377" spans="1:7" x14ac:dyDescent="0.2">
      <c r="A377" t="s">
        <v>2139</v>
      </c>
      <c r="B377" t="str">
        <f>"13713647715"</f>
        <v>13713647715</v>
      </c>
      <c r="C377" t="str">
        <f>"431124198603087138"</f>
        <v>431124198603087138</v>
      </c>
      <c r="D377" t="s">
        <v>1</v>
      </c>
      <c r="E377" t="s">
        <v>1</v>
      </c>
      <c r="F377" t="s">
        <v>0</v>
      </c>
      <c r="G377" t="str">
        <f>"2018-10-18 18:28:47"</f>
        <v>2018-10-18 18:28:47</v>
      </c>
    </row>
    <row r="378" spans="1:7" x14ac:dyDescent="0.2">
      <c r="A378" t="s">
        <v>1</v>
      </c>
      <c r="B378" t="str">
        <f>"13670445482"</f>
        <v>13670445482</v>
      </c>
      <c r="C378" t="s">
        <v>1</v>
      </c>
      <c r="D378" t="s">
        <v>1</v>
      </c>
      <c r="E378" t="s">
        <v>1</v>
      </c>
      <c r="F378" t="s">
        <v>0</v>
      </c>
      <c r="G378" t="str">
        <f>"2018-10-18 19:16:02"</f>
        <v>2018-10-18 19:16:02</v>
      </c>
    </row>
    <row r="379" spans="1:7" x14ac:dyDescent="0.2">
      <c r="A379" t="s">
        <v>2140</v>
      </c>
      <c r="B379" t="str">
        <f>"13759420408"</f>
        <v>13759420408</v>
      </c>
      <c r="C379" t="str">
        <f>"530129199509071534"</f>
        <v>530129199509071534</v>
      </c>
      <c r="D379" t="s">
        <v>2141</v>
      </c>
      <c r="E379" t="s">
        <v>2142</v>
      </c>
      <c r="F379" t="s">
        <v>0</v>
      </c>
      <c r="G379" t="str">
        <f>"2018-10-18 18:26:18"</f>
        <v>2018-10-18 18:26:18</v>
      </c>
    </row>
    <row r="380" spans="1:7" x14ac:dyDescent="0.2">
      <c r="A380" t="s">
        <v>213</v>
      </c>
      <c r="B380" t="str">
        <f>"17708768483"</f>
        <v>17708768483</v>
      </c>
      <c r="C380" t="str">
        <f>"532626200010021736"</f>
        <v>532626200010021736</v>
      </c>
      <c r="D380" t="s">
        <v>1</v>
      </c>
      <c r="E380" t="s">
        <v>1</v>
      </c>
      <c r="F380" t="s">
        <v>0</v>
      </c>
      <c r="G380" t="str">
        <f>"2018-10-18 18:28:03"</f>
        <v>2018-10-18 18:28:03</v>
      </c>
    </row>
    <row r="381" spans="1:7" x14ac:dyDescent="0.2">
      <c r="A381" t="s">
        <v>1</v>
      </c>
      <c r="B381" t="str">
        <f>"15173987777"</f>
        <v>15173987777</v>
      </c>
      <c r="C381" t="s">
        <v>1</v>
      </c>
      <c r="D381" t="s">
        <v>1</v>
      </c>
      <c r="E381" t="s">
        <v>1</v>
      </c>
      <c r="F381" t="s">
        <v>0</v>
      </c>
      <c r="G381" t="str">
        <f>"2018-10-18 18:26:03"</f>
        <v>2018-10-18 18:26:03</v>
      </c>
    </row>
    <row r="382" spans="1:7" x14ac:dyDescent="0.2">
      <c r="A382" t="s">
        <v>2143</v>
      </c>
      <c r="B382" t="str">
        <f>"13986737476"</f>
        <v>13986737476</v>
      </c>
      <c r="C382" t="str">
        <f>"421004197006082518"</f>
        <v>421004197006082518</v>
      </c>
      <c r="D382" t="s">
        <v>1</v>
      </c>
      <c r="E382" t="s">
        <v>1</v>
      </c>
      <c r="F382" t="s">
        <v>0</v>
      </c>
      <c r="G382" t="str">
        <f>"2018-10-20 17:04:46"</f>
        <v>2018-10-20 17:04:46</v>
      </c>
    </row>
    <row r="383" spans="1:7" x14ac:dyDescent="0.2">
      <c r="A383" t="s">
        <v>1</v>
      </c>
      <c r="B383" t="str">
        <f>"13726368970"</f>
        <v>13726368970</v>
      </c>
      <c r="C383" t="s">
        <v>1</v>
      </c>
      <c r="D383" t="s">
        <v>1</v>
      </c>
      <c r="E383" t="s">
        <v>1</v>
      </c>
      <c r="F383" t="s">
        <v>0</v>
      </c>
      <c r="G383" t="str">
        <f>"2018-10-18 18:25:55"</f>
        <v>2018-10-18 18:25:55</v>
      </c>
    </row>
    <row r="384" spans="1:7" x14ac:dyDescent="0.2">
      <c r="A384" t="s">
        <v>2144</v>
      </c>
      <c r="B384" t="str">
        <f>"13633439658"</f>
        <v>13633439658</v>
      </c>
      <c r="C384" t="str">
        <f>"142631198902114848"</f>
        <v>142631198902114848</v>
      </c>
      <c r="D384" t="s">
        <v>1</v>
      </c>
      <c r="E384" t="s">
        <v>1</v>
      </c>
      <c r="F384" t="s">
        <v>0</v>
      </c>
      <c r="G384" t="str">
        <f>"2018-10-18 18:30:10"</f>
        <v>2018-10-18 18:30:10</v>
      </c>
    </row>
    <row r="385" spans="1:7" x14ac:dyDescent="0.2">
      <c r="A385" t="s">
        <v>2145</v>
      </c>
      <c r="B385" t="str">
        <f>"18388975261"</f>
        <v>18388975261</v>
      </c>
      <c r="C385" t="str">
        <f>"53352119850516031X"</f>
        <v>53352119850516031X</v>
      </c>
      <c r="D385" t="s">
        <v>1</v>
      </c>
      <c r="E385" t="s">
        <v>1</v>
      </c>
      <c r="F385" t="s">
        <v>0</v>
      </c>
      <c r="G385" t="str">
        <f>"2018-10-18 18:27:58"</f>
        <v>2018-10-18 18:27:58</v>
      </c>
    </row>
    <row r="386" spans="1:7" x14ac:dyDescent="0.2">
      <c r="A386" t="s">
        <v>669</v>
      </c>
      <c r="B386" t="str">
        <f>"13594207920"</f>
        <v>13594207920</v>
      </c>
      <c r="C386" t="str">
        <f>"510211197110280026"</f>
        <v>510211197110280026</v>
      </c>
      <c r="D386" t="s">
        <v>2146</v>
      </c>
      <c r="E386" t="s">
        <v>2147</v>
      </c>
      <c r="F386" t="s">
        <v>0</v>
      </c>
      <c r="G386" t="str">
        <f>"2018-10-18 18:29:56"</f>
        <v>2018-10-18 18:29:56</v>
      </c>
    </row>
    <row r="387" spans="1:7" x14ac:dyDescent="0.2">
      <c r="A387" t="s">
        <v>2148</v>
      </c>
      <c r="B387" t="str">
        <f>"15892033853"</f>
        <v>15892033853</v>
      </c>
      <c r="C387" t="str">
        <f>"350628199102100556"</f>
        <v>350628199102100556</v>
      </c>
      <c r="D387" t="s">
        <v>1</v>
      </c>
      <c r="E387" t="s">
        <v>1</v>
      </c>
      <c r="F387" t="s">
        <v>0</v>
      </c>
      <c r="G387" t="str">
        <f>"2018-10-18 18:36:22"</f>
        <v>2018-10-18 18:36:22</v>
      </c>
    </row>
    <row r="388" spans="1:7" x14ac:dyDescent="0.2">
      <c r="A388" t="s">
        <v>2149</v>
      </c>
      <c r="B388" t="str">
        <f>"18555327317"</f>
        <v>18555327317</v>
      </c>
      <c r="C388" t="str">
        <f>"342623200010058796"</f>
        <v>342623200010058796</v>
      </c>
      <c r="D388" t="s">
        <v>1</v>
      </c>
      <c r="E388" t="s">
        <v>1</v>
      </c>
      <c r="F388" t="s">
        <v>0</v>
      </c>
      <c r="G388" t="str">
        <f>"2018-10-18 18:27:04"</f>
        <v>2018-10-18 18:27:04</v>
      </c>
    </row>
    <row r="389" spans="1:7" x14ac:dyDescent="0.2">
      <c r="A389" t="s">
        <v>1603</v>
      </c>
      <c r="B389" t="str">
        <f>"15186300663"</f>
        <v>15186300663</v>
      </c>
      <c r="C389" t="str">
        <f>"520201197111270048"</f>
        <v>520201197111270048</v>
      </c>
      <c r="D389" t="s">
        <v>1</v>
      </c>
      <c r="E389" t="s">
        <v>1</v>
      </c>
      <c r="F389" t="s">
        <v>0</v>
      </c>
      <c r="G389" t="str">
        <f>"2018-10-18 18:24:39"</f>
        <v>2018-10-18 18:24:39</v>
      </c>
    </row>
    <row r="390" spans="1:7" x14ac:dyDescent="0.2">
      <c r="A390" t="s">
        <v>2150</v>
      </c>
      <c r="B390" t="str">
        <f>"18079221717"</f>
        <v>18079221717</v>
      </c>
      <c r="C390" t="str">
        <f>"360403198910080310"</f>
        <v>360403198910080310</v>
      </c>
      <c r="D390" t="s">
        <v>1</v>
      </c>
      <c r="E390" t="s">
        <v>1</v>
      </c>
      <c r="F390" t="s">
        <v>0</v>
      </c>
      <c r="G390" t="str">
        <f>"2018-11-02 18:02:03"</f>
        <v>2018-11-02 18:02:03</v>
      </c>
    </row>
    <row r="391" spans="1:7" x14ac:dyDescent="0.2">
      <c r="A391" t="s">
        <v>1</v>
      </c>
      <c r="B391" t="str">
        <f>"13534403167"</f>
        <v>13534403167</v>
      </c>
      <c r="C391" t="s">
        <v>1</v>
      </c>
      <c r="D391" t="s">
        <v>1</v>
      </c>
      <c r="E391" t="s">
        <v>1</v>
      </c>
      <c r="F391" t="s">
        <v>0</v>
      </c>
      <c r="G391" t="str">
        <f>"2018-10-18 18:23:17"</f>
        <v>2018-10-18 18:23:17</v>
      </c>
    </row>
    <row r="392" spans="1:7" x14ac:dyDescent="0.2">
      <c r="A392" t="s">
        <v>2151</v>
      </c>
      <c r="B392" t="str">
        <f>"13411267738"</f>
        <v>13411267738</v>
      </c>
      <c r="C392" t="str">
        <f>"441422199203050598"</f>
        <v>441422199203050598</v>
      </c>
      <c r="D392" t="s">
        <v>2152</v>
      </c>
      <c r="E392" t="s">
        <v>2153</v>
      </c>
      <c r="F392" t="s">
        <v>0</v>
      </c>
      <c r="G392" t="str">
        <f>"2018-10-18 18:33:14"</f>
        <v>2018-10-18 18:33:14</v>
      </c>
    </row>
    <row r="393" spans="1:7" x14ac:dyDescent="0.2">
      <c r="A393" t="s">
        <v>2154</v>
      </c>
      <c r="B393" t="str">
        <f>"15814918327"</f>
        <v>15814918327</v>
      </c>
      <c r="C393" t="str">
        <f>"362329199405044815"</f>
        <v>362329199405044815</v>
      </c>
      <c r="D393" t="s">
        <v>1</v>
      </c>
      <c r="E393" t="s">
        <v>1</v>
      </c>
      <c r="F393" t="s">
        <v>0</v>
      </c>
      <c r="G393" t="str">
        <f>"2018-10-19 18:02:53"</f>
        <v>2018-10-19 18:02:53</v>
      </c>
    </row>
    <row r="394" spans="1:7" x14ac:dyDescent="0.2">
      <c r="A394" t="s">
        <v>1</v>
      </c>
      <c r="B394" t="str">
        <f>"15820112260"</f>
        <v>15820112260</v>
      </c>
      <c r="C394" t="s">
        <v>1</v>
      </c>
      <c r="D394" t="s">
        <v>1</v>
      </c>
      <c r="E394" t="s">
        <v>1</v>
      </c>
      <c r="F394" t="s">
        <v>0</v>
      </c>
      <c r="G394" t="str">
        <f>"2018-10-18 18:22:38"</f>
        <v>2018-10-18 18:22:38</v>
      </c>
    </row>
    <row r="395" spans="1:7" x14ac:dyDescent="0.2">
      <c r="A395" t="s">
        <v>2155</v>
      </c>
      <c r="B395" t="str">
        <f>"14769222073"</f>
        <v>14769222073</v>
      </c>
      <c r="C395" t="str">
        <f>"532626199106070553"</f>
        <v>532626199106070553</v>
      </c>
      <c r="D395" t="s">
        <v>2156</v>
      </c>
      <c r="E395" t="s">
        <v>2157</v>
      </c>
      <c r="F395" t="s">
        <v>0</v>
      </c>
      <c r="G395" t="str">
        <f>"2018-10-18 18:25:40"</f>
        <v>2018-10-18 18:25:40</v>
      </c>
    </row>
    <row r="396" spans="1:7" x14ac:dyDescent="0.2">
      <c r="A396" t="s">
        <v>2158</v>
      </c>
      <c r="B396" t="str">
        <f>"18605480605"</f>
        <v>18605480605</v>
      </c>
      <c r="C396" t="str">
        <f>"37098319830205323X"</f>
        <v>37098319830205323X</v>
      </c>
      <c r="D396" t="s">
        <v>2159</v>
      </c>
      <c r="E396" t="s">
        <v>2160</v>
      </c>
      <c r="F396" t="s">
        <v>0</v>
      </c>
      <c r="G396" t="str">
        <f>"2018-10-26 19:04:27"</f>
        <v>2018-10-26 19:04:27</v>
      </c>
    </row>
    <row r="397" spans="1:7" x14ac:dyDescent="0.2">
      <c r="A397" t="s">
        <v>1</v>
      </c>
      <c r="B397" t="str">
        <f>"15183331992"</f>
        <v>15183331992</v>
      </c>
      <c r="C397" t="s">
        <v>1</v>
      </c>
      <c r="D397" t="s">
        <v>1</v>
      </c>
      <c r="E397" t="s">
        <v>1</v>
      </c>
      <c r="F397" t="s">
        <v>0</v>
      </c>
      <c r="G397" t="str">
        <f>"2018-10-18 18:21:59"</f>
        <v>2018-10-18 18:21:59</v>
      </c>
    </row>
    <row r="398" spans="1:7" x14ac:dyDescent="0.2">
      <c r="A398" t="s">
        <v>1</v>
      </c>
      <c r="B398" t="str">
        <f>"13892159165"</f>
        <v>13892159165</v>
      </c>
      <c r="C398" t="s">
        <v>1</v>
      </c>
      <c r="D398" t="s">
        <v>1</v>
      </c>
      <c r="E398" t="s">
        <v>1</v>
      </c>
      <c r="F398" t="s">
        <v>0</v>
      </c>
      <c r="G398" t="str">
        <f>"2018-10-19 00:21:08"</f>
        <v>2018-10-19 00:21:08</v>
      </c>
    </row>
    <row r="399" spans="1:7" x14ac:dyDescent="0.2">
      <c r="A399" t="s">
        <v>1</v>
      </c>
      <c r="B399" t="str">
        <f>"15111023081"</f>
        <v>15111023081</v>
      </c>
      <c r="C399" t="s">
        <v>1</v>
      </c>
      <c r="D399" t="s">
        <v>1</v>
      </c>
      <c r="E399" t="s">
        <v>1</v>
      </c>
      <c r="F399" t="s">
        <v>0</v>
      </c>
      <c r="G399" t="str">
        <f>"2018-10-18 18:25:20"</f>
        <v>2018-10-18 18:25:20</v>
      </c>
    </row>
    <row r="400" spans="1:7" x14ac:dyDescent="0.2">
      <c r="A400" t="s">
        <v>1</v>
      </c>
      <c r="B400" t="str">
        <f>"13644623807"</f>
        <v>13644623807</v>
      </c>
      <c r="C400" t="s">
        <v>1</v>
      </c>
      <c r="D400" t="s">
        <v>1</v>
      </c>
      <c r="E400" t="s">
        <v>1</v>
      </c>
      <c r="F400" t="s">
        <v>0</v>
      </c>
      <c r="G400" t="str">
        <f>"2018-10-18 18:21:37"</f>
        <v>2018-10-18 18:21:37</v>
      </c>
    </row>
    <row r="401" spans="1:7" x14ac:dyDescent="0.2">
      <c r="A401" t="s">
        <v>2161</v>
      </c>
      <c r="B401" t="str">
        <f>"18842510244"</f>
        <v>18842510244</v>
      </c>
      <c r="C401" t="str">
        <f>"210111199010151027"</f>
        <v>210111199010151027</v>
      </c>
      <c r="D401" t="s">
        <v>1</v>
      </c>
      <c r="E401" t="s">
        <v>1</v>
      </c>
      <c r="F401" t="s">
        <v>0</v>
      </c>
      <c r="G401" t="str">
        <f>"2018-10-18 18:24:31"</f>
        <v>2018-10-18 18:24:31</v>
      </c>
    </row>
    <row r="402" spans="1:7" x14ac:dyDescent="0.2">
      <c r="A402" t="s">
        <v>1</v>
      </c>
      <c r="B402" t="str">
        <f>"17727560073"</f>
        <v>17727560073</v>
      </c>
      <c r="C402" t="s">
        <v>1</v>
      </c>
      <c r="D402" t="s">
        <v>1</v>
      </c>
      <c r="E402" t="s">
        <v>1</v>
      </c>
      <c r="F402" t="s">
        <v>0</v>
      </c>
      <c r="G402" t="str">
        <f>"2018-10-18 18:21:13"</f>
        <v>2018-10-18 18:21:13</v>
      </c>
    </row>
    <row r="403" spans="1:7" x14ac:dyDescent="0.2">
      <c r="A403" t="s">
        <v>1</v>
      </c>
      <c r="B403" t="str">
        <f>"15132971915"</f>
        <v>15132971915</v>
      </c>
      <c r="C403" t="s">
        <v>1</v>
      </c>
      <c r="D403" t="s">
        <v>1</v>
      </c>
      <c r="E403" t="s">
        <v>1</v>
      </c>
      <c r="F403" t="s">
        <v>0</v>
      </c>
      <c r="G403" t="str">
        <f>"2018-10-18 18:21:10"</f>
        <v>2018-10-18 18:21:10</v>
      </c>
    </row>
    <row r="404" spans="1:7" x14ac:dyDescent="0.2">
      <c r="A404" t="s">
        <v>2162</v>
      </c>
      <c r="B404" t="str">
        <f>"13504810481"</f>
        <v>13504810481</v>
      </c>
      <c r="C404" t="str">
        <f>"230129198801274229"</f>
        <v>230129198801274229</v>
      </c>
      <c r="D404" t="s">
        <v>1</v>
      </c>
      <c r="E404" t="s">
        <v>1</v>
      </c>
      <c r="F404" t="s">
        <v>0</v>
      </c>
      <c r="G404" t="str">
        <f>"2018-11-01 14:49:58"</f>
        <v>2018-11-01 14:49:58</v>
      </c>
    </row>
    <row r="405" spans="1:7" x14ac:dyDescent="0.2">
      <c r="A405" t="s">
        <v>1</v>
      </c>
      <c r="B405" t="str">
        <f>"18276832100"</f>
        <v>18276832100</v>
      </c>
      <c r="C405" t="s">
        <v>1</v>
      </c>
      <c r="D405" t="s">
        <v>1</v>
      </c>
      <c r="E405" t="s">
        <v>1</v>
      </c>
      <c r="F405" t="s">
        <v>0</v>
      </c>
      <c r="G405" t="str">
        <f>"2018-10-18 18:20:50"</f>
        <v>2018-10-18 18:20:50</v>
      </c>
    </row>
    <row r="406" spans="1:7" x14ac:dyDescent="0.2">
      <c r="A406" t="s">
        <v>2163</v>
      </c>
      <c r="B406" t="str">
        <f>"13538693386"</f>
        <v>13538693386</v>
      </c>
      <c r="C406" t="str">
        <f>"44190019841128561X"</f>
        <v>44190019841128561X</v>
      </c>
      <c r="D406" t="s">
        <v>1</v>
      </c>
      <c r="E406" t="s">
        <v>1</v>
      </c>
      <c r="F406" t="s">
        <v>0</v>
      </c>
      <c r="G406" t="str">
        <f>"2018-10-24 20:04:45"</f>
        <v>2018-10-24 20:04:45</v>
      </c>
    </row>
    <row r="407" spans="1:7" x14ac:dyDescent="0.2">
      <c r="A407" t="s">
        <v>1</v>
      </c>
      <c r="B407" t="str">
        <f>"13979993704"</f>
        <v>13979993704</v>
      </c>
      <c r="C407" t="s">
        <v>1</v>
      </c>
      <c r="D407" t="s">
        <v>1</v>
      </c>
      <c r="E407" t="s">
        <v>1</v>
      </c>
      <c r="F407" t="s">
        <v>0</v>
      </c>
      <c r="G407" t="str">
        <f>"2018-10-18 18:20:39"</f>
        <v>2018-10-18 18:20:39</v>
      </c>
    </row>
    <row r="408" spans="1:7" x14ac:dyDescent="0.2">
      <c r="A408" t="s">
        <v>1</v>
      </c>
      <c r="B408" t="str">
        <f>"18799531840"</f>
        <v>18799531840</v>
      </c>
      <c r="C408" t="s">
        <v>1</v>
      </c>
      <c r="D408" t="s">
        <v>1</v>
      </c>
      <c r="E408" t="s">
        <v>1</v>
      </c>
      <c r="F408" t="s">
        <v>0</v>
      </c>
      <c r="G408" t="str">
        <f>"2018-10-18 18:20:28"</f>
        <v>2018-10-18 18:20:28</v>
      </c>
    </row>
    <row r="409" spans="1:7" x14ac:dyDescent="0.2">
      <c r="A409" t="s">
        <v>391</v>
      </c>
      <c r="B409" t="str">
        <f>"15510942066"</f>
        <v>15510942066</v>
      </c>
      <c r="C409" t="str">
        <f>"120223199412070018"</f>
        <v>120223199412070018</v>
      </c>
      <c r="D409" t="s">
        <v>2164</v>
      </c>
      <c r="E409" t="s">
        <v>2164</v>
      </c>
      <c r="F409" t="s">
        <v>0</v>
      </c>
      <c r="G409" t="str">
        <f>"2018-10-18 18:22:22"</f>
        <v>2018-10-18 18:22:22</v>
      </c>
    </row>
    <row r="410" spans="1:7" x14ac:dyDescent="0.2">
      <c r="A410" t="s">
        <v>2165</v>
      </c>
      <c r="B410" t="str">
        <f>"13566144430"</f>
        <v>13566144430</v>
      </c>
      <c r="C410" t="str">
        <f>"330825198007202427"</f>
        <v>330825198007202427</v>
      </c>
      <c r="D410" t="s">
        <v>1</v>
      </c>
      <c r="E410" t="s">
        <v>1</v>
      </c>
      <c r="F410" t="s">
        <v>0</v>
      </c>
      <c r="G410" t="str">
        <f>"2018-10-18 18:22:07"</f>
        <v>2018-10-18 18:22:07</v>
      </c>
    </row>
    <row r="411" spans="1:7" x14ac:dyDescent="0.2">
      <c r="A411" t="s">
        <v>1</v>
      </c>
      <c r="B411" t="str">
        <f>"13927174287"</f>
        <v>13927174287</v>
      </c>
      <c r="C411" t="s">
        <v>1</v>
      </c>
      <c r="D411" t="s">
        <v>1</v>
      </c>
      <c r="E411" t="s">
        <v>1</v>
      </c>
      <c r="F411" t="s">
        <v>0</v>
      </c>
      <c r="G411" t="str">
        <f>"2018-10-18 18:20:54"</f>
        <v>2018-10-18 18:20:54</v>
      </c>
    </row>
    <row r="412" spans="1:7" x14ac:dyDescent="0.2">
      <c r="A412" t="s">
        <v>2166</v>
      </c>
      <c r="B412" t="str">
        <f>"15148925784"</f>
        <v>15148925784</v>
      </c>
      <c r="C412" t="str">
        <f>"152224199907146524"</f>
        <v>152224199907146524</v>
      </c>
      <c r="D412" t="s">
        <v>1</v>
      </c>
      <c r="E412" t="s">
        <v>1</v>
      </c>
      <c r="F412" t="s">
        <v>0</v>
      </c>
      <c r="G412" t="str">
        <f>"2018-10-19 10:56:04"</f>
        <v>2018-10-19 10:56:04</v>
      </c>
    </row>
    <row r="413" spans="1:7" x14ac:dyDescent="0.2">
      <c r="A413" t="s">
        <v>2167</v>
      </c>
      <c r="B413" t="str">
        <f>"15992383405"</f>
        <v>15992383405</v>
      </c>
      <c r="C413" t="str">
        <f>"445121200208283610"</f>
        <v>445121200208283610</v>
      </c>
      <c r="D413" t="s">
        <v>1</v>
      </c>
      <c r="E413" t="s">
        <v>1</v>
      </c>
      <c r="F413" t="s">
        <v>0</v>
      </c>
      <c r="G413" t="str">
        <f>"2018-10-18 18:21:31"</f>
        <v>2018-10-18 18:21:31</v>
      </c>
    </row>
    <row r="414" spans="1:7" x14ac:dyDescent="0.2">
      <c r="A414" t="s">
        <v>136</v>
      </c>
      <c r="B414" t="str">
        <f>"15900769151"</f>
        <v>15900769151</v>
      </c>
      <c r="C414" t="str">
        <f>"321281198805183694"</f>
        <v>321281198805183694</v>
      </c>
      <c r="D414" t="s">
        <v>1</v>
      </c>
      <c r="E414" t="s">
        <v>1</v>
      </c>
      <c r="F414" t="s">
        <v>0</v>
      </c>
      <c r="G414" t="str">
        <f>"2018-10-18 18:20:31"</f>
        <v>2018-10-18 18:20:31</v>
      </c>
    </row>
    <row r="415" spans="1:7" x14ac:dyDescent="0.2">
      <c r="A415" t="s">
        <v>2168</v>
      </c>
      <c r="B415" t="str">
        <f>"17693232412"</f>
        <v>17693232412</v>
      </c>
      <c r="C415" t="str">
        <f>"620522198611243130"</f>
        <v>620522198611243130</v>
      </c>
      <c r="D415" t="s">
        <v>2169</v>
      </c>
      <c r="E415" t="s">
        <v>2170</v>
      </c>
      <c r="F415" t="s">
        <v>0</v>
      </c>
      <c r="G415" t="str">
        <f>"2018-10-18 18:22:06"</f>
        <v>2018-10-18 18:22:06</v>
      </c>
    </row>
    <row r="416" spans="1:7" x14ac:dyDescent="0.2">
      <c r="A416" t="s">
        <v>2171</v>
      </c>
      <c r="B416" t="str">
        <f>"13545208512"</f>
        <v>13545208512</v>
      </c>
      <c r="C416" t="str">
        <f>"420115198309277919"</f>
        <v>420115198309277919</v>
      </c>
      <c r="D416" t="s">
        <v>2172</v>
      </c>
      <c r="E416" t="s">
        <v>2173</v>
      </c>
      <c r="F416" t="s">
        <v>0</v>
      </c>
      <c r="G416" t="str">
        <f>"2018-10-18 18:21:15"</f>
        <v>2018-10-18 18:21:15</v>
      </c>
    </row>
    <row r="417" spans="1:7" x14ac:dyDescent="0.2">
      <c r="A417" t="s">
        <v>1</v>
      </c>
      <c r="B417" t="str">
        <f>"18790873538"</f>
        <v>18790873538</v>
      </c>
      <c r="C417" t="s">
        <v>1</v>
      </c>
      <c r="D417" t="s">
        <v>1</v>
      </c>
      <c r="E417" t="s">
        <v>1</v>
      </c>
      <c r="F417" t="s">
        <v>0</v>
      </c>
      <c r="G417" t="str">
        <f>"2018-10-18 18:18:46"</f>
        <v>2018-10-18 18:18:46</v>
      </c>
    </row>
    <row r="418" spans="1:7" x14ac:dyDescent="0.2">
      <c r="A418" t="s">
        <v>1</v>
      </c>
      <c r="B418" t="str">
        <f>"13700962430"</f>
        <v>13700962430</v>
      </c>
      <c r="C418" t="s">
        <v>1</v>
      </c>
      <c r="D418" t="s">
        <v>1</v>
      </c>
      <c r="E418" t="s">
        <v>1</v>
      </c>
      <c r="F418" t="s">
        <v>0</v>
      </c>
      <c r="G418" t="str">
        <f>"2018-10-18 18:18:44"</f>
        <v>2018-10-18 18:18:44</v>
      </c>
    </row>
    <row r="419" spans="1:7" x14ac:dyDescent="0.2">
      <c r="A419" t="s">
        <v>1</v>
      </c>
      <c r="B419" t="str">
        <f>"15059169870"</f>
        <v>15059169870</v>
      </c>
      <c r="C419" t="s">
        <v>1</v>
      </c>
      <c r="D419" t="s">
        <v>1</v>
      </c>
      <c r="E419" t="s">
        <v>1</v>
      </c>
      <c r="F419" t="s">
        <v>0</v>
      </c>
      <c r="G419" t="str">
        <f>"2018-10-18 18:18:20"</f>
        <v>2018-10-18 18:18:20</v>
      </c>
    </row>
    <row r="420" spans="1:7" x14ac:dyDescent="0.2">
      <c r="A420" t="s">
        <v>2174</v>
      </c>
      <c r="B420" t="str">
        <f>"13993048150"</f>
        <v>13993048150</v>
      </c>
      <c r="C420" t="str">
        <f>"622901199005150037"</f>
        <v>622901199005150037</v>
      </c>
      <c r="D420" t="s">
        <v>2175</v>
      </c>
      <c r="E420" t="s">
        <v>2176</v>
      </c>
      <c r="F420" t="s">
        <v>0</v>
      </c>
      <c r="G420" t="str">
        <f>"2018-10-18 18:23:22"</f>
        <v>2018-10-18 18:23:22</v>
      </c>
    </row>
    <row r="421" spans="1:7" x14ac:dyDescent="0.2">
      <c r="A421" t="s">
        <v>1</v>
      </c>
      <c r="B421" t="str">
        <f>"15862114594"</f>
        <v>15862114594</v>
      </c>
      <c r="C421" t="s">
        <v>1</v>
      </c>
      <c r="D421" t="s">
        <v>1</v>
      </c>
      <c r="E421" t="s">
        <v>1</v>
      </c>
      <c r="F421" t="s">
        <v>0</v>
      </c>
      <c r="G421" t="str">
        <f>"2018-10-18 18:17:49"</f>
        <v>2018-10-18 18:17:49</v>
      </c>
    </row>
    <row r="422" spans="1:7" x14ac:dyDescent="0.2">
      <c r="A422" t="s">
        <v>127</v>
      </c>
      <c r="B422" t="str">
        <f>"15353957006"</f>
        <v>15353957006</v>
      </c>
      <c r="C422" t="str">
        <f>"610522198807292039"</f>
        <v>610522198807292039</v>
      </c>
      <c r="D422" t="s">
        <v>1</v>
      </c>
      <c r="E422" t="s">
        <v>1</v>
      </c>
      <c r="F422" t="s">
        <v>0</v>
      </c>
      <c r="G422" t="str">
        <f>"2018-10-18 18:17:40"</f>
        <v>2018-10-18 18:17:40</v>
      </c>
    </row>
    <row r="423" spans="1:7" x14ac:dyDescent="0.2">
      <c r="A423" t="s">
        <v>2177</v>
      </c>
      <c r="B423" t="str">
        <f>"13463553661"</f>
        <v>13463553661</v>
      </c>
      <c r="C423" t="str">
        <f>"130224199411143121"</f>
        <v>130224199411143121</v>
      </c>
      <c r="D423" t="s">
        <v>2178</v>
      </c>
      <c r="E423" t="s">
        <v>2179</v>
      </c>
      <c r="F423" t="s">
        <v>0</v>
      </c>
      <c r="G423" t="str">
        <f>"2018-10-19 10:39:29"</f>
        <v>2018-10-19 10:39:29</v>
      </c>
    </row>
    <row r="424" spans="1:7" x14ac:dyDescent="0.2">
      <c r="A424" t="s">
        <v>2180</v>
      </c>
      <c r="B424" t="str">
        <f>"13352007199"</f>
        <v>13352007199</v>
      </c>
      <c r="C424" t="str">
        <f>"120110199009181212"</f>
        <v>120110199009181212</v>
      </c>
      <c r="D424" t="s">
        <v>1</v>
      </c>
      <c r="E424" t="s">
        <v>1</v>
      </c>
      <c r="F424" t="s">
        <v>0</v>
      </c>
      <c r="G424" t="str">
        <f>"2018-10-18 18:19:04"</f>
        <v>2018-10-18 18:19:04</v>
      </c>
    </row>
    <row r="425" spans="1:7" x14ac:dyDescent="0.2">
      <c r="A425" t="s">
        <v>2181</v>
      </c>
      <c r="B425" t="str">
        <f>"18574921770"</f>
        <v>18574921770</v>
      </c>
      <c r="C425" t="str">
        <f>"430921199510303848"</f>
        <v>430921199510303848</v>
      </c>
      <c r="D425" t="s">
        <v>2182</v>
      </c>
      <c r="E425" t="s">
        <v>2183</v>
      </c>
      <c r="F425" t="s">
        <v>0</v>
      </c>
      <c r="G425" t="str">
        <f>"2018-10-22 08:59:15"</f>
        <v>2018-10-22 08:59:15</v>
      </c>
    </row>
    <row r="426" spans="1:7" x14ac:dyDescent="0.2">
      <c r="A426" t="s">
        <v>1</v>
      </c>
      <c r="B426" t="str">
        <f>"13994750070"</f>
        <v>13994750070</v>
      </c>
      <c r="C426" t="s">
        <v>1</v>
      </c>
      <c r="D426" t="s">
        <v>1</v>
      </c>
      <c r="E426" t="s">
        <v>1</v>
      </c>
      <c r="F426" t="s">
        <v>0</v>
      </c>
      <c r="G426" t="str">
        <f>"2018-10-18 18:17:04"</f>
        <v>2018-10-18 18:17:04</v>
      </c>
    </row>
    <row r="427" spans="1:7" x14ac:dyDescent="0.2">
      <c r="A427" t="s">
        <v>1</v>
      </c>
      <c r="B427" t="str">
        <f>"15677389094"</f>
        <v>15677389094</v>
      </c>
      <c r="C427" t="s">
        <v>1</v>
      </c>
      <c r="D427" t="s">
        <v>1</v>
      </c>
      <c r="E427" t="s">
        <v>1</v>
      </c>
      <c r="F427" t="s">
        <v>0</v>
      </c>
      <c r="G427" t="str">
        <f>"2018-10-18 18:17:03"</f>
        <v>2018-10-18 18:17:03</v>
      </c>
    </row>
    <row r="428" spans="1:7" x14ac:dyDescent="0.2">
      <c r="A428" t="s">
        <v>1</v>
      </c>
      <c r="B428" t="str">
        <f>"18762297572"</f>
        <v>18762297572</v>
      </c>
      <c r="C428" t="s">
        <v>1</v>
      </c>
      <c r="D428" t="s">
        <v>1</v>
      </c>
      <c r="E428" t="s">
        <v>1</v>
      </c>
      <c r="F428" t="s">
        <v>0</v>
      </c>
      <c r="G428" t="str">
        <f>"2018-10-18 18:16:43"</f>
        <v>2018-10-18 18:16:43</v>
      </c>
    </row>
    <row r="429" spans="1:7" x14ac:dyDescent="0.2">
      <c r="A429" t="s">
        <v>1</v>
      </c>
      <c r="B429" t="str">
        <f>"15881455125"</f>
        <v>15881455125</v>
      </c>
      <c r="C429" t="s">
        <v>1</v>
      </c>
      <c r="D429" t="s">
        <v>1</v>
      </c>
      <c r="E429" t="s">
        <v>1</v>
      </c>
      <c r="F429" t="s">
        <v>0</v>
      </c>
      <c r="G429" t="str">
        <f>"2018-10-18 18:32:46"</f>
        <v>2018-10-18 18:32:46</v>
      </c>
    </row>
    <row r="430" spans="1:7" x14ac:dyDescent="0.2">
      <c r="A430" t="s">
        <v>2184</v>
      </c>
      <c r="B430" t="str">
        <f>"15925329520"</f>
        <v>15925329520</v>
      </c>
      <c r="C430" t="str">
        <f>"532525199807211716"</f>
        <v>532525199807211716</v>
      </c>
      <c r="D430" t="s">
        <v>1</v>
      </c>
      <c r="E430" t="s">
        <v>1</v>
      </c>
      <c r="F430" t="s">
        <v>0</v>
      </c>
      <c r="G430" t="str">
        <f>"2018-10-18 18:18:34"</f>
        <v>2018-10-18 18:18:34</v>
      </c>
    </row>
    <row r="431" spans="1:7" x14ac:dyDescent="0.2">
      <c r="A431" t="s">
        <v>2185</v>
      </c>
      <c r="B431" t="str">
        <f>"13242571514"</f>
        <v>13242571514</v>
      </c>
      <c r="C431" t="str">
        <f>"445121199901103918"</f>
        <v>445121199901103918</v>
      </c>
      <c r="D431" t="s">
        <v>1</v>
      </c>
      <c r="E431" t="s">
        <v>1</v>
      </c>
      <c r="F431" t="s">
        <v>0</v>
      </c>
      <c r="G431" t="str">
        <f>"2018-10-18 18:54:07"</f>
        <v>2018-10-18 18:54:07</v>
      </c>
    </row>
    <row r="432" spans="1:7" x14ac:dyDescent="0.2">
      <c r="A432" t="s">
        <v>1</v>
      </c>
      <c r="B432" t="str">
        <f>"15198184041"</f>
        <v>15198184041</v>
      </c>
      <c r="C432" t="s">
        <v>1</v>
      </c>
      <c r="D432" t="s">
        <v>1</v>
      </c>
      <c r="E432" t="s">
        <v>1</v>
      </c>
      <c r="F432" t="s">
        <v>0</v>
      </c>
      <c r="G432" t="str">
        <f>"2018-10-18 18:16:19"</f>
        <v>2018-10-18 18:16:19</v>
      </c>
    </row>
    <row r="433" spans="1:7" x14ac:dyDescent="0.2">
      <c r="A433" t="s">
        <v>1</v>
      </c>
      <c r="B433" t="str">
        <f>"15392643746"</f>
        <v>15392643746</v>
      </c>
      <c r="C433" t="s">
        <v>1</v>
      </c>
      <c r="D433" t="s">
        <v>1</v>
      </c>
      <c r="E433" t="s">
        <v>1</v>
      </c>
      <c r="F433" t="s">
        <v>0</v>
      </c>
      <c r="G433" t="str">
        <f>"2018-10-18 18:16:07"</f>
        <v>2018-10-18 18:16:07</v>
      </c>
    </row>
    <row r="434" spans="1:7" x14ac:dyDescent="0.2">
      <c r="A434" t="s">
        <v>1848</v>
      </c>
      <c r="B434" t="str">
        <f>"18335267553"</f>
        <v>18335267553</v>
      </c>
      <c r="C434" t="str">
        <f>"140203199004197624"</f>
        <v>140203199004197624</v>
      </c>
      <c r="D434" t="s">
        <v>1</v>
      </c>
      <c r="E434" t="s">
        <v>1</v>
      </c>
      <c r="F434" t="s">
        <v>0</v>
      </c>
      <c r="G434" t="str">
        <f>"2018-10-18 18:17:22"</f>
        <v>2018-10-18 18:17:22</v>
      </c>
    </row>
    <row r="435" spans="1:7" x14ac:dyDescent="0.2">
      <c r="A435" t="s">
        <v>2186</v>
      </c>
      <c r="B435" t="str">
        <f>"15900799294"</f>
        <v>15900799294</v>
      </c>
      <c r="C435" t="str">
        <f>"370102199011144513"</f>
        <v>370102199011144513</v>
      </c>
      <c r="D435" t="s">
        <v>1</v>
      </c>
      <c r="E435" t="s">
        <v>1</v>
      </c>
      <c r="F435" t="s">
        <v>0</v>
      </c>
      <c r="G435" t="str">
        <f>"2018-10-26 17:43:32"</f>
        <v>2018-10-26 17:43:32</v>
      </c>
    </row>
    <row r="436" spans="1:7" x14ac:dyDescent="0.2">
      <c r="A436" t="s">
        <v>1</v>
      </c>
      <c r="B436" t="str">
        <f>"13150451210"</f>
        <v>13150451210</v>
      </c>
      <c r="C436" t="s">
        <v>1</v>
      </c>
      <c r="D436" t="s">
        <v>1</v>
      </c>
      <c r="E436" t="s">
        <v>1</v>
      </c>
      <c r="F436" t="s">
        <v>0</v>
      </c>
      <c r="G436" t="str">
        <f>"2018-10-18 18:17:10"</f>
        <v>2018-10-18 18:17:10</v>
      </c>
    </row>
    <row r="437" spans="1:7" x14ac:dyDescent="0.2">
      <c r="A437" t="s">
        <v>455</v>
      </c>
      <c r="B437" t="str">
        <f>"18658279796"</f>
        <v>18658279796</v>
      </c>
      <c r="C437" t="str">
        <f>"610327198907043110"</f>
        <v>610327198907043110</v>
      </c>
      <c r="D437" t="s">
        <v>1</v>
      </c>
      <c r="E437" t="s">
        <v>1</v>
      </c>
      <c r="F437" t="s">
        <v>0</v>
      </c>
      <c r="G437" t="str">
        <f>"2018-10-18 18:20:37"</f>
        <v>2018-10-18 18:20:37</v>
      </c>
    </row>
    <row r="438" spans="1:7" x14ac:dyDescent="0.2">
      <c r="A438" t="s">
        <v>1</v>
      </c>
      <c r="B438" t="str">
        <f>"13394835959"</f>
        <v>13394835959</v>
      </c>
      <c r="C438" t="s">
        <v>1</v>
      </c>
      <c r="D438" t="s">
        <v>1</v>
      </c>
      <c r="E438" t="s">
        <v>1</v>
      </c>
      <c r="F438" t="s">
        <v>0</v>
      </c>
      <c r="G438" t="str">
        <f>"2018-10-18 18:15:05"</f>
        <v>2018-10-18 18:15:05</v>
      </c>
    </row>
    <row r="439" spans="1:7" x14ac:dyDescent="0.2">
      <c r="A439" t="s">
        <v>2187</v>
      </c>
      <c r="B439" t="str">
        <f>"15234376600"</f>
        <v>15234376600</v>
      </c>
      <c r="C439" t="str">
        <f>"142727199101160516"</f>
        <v>142727199101160516</v>
      </c>
      <c r="D439" t="s">
        <v>1</v>
      </c>
      <c r="E439" t="s">
        <v>1</v>
      </c>
      <c r="F439" t="s">
        <v>0</v>
      </c>
      <c r="G439" t="str">
        <f>"2018-10-18 18:16:18"</f>
        <v>2018-10-18 18:16:18</v>
      </c>
    </row>
    <row r="440" spans="1:7" x14ac:dyDescent="0.2">
      <c r="A440" t="s">
        <v>1</v>
      </c>
      <c r="B440" t="str">
        <f>"15393630323"</f>
        <v>15393630323</v>
      </c>
      <c r="C440" t="s">
        <v>1</v>
      </c>
      <c r="D440" t="s">
        <v>1</v>
      </c>
      <c r="E440" t="s">
        <v>1</v>
      </c>
      <c r="F440" t="s">
        <v>0</v>
      </c>
      <c r="G440" t="str">
        <f>"2018-10-18 18:15:58"</f>
        <v>2018-10-18 18:15:58</v>
      </c>
    </row>
    <row r="441" spans="1:7" x14ac:dyDescent="0.2">
      <c r="A441" t="s">
        <v>2188</v>
      </c>
      <c r="B441" t="str">
        <f>"18202558054"</f>
        <v>18202558054</v>
      </c>
      <c r="C441" t="str">
        <f>"120106198805171518"</f>
        <v>120106198805171518</v>
      </c>
      <c r="D441" t="s">
        <v>1</v>
      </c>
      <c r="E441" t="s">
        <v>1</v>
      </c>
      <c r="F441" t="s">
        <v>0</v>
      </c>
      <c r="G441" t="str">
        <f>"2018-10-19 08:16:12"</f>
        <v>2018-10-19 08:16:12</v>
      </c>
    </row>
    <row r="442" spans="1:7" x14ac:dyDescent="0.2">
      <c r="A442" t="s">
        <v>1</v>
      </c>
      <c r="B442" t="str">
        <f>"15106965142"</f>
        <v>15106965142</v>
      </c>
      <c r="C442" t="s">
        <v>1</v>
      </c>
      <c r="D442" t="s">
        <v>1</v>
      </c>
      <c r="E442" t="s">
        <v>1</v>
      </c>
      <c r="F442" t="s">
        <v>0</v>
      </c>
      <c r="G442" t="str">
        <f>"2018-10-18 18:16:38"</f>
        <v>2018-10-18 18:16:38</v>
      </c>
    </row>
    <row r="443" spans="1:7" x14ac:dyDescent="0.2">
      <c r="A443" t="s">
        <v>1</v>
      </c>
      <c r="B443" t="str">
        <f>"15838164734"</f>
        <v>15838164734</v>
      </c>
      <c r="C443" t="s">
        <v>1</v>
      </c>
      <c r="D443" t="s">
        <v>1</v>
      </c>
      <c r="E443" t="s">
        <v>1</v>
      </c>
      <c r="F443" t="s">
        <v>0</v>
      </c>
      <c r="G443" t="str">
        <f>"2018-10-18 18:14:08"</f>
        <v>2018-10-18 18:14:08</v>
      </c>
    </row>
    <row r="444" spans="1:7" x14ac:dyDescent="0.2">
      <c r="A444" t="s">
        <v>2189</v>
      </c>
      <c r="B444" t="str">
        <f>"18552011664"</f>
        <v>18552011664</v>
      </c>
      <c r="C444" t="str">
        <f>"320282199012173277"</f>
        <v>320282199012173277</v>
      </c>
      <c r="D444" t="s">
        <v>2190</v>
      </c>
      <c r="E444" t="s">
        <v>2191</v>
      </c>
      <c r="F444" t="s">
        <v>0</v>
      </c>
      <c r="G444" t="str">
        <f>"2018-10-18 18:50:30"</f>
        <v>2018-10-18 18:50:30</v>
      </c>
    </row>
    <row r="445" spans="1:7" x14ac:dyDescent="0.2">
      <c r="A445" t="s">
        <v>1</v>
      </c>
      <c r="B445" t="str">
        <f>"15613755676"</f>
        <v>15613755676</v>
      </c>
      <c r="C445" t="s">
        <v>1</v>
      </c>
      <c r="D445" t="s">
        <v>1</v>
      </c>
      <c r="E445" t="s">
        <v>1</v>
      </c>
      <c r="F445" t="s">
        <v>0</v>
      </c>
      <c r="G445" t="str">
        <f>"2018-10-18 18:18:00"</f>
        <v>2018-10-18 18:18:00</v>
      </c>
    </row>
    <row r="446" spans="1:7" x14ac:dyDescent="0.2">
      <c r="A446" t="s">
        <v>2192</v>
      </c>
      <c r="B446" t="str">
        <f>"18980837375"</f>
        <v>18980837375</v>
      </c>
      <c r="C446" t="str">
        <f>"510107199609252971"</f>
        <v>510107199609252971</v>
      </c>
      <c r="D446" t="s">
        <v>1</v>
      </c>
      <c r="E446" t="s">
        <v>1</v>
      </c>
      <c r="F446" t="s">
        <v>0</v>
      </c>
      <c r="G446" t="str">
        <f>"2018-10-18 18:15:36"</f>
        <v>2018-10-18 18:15:36</v>
      </c>
    </row>
    <row r="447" spans="1:7" x14ac:dyDescent="0.2">
      <c r="A447" t="s">
        <v>2193</v>
      </c>
      <c r="B447" t="str">
        <f>"18688611125"</f>
        <v>18688611125</v>
      </c>
      <c r="C447" t="str">
        <f>"452227199609091238"</f>
        <v>452227199609091238</v>
      </c>
      <c r="D447" t="s">
        <v>1</v>
      </c>
      <c r="E447" t="s">
        <v>1</v>
      </c>
      <c r="F447" t="s">
        <v>0</v>
      </c>
      <c r="G447" t="str">
        <f>"2018-10-18 18:15:51"</f>
        <v>2018-10-18 18:15:51</v>
      </c>
    </row>
    <row r="448" spans="1:7" x14ac:dyDescent="0.2">
      <c r="A448" t="s">
        <v>2194</v>
      </c>
      <c r="B448" t="str">
        <f>"18052683216"</f>
        <v>18052683216</v>
      </c>
      <c r="C448" t="str">
        <f>"321281198610286706"</f>
        <v>321281198610286706</v>
      </c>
      <c r="D448" t="s">
        <v>1</v>
      </c>
      <c r="E448" t="s">
        <v>1</v>
      </c>
      <c r="F448" t="s">
        <v>0</v>
      </c>
      <c r="G448" t="str">
        <f>"2018-10-20 09:20:20"</f>
        <v>2018-10-20 09:20:20</v>
      </c>
    </row>
    <row r="449" spans="1:7" x14ac:dyDescent="0.2">
      <c r="A449" t="s">
        <v>823</v>
      </c>
      <c r="B449" t="str">
        <f>"13269239183"</f>
        <v>13269239183</v>
      </c>
      <c r="C449" t="str">
        <f>"130732199409010335"</f>
        <v>130732199409010335</v>
      </c>
      <c r="D449" t="s">
        <v>1</v>
      </c>
      <c r="E449" t="s">
        <v>1</v>
      </c>
      <c r="F449" t="s">
        <v>0</v>
      </c>
      <c r="G449" t="str">
        <f>"2018-10-18 18:15:55"</f>
        <v>2018-10-18 18:15:55</v>
      </c>
    </row>
    <row r="450" spans="1:7" x14ac:dyDescent="0.2">
      <c r="A450" t="s">
        <v>1</v>
      </c>
      <c r="B450" t="str">
        <f>"15338010587"</f>
        <v>15338010587</v>
      </c>
      <c r="C450" t="s">
        <v>1</v>
      </c>
      <c r="D450" t="s">
        <v>1</v>
      </c>
      <c r="E450" t="s">
        <v>1</v>
      </c>
      <c r="F450" t="s">
        <v>0</v>
      </c>
      <c r="G450" t="str">
        <f>"2018-10-18 18:13:16"</f>
        <v>2018-10-18 18:13:16</v>
      </c>
    </row>
    <row r="451" spans="1:7" x14ac:dyDescent="0.2">
      <c r="A451" t="s">
        <v>1</v>
      </c>
      <c r="B451" t="str">
        <f>"15829745003"</f>
        <v>15829745003</v>
      </c>
      <c r="C451" t="s">
        <v>1</v>
      </c>
      <c r="D451" t="s">
        <v>1</v>
      </c>
      <c r="E451" t="s">
        <v>1</v>
      </c>
      <c r="F451" t="s">
        <v>0</v>
      </c>
      <c r="G451" t="str">
        <f>"2018-10-18 18:13:08"</f>
        <v>2018-10-18 18:13:08</v>
      </c>
    </row>
    <row r="452" spans="1:7" x14ac:dyDescent="0.2">
      <c r="A452" t="s">
        <v>287</v>
      </c>
      <c r="B452" t="str">
        <f>"13936881173"</f>
        <v>13936881173</v>
      </c>
      <c r="C452" t="str">
        <f>"230381198711085017"</f>
        <v>230381198711085017</v>
      </c>
      <c r="D452" t="s">
        <v>1</v>
      </c>
      <c r="E452" t="s">
        <v>1</v>
      </c>
      <c r="F452" t="s">
        <v>0</v>
      </c>
      <c r="G452" t="str">
        <f>"2018-10-18 18:16:24"</f>
        <v>2018-10-18 18:16:24</v>
      </c>
    </row>
    <row r="453" spans="1:7" x14ac:dyDescent="0.2">
      <c r="A453" t="s">
        <v>2195</v>
      </c>
      <c r="B453" t="str">
        <f>"13249144259"</f>
        <v>13249144259</v>
      </c>
      <c r="C453" t="str">
        <f>"440229199610244210"</f>
        <v>440229199610244210</v>
      </c>
      <c r="D453" t="s">
        <v>2196</v>
      </c>
      <c r="E453" t="s">
        <v>2197</v>
      </c>
      <c r="F453" t="s">
        <v>0</v>
      </c>
      <c r="G453" t="str">
        <f>"2018-10-27 23:24:59"</f>
        <v>2018-10-27 23:24:59</v>
      </c>
    </row>
    <row r="454" spans="1:7" x14ac:dyDescent="0.2">
      <c r="A454" t="s">
        <v>1</v>
      </c>
      <c r="B454" t="str">
        <f>"18846424469"</f>
        <v>18846424469</v>
      </c>
      <c r="C454" t="s">
        <v>1</v>
      </c>
      <c r="D454" t="s">
        <v>1</v>
      </c>
      <c r="E454" t="s">
        <v>1</v>
      </c>
      <c r="F454" t="s">
        <v>0</v>
      </c>
      <c r="G454" t="str">
        <f>"2018-10-18 18:12:58"</f>
        <v>2018-10-18 18:12:58</v>
      </c>
    </row>
    <row r="455" spans="1:7" x14ac:dyDescent="0.2">
      <c r="A455" t="s">
        <v>2198</v>
      </c>
      <c r="B455" t="str">
        <f>"15070829562"</f>
        <v>15070829562</v>
      </c>
      <c r="C455" t="str">
        <f>"360101199102036034"</f>
        <v>360101199102036034</v>
      </c>
      <c r="D455" t="s">
        <v>1</v>
      </c>
      <c r="E455" t="s">
        <v>1</v>
      </c>
      <c r="F455" t="s">
        <v>0</v>
      </c>
      <c r="G455" t="str">
        <f>"2018-10-18 18:17:29"</f>
        <v>2018-10-18 18:17:29</v>
      </c>
    </row>
    <row r="456" spans="1:7" x14ac:dyDescent="0.2">
      <c r="A456" t="s">
        <v>1</v>
      </c>
      <c r="B456" t="str">
        <f>"15995262717"</f>
        <v>15995262717</v>
      </c>
      <c r="C456" t="s">
        <v>1</v>
      </c>
      <c r="D456" t="s">
        <v>1</v>
      </c>
      <c r="E456" t="s">
        <v>1</v>
      </c>
      <c r="F456" t="s">
        <v>0</v>
      </c>
      <c r="G456" t="str">
        <f>"2018-10-18 18:15:36"</f>
        <v>2018-10-18 18:15:36</v>
      </c>
    </row>
    <row r="457" spans="1:7" x14ac:dyDescent="0.2">
      <c r="A457" t="s">
        <v>2199</v>
      </c>
      <c r="B457" t="str">
        <f>"13787773237"</f>
        <v>13787773237</v>
      </c>
      <c r="C457" t="str">
        <f>"431003197409261313"</f>
        <v>431003197409261313</v>
      </c>
      <c r="D457" t="s">
        <v>1</v>
      </c>
      <c r="E457" t="s">
        <v>1</v>
      </c>
      <c r="F457" t="s">
        <v>0</v>
      </c>
      <c r="G457" t="str">
        <f>"2018-10-18 18:12:31"</f>
        <v>2018-10-18 18:12:31</v>
      </c>
    </row>
    <row r="458" spans="1:7" x14ac:dyDescent="0.2">
      <c r="A458" t="s">
        <v>2200</v>
      </c>
      <c r="B458" t="str">
        <f>"15563627287"</f>
        <v>15563627287</v>
      </c>
      <c r="C458" t="str">
        <f>"371311199010162670"</f>
        <v>371311199010162670</v>
      </c>
      <c r="D458" t="s">
        <v>1</v>
      </c>
      <c r="E458" t="s">
        <v>1</v>
      </c>
      <c r="F458" t="s">
        <v>0</v>
      </c>
      <c r="G458" t="str">
        <f>"2018-10-18 18:15:54"</f>
        <v>2018-10-18 18:15:54</v>
      </c>
    </row>
    <row r="459" spans="1:7" x14ac:dyDescent="0.2">
      <c r="A459" t="s">
        <v>2201</v>
      </c>
      <c r="B459" t="str">
        <f>"15811907113"</f>
        <v>15811907113</v>
      </c>
      <c r="C459" t="str">
        <f>"441322199504051417"</f>
        <v>441322199504051417</v>
      </c>
      <c r="D459" t="s">
        <v>1</v>
      </c>
      <c r="E459" t="s">
        <v>1</v>
      </c>
      <c r="F459" t="s">
        <v>0</v>
      </c>
      <c r="G459" t="str">
        <f>"2018-10-18 18:12:30"</f>
        <v>2018-10-18 18:12:30</v>
      </c>
    </row>
    <row r="460" spans="1:7" x14ac:dyDescent="0.2">
      <c r="A460" t="s">
        <v>1502</v>
      </c>
      <c r="B460" t="str">
        <f>"18256704828"</f>
        <v>18256704828</v>
      </c>
      <c r="C460" t="str">
        <f>"34160219971005718X"</f>
        <v>34160219971005718X</v>
      </c>
      <c r="D460" t="s">
        <v>1</v>
      </c>
      <c r="E460" t="s">
        <v>1</v>
      </c>
      <c r="F460" t="s">
        <v>0</v>
      </c>
      <c r="G460" t="str">
        <f>"2018-10-18 18:12:19"</f>
        <v>2018-10-18 18:12:19</v>
      </c>
    </row>
    <row r="461" spans="1:7" x14ac:dyDescent="0.2">
      <c r="A461" t="s">
        <v>2202</v>
      </c>
      <c r="B461" t="str">
        <f>"13960339054"</f>
        <v>13960339054</v>
      </c>
      <c r="C461" t="str">
        <f>"350521199011097566"</f>
        <v>350521199011097566</v>
      </c>
      <c r="D461" t="s">
        <v>1</v>
      </c>
      <c r="E461" t="s">
        <v>1</v>
      </c>
      <c r="F461" t="s">
        <v>0</v>
      </c>
      <c r="G461" t="str">
        <f>"2018-10-18 18:11:59"</f>
        <v>2018-10-18 18:11:59</v>
      </c>
    </row>
    <row r="462" spans="1:7" x14ac:dyDescent="0.2">
      <c r="A462" t="s">
        <v>1</v>
      </c>
      <c r="B462" t="str">
        <f>"15107690267"</f>
        <v>15107690267</v>
      </c>
      <c r="C462" t="s">
        <v>1</v>
      </c>
      <c r="D462" t="s">
        <v>1</v>
      </c>
      <c r="E462" t="s">
        <v>1</v>
      </c>
      <c r="F462" t="s">
        <v>0</v>
      </c>
      <c r="G462" t="str">
        <f>"2018-10-18 18:11:54"</f>
        <v>2018-10-18 18:11:54</v>
      </c>
    </row>
    <row r="463" spans="1:7" x14ac:dyDescent="0.2">
      <c r="A463" t="s">
        <v>2203</v>
      </c>
      <c r="B463" t="str">
        <f>"18996189975"</f>
        <v>18996189975</v>
      </c>
      <c r="C463" t="str">
        <f>"500381199010244919"</f>
        <v>500381199010244919</v>
      </c>
      <c r="D463" t="s">
        <v>1</v>
      </c>
      <c r="E463" t="s">
        <v>1</v>
      </c>
      <c r="F463" t="s">
        <v>0</v>
      </c>
      <c r="G463" t="str">
        <f>"2018-10-18 18:11:54"</f>
        <v>2018-10-18 18:11:54</v>
      </c>
    </row>
    <row r="464" spans="1:7" x14ac:dyDescent="0.2">
      <c r="A464" t="s">
        <v>2204</v>
      </c>
      <c r="B464" t="str">
        <f>"18873586877"</f>
        <v>18873586877</v>
      </c>
      <c r="C464" t="str">
        <f>"431023198912123321"</f>
        <v>431023198912123321</v>
      </c>
      <c r="D464" t="s">
        <v>1</v>
      </c>
      <c r="E464" t="s">
        <v>1</v>
      </c>
      <c r="F464" t="s">
        <v>0</v>
      </c>
      <c r="G464" t="str">
        <f>"2018-10-18 18:37:36"</f>
        <v>2018-10-18 18:37:36</v>
      </c>
    </row>
    <row r="465" spans="1:7" x14ac:dyDescent="0.2">
      <c r="A465" t="s">
        <v>2205</v>
      </c>
      <c r="B465" t="str">
        <f>"17320501479"</f>
        <v>17320501479</v>
      </c>
      <c r="C465" t="str">
        <f>"421126199709134735"</f>
        <v>421126199709134735</v>
      </c>
      <c r="D465" t="s">
        <v>2206</v>
      </c>
      <c r="E465" t="s">
        <v>2207</v>
      </c>
      <c r="F465" t="s">
        <v>0</v>
      </c>
      <c r="G465" t="str">
        <f>"2018-10-23 12:40:36"</f>
        <v>2018-10-23 12:40:36</v>
      </c>
    </row>
    <row r="466" spans="1:7" x14ac:dyDescent="0.2">
      <c r="A466" t="s">
        <v>1</v>
      </c>
      <c r="B466" t="str">
        <f>"13967895523"</f>
        <v>13967895523</v>
      </c>
      <c r="C466" t="s">
        <v>1</v>
      </c>
      <c r="D466" t="s">
        <v>1</v>
      </c>
      <c r="E466" t="s">
        <v>1</v>
      </c>
      <c r="F466" t="s">
        <v>0</v>
      </c>
      <c r="G466" t="str">
        <f>"2018-10-18 18:11:31"</f>
        <v>2018-10-18 18:11:31</v>
      </c>
    </row>
    <row r="467" spans="1:7" x14ac:dyDescent="0.2">
      <c r="A467" t="s">
        <v>2208</v>
      </c>
      <c r="B467" t="str">
        <f>"15529503235"</f>
        <v>15529503235</v>
      </c>
      <c r="C467" t="str">
        <f>"610502199801047613"</f>
        <v>610502199801047613</v>
      </c>
      <c r="D467" t="s">
        <v>1</v>
      </c>
      <c r="E467" t="s">
        <v>1</v>
      </c>
      <c r="F467" t="s">
        <v>0</v>
      </c>
      <c r="G467" t="str">
        <f>"2018-10-18 18:15:15"</f>
        <v>2018-10-18 18:15:15</v>
      </c>
    </row>
    <row r="468" spans="1:7" x14ac:dyDescent="0.2">
      <c r="A468" t="s">
        <v>1</v>
      </c>
      <c r="B468" t="str">
        <f>"13217789554"</f>
        <v>13217789554</v>
      </c>
      <c r="C468" t="s">
        <v>1</v>
      </c>
      <c r="D468" t="s">
        <v>1</v>
      </c>
      <c r="E468" t="s">
        <v>1</v>
      </c>
      <c r="F468" t="s">
        <v>0</v>
      </c>
      <c r="G468" t="str">
        <f>"2018-10-18 18:11:19"</f>
        <v>2018-10-18 18:11:19</v>
      </c>
    </row>
    <row r="469" spans="1:7" x14ac:dyDescent="0.2">
      <c r="A469" t="s">
        <v>2209</v>
      </c>
      <c r="B469" t="str">
        <f>"18398914994"</f>
        <v>18398914994</v>
      </c>
      <c r="C469" t="str">
        <f>"513701198707211623"</f>
        <v>513701198707211623</v>
      </c>
      <c r="D469" t="s">
        <v>1</v>
      </c>
      <c r="E469" t="s">
        <v>1</v>
      </c>
      <c r="F469" t="s">
        <v>0</v>
      </c>
      <c r="G469" t="str">
        <f>"2018-10-18 18:13:11"</f>
        <v>2018-10-18 18:13:11</v>
      </c>
    </row>
    <row r="470" spans="1:7" x14ac:dyDescent="0.2">
      <c r="A470" t="s">
        <v>2210</v>
      </c>
      <c r="B470" t="str">
        <f>"18664696223"</f>
        <v>18664696223</v>
      </c>
      <c r="C470" t="str">
        <f>"430223197606076913"</f>
        <v>430223197606076913</v>
      </c>
      <c r="D470" t="s">
        <v>1</v>
      </c>
      <c r="E470" t="s">
        <v>1</v>
      </c>
      <c r="F470" t="s">
        <v>0</v>
      </c>
      <c r="G470" t="str">
        <f>"2018-10-18 18:16:12"</f>
        <v>2018-10-18 18:16:12</v>
      </c>
    </row>
    <row r="471" spans="1:7" x14ac:dyDescent="0.2">
      <c r="A471" t="s">
        <v>2211</v>
      </c>
      <c r="B471" t="str">
        <f>"13707029589"</f>
        <v>13707029589</v>
      </c>
      <c r="C471" t="str">
        <f>"362121197310050111"</f>
        <v>362121197310050111</v>
      </c>
      <c r="D471" t="s">
        <v>1</v>
      </c>
      <c r="E471" t="s">
        <v>1</v>
      </c>
      <c r="F471" t="s">
        <v>0</v>
      </c>
      <c r="G471" t="str">
        <f>"2018-10-19 08:32:10"</f>
        <v>2018-10-19 08:32:10</v>
      </c>
    </row>
    <row r="472" spans="1:7" x14ac:dyDescent="0.2">
      <c r="A472" t="s">
        <v>1</v>
      </c>
      <c r="B472" t="str">
        <f>"15517997099"</f>
        <v>15517997099</v>
      </c>
      <c r="C472" t="s">
        <v>1</v>
      </c>
      <c r="D472" t="s">
        <v>1</v>
      </c>
      <c r="E472" t="s">
        <v>1</v>
      </c>
      <c r="F472" t="s">
        <v>0</v>
      </c>
      <c r="G472" t="str">
        <f>"2018-10-18 18:10:44"</f>
        <v>2018-10-18 18:10:44</v>
      </c>
    </row>
    <row r="473" spans="1:7" x14ac:dyDescent="0.2">
      <c r="A473" t="s">
        <v>2212</v>
      </c>
      <c r="B473" t="str">
        <f>"18702919337"</f>
        <v>18702919337</v>
      </c>
      <c r="C473" t="str">
        <f>"421083199706250038"</f>
        <v>421083199706250038</v>
      </c>
      <c r="D473" t="s">
        <v>1</v>
      </c>
      <c r="E473" t="s">
        <v>1</v>
      </c>
      <c r="F473" t="s">
        <v>0</v>
      </c>
      <c r="G473" t="str">
        <f>"2018-10-18 18:10:35"</f>
        <v>2018-10-18 18:10:35</v>
      </c>
    </row>
    <row r="474" spans="1:7" x14ac:dyDescent="0.2">
      <c r="A474" t="s">
        <v>2213</v>
      </c>
      <c r="B474" t="str">
        <f>"15054125519"</f>
        <v>15054125519</v>
      </c>
      <c r="C474" t="str">
        <f>"370481199707272910"</f>
        <v>370481199707272910</v>
      </c>
      <c r="D474" t="s">
        <v>1</v>
      </c>
      <c r="E474" t="s">
        <v>1</v>
      </c>
      <c r="F474" t="s">
        <v>0</v>
      </c>
      <c r="G474" t="str">
        <f>"2018-10-18 18:26:47"</f>
        <v>2018-10-18 18:26:47</v>
      </c>
    </row>
    <row r="475" spans="1:7" x14ac:dyDescent="0.2">
      <c r="A475" t="s">
        <v>2214</v>
      </c>
      <c r="B475" t="str">
        <f>"15957232366"</f>
        <v>15957232366</v>
      </c>
      <c r="C475" t="str">
        <f>"330522198707175110"</f>
        <v>330522198707175110</v>
      </c>
      <c r="D475" t="s">
        <v>2215</v>
      </c>
      <c r="E475" t="s">
        <v>2216</v>
      </c>
      <c r="F475" t="s">
        <v>0</v>
      </c>
      <c r="G475" t="str">
        <f>"2018-10-18 18:11:41"</f>
        <v>2018-10-18 18:11:41</v>
      </c>
    </row>
    <row r="476" spans="1:7" x14ac:dyDescent="0.2">
      <c r="A476" t="s">
        <v>2217</v>
      </c>
      <c r="B476" t="str">
        <f>"13751225261"</f>
        <v>13751225261</v>
      </c>
      <c r="C476" t="str">
        <f>"431021198105137476"</f>
        <v>431021198105137476</v>
      </c>
      <c r="D476" t="s">
        <v>1</v>
      </c>
      <c r="E476" t="s">
        <v>1</v>
      </c>
      <c r="F476" t="s">
        <v>0</v>
      </c>
      <c r="G476" t="str">
        <f>"2018-10-19 13:32:02"</f>
        <v>2018-10-19 13:32:02</v>
      </c>
    </row>
    <row r="477" spans="1:7" x14ac:dyDescent="0.2">
      <c r="A477" t="s">
        <v>2218</v>
      </c>
      <c r="B477" t="str">
        <f>"18382726454"</f>
        <v>18382726454</v>
      </c>
      <c r="C477" t="str">
        <f>"513701199302231647"</f>
        <v>513701199302231647</v>
      </c>
      <c r="D477" t="s">
        <v>1</v>
      </c>
      <c r="E477" t="s">
        <v>1</v>
      </c>
      <c r="F477" t="s">
        <v>0</v>
      </c>
      <c r="G477" t="str">
        <f>"2018-10-18 18:10:54"</f>
        <v>2018-10-18 18:10:54</v>
      </c>
    </row>
    <row r="478" spans="1:7" x14ac:dyDescent="0.2">
      <c r="A478" t="s">
        <v>1</v>
      </c>
      <c r="B478" t="str">
        <f>"13763234423"</f>
        <v>13763234423</v>
      </c>
      <c r="C478" t="s">
        <v>1</v>
      </c>
      <c r="D478" t="s">
        <v>1</v>
      </c>
      <c r="E478" t="s">
        <v>1</v>
      </c>
      <c r="F478" t="s">
        <v>0</v>
      </c>
      <c r="G478" t="str">
        <f>"2018-10-18 18:09:36"</f>
        <v>2018-10-18 18:09:36</v>
      </c>
    </row>
    <row r="479" spans="1:7" x14ac:dyDescent="0.2">
      <c r="A479" t="s">
        <v>2219</v>
      </c>
      <c r="B479" t="str">
        <f>"17760213599"</f>
        <v>17760213599</v>
      </c>
      <c r="C479" t="str">
        <f>"41282119860104101X"</f>
        <v>41282119860104101X</v>
      </c>
      <c r="D479" t="s">
        <v>2220</v>
      </c>
      <c r="E479" t="s">
        <v>2221</v>
      </c>
      <c r="F479" t="s">
        <v>0</v>
      </c>
      <c r="G479" t="str">
        <f>"2018-10-18 18:10:20"</f>
        <v>2018-10-18 18:10:20</v>
      </c>
    </row>
    <row r="480" spans="1:7" x14ac:dyDescent="0.2">
      <c r="A480" t="s">
        <v>2222</v>
      </c>
      <c r="B480" t="str">
        <f>"15067054460"</f>
        <v>15067054460</v>
      </c>
      <c r="C480" t="str">
        <f>"330681198808209290"</f>
        <v>330681198808209290</v>
      </c>
      <c r="D480" t="s">
        <v>1</v>
      </c>
      <c r="E480" t="s">
        <v>1</v>
      </c>
      <c r="F480" t="s">
        <v>0</v>
      </c>
      <c r="G480" t="str">
        <f>"2018-10-18 18:18:10"</f>
        <v>2018-10-18 18:18:10</v>
      </c>
    </row>
    <row r="481" spans="1:7" x14ac:dyDescent="0.2">
      <c r="A481" t="s">
        <v>1</v>
      </c>
      <c r="B481" t="str">
        <f>"17802574702"</f>
        <v>17802574702</v>
      </c>
      <c r="C481" t="s">
        <v>1</v>
      </c>
      <c r="D481" t="s">
        <v>1</v>
      </c>
      <c r="E481" t="s">
        <v>1</v>
      </c>
      <c r="F481" t="s">
        <v>0</v>
      </c>
      <c r="G481" t="str">
        <f>"2018-10-18 18:09:07"</f>
        <v>2018-10-18 18:09:07</v>
      </c>
    </row>
    <row r="482" spans="1:7" x14ac:dyDescent="0.2">
      <c r="A482" t="s">
        <v>1</v>
      </c>
      <c r="B482" t="str">
        <f>"18861238837"</f>
        <v>18861238837</v>
      </c>
      <c r="C482" t="s">
        <v>1</v>
      </c>
      <c r="D482" t="s">
        <v>1</v>
      </c>
      <c r="E482" t="s">
        <v>1</v>
      </c>
      <c r="F482" t="s">
        <v>0</v>
      </c>
      <c r="G482" t="str">
        <f>"2018-10-18 18:08:55"</f>
        <v>2018-10-18 18:08:55</v>
      </c>
    </row>
    <row r="483" spans="1:7" x14ac:dyDescent="0.2">
      <c r="A483" t="s">
        <v>2223</v>
      </c>
      <c r="B483" t="str">
        <f>"15958978759"</f>
        <v>15958978759</v>
      </c>
      <c r="C483" t="str">
        <f>"330719198308196312"</f>
        <v>330719198308196312</v>
      </c>
      <c r="D483" t="s">
        <v>1</v>
      </c>
      <c r="E483" t="s">
        <v>1</v>
      </c>
      <c r="F483" t="s">
        <v>0</v>
      </c>
      <c r="G483" t="str">
        <f>"2018-10-18 18:10:34"</f>
        <v>2018-10-18 18:10:34</v>
      </c>
    </row>
    <row r="484" spans="1:7" x14ac:dyDescent="0.2">
      <c r="A484" t="s">
        <v>1</v>
      </c>
      <c r="B484" t="str">
        <f>"13414649856"</f>
        <v>13414649856</v>
      </c>
      <c r="C484" t="s">
        <v>1</v>
      </c>
      <c r="D484" t="s">
        <v>1</v>
      </c>
      <c r="E484" t="s">
        <v>1</v>
      </c>
      <c r="F484" t="s">
        <v>0</v>
      </c>
      <c r="G484" t="str">
        <f>"2018-10-18 18:12:43"</f>
        <v>2018-10-18 18:12:43</v>
      </c>
    </row>
    <row r="485" spans="1:7" x14ac:dyDescent="0.2">
      <c r="A485" t="s">
        <v>859</v>
      </c>
      <c r="B485" t="str">
        <f>"15216328807"</f>
        <v>15216328807</v>
      </c>
      <c r="C485" t="str">
        <f>"370481198112062936"</f>
        <v>370481198112062936</v>
      </c>
      <c r="D485" t="s">
        <v>2224</v>
      </c>
      <c r="E485" t="s">
        <v>2225</v>
      </c>
      <c r="F485" t="s">
        <v>0</v>
      </c>
      <c r="G485" t="str">
        <f>"2018-10-18 18:11:51"</f>
        <v>2018-10-18 18:11:51</v>
      </c>
    </row>
    <row r="486" spans="1:7" x14ac:dyDescent="0.2">
      <c r="A486" t="s">
        <v>2226</v>
      </c>
      <c r="B486" t="str">
        <f>"13778709358"</f>
        <v>13778709358</v>
      </c>
      <c r="C486" t="str">
        <f>"510922199511283929"</f>
        <v>510922199511283929</v>
      </c>
      <c r="D486" t="s">
        <v>1</v>
      </c>
      <c r="E486" t="s">
        <v>1</v>
      </c>
      <c r="F486" t="s">
        <v>0</v>
      </c>
      <c r="G486" t="str">
        <f>"2018-10-18 18:10:57"</f>
        <v>2018-10-18 18:10:57</v>
      </c>
    </row>
    <row r="487" spans="1:7" x14ac:dyDescent="0.2">
      <c r="A487" t="s">
        <v>1</v>
      </c>
      <c r="B487" t="str">
        <f>"13074697801"</f>
        <v>13074697801</v>
      </c>
      <c r="C487" t="s">
        <v>1</v>
      </c>
      <c r="D487" t="s">
        <v>1</v>
      </c>
      <c r="E487" t="s">
        <v>1</v>
      </c>
      <c r="F487" t="s">
        <v>0</v>
      </c>
      <c r="G487" t="str">
        <f>"2018-10-18 18:07:39"</f>
        <v>2018-10-18 18:07:39</v>
      </c>
    </row>
    <row r="488" spans="1:7" x14ac:dyDescent="0.2">
      <c r="A488" t="s">
        <v>2227</v>
      </c>
      <c r="B488" t="str">
        <f>"18652453707"</f>
        <v>18652453707</v>
      </c>
      <c r="C488" t="str">
        <f>"320283199105240375"</f>
        <v>320283199105240375</v>
      </c>
      <c r="D488" t="s">
        <v>1</v>
      </c>
      <c r="E488" t="s">
        <v>1</v>
      </c>
      <c r="F488" t="s">
        <v>0</v>
      </c>
      <c r="G488" t="str">
        <f>"2018-10-27 20:24:15"</f>
        <v>2018-10-27 20:24:15</v>
      </c>
    </row>
    <row r="489" spans="1:7" x14ac:dyDescent="0.2">
      <c r="A489" t="s">
        <v>2228</v>
      </c>
      <c r="B489" t="str">
        <f>"18561688585"</f>
        <v>18561688585</v>
      </c>
      <c r="C489" t="str">
        <f>"370282198604090015"</f>
        <v>370282198604090015</v>
      </c>
      <c r="D489" t="s">
        <v>1</v>
      </c>
      <c r="E489" t="s">
        <v>1</v>
      </c>
      <c r="F489" t="s">
        <v>0</v>
      </c>
      <c r="G489" t="str">
        <f>"2018-10-18 18:08:57"</f>
        <v>2018-10-18 18:08:57</v>
      </c>
    </row>
    <row r="490" spans="1:7" x14ac:dyDescent="0.2">
      <c r="A490" t="s">
        <v>1</v>
      </c>
      <c r="B490" t="str">
        <f>"13279448427"</f>
        <v>13279448427</v>
      </c>
      <c r="C490" t="s">
        <v>1</v>
      </c>
      <c r="D490" t="s">
        <v>1</v>
      </c>
      <c r="E490" t="s">
        <v>1</v>
      </c>
      <c r="F490" t="s">
        <v>0</v>
      </c>
      <c r="G490" t="str">
        <f>"2018-10-18 18:06:59"</f>
        <v>2018-10-18 18:06:59</v>
      </c>
    </row>
    <row r="491" spans="1:7" x14ac:dyDescent="0.2">
      <c r="A491" t="s">
        <v>2229</v>
      </c>
      <c r="B491" t="str">
        <f>"17666286928"</f>
        <v>17666286928</v>
      </c>
      <c r="C491" t="str">
        <f>"441302199212012533"</f>
        <v>441302199212012533</v>
      </c>
      <c r="D491" t="s">
        <v>1</v>
      </c>
      <c r="E491" t="s">
        <v>1</v>
      </c>
      <c r="F491" t="s">
        <v>0</v>
      </c>
      <c r="G491" t="str">
        <f>"2018-10-18 18:10:58"</f>
        <v>2018-10-18 18:10:58</v>
      </c>
    </row>
    <row r="492" spans="1:7" x14ac:dyDescent="0.2">
      <c r="A492" t="s">
        <v>1</v>
      </c>
      <c r="B492" t="str">
        <f>"18889551027"</f>
        <v>18889551027</v>
      </c>
      <c r="C492" t="s">
        <v>1</v>
      </c>
      <c r="D492" t="s">
        <v>1</v>
      </c>
      <c r="E492" t="s">
        <v>1</v>
      </c>
      <c r="F492" t="s">
        <v>0</v>
      </c>
      <c r="G492" t="str">
        <f>"2018-10-18 18:06:48"</f>
        <v>2018-10-18 18:06:48</v>
      </c>
    </row>
    <row r="493" spans="1:7" x14ac:dyDescent="0.2">
      <c r="A493" t="s">
        <v>2230</v>
      </c>
      <c r="B493" t="str">
        <f>"18302240090"</f>
        <v>18302240090</v>
      </c>
      <c r="C493" t="str">
        <f>"120102198702223818"</f>
        <v>120102198702223818</v>
      </c>
      <c r="D493" t="s">
        <v>1</v>
      </c>
      <c r="E493" t="s">
        <v>1</v>
      </c>
      <c r="F493" t="s">
        <v>0</v>
      </c>
      <c r="G493" t="str">
        <f>"2018-10-18 18:07:17"</f>
        <v>2018-10-18 18:07:17</v>
      </c>
    </row>
    <row r="494" spans="1:7" x14ac:dyDescent="0.2">
      <c r="A494" t="s">
        <v>1</v>
      </c>
      <c r="B494" t="str">
        <f>"13610416501"</f>
        <v>13610416501</v>
      </c>
      <c r="C494" t="s">
        <v>1</v>
      </c>
      <c r="D494" t="s">
        <v>1</v>
      </c>
      <c r="E494" t="s">
        <v>1</v>
      </c>
      <c r="F494" t="s">
        <v>0</v>
      </c>
      <c r="G494" t="str">
        <f>"2018-10-18 18:06:07"</f>
        <v>2018-10-18 18:06:07</v>
      </c>
    </row>
    <row r="495" spans="1:7" x14ac:dyDescent="0.2">
      <c r="A495" t="s">
        <v>1</v>
      </c>
      <c r="B495" t="str">
        <f>"13574078464"</f>
        <v>13574078464</v>
      </c>
      <c r="C495" t="s">
        <v>1</v>
      </c>
      <c r="D495" t="s">
        <v>1</v>
      </c>
      <c r="E495" t="s">
        <v>1</v>
      </c>
      <c r="F495" t="s">
        <v>0</v>
      </c>
      <c r="G495" t="str">
        <f>"2018-10-18 18:05:59"</f>
        <v>2018-10-18 18:05:59</v>
      </c>
    </row>
    <row r="496" spans="1:7" x14ac:dyDescent="0.2">
      <c r="A496" t="s">
        <v>2231</v>
      </c>
      <c r="B496" t="str">
        <f>"13795274934"</f>
        <v>13795274934</v>
      </c>
      <c r="C496" t="str">
        <f>"31011319871220552X"</f>
        <v>31011319871220552X</v>
      </c>
      <c r="D496" t="s">
        <v>1</v>
      </c>
      <c r="E496" t="s">
        <v>1</v>
      </c>
      <c r="F496" t="s">
        <v>0</v>
      </c>
      <c r="G496" t="str">
        <f>"2018-10-18 18:06:03"</f>
        <v>2018-10-18 18:06:03</v>
      </c>
    </row>
    <row r="497" spans="1:7" x14ac:dyDescent="0.2">
      <c r="A497" t="s">
        <v>2232</v>
      </c>
      <c r="B497" t="str">
        <f>"13458495975"</f>
        <v>13458495975</v>
      </c>
      <c r="C497" t="str">
        <f>"510683200004107519"</f>
        <v>510683200004107519</v>
      </c>
      <c r="D497" t="s">
        <v>2233</v>
      </c>
      <c r="E497" t="s">
        <v>2234</v>
      </c>
      <c r="F497" t="s">
        <v>0</v>
      </c>
      <c r="G497" t="str">
        <f>"2018-10-18 18:07:57"</f>
        <v>2018-10-18 18:07:57</v>
      </c>
    </row>
    <row r="498" spans="1:7" x14ac:dyDescent="0.2">
      <c r="A498" t="s">
        <v>2235</v>
      </c>
      <c r="B498" t="str">
        <f>"17692022057"</f>
        <v>17692022057</v>
      </c>
      <c r="C498" t="str">
        <f>"232330199602062613"</f>
        <v>232330199602062613</v>
      </c>
      <c r="D498" t="s">
        <v>1</v>
      </c>
      <c r="E498" t="s">
        <v>1</v>
      </c>
      <c r="F498" t="s">
        <v>0</v>
      </c>
      <c r="G498" t="str">
        <f>"2018-10-18 18:30:02"</f>
        <v>2018-10-18 18:30:02</v>
      </c>
    </row>
    <row r="499" spans="1:7" x14ac:dyDescent="0.2">
      <c r="A499" t="s">
        <v>2236</v>
      </c>
      <c r="B499" t="str">
        <f>"13543888610"</f>
        <v>13543888610</v>
      </c>
      <c r="C499" t="str">
        <f>"362425198404182613"</f>
        <v>362425198404182613</v>
      </c>
      <c r="D499" t="s">
        <v>1</v>
      </c>
      <c r="E499" t="s">
        <v>1</v>
      </c>
      <c r="F499" t="s">
        <v>0</v>
      </c>
      <c r="G499" t="str">
        <f>"2018-10-18 18:06:52"</f>
        <v>2018-10-18 18:06:52</v>
      </c>
    </row>
    <row r="500" spans="1:7" x14ac:dyDescent="0.2">
      <c r="A500" t="s">
        <v>1</v>
      </c>
      <c r="B500" t="str">
        <f>"15102741075"</f>
        <v>15102741075</v>
      </c>
      <c r="C500" t="s">
        <v>1</v>
      </c>
      <c r="D500" t="s">
        <v>1</v>
      </c>
      <c r="E500" t="s">
        <v>1</v>
      </c>
      <c r="F500" t="s">
        <v>0</v>
      </c>
      <c r="G500" t="str">
        <f>"2018-10-18 18:34:10"</f>
        <v>2018-10-18 18:34:10</v>
      </c>
    </row>
    <row r="501" spans="1:7" x14ac:dyDescent="0.2">
      <c r="A501" t="s">
        <v>460</v>
      </c>
      <c r="B501" t="str">
        <f>"13866493439"</f>
        <v>13866493439</v>
      </c>
      <c r="C501" t="str">
        <f>"342224199203010835"</f>
        <v>342224199203010835</v>
      </c>
      <c r="D501" t="s">
        <v>2237</v>
      </c>
      <c r="E501" t="s">
        <v>2238</v>
      </c>
      <c r="F501" t="s">
        <v>0</v>
      </c>
      <c r="G501" t="str">
        <f>"2018-10-18 18:07:37"</f>
        <v>2018-10-18 18:07:37</v>
      </c>
    </row>
    <row r="502" spans="1:7" x14ac:dyDescent="0.2">
      <c r="A502" t="s">
        <v>2239</v>
      </c>
      <c r="B502" t="str">
        <f>"17780907672"</f>
        <v>17780907672</v>
      </c>
      <c r="C502" t="str">
        <f>"320483198810020251"</f>
        <v>320483198810020251</v>
      </c>
      <c r="D502" t="s">
        <v>1</v>
      </c>
      <c r="E502" t="s">
        <v>1</v>
      </c>
      <c r="F502" t="s">
        <v>0</v>
      </c>
      <c r="G502" t="str">
        <f>"2018-10-18 18:05:04"</f>
        <v>2018-10-18 18:05:04</v>
      </c>
    </row>
    <row r="503" spans="1:7" x14ac:dyDescent="0.2">
      <c r="A503" t="s">
        <v>2240</v>
      </c>
      <c r="B503" t="str">
        <f>"18318800518"</f>
        <v>18318800518</v>
      </c>
      <c r="C503" t="str">
        <f>"441622198105161039"</f>
        <v>441622198105161039</v>
      </c>
      <c r="D503" t="s">
        <v>1</v>
      </c>
      <c r="E503" t="s">
        <v>1</v>
      </c>
      <c r="F503" t="s">
        <v>0</v>
      </c>
      <c r="G503" t="str">
        <f>"2018-11-05 14:24:31"</f>
        <v>2018-11-05 14:24:31</v>
      </c>
    </row>
    <row r="504" spans="1:7" x14ac:dyDescent="0.2">
      <c r="A504" t="s">
        <v>2241</v>
      </c>
      <c r="B504" t="str">
        <f>"13784400252"</f>
        <v>13784400252</v>
      </c>
      <c r="C504" t="str">
        <f>"130182198903294827"</f>
        <v>130182198903294827</v>
      </c>
      <c r="D504" t="s">
        <v>1</v>
      </c>
      <c r="E504" t="s">
        <v>1</v>
      </c>
      <c r="F504" t="s">
        <v>0</v>
      </c>
      <c r="G504" t="str">
        <f>"2018-10-18 18:18:40"</f>
        <v>2018-10-18 18:18:40</v>
      </c>
    </row>
    <row r="505" spans="1:7" x14ac:dyDescent="0.2">
      <c r="A505" t="s">
        <v>2242</v>
      </c>
      <c r="B505" t="str">
        <f>"15270309009"</f>
        <v>15270309009</v>
      </c>
      <c r="C505" t="str">
        <f>"362322199206116631"</f>
        <v>362322199206116631</v>
      </c>
      <c r="D505" t="s">
        <v>1</v>
      </c>
      <c r="E505" t="s">
        <v>1</v>
      </c>
      <c r="F505" t="s">
        <v>0</v>
      </c>
      <c r="G505" t="str">
        <f>"2018-10-18 18:06:19"</f>
        <v>2018-10-18 18:06:19</v>
      </c>
    </row>
    <row r="506" spans="1:7" x14ac:dyDescent="0.2">
      <c r="A506" t="s">
        <v>1</v>
      </c>
      <c r="B506" t="str">
        <f>"15869545891"</f>
        <v>15869545891</v>
      </c>
      <c r="C506" t="s">
        <v>1</v>
      </c>
      <c r="D506" t="s">
        <v>1</v>
      </c>
      <c r="E506" t="s">
        <v>1</v>
      </c>
      <c r="F506" t="s">
        <v>0</v>
      </c>
      <c r="G506" t="str">
        <f>"2018-10-18 18:54:57"</f>
        <v>2018-10-18 18:54:57</v>
      </c>
    </row>
    <row r="507" spans="1:7" x14ac:dyDescent="0.2">
      <c r="A507" t="s">
        <v>1</v>
      </c>
      <c r="B507" t="str">
        <f>"15133650000"</f>
        <v>15133650000</v>
      </c>
      <c r="C507" t="s">
        <v>1</v>
      </c>
      <c r="D507" t="s">
        <v>1</v>
      </c>
      <c r="E507" t="s">
        <v>1</v>
      </c>
      <c r="F507" t="s">
        <v>0</v>
      </c>
      <c r="G507" t="str">
        <f>"2018-10-18 18:05:50"</f>
        <v>2018-10-18 18:05:50</v>
      </c>
    </row>
    <row r="508" spans="1:7" x14ac:dyDescent="0.2">
      <c r="A508" t="s">
        <v>13</v>
      </c>
      <c r="B508" t="str">
        <f>"13824409834"</f>
        <v>13824409834</v>
      </c>
      <c r="C508" t="str">
        <f>"440102198006153216"</f>
        <v>440102198006153216</v>
      </c>
      <c r="D508" t="s">
        <v>1</v>
      </c>
      <c r="E508" t="s">
        <v>1</v>
      </c>
      <c r="F508" t="s">
        <v>0</v>
      </c>
      <c r="G508" t="str">
        <f>"2018-10-18 20:43:54"</f>
        <v>2018-10-18 20:43:54</v>
      </c>
    </row>
    <row r="509" spans="1:7" x14ac:dyDescent="0.2">
      <c r="A509" t="s">
        <v>2243</v>
      </c>
      <c r="B509" t="str">
        <f>"15827729401"</f>
        <v>15827729401</v>
      </c>
      <c r="C509" t="str">
        <f>"421087199010266512"</f>
        <v>421087199010266512</v>
      </c>
      <c r="D509" t="s">
        <v>1</v>
      </c>
      <c r="E509" t="s">
        <v>1</v>
      </c>
      <c r="F509" t="s">
        <v>0</v>
      </c>
      <c r="G509" t="str">
        <f>"2018-10-18 18:05:26"</f>
        <v>2018-10-18 18:05:26</v>
      </c>
    </row>
    <row r="510" spans="1:7" x14ac:dyDescent="0.2">
      <c r="A510" t="s">
        <v>1</v>
      </c>
      <c r="B510" t="str">
        <f>"17693423619"</f>
        <v>17693423619</v>
      </c>
      <c r="C510" t="s">
        <v>1</v>
      </c>
      <c r="D510" t="s">
        <v>1</v>
      </c>
      <c r="E510" t="s">
        <v>1</v>
      </c>
      <c r="F510" t="s">
        <v>0</v>
      </c>
      <c r="G510" t="str">
        <f>"2018-10-19 18:44:11"</f>
        <v>2018-10-19 18:44:11</v>
      </c>
    </row>
    <row r="511" spans="1:7" x14ac:dyDescent="0.2">
      <c r="A511" t="s">
        <v>2244</v>
      </c>
      <c r="B511" t="str">
        <f>"13957330547"</f>
        <v>13957330547</v>
      </c>
      <c r="C511" t="str">
        <f>"330425199711206416"</f>
        <v>330425199711206416</v>
      </c>
      <c r="D511" t="s">
        <v>1</v>
      </c>
      <c r="E511" t="s">
        <v>1</v>
      </c>
      <c r="F511" t="s">
        <v>0</v>
      </c>
      <c r="G511" t="str">
        <f>"2018-10-18 18:05:51"</f>
        <v>2018-10-18 18:05:51</v>
      </c>
    </row>
    <row r="512" spans="1:7" x14ac:dyDescent="0.2">
      <c r="A512" t="s">
        <v>2245</v>
      </c>
      <c r="B512" t="str">
        <f>"17726692397"</f>
        <v>17726692397</v>
      </c>
      <c r="C512" t="str">
        <f>"500236199208221651"</f>
        <v>500236199208221651</v>
      </c>
      <c r="D512" t="s">
        <v>1</v>
      </c>
      <c r="E512" t="s">
        <v>1</v>
      </c>
      <c r="F512" t="s">
        <v>0</v>
      </c>
      <c r="G512" t="str">
        <f>"2018-10-18 18:06:47"</f>
        <v>2018-10-18 18:06:47</v>
      </c>
    </row>
    <row r="513" spans="1:7" x14ac:dyDescent="0.2">
      <c r="A513" t="s">
        <v>2246</v>
      </c>
      <c r="B513" t="str">
        <f>"13191657891"</f>
        <v>13191657891</v>
      </c>
      <c r="C513" t="str">
        <f>"13063519830807083X"</f>
        <v>13063519830807083X</v>
      </c>
      <c r="D513" t="s">
        <v>1</v>
      </c>
      <c r="E513" t="s">
        <v>1</v>
      </c>
      <c r="F513" t="s">
        <v>0</v>
      </c>
      <c r="G513" t="str">
        <f>"2018-10-18 18:05:30"</f>
        <v>2018-10-18 18:05:30</v>
      </c>
    </row>
    <row r="514" spans="1:7" x14ac:dyDescent="0.2">
      <c r="A514" t="s">
        <v>1</v>
      </c>
      <c r="B514" t="str">
        <f>"13776301721"</f>
        <v>13776301721</v>
      </c>
      <c r="C514" t="s">
        <v>1</v>
      </c>
      <c r="D514" t="s">
        <v>1</v>
      </c>
      <c r="E514" t="s">
        <v>1</v>
      </c>
      <c r="F514" t="s">
        <v>0</v>
      </c>
      <c r="G514" t="str">
        <f>"2018-10-18 18:06:46"</f>
        <v>2018-10-18 18:06:46</v>
      </c>
    </row>
    <row r="515" spans="1:7" x14ac:dyDescent="0.2">
      <c r="A515" t="s">
        <v>262</v>
      </c>
      <c r="B515" t="str">
        <f>"15233112815"</f>
        <v>15233112815</v>
      </c>
      <c r="C515" t="str">
        <f>"320682199007104076"</f>
        <v>320682199007104076</v>
      </c>
      <c r="D515" t="s">
        <v>1</v>
      </c>
      <c r="E515" t="s">
        <v>1</v>
      </c>
      <c r="F515" t="s">
        <v>0</v>
      </c>
      <c r="G515" t="str">
        <f>"2018-10-18 18:22:12"</f>
        <v>2018-10-18 18:22:12</v>
      </c>
    </row>
    <row r="516" spans="1:7" x14ac:dyDescent="0.2">
      <c r="A516" t="s">
        <v>1798</v>
      </c>
      <c r="B516" t="str">
        <f>"15738558858"</f>
        <v>15738558858</v>
      </c>
      <c r="C516" t="str">
        <f>"410882198809125029"</f>
        <v>410882198809125029</v>
      </c>
      <c r="D516" t="s">
        <v>1</v>
      </c>
      <c r="E516" t="s">
        <v>1</v>
      </c>
      <c r="F516" t="s">
        <v>0</v>
      </c>
      <c r="G516" t="str">
        <f>"2018-11-04 17:27:11"</f>
        <v>2018-11-04 17:27:11</v>
      </c>
    </row>
    <row r="517" spans="1:7" x14ac:dyDescent="0.2">
      <c r="A517" t="s">
        <v>2247</v>
      </c>
      <c r="B517" t="str">
        <f>"15047925429"</f>
        <v>15047925429</v>
      </c>
      <c r="C517" t="str">
        <f>"152524198411275113"</f>
        <v>152524198411275113</v>
      </c>
      <c r="D517" t="s">
        <v>1</v>
      </c>
      <c r="E517" t="s">
        <v>1</v>
      </c>
      <c r="F517" t="s">
        <v>0</v>
      </c>
      <c r="G517" t="str">
        <f>"2018-10-20 08:32:13"</f>
        <v>2018-10-20 08:32:13</v>
      </c>
    </row>
    <row r="518" spans="1:7" x14ac:dyDescent="0.2">
      <c r="A518" t="s">
        <v>1182</v>
      </c>
      <c r="B518" t="str">
        <f>"17509405068"</f>
        <v>17509405068</v>
      </c>
      <c r="C518" t="str">
        <f>"620123198509025713"</f>
        <v>620123198509025713</v>
      </c>
      <c r="D518" t="s">
        <v>1</v>
      </c>
      <c r="E518" t="s">
        <v>1</v>
      </c>
      <c r="F518" t="s">
        <v>0</v>
      </c>
      <c r="G518" t="str">
        <f>"2018-10-28 09:24:54"</f>
        <v>2018-10-28 09:24:54</v>
      </c>
    </row>
    <row r="519" spans="1:7" x14ac:dyDescent="0.2">
      <c r="A519" t="s">
        <v>2248</v>
      </c>
      <c r="B519" t="str">
        <f>"15075318379"</f>
        <v>15075318379</v>
      </c>
      <c r="C519" t="str">
        <f>"130726199004302519"</f>
        <v>130726199004302519</v>
      </c>
      <c r="D519" t="s">
        <v>1</v>
      </c>
      <c r="E519" t="s">
        <v>1</v>
      </c>
      <c r="F519" t="s">
        <v>0</v>
      </c>
      <c r="G519" t="str">
        <f>"2018-10-18 18:04:23"</f>
        <v>2018-10-18 18:04:23</v>
      </c>
    </row>
    <row r="520" spans="1:7" x14ac:dyDescent="0.2">
      <c r="A520" t="s">
        <v>1</v>
      </c>
      <c r="B520" t="str">
        <f>"15885864357"</f>
        <v>15885864357</v>
      </c>
      <c r="C520" t="s">
        <v>1</v>
      </c>
      <c r="D520" t="s">
        <v>1</v>
      </c>
      <c r="E520" t="s">
        <v>1</v>
      </c>
      <c r="F520" t="s">
        <v>0</v>
      </c>
      <c r="G520" t="str">
        <f>"2018-10-18 18:02:22"</f>
        <v>2018-10-18 18:02:22</v>
      </c>
    </row>
    <row r="521" spans="1:7" x14ac:dyDescent="0.2">
      <c r="A521" t="s">
        <v>2249</v>
      </c>
      <c r="B521" t="str">
        <f>"14768720864"</f>
        <v>14768720864</v>
      </c>
      <c r="C521" t="str">
        <f>"370881198808244449"</f>
        <v>370881198808244449</v>
      </c>
      <c r="D521" t="s">
        <v>1</v>
      </c>
      <c r="E521" t="s">
        <v>1</v>
      </c>
      <c r="F521" t="s">
        <v>0</v>
      </c>
      <c r="G521" t="str">
        <f>"2018-10-18 18:28:39"</f>
        <v>2018-10-18 18:28:39</v>
      </c>
    </row>
    <row r="522" spans="1:7" x14ac:dyDescent="0.2">
      <c r="A522" t="s">
        <v>1</v>
      </c>
      <c r="B522" t="str">
        <f>"13400886422"</f>
        <v>13400886422</v>
      </c>
      <c r="C522" t="s">
        <v>1</v>
      </c>
      <c r="D522" t="s">
        <v>1</v>
      </c>
      <c r="E522" t="s">
        <v>1</v>
      </c>
      <c r="F522" t="s">
        <v>0</v>
      </c>
      <c r="G522" t="str">
        <f>"2018-10-18 18:02:12"</f>
        <v>2018-10-18 18:02:12</v>
      </c>
    </row>
    <row r="523" spans="1:7" x14ac:dyDescent="0.2">
      <c r="A523" t="s">
        <v>2250</v>
      </c>
      <c r="B523" t="str">
        <f>"13223592305"</f>
        <v>13223592305</v>
      </c>
      <c r="C523" t="str">
        <f>"142701198512191511"</f>
        <v>142701198512191511</v>
      </c>
      <c r="D523" t="s">
        <v>2251</v>
      </c>
      <c r="E523" t="s">
        <v>2252</v>
      </c>
      <c r="F523" t="s">
        <v>0</v>
      </c>
      <c r="G523" t="str">
        <f>"2018-10-18 18:15:52"</f>
        <v>2018-10-18 18:15:52</v>
      </c>
    </row>
    <row r="524" spans="1:7" x14ac:dyDescent="0.2">
      <c r="A524" t="s">
        <v>2253</v>
      </c>
      <c r="B524" t="str">
        <f>"17718245982"</f>
        <v>17718245982</v>
      </c>
      <c r="C524" t="str">
        <f>"340223200010133537"</f>
        <v>340223200010133537</v>
      </c>
      <c r="D524" t="s">
        <v>1</v>
      </c>
      <c r="E524" t="s">
        <v>1</v>
      </c>
      <c r="F524" t="s">
        <v>0</v>
      </c>
      <c r="G524" t="str">
        <f>"2018-10-18 18:10:44"</f>
        <v>2018-10-18 18:10:44</v>
      </c>
    </row>
    <row r="525" spans="1:7" x14ac:dyDescent="0.2">
      <c r="A525" t="s">
        <v>2254</v>
      </c>
      <c r="B525" t="str">
        <f>"13646207833"</f>
        <v>13646207833</v>
      </c>
      <c r="C525" t="str">
        <f>"140425199304163214"</f>
        <v>140425199304163214</v>
      </c>
      <c r="D525" t="s">
        <v>1</v>
      </c>
      <c r="E525" t="s">
        <v>1</v>
      </c>
      <c r="F525" t="s">
        <v>0</v>
      </c>
      <c r="G525" t="str">
        <f>"2018-10-18 18:03:15"</f>
        <v>2018-10-18 18:03:15</v>
      </c>
    </row>
    <row r="526" spans="1:7" x14ac:dyDescent="0.2">
      <c r="A526" t="s">
        <v>2255</v>
      </c>
      <c r="B526" t="str">
        <f>"17772927775"</f>
        <v>17772927775</v>
      </c>
      <c r="C526" t="str">
        <f>"612401199906035184"</f>
        <v>612401199906035184</v>
      </c>
      <c r="D526" t="s">
        <v>1</v>
      </c>
      <c r="E526" t="s">
        <v>1</v>
      </c>
      <c r="F526" t="s">
        <v>0</v>
      </c>
      <c r="G526" t="str">
        <f>"2018-10-18 18:01:18"</f>
        <v>2018-10-18 18:01:18</v>
      </c>
    </row>
    <row r="527" spans="1:7" x14ac:dyDescent="0.2">
      <c r="A527" t="s">
        <v>2256</v>
      </c>
      <c r="B527" t="str">
        <f>"15835480231"</f>
        <v>15835480231</v>
      </c>
      <c r="C527" t="str">
        <f>"142431199405250914"</f>
        <v>142431199405250914</v>
      </c>
      <c r="D527" t="s">
        <v>1</v>
      </c>
      <c r="E527" t="s">
        <v>1</v>
      </c>
      <c r="F527" t="s">
        <v>0</v>
      </c>
      <c r="G527" t="str">
        <f>"2018-10-22 10:07:57"</f>
        <v>2018-10-22 10:07:57</v>
      </c>
    </row>
    <row r="528" spans="1:7" x14ac:dyDescent="0.2">
      <c r="A528" t="s">
        <v>2257</v>
      </c>
      <c r="B528" t="str">
        <f>"17797520847"</f>
        <v>17797520847</v>
      </c>
      <c r="C528" t="str">
        <f>"622323199806104415"</f>
        <v>622323199806104415</v>
      </c>
      <c r="D528" t="s">
        <v>1</v>
      </c>
      <c r="E528" t="s">
        <v>1</v>
      </c>
      <c r="F528" t="s">
        <v>0</v>
      </c>
      <c r="G528" t="str">
        <f>"2018-11-04 11:02:01"</f>
        <v>2018-11-04 11:02:01</v>
      </c>
    </row>
    <row r="529" spans="1:7" x14ac:dyDescent="0.2">
      <c r="A529" t="s">
        <v>2258</v>
      </c>
      <c r="B529" t="str">
        <f>"13006825325"</f>
        <v>13006825325</v>
      </c>
      <c r="C529" t="str">
        <f>"411381199004051554"</f>
        <v>411381199004051554</v>
      </c>
      <c r="D529" t="s">
        <v>1</v>
      </c>
      <c r="E529" t="s">
        <v>1</v>
      </c>
      <c r="F529" t="s">
        <v>0</v>
      </c>
      <c r="G529" t="str">
        <f>"2018-10-18 18:00:22"</f>
        <v>2018-10-18 18:00:22</v>
      </c>
    </row>
    <row r="530" spans="1:7" x14ac:dyDescent="0.2">
      <c r="A530" t="s">
        <v>1</v>
      </c>
      <c r="B530" t="str">
        <f>"15204696544"</f>
        <v>15204696544</v>
      </c>
      <c r="C530" t="s">
        <v>1</v>
      </c>
      <c r="D530" t="s">
        <v>1</v>
      </c>
      <c r="E530" t="s">
        <v>1</v>
      </c>
      <c r="F530" t="s">
        <v>0</v>
      </c>
      <c r="G530" t="str">
        <f>"2018-10-18 18:02:22"</f>
        <v>2018-10-18 18:02:22</v>
      </c>
    </row>
    <row r="531" spans="1:7" x14ac:dyDescent="0.2">
      <c r="A531" t="s">
        <v>1416</v>
      </c>
      <c r="B531" t="str">
        <f>"17779522611"</f>
        <v>17779522611</v>
      </c>
      <c r="C531" t="str">
        <f>"362201199303190430"</f>
        <v>362201199303190430</v>
      </c>
      <c r="D531" t="s">
        <v>1</v>
      </c>
      <c r="E531" t="s">
        <v>1</v>
      </c>
      <c r="F531" t="s">
        <v>0</v>
      </c>
      <c r="G531" t="str">
        <f>"2018-10-18 18:02:10"</f>
        <v>2018-10-18 18:02:10</v>
      </c>
    </row>
    <row r="532" spans="1:7" x14ac:dyDescent="0.2">
      <c r="A532" t="s">
        <v>2259</v>
      </c>
      <c r="B532" t="str">
        <f>"15923070250"</f>
        <v>15923070250</v>
      </c>
      <c r="C532" t="str">
        <f>"500383199409101904"</f>
        <v>500383199409101904</v>
      </c>
      <c r="D532" t="s">
        <v>1</v>
      </c>
      <c r="E532" t="s">
        <v>1</v>
      </c>
      <c r="F532" t="s">
        <v>0</v>
      </c>
      <c r="G532" t="str">
        <f>"2018-10-18 18:01:18"</f>
        <v>2018-10-18 18:01:18</v>
      </c>
    </row>
    <row r="533" spans="1:7" x14ac:dyDescent="0.2">
      <c r="A533" t="s">
        <v>2260</v>
      </c>
      <c r="B533" t="str">
        <f>"15237336066"</f>
        <v>15237336066</v>
      </c>
      <c r="C533" t="str">
        <f>"41072819890129776X"</f>
        <v>41072819890129776X</v>
      </c>
      <c r="D533" t="s">
        <v>1</v>
      </c>
      <c r="E533" t="s">
        <v>1</v>
      </c>
      <c r="F533" t="s">
        <v>0</v>
      </c>
      <c r="G533" t="str">
        <f>"2018-10-18 18:03:26"</f>
        <v>2018-10-18 18:03:26</v>
      </c>
    </row>
    <row r="534" spans="1:7" x14ac:dyDescent="0.2">
      <c r="A534" t="s">
        <v>2261</v>
      </c>
      <c r="B534" t="str">
        <f>"15232646332"</f>
        <v>15232646332</v>
      </c>
      <c r="C534" t="str">
        <f>"130228197509084218"</f>
        <v>130228197509084218</v>
      </c>
      <c r="D534" t="s">
        <v>1</v>
      </c>
      <c r="E534" t="s">
        <v>1</v>
      </c>
      <c r="F534" t="s">
        <v>0</v>
      </c>
      <c r="G534" t="str">
        <f>"2018-10-19 06:06:36"</f>
        <v>2018-10-19 06:06:36</v>
      </c>
    </row>
    <row r="535" spans="1:7" x14ac:dyDescent="0.2">
      <c r="A535" t="s">
        <v>207</v>
      </c>
      <c r="B535" t="str">
        <f>"13808036696"</f>
        <v>13808036696</v>
      </c>
      <c r="C535" t="str">
        <f>"510103197008193422"</f>
        <v>510103197008193422</v>
      </c>
      <c r="D535" t="s">
        <v>1</v>
      </c>
      <c r="E535" t="s">
        <v>1</v>
      </c>
      <c r="F535" t="s">
        <v>0</v>
      </c>
      <c r="G535" t="str">
        <f>"2018-10-19 09:34:04"</f>
        <v>2018-10-19 09:34:04</v>
      </c>
    </row>
    <row r="536" spans="1:7" x14ac:dyDescent="0.2">
      <c r="A536" t="s">
        <v>2262</v>
      </c>
      <c r="B536" t="str">
        <f>"13507710122"</f>
        <v>13507710122</v>
      </c>
      <c r="C536" t="str">
        <f>"45010219711029151X"</f>
        <v>45010219711029151X</v>
      </c>
      <c r="D536" t="s">
        <v>1</v>
      </c>
      <c r="E536" t="s">
        <v>1</v>
      </c>
      <c r="F536" t="s">
        <v>0</v>
      </c>
      <c r="G536" t="str">
        <f>"2018-10-18 18:04:26"</f>
        <v>2018-10-18 18:04:26</v>
      </c>
    </row>
    <row r="537" spans="1:7" x14ac:dyDescent="0.2">
      <c r="A537" t="s">
        <v>2263</v>
      </c>
      <c r="B537" t="str">
        <f>"13262719826"</f>
        <v>13262719826</v>
      </c>
      <c r="C537" t="str">
        <f>"310229198602021216"</f>
        <v>310229198602021216</v>
      </c>
      <c r="D537" t="s">
        <v>1</v>
      </c>
      <c r="E537" t="s">
        <v>1</v>
      </c>
      <c r="F537" t="s">
        <v>0</v>
      </c>
      <c r="G537" t="str">
        <f>"2018-10-18 18:00:42"</f>
        <v>2018-10-18 18:00:42</v>
      </c>
    </row>
    <row r="538" spans="1:7" x14ac:dyDescent="0.2">
      <c r="A538" t="s">
        <v>1</v>
      </c>
      <c r="B538" t="str">
        <f>"13574744704"</f>
        <v>13574744704</v>
      </c>
      <c r="C538" t="s">
        <v>1</v>
      </c>
      <c r="D538" t="s">
        <v>1</v>
      </c>
      <c r="E538" t="s">
        <v>1</v>
      </c>
      <c r="F538" t="s">
        <v>0</v>
      </c>
      <c r="G538" t="str">
        <f>"2018-10-18 18:15:58"</f>
        <v>2018-10-18 18:15:58</v>
      </c>
    </row>
    <row r="539" spans="1:7" x14ac:dyDescent="0.2">
      <c r="A539" t="s">
        <v>2264</v>
      </c>
      <c r="B539" t="str">
        <f>"13560883886"</f>
        <v>13560883886</v>
      </c>
      <c r="C539" t="str">
        <f>"441900198608014311"</f>
        <v>441900198608014311</v>
      </c>
      <c r="D539" t="s">
        <v>1</v>
      </c>
      <c r="E539" t="s">
        <v>1</v>
      </c>
      <c r="F539" t="s">
        <v>0</v>
      </c>
      <c r="G539" t="str">
        <f>"2018-10-18 18:01:08"</f>
        <v>2018-10-18 18:01:08</v>
      </c>
    </row>
    <row r="540" spans="1:7" x14ac:dyDescent="0.2">
      <c r="A540" t="s">
        <v>1</v>
      </c>
      <c r="B540" t="str">
        <f>"13648320671"</f>
        <v>13648320671</v>
      </c>
      <c r="C540" t="s">
        <v>1</v>
      </c>
      <c r="D540" t="s">
        <v>1</v>
      </c>
      <c r="E540" t="s">
        <v>1</v>
      </c>
      <c r="F540" t="s">
        <v>0</v>
      </c>
      <c r="G540" t="str">
        <f>"2018-10-18 17:58:38"</f>
        <v>2018-10-18 17:58:38</v>
      </c>
    </row>
    <row r="541" spans="1:7" x14ac:dyDescent="0.2">
      <c r="A541" t="s">
        <v>2265</v>
      </c>
      <c r="B541" t="str">
        <f>"15701638535"</f>
        <v>15701638535</v>
      </c>
      <c r="C541" t="str">
        <f>"130821199612093769"</f>
        <v>130821199612093769</v>
      </c>
      <c r="D541" t="s">
        <v>1</v>
      </c>
      <c r="E541" t="s">
        <v>1</v>
      </c>
      <c r="F541" t="s">
        <v>0</v>
      </c>
      <c r="G541" t="str">
        <f>"2018-10-18 17:58:26"</f>
        <v>2018-10-18 17:58:26</v>
      </c>
    </row>
    <row r="542" spans="1:7" x14ac:dyDescent="0.2">
      <c r="A542" t="s">
        <v>2266</v>
      </c>
      <c r="B542" t="str">
        <f>"13510810262"</f>
        <v>13510810262</v>
      </c>
      <c r="C542" t="str">
        <f>"432302197701143032"</f>
        <v>432302197701143032</v>
      </c>
      <c r="D542" t="s">
        <v>1</v>
      </c>
      <c r="E542" t="s">
        <v>1</v>
      </c>
      <c r="F542" t="s">
        <v>0</v>
      </c>
      <c r="G542" t="str">
        <f>"2018-10-18 18:02:44"</f>
        <v>2018-10-18 18:02:44</v>
      </c>
    </row>
    <row r="543" spans="1:7" x14ac:dyDescent="0.2">
      <c r="A543" t="s">
        <v>2267</v>
      </c>
      <c r="B543" t="str">
        <f>"13030773826"</f>
        <v>13030773826</v>
      </c>
      <c r="C543" t="str">
        <f>"211103199112212514"</f>
        <v>211103199112212514</v>
      </c>
      <c r="D543" t="s">
        <v>2268</v>
      </c>
      <c r="E543" t="s">
        <v>2269</v>
      </c>
      <c r="F543" t="s">
        <v>0</v>
      </c>
      <c r="G543" t="str">
        <f>"2018-10-18 18:05:06"</f>
        <v>2018-10-18 18:05:06</v>
      </c>
    </row>
    <row r="544" spans="1:7" x14ac:dyDescent="0.2">
      <c r="A544" t="s">
        <v>2270</v>
      </c>
      <c r="B544" t="str">
        <f>"15168682768"</f>
        <v>15168682768</v>
      </c>
      <c r="C544" t="str">
        <f>"522627199103071619"</f>
        <v>522627199103071619</v>
      </c>
      <c r="D544" t="s">
        <v>1</v>
      </c>
      <c r="E544" t="s">
        <v>1</v>
      </c>
      <c r="F544" t="s">
        <v>0</v>
      </c>
      <c r="G544" t="str">
        <f>"2018-10-18 18:03:22"</f>
        <v>2018-10-18 18:03:22</v>
      </c>
    </row>
    <row r="545" spans="1:7" x14ac:dyDescent="0.2">
      <c r="A545" t="s">
        <v>2271</v>
      </c>
      <c r="B545" t="str">
        <f>"15125653400"</f>
        <v>15125653400</v>
      </c>
      <c r="C545" t="str">
        <f>"530824198007121513"</f>
        <v>530824198007121513</v>
      </c>
      <c r="D545" t="s">
        <v>1</v>
      </c>
      <c r="E545" t="s">
        <v>1</v>
      </c>
      <c r="F545" t="s">
        <v>0</v>
      </c>
      <c r="G545" t="str">
        <f>"2018-10-18 18:02:20"</f>
        <v>2018-10-18 18:02:20</v>
      </c>
    </row>
    <row r="546" spans="1:7" x14ac:dyDescent="0.2">
      <c r="A546" t="s">
        <v>2272</v>
      </c>
      <c r="B546" t="str">
        <f>"13141141516"</f>
        <v>13141141516</v>
      </c>
      <c r="C546" t="str">
        <f>"22020219901130572X"</f>
        <v>22020219901130572X</v>
      </c>
      <c r="D546" t="s">
        <v>1</v>
      </c>
      <c r="E546" t="s">
        <v>1</v>
      </c>
      <c r="F546" t="s">
        <v>0</v>
      </c>
      <c r="G546" t="str">
        <f>"2018-10-18 17:57:48"</f>
        <v>2018-10-18 17:57:48</v>
      </c>
    </row>
    <row r="547" spans="1:7" x14ac:dyDescent="0.2">
      <c r="A547" t="s">
        <v>2273</v>
      </c>
      <c r="B547" t="str">
        <f>"17798115539"</f>
        <v>17798115539</v>
      </c>
      <c r="C547" t="str">
        <f>"341202199711221939"</f>
        <v>341202199711221939</v>
      </c>
      <c r="D547" t="s">
        <v>1</v>
      </c>
      <c r="E547" t="s">
        <v>1</v>
      </c>
      <c r="F547" t="s">
        <v>0</v>
      </c>
      <c r="G547" t="str">
        <f>"2018-10-18 18:00:33"</f>
        <v>2018-10-18 18:00:33</v>
      </c>
    </row>
    <row r="548" spans="1:7" x14ac:dyDescent="0.2">
      <c r="A548" t="s">
        <v>1</v>
      </c>
      <c r="B548" t="str">
        <f>"13578408926"</f>
        <v>13578408926</v>
      </c>
      <c r="C548" t="s">
        <v>1</v>
      </c>
      <c r="D548" t="s">
        <v>1</v>
      </c>
      <c r="E548" t="s">
        <v>1</v>
      </c>
      <c r="F548" t="s">
        <v>0</v>
      </c>
      <c r="G548" t="str">
        <f>"2018-10-18 17:57:43"</f>
        <v>2018-10-18 17:57:43</v>
      </c>
    </row>
    <row r="549" spans="1:7" x14ac:dyDescent="0.2">
      <c r="A549" t="s">
        <v>1</v>
      </c>
      <c r="B549" t="str">
        <f>"15678016684"</f>
        <v>15678016684</v>
      </c>
      <c r="C549" t="s">
        <v>1</v>
      </c>
      <c r="D549" t="s">
        <v>1</v>
      </c>
      <c r="E549" t="s">
        <v>1</v>
      </c>
      <c r="F549" t="s">
        <v>0</v>
      </c>
      <c r="G549" t="str">
        <f>"2018-10-18 17:57:41"</f>
        <v>2018-10-18 17:57:41</v>
      </c>
    </row>
    <row r="550" spans="1:7" x14ac:dyDescent="0.2">
      <c r="A550" t="s">
        <v>2274</v>
      </c>
      <c r="B550" t="str">
        <f>"18699282006"</f>
        <v>18699282006</v>
      </c>
      <c r="C550" t="str">
        <f>"411424199309186626"</f>
        <v>411424199309186626</v>
      </c>
      <c r="D550" t="s">
        <v>1</v>
      </c>
      <c r="E550" t="s">
        <v>1</v>
      </c>
      <c r="F550" t="s">
        <v>0</v>
      </c>
      <c r="G550" t="str">
        <f>"2018-10-18 18:05:55"</f>
        <v>2018-10-18 18:05:55</v>
      </c>
    </row>
    <row r="551" spans="1:7" x14ac:dyDescent="0.2">
      <c r="A551" t="s">
        <v>1</v>
      </c>
      <c r="B551" t="str">
        <f>"13279365504"</f>
        <v>13279365504</v>
      </c>
      <c r="C551" t="s">
        <v>1</v>
      </c>
      <c r="D551" t="s">
        <v>1</v>
      </c>
      <c r="E551" t="s">
        <v>1</v>
      </c>
      <c r="F551" t="s">
        <v>0</v>
      </c>
      <c r="G551" t="str">
        <f>"2018-10-18 17:57:34"</f>
        <v>2018-10-18 17:57:34</v>
      </c>
    </row>
    <row r="552" spans="1:7" x14ac:dyDescent="0.2">
      <c r="A552" t="s">
        <v>1</v>
      </c>
      <c r="B552" t="str">
        <f>"15109713765"</f>
        <v>15109713765</v>
      </c>
      <c r="C552" t="s">
        <v>1</v>
      </c>
      <c r="D552" t="s">
        <v>1</v>
      </c>
      <c r="E552" t="s">
        <v>1</v>
      </c>
      <c r="F552" t="s">
        <v>0</v>
      </c>
      <c r="G552" t="str">
        <f>"2018-10-18 17:57:13"</f>
        <v>2018-10-18 17:57:13</v>
      </c>
    </row>
    <row r="553" spans="1:7" x14ac:dyDescent="0.2">
      <c r="A553" t="s">
        <v>1</v>
      </c>
      <c r="B553" t="str">
        <f>"15801926217"</f>
        <v>15801926217</v>
      </c>
      <c r="C553" t="s">
        <v>1</v>
      </c>
      <c r="D553" t="s">
        <v>1</v>
      </c>
      <c r="E553" t="s">
        <v>1</v>
      </c>
      <c r="F553" t="s">
        <v>0</v>
      </c>
      <c r="G553" t="str">
        <f>"2018-10-18 17:57:10"</f>
        <v>2018-10-18 17:57:10</v>
      </c>
    </row>
    <row r="554" spans="1:7" x14ac:dyDescent="0.2">
      <c r="A554" t="s">
        <v>1</v>
      </c>
      <c r="B554" t="str">
        <f>"18277642937"</f>
        <v>18277642937</v>
      </c>
      <c r="C554" t="s">
        <v>1</v>
      </c>
      <c r="D554" t="s">
        <v>1</v>
      </c>
      <c r="E554" t="s">
        <v>1</v>
      </c>
      <c r="F554" t="s">
        <v>0</v>
      </c>
      <c r="G554" t="str">
        <f>"2018-10-18 17:57:03"</f>
        <v>2018-10-18 17:57:03</v>
      </c>
    </row>
    <row r="555" spans="1:7" x14ac:dyDescent="0.2">
      <c r="A555" t="s">
        <v>2275</v>
      </c>
      <c r="B555" t="str">
        <f>"13777141853"</f>
        <v>13777141853</v>
      </c>
      <c r="C555" t="str">
        <f>"412825199710302012"</f>
        <v>412825199710302012</v>
      </c>
      <c r="D555" t="s">
        <v>1</v>
      </c>
      <c r="E555" t="s">
        <v>1</v>
      </c>
      <c r="F555" t="s">
        <v>0</v>
      </c>
      <c r="G555" t="str">
        <f>"2018-10-18 17:59:00"</f>
        <v>2018-10-18 17:59:00</v>
      </c>
    </row>
    <row r="556" spans="1:7" x14ac:dyDescent="0.2">
      <c r="A556" t="s">
        <v>2276</v>
      </c>
      <c r="B556" t="str">
        <f>"18826258325"</f>
        <v>18826258325</v>
      </c>
      <c r="C556" t="str">
        <f>"440104199507244412"</f>
        <v>440104199507244412</v>
      </c>
      <c r="D556" t="s">
        <v>1</v>
      </c>
      <c r="E556" t="s">
        <v>1</v>
      </c>
      <c r="F556" t="s">
        <v>0</v>
      </c>
      <c r="G556" t="str">
        <f>"2018-10-19 08:32:52"</f>
        <v>2018-10-19 08:32:52</v>
      </c>
    </row>
    <row r="557" spans="1:7" x14ac:dyDescent="0.2">
      <c r="A557" t="s">
        <v>1</v>
      </c>
      <c r="B557" t="str">
        <f>"15677617747"</f>
        <v>15677617747</v>
      </c>
      <c r="C557" t="s">
        <v>1</v>
      </c>
      <c r="D557" t="s">
        <v>1</v>
      </c>
      <c r="E557" t="s">
        <v>1</v>
      </c>
      <c r="F557" t="s">
        <v>0</v>
      </c>
      <c r="G557" t="str">
        <f>"2018-10-18 17:56:38"</f>
        <v>2018-10-18 17:56:38</v>
      </c>
    </row>
    <row r="558" spans="1:7" x14ac:dyDescent="0.2">
      <c r="A558" t="s">
        <v>1</v>
      </c>
      <c r="B558" t="str">
        <f>"18060390066"</f>
        <v>18060390066</v>
      </c>
      <c r="C558" t="s">
        <v>1</v>
      </c>
      <c r="D558" t="s">
        <v>1</v>
      </c>
      <c r="E558" t="s">
        <v>1</v>
      </c>
      <c r="F558" t="s">
        <v>0</v>
      </c>
      <c r="G558" t="str">
        <f>"2018-10-18 17:56:32"</f>
        <v>2018-10-18 17:56:32</v>
      </c>
    </row>
    <row r="559" spans="1:7" x14ac:dyDescent="0.2">
      <c r="A559" t="s">
        <v>2277</v>
      </c>
      <c r="B559" t="str">
        <f>"13401253618"</f>
        <v>13401253618</v>
      </c>
      <c r="C559" t="str">
        <f>"320981198609013978"</f>
        <v>320981198609013978</v>
      </c>
      <c r="D559" t="s">
        <v>1</v>
      </c>
      <c r="E559" t="s">
        <v>1</v>
      </c>
      <c r="F559" t="s">
        <v>0</v>
      </c>
      <c r="G559" t="str">
        <f>"2018-10-18 18:01:50"</f>
        <v>2018-10-18 18:01:50</v>
      </c>
    </row>
    <row r="560" spans="1:7" x14ac:dyDescent="0.2">
      <c r="A560" t="s">
        <v>1</v>
      </c>
      <c r="B560" t="str">
        <f>"18514223527"</f>
        <v>18514223527</v>
      </c>
      <c r="C560" t="s">
        <v>1</v>
      </c>
      <c r="D560" t="s">
        <v>1</v>
      </c>
      <c r="E560" t="s">
        <v>1</v>
      </c>
      <c r="F560" t="s">
        <v>0</v>
      </c>
      <c r="G560" t="str">
        <f>"2018-10-18 17:58:02"</f>
        <v>2018-10-18 17:58:02</v>
      </c>
    </row>
    <row r="561" spans="1:7" x14ac:dyDescent="0.2">
      <c r="A561" t="s">
        <v>2278</v>
      </c>
      <c r="B561" t="str">
        <f>"13981896470"</f>
        <v>13981896470</v>
      </c>
      <c r="C561" t="str">
        <f>"513902199202244632"</f>
        <v>513902199202244632</v>
      </c>
      <c r="D561" t="s">
        <v>1</v>
      </c>
      <c r="E561" t="s">
        <v>1</v>
      </c>
      <c r="F561" t="s">
        <v>0</v>
      </c>
      <c r="G561" t="str">
        <f>"2018-10-18 17:57:52"</f>
        <v>2018-10-18 17:57:52</v>
      </c>
    </row>
    <row r="562" spans="1:7" x14ac:dyDescent="0.2">
      <c r="A562" t="s">
        <v>2279</v>
      </c>
      <c r="B562" t="str">
        <f>"13643603129"</f>
        <v>13643603129</v>
      </c>
      <c r="C562" t="str">
        <f>"140107198810134535"</f>
        <v>140107198810134535</v>
      </c>
      <c r="D562" t="s">
        <v>1</v>
      </c>
      <c r="E562" t="s">
        <v>1</v>
      </c>
      <c r="F562" t="s">
        <v>0</v>
      </c>
      <c r="G562" t="str">
        <f>"2018-10-18 17:58:07"</f>
        <v>2018-10-18 17:58:07</v>
      </c>
    </row>
    <row r="563" spans="1:7" x14ac:dyDescent="0.2">
      <c r="A563" t="s">
        <v>1312</v>
      </c>
      <c r="B563" t="str">
        <f>"13558957463"</f>
        <v>13558957463</v>
      </c>
      <c r="C563" t="str">
        <f>"512501198112033061"</f>
        <v>512501198112033061</v>
      </c>
      <c r="D563" t="s">
        <v>1</v>
      </c>
      <c r="E563" t="s">
        <v>1</v>
      </c>
      <c r="F563" t="s">
        <v>0</v>
      </c>
      <c r="G563" t="str">
        <f>"2018-10-18 18:32:45"</f>
        <v>2018-10-18 18:32:45</v>
      </c>
    </row>
    <row r="564" spans="1:7" x14ac:dyDescent="0.2">
      <c r="A564" t="s">
        <v>2280</v>
      </c>
      <c r="B564" t="str">
        <f>"13856058805"</f>
        <v>13856058805</v>
      </c>
      <c r="C564" t="str">
        <f>"342422198508072977"</f>
        <v>342422198508072977</v>
      </c>
      <c r="D564" t="s">
        <v>1</v>
      </c>
      <c r="E564" t="s">
        <v>1</v>
      </c>
      <c r="F564" t="s">
        <v>0</v>
      </c>
      <c r="G564" t="str">
        <f>"2018-10-18 18:05:42"</f>
        <v>2018-10-18 18:05:42</v>
      </c>
    </row>
    <row r="565" spans="1:7" x14ac:dyDescent="0.2">
      <c r="A565" t="s">
        <v>2281</v>
      </c>
      <c r="B565" t="str">
        <f>"13331011272"</f>
        <v>13331011272</v>
      </c>
      <c r="C565" t="str">
        <f>"110108198104183410"</f>
        <v>110108198104183410</v>
      </c>
      <c r="D565" t="s">
        <v>1</v>
      </c>
      <c r="E565" t="s">
        <v>1</v>
      </c>
      <c r="F565" t="s">
        <v>0</v>
      </c>
      <c r="G565" t="str">
        <f>"2018-10-18 17:59:57"</f>
        <v>2018-10-18 17:59:57</v>
      </c>
    </row>
    <row r="566" spans="1:7" x14ac:dyDescent="0.2">
      <c r="A566" t="s">
        <v>2282</v>
      </c>
      <c r="B566" t="str">
        <f>"15215910047"</f>
        <v>15215910047</v>
      </c>
      <c r="C566" t="str">
        <f>"330681199105257055"</f>
        <v>330681199105257055</v>
      </c>
      <c r="D566" t="s">
        <v>2283</v>
      </c>
      <c r="E566" t="s">
        <v>2284</v>
      </c>
      <c r="F566" t="s">
        <v>0</v>
      </c>
      <c r="G566" t="str">
        <f>"2018-10-18 17:57:15"</f>
        <v>2018-10-18 17:57:15</v>
      </c>
    </row>
    <row r="567" spans="1:7" x14ac:dyDescent="0.2">
      <c r="A567" t="s">
        <v>2285</v>
      </c>
      <c r="B567" t="str">
        <f>"15805190471"</f>
        <v>15805190471</v>
      </c>
      <c r="C567" t="str">
        <f>"152322199102051141"</f>
        <v>152322199102051141</v>
      </c>
      <c r="D567" t="s">
        <v>1</v>
      </c>
      <c r="E567" t="s">
        <v>1</v>
      </c>
      <c r="F567" t="s">
        <v>0</v>
      </c>
      <c r="G567" t="str">
        <f>"2018-10-18 17:59:41"</f>
        <v>2018-10-18 17:59:41</v>
      </c>
    </row>
    <row r="568" spans="1:7" x14ac:dyDescent="0.2">
      <c r="A568" t="s">
        <v>1</v>
      </c>
      <c r="B568" t="str">
        <f>"15986805850"</f>
        <v>15986805850</v>
      </c>
      <c r="C568" t="s">
        <v>1</v>
      </c>
      <c r="D568" t="s">
        <v>1</v>
      </c>
      <c r="E568" t="s">
        <v>1</v>
      </c>
      <c r="F568" t="s">
        <v>0</v>
      </c>
      <c r="G568" t="str">
        <f>"2018-10-18 17:55:14"</f>
        <v>2018-10-18 17:55:14</v>
      </c>
    </row>
    <row r="569" spans="1:7" x14ac:dyDescent="0.2">
      <c r="A569" t="s">
        <v>1</v>
      </c>
      <c r="B569" t="str">
        <f>"13545461215"</f>
        <v>13545461215</v>
      </c>
      <c r="C569" t="s">
        <v>1</v>
      </c>
      <c r="D569" t="s">
        <v>1</v>
      </c>
      <c r="E569" t="s">
        <v>1</v>
      </c>
      <c r="F569" t="s">
        <v>0</v>
      </c>
      <c r="G569" t="str">
        <f>"2018-10-18 17:54:44"</f>
        <v>2018-10-18 17:54:44</v>
      </c>
    </row>
    <row r="570" spans="1:7" x14ac:dyDescent="0.2">
      <c r="A570" t="s">
        <v>69</v>
      </c>
      <c r="B570" t="str">
        <f>"15555395606"</f>
        <v>15555395606</v>
      </c>
      <c r="C570" t="str">
        <f>"342501199309080796"</f>
        <v>342501199309080796</v>
      </c>
      <c r="D570" t="s">
        <v>1</v>
      </c>
      <c r="E570" t="s">
        <v>1</v>
      </c>
      <c r="F570" t="s">
        <v>0</v>
      </c>
      <c r="G570" t="str">
        <f>"2018-10-18 18:31:36"</f>
        <v>2018-10-18 18:31:36</v>
      </c>
    </row>
    <row r="571" spans="1:7" x14ac:dyDescent="0.2">
      <c r="A571" t="s">
        <v>1</v>
      </c>
      <c r="B571" t="str">
        <f>"13432460806"</f>
        <v>13432460806</v>
      </c>
      <c r="C571" t="s">
        <v>1</v>
      </c>
      <c r="D571" t="s">
        <v>1</v>
      </c>
      <c r="E571" t="s">
        <v>1</v>
      </c>
      <c r="F571" t="s">
        <v>0</v>
      </c>
      <c r="G571" t="str">
        <f>"2018-10-18 17:54:09"</f>
        <v>2018-10-18 17:54:09</v>
      </c>
    </row>
    <row r="572" spans="1:7" x14ac:dyDescent="0.2">
      <c r="A572" t="s">
        <v>2286</v>
      </c>
      <c r="B572" t="str">
        <f>"15599111007"</f>
        <v>15599111007</v>
      </c>
      <c r="C572" t="str">
        <f>"522529199002100836"</f>
        <v>522529199002100836</v>
      </c>
      <c r="D572" t="s">
        <v>1</v>
      </c>
      <c r="E572" t="s">
        <v>1</v>
      </c>
      <c r="F572" t="s">
        <v>0</v>
      </c>
      <c r="G572" t="str">
        <f>"2018-10-18 17:56:26"</f>
        <v>2018-10-18 17:56:26</v>
      </c>
    </row>
    <row r="573" spans="1:7" x14ac:dyDescent="0.2">
      <c r="A573" t="s">
        <v>2287</v>
      </c>
      <c r="B573" t="str">
        <f>"13602765167"</f>
        <v>13602765167</v>
      </c>
      <c r="C573" t="str">
        <f>"360726198811165213"</f>
        <v>360726198811165213</v>
      </c>
      <c r="D573" t="s">
        <v>2288</v>
      </c>
      <c r="E573" t="s">
        <v>2289</v>
      </c>
      <c r="F573" t="s">
        <v>0</v>
      </c>
      <c r="G573" t="str">
        <f>"2018-10-18 17:55:04"</f>
        <v>2018-10-18 17:55:04</v>
      </c>
    </row>
    <row r="574" spans="1:7" x14ac:dyDescent="0.2">
      <c r="A574" t="s">
        <v>2290</v>
      </c>
      <c r="B574" t="str">
        <f>"18831988082"</f>
        <v>18831988082</v>
      </c>
      <c r="C574" t="str">
        <f>"130525199203241133"</f>
        <v>130525199203241133</v>
      </c>
      <c r="D574" t="s">
        <v>2291</v>
      </c>
      <c r="E574" t="s">
        <v>2292</v>
      </c>
      <c r="F574" t="s">
        <v>0</v>
      </c>
      <c r="G574" t="str">
        <f>"2018-10-18 17:54:47"</f>
        <v>2018-10-18 17:54:47</v>
      </c>
    </row>
    <row r="575" spans="1:7" x14ac:dyDescent="0.2">
      <c r="A575" t="s">
        <v>2293</v>
      </c>
      <c r="B575" t="str">
        <f>"18580480572"</f>
        <v>18580480572</v>
      </c>
      <c r="C575" t="str">
        <f>"500222199401308611"</f>
        <v>500222199401308611</v>
      </c>
      <c r="D575" t="s">
        <v>1</v>
      </c>
      <c r="E575" t="s">
        <v>1</v>
      </c>
      <c r="F575" t="s">
        <v>0</v>
      </c>
      <c r="G575" t="str">
        <f>"2018-10-18 17:53:40"</f>
        <v>2018-10-18 17:53:40</v>
      </c>
    </row>
    <row r="576" spans="1:7" x14ac:dyDescent="0.2">
      <c r="A576" t="s">
        <v>1</v>
      </c>
      <c r="B576" t="str">
        <f>"15985150017"</f>
        <v>15985150017</v>
      </c>
      <c r="C576" t="s">
        <v>1</v>
      </c>
      <c r="D576" t="s">
        <v>1</v>
      </c>
      <c r="E576" t="s">
        <v>1</v>
      </c>
      <c r="F576" t="s">
        <v>0</v>
      </c>
      <c r="G576" t="str">
        <f>"2018-10-18 17:52:44"</f>
        <v>2018-10-18 17:52:44</v>
      </c>
    </row>
    <row r="577" spans="1:7" x14ac:dyDescent="0.2">
      <c r="A577" t="s">
        <v>1</v>
      </c>
      <c r="B577" t="str">
        <f>"15504667519"</f>
        <v>15504667519</v>
      </c>
      <c r="C577" t="s">
        <v>1</v>
      </c>
      <c r="D577" t="s">
        <v>1</v>
      </c>
      <c r="E577" t="s">
        <v>1</v>
      </c>
      <c r="F577" t="s">
        <v>0</v>
      </c>
      <c r="G577" t="str">
        <f>"2018-10-18 17:52:41"</f>
        <v>2018-10-18 17:52:41</v>
      </c>
    </row>
    <row r="578" spans="1:7" x14ac:dyDescent="0.2">
      <c r="A578" t="s">
        <v>2294</v>
      </c>
      <c r="B578" t="str">
        <f>"18039506262"</f>
        <v>18039506262</v>
      </c>
      <c r="C578" t="str">
        <f>"410182198106072938"</f>
        <v>410182198106072938</v>
      </c>
      <c r="D578" t="s">
        <v>1</v>
      </c>
      <c r="E578" t="s">
        <v>1</v>
      </c>
      <c r="F578" t="s">
        <v>0</v>
      </c>
      <c r="G578" t="str">
        <f>"2018-10-23 10:32:46"</f>
        <v>2018-10-23 10:32:46</v>
      </c>
    </row>
    <row r="579" spans="1:7" x14ac:dyDescent="0.2">
      <c r="A579" t="s">
        <v>2295</v>
      </c>
      <c r="B579" t="str">
        <f>"18377004060"</f>
        <v>18377004060</v>
      </c>
      <c r="C579" t="str">
        <f>"45062119991204003X"</f>
        <v>45062119991204003X</v>
      </c>
      <c r="D579" t="s">
        <v>1</v>
      </c>
      <c r="E579" t="s">
        <v>1</v>
      </c>
      <c r="F579" t="s">
        <v>0</v>
      </c>
      <c r="G579" t="str">
        <f>"2018-10-18 17:53:53"</f>
        <v>2018-10-18 17:53:53</v>
      </c>
    </row>
    <row r="580" spans="1:7" x14ac:dyDescent="0.2">
      <c r="A580" t="s">
        <v>2296</v>
      </c>
      <c r="B580" t="str">
        <f>"14775190949"</f>
        <v>14775190949</v>
      </c>
      <c r="C580" t="str">
        <f>"362124198309153918"</f>
        <v>362124198309153918</v>
      </c>
      <c r="D580" t="s">
        <v>1</v>
      </c>
      <c r="E580" t="s">
        <v>1</v>
      </c>
      <c r="F580" t="s">
        <v>0</v>
      </c>
      <c r="G580" t="str">
        <f>"2018-10-18 17:53:53"</f>
        <v>2018-10-18 17:53:53</v>
      </c>
    </row>
    <row r="581" spans="1:7" x14ac:dyDescent="0.2">
      <c r="A581" t="s">
        <v>1</v>
      </c>
      <c r="B581" t="str">
        <f>"13626931165"</f>
        <v>13626931165</v>
      </c>
      <c r="C581" t="s">
        <v>1</v>
      </c>
      <c r="D581" t="s">
        <v>1</v>
      </c>
      <c r="E581" t="s">
        <v>1</v>
      </c>
      <c r="F581" t="s">
        <v>0</v>
      </c>
      <c r="G581" t="str">
        <f>"2018-10-18 18:01:39"</f>
        <v>2018-10-18 18:01:39</v>
      </c>
    </row>
    <row r="582" spans="1:7" x14ac:dyDescent="0.2">
      <c r="A582" t="s">
        <v>2297</v>
      </c>
      <c r="B582" t="str">
        <f>"18087026866"</f>
        <v>18087026866</v>
      </c>
      <c r="C582" t="str">
        <f>"532130199003160051"</f>
        <v>532130199003160051</v>
      </c>
      <c r="D582" t="s">
        <v>1</v>
      </c>
      <c r="E582" t="s">
        <v>1</v>
      </c>
      <c r="F582" t="s">
        <v>0</v>
      </c>
      <c r="G582" t="str">
        <f>"2018-10-18 17:52:55"</f>
        <v>2018-10-18 17:52:55</v>
      </c>
    </row>
    <row r="583" spans="1:7" x14ac:dyDescent="0.2">
      <c r="A583" t="s">
        <v>2298</v>
      </c>
      <c r="B583" t="str">
        <f>"13878690367"</f>
        <v>13878690367</v>
      </c>
      <c r="C583" t="str">
        <f>"452127199411280919"</f>
        <v>452127199411280919</v>
      </c>
      <c r="D583" t="s">
        <v>1</v>
      </c>
      <c r="E583" t="s">
        <v>1</v>
      </c>
      <c r="F583" t="s">
        <v>0</v>
      </c>
      <c r="G583" t="str">
        <f>"2018-10-18 17:56:40"</f>
        <v>2018-10-18 17:56:40</v>
      </c>
    </row>
    <row r="584" spans="1:7" x14ac:dyDescent="0.2">
      <c r="A584" t="s">
        <v>169</v>
      </c>
      <c r="B584" t="str">
        <f>"15708496154"</f>
        <v>15708496154</v>
      </c>
      <c r="C584" t="str">
        <f>"510132198103135710"</f>
        <v>510132198103135710</v>
      </c>
      <c r="D584" t="s">
        <v>2299</v>
      </c>
      <c r="E584" t="s">
        <v>2300</v>
      </c>
      <c r="F584" t="s">
        <v>0</v>
      </c>
      <c r="G584" t="str">
        <f>"2018-10-18 17:55:05"</f>
        <v>2018-10-18 17:55:05</v>
      </c>
    </row>
    <row r="585" spans="1:7" x14ac:dyDescent="0.2">
      <c r="A585" t="s">
        <v>1</v>
      </c>
      <c r="B585" t="str">
        <f>"13952501601"</f>
        <v>13952501601</v>
      </c>
      <c r="C585" t="s">
        <v>1</v>
      </c>
      <c r="D585" t="s">
        <v>1</v>
      </c>
      <c r="E585" t="s">
        <v>1</v>
      </c>
      <c r="F585" t="s">
        <v>0</v>
      </c>
      <c r="G585" t="str">
        <f>"2018-10-18 17:50:34"</f>
        <v>2018-10-18 17:50:34</v>
      </c>
    </row>
    <row r="586" spans="1:7" x14ac:dyDescent="0.2">
      <c r="A586" t="s">
        <v>2301</v>
      </c>
      <c r="B586" t="str">
        <f>"18049467299"</f>
        <v>18049467299</v>
      </c>
      <c r="C586" t="str">
        <f>"610426199304223511"</f>
        <v>610426199304223511</v>
      </c>
      <c r="D586" t="s">
        <v>1</v>
      </c>
      <c r="E586" t="s">
        <v>1</v>
      </c>
      <c r="F586" t="s">
        <v>0</v>
      </c>
      <c r="G586" t="str">
        <f>"2018-10-18 18:00:42"</f>
        <v>2018-10-18 18:00:42</v>
      </c>
    </row>
    <row r="587" spans="1:7" x14ac:dyDescent="0.2">
      <c r="A587" t="s">
        <v>2302</v>
      </c>
      <c r="B587" t="str">
        <f>"15399825578"</f>
        <v>15399825578</v>
      </c>
      <c r="C587" t="str">
        <f>"431321199905046442"</f>
        <v>431321199905046442</v>
      </c>
      <c r="D587" t="s">
        <v>1</v>
      </c>
      <c r="E587" t="s">
        <v>1</v>
      </c>
      <c r="F587" t="s">
        <v>0</v>
      </c>
      <c r="G587" t="str">
        <f>"2018-10-18 17:53:30"</f>
        <v>2018-10-18 17:53:30</v>
      </c>
    </row>
    <row r="588" spans="1:7" x14ac:dyDescent="0.2">
      <c r="A588" t="s">
        <v>2303</v>
      </c>
      <c r="B588" t="str">
        <f>"13825718890"</f>
        <v>13825718890</v>
      </c>
      <c r="C588" t="str">
        <f>"513021197810087096"</f>
        <v>513021197810087096</v>
      </c>
      <c r="D588" t="s">
        <v>1</v>
      </c>
      <c r="E588" t="s">
        <v>1</v>
      </c>
      <c r="F588" t="s">
        <v>0</v>
      </c>
      <c r="G588" t="str">
        <f>"2018-10-18 18:05:18"</f>
        <v>2018-10-18 18:05:18</v>
      </c>
    </row>
    <row r="589" spans="1:7" x14ac:dyDescent="0.2">
      <c r="A589" t="s">
        <v>2304</v>
      </c>
      <c r="B589" t="str">
        <f>"15088276170"</f>
        <v>15088276170</v>
      </c>
      <c r="C589" t="str">
        <f>"522423197810058936"</f>
        <v>522423197810058936</v>
      </c>
      <c r="D589" t="s">
        <v>1</v>
      </c>
      <c r="E589" t="s">
        <v>1</v>
      </c>
      <c r="F589" t="s">
        <v>0</v>
      </c>
      <c r="G589" t="str">
        <f>"2018-10-18 17:55:39"</f>
        <v>2018-10-18 17:55:39</v>
      </c>
    </row>
    <row r="590" spans="1:7" x14ac:dyDescent="0.2">
      <c r="A590" t="s">
        <v>1</v>
      </c>
      <c r="B590" t="str">
        <f>"18755338041"</f>
        <v>18755338041</v>
      </c>
      <c r="C590" t="s">
        <v>1</v>
      </c>
      <c r="D590" t="s">
        <v>1</v>
      </c>
      <c r="E590" t="s">
        <v>1</v>
      </c>
      <c r="F590" t="s">
        <v>0</v>
      </c>
      <c r="G590" t="str">
        <f>"2018-10-18 17:53:02"</f>
        <v>2018-10-18 17:53:02</v>
      </c>
    </row>
    <row r="591" spans="1:7" x14ac:dyDescent="0.2">
      <c r="A591" t="s">
        <v>2305</v>
      </c>
      <c r="B591" t="str">
        <f>"18899020102"</f>
        <v>18899020102</v>
      </c>
      <c r="C591" t="str">
        <f>"65422219910217471X"</f>
        <v>65422219910217471X</v>
      </c>
      <c r="D591" t="s">
        <v>2306</v>
      </c>
      <c r="E591" t="s">
        <v>2307</v>
      </c>
      <c r="F591" t="s">
        <v>0</v>
      </c>
      <c r="G591" t="str">
        <f>"2018-10-18 17:50:46"</f>
        <v>2018-10-18 17:50:46</v>
      </c>
    </row>
    <row r="592" spans="1:7" x14ac:dyDescent="0.2">
      <c r="A592" t="s">
        <v>1</v>
      </c>
      <c r="B592" t="str">
        <f>"18479686048"</f>
        <v>18479686048</v>
      </c>
      <c r="C592" t="s">
        <v>1</v>
      </c>
      <c r="D592" t="s">
        <v>1</v>
      </c>
      <c r="E592" t="s">
        <v>1</v>
      </c>
      <c r="F592" t="s">
        <v>0</v>
      </c>
      <c r="G592" t="str">
        <f>"2018-10-18 17:49:08"</f>
        <v>2018-10-18 17:49:08</v>
      </c>
    </row>
    <row r="593" spans="1:7" x14ac:dyDescent="0.2">
      <c r="A593" t="s">
        <v>2308</v>
      </c>
      <c r="B593" t="str">
        <f>"13919258852"</f>
        <v>13919258852</v>
      </c>
      <c r="C593" t="str">
        <f>"620123198506040037"</f>
        <v>620123198506040037</v>
      </c>
      <c r="D593" t="s">
        <v>1</v>
      </c>
      <c r="E593" t="s">
        <v>1</v>
      </c>
      <c r="F593" t="s">
        <v>0</v>
      </c>
      <c r="G593" t="str">
        <f>"2018-10-18 17:50:36"</f>
        <v>2018-10-18 17:50:36</v>
      </c>
    </row>
    <row r="594" spans="1:7" x14ac:dyDescent="0.2">
      <c r="A594" t="s">
        <v>1</v>
      </c>
      <c r="B594" t="str">
        <f>"15599162483"</f>
        <v>15599162483</v>
      </c>
      <c r="C594" t="s">
        <v>1</v>
      </c>
      <c r="D594" t="s">
        <v>1</v>
      </c>
      <c r="E594" t="s">
        <v>1</v>
      </c>
      <c r="F594" t="s">
        <v>0</v>
      </c>
      <c r="G594" t="str">
        <f>"2018-10-18 17:48:57"</f>
        <v>2018-10-18 17:48:57</v>
      </c>
    </row>
    <row r="595" spans="1:7" x14ac:dyDescent="0.2">
      <c r="A595" t="s">
        <v>1</v>
      </c>
      <c r="B595" t="str">
        <f>"15707666003"</f>
        <v>15707666003</v>
      </c>
      <c r="C595" t="s">
        <v>1</v>
      </c>
      <c r="D595" t="s">
        <v>1</v>
      </c>
      <c r="E595" t="s">
        <v>1</v>
      </c>
      <c r="F595" t="s">
        <v>0</v>
      </c>
      <c r="G595" t="str">
        <f>"2018-10-18 17:55:03"</f>
        <v>2018-10-18 17:55:03</v>
      </c>
    </row>
    <row r="596" spans="1:7" x14ac:dyDescent="0.2">
      <c r="A596" t="s">
        <v>2309</v>
      </c>
      <c r="B596" t="str">
        <f>"15060831080"</f>
        <v>15060831080</v>
      </c>
      <c r="C596" t="str">
        <f>"350582199203170556"</f>
        <v>350582199203170556</v>
      </c>
      <c r="D596" t="s">
        <v>1</v>
      </c>
      <c r="E596" t="s">
        <v>1</v>
      </c>
      <c r="F596" t="s">
        <v>0</v>
      </c>
      <c r="G596" t="str">
        <f>"2018-10-18 17:51:10"</f>
        <v>2018-10-18 17:51:10</v>
      </c>
    </row>
    <row r="597" spans="1:7" x14ac:dyDescent="0.2">
      <c r="A597" t="s">
        <v>2310</v>
      </c>
      <c r="B597" t="str">
        <f>"15287170595"</f>
        <v>15287170595</v>
      </c>
      <c r="C597" t="str">
        <f>"430681199406300313"</f>
        <v>430681199406300313</v>
      </c>
      <c r="D597" t="s">
        <v>2311</v>
      </c>
      <c r="E597" t="s">
        <v>2312</v>
      </c>
      <c r="F597" t="s">
        <v>0</v>
      </c>
      <c r="G597" t="str">
        <f>"2018-10-24 17:04:57"</f>
        <v>2018-10-24 17:04:57</v>
      </c>
    </row>
    <row r="598" spans="1:7" x14ac:dyDescent="0.2">
      <c r="A598" t="s">
        <v>159</v>
      </c>
      <c r="B598" t="str">
        <f>"13954284180"</f>
        <v>13954284180</v>
      </c>
      <c r="C598" t="str">
        <f>"370281199611015740"</f>
        <v>370281199611015740</v>
      </c>
      <c r="D598" t="s">
        <v>1</v>
      </c>
      <c r="E598" t="s">
        <v>1</v>
      </c>
      <c r="F598" t="s">
        <v>0</v>
      </c>
      <c r="G598" t="str">
        <f>"2018-10-18 17:47:30"</f>
        <v>2018-10-18 17:47:30</v>
      </c>
    </row>
    <row r="599" spans="1:7" x14ac:dyDescent="0.2">
      <c r="A599" t="s">
        <v>1</v>
      </c>
      <c r="B599" t="str">
        <f>"13036997490"</f>
        <v>13036997490</v>
      </c>
      <c r="C599" t="s">
        <v>1</v>
      </c>
      <c r="D599" t="s">
        <v>1</v>
      </c>
      <c r="E599" t="s">
        <v>1</v>
      </c>
      <c r="F599" t="s">
        <v>0</v>
      </c>
      <c r="G599" t="str">
        <f>"2018-10-18 17:46:56"</f>
        <v>2018-10-18 17:46:56</v>
      </c>
    </row>
    <row r="600" spans="1:7" x14ac:dyDescent="0.2">
      <c r="A600" t="s">
        <v>1</v>
      </c>
      <c r="B600" t="str">
        <f>"15669236163"</f>
        <v>15669236163</v>
      </c>
      <c r="C600" t="s">
        <v>1</v>
      </c>
      <c r="D600" t="s">
        <v>1</v>
      </c>
      <c r="E600" t="s">
        <v>1</v>
      </c>
      <c r="F600" t="s">
        <v>0</v>
      </c>
      <c r="G600" t="str">
        <f>"2018-10-18 17:46:50"</f>
        <v>2018-10-18 17:46:50</v>
      </c>
    </row>
    <row r="601" spans="1:7" x14ac:dyDescent="0.2">
      <c r="A601" t="s">
        <v>2313</v>
      </c>
      <c r="B601" t="str">
        <f>"15593473219"</f>
        <v>15593473219</v>
      </c>
      <c r="C601" t="str">
        <f>"622821199905043122"</f>
        <v>622821199905043122</v>
      </c>
      <c r="D601" t="s">
        <v>1</v>
      </c>
      <c r="E601" t="s">
        <v>1</v>
      </c>
      <c r="F601" t="s">
        <v>0</v>
      </c>
      <c r="G601" t="str">
        <f>"2018-10-18 17:46:38"</f>
        <v>2018-10-18 17:46:38</v>
      </c>
    </row>
    <row r="602" spans="1:7" x14ac:dyDescent="0.2">
      <c r="A602" t="s">
        <v>2314</v>
      </c>
      <c r="B602" t="str">
        <f>"18786131363"</f>
        <v>18786131363</v>
      </c>
      <c r="C602" t="str">
        <f>"520181200006271736"</f>
        <v>520181200006271736</v>
      </c>
      <c r="D602" t="s">
        <v>1</v>
      </c>
      <c r="E602" t="s">
        <v>1</v>
      </c>
      <c r="F602" t="s">
        <v>0</v>
      </c>
      <c r="G602" t="str">
        <f>"2018-10-18 17:47:52"</f>
        <v>2018-10-18 17:47:52</v>
      </c>
    </row>
    <row r="603" spans="1:7" x14ac:dyDescent="0.2">
      <c r="A603" t="s">
        <v>2315</v>
      </c>
      <c r="B603" t="str">
        <f>"14747662005"</f>
        <v>14747662005</v>
      </c>
      <c r="C603" t="str">
        <f>"150430198704223595"</f>
        <v>150430198704223595</v>
      </c>
      <c r="D603" t="s">
        <v>1</v>
      </c>
      <c r="E603" t="s">
        <v>1</v>
      </c>
      <c r="F603" t="s">
        <v>0</v>
      </c>
      <c r="G603" t="str">
        <f>"2018-10-18 17:47:45"</f>
        <v>2018-10-18 17:47:45</v>
      </c>
    </row>
    <row r="604" spans="1:7" x14ac:dyDescent="0.2">
      <c r="A604" t="s">
        <v>2316</v>
      </c>
      <c r="B604" t="str">
        <f>"18681839350"</f>
        <v>18681839350</v>
      </c>
      <c r="C604" t="str">
        <f>"610431199510090327"</f>
        <v>610431199510090327</v>
      </c>
      <c r="D604" t="s">
        <v>1</v>
      </c>
      <c r="E604" t="s">
        <v>1</v>
      </c>
      <c r="F604" t="s">
        <v>0</v>
      </c>
      <c r="G604" t="str">
        <f>"2018-10-18 17:46:59"</f>
        <v>2018-10-18 17:46:59</v>
      </c>
    </row>
    <row r="605" spans="1:7" x14ac:dyDescent="0.2">
      <c r="A605" t="s">
        <v>1</v>
      </c>
      <c r="B605" t="str">
        <f>"13688771343"</f>
        <v>13688771343</v>
      </c>
      <c r="C605" t="s">
        <v>1</v>
      </c>
      <c r="D605" t="s">
        <v>1</v>
      </c>
      <c r="E605" t="s">
        <v>1</v>
      </c>
      <c r="F605" t="s">
        <v>0</v>
      </c>
      <c r="G605" t="str">
        <f>"2018-10-18 17:46:06"</f>
        <v>2018-10-18 17:46:06</v>
      </c>
    </row>
    <row r="606" spans="1:7" x14ac:dyDescent="0.2">
      <c r="A606" t="s">
        <v>2317</v>
      </c>
      <c r="B606" t="str">
        <f>"13197721007"</f>
        <v>13197721007</v>
      </c>
      <c r="C606" t="str">
        <f>"450203198910070738"</f>
        <v>450203198910070738</v>
      </c>
      <c r="D606" t="s">
        <v>2318</v>
      </c>
      <c r="E606" t="s">
        <v>2319</v>
      </c>
      <c r="F606" t="s">
        <v>0</v>
      </c>
      <c r="G606" t="str">
        <f>"2018-10-18 17:49:50"</f>
        <v>2018-10-18 17:49:50</v>
      </c>
    </row>
    <row r="607" spans="1:7" x14ac:dyDescent="0.2">
      <c r="A607" t="s">
        <v>1</v>
      </c>
      <c r="B607" t="str">
        <f>"15055777575"</f>
        <v>15055777575</v>
      </c>
      <c r="C607" t="s">
        <v>1</v>
      </c>
      <c r="D607" t="s">
        <v>1</v>
      </c>
      <c r="E607" t="s">
        <v>1</v>
      </c>
      <c r="F607" t="s">
        <v>0</v>
      </c>
      <c r="G607" t="str">
        <f>"2018-10-18 17:45:59"</f>
        <v>2018-10-18 17:45:59</v>
      </c>
    </row>
    <row r="608" spans="1:7" x14ac:dyDescent="0.2">
      <c r="A608" t="s">
        <v>2320</v>
      </c>
      <c r="B608" t="str">
        <f>"13828148315"</f>
        <v>13828148315</v>
      </c>
      <c r="C608" t="str">
        <f>"42092119850306511X"</f>
        <v>42092119850306511X</v>
      </c>
      <c r="D608" t="s">
        <v>2321</v>
      </c>
      <c r="E608" t="s">
        <v>2322</v>
      </c>
      <c r="F608" t="s">
        <v>0</v>
      </c>
      <c r="G608" t="str">
        <f>"2018-10-18 17:47:04"</f>
        <v>2018-10-18 17:47:04</v>
      </c>
    </row>
    <row r="609" spans="1:7" x14ac:dyDescent="0.2">
      <c r="A609" t="s">
        <v>2323</v>
      </c>
      <c r="B609" t="str">
        <f>"17725121971"</f>
        <v>17725121971</v>
      </c>
      <c r="C609" t="str">
        <f>"510219198105296918"</f>
        <v>510219198105296918</v>
      </c>
      <c r="D609" t="s">
        <v>1</v>
      </c>
      <c r="E609" t="s">
        <v>1</v>
      </c>
      <c r="F609" t="s">
        <v>0</v>
      </c>
      <c r="G609" t="str">
        <f>"2018-11-01 14:52:23"</f>
        <v>2018-11-01 14:52:23</v>
      </c>
    </row>
    <row r="610" spans="1:7" x14ac:dyDescent="0.2">
      <c r="A610" t="s">
        <v>2324</v>
      </c>
      <c r="B610" t="str">
        <f>"13139500095"</f>
        <v>13139500095</v>
      </c>
      <c r="C610" t="str">
        <f>"642223199101190315"</f>
        <v>642223199101190315</v>
      </c>
      <c r="D610" t="s">
        <v>2325</v>
      </c>
      <c r="E610" t="s">
        <v>2326</v>
      </c>
      <c r="F610" t="s">
        <v>0</v>
      </c>
      <c r="G610" t="str">
        <f>"2018-10-18 17:47:32"</f>
        <v>2018-10-18 17:47:32</v>
      </c>
    </row>
    <row r="611" spans="1:7" x14ac:dyDescent="0.2">
      <c r="A611" t="s">
        <v>601</v>
      </c>
      <c r="B611" t="str">
        <f>"18102813235"</f>
        <v>18102813235</v>
      </c>
      <c r="C611" t="str">
        <f>"152724198802220313"</f>
        <v>152724198802220313</v>
      </c>
      <c r="D611" t="s">
        <v>1</v>
      </c>
      <c r="E611" t="s">
        <v>1</v>
      </c>
      <c r="F611" t="s">
        <v>0</v>
      </c>
      <c r="G611" t="str">
        <f>"2018-10-18 17:45:25"</f>
        <v>2018-10-18 17:45:25</v>
      </c>
    </row>
    <row r="612" spans="1:7" x14ac:dyDescent="0.2">
      <c r="A612" t="s">
        <v>1</v>
      </c>
      <c r="B612" t="str">
        <f>"18285913241"</f>
        <v>18285913241</v>
      </c>
      <c r="C612" t="s">
        <v>1</v>
      </c>
      <c r="D612" t="s">
        <v>1</v>
      </c>
      <c r="E612" t="s">
        <v>1</v>
      </c>
      <c r="F612" t="s">
        <v>0</v>
      </c>
      <c r="G612" t="str">
        <f>"2018-10-18 17:45:12"</f>
        <v>2018-10-18 17:45:12</v>
      </c>
    </row>
    <row r="613" spans="1:7" x14ac:dyDescent="0.2">
      <c r="A613" t="s">
        <v>2327</v>
      </c>
      <c r="B613" t="str">
        <f>"18627728343"</f>
        <v>18627728343</v>
      </c>
      <c r="C613" t="str">
        <f>"420582198711094573"</f>
        <v>420582198711094573</v>
      </c>
      <c r="D613" t="s">
        <v>1</v>
      </c>
      <c r="E613" t="s">
        <v>1</v>
      </c>
      <c r="F613" t="s">
        <v>0</v>
      </c>
      <c r="G613" t="str">
        <f>"2018-10-18 20:26:36"</f>
        <v>2018-10-18 20:26:36</v>
      </c>
    </row>
    <row r="614" spans="1:7" x14ac:dyDescent="0.2">
      <c r="A614" t="s">
        <v>2328</v>
      </c>
      <c r="B614" t="str">
        <f>"15156161255"</f>
        <v>15156161255</v>
      </c>
      <c r="C614" t="str">
        <f>"340603198203081039"</f>
        <v>340603198203081039</v>
      </c>
      <c r="D614" t="s">
        <v>1</v>
      </c>
      <c r="E614" t="s">
        <v>1</v>
      </c>
      <c r="F614" t="s">
        <v>0</v>
      </c>
      <c r="G614" t="str">
        <f>"2018-10-18 17:53:41"</f>
        <v>2018-10-18 17:53:41</v>
      </c>
    </row>
    <row r="615" spans="1:7" x14ac:dyDescent="0.2">
      <c r="A615" t="s">
        <v>1</v>
      </c>
      <c r="B615" t="str">
        <f>"17819674571"</f>
        <v>17819674571</v>
      </c>
      <c r="C615" t="s">
        <v>1</v>
      </c>
      <c r="D615" t="s">
        <v>1</v>
      </c>
      <c r="E615" t="s">
        <v>1</v>
      </c>
      <c r="F615" t="s">
        <v>0</v>
      </c>
      <c r="G615" t="str">
        <f>"2018-10-18 17:44:49"</f>
        <v>2018-10-18 17:44:49</v>
      </c>
    </row>
    <row r="616" spans="1:7" x14ac:dyDescent="0.2">
      <c r="A616" t="s">
        <v>2329</v>
      </c>
      <c r="B616" t="str">
        <f>"13659057303"</f>
        <v>13659057303</v>
      </c>
      <c r="C616" t="str">
        <f>"511302198610041413"</f>
        <v>511302198610041413</v>
      </c>
      <c r="D616" t="s">
        <v>1</v>
      </c>
      <c r="E616" t="s">
        <v>1</v>
      </c>
      <c r="F616" t="s">
        <v>0</v>
      </c>
      <c r="G616" t="str">
        <f>"2018-10-18 17:46:42"</f>
        <v>2018-10-18 17:46:42</v>
      </c>
    </row>
    <row r="617" spans="1:7" x14ac:dyDescent="0.2">
      <c r="A617" t="s">
        <v>2330</v>
      </c>
      <c r="B617" t="str">
        <f>"18742515795"</f>
        <v>18742515795</v>
      </c>
      <c r="C617" t="str">
        <f>"211481199611157412"</f>
        <v>211481199611157412</v>
      </c>
      <c r="D617" t="s">
        <v>1</v>
      </c>
      <c r="E617" t="s">
        <v>1</v>
      </c>
      <c r="F617" t="s">
        <v>0</v>
      </c>
      <c r="G617" t="str">
        <f>"2018-10-18 17:44:30"</f>
        <v>2018-10-18 17:44:30</v>
      </c>
    </row>
    <row r="618" spans="1:7" x14ac:dyDescent="0.2">
      <c r="A618" t="s">
        <v>844</v>
      </c>
      <c r="B618" t="str">
        <f>"13643507870"</f>
        <v>13643507870</v>
      </c>
      <c r="C618" t="str">
        <f>"142229199309174314"</f>
        <v>142229199309174314</v>
      </c>
      <c r="D618" t="s">
        <v>1</v>
      </c>
      <c r="E618" t="s">
        <v>1</v>
      </c>
      <c r="F618" t="s">
        <v>0</v>
      </c>
      <c r="G618" t="str">
        <f>"2018-10-18 17:44:29"</f>
        <v>2018-10-18 17:44:29</v>
      </c>
    </row>
    <row r="619" spans="1:7" x14ac:dyDescent="0.2">
      <c r="A619" t="s">
        <v>2331</v>
      </c>
      <c r="B619" t="str">
        <f>"15999746403"</f>
        <v>15999746403</v>
      </c>
      <c r="C619" t="str">
        <f>"440921199605155413"</f>
        <v>440921199605155413</v>
      </c>
      <c r="D619" t="s">
        <v>1</v>
      </c>
      <c r="E619" t="s">
        <v>1</v>
      </c>
      <c r="F619" t="s">
        <v>0</v>
      </c>
      <c r="G619" t="str">
        <f>"2018-10-18 19:24:33"</f>
        <v>2018-10-18 19:24:33</v>
      </c>
    </row>
    <row r="620" spans="1:7" x14ac:dyDescent="0.2">
      <c r="A620" t="s">
        <v>1</v>
      </c>
      <c r="B620" t="str">
        <f>"15879755890"</f>
        <v>15879755890</v>
      </c>
      <c r="C620" t="s">
        <v>1</v>
      </c>
      <c r="D620" t="s">
        <v>1</v>
      </c>
      <c r="E620" t="s">
        <v>1</v>
      </c>
      <c r="F620" t="s">
        <v>0</v>
      </c>
      <c r="G620" t="str">
        <f>"2018-10-18 17:45:31"</f>
        <v>2018-10-18 17:45:31</v>
      </c>
    </row>
    <row r="621" spans="1:7" x14ac:dyDescent="0.2">
      <c r="A621" t="s">
        <v>559</v>
      </c>
      <c r="B621" t="str">
        <f>"18840913161"</f>
        <v>18840913161</v>
      </c>
      <c r="C621" t="str">
        <f>"210204198309021822"</f>
        <v>210204198309021822</v>
      </c>
      <c r="D621" t="s">
        <v>1</v>
      </c>
      <c r="E621" t="s">
        <v>1</v>
      </c>
      <c r="F621" t="s">
        <v>0</v>
      </c>
      <c r="G621" t="str">
        <f>"2018-10-18 17:46:57"</f>
        <v>2018-10-18 17:46:57</v>
      </c>
    </row>
    <row r="622" spans="1:7" x14ac:dyDescent="0.2">
      <c r="A622" t="s">
        <v>2332</v>
      </c>
      <c r="B622" t="str">
        <f>"18501457112"</f>
        <v>18501457112</v>
      </c>
      <c r="C622" t="str">
        <f>"610725200001162112"</f>
        <v>610725200001162112</v>
      </c>
      <c r="D622" t="s">
        <v>2333</v>
      </c>
      <c r="E622" t="s">
        <v>2334</v>
      </c>
      <c r="F622" t="s">
        <v>0</v>
      </c>
      <c r="G622" t="str">
        <f>"2018-10-18 18:17:04"</f>
        <v>2018-10-18 18:17:04</v>
      </c>
    </row>
    <row r="623" spans="1:7" x14ac:dyDescent="0.2">
      <c r="A623" t="s">
        <v>2335</v>
      </c>
      <c r="B623" t="str">
        <f>"18855510290"</f>
        <v>18855510290</v>
      </c>
      <c r="C623" t="str">
        <f>"340222200002035033"</f>
        <v>340222200002035033</v>
      </c>
      <c r="D623" t="s">
        <v>1</v>
      </c>
      <c r="E623" t="s">
        <v>1</v>
      </c>
      <c r="F623" t="s">
        <v>0</v>
      </c>
      <c r="G623" t="str">
        <f>"2018-10-18 17:43:31"</f>
        <v>2018-10-18 17:43:31</v>
      </c>
    </row>
    <row r="624" spans="1:7" x14ac:dyDescent="0.2">
      <c r="A624" t="s">
        <v>84</v>
      </c>
      <c r="B624" t="str">
        <f>"13566639136"</f>
        <v>13566639136</v>
      </c>
      <c r="C624" t="str">
        <f>"511922199812101077"</f>
        <v>511922199812101077</v>
      </c>
      <c r="D624" t="s">
        <v>1</v>
      </c>
      <c r="E624" t="s">
        <v>1</v>
      </c>
      <c r="F624" t="s">
        <v>0</v>
      </c>
      <c r="G624" t="str">
        <f>"2018-10-18 17:46:29"</f>
        <v>2018-10-18 17:46:29</v>
      </c>
    </row>
    <row r="625" spans="1:7" x14ac:dyDescent="0.2">
      <c r="A625" t="s">
        <v>1</v>
      </c>
      <c r="B625" t="str">
        <f>"15945682699"</f>
        <v>15945682699</v>
      </c>
      <c r="C625" t="s">
        <v>1</v>
      </c>
      <c r="D625" t="s">
        <v>1</v>
      </c>
      <c r="E625" t="s">
        <v>1</v>
      </c>
      <c r="F625" t="s">
        <v>0</v>
      </c>
      <c r="G625" t="str">
        <f>"2018-10-18 17:43:22"</f>
        <v>2018-10-18 17:43:22</v>
      </c>
    </row>
    <row r="626" spans="1:7" x14ac:dyDescent="0.2">
      <c r="A626" t="s">
        <v>1</v>
      </c>
      <c r="B626" t="str">
        <f>"13119149436"</f>
        <v>13119149436</v>
      </c>
      <c r="C626" t="s">
        <v>1</v>
      </c>
      <c r="D626" t="s">
        <v>1</v>
      </c>
      <c r="E626" t="s">
        <v>1</v>
      </c>
      <c r="F626" t="s">
        <v>0</v>
      </c>
      <c r="G626" t="str">
        <f>"2018-10-18 17:42:58"</f>
        <v>2018-10-18 17:42:58</v>
      </c>
    </row>
    <row r="627" spans="1:7" x14ac:dyDescent="0.2">
      <c r="A627" t="s">
        <v>1</v>
      </c>
      <c r="B627" t="str">
        <f>"15260306770"</f>
        <v>15260306770</v>
      </c>
      <c r="C627" t="s">
        <v>1</v>
      </c>
      <c r="D627" t="s">
        <v>1</v>
      </c>
      <c r="E627" t="s">
        <v>1</v>
      </c>
      <c r="F627" t="s">
        <v>0</v>
      </c>
      <c r="G627" t="str">
        <f>"2018-10-18 17:42:58"</f>
        <v>2018-10-18 17:42:58</v>
      </c>
    </row>
    <row r="628" spans="1:7" x14ac:dyDescent="0.2">
      <c r="A628" t="s">
        <v>2336</v>
      </c>
      <c r="B628" t="str">
        <f>"13634046226"</f>
        <v>13634046226</v>
      </c>
      <c r="C628" t="str">
        <f>"522122198701220414"</f>
        <v>522122198701220414</v>
      </c>
      <c r="D628" t="s">
        <v>2337</v>
      </c>
      <c r="E628" t="s">
        <v>2338</v>
      </c>
      <c r="F628" t="s">
        <v>0</v>
      </c>
      <c r="G628" t="str">
        <f>"2018-11-04 17:20:18"</f>
        <v>2018-11-04 17:20:18</v>
      </c>
    </row>
    <row r="629" spans="1:7" x14ac:dyDescent="0.2">
      <c r="A629" t="s">
        <v>2339</v>
      </c>
      <c r="B629" t="str">
        <f>"18199669891"</f>
        <v>18199669891</v>
      </c>
      <c r="C629" t="str">
        <f>"659001198610042411"</f>
        <v>659001198610042411</v>
      </c>
      <c r="D629" t="s">
        <v>1</v>
      </c>
      <c r="E629" t="s">
        <v>1</v>
      </c>
      <c r="F629" t="s">
        <v>0</v>
      </c>
      <c r="G629" t="str">
        <f>"2018-10-18 21:54:41"</f>
        <v>2018-10-18 21:54:41</v>
      </c>
    </row>
    <row r="630" spans="1:7" x14ac:dyDescent="0.2">
      <c r="A630" t="s">
        <v>2340</v>
      </c>
      <c r="B630" t="str">
        <f>"18641858848"</f>
        <v>18641858848</v>
      </c>
      <c r="C630" t="str">
        <f>"210911198904042021"</f>
        <v>210911198904042021</v>
      </c>
      <c r="D630" t="s">
        <v>1</v>
      </c>
      <c r="E630" t="s">
        <v>1</v>
      </c>
      <c r="F630" t="s">
        <v>0</v>
      </c>
      <c r="G630" t="str">
        <f>"2018-10-18 17:45:23"</f>
        <v>2018-10-18 17:45:23</v>
      </c>
    </row>
    <row r="631" spans="1:7" x14ac:dyDescent="0.2">
      <c r="A631" t="s">
        <v>2341</v>
      </c>
      <c r="B631" t="str">
        <f>"13866440777"</f>
        <v>13866440777</v>
      </c>
      <c r="C631" t="str">
        <f>"340828198007234016"</f>
        <v>340828198007234016</v>
      </c>
      <c r="D631" t="s">
        <v>1</v>
      </c>
      <c r="E631" t="s">
        <v>1</v>
      </c>
      <c r="F631" t="s">
        <v>0</v>
      </c>
      <c r="G631" t="str">
        <f>"2018-10-18 17:43:23"</f>
        <v>2018-10-18 17:43:23</v>
      </c>
    </row>
    <row r="632" spans="1:7" x14ac:dyDescent="0.2">
      <c r="A632" t="s">
        <v>2342</v>
      </c>
      <c r="B632" t="str">
        <f>"15160658908"</f>
        <v>15160658908</v>
      </c>
      <c r="C632" t="str">
        <f>"350825198411255030"</f>
        <v>350825198411255030</v>
      </c>
      <c r="D632" t="s">
        <v>1</v>
      </c>
      <c r="E632" t="s">
        <v>1</v>
      </c>
      <c r="F632" t="s">
        <v>0</v>
      </c>
      <c r="G632" t="str">
        <f>"2018-10-18 17:43:02"</f>
        <v>2018-10-18 17:43:02</v>
      </c>
    </row>
    <row r="633" spans="1:7" x14ac:dyDescent="0.2">
      <c r="A633" t="s">
        <v>2343</v>
      </c>
      <c r="B633" t="str">
        <f>"13580127363"</f>
        <v>13580127363</v>
      </c>
      <c r="C633" t="str">
        <f>"440881199009040610"</f>
        <v>440881199009040610</v>
      </c>
      <c r="D633" t="s">
        <v>1</v>
      </c>
      <c r="E633" t="s">
        <v>1</v>
      </c>
      <c r="F633" t="s">
        <v>0</v>
      </c>
      <c r="G633" t="str">
        <f>"2018-10-18 17:42:46"</f>
        <v>2018-10-18 17:42:46</v>
      </c>
    </row>
    <row r="634" spans="1:7" x14ac:dyDescent="0.2">
      <c r="A634" t="s">
        <v>2344</v>
      </c>
      <c r="B634" t="str">
        <f>"13482551295"</f>
        <v>13482551295</v>
      </c>
      <c r="C634" t="str">
        <f>"310228199508162416"</f>
        <v>310228199508162416</v>
      </c>
      <c r="D634" t="s">
        <v>1</v>
      </c>
      <c r="E634" t="s">
        <v>1</v>
      </c>
      <c r="F634" t="s">
        <v>0</v>
      </c>
      <c r="G634" t="str">
        <f>"2018-10-18 17:46:46"</f>
        <v>2018-10-18 17:46:46</v>
      </c>
    </row>
    <row r="635" spans="1:7" x14ac:dyDescent="0.2">
      <c r="A635" t="s">
        <v>1</v>
      </c>
      <c r="B635" t="str">
        <f>"18306689245"</f>
        <v>18306689245</v>
      </c>
      <c r="C635" t="s">
        <v>1</v>
      </c>
      <c r="D635" t="s">
        <v>1</v>
      </c>
      <c r="E635" t="s">
        <v>1</v>
      </c>
      <c r="F635" t="s">
        <v>0</v>
      </c>
      <c r="G635" t="str">
        <f>"2018-10-18 17:43:50"</f>
        <v>2018-10-18 17:43:50</v>
      </c>
    </row>
    <row r="636" spans="1:7" x14ac:dyDescent="0.2">
      <c r="A636" t="s">
        <v>2345</v>
      </c>
      <c r="B636" t="str">
        <f>"15060215733"</f>
        <v>15060215733</v>
      </c>
      <c r="C636" t="str">
        <f>"352227197810142110"</f>
        <v>352227197810142110</v>
      </c>
      <c r="D636" t="s">
        <v>2346</v>
      </c>
      <c r="E636" t="s">
        <v>2347</v>
      </c>
      <c r="F636" t="s">
        <v>0</v>
      </c>
      <c r="G636" t="str">
        <f>"2018-10-18 17:41:58"</f>
        <v>2018-10-18 17:41:58</v>
      </c>
    </row>
    <row r="637" spans="1:7" x14ac:dyDescent="0.2">
      <c r="A637" t="s">
        <v>1</v>
      </c>
      <c r="B637" t="str">
        <f>"15695356204"</f>
        <v>15695356204</v>
      </c>
      <c r="C637" t="s">
        <v>1</v>
      </c>
      <c r="D637" t="s">
        <v>1</v>
      </c>
      <c r="E637" t="s">
        <v>1</v>
      </c>
      <c r="F637" t="s">
        <v>0</v>
      </c>
      <c r="G637" t="str">
        <f>"2018-10-18 17:40:11"</f>
        <v>2018-10-18 17:40:11</v>
      </c>
    </row>
    <row r="638" spans="1:7" x14ac:dyDescent="0.2">
      <c r="A638" t="s">
        <v>2348</v>
      </c>
      <c r="B638" t="str">
        <f>"13395373970"</f>
        <v>13395373970</v>
      </c>
      <c r="C638" t="str">
        <f>"370882198803272412"</f>
        <v>370882198803272412</v>
      </c>
      <c r="D638" t="s">
        <v>1</v>
      </c>
      <c r="E638" t="s">
        <v>1</v>
      </c>
      <c r="F638" t="s">
        <v>0</v>
      </c>
      <c r="G638" t="str">
        <f>"2018-10-18 17:41:48"</f>
        <v>2018-10-18 17:41:48</v>
      </c>
    </row>
    <row r="639" spans="1:7" x14ac:dyDescent="0.2">
      <c r="A639" t="s">
        <v>1</v>
      </c>
      <c r="B639" t="str">
        <f>"13734153452"</f>
        <v>13734153452</v>
      </c>
      <c r="C639" t="s">
        <v>1</v>
      </c>
      <c r="D639" t="s">
        <v>1</v>
      </c>
      <c r="E639" t="s">
        <v>1</v>
      </c>
      <c r="F639" t="s">
        <v>0</v>
      </c>
      <c r="G639" t="str">
        <f>"2018-10-18 17:39:52"</f>
        <v>2018-10-18 17:39:52</v>
      </c>
    </row>
    <row r="640" spans="1:7" x14ac:dyDescent="0.2">
      <c r="A640" t="s">
        <v>1</v>
      </c>
      <c r="B640" t="str">
        <f>"13422365570"</f>
        <v>13422365570</v>
      </c>
      <c r="C640" t="s">
        <v>1</v>
      </c>
      <c r="D640" t="s">
        <v>1</v>
      </c>
      <c r="E640" t="s">
        <v>1</v>
      </c>
      <c r="F640" t="s">
        <v>0</v>
      </c>
      <c r="G640" t="str">
        <f>"2018-10-18 17:39:37"</f>
        <v>2018-10-18 17:39:37</v>
      </c>
    </row>
    <row r="641" spans="1:7" x14ac:dyDescent="0.2">
      <c r="A641" t="s">
        <v>2349</v>
      </c>
      <c r="B641" t="str">
        <f>"15617240311"</f>
        <v>15617240311</v>
      </c>
      <c r="C641" t="str">
        <f>"411002199312180014"</f>
        <v>411002199312180014</v>
      </c>
      <c r="D641" t="s">
        <v>1</v>
      </c>
      <c r="E641" t="s">
        <v>1</v>
      </c>
      <c r="F641" t="s">
        <v>0</v>
      </c>
      <c r="G641" t="str">
        <f>"2018-10-18 17:45:57"</f>
        <v>2018-10-18 17:45:57</v>
      </c>
    </row>
    <row r="642" spans="1:7" x14ac:dyDescent="0.2">
      <c r="A642" t="s">
        <v>2350</v>
      </c>
      <c r="B642" t="str">
        <f>"15500905080"</f>
        <v>15500905080</v>
      </c>
      <c r="C642" t="str">
        <f>"460002198709184615"</f>
        <v>460002198709184615</v>
      </c>
      <c r="D642" t="s">
        <v>1</v>
      </c>
      <c r="E642" t="s">
        <v>1</v>
      </c>
      <c r="F642" t="s">
        <v>0</v>
      </c>
      <c r="G642" t="str">
        <f>"2018-10-18 17:42:12"</f>
        <v>2018-10-18 17:42:12</v>
      </c>
    </row>
    <row r="643" spans="1:7" x14ac:dyDescent="0.2">
      <c r="A643" t="s">
        <v>2351</v>
      </c>
      <c r="B643" t="str">
        <f>"13730527760"</f>
        <v>13730527760</v>
      </c>
      <c r="C643" t="str">
        <f>"13110219870922308X"</f>
        <v>13110219870922308X</v>
      </c>
      <c r="D643" t="s">
        <v>1</v>
      </c>
      <c r="E643" t="s">
        <v>1</v>
      </c>
      <c r="F643" t="s">
        <v>0</v>
      </c>
      <c r="G643" t="str">
        <f>"2018-10-22 20:44:07"</f>
        <v>2018-10-22 20:44:07</v>
      </c>
    </row>
    <row r="644" spans="1:7" x14ac:dyDescent="0.2">
      <c r="A644" t="s">
        <v>1</v>
      </c>
      <c r="B644" t="str">
        <f>"18582965820"</f>
        <v>18582965820</v>
      </c>
      <c r="C644" t="s">
        <v>1</v>
      </c>
      <c r="D644" t="s">
        <v>1</v>
      </c>
      <c r="E644" t="s">
        <v>1</v>
      </c>
      <c r="F644" t="s">
        <v>0</v>
      </c>
      <c r="G644" t="str">
        <f>"2018-10-18 17:38:48"</f>
        <v>2018-10-18 17:38:48</v>
      </c>
    </row>
    <row r="645" spans="1:7" x14ac:dyDescent="0.2">
      <c r="A645" t="s">
        <v>2352</v>
      </c>
      <c r="B645" t="str">
        <f>"15167205276"</f>
        <v>15167205276</v>
      </c>
      <c r="C645" t="str">
        <f>"330522199003101935"</f>
        <v>330522199003101935</v>
      </c>
      <c r="D645" t="s">
        <v>2353</v>
      </c>
      <c r="E645" t="s">
        <v>2354</v>
      </c>
      <c r="F645" t="s">
        <v>0</v>
      </c>
      <c r="G645" t="str">
        <f>"2018-10-18 17:38:46"</f>
        <v>2018-10-18 17:38:46</v>
      </c>
    </row>
    <row r="646" spans="1:7" x14ac:dyDescent="0.2">
      <c r="A646" t="s">
        <v>2355</v>
      </c>
      <c r="B646" t="str">
        <f>"15060055651"</f>
        <v>15060055651</v>
      </c>
      <c r="C646" t="str">
        <f>"350103198703202719"</f>
        <v>350103198703202719</v>
      </c>
      <c r="D646" t="s">
        <v>1</v>
      </c>
      <c r="E646" t="s">
        <v>1</v>
      </c>
      <c r="F646" t="s">
        <v>0</v>
      </c>
      <c r="G646" t="str">
        <f>"2018-10-18 17:40:08"</f>
        <v>2018-10-18 17:40:08</v>
      </c>
    </row>
    <row r="647" spans="1:7" x14ac:dyDescent="0.2">
      <c r="A647" t="s">
        <v>2356</v>
      </c>
      <c r="B647" t="str">
        <f>"15278884406"</f>
        <v>15278884406</v>
      </c>
      <c r="C647" t="str">
        <f>"450222199607151117"</f>
        <v>450222199607151117</v>
      </c>
      <c r="D647" t="s">
        <v>1</v>
      </c>
      <c r="E647" t="s">
        <v>1</v>
      </c>
      <c r="F647" t="s">
        <v>0</v>
      </c>
      <c r="G647" t="str">
        <f>"2018-11-04 16:26:06"</f>
        <v>2018-11-04 16:26:06</v>
      </c>
    </row>
    <row r="648" spans="1:7" x14ac:dyDescent="0.2">
      <c r="A648" t="s">
        <v>1</v>
      </c>
      <c r="B648" t="str">
        <f>"15267008707"</f>
        <v>15267008707</v>
      </c>
      <c r="C648" t="s">
        <v>1</v>
      </c>
      <c r="D648" t="s">
        <v>1</v>
      </c>
      <c r="E648" t="s">
        <v>1</v>
      </c>
      <c r="F648" t="s">
        <v>0</v>
      </c>
      <c r="G648" t="str">
        <f>"2018-10-18 17:38:04"</f>
        <v>2018-10-18 17:38:04</v>
      </c>
    </row>
    <row r="649" spans="1:7" x14ac:dyDescent="0.2">
      <c r="A649" t="s">
        <v>1805</v>
      </c>
      <c r="B649" t="str">
        <f>"18582086111"</f>
        <v>18582086111</v>
      </c>
      <c r="C649" t="str">
        <f>"510183198602190431"</f>
        <v>510183198602190431</v>
      </c>
      <c r="D649" t="s">
        <v>1</v>
      </c>
      <c r="E649" t="s">
        <v>1</v>
      </c>
      <c r="F649" t="s">
        <v>0</v>
      </c>
      <c r="G649" t="str">
        <f>"2018-10-23 11:36:08"</f>
        <v>2018-10-23 11:36:08</v>
      </c>
    </row>
    <row r="650" spans="1:7" x14ac:dyDescent="0.2">
      <c r="A650" t="s">
        <v>1</v>
      </c>
      <c r="B650" t="str">
        <f>"13609309269"</f>
        <v>13609309269</v>
      </c>
      <c r="C650" t="s">
        <v>1</v>
      </c>
      <c r="D650" t="s">
        <v>1</v>
      </c>
      <c r="E650" t="s">
        <v>1</v>
      </c>
      <c r="F650" t="s">
        <v>0</v>
      </c>
      <c r="G650" t="str">
        <f>"2018-10-18 17:37:45"</f>
        <v>2018-10-18 17:37:45</v>
      </c>
    </row>
    <row r="651" spans="1:7" x14ac:dyDescent="0.2">
      <c r="A651" t="s">
        <v>2357</v>
      </c>
      <c r="B651" t="str">
        <f>"13696877632"</f>
        <v>13696877632</v>
      </c>
      <c r="C651" t="str">
        <f>"350426199303223532"</f>
        <v>350426199303223532</v>
      </c>
      <c r="D651" t="s">
        <v>1</v>
      </c>
      <c r="E651" t="s">
        <v>1</v>
      </c>
      <c r="F651" t="s">
        <v>0</v>
      </c>
      <c r="G651" t="str">
        <f>"2018-10-18 17:41:26"</f>
        <v>2018-10-18 17:41:26</v>
      </c>
    </row>
    <row r="652" spans="1:7" x14ac:dyDescent="0.2">
      <c r="A652" t="s">
        <v>1</v>
      </c>
      <c r="B652" t="str">
        <f>"18135211224"</f>
        <v>18135211224</v>
      </c>
      <c r="C652" t="s">
        <v>1</v>
      </c>
      <c r="D652" t="s">
        <v>1</v>
      </c>
      <c r="E652" t="s">
        <v>1</v>
      </c>
      <c r="F652" t="s">
        <v>0</v>
      </c>
      <c r="G652" t="str">
        <f>"2018-10-18 17:37:26"</f>
        <v>2018-10-18 17:37:26</v>
      </c>
    </row>
    <row r="653" spans="1:7" x14ac:dyDescent="0.2">
      <c r="A653" t="s">
        <v>2358</v>
      </c>
      <c r="B653" t="str">
        <f>"15815861214"</f>
        <v>15815861214</v>
      </c>
      <c r="C653" t="str">
        <f>"445224198805122721"</f>
        <v>445224198805122721</v>
      </c>
      <c r="D653" t="s">
        <v>1</v>
      </c>
      <c r="E653" t="s">
        <v>1</v>
      </c>
      <c r="F653" t="s">
        <v>0</v>
      </c>
      <c r="G653" t="str">
        <f>"2018-10-19 15:31:04"</f>
        <v>2018-10-19 15:31:04</v>
      </c>
    </row>
    <row r="654" spans="1:7" x14ac:dyDescent="0.2">
      <c r="A654" t="s">
        <v>2359</v>
      </c>
      <c r="B654" t="str">
        <f>"15888165873"</f>
        <v>15888165873</v>
      </c>
      <c r="C654" t="str">
        <f>"422825199408120834"</f>
        <v>422825199408120834</v>
      </c>
      <c r="D654" t="s">
        <v>1</v>
      </c>
      <c r="E654" t="s">
        <v>1</v>
      </c>
      <c r="F654" t="s">
        <v>0</v>
      </c>
      <c r="G654" t="str">
        <f>"2018-10-18 17:38:52"</f>
        <v>2018-10-18 17:38:52</v>
      </c>
    </row>
    <row r="655" spans="1:7" x14ac:dyDescent="0.2">
      <c r="A655" t="s">
        <v>2360</v>
      </c>
      <c r="B655" t="str">
        <f>"15807379805"</f>
        <v>15807379805</v>
      </c>
      <c r="C655" t="str">
        <f>"152326199111291206"</f>
        <v>152326199111291206</v>
      </c>
      <c r="D655" t="s">
        <v>1</v>
      </c>
      <c r="E655" t="s">
        <v>1</v>
      </c>
      <c r="F655" t="s">
        <v>0</v>
      </c>
      <c r="G655" t="str">
        <f>"2018-10-18 17:38:58"</f>
        <v>2018-10-18 17:38:58</v>
      </c>
    </row>
    <row r="656" spans="1:7" x14ac:dyDescent="0.2">
      <c r="A656" t="s">
        <v>1</v>
      </c>
      <c r="B656" t="str">
        <f>"18781631200"</f>
        <v>18781631200</v>
      </c>
      <c r="C656" t="s">
        <v>1</v>
      </c>
      <c r="D656" t="s">
        <v>1</v>
      </c>
      <c r="E656" t="s">
        <v>1</v>
      </c>
      <c r="F656" t="s">
        <v>0</v>
      </c>
      <c r="G656" t="str">
        <f>"2018-10-18 17:42:55"</f>
        <v>2018-10-18 17:42:55</v>
      </c>
    </row>
    <row r="657" spans="1:7" x14ac:dyDescent="0.2">
      <c r="A657" t="s">
        <v>1</v>
      </c>
      <c r="B657" t="str">
        <f>"13106274551"</f>
        <v>13106274551</v>
      </c>
      <c r="C657" t="s">
        <v>1</v>
      </c>
      <c r="D657" t="s">
        <v>1</v>
      </c>
      <c r="E657" t="s">
        <v>1</v>
      </c>
      <c r="F657" t="s">
        <v>0</v>
      </c>
      <c r="G657" t="str">
        <f>"2018-10-18 17:36:28"</f>
        <v>2018-10-18 17:36:28</v>
      </c>
    </row>
    <row r="658" spans="1:7" x14ac:dyDescent="0.2">
      <c r="A658" t="s">
        <v>2361</v>
      </c>
      <c r="B658" t="str">
        <f>"15304729330"</f>
        <v>15304729330</v>
      </c>
      <c r="C658" t="str">
        <f>"150204197202182115"</f>
        <v>150204197202182115</v>
      </c>
      <c r="D658" t="s">
        <v>1</v>
      </c>
      <c r="E658" t="s">
        <v>1</v>
      </c>
      <c r="F658" t="s">
        <v>0</v>
      </c>
      <c r="G658" t="str">
        <f>"2018-10-18 17:36:27"</f>
        <v>2018-10-18 17:36:27</v>
      </c>
    </row>
    <row r="659" spans="1:7" x14ac:dyDescent="0.2">
      <c r="A659" t="s">
        <v>2362</v>
      </c>
      <c r="B659" t="str">
        <f>"13392073373"</f>
        <v>13392073373</v>
      </c>
      <c r="C659" t="str">
        <f>"440784198411161583"</f>
        <v>440784198411161583</v>
      </c>
      <c r="D659" t="s">
        <v>1</v>
      </c>
      <c r="E659" t="s">
        <v>1</v>
      </c>
      <c r="F659" t="s">
        <v>0</v>
      </c>
      <c r="G659" t="str">
        <f>"2018-10-18 17:38:43"</f>
        <v>2018-10-18 17:38:43</v>
      </c>
    </row>
    <row r="660" spans="1:7" x14ac:dyDescent="0.2">
      <c r="A660" t="s">
        <v>2363</v>
      </c>
      <c r="B660" t="str">
        <f>"13794730061"</f>
        <v>13794730061</v>
      </c>
      <c r="C660" t="str">
        <f>"441502199509052713"</f>
        <v>441502199509052713</v>
      </c>
      <c r="D660" t="s">
        <v>2364</v>
      </c>
      <c r="E660" t="s">
        <v>2365</v>
      </c>
      <c r="F660" t="s">
        <v>0</v>
      </c>
      <c r="G660" t="str">
        <f>"2018-10-18 17:39:13"</f>
        <v>2018-10-18 17:39:13</v>
      </c>
    </row>
    <row r="661" spans="1:7" x14ac:dyDescent="0.2">
      <c r="A661" t="s">
        <v>2366</v>
      </c>
      <c r="B661" t="str">
        <f>"13960866957"</f>
        <v>13960866957</v>
      </c>
      <c r="C661" t="str">
        <f>"350181198508101997"</f>
        <v>350181198508101997</v>
      </c>
      <c r="D661" t="s">
        <v>2367</v>
      </c>
      <c r="E661" t="s">
        <v>2368</v>
      </c>
      <c r="F661" t="s">
        <v>0</v>
      </c>
      <c r="G661" t="str">
        <f>"2018-10-18 17:48:21"</f>
        <v>2018-10-18 17:48:21</v>
      </c>
    </row>
    <row r="662" spans="1:7" x14ac:dyDescent="0.2">
      <c r="A662" t="s">
        <v>2369</v>
      </c>
      <c r="B662" t="str">
        <f>"15926686766"</f>
        <v>15926686766</v>
      </c>
      <c r="C662" t="str">
        <f>"420822198905203336"</f>
        <v>420822198905203336</v>
      </c>
      <c r="D662" t="s">
        <v>1</v>
      </c>
      <c r="E662" t="s">
        <v>1</v>
      </c>
      <c r="F662" t="s">
        <v>0</v>
      </c>
      <c r="G662" t="str">
        <f>"2018-10-18 17:37:16"</f>
        <v>2018-10-18 17:37:16</v>
      </c>
    </row>
    <row r="663" spans="1:7" x14ac:dyDescent="0.2">
      <c r="A663" t="s">
        <v>2370</v>
      </c>
      <c r="B663" t="str">
        <f>"15119938393"</f>
        <v>15119938393</v>
      </c>
      <c r="C663" t="str">
        <f>"441881198801102631"</f>
        <v>441881198801102631</v>
      </c>
      <c r="D663" t="s">
        <v>2371</v>
      </c>
      <c r="E663" t="s">
        <v>2372</v>
      </c>
      <c r="F663" t="s">
        <v>0</v>
      </c>
      <c r="G663" t="str">
        <f>"2018-10-18 18:02:58"</f>
        <v>2018-10-18 18:02:58</v>
      </c>
    </row>
    <row r="664" spans="1:7" x14ac:dyDescent="0.2">
      <c r="A664" t="s">
        <v>1</v>
      </c>
      <c r="B664" t="str">
        <f>"18796056780"</f>
        <v>18796056780</v>
      </c>
      <c r="C664" t="s">
        <v>1</v>
      </c>
      <c r="D664" t="s">
        <v>1</v>
      </c>
      <c r="E664" t="s">
        <v>1</v>
      </c>
      <c r="F664" t="s">
        <v>0</v>
      </c>
      <c r="G664" t="str">
        <f>"2018-10-18 17:35:17"</f>
        <v>2018-10-18 17:35:17</v>
      </c>
    </row>
    <row r="665" spans="1:7" x14ac:dyDescent="0.2">
      <c r="A665" t="s">
        <v>2373</v>
      </c>
      <c r="B665" t="str">
        <f>"15766562883"</f>
        <v>15766562883</v>
      </c>
      <c r="C665" t="str">
        <f>"441323199412251549"</f>
        <v>441323199412251549</v>
      </c>
      <c r="D665" t="s">
        <v>1</v>
      </c>
      <c r="E665" t="s">
        <v>1</v>
      </c>
      <c r="F665" t="s">
        <v>0</v>
      </c>
      <c r="G665" t="str">
        <f>"2018-10-18 17:36:23"</f>
        <v>2018-10-18 17:36:23</v>
      </c>
    </row>
    <row r="666" spans="1:7" x14ac:dyDescent="0.2">
      <c r="A666" t="s">
        <v>1</v>
      </c>
      <c r="B666" t="str">
        <f>"18756675393"</f>
        <v>18756675393</v>
      </c>
      <c r="C666" t="s">
        <v>1</v>
      </c>
      <c r="D666" t="s">
        <v>1</v>
      </c>
      <c r="E666" t="s">
        <v>1</v>
      </c>
      <c r="F666" t="s">
        <v>0</v>
      </c>
      <c r="G666" t="str">
        <f>"2018-10-18 17:34:41"</f>
        <v>2018-10-18 17:34:41</v>
      </c>
    </row>
    <row r="667" spans="1:7" x14ac:dyDescent="0.2">
      <c r="A667" t="s">
        <v>2374</v>
      </c>
      <c r="B667" t="str">
        <f>"15657280333"</f>
        <v>15657280333</v>
      </c>
      <c r="C667" t="str">
        <f>"320525197812166518"</f>
        <v>320525197812166518</v>
      </c>
      <c r="D667" t="s">
        <v>1</v>
      </c>
      <c r="E667" t="s">
        <v>1</v>
      </c>
      <c r="F667" t="s">
        <v>0</v>
      </c>
      <c r="G667" t="str">
        <f>"2018-10-18 17:36:25"</f>
        <v>2018-10-18 17:36:25</v>
      </c>
    </row>
    <row r="668" spans="1:7" x14ac:dyDescent="0.2">
      <c r="A668" t="s">
        <v>2375</v>
      </c>
      <c r="B668" t="str">
        <f>"15347236876"</f>
        <v>15347236876</v>
      </c>
      <c r="C668" t="str">
        <f>"420204197507204931"</f>
        <v>420204197507204931</v>
      </c>
      <c r="D668" t="s">
        <v>1</v>
      </c>
      <c r="E668" t="s">
        <v>1</v>
      </c>
      <c r="F668" t="s">
        <v>0</v>
      </c>
      <c r="G668" t="str">
        <f>"2018-10-18 17:36:44"</f>
        <v>2018-10-18 17:36:44</v>
      </c>
    </row>
    <row r="669" spans="1:7" x14ac:dyDescent="0.2">
      <c r="A669" t="s">
        <v>1</v>
      </c>
      <c r="B669" t="str">
        <f>"17305870397"</f>
        <v>17305870397</v>
      </c>
      <c r="C669" t="s">
        <v>1</v>
      </c>
      <c r="D669" t="s">
        <v>1</v>
      </c>
      <c r="E669" t="s">
        <v>1</v>
      </c>
      <c r="F669" t="s">
        <v>0</v>
      </c>
      <c r="G669" t="str">
        <f>"2018-10-18 17:34:25"</f>
        <v>2018-10-18 17:34:25</v>
      </c>
    </row>
    <row r="670" spans="1:7" x14ac:dyDescent="0.2">
      <c r="A670" t="s">
        <v>1</v>
      </c>
      <c r="B670" t="str">
        <f>"13014886042"</f>
        <v>13014886042</v>
      </c>
      <c r="C670" t="s">
        <v>1</v>
      </c>
      <c r="D670" t="s">
        <v>1</v>
      </c>
      <c r="E670" t="s">
        <v>1</v>
      </c>
      <c r="F670" t="s">
        <v>0</v>
      </c>
      <c r="G670" t="str">
        <f>"2018-10-18 17:34:13"</f>
        <v>2018-10-18 17:34:13</v>
      </c>
    </row>
    <row r="671" spans="1:7" x14ac:dyDescent="0.2">
      <c r="A671" t="s">
        <v>1</v>
      </c>
      <c r="B671" t="str">
        <f>"13625239494"</f>
        <v>13625239494</v>
      </c>
      <c r="C671" t="s">
        <v>1</v>
      </c>
      <c r="D671" t="s">
        <v>1</v>
      </c>
      <c r="E671" t="s">
        <v>1</v>
      </c>
      <c r="F671" t="s">
        <v>0</v>
      </c>
      <c r="G671" t="str">
        <f>"2018-10-18 17:34:10"</f>
        <v>2018-10-18 17:34:10</v>
      </c>
    </row>
    <row r="672" spans="1:7" x14ac:dyDescent="0.2">
      <c r="A672" t="s">
        <v>1</v>
      </c>
      <c r="B672" t="str">
        <f>"13692742508"</f>
        <v>13692742508</v>
      </c>
      <c r="C672" t="s">
        <v>1</v>
      </c>
      <c r="D672" t="s">
        <v>1</v>
      </c>
      <c r="E672" t="s">
        <v>1</v>
      </c>
      <c r="F672" t="s">
        <v>0</v>
      </c>
      <c r="G672" t="str">
        <f>"2018-10-18 17:34:06"</f>
        <v>2018-10-18 17:34:06</v>
      </c>
    </row>
    <row r="673" spans="1:7" x14ac:dyDescent="0.2">
      <c r="A673" t="s">
        <v>2376</v>
      </c>
      <c r="B673" t="str">
        <f>"15984500886"</f>
        <v>15984500886</v>
      </c>
      <c r="C673" t="str">
        <f>"513122199708261116"</f>
        <v>513122199708261116</v>
      </c>
      <c r="D673" t="s">
        <v>1</v>
      </c>
      <c r="E673" t="s">
        <v>1</v>
      </c>
      <c r="F673" t="s">
        <v>0</v>
      </c>
      <c r="G673" t="str">
        <f>"2018-10-18 17:36:31"</f>
        <v>2018-10-18 17:36:31</v>
      </c>
    </row>
    <row r="674" spans="1:7" x14ac:dyDescent="0.2">
      <c r="A674" t="s">
        <v>1</v>
      </c>
      <c r="B674" t="str">
        <f>"18969942322"</f>
        <v>18969942322</v>
      </c>
      <c r="C674" t="s">
        <v>1</v>
      </c>
      <c r="D674" t="s">
        <v>1</v>
      </c>
      <c r="E674" t="s">
        <v>1</v>
      </c>
      <c r="F674" t="s">
        <v>0</v>
      </c>
      <c r="G674" t="str">
        <f>"2018-10-18 17:34:01"</f>
        <v>2018-10-18 17:34:01</v>
      </c>
    </row>
    <row r="675" spans="1:7" x14ac:dyDescent="0.2">
      <c r="A675" t="s">
        <v>1</v>
      </c>
      <c r="B675" t="str">
        <f>"17719169080"</f>
        <v>17719169080</v>
      </c>
      <c r="C675" t="s">
        <v>1</v>
      </c>
      <c r="D675" t="s">
        <v>1</v>
      </c>
      <c r="E675" t="s">
        <v>1</v>
      </c>
      <c r="F675" t="s">
        <v>0</v>
      </c>
      <c r="G675" t="str">
        <f>"2018-10-18 17:36:20"</f>
        <v>2018-10-18 17:36:20</v>
      </c>
    </row>
    <row r="676" spans="1:7" x14ac:dyDescent="0.2">
      <c r="A676" t="s">
        <v>1</v>
      </c>
      <c r="B676" t="str">
        <f>"18135699775"</f>
        <v>18135699775</v>
      </c>
      <c r="C676" t="s">
        <v>1</v>
      </c>
      <c r="D676" t="s">
        <v>1</v>
      </c>
      <c r="E676" t="s">
        <v>1</v>
      </c>
      <c r="F676" t="s">
        <v>0</v>
      </c>
      <c r="G676" t="str">
        <f>"2018-10-18 17:33:46"</f>
        <v>2018-10-18 17:33:46</v>
      </c>
    </row>
    <row r="677" spans="1:7" x14ac:dyDescent="0.2">
      <c r="A677" t="s">
        <v>2377</v>
      </c>
      <c r="B677" t="str">
        <f>"18558919782"</f>
        <v>18558919782</v>
      </c>
      <c r="C677" t="str">
        <f>"52222519971218872X"</f>
        <v>52222519971218872X</v>
      </c>
      <c r="D677" t="s">
        <v>1</v>
      </c>
      <c r="E677" t="s">
        <v>1</v>
      </c>
      <c r="F677" t="s">
        <v>0</v>
      </c>
      <c r="G677" t="str">
        <f>"2018-10-18 17:35:41"</f>
        <v>2018-10-18 17:35:41</v>
      </c>
    </row>
    <row r="678" spans="1:7" x14ac:dyDescent="0.2">
      <c r="A678" t="s">
        <v>2378</v>
      </c>
      <c r="B678" t="str">
        <f>"13960130262"</f>
        <v>13960130262</v>
      </c>
      <c r="C678" t="str">
        <f>"350626198410012016"</f>
        <v>350626198410012016</v>
      </c>
      <c r="D678" t="s">
        <v>1</v>
      </c>
      <c r="E678" t="s">
        <v>1</v>
      </c>
      <c r="F678" t="s">
        <v>0</v>
      </c>
      <c r="G678" t="str">
        <f>"2018-10-19 15:07:10"</f>
        <v>2018-10-19 15:07:10</v>
      </c>
    </row>
    <row r="679" spans="1:7" x14ac:dyDescent="0.2">
      <c r="A679" t="s">
        <v>2379</v>
      </c>
      <c r="B679" t="str">
        <f>"15969025072"</f>
        <v>15969025072</v>
      </c>
      <c r="C679" t="str">
        <f>"530628199302172128"</f>
        <v>530628199302172128</v>
      </c>
      <c r="D679" t="s">
        <v>1</v>
      </c>
      <c r="E679" t="s">
        <v>1</v>
      </c>
      <c r="F679" t="s">
        <v>0</v>
      </c>
      <c r="G679" t="str">
        <f>"2018-10-23 22:13:47"</f>
        <v>2018-10-23 22:13:47</v>
      </c>
    </row>
    <row r="680" spans="1:7" x14ac:dyDescent="0.2">
      <c r="A680" t="s">
        <v>2380</v>
      </c>
      <c r="B680" t="str">
        <f>"13798932870"</f>
        <v>13798932870</v>
      </c>
      <c r="C680" t="str">
        <f>"452230198709094528"</f>
        <v>452230198709094528</v>
      </c>
      <c r="D680" t="s">
        <v>1</v>
      </c>
      <c r="E680" t="s">
        <v>1</v>
      </c>
      <c r="F680" t="s">
        <v>0</v>
      </c>
      <c r="G680" t="str">
        <f>"2018-10-19 11:35:58"</f>
        <v>2018-10-19 11:35:58</v>
      </c>
    </row>
    <row r="681" spans="1:7" x14ac:dyDescent="0.2">
      <c r="A681" t="s">
        <v>2381</v>
      </c>
      <c r="B681" t="str">
        <f>"15764748450"</f>
        <v>15764748450</v>
      </c>
      <c r="C681" t="str">
        <f>"152601199307203123"</f>
        <v>152601199307203123</v>
      </c>
      <c r="D681" t="s">
        <v>1</v>
      </c>
      <c r="E681" t="s">
        <v>1</v>
      </c>
      <c r="F681" t="s">
        <v>0</v>
      </c>
      <c r="G681" t="str">
        <f>"2018-10-18 17:35:33"</f>
        <v>2018-10-18 17:35:33</v>
      </c>
    </row>
    <row r="682" spans="1:7" x14ac:dyDescent="0.2">
      <c r="A682" t="s">
        <v>2382</v>
      </c>
      <c r="B682" t="str">
        <f>"18891796355"</f>
        <v>18891796355</v>
      </c>
      <c r="C682" t="str">
        <f>"612429198811153614"</f>
        <v>612429198811153614</v>
      </c>
      <c r="D682" t="s">
        <v>1</v>
      </c>
      <c r="E682" t="s">
        <v>1</v>
      </c>
      <c r="F682" t="s">
        <v>0</v>
      </c>
      <c r="G682" t="str">
        <f>"2018-10-18 17:34:13"</f>
        <v>2018-10-18 17:34:13</v>
      </c>
    </row>
    <row r="683" spans="1:7" x14ac:dyDescent="0.2">
      <c r="A683" t="s">
        <v>2383</v>
      </c>
      <c r="B683" t="str">
        <f>"15918756207"</f>
        <v>15918756207</v>
      </c>
      <c r="C683" t="str">
        <f>"440111198808122186"</f>
        <v>440111198808122186</v>
      </c>
      <c r="D683" t="s">
        <v>1</v>
      </c>
      <c r="E683" t="s">
        <v>1</v>
      </c>
      <c r="F683" t="s">
        <v>0</v>
      </c>
      <c r="G683" t="str">
        <f>"2018-10-19 13:59:49"</f>
        <v>2018-10-19 13:59:49</v>
      </c>
    </row>
    <row r="684" spans="1:7" x14ac:dyDescent="0.2">
      <c r="A684" t="s">
        <v>2384</v>
      </c>
      <c r="B684" t="str">
        <f>"13237107155"</f>
        <v>13237107155</v>
      </c>
      <c r="C684" t="str">
        <f>"421087197202235914"</f>
        <v>421087197202235914</v>
      </c>
      <c r="D684" t="s">
        <v>1</v>
      </c>
      <c r="E684" t="s">
        <v>1</v>
      </c>
      <c r="F684" t="s">
        <v>0</v>
      </c>
      <c r="G684" t="str">
        <f>"2018-10-18 17:33:10"</f>
        <v>2018-10-18 17:33:10</v>
      </c>
    </row>
    <row r="685" spans="1:7" x14ac:dyDescent="0.2">
      <c r="A685" t="s">
        <v>2385</v>
      </c>
      <c r="B685" t="str">
        <f>"13422712273"</f>
        <v>13422712273</v>
      </c>
      <c r="C685" t="str">
        <f>"440783198805116615"</f>
        <v>440783198805116615</v>
      </c>
      <c r="D685" t="s">
        <v>1</v>
      </c>
      <c r="E685" t="s">
        <v>1</v>
      </c>
      <c r="F685" t="s">
        <v>0</v>
      </c>
      <c r="G685" t="str">
        <f>"2018-10-18 17:35:57"</f>
        <v>2018-10-18 17:35:57</v>
      </c>
    </row>
    <row r="686" spans="1:7" x14ac:dyDescent="0.2">
      <c r="A686" t="s">
        <v>1</v>
      </c>
      <c r="B686" t="str">
        <f>"18579252169"</f>
        <v>18579252169</v>
      </c>
      <c r="C686" t="s">
        <v>1</v>
      </c>
      <c r="D686" t="s">
        <v>1</v>
      </c>
      <c r="E686" t="s">
        <v>1</v>
      </c>
      <c r="F686" t="s">
        <v>0</v>
      </c>
      <c r="G686" t="str">
        <f>"2018-10-18 17:33:43"</f>
        <v>2018-10-18 17:33:43</v>
      </c>
    </row>
    <row r="687" spans="1:7" x14ac:dyDescent="0.2">
      <c r="A687" t="s">
        <v>2386</v>
      </c>
      <c r="B687" t="str">
        <f>"15094345151"</f>
        <v>15094345151</v>
      </c>
      <c r="C687" t="str">
        <f>"320121198301012514"</f>
        <v>320121198301012514</v>
      </c>
      <c r="D687" t="s">
        <v>1</v>
      </c>
      <c r="E687" t="s">
        <v>1</v>
      </c>
      <c r="F687" t="s">
        <v>0</v>
      </c>
      <c r="G687" t="str">
        <f>"2018-10-18 17:40:09"</f>
        <v>2018-10-18 17:40:09</v>
      </c>
    </row>
    <row r="688" spans="1:7" x14ac:dyDescent="0.2">
      <c r="A688" t="s">
        <v>2387</v>
      </c>
      <c r="B688" t="str">
        <f>"15112732014"</f>
        <v>15112732014</v>
      </c>
      <c r="C688" t="str">
        <f>"441900199308115895"</f>
        <v>441900199308115895</v>
      </c>
      <c r="D688" t="s">
        <v>1</v>
      </c>
      <c r="E688" t="s">
        <v>1</v>
      </c>
      <c r="F688" t="s">
        <v>0</v>
      </c>
      <c r="G688" t="str">
        <f>"2018-10-29 13:53:39"</f>
        <v>2018-10-29 13:53:39</v>
      </c>
    </row>
    <row r="689" spans="1:7" x14ac:dyDescent="0.2">
      <c r="A689" t="s">
        <v>1</v>
      </c>
      <c r="B689" t="str">
        <f>"15114999623"</f>
        <v>15114999623</v>
      </c>
      <c r="C689" t="s">
        <v>1</v>
      </c>
      <c r="D689" t="s">
        <v>1</v>
      </c>
      <c r="E689" t="s">
        <v>1</v>
      </c>
      <c r="F689" t="s">
        <v>0</v>
      </c>
      <c r="G689" t="str">
        <f>"2018-10-18 17:31:16"</f>
        <v>2018-10-18 17:31:16</v>
      </c>
    </row>
    <row r="690" spans="1:7" x14ac:dyDescent="0.2">
      <c r="A690" t="s">
        <v>2388</v>
      </c>
      <c r="B690" t="str">
        <f>"18059688685"</f>
        <v>18059688685</v>
      </c>
      <c r="C690" t="str">
        <f>"350623199810225737"</f>
        <v>350623199810225737</v>
      </c>
      <c r="D690" t="s">
        <v>1</v>
      </c>
      <c r="E690" t="s">
        <v>1</v>
      </c>
      <c r="F690" t="s">
        <v>0</v>
      </c>
      <c r="G690" t="str">
        <f>"2018-10-18 17:34:19"</f>
        <v>2018-10-18 17:34:19</v>
      </c>
    </row>
    <row r="691" spans="1:7" x14ac:dyDescent="0.2">
      <c r="A691" t="s">
        <v>2389</v>
      </c>
      <c r="B691" t="str">
        <f>"17585553451"</f>
        <v>17585553451</v>
      </c>
      <c r="C691" t="str">
        <f>"522322199901209813"</f>
        <v>522322199901209813</v>
      </c>
      <c r="D691" t="s">
        <v>1</v>
      </c>
      <c r="E691" t="s">
        <v>1</v>
      </c>
      <c r="F691" t="s">
        <v>0</v>
      </c>
      <c r="G691" t="str">
        <f>"2018-10-18 17:32:53"</f>
        <v>2018-10-18 17:32:53</v>
      </c>
    </row>
    <row r="692" spans="1:7" x14ac:dyDescent="0.2">
      <c r="A692" t="s">
        <v>2390</v>
      </c>
      <c r="B692" t="str">
        <f>"18874667979"</f>
        <v>18874667979</v>
      </c>
      <c r="C692" t="str">
        <f>"432901198211248334"</f>
        <v>432901198211248334</v>
      </c>
      <c r="D692" t="s">
        <v>1</v>
      </c>
      <c r="E692" t="s">
        <v>1</v>
      </c>
      <c r="F692" t="s">
        <v>0</v>
      </c>
      <c r="G692" t="str">
        <f>"2018-10-18 17:32:30"</f>
        <v>2018-10-18 17:32:30</v>
      </c>
    </row>
    <row r="693" spans="1:7" x14ac:dyDescent="0.2">
      <c r="A693" t="s">
        <v>2391</v>
      </c>
      <c r="B693" t="str">
        <f>"15759175152"</f>
        <v>15759175152</v>
      </c>
      <c r="C693" t="str">
        <f>"350721199508204540"</f>
        <v>350721199508204540</v>
      </c>
      <c r="D693" t="s">
        <v>1</v>
      </c>
      <c r="E693" t="s">
        <v>1</v>
      </c>
      <c r="F693" t="s">
        <v>0</v>
      </c>
      <c r="G693" t="str">
        <f>"2018-10-18 17:32:31"</f>
        <v>2018-10-18 17:32:31</v>
      </c>
    </row>
    <row r="694" spans="1:7" x14ac:dyDescent="0.2">
      <c r="A694" t="s">
        <v>2392</v>
      </c>
      <c r="B694" t="str">
        <f>"18656275926"</f>
        <v>18656275926</v>
      </c>
      <c r="C694" t="str">
        <f>"34032319951027001X"</f>
        <v>34032319951027001X</v>
      </c>
      <c r="D694" t="s">
        <v>1</v>
      </c>
      <c r="E694" t="s">
        <v>1</v>
      </c>
      <c r="F694" t="s">
        <v>0</v>
      </c>
      <c r="G694" t="str">
        <f>"2018-10-18 17:32:03"</f>
        <v>2018-10-18 17:32:03</v>
      </c>
    </row>
    <row r="695" spans="1:7" x14ac:dyDescent="0.2">
      <c r="A695" t="s">
        <v>2393</v>
      </c>
      <c r="B695" t="str">
        <f>"13965907942"</f>
        <v>13965907942</v>
      </c>
      <c r="C695" t="str">
        <f>"342921199003240619"</f>
        <v>342921199003240619</v>
      </c>
      <c r="D695" t="s">
        <v>2394</v>
      </c>
      <c r="E695" t="s">
        <v>2394</v>
      </c>
      <c r="F695" t="s">
        <v>0</v>
      </c>
      <c r="G695" t="str">
        <f>"2018-10-18 18:02:54"</f>
        <v>2018-10-18 18:02:54</v>
      </c>
    </row>
    <row r="696" spans="1:7" x14ac:dyDescent="0.2">
      <c r="A696" t="s">
        <v>2395</v>
      </c>
      <c r="B696" t="str">
        <f>"17625838199"</f>
        <v>17625838199</v>
      </c>
      <c r="C696" t="str">
        <f>"320682199609280675"</f>
        <v>320682199609280675</v>
      </c>
      <c r="D696" t="s">
        <v>1</v>
      </c>
      <c r="E696" t="s">
        <v>1</v>
      </c>
      <c r="F696" t="s">
        <v>0</v>
      </c>
      <c r="G696" t="str">
        <f>"2018-10-18 18:36:34"</f>
        <v>2018-10-18 18:36:34</v>
      </c>
    </row>
    <row r="697" spans="1:7" x14ac:dyDescent="0.2">
      <c r="A697" t="s">
        <v>324</v>
      </c>
      <c r="B697" t="str">
        <f>"15840577494"</f>
        <v>15840577494</v>
      </c>
      <c r="C697" t="str">
        <f>"210726199705201913"</f>
        <v>210726199705201913</v>
      </c>
      <c r="D697" t="s">
        <v>1</v>
      </c>
      <c r="E697" t="s">
        <v>1</v>
      </c>
      <c r="F697" t="s">
        <v>0</v>
      </c>
      <c r="G697" t="str">
        <f>"2018-10-18 17:32:46"</f>
        <v>2018-10-18 17:32:46</v>
      </c>
    </row>
    <row r="698" spans="1:7" x14ac:dyDescent="0.2">
      <c r="A698" t="s">
        <v>382</v>
      </c>
      <c r="B698" t="str">
        <f>"15146633450"</f>
        <v>15146633450</v>
      </c>
      <c r="C698" t="str">
        <f>"230704199112230423"</f>
        <v>230704199112230423</v>
      </c>
      <c r="D698" t="s">
        <v>1</v>
      </c>
      <c r="E698" t="s">
        <v>1</v>
      </c>
      <c r="F698" t="s">
        <v>0</v>
      </c>
      <c r="G698" t="str">
        <f>"2018-10-19 10:09:35"</f>
        <v>2018-10-19 10:09:35</v>
      </c>
    </row>
    <row r="699" spans="1:7" x14ac:dyDescent="0.2">
      <c r="A699" t="s">
        <v>1819</v>
      </c>
      <c r="B699" t="str">
        <f>"15849494435"</f>
        <v>15849494435</v>
      </c>
      <c r="C699" t="str">
        <f>"150204197808151217"</f>
        <v>150204197808151217</v>
      </c>
      <c r="D699" t="s">
        <v>1</v>
      </c>
      <c r="E699" t="s">
        <v>1</v>
      </c>
      <c r="F699" t="s">
        <v>0</v>
      </c>
      <c r="G699" t="str">
        <f>"2018-10-18 17:31:55"</f>
        <v>2018-10-18 17:31:55</v>
      </c>
    </row>
    <row r="700" spans="1:7" x14ac:dyDescent="0.2">
      <c r="A700" t="s">
        <v>1</v>
      </c>
      <c r="B700" t="str">
        <f>"15650146756"</f>
        <v>15650146756</v>
      </c>
      <c r="C700" t="s">
        <v>1</v>
      </c>
      <c r="D700" t="s">
        <v>1</v>
      </c>
      <c r="E700" t="s">
        <v>1</v>
      </c>
      <c r="F700" t="s">
        <v>0</v>
      </c>
      <c r="G700" t="str">
        <f>"2018-10-18 17:30:58"</f>
        <v>2018-10-18 17:30:58</v>
      </c>
    </row>
    <row r="701" spans="1:7" x14ac:dyDescent="0.2">
      <c r="A701" t="s">
        <v>524</v>
      </c>
      <c r="B701" t="str">
        <f>"13079391995"</f>
        <v>13079391995</v>
      </c>
      <c r="C701" t="str">
        <f>"62032119950704151X"</f>
        <v>62032119950704151X</v>
      </c>
      <c r="D701" t="s">
        <v>1</v>
      </c>
      <c r="E701" t="s">
        <v>1</v>
      </c>
      <c r="F701" t="s">
        <v>0</v>
      </c>
      <c r="G701" t="str">
        <f>"2018-10-18 17:35:13"</f>
        <v>2018-10-18 17:35:13</v>
      </c>
    </row>
    <row r="702" spans="1:7" x14ac:dyDescent="0.2">
      <c r="A702" t="s">
        <v>2396</v>
      </c>
      <c r="B702" t="str">
        <f>"13551152315"</f>
        <v>13551152315</v>
      </c>
      <c r="C702" t="str">
        <f>"513030198608145919"</f>
        <v>513030198608145919</v>
      </c>
      <c r="D702" t="s">
        <v>1</v>
      </c>
      <c r="E702" t="s">
        <v>1</v>
      </c>
      <c r="F702" t="s">
        <v>0</v>
      </c>
      <c r="G702" t="str">
        <f>"2018-10-18 17:38:42"</f>
        <v>2018-10-18 17:38:42</v>
      </c>
    </row>
    <row r="703" spans="1:7" x14ac:dyDescent="0.2">
      <c r="A703" t="s">
        <v>2397</v>
      </c>
      <c r="B703" t="str">
        <f>"13976317231"</f>
        <v>13976317231</v>
      </c>
      <c r="C703" t="str">
        <f>"460027199206236227"</f>
        <v>460027199206236227</v>
      </c>
      <c r="D703" t="s">
        <v>2398</v>
      </c>
      <c r="E703" t="s">
        <v>2398</v>
      </c>
      <c r="F703" t="s">
        <v>0</v>
      </c>
      <c r="G703" t="str">
        <f>"2018-10-24 09:18:53"</f>
        <v>2018-10-24 09:18:53</v>
      </c>
    </row>
    <row r="704" spans="1:7" x14ac:dyDescent="0.2">
      <c r="A704" t="s">
        <v>2399</v>
      </c>
      <c r="B704" t="str">
        <f>"15766340197"</f>
        <v>15766340197</v>
      </c>
      <c r="C704" t="str">
        <f>"441322199803301113"</f>
        <v>441322199803301113</v>
      </c>
      <c r="D704" t="s">
        <v>2400</v>
      </c>
      <c r="E704" t="s">
        <v>2401</v>
      </c>
      <c r="F704" t="s">
        <v>0</v>
      </c>
      <c r="G704" t="str">
        <f>"2018-10-18 17:38:56"</f>
        <v>2018-10-18 17:38:56</v>
      </c>
    </row>
    <row r="705" spans="1:7" x14ac:dyDescent="0.2">
      <c r="A705" t="s">
        <v>2402</v>
      </c>
      <c r="B705" t="str">
        <f>"17756060711"</f>
        <v>17756060711</v>
      </c>
      <c r="C705" t="str">
        <f>"342427199004171310"</f>
        <v>342427199004171310</v>
      </c>
      <c r="D705" t="s">
        <v>1</v>
      </c>
      <c r="E705" t="s">
        <v>1</v>
      </c>
      <c r="F705" t="s">
        <v>0</v>
      </c>
      <c r="G705" t="str">
        <f>"2018-10-18 17:35:00"</f>
        <v>2018-10-18 17:35:00</v>
      </c>
    </row>
    <row r="706" spans="1:7" x14ac:dyDescent="0.2">
      <c r="A706" t="s">
        <v>2403</v>
      </c>
      <c r="B706" t="str">
        <f>"15720166559"</f>
        <v>15720166559</v>
      </c>
      <c r="C706" t="str">
        <f>"130602198706023636"</f>
        <v>130602198706023636</v>
      </c>
      <c r="D706" t="s">
        <v>1</v>
      </c>
      <c r="E706" t="s">
        <v>1</v>
      </c>
      <c r="F706" t="s">
        <v>0</v>
      </c>
      <c r="G706" t="str">
        <f>"2018-10-18 17:30:21"</f>
        <v>2018-10-18 17:30:21</v>
      </c>
    </row>
    <row r="707" spans="1:7" x14ac:dyDescent="0.2">
      <c r="A707" t="s">
        <v>1</v>
      </c>
      <c r="B707" t="str">
        <f>"13238983673"</f>
        <v>13238983673</v>
      </c>
      <c r="C707" t="s">
        <v>1</v>
      </c>
      <c r="D707" t="s">
        <v>1</v>
      </c>
      <c r="E707" t="s">
        <v>1</v>
      </c>
      <c r="F707" t="s">
        <v>0</v>
      </c>
      <c r="G707" t="str">
        <f>"2018-10-18 17:30:17"</f>
        <v>2018-10-18 17:30:17</v>
      </c>
    </row>
    <row r="708" spans="1:7" x14ac:dyDescent="0.2">
      <c r="A708" t="s">
        <v>2404</v>
      </c>
      <c r="B708" t="str">
        <f>"18080019681"</f>
        <v>18080019681</v>
      </c>
      <c r="C708" t="str">
        <f>"511324197709154518"</f>
        <v>511324197709154518</v>
      </c>
      <c r="D708" t="s">
        <v>1</v>
      </c>
      <c r="E708" t="s">
        <v>1</v>
      </c>
      <c r="F708" t="s">
        <v>0</v>
      </c>
      <c r="G708" t="str">
        <f>"2018-10-18 17:30:20"</f>
        <v>2018-10-18 17:30:20</v>
      </c>
    </row>
    <row r="709" spans="1:7" x14ac:dyDescent="0.2">
      <c r="A709" t="s">
        <v>1</v>
      </c>
      <c r="B709" t="str">
        <f>"13581322470"</f>
        <v>13581322470</v>
      </c>
      <c r="C709" t="s">
        <v>1</v>
      </c>
      <c r="D709" t="s">
        <v>1</v>
      </c>
      <c r="E709" t="s">
        <v>1</v>
      </c>
      <c r="F709" t="s">
        <v>0</v>
      </c>
      <c r="G709" t="str">
        <f>"2018-10-18 17:28:52"</f>
        <v>2018-10-18 17:28:52</v>
      </c>
    </row>
    <row r="710" spans="1:7" x14ac:dyDescent="0.2">
      <c r="A710" t="s">
        <v>2405</v>
      </c>
      <c r="B710" t="str">
        <f>"18782947990"</f>
        <v>18782947990</v>
      </c>
      <c r="C710" t="str">
        <f>"371326198806170019"</f>
        <v>371326198806170019</v>
      </c>
      <c r="D710" t="s">
        <v>1</v>
      </c>
      <c r="E710" t="s">
        <v>1</v>
      </c>
      <c r="F710" t="s">
        <v>0</v>
      </c>
      <c r="G710" t="str">
        <f>"2018-10-18 17:32:12"</f>
        <v>2018-10-18 17:32:12</v>
      </c>
    </row>
    <row r="711" spans="1:7" x14ac:dyDescent="0.2">
      <c r="A711" t="s">
        <v>2406</v>
      </c>
      <c r="B711" t="str">
        <f>"13993358752"</f>
        <v>13993358752</v>
      </c>
      <c r="C711" t="str">
        <f>"622701198409252210"</f>
        <v>622701198409252210</v>
      </c>
      <c r="D711" t="s">
        <v>1</v>
      </c>
      <c r="E711" t="s">
        <v>1</v>
      </c>
      <c r="F711" t="s">
        <v>0</v>
      </c>
      <c r="G711" t="str">
        <f>"2018-10-18 17:30:16"</f>
        <v>2018-10-18 17:30:16</v>
      </c>
    </row>
    <row r="712" spans="1:7" x14ac:dyDescent="0.2">
      <c r="A712" t="s">
        <v>1</v>
      </c>
      <c r="B712" t="str">
        <f>"18757935172"</f>
        <v>18757935172</v>
      </c>
      <c r="C712" t="s">
        <v>1</v>
      </c>
      <c r="D712" t="s">
        <v>1</v>
      </c>
      <c r="E712" t="s">
        <v>1</v>
      </c>
      <c r="F712" t="s">
        <v>0</v>
      </c>
      <c r="G712" t="str">
        <f>"2018-10-18 17:28:26"</f>
        <v>2018-10-18 17:28:26</v>
      </c>
    </row>
    <row r="713" spans="1:7" x14ac:dyDescent="0.2">
      <c r="A713" t="s">
        <v>1</v>
      </c>
      <c r="B713" t="str">
        <f>"15008048535"</f>
        <v>15008048535</v>
      </c>
      <c r="C713" t="s">
        <v>1</v>
      </c>
      <c r="D713" t="s">
        <v>1</v>
      </c>
      <c r="E713" t="s">
        <v>1</v>
      </c>
      <c r="F713" t="s">
        <v>0</v>
      </c>
      <c r="G713" t="str">
        <f>"2018-10-18 17:34:50"</f>
        <v>2018-10-18 17:34:50</v>
      </c>
    </row>
    <row r="714" spans="1:7" x14ac:dyDescent="0.2">
      <c r="A714" t="s">
        <v>2407</v>
      </c>
      <c r="B714" t="str">
        <f>"13829951135"</f>
        <v>13829951135</v>
      </c>
      <c r="C714" t="str">
        <f>"441322199205235224"</f>
        <v>441322199205235224</v>
      </c>
      <c r="D714" t="s">
        <v>1</v>
      </c>
      <c r="E714" t="s">
        <v>1</v>
      </c>
      <c r="F714" t="s">
        <v>0</v>
      </c>
      <c r="G714" t="str">
        <f>"2018-10-18 17:37:55"</f>
        <v>2018-10-18 17:37:55</v>
      </c>
    </row>
    <row r="715" spans="1:7" x14ac:dyDescent="0.2">
      <c r="A715" t="s">
        <v>1</v>
      </c>
      <c r="B715" t="str">
        <f>"13006712657"</f>
        <v>13006712657</v>
      </c>
      <c r="C715" t="s">
        <v>1</v>
      </c>
      <c r="D715" t="s">
        <v>1</v>
      </c>
      <c r="E715" t="s">
        <v>1</v>
      </c>
      <c r="F715" t="s">
        <v>0</v>
      </c>
      <c r="G715" t="str">
        <f>"2018-10-18 17:28:58"</f>
        <v>2018-10-18 17:28:58</v>
      </c>
    </row>
    <row r="716" spans="1:7" x14ac:dyDescent="0.2">
      <c r="A716" t="s">
        <v>1</v>
      </c>
      <c r="B716" t="str">
        <f>"13456931046"</f>
        <v>13456931046</v>
      </c>
      <c r="C716" t="s">
        <v>1</v>
      </c>
      <c r="D716" t="s">
        <v>1</v>
      </c>
      <c r="E716" t="s">
        <v>1</v>
      </c>
      <c r="F716" t="s">
        <v>0</v>
      </c>
      <c r="G716" t="str">
        <f>"2018-10-18 17:27:37"</f>
        <v>2018-10-18 17:27:37</v>
      </c>
    </row>
    <row r="717" spans="1:7" x14ac:dyDescent="0.2">
      <c r="A717" t="s">
        <v>1203</v>
      </c>
      <c r="B717" t="str">
        <f>"15062573168"</f>
        <v>15062573168</v>
      </c>
      <c r="C717" t="str">
        <f>"340823198807047516"</f>
        <v>340823198807047516</v>
      </c>
      <c r="D717" t="s">
        <v>1</v>
      </c>
      <c r="E717" t="s">
        <v>1</v>
      </c>
      <c r="F717" t="s">
        <v>0</v>
      </c>
      <c r="G717" t="str">
        <f>"2018-10-18 17:29:06"</f>
        <v>2018-10-18 17:29:06</v>
      </c>
    </row>
    <row r="718" spans="1:7" x14ac:dyDescent="0.2">
      <c r="A718" t="s">
        <v>2408</v>
      </c>
      <c r="B718" t="str">
        <f>"13854552515"</f>
        <v>13854552515</v>
      </c>
      <c r="C718" t="str">
        <f>"370612198702148033"</f>
        <v>370612198702148033</v>
      </c>
      <c r="D718" t="s">
        <v>1</v>
      </c>
      <c r="E718" t="s">
        <v>1</v>
      </c>
      <c r="F718" t="s">
        <v>0</v>
      </c>
      <c r="G718" t="str">
        <f>"2018-10-18 17:27:25"</f>
        <v>2018-10-18 17:27:25</v>
      </c>
    </row>
    <row r="719" spans="1:7" x14ac:dyDescent="0.2">
      <c r="A719" t="s">
        <v>2409</v>
      </c>
      <c r="B719" t="str">
        <f>"15622754153"</f>
        <v>15622754153</v>
      </c>
      <c r="C719" t="str">
        <f>"430922199010029615"</f>
        <v>430922199010029615</v>
      </c>
      <c r="D719" t="s">
        <v>1</v>
      </c>
      <c r="E719" t="s">
        <v>1</v>
      </c>
      <c r="F719" t="s">
        <v>0</v>
      </c>
      <c r="G719" t="str">
        <f>"2018-10-18 17:30:15"</f>
        <v>2018-10-18 17:30:15</v>
      </c>
    </row>
    <row r="720" spans="1:7" x14ac:dyDescent="0.2">
      <c r="A720" t="s">
        <v>2410</v>
      </c>
      <c r="B720" t="str">
        <f>"15330483360"</f>
        <v>15330483360</v>
      </c>
      <c r="C720" t="str">
        <f>"500235198503138454"</f>
        <v>500235198503138454</v>
      </c>
      <c r="D720" t="s">
        <v>2411</v>
      </c>
      <c r="E720" t="s">
        <v>2412</v>
      </c>
      <c r="F720" t="s">
        <v>0</v>
      </c>
      <c r="G720" t="str">
        <f>"2018-10-18 17:30:50"</f>
        <v>2018-10-18 17:30:50</v>
      </c>
    </row>
    <row r="721" spans="1:7" x14ac:dyDescent="0.2">
      <c r="A721" t="s">
        <v>1</v>
      </c>
      <c r="B721" t="str">
        <f>"13477888324"</f>
        <v>13477888324</v>
      </c>
      <c r="C721" t="s">
        <v>1</v>
      </c>
      <c r="D721" t="s">
        <v>1</v>
      </c>
      <c r="E721" t="s">
        <v>1</v>
      </c>
      <c r="F721" t="s">
        <v>0</v>
      </c>
      <c r="G721" t="str">
        <f>"2018-10-18 17:27:00"</f>
        <v>2018-10-18 17:27:00</v>
      </c>
    </row>
    <row r="722" spans="1:7" x14ac:dyDescent="0.2">
      <c r="A722" t="s">
        <v>2413</v>
      </c>
      <c r="B722" t="str">
        <f>"13619698548"</f>
        <v>13619698548</v>
      </c>
      <c r="C722" t="str">
        <f>"530126199201020416"</f>
        <v>530126199201020416</v>
      </c>
      <c r="D722" t="s">
        <v>2414</v>
      </c>
      <c r="E722" t="s">
        <v>2415</v>
      </c>
      <c r="F722" t="s">
        <v>0</v>
      </c>
      <c r="G722" t="str">
        <f>"2018-10-18 17:28:11"</f>
        <v>2018-10-18 17:28:11</v>
      </c>
    </row>
    <row r="723" spans="1:7" x14ac:dyDescent="0.2">
      <c r="A723" t="s">
        <v>2416</v>
      </c>
      <c r="B723" t="str">
        <f>"18506124521"</f>
        <v>18506124521</v>
      </c>
      <c r="C723" t="str">
        <f>"510823199610193014"</f>
        <v>510823199610193014</v>
      </c>
      <c r="D723" t="s">
        <v>1</v>
      </c>
      <c r="E723" t="s">
        <v>1</v>
      </c>
      <c r="F723" t="s">
        <v>0</v>
      </c>
      <c r="G723" t="str">
        <f>"2018-10-18 17:26:56"</f>
        <v>2018-10-18 17:26:56</v>
      </c>
    </row>
    <row r="724" spans="1:7" x14ac:dyDescent="0.2">
      <c r="A724" t="s">
        <v>2417</v>
      </c>
      <c r="B724" t="str">
        <f>"18285437097"</f>
        <v>18285437097</v>
      </c>
      <c r="C724" t="str">
        <f>"522727199010055439"</f>
        <v>522727199010055439</v>
      </c>
      <c r="D724" t="s">
        <v>1</v>
      </c>
      <c r="E724" t="s">
        <v>1</v>
      </c>
      <c r="F724" t="s">
        <v>0</v>
      </c>
      <c r="G724" t="str">
        <f>"2018-10-18 18:03:16"</f>
        <v>2018-10-18 18:03:16</v>
      </c>
    </row>
    <row r="725" spans="1:7" x14ac:dyDescent="0.2">
      <c r="A725" t="s">
        <v>2418</v>
      </c>
      <c r="B725" t="str">
        <f>"13935936159"</f>
        <v>13935936159</v>
      </c>
      <c r="C725" t="str">
        <f>"142703197505033716"</f>
        <v>142703197505033716</v>
      </c>
      <c r="D725" t="s">
        <v>1</v>
      </c>
      <c r="E725" t="s">
        <v>1</v>
      </c>
      <c r="F725" t="s">
        <v>0</v>
      </c>
      <c r="G725" t="str">
        <f>"2018-10-18 17:28:21"</f>
        <v>2018-10-18 17:28:21</v>
      </c>
    </row>
    <row r="726" spans="1:7" x14ac:dyDescent="0.2">
      <c r="A726" t="s">
        <v>2419</v>
      </c>
      <c r="B726" t="str">
        <f>"18853723331"</f>
        <v>18853723331</v>
      </c>
      <c r="C726" t="str">
        <f>"370882197806064710"</f>
        <v>370882197806064710</v>
      </c>
      <c r="D726" t="s">
        <v>1</v>
      </c>
      <c r="E726" t="s">
        <v>1</v>
      </c>
      <c r="F726" t="s">
        <v>0</v>
      </c>
      <c r="G726" t="str">
        <f>"2018-10-18 17:30:11"</f>
        <v>2018-10-18 17:30:11</v>
      </c>
    </row>
    <row r="727" spans="1:7" x14ac:dyDescent="0.2">
      <c r="A727" t="s">
        <v>1</v>
      </c>
      <c r="B727" t="str">
        <f>"18743581275"</f>
        <v>18743581275</v>
      </c>
      <c r="C727" t="s">
        <v>1</v>
      </c>
      <c r="D727" t="s">
        <v>1</v>
      </c>
      <c r="E727" t="s">
        <v>1</v>
      </c>
      <c r="F727" t="s">
        <v>0</v>
      </c>
      <c r="G727" t="str">
        <f>"2018-10-18 17:29:05"</f>
        <v>2018-10-18 17:29:05</v>
      </c>
    </row>
    <row r="728" spans="1:7" x14ac:dyDescent="0.2">
      <c r="A728" t="s">
        <v>2420</v>
      </c>
      <c r="B728" t="str">
        <f>"15832511019"</f>
        <v>15832511019</v>
      </c>
      <c r="C728" t="str">
        <f>"130224199610193017"</f>
        <v>130224199610193017</v>
      </c>
      <c r="D728" t="s">
        <v>1</v>
      </c>
      <c r="E728" t="s">
        <v>1</v>
      </c>
      <c r="F728" t="s">
        <v>0</v>
      </c>
      <c r="G728" t="str">
        <f>"2018-10-18 17:28:45"</f>
        <v>2018-10-18 17:28:45</v>
      </c>
    </row>
    <row r="729" spans="1:7" x14ac:dyDescent="0.2">
      <c r="A729" t="s">
        <v>2421</v>
      </c>
      <c r="B729" t="str">
        <f>"13644576010"</f>
        <v>13644576010</v>
      </c>
      <c r="C729" t="str">
        <f>"232325199403242426"</f>
        <v>232325199403242426</v>
      </c>
      <c r="D729" t="s">
        <v>1</v>
      </c>
      <c r="E729" t="s">
        <v>1</v>
      </c>
      <c r="F729" t="s">
        <v>0</v>
      </c>
      <c r="G729" t="str">
        <f>"2018-10-18 17:30:50"</f>
        <v>2018-10-18 17:30:50</v>
      </c>
    </row>
    <row r="730" spans="1:7" x14ac:dyDescent="0.2">
      <c r="A730" t="s">
        <v>1</v>
      </c>
      <c r="B730" t="str">
        <f>"18285091968"</f>
        <v>18285091968</v>
      </c>
      <c r="C730" t="s">
        <v>1</v>
      </c>
      <c r="D730" t="s">
        <v>1</v>
      </c>
      <c r="E730" t="s">
        <v>1</v>
      </c>
      <c r="F730" t="s">
        <v>0</v>
      </c>
      <c r="G730" t="str">
        <f>"2018-10-18 17:25:39"</f>
        <v>2018-10-18 17:25:39</v>
      </c>
    </row>
    <row r="731" spans="1:7" x14ac:dyDescent="0.2">
      <c r="A731" t="s">
        <v>1</v>
      </c>
      <c r="B731" t="str">
        <f>"18885209061"</f>
        <v>18885209061</v>
      </c>
      <c r="C731" t="s">
        <v>1</v>
      </c>
      <c r="D731" t="s">
        <v>1</v>
      </c>
      <c r="E731" t="s">
        <v>1</v>
      </c>
      <c r="F731" t="s">
        <v>0</v>
      </c>
      <c r="G731" t="str">
        <f>"2018-10-18 17:25:37"</f>
        <v>2018-10-18 17:25:37</v>
      </c>
    </row>
    <row r="732" spans="1:7" x14ac:dyDescent="0.2">
      <c r="A732" t="s">
        <v>2422</v>
      </c>
      <c r="B732" t="str">
        <f>"17766955520"</f>
        <v>17766955520</v>
      </c>
      <c r="C732" t="str">
        <f>"460004199003100050"</f>
        <v>460004199003100050</v>
      </c>
      <c r="D732" t="s">
        <v>1</v>
      </c>
      <c r="E732" t="s">
        <v>1</v>
      </c>
      <c r="F732" t="s">
        <v>0</v>
      </c>
      <c r="G732" t="str">
        <f>"2018-10-18 17:28:34"</f>
        <v>2018-10-18 17:28:34</v>
      </c>
    </row>
    <row r="733" spans="1:7" x14ac:dyDescent="0.2">
      <c r="A733" t="s">
        <v>2423</v>
      </c>
      <c r="B733" t="str">
        <f>"18639136233"</f>
        <v>18639136233</v>
      </c>
      <c r="C733" t="str">
        <f>"410823198705199314"</f>
        <v>410823198705199314</v>
      </c>
      <c r="D733" t="s">
        <v>1</v>
      </c>
      <c r="E733" t="s">
        <v>1</v>
      </c>
      <c r="F733" t="s">
        <v>0</v>
      </c>
      <c r="G733" t="str">
        <f>"2018-10-18 19:50:37"</f>
        <v>2018-10-18 19:50:37</v>
      </c>
    </row>
    <row r="734" spans="1:7" x14ac:dyDescent="0.2">
      <c r="A734" t="s">
        <v>2424</v>
      </c>
      <c r="B734" t="str">
        <f>"15667137531"</f>
        <v>15667137531</v>
      </c>
      <c r="C734" t="str">
        <f>"610329199810010010"</f>
        <v>610329199810010010</v>
      </c>
      <c r="D734" t="s">
        <v>1</v>
      </c>
      <c r="E734" t="s">
        <v>1</v>
      </c>
      <c r="F734" t="s">
        <v>0</v>
      </c>
      <c r="G734" t="str">
        <f>"2018-10-18 17:26:28"</f>
        <v>2018-10-18 17:26:28</v>
      </c>
    </row>
    <row r="735" spans="1:7" x14ac:dyDescent="0.2">
      <c r="A735" t="s">
        <v>1</v>
      </c>
      <c r="B735" t="str">
        <f>"13687669447"</f>
        <v>13687669447</v>
      </c>
      <c r="C735" t="s">
        <v>1</v>
      </c>
      <c r="D735" t="s">
        <v>1</v>
      </c>
      <c r="E735" t="s">
        <v>1</v>
      </c>
      <c r="F735" t="s">
        <v>0</v>
      </c>
      <c r="G735" t="str">
        <f>"2018-10-18 17:30:17"</f>
        <v>2018-10-18 17:30:17</v>
      </c>
    </row>
    <row r="736" spans="1:7" x14ac:dyDescent="0.2">
      <c r="A736" t="s">
        <v>2425</v>
      </c>
      <c r="B736" t="str">
        <f>"18006415950"</f>
        <v>18006415950</v>
      </c>
      <c r="C736" t="str">
        <f>"370123198911281027"</f>
        <v>370123198911281027</v>
      </c>
      <c r="D736" t="s">
        <v>1</v>
      </c>
      <c r="E736" t="s">
        <v>1</v>
      </c>
      <c r="F736" t="s">
        <v>0</v>
      </c>
      <c r="G736" t="str">
        <f>"2018-10-18 17:39:01"</f>
        <v>2018-10-18 17:39:01</v>
      </c>
    </row>
    <row r="737" spans="1:7" x14ac:dyDescent="0.2">
      <c r="A737" t="s">
        <v>2426</v>
      </c>
      <c r="B737" t="str">
        <f>"18761219965"</f>
        <v>18761219965</v>
      </c>
      <c r="C737" t="str">
        <f>"320982198605096493"</f>
        <v>320982198605096493</v>
      </c>
      <c r="D737" t="s">
        <v>2427</v>
      </c>
      <c r="E737" t="s">
        <v>2428</v>
      </c>
      <c r="F737" t="s">
        <v>0</v>
      </c>
      <c r="G737" t="str">
        <f>"2018-10-18 21:11:18"</f>
        <v>2018-10-18 21:11:18</v>
      </c>
    </row>
    <row r="738" spans="1:7" x14ac:dyDescent="0.2">
      <c r="A738" t="s">
        <v>1</v>
      </c>
      <c r="B738" t="str">
        <f>"13608776920"</f>
        <v>13608776920</v>
      </c>
      <c r="C738" t="s">
        <v>1</v>
      </c>
      <c r="D738" t="s">
        <v>1</v>
      </c>
      <c r="E738" t="s">
        <v>1</v>
      </c>
      <c r="F738" t="s">
        <v>0</v>
      </c>
      <c r="G738" t="str">
        <f>"2018-10-18 17:29:17"</f>
        <v>2018-10-18 17:29:17</v>
      </c>
    </row>
    <row r="739" spans="1:7" x14ac:dyDescent="0.2">
      <c r="A739" t="s">
        <v>2429</v>
      </c>
      <c r="B739" t="str">
        <f>"17502018694"</f>
        <v>17502018694</v>
      </c>
      <c r="C739" t="str">
        <f>"440182199408200632"</f>
        <v>440182199408200632</v>
      </c>
      <c r="D739" t="s">
        <v>1</v>
      </c>
      <c r="E739" t="s">
        <v>1</v>
      </c>
      <c r="F739" t="s">
        <v>0</v>
      </c>
      <c r="G739" t="str">
        <f>"2018-10-18 17:33:51"</f>
        <v>2018-10-18 17:33:51</v>
      </c>
    </row>
    <row r="740" spans="1:7" x14ac:dyDescent="0.2">
      <c r="A740" t="s">
        <v>2430</v>
      </c>
      <c r="B740" t="str">
        <f>"17732481042"</f>
        <v>17732481042</v>
      </c>
      <c r="C740" t="str">
        <f>"130923199211024912"</f>
        <v>130923199211024912</v>
      </c>
      <c r="D740" t="s">
        <v>2431</v>
      </c>
      <c r="E740" t="s">
        <v>2432</v>
      </c>
      <c r="F740" t="s">
        <v>0</v>
      </c>
      <c r="G740" t="str">
        <f>"2018-10-18 17:25:49"</f>
        <v>2018-10-18 17:25:49</v>
      </c>
    </row>
    <row r="741" spans="1:7" x14ac:dyDescent="0.2">
      <c r="A741" t="s">
        <v>2433</v>
      </c>
      <c r="B741" t="str">
        <f>"13842611106"</f>
        <v>13842611106</v>
      </c>
      <c r="C741" t="str">
        <f>"220581199203252310"</f>
        <v>220581199203252310</v>
      </c>
      <c r="D741" t="s">
        <v>1</v>
      </c>
      <c r="E741" t="s">
        <v>1</v>
      </c>
      <c r="F741" t="s">
        <v>0</v>
      </c>
      <c r="G741" t="str">
        <f>"2018-10-25 15:13:38"</f>
        <v>2018-10-25 15:13:38</v>
      </c>
    </row>
    <row r="742" spans="1:7" x14ac:dyDescent="0.2">
      <c r="A742" t="s">
        <v>995</v>
      </c>
      <c r="B742" t="str">
        <f>"15558066622"</f>
        <v>15558066622</v>
      </c>
      <c r="C742" t="str">
        <f>"612422198602131422"</f>
        <v>612422198602131422</v>
      </c>
      <c r="D742" t="s">
        <v>1</v>
      </c>
      <c r="E742" t="s">
        <v>1</v>
      </c>
      <c r="F742" t="s">
        <v>0</v>
      </c>
      <c r="G742" t="str">
        <f>"2018-10-18 17:30:10"</f>
        <v>2018-10-18 17:30:10</v>
      </c>
    </row>
    <row r="743" spans="1:7" x14ac:dyDescent="0.2">
      <c r="A743" t="s">
        <v>2434</v>
      </c>
      <c r="B743" t="str">
        <f>"15647157505"</f>
        <v>15647157505</v>
      </c>
      <c r="C743" t="str">
        <f>"150103199602103030"</f>
        <v>150103199602103030</v>
      </c>
      <c r="D743" t="s">
        <v>1</v>
      </c>
      <c r="E743" t="s">
        <v>1</v>
      </c>
      <c r="F743" t="s">
        <v>0</v>
      </c>
      <c r="G743" t="str">
        <f>"2018-10-18 17:28:20"</f>
        <v>2018-10-18 17:28:20</v>
      </c>
    </row>
    <row r="744" spans="1:7" x14ac:dyDescent="0.2">
      <c r="A744" t="s">
        <v>2435</v>
      </c>
      <c r="B744" t="str">
        <f>"13919169531"</f>
        <v>13919169531</v>
      </c>
      <c r="C744" t="str">
        <f>"620102199111206517"</f>
        <v>620102199111206517</v>
      </c>
      <c r="D744" t="s">
        <v>2436</v>
      </c>
      <c r="E744" t="s">
        <v>2437</v>
      </c>
      <c r="F744" t="s">
        <v>0</v>
      </c>
      <c r="G744" t="str">
        <f>"2018-10-18 17:25:10"</f>
        <v>2018-10-18 17:25:10</v>
      </c>
    </row>
    <row r="745" spans="1:7" x14ac:dyDescent="0.2">
      <c r="A745" t="s">
        <v>2438</v>
      </c>
      <c r="B745" t="str">
        <f>"18091128600"</f>
        <v>18091128600</v>
      </c>
      <c r="C745" t="str">
        <f>"612133198011086044"</f>
        <v>612133198011086044</v>
      </c>
      <c r="D745" t="s">
        <v>1</v>
      </c>
      <c r="E745" t="s">
        <v>1</v>
      </c>
      <c r="F745" t="s">
        <v>0</v>
      </c>
      <c r="G745" t="str">
        <f>"2018-10-18 17:23:31"</f>
        <v>2018-10-18 17:23:31</v>
      </c>
    </row>
    <row r="746" spans="1:7" x14ac:dyDescent="0.2">
      <c r="A746" t="s">
        <v>1</v>
      </c>
      <c r="B746" t="str">
        <f>"13119079308"</f>
        <v>13119079308</v>
      </c>
      <c r="C746" t="s">
        <v>1</v>
      </c>
      <c r="D746" t="s">
        <v>1</v>
      </c>
      <c r="E746" t="s">
        <v>1</v>
      </c>
      <c r="F746" t="s">
        <v>0</v>
      </c>
      <c r="G746" t="str">
        <f>"2018-10-18 17:23:16"</f>
        <v>2018-10-18 17:23:16</v>
      </c>
    </row>
    <row r="747" spans="1:7" x14ac:dyDescent="0.2">
      <c r="A747" t="s">
        <v>2439</v>
      </c>
      <c r="B747" t="str">
        <f>"15766531522"</f>
        <v>15766531522</v>
      </c>
      <c r="C747" t="str">
        <f>"440881198703084133"</f>
        <v>440881198703084133</v>
      </c>
      <c r="D747" t="s">
        <v>1</v>
      </c>
      <c r="E747" t="s">
        <v>1</v>
      </c>
      <c r="F747" t="s">
        <v>0</v>
      </c>
      <c r="G747" t="str">
        <f>"2018-10-18 17:23:14"</f>
        <v>2018-10-18 17:23:14</v>
      </c>
    </row>
    <row r="748" spans="1:7" x14ac:dyDescent="0.2">
      <c r="A748" t="s">
        <v>2440</v>
      </c>
      <c r="B748" t="str">
        <f>"13710259808"</f>
        <v>13710259808</v>
      </c>
      <c r="C748" t="str">
        <f>"440981198911157814"</f>
        <v>440981198911157814</v>
      </c>
      <c r="D748" t="s">
        <v>1</v>
      </c>
      <c r="E748" t="s">
        <v>1</v>
      </c>
      <c r="F748" t="s">
        <v>0</v>
      </c>
      <c r="G748" t="str">
        <f>"2018-10-18 17:26:34"</f>
        <v>2018-10-18 17:26:34</v>
      </c>
    </row>
    <row r="749" spans="1:7" x14ac:dyDescent="0.2">
      <c r="A749" t="s">
        <v>1</v>
      </c>
      <c r="B749" t="str">
        <f>"17696902306"</f>
        <v>17696902306</v>
      </c>
      <c r="C749" t="s">
        <v>1</v>
      </c>
      <c r="D749" t="s">
        <v>1</v>
      </c>
      <c r="E749" t="s">
        <v>1</v>
      </c>
      <c r="F749" t="s">
        <v>0</v>
      </c>
      <c r="G749" t="str">
        <f>"2018-10-18 17:23:11"</f>
        <v>2018-10-18 17:23:11</v>
      </c>
    </row>
    <row r="750" spans="1:7" x14ac:dyDescent="0.2">
      <c r="A750" t="s">
        <v>1</v>
      </c>
      <c r="B750" t="str">
        <f>"13876944505"</f>
        <v>13876944505</v>
      </c>
      <c r="C750" t="s">
        <v>1</v>
      </c>
      <c r="D750" t="s">
        <v>1</v>
      </c>
      <c r="E750" t="s">
        <v>1</v>
      </c>
      <c r="F750" t="s">
        <v>0</v>
      </c>
      <c r="G750" t="str">
        <f>"2018-10-18 17:23:00"</f>
        <v>2018-10-18 17:23:00</v>
      </c>
    </row>
    <row r="751" spans="1:7" x14ac:dyDescent="0.2">
      <c r="A751" t="s">
        <v>2441</v>
      </c>
      <c r="B751" t="str">
        <f>"15153650729"</f>
        <v>15153650729</v>
      </c>
      <c r="C751" t="str">
        <f>"220281198510221046"</f>
        <v>220281198510221046</v>
      </c>
      <c r="D751" t="s">
        <v>1</v>
      </c>
      <c r="E751" t="s">
        <v>1</v>
      </c>
      <c r="F751" t="s">
        <v>0</v>
      </c>
      <c r="G751" t="str">
        <f>"2018-10-24 10:52:08"</f>
        <v>2018-10-24 10:52:08</v>
      </c>
    </row>
    <row r="752" spans="1:7" x14ac:dyDescent="0.2">
      <c r="A752" t="s">
        <v>1</v>
      </c>
      <c r="B752" t="str">
        <f>"18321630727"</f>
        <v>18321630727</v>
      </c>
      <c r="C752" t="s">
        <v>1</v>
      </c>
      <c r="D752" t="s">
        <v>1</v>
      </c>
      <c r="E752" t="s">
        <v>1</v>
      </c>
      <c r="F752" t="s">
        <v>0</v>
      </c>
      <c r="G752" t="str">
        <f>"2018-10-18 17:22:46"</f>
        <v>2018-10-18 17:22:46</v>
      </c>
    </row>
    <row r="753" spans="1:7" x14ac:dyDescent="0.2">
      <c r="A753" t="s">
        <v>2442</v>
      </c>
      <c r="B753" t="str">
        <f>"13679894747"</f>
        <v>13679894747</v>
      </c>
      <c r="C753" t="str">
        <f>"450521199204225513"</f>
        <v>450521199204225513</v>
      </c>
      <c r="D753" t="s">
        <v>2443</v>
      </c>
      <c r="E753" t="s">
        <v>2444</v>
      </c>
      <c r="F753" t="s">
        <v>0</v>
      </c>
      <c r="G753" t="str">
        <f>"2018-10-18 17:24:37"</f>
        <v>2018-10-18 17:24:37</v>
      </c>
    </row>
    <row r="754" spans="1:7" x14ac:dyDescent="0.2">
      <c r="A754" t="s">
        <v>2445</v>
      </c>
      <c r="B754" t="str">
        <f>"13686358338"</f>
        <v>13686358338</v>
      </c>
      <c r="C754" t="str">
        <f>"371502199005138638"</f>
        <v>371502199005138638</v>
      </c>
      <c r="D754" t="s">
        <v>1</v>
      </c>
      <c r="E754" t="s">
        <v>1</v>
      </c>
      <c r="F754" t="s">
        <v>0</v>
      </c>
      <c r="G754" t="str">
        <f>"2018-10-18 17:24:37"</f>
        <v>2018-10-18 17:24:37</v>
      </c>
    </row>
    <row r="755" spans="1:7" x14ac:dyDescent="0.2">
      <c r="A755" t="s">
        <v>2446</v>
      </c>
      <c r="B755" t="str">
        <f>"18981086248"</f>
        <v>18981086248</v>
      </c>
      <c r="C755" t="str">
        <f>"510603198802025938"</f>
        <v>510603198802025938</v>
      </c>
      <c r="D755" t="s">
        <v>1</v>
      </c>
      <c r="E755" t="s">
        <v>1</v>
      </c>
      <c r="F755" t="s">
        <v>0</v>
      </c>
      <c r="G755" t="str">
        <f>"2018-10-18 17:23:09"</f>
        <v>2018-10-18 17:23:09</v>
      </c>
    </row>
    <row r="756" spans="1:7" x14ac:dyDescent="0.2">
      <c r="A756" t="s">
        <v>2447</v>
      </c>
      <c r="B756" t="str">
        <f>"15957824340"</f>
        <v>15957824340</v>
      </c>
      <c r="C756" t="str">
        <f>"332528199911050416"</f>
        <v>332528199911050416</v>
      </c>
      <c r="D756" t="s">
        <v>1</v>
      </c>
      <c r="E756" t="s">
        <v>1</v>
      </c>
      <c r="F756" t="s">
        <v>0</v>
      </c>
      <c r="G756" t="str">
        <f>"2018-11-01 20:47:23"</f>
        <v>2018-11-01 20:47:23</v>
      </c>
    </row>
    <row r="757" spans="1:7" x14ac:dyDescent="0.2">
      <c r="A757" t="s">
        <v>1</v>
      </c>
      <c r="B757" t="str">
        <f>"13561150202"</f>
        <v>13561150202</v>
      </c>
      <c r="C757" t="s">
        <v>1</v>
      </c>
      <c r="D757" t="s">
        <v>1</v>
      </c>
      <c r="E757" t="s">
        <v>1</v>
      </c>
      <c r="F757" t="s">
        <v>0</v>
      </c>
      <c r="G757" t="str">
        <f>"2018-10-18 17:30:43"</f>
        <v>2018-10-18 17:30:43</v>
      </c>
    </row>
    <row r="758" spans="1:7" x14ac:dyDescent="0.2">
      <c r="A758" t="s">
        <v>1</v>
      </c>
      <c r="B758" t="str">
        <f>"18575993305"</f>
        <v>18575993305</v>
      </c>
      <c r="C758" t="s">
        <v>1</v>
      </c>
      <c r="D758" t="s">
        <v>1</v>
      </c>
      <c r="E758" t="s">
        <v>1</v>
      </c>
      <c r="F758" t="s">
        <v>0</v>
      </c>
      <c r="G758" t="str">
        <f>"2018-10-18 17:22:54"</f>
        <v>2018-10-18 17:22:54</v>
      </c>
    </row>
    <row r="759" spans="1:7" x14ac:dyDescent="0.2">
      <c r="A759" t="s">
        <v>1859</v>
      </c>
      <c r="B759" t="str">
        <f>"18373209253"</f>
        <v>18373209253</v>
      </c>
      <c r="C759" t="str">
        <f>"430726199610071328"</f>
        <v>430726199610071328</v>
      </c>
      <c r="D759" t="s">
        <v>1</v>
      </c>
      <c r="E759" t="s">
        <v>1</v>
      </c>
      <c r="F759" t="s">
        <v>0</v>
      </c>
      <c r="G759" t="str">
        <f>"2018-10-18 17:22:38"</f>
        <v>2018-10-18 17:22:38</v>
      </c>
    </row>
    <row r="760" spans="1:7" x14ac:dyDescent="0.2">
      <c r="A760" t="s">
        <v>2448</v>
      </c>
      <c r="B760" t="str">
        <f>"18625349899"</f>
        <v>18625349899</v>
      </c>
      <c r="C760" t="str">
        <f>"412823197608204879"</f>
        <v>412823197608204879</v>
      </c>
      <c r="D760" t="s">
        <v>1</v>
      </c>
      <c r="E760" t="s">
        <v>1</v>
      </c>
      <c r="F760" t="s">
        <v>0</v>
      </c>
      <c r="G760" t="str">
        <f>"2018-10-20 08:00:23"</f>
        <v>2018-10-20 08:00:23</v>
      </c>
    </row>
    <row r="761" spans="1:7" x14ac:dyDescent="0.2">
      <c r="A761" t="s">
        <v>2449</v>
      </c>
      <c r="B761" t="str">
        <f>"17674900701"</f>
        <v>17674900701</v>
      </c>
      <c r="C761" t="str">
        <f>"431103199905188519"</f>
        <v>431103199905188519</v>
      </c>
      <c r="D761" t="s">
        <v>1</v>
      </c>
      <c r="E761" t="s">
        <v>1</v>
      </c>
      <c r="F761" t="s">
        <v>0</v>
      </c>
      <c r="G761" t="str">
        <f>"2018-10-18 17:20:47"</f>
        <v>2018-10-18 17:20:47</v>
      </c>
    </row>
    <row r="762" spans="1:7" x14ac:dyDescent="0.2">
      <c r="A762" t="s">
        <v>1</v>
      </c>
      <c r="B762" t="str">
        <f>"13199940225"</f>
        <v>13199940225</v>
      </c>
      <c r="C762" t="s">
        <v>1</v>
      </c>
      <c r="D762" t="s">
        <v>1</v>
      </c>
      <c r="E762" t="s">
        <v>1</v>
      </c>
      <c r="F762" t="s">
        <v>0</v>
      </c>
      <c r="G762" t="str">
        <f>"2018-10-18 17:19:57"</f>
        <v>2018-10-18 17:19:57</v>
      </c>
    </row>
    <row r="763" spans="1:7" x14ac:dyDescent="0.2">
      <c r="A763" t="s">
        <v>2450</v>
      </c>
      <c r="B763" t="str">
        <f>"15847332520"</f>
        <v>15847332520</v>
      </c>
      <c r="C763" t="str">
        <f>"150402198808150946"</f>
        <v>150402198808150946</v>
      </c>
      <c r="D763" t="s">
        <v>2451</v>
      </c>
      <c r="E763" t="s">
        <v>2452</v>
      </c>
      <c r="F763" t="s">
        <v>0</v>
      </c>
      <c r="G763" t="str">
        <f>"2018-10-18 17:24:24"</f>
        <v>2018-10-18 17:24:24</v>
      </c>
    </row>
    <row r="764" spans="1:7" x14ac:dyDescent="0.2">
      <c r="A764" t="s">
        <v>2453</v>
      </c>
      <c r="B764" t="str">
        <f>"18308858079"</f>
        <v>18308858079</v>
      </c>
      <c r="C764" t="str">
        <f>"533001199804161816"</f>
        <v>533001199804161816</v>
      </c>
      <c r="D764" t="s">
        <v>1</v>
      </c>
      <c r="E764" t="s">
        <v>1</v>
      </c>
      <c r="F764" t="s">
        <v>0</v>
      </c>
      <c r="G764" t="str">
        <f>"2018-10-18 17:21:46"</f>
        <v>2018-10-18 17:21:46</v>
      </c>
    </row>
    <row r="765" spans="1:7" x14ac:dyDescent="0.2">
      <c r="A765" t="s">
        <v>1</v>
      </c>
      <c r="B765" t="str">
        <f>"18350208116"</f>
        <v>18350208116</v>
      </c>
      <c r="C765" t="s">
        <v>1</v>
      </c>
      <c r="D765" t="s">
        <v>1</v>
      </c>
      <c r="E765" t="s">
        <v>1</v>
      </c>
      <c r="F765" t="s">
        <v>0</v>
      </c>
      <c r="G765" t="str">
        <f>"2018-10-18 17:19:33"</f>
        <v>2018-10-18 17:19:33</v>
      </c>
    </row>
    <row r="766" spans="1:7" x14ac:dyDescent="0.2">
      <c r="A766" t="s">
        <v>816</v>
      </c>
      <c r="B766" t="str">
        <f>"13940134379"</f>
        <v>13940134379</v>
      </c>
      <c r="C766" t="str">
        <f>"210104198008032821"</f>
        <v>210104198008032821</v>
      </c>
      <c r="D766" t="s">
        <v>1</v>
      </c>
      <c r="E766" t="s">
        <v>1</v>
      </c>
      <c r="F766" t="s">
        <v>0</v>
      </c>
      <c r="G766" t="str">
        <f>"2018-11-02 17:06:35"</f>
        <v>2018-11-02 17:06:35</v>
      </c>
    </row>
    <row r="767" spans="1:7" x14ac:dyDescent="0.2">
      <c r="A767" t="s">
        <v>2454</v>
      </c>
      <c r="B767" t="str">
        <f>"15985134102"</f>
        <v>15985134102</v>
      </c>
      <c r="C767" t="str">
        <f>"522730198203171747"</f>
        <v>522730198203171747</v>
      </c>
      <c r="D767" t="s">
        <v>1</v>
      </c>
      <c r="E767" t="s">
        <v>1</v>
      </c>
      <c r="F767" t="s">
        <v>0</v>
      </c>
      <c r="G767" t="str">
        <f>"2018-10-18 17:20:50"</f>
        <v>2018-10-18 17:20:50</v>
      </c>
    </row>
    <row r="768" spans="1:7" x14ac:dyDescent="0.2">
      <c r="A768" t="s">
        <v>2455</v>
      </c>
      <c r="B768" t="str">
        <f>"18137887444"</f>
        <v>18137887444</v>
      </c>
      <c r="C768" t="str">
        <f>"412824199603204349"</f>
        <v>412824199603204349</v>
      </c>
      <c r="D768" t="s">
        <v>1577</v>
      </c>
      <c r="E768" t="s">
        <v>2456</v>
      </c>
      <c r="F768" t="s">
        <v>0</v>
      </c>
      <c r="G768" t="str">
        <f>"2018-10-18 17:18:17"</f>
        <v>2018-10-18 17:18:17</v>
      </c>
    </row>
    <row r="769" spans="1:7" x14ac:dyDescent="0.2">
      <c r="A769" t="s">
        <v>289</v>
      </c>
      <c r="B769" t="str">
        <f>"15244604495"</f>
        <v>15244604495</v>
      </c>
      <c r="C769" t="str">
        <f>"230107198401222616"</f>
        <v>230107198401222616</v>
      </c>
      <c r="D769" t="s">
        <v>1</v>
      </c>
      <c r="E769" t="s">
        <v>1</v>
      </c>
      <c r="F769" t="s">
        <v>0</v>
      </c>
      <c r="G769" t="str">
        <f>"2018-10-18 17:21:43"</f>
        <v>2018-10-18 17:21:43</v>
      </c>
    </row>
    <row r="770" spans="1:7" x14ac:dyDescent="0.2">
      <c r="A770" t="s">
        <v>2457</v>
      </c>
      <c r="B770" t="str">
        <f>"13353982266"</f>
        <v>13353982266</v>
      </c>
      <c r="C770" t="str">
        <f>"411282198811204058"</f>
        <v>411282198811204058</v>
      </c>
      <c r="D770" t="s">
        <v>1</v>
      </c>
      <c r="E770" t="s">
        <v>1</v>
      </c>
      <c r="F770" t="s">
        <v>0</v>
      </c>
      <c r="G770" t="str">
        <f>"2018-10-21 10:34:50"</f>
        <v>2018-10-21 10:34:50</v>
      </c>
    </row>
    <row r="771" spans="1:7" x14ac:dyDescent="0.2">
      <c r="A771" t="s">
        <v>1</v>
      </c>
      <c r="B771" t="str">
        <f>"13251925034"</f>
        <v>13251925034</v>
      </c>
      <c r="C771" t="s">
        <v>1</v>
      </c>
      <c r="D771" t="s">
        <v>1</v>
      </c>
      <c r="E771" t="s">
        <v>1</v>
      </c>
      <c r="F771" t="s">
        <v>0</v>
      </c>
      <c r="G771" t="str">
        <f>"2018-10-18 17:18:13"</f>
        <v>2018-10-18 17:18:13</v>
      </c>
    </row>
    <row r="772" spans="1:7" x14ac:dyDescent="0.2">
      <c r="A772" t="s">
        <v>1</v>
      </c>
      <c r="B772" t="str">
        <f>"13034443288"</f>
        <v>13034443288</v>
      </c>
      <c r="C772" t="s">
        <v>1</v>
      </c>
      <c r="D772" t="s">
        <v>1</v>
      </c>
      <c r="E772" t="s">
        <v>1</v>
      </c>
      <c r="F772" t="s">
        <v>0</v>
      </c>
      <c r="G772" t="str">
        <f>"2018-10-18 17:33:44"</f>
        <v>2018-10-18 17:33:44</v>
      </c>
    </row>
    <row r="773" spans="1:7" x14ac:dyDescent="0.2">
      <c r="A773" t="s">
        <v>1</v>
      </c>
      <c r="B773" t="str">
        <f>"18257270242"</f>
        <v>18257270242</v>
      </c>
      <c r="C773" t="s">
        <v>1</v>
      </c>
      <c r="D773" t="s">
        <v>1</v>
      </c>
      <c r="E773" t="s">
        <v>1</v>
      </c>
      <c r="F773" t="s">
        <v>0</v>
      </c>
      <c r="G773" t="str">
        <f>"2018-10-18 17:17:29"</f>
        <v>2018-10-18 17:17:29</v>
      </c>
    </row>
    <row r="774" spans="1:7" x14ac:dyDescent="0.2">
      <c r="A774" t="s">
        <v>2458</v>
      </c>
      <c r="B774" t="str">
        <f>"13615289199"</f>
        <v>13615289199</v>
      </c>
      <c r="C774" t="str">
        <f>"321121198307091031"</f>
        <v>321121198307091031</v>
      </c>
      <c r="D774" t="s">
        <v>1</v>
      </c>
      <c r="E774" t="s">
        <v>1</v>
      </c>
      <c r="F774" t="s">
        <v>0</v>
      </c>
      <c r="G774" t="str">
        <f>"2018-10-19 10:43:57"</f>
        <v>2018-10-19 10:43:57</v>
      </c>
    </row>
    <row r="775" spans="1:7" x14ac:dyDescent="0.2">
      <c r="A775" t="s">
        <v>2459</v>
      </c>
      <c r="B775" t="str">
        <f>"18275946912"</f>
        <v>18275946912</v>
      </c>
      <c r="C775" t="str">
        <f>"452132199307132714"</f>
        <v>452132199307132714</v>
      </c>
      <c r="D775" t="s">
        <v>1</v>
      </c>
      <c r="E775" t="s">
        <v>1</v>
      </c>
      <c r="F775" t="s">
        <v>0</v>
      </c>
      <c r="G775" t="str">
        <f>"2018-10-18 17:25:30"</f>
        <v>2018-10-18 17:25:30</v>
      </c>
    </row>
    <row r="776" spans="1:7" x14ac:dyDescent="0.2">
      <c r="A776" t="s">
        <v>1</v>
      </c>
      <c r="B776" t="str">
        <f>"15306584088"</f>
        <v>15306584088</v>
      </c>
      <c r="C776" t="s">
        <v>1</v>
      </c>
      <c r="D776" t="s">
        <v>1</v>
      </c>
      <c r="E776" t="s">
        <v>1</v>
      </c>
      <c r="F776" t="s">
        <v>0</v>
      </c>
      <c r="G776" t="str">
        <f>"2018-10-18 17:17:55"</f>
        <v>2018-10-18 17:17:55</v>
      </c>
    </row>
    <row r="777" spans="1:7" x14ac:dyDescent="0.2">
      <c r="A777" t="s">
        <v>2460</v>
      </c>
      <c r="B777" t="str">
        <f>"13888382475"</f>
        <v>13888382475</v>
      </c>
      <c r="C777" t="str">
        <f>"530111198204080415"</f>
        <v>530111198204080415</v>
      </c>
      <c r="D777" t="s">
        <v>1</v>
      </c>
      <c r="E777" t="s">
        <v>1</v>
      </c>
      <c r="F777" t="s">
        <v>0</v>
      </c>
      <c r="G777" t="str">
        <f>"2018-10-18 17:18:39"</f>
        <v>2018-10-18 17:18:39</v>
      </c>
    </row>
    <row r="778" spans="1:7" x14ac:dyDescent="0.2">
      <c r="A778" t="s">
        <v>966</v>
      </c>
      <c r="B778" t="str">
        <f>"17613710679"</f>
        <v>17613710679</v>
      </c>
      <c r="C778" t="str">
        <f>"41132919960326381X"</f>
        <v>41132919960326381X</v>
      </c>
      <c r="D778" t="s">
        <v>1</v>
      </c>
      <c r="E778" t="s">
        <v>1</v>
      </c>
      <c r="F778" t="s">
        <v>0</v>
      </c>
      <c r="G778" t="str">
        <f>"2018-10-18 17:20:02"</f>
        <v>2018-10-18 17:20:02</v>
      </c>
    </row>
    <row r="779" spans="1:7" x14ac:dyDescent="0.2">
      <c r="A779" t="s">
        <v>2461</v>
      </c>
      <c r="B779" t="str">
        <f>"18589655911"</f>
        <v>18589655911</v>
      </c>
      <c r="C779" t="str">
        <f>"460031199309120416"</f>
        <v>460031199309120416</v>
      </c>
      <c r="D779" t="s">
        <v>1</v>
      </c>
      <c r="E779" t="s">
        <v>1</v>
      </c>
      <c r="F779" t="s">
        <v>0</v>
      </c>
      <c r="G779" t="str">
        <f>"2018-10-18 18:16:40"</f>
        <v>2018-10-18 18:16:40</v>
      </c>
    </row>
    <row r="780" spans="1:7" x14ac:dyDescent="0.2">
      <c r="A780" t="s">
        <v>1</v>
      </c>
      <c r="B780" t="str">
        <f>"15824339556"</f>
        <v>15824339556</v>
      </c>
      <c r="C780" t="s">
        <v>1</v>
      </c>
      <c r="D780" t="s">
        <v>1</v>
      </c>
      <c r="E780" t="s">
        <v>1</v>
      </c>
      <c r="F780" t="s">
        <v>0</v>
      </c>
      <c r="G780" t="str">
        <f>"2018-10-18 17:23:27"</f>
        <v>2018-10-18 17:23:27</v>
      </c>
    </row>
    <row r="781" spans="1:7" x14ac:dyDescent="0.2">
      <c r="A781" t="s">
        <v>2462</v>
      </c>
      <c r="B781" t="str">
        <f>"13141148880"</f>
        <v>13141148880</v>
      </c>
      <c r="C781" t="str">
        <f>"21090319820623101X"</f>
        <v>21090319820623101X</v>
      </c>
      <c r="D781" t="s">
        <v>1</v>
      </c>
      <c r="E781" t="s">
        <v>1</v>
      </c>
      <c r="F781" t="s">
        <v>0</v>
      </c>
      <c r="G781" t="str">
        <f>"2018-10-18 17:15:43"</f>
        <v>2018-10-18 17:15:43</v>
      </c>
    </row>
    <row r="782" spans="1:7" x14ac:dyDescent="0.2">
      <c r="A782" t="s">
        <v>2463</v>
      </c>
      <c r="B782" t="str">
        <f>"13666981797"</f>
        <v>13666981797</v>
      </c>
      <c r="C782" t="str">
        <f>"350425198809113532"</f>
        <v>350425198809113532</v>
      </c>
      <c r="D782" t="s">
        <v>1</v>
      </c>
      <c r="E782" t="s">
        <v>1</v>
      </c>
      <c r="F782" t="s">
        <v>0</v>
      </c>
      <c r="G782" t="str">
        <f>"2018-10-18 17:17:31"</f>
        <v>2018-10-18 17:17:31</v>
      </c>
    </row>
    <row r="783" spans="1:7" x14ac:dyDescent="0.2">
      <c r="A783" t="s">
        <v>339</v>
      </c>
      <c r="B783" t="str">
        <f>"18292138213"</f>
        <v>18292138213</v>
      </c>
      <c r="C783" t="str">
        <f>"610627198110120568"</f>
        <v>610627198110120568</v>
      </c>
      <c r="D783" t="s">
        <v>1</v>
      </c>
      <c r="E783" t="s">
        <v>1</v>
      </c>
      <c r="F783" t="s">
        <v>0</v>
      </c>
      <c r="G783" t="str">
        <f>"2018-10-18 17:16:57"</f>
        <v>2018-10-18 17:16:57</v>
      </c>
    </row>
    <row r="784" spans="1:7" x14ac:dyDescent="0.2">
      <c r="A784" t="s">
        <v>2464</v>
      </c>
      <c r="B784" t="str">
        <f>"18561515040"</f>
        <v>18561515040</v>
      </c>
      <c r="C784" t="str">
        <f>"230902199001030910"</f>
        <v>230902199001030910</v>
      </c>
      <c r="D784" t="s">
        <v>1</v>
      </c>
      <c r="E784" t="s">
        <v>1</v>
      </c>
      <c r="F784" t="s">
        <v>0</v>
      </c>
      <c r="G784" t="str">
        <f>"2018-10-30 08:19:57"</f>
        <v>2018-10-30 08:19:57</v>
      </c>
    </row>
    <row r="785" spans="1:7" x14ac:dyDescent="0.2">
      <c r="A785" t="s">
        <v>1069</v>
      </c>
      <c r="B785" t="str">
        <f>"18987634398"</f>
        <v>18987634398</v>
      </c>
      <c r="C785" t="str">
        <f>"532621198109250019"</f>
        <v>532621198109250019</v>
      </c>
      <c r="D785" t="s">
        <v>1</v>
      </c>
      <c r="E785" t="s">
        <v>1</v>
      </c>
      <c r="F785" t="s">
        <v>0</v>
      </c>
      <c r="G785" t="str">
        <f>"2018-10-18 17:15:16"</f>
        <v>2018-10-18 17:15:16</v>
      </c>
    </row>
    <row r="786" spans="1:7" x14ac:dyDescent="0.2">
      <c r="A786" t="s">
        <v>1</v>
      </c>
      <c r="B786" t="str">
        <f>"13959683553"</f>
        <v>13959683553</v>
      </c>
      <c r="C786" t="s">
        <v>1</v>
      </c>
      <c r="D786" t="s">
        <v>1</v>
      </c>
      <c r="E786" t="s">
        <v>1</v>
      </c>
      <c r="F786" t="s">
        <v>0</v>
      </c>
      <c r="G786" t="str">
        <f>"2018-10-18 17:15:11"</f>
        <v>2018-10-18 17:15:11</v>
      </c>
    </row>
    <row r="787" spans="1:7" x14ac:dyDescent="0.2">
      <c r="A787" t="s">
        <v>1</v>
      </c>
      <c r="B787" t="str">
        <f>"15073000737"</f>
        <v>15073000737</v>
      </c>
      <c r="C787" t="s">
        <v>1</v>
      </c>
      <c r="D787" t="s">
        <v>1</v>
      </c>
      <c r="E787" t="s">
        <v>1</v>
      </c>
      <c r="F787" t="s">
        <v>0</v>
      </c>
      <c r="G787" t="str">
        <f>"2018-10-18 17:14:53"</f>
        <v>2018-10-18 17:14:53</v>
      </c>
    </row>
    <row r="788" spans="1:7" x14ac:dyDescent="0.2">
      <c r="A788" t="s">
        <v>2465</v>
      </c>
      <c r="B788" t="str">
        <f>"17608064927"</f>
        <v>17608064927</v>
      </c>
      <c r="C788" t="str">
        <f>"511527199906124018"</f>
        <v>511527199906124018</v>
      </c>
      <c r="D788" t="s">
        <v>1</v>
      </c>
      <c r="E788" t="s">
        <v>1</v>
      </c>
      <c r="F788" t="s">
        <v>0</v>
      </c>
      <c r="G788" t="str">
        <f>"2018-10-18 17:18:12"</f>
        <v>2018-10-18 17:18:12</v>
      </c>
    </row>
    <row r="789" spans="1:7" x14ac:dyDescent="0.2">
      <c r="A789" t="s">
        <v>2466</v>
      </c>
      <c r="B789" t="str">
        <f>"13559334396"</f>
        <v>13559334396</v>
      </c>
      <c r="C789" t="str">
        <f>"332525199903200913"</f>
        <v>332525199903200913</v>
      </c>
      <c r="D789" t="s">
        <v>1</v>
      </c>
      <c r="E789" t="s">
        <v>1</v>
      </c>
      <c r="F789" t="s">
        <v>0</v>
      </c>
      <c r="G789" t="str">
        <f>"2018-10-18 17:14:22"</f>
        <v>2018-10-18 17:14:22</v>
      </c>
    </row>
    <row r="790" spans="1:7" x14ac:dyDescent="0.2">
      <c r="A790" t="s">
        <v>2467</v>
      </c>
      <c r="B790" t="str">
        <f>"15272211258"</f>
        <v>15272211258</v>
      </c>
      <c r="C790" t="str">
        <f>"42280219960710391X"</f>
        <v>42280219960710391X</v>
      </c>
      <c r="D790" t="s">
        <v>1</v>
      </c>
      <c r="E790" t="s">
        <v>1</v>
      </c>
      <c r="F790" t="s">
        <v>0</v>
      </c>
      <c r="G790" t="str">
        <f>"2018-10-18 17:14:14"</f>
        <v>2018-10-18 17:14:14</v>
      </c>
    </row>
    <row r="791" spans="1:7" x14ac:dyDescent="0.2">
      <c r="A791" t="s">
        <v>1</v>
      </c>
      <c r="B791" t="str">
        <f>"15868381881"</f>
        <v>15868381881</v>
      </c>
      <c r="C791" t="s">
        <v>1</v>
      </c>
      <c r="D791" t="s">
        <v>1</v>
      </c>
      <c r="E791" t="s">
        <v>1</v>
      </c>
      <c r="F791" t="s">
        <v>0</v>
      </c>
      <c r="G791" t="str">
        <f>"2018-10-18 17:16:07"</f>
        <v>2018-10-18 17:16:07</v>
      </c>
    </row>
    <row r="792" spans="1:7" x14ac:dyDescent="0.2">
      <c r="A792" t="s">
        <v>871</v>
      </c>
      <c r="B792" t="str">
        <f>"18907376877"</f>
        <v>18907376877</v>
      </c>
      <c r="C792" t="str">
        <f>"43090219850321902X"</f>
        <v>43090219850321902X</v>
      </c>
      <c r="D792" t="s">
        <v>1</v>
      </c>
      <c r="E792" t="s">
        <v>1</v>
      </c>
      <c r="F792" t="s">
        <v>0</v>
      </c>
      <c r="G792" t="str">
        <f>"2018-10-18 17:17:48"</f>
        <v>2018-10-18 17:17:48</v>
      </c>
    </row>
    <row r="793" spans="1:7" x14ac:dyDescent="0.2">
      <c r="A793" t="s">
        <v>1</v>
      </c>
      <c r="B793" t="str">
        <f>"13725951114"</f>
        <v>13725951114</v>
      </c>
      <c r="C793" t="s">
        <v>1</v>
      </c>
      <c r="D793" t="s">
        <v>1</v>
      </c>
      <c r="E793" t="s">
        <v>1</v>
      </c>
      <c r="F793" t="s">
        <v>0</v>
      </c>
      <c r="G793" t="str">
        <f>"2018-10-18 17:14:07"</f>
        <v>2018-10-18 17:14:07</v>
      </c>
    </row>
    <row r="794" spans="1:7" x14ac:dyDescent="0.2">
      <c r="A794" t="s">
        <v>1</v>
      </c>
      <c r="B794" t="str">
        <f>"15628729560"</f>
        <v>15628729560</v>
      </c>
      <c r="C794" t="s">
        <v>1</v>
      </c>
      <c r="D794" t="s">
        <v>1</v>
      </c>
      <c r="E794" t="s">
        <v>1</v>
      </c>
      <c r="F794" t="s">
        <v>0</v>
      </c>
      <c r="G794" t="str">
        <f>"2018-10-18 17:14:06"</f>
        <v>2018-10-18 17:14:06</v>
      </c>
    </row>
    <row r="795" spans="1:7" x14ac:dyDescent="0.2">
      <c r="A795" t="s">
        <v>2468</v>
      </c>
      <c r="B795" t="str">
        <f>"15297187483"</f>
        <v>15297187483</v>
      </c>
      <c r="C795" t="str">
        <f>"630121199309107910"</f>
        <v>630121199309107910</v>
      </c>
      <c r="D795" t="s">
        <v>1</v>
      </c>
      <c r="E795" t="s">
        <v>1</v>
      </c>
      <c r="F795" t="s">
        <v>0</v>
      </c>
      <c r="G795" t="str">
        <f>"2018-10-18 17:14:44"</f>
        <v>2018-10-18 17:14:44</v>
      </c>
    </row>
    <row r="796" spans="1:7" x14ac:dyDescent="0.2">
      <c r="A796" t="s">
        <v>2469</v>
      </c>
      <c r="B796" t="str">
        <f>"15516117171"</f>
        <v>15516117171</v>
      </c>
      <c r="C796" t="str">
        <f>"410922199308286215"</f>
        <v>410922199308286215</v>
      </c>
      <c r="D796" t="s">
        <v>1</v>
      </c>
      <c r="E796" t="s">
        <v>1</v>
      </c>
      <c r="F796" t="s">
        <v>0</v>
      </c>
      <c r="G796" t="str">
        <f>"2018-10-18 17:14:20"</f>
        <v>2018-10-18 17:14:20</v>
      </c>
    </row>
    <row r="797" spans="1:7" x14ac:dyDescent="0.2">
      <c r="A797" t="s">
        <v>1517</v>
      </c>
      <c r="B797" t="str">
        <f>"13739092523"</f>
        <v>13739092523</v>
      </c>
      <c r="C797" t="str">
        <f>"430721198908192513"</f>
        <v>430721198908192513</v>
      </c>
      <c r="D797" t="s">
        <v>2470</v>
      </c>
      <c r="E797" t="s">
        <v>2471</v>
      </c>
      <c r="F797" t="s">
        <v>0</v>
      </c>
      <c r="G797" t="str">
        <f>"2018-10-18 17:17:24"</f>
        <v>2018-10-18 17:17:24</v>
      </c>
    </row>
    <row r="798" spans="1:7" x14ac:dyDescent="0.2">
      <c r="A798" t="s">
        <v>1</v>
      </c>
      <c r="B798" t="str">
        <f>"18322938594"</f>
        <v>18322938594</v>
      </c>
      <c r="C798" t="s">
        <v>1</v>
      </c>
      <c r="D798" t="s">
        <v>1</v>
      </c>
      <c r="E798" t="s">
        <v>1</v>
      </c>
      <c r="F798" t="s">
        <v>0</v>
      </c>
      <c r="G798" t="str">
        <f>"2018-10-18 17:13:16"</f>
        <v>2018-10-18 17:13:16</v>
      </c>
    </row>
    <row r="799" spans="1:7" x14ac:dyDescent="0.2">
      <c r="A799" t="s">
        <v>2472</v>
      </c>
      <c r="B799" t="str">
        <f>"13888536392"</f>
        <v>13888536392</v>
      </c>
      <c r="C799" t="str">
        <f>"520111198012015115"</f>
        <v>520111198012015115</v>
      </c>
      <c r="D799" t="s">
        <v>1</v>
      </c>
      <c r="E799" t="s">
        <v>1</v>
      </c>
      <c r="F799" t="s">
        <v>0</v>
      </c>
      <c r="G799" t="str">
        <f>"2018-10-18 17:18:26"</f>
        <v>2018-10-18 17:18:26</v>
      </c>
    </row>
    <row r="800" spans="1:7" x14ac:dyDescent="0.2">
      <c r="A800" t="s">
        <v>2473</v>
      </c>
      <c r="B800" t="str">
        <f>"13055185153"</f>
        <v>13055185153</v>
      </c>
      <c r="C800" t="str">
        <f>"43092319870923661X"</f>
        <v>43092319870923661X</v>
      </c>
      <c r="D800" t="s">
        <v>1</v>
      </c>
      <c r="E800" t="s">
        <v>1</v>
      </c>
      <c r="F800" t="s">
        <v>0</v>
      </c>
      <c r="G800" t="str">
        <f>"2018-10-18 17:15:31"</f>
        <v>2018-10-18 17:15:31</v>
      </c>
    </row>
    <row r="801" spans="1:7" x14ac:dyDescent="0.2">
      <c r="A801" t="s">
        <v>2474</v>
      </c>
      <c r="B801" t="str">
        <f>"13343864666"</f>
        <v>13343864666</v>
      </c>
      <c r="C801" t="str">
        <f>"410181199104130039"</f>
        <v>410181199104130039</v>
      </c>
      <c r="D801" t="s">
        <v>2475</v>
      </c>
      <c r="E801" t="s">
        <v>2476</v>
      </c>
      <c r="F801" t="s">
        <v>0</v>
      </c>
      <c r="G801" t="str">
        <f>"2018-10-18 19:35:14"</f>
        <v>2018-10-18 19:35:14</v>
      </c>
    </row>
    <row r="802" spans="1:7" x14ac:dyDescent="0.2">
      <c r="A802" t="s">
        <v>1</v>
      </c>
      <c r="B802" t="str">
        <f>"13277841374"</f>
        <v>13277841374</v>
      </c>
      <c r="C802" t="s">
        <v>1</v>
      </c>
      <c r="D802" t="s">
        <v>1</v>
      </c>
      <c r="E802" t="s">
        <v>1</v>
      </c>
      <c r="F802" t="s">
        <v>0</v>
      </c>
      <c r="G802" t="str">
        <f>"2018-10-18 17:12:25"</f>
        <v>2018-10-18 17:12:25</v>
      </c>
    </row>
    <row r="803" spans="1:7" x14ac:dyDescent="0.2">
      <c r="A803" t="s">
        <v>2477</v>
      </c>
      <c r="B803" t="str">
        <f>"18309259113"</f>
        <v>18309259113</v>
      </c>
      <c r="C803" t="str">
        <f>"612525199304114316"</f>
        <v>612525199304114316</v>
      </c>
      <c r="D803" t="s">
        <v>1</v>
      </c>
      <c r="E803" t="s">
        <v>1</v>
      </c>
      <c r="F803" t="s">
        <v>0</v>
      </c>
      <c r="G803" t="str">
        <f>"2018-10-18 17:15:40"</f>
        <v>2018-10-18 17:15:40</v>
      </c>
    </row>
    <row r="804" spans="1:7" x14ac:dyDescent="0.2">
      <c r="A804" t="s">
        <v>1524</v>
      </c>
      <c r="B804" t="str">
        <f>"18629851240"</f>
        <v>18629851240</v>
      </c>
      <c r="C804" t="str">
        <f>"220322199704243518"</f>
        <v>220322199704243518</v>
      </c>
      <c r="D804" t="s">
        <v>1</v>
      </c>
      <c r="E804" t="s">
        <v>1</v>
      </c>
      <c r="F804" t="s">
        <v>0</v>
      </c>
      <c r="G804" t="str">
        <f>"2018-10-18 17:12:11"</f>
        <v>2018-10-18 17:12:11</v>
      </c>
    </row>
    <row r="805" spans="1:7" x14ac:dyDescent="0.2">
      <c r="A805" t="s">
        <v>554</v>
      </c>
      <c r="B805" t="str">
        <f>"15318911931"</f>
        <v>15318911931</v>
      </c>
      <c r="C805" t="str">
        <f>"370786197912226381"</f>
        <v>370786197912226381</v>
      </c>
      <c r="D805" t="s">
        <v>1</v>
      </c>
      <c r="E805" t="s">
        <v>1</v>
      </c>
      <c r="F805" t="s">
        <v>0</v>
      </c>
      <c r="G805" t="str">
        <f>"2018-10-29 12:20:37"</f>
        <v>2018-10-29 12:20:37</v>
      </c>
    </row>
    <row r="806" spans="1:7" x14ac:dyDescent="0.2">
      <c r="A806" t="s">
        <v>2478</v>
      </c>
      <c r="B806" t="str">
        <f>"15029980179"</f>
        <v>15029980179</v>
      </c>
      <c r="C806" t="str">
        <f>"610111199007174038"</f>
        <v>610111199007174038</v>
      </c>
      <c r="D806" t="s">
        <v>2479</v>
      </c>
      <c r="E806" t="s">
        <v>2480</v>
      </c>
      <c r="F806" t="s">
        <v>0</v>
      </c>
      <c r="G806" t="str">
        <f>"2018-10-18 17:13:21"</f>
        <v>2018-10-18 17:13:21</v>
      </c>
    </row>
    <row r="807" spans="1:7" x14ac:dyDescent="0.2">
      <c r="A807" t="s">
        <v>2481</v>
      </c>
      <c r="B807" t="str">
        <f>"18021841604"</f>
        <v>18021841604</v>
      </c>
      <c r="C807" t="str">
        <f>"340123199803207697"</f>
        <v>340123199803207697</v>
      </c>
      <c r="D807" t="s">
        <v>2482</v>
      </c>
      <c r="E807" t="s">
        <v>2483</v>
      </c>
      <c r="F807" t="s">
        <v>0</v>
      </c>
      <c r="G807" t="str">
        <f>"2018-10-18 17:14:50"</f>
        <v>2018-10-18 17:14:50</v>
      </c>
    </row>
    <row r="808" spans="1:7" x14ac:dyDescent="0.2">
      <c r="A808" t="s">
        <v>1710</v>
      </c>
      <c r="B808" t="str">
        <f>"15304996985"</f>
        <v>15304996985</v>
      </c>
      <c r="C808" t="str">
        <f>"210423198812152053"</f>
        <v>210423198812152053</v>
      </c>
      <c r="D808" t="s">
        <v>2484</v>
      </c>
      <c r="E808" t="s">
        <v>2485</v>
      </c>
      <c r="F808" t="s">
        <v>0</v>
      </c>
      <c r="G808" t="str">
        <f>"2018-10-18 17:12:41"</f>
        <v>2018-10-18 17:12:41</v>
      </c>
    </row>
    <row r="809" spans="1:7" x14ac:dyDescent="0.2">
      <c r="A809" t="s">
        <v>2486</v>
      </c>
      <c r="B809" t="str">
        <f>"17771114550"</f>
        <v>17771114550</v>
      </c>
      <c r="C809" t="str">
        <f>"420682199103050542"</f>
        <v>420682199103050542</v>
      </c>
      <c r="D809" t="s">
        <v>2487</v>
      </c>
      <c r="E809" t="s">
        <v>2488</v>
      </c>
      <c r="F809" t="s">
        <v>0</v>
      </c>
      <c r="G809" t="str">
        <f>"2018-10-18 17:13:15"</f>
        <v>2018-10-18 17:13:15</v>
      </c>
    </row>
    <row r="810" spans="1:7" x14ac:dyDescent="0.2">
      <c r="A810" t="s">
        <v>2489</v>
      </c>
      <c r="B810" t="str">
        <f>"13828451825"</f>
        <v>13828451825</v>
      </c>
      <c r="C810" t="str">
        <f>"360722198810315114"</f>
        <v>360722198810315114</v>
      </c>
      <c r="D810" t="s">
        <v>1</v>
      </c>
      <c r="E810" t="s">
        <v>1</v>
      </c>
      <c r="F810" t="s">
        <v>0</v>
      </c>
      <c r="G810" t="str">
        <f>"2018-10-18 17:12:52"</f>
        <v>2018-10-18 17:12:52</v>
      </c>
    </row>
    <row r="811" spans="1:7" x14ac:dyDescent="0.2">
      <c r="A811" t="s">
        <v>2490</v>
      </c>
      <c r="B811" t="str">
        <f>"15000630854"</f>
        <v>15000630854</v>
      </c>
      <c r="C811" t="str">
        <f>"320682199404286272"</f>
        <v>320682199404286272</v>
      </c>
      <c r="D811" t="s">
        <v>1</v>
      </c>
      <c r="E811" t="s">
        <v>1</v>
      </c>
      <c r="F811" t="s">
        <v>0</v>
      </c>
      <c r="G811" t="str">
        <f>"2018-10-18 17:15:06"</f>
        <v>2018-10-18 17:15:06</v>
      </c>
    </row>
    <row r="812" spans="1:7" x14ac:dyDescent="0.2">
      <c r="A812" t="s">
        <v>2491</v>
      </c>
      <c r="B812" t="str">
        <f>"13661928731"</f>
        <v>13661928731</v>
      </c>
      <c r="C812" t="str">
        <f>"310113198912255513"</f>
        <v>310113198912255513</v>
      </c>
      <c r="D812" t="s">
        <v>1</v>
      </c>
      <c r="E812" t="s">
        <v>1</v>
      </c>
      <c r="F812" t="s">
        <v>0</v>
      </c>
      <c r="G812" t="str">
        <f>"2018-10-18 17:43:03"</f>
        <v>2018-10-18 17:43:03</v>
      </c>
    </row>
    <row r="813" spans="1:7" x14ac:dyDescent="0.2">
      <c r="A813" t="s">
        <v>2492</v>
      </c>
      <c r="B813" t="str">
        <f>"15066981298"</f>
        <v>15066981298</v>
      </c>
      <c r="C813" t="str">
        <f>"372323199910141812"</f>
        <v>372323199910141812</v>
      </c>
      <c r="D813" t="s">
        <v>1</v>
      </c>
      <c r="E813" t="s">
        <v>1</v>
      </c>
      <c r="F813" t="s">
        <v>0</v>
      </c>
      <c r="G813" t="str">
        <f>"2018-10-18 17:59:25"</f>
        <v>2018-10-18 17:59:25</v>
      </c>
    </row>
    <row r="814" spans="1:7" x14ac:dyDescent="0.2">
      <c r="A814" t="s">
        <v>534</v>
      </c>
      <c r="B814" t="str">
        <f>"13085493337"</f>
        <v>13085493337</v>
      </c>
      <c r="C814" t="str">
        <f>"432503198006054013"</f>
        <v>432503198006054013</v>
      </c>
      <c r="D814" t="s">
        <v>1</v>
      </c>
      <c r="E814" t="s">
        <v>1</v>
      </c>
      <c r="F814" t="s">
        <v>0</v>
      </c>
      <c r="G814" t="str">
        <f>"2018-10-18 17:13:08"</f>
        <v>2018-10-18 17:13:08</v>
      </c>
    </row>
    <row r="815" spans="1:7" x14ac:dyDescent="0.2">
      <c r="A815" t="s">
        <v>1</v>
      </c>
      <c r="B815" t="str">
        <f>"18638644404"</f>
        <v>18638644404</v>
      </c>
      <c r="C815" t="s">
        <v>1</v>
      </c>
      <c r="D815" t="s">
        <v>1</v>
      </c>
      <c r="E815" t="s">
        <v>1</v>
      </c>
      <c r="F815" t="s">
        <v>0</v>
      </c>
      <c r="G815" t="str">
        <f>"2018-10-18 17:10:29"</f>
        <v>2018-10-18 17:10:29</v>
      </c>
    </row>
    <row r="816" spans="1:7" x14ac:dyDescent="0.2">
      <c r="A816" t="s">
        <v>1</v>
      </c>
      <c r="B816" t="str">
        <f>"13594000449"</f>
        <v>13594000449</v>
      </c>
      <c r="C816" t="s">
        <v>1</v>
      </c>
      <c r="D816" t="s">
        <v>1</v>
      </c>
      <c r="E816" t="s">
        <v>1</v>
      </c>
      <c r="F816" t="s">
        <v>0</v>
      </c>
      <c r="G816" t="str">
        <f>"2018-10-18 17:10:28"</f>
        <v>2018-10-18 17:10:28</v>
      </c>
    </row>
    <row r="817" spans="1:7" x14ac:dyDescent="0.2">
      <c r="A817" t="s">
        <v>2493</v>
      </c>
      <c r="B817" t="str">
        <f>"18757757165"</f>
        <v>18757757165</v>
      </c>
      <c r="C817" t="str">
        <f>"330327199004268201"</f>
        <v>330327199004268201</v>
      </c>
      <c r="D817" t="s">
        <v>1</v>
      </c>
      <c r="E817" t="s">
        <v>1</v>
      </c>
      <c r="F817" t="s">
        <v>0</v>
      </c>
      <c r="G817" t="str">
        <f>"2018-10-18 17:12:26"</f>
        <v>2018-10-18 17:12:26</v>
      </c>
    </row>
    <row r="818" spans="1:7" x14ac:dyDescent="0.2">
      <c r="A818" t="s">
        <v>1</v>
      </c>
      <c r="B818" t="str">
        <f>"13676336513"</f>
        <v>13676336513</v>
      </c>
      <c r="C818" t="s">
        <v>1</v>
      </c>
      <c r="D818" t="s">
        <v>1</v>
      </c>
      <c r="E818" t="s">
        <v>1</v>
      </c>
      <c r="F818" t="s">
        <v>0</v>
      </c>
      <c r="G818" t="str">
        <f>"2018-10-18 17:11:50"</f>
        <v>2018-10-18 17:11:50</v>
      </c>
    </row>
    <row r="819" spans="1:7" x14ac:dyDescent="0.2">
      <c r="A819" t="s">
        <v>2494</v>
      </c>
      <c r="B819" t="str">
        <f>"13037279000"</f>
        <v>13037279000</v>
      </c>
      <c r="C819" t="str">
        <f>"360402199108283856"</f>
        <v>360402199108283856</v>
      </c>
      <c r="D819" t="s">
        <v>1</v>
      </c>
      <c r="E819" t="s">
        <v>1</v>
      </c>
      <c r="F819" t="s">
        <v>0</v>
      </c>
      <c r="G819" t="str">
        <f>"2018-10-18 17:11:09"</f>
        <v>2018-10-18 17:11:09</v>
      </c>
    </row>
    <row r="820" spans="1:7" x14ac:dyDescent="0.2">
      <c r="A820" t="s">
        <v>2495</v>
      </c>
      <c r="B820" t="str">
        <f>"15989735359"</f>
        <v>15989735359</v>
      </c>
      <c r="C820" t="str">
        <f>"341222199404037694"</f>
        <v>341222199404037694</v>
      </c>
      <c r="D820" t="s">
        <v>1</v>
      </c>
      <c r="E820" t="s">
        <v>1</v>
      </c>
      <c r="F820" t="s">
        <v>0</v>
      </c>
      <c r="G820" t="str">
        <f>"2018-10-18 17:09:22"</f>
        <v>2018-10-18 17:09:22</v>
      </c>
    </row>
    <row r="821" spans="1:7" x14ac:dyDescent="0.2">
      <c r="A821" t="s">
        <v>1039</v>
      </c>
      <c r="B821" t="str">
        <f>"18613279729"</f>
        <v>18613279729</v>
      </c>
      <c r="C821" t="str">
        <f>"511023197901300172"</f>
        <v>511023197901300172</v>
      </c>
      <c r="D821" t="s">
        <v>1</v>
      </c>
      <c r="E821" t="s">
        <v>1</v>
      </c>
      <c r="F821" t="s">
        <v>0</v>
      </c>
      <c r="G821" t="str">
        <f>"2018-10-18 17:23:35"</f>
        <v>2018-10-18 17:23:35</v>
      </c>
    </row>
    <row r="822" spans="1:7" x14ac:dyDescent="0.2">
      <c r="A822" t="s">
        <v>2496</v>
      </c>
      <c r="B822" t="str">
        <f>"18979632047"</f>
        <v>18979632047</v>
      </c>
      <c r="C822" t="str">
        <f>"362427199310192017"</f>
        <v>362427199310192017</v>
      </c>
      <c r="D822" t="s">
        <v>1</v>
      </c>
      <c r="E822" t="s">
        <v>1</v>
      </c>
      <c r="F822" t="s">
        <v>0</v>
      </c>
      <c r="G822" t="str">
        <f>"2018-10-18 18:52:39"</f>
        <v>2018-10-18 18:52:39</v>
      </c>
    </row>
    <row r="823" spans="1:7" x14ac:dyDescent="0.2">
      <c r="A823" t="s">
        <v>2497</v>
      </c>
      <c r="B823" t="str">
        <f>"15353562071"</f>
        <v>15353562071</v>
      </c>
      <c r="C823" t="str">
        <f>"610628199911182428"</f>
        <v>610628199911182428</v>
      </c>
      <c r="D823" t="s">
        <v>1</v>
      </c>
      <c r="E823" t="s">
        <v>1</v>
      </c>
      <c r="F823" t="s">
        <v>0</v>
      </c>
      <c r="G823" t="str">
        <f>"2018-10-18 17:34:18"</f>
        <v>2018-10-18 17:34:18</v>
      </c>
    </row>
    <row r="824" spans="1:7" x14ac:dyDescent="0.2">
      <c r="A824" t="s">
        <v>1</v>
      </c>
      <c r="B824" t="str">
        <f>"18687387116"</f>
        <v>18687387116</v>
      </c>
      <c r="C824" t="s">
        <v>1</v>
      </c>
      <c r="D824" t="s">
        <v>1</v>
      </c>
      <c r="E824" t="s">
        <v>1</v>
      </c>
      <c r="F824" t="s">
        <v>0</v>
      </c>
      <c r="G824" t="str">
        <f>"2018-10-18 17:08:59"</f>
        <v>2018-10-18 17:08:59</v>
      </c>
    </row>
    <row r="825" spans="1:7" x14ac:dyDescent="0.2">
      <c r="A825" t="s">
        <v>2498</v>
      </c>
      <c r="B825" t="str">
        <f>"18559213565"</f>
        <v>18559213565</v>
      </c>
      <c r="C825" t="str">
        <f>"612324198411132542"</f>
        <v>612324198411132542</v>
      </c>
      <c r="D825" t="s">
        <v>1</v>
      </c>
      <c r="E825" t="s">
        <v>1</v>
      </c>
      <c r="F825" t="s">
        <v>0</v>
      </c>
      <c r="G825" t="str">
        <f>"2018-10-18 17:10:02"</f>
        <v>2018-10-18 17:10:02</v>
      </c>
    </row>
    <row r="826" spans="1:7" x14ac:dyDescent="0.2">
      <c r="A826" t="s">
        <v>261</v>
      </c>
      <c r="B826" t="str">
        <f>"17334832176"</f>
        <v>17334832176</v>
      </c>
      <c r="C826" t="str">
        <f>"410327199804095337"</f>
        <v>410327199804095337</v>
      </c>
      <c r="D826" t="s">
        <v>1</v>
      </c>
      <c r="E826" t="s">
        <v>1</v>
      </c>
      <c r="F826" t="s">
        <v>0</v>
      </c>
      <c r="G826" t="str">
        <f>"2018-10-18 17:10:08"</f>
        <v>2018-10-18 17:10:08</v>
      </c>
    </row>
    <row r="827" spans="1:7" x14ac:dyDescent="0.2">
      <c r="A827" t="s">
        <v>2499</v>
      </c>
      <c r="B827" t="str">
        <f>"15187105809"</f>
        <v>15187105809</v>
      </c>
      <c r="C827" t="str">
        <f>"532626199510213317"</f>
        <v>532626199510213317</v>
      </c>
      <c r="D827" t="s">
        <v>1</v>
      </c>
      <c r="E827" t="s">
        <v>1</v>
      </c>
      <c r="F827" t="s">
        <v>0</v>
      </c>
      <c r="G827" t="str">
        <f>"2018-10-18 18:31:58"</f>
        <v>2018-10-18 18:31:58</v>
      </c>
    </row>
    <row r="828" spans="1:7" x14ac:dyDescent="0.2">
      <c r="A828" t="s">
        <v>2500</v>
      </c>
      <c r="B828" t="str">
        <f>"13940900040"</f>
        <v>13940900040</v>
      </c>
      <c r="C828" t="str">
        <f>"231182198101192516"</f>
        <v>231182198101192516</v>
      </c>
      <c r="D828" t="s">
        <v>1</v>
      </c>
      <c r="E828" t="s">
        <v>1</v>
      </c>
      <c r="F828" t="s">
        <v>0</v>
      </c>
      <c r="G828" t="str">
        <f>"2018-10-18 17:19:24"</f>
        <v>2018-10-18 17:19:24</v>
      </c>
    </row>
    <row r="829" spans="1:7" x14ac:dyDescent="0.2">
      <c r="A829" t="s">
        <v>1</v>
      </c>
      <c r="B829" t="str">
        <f>"18248810665"</f>
        <v>18248810665</v>
      </c>
      <c r="C829" t="s">
        <v>1</v>
      </c>
      <c r="D829" t="s">
        <v>1</v>
      </c>
      <c r="E829" t="s">
        <v>1</v>
      </c>
      <c r="F829" t="s">
        <v>0</v>
      </c>
      <c r="G829" t="str">
        <f>"2018-10-18 17:08:29"</f>
        <v>2018-10-18 17:08:29</v>
      </c>
    </row>
    <row r="830" spans="1:7" x14ac:dyDescent="0.2">
      <c r="A830" t="s">
        <v>2501</v>
      </c>
      <c r="B830" t="str">
        <f>"13414384328"</f>
        <v>13414384328</v>
      </c>
      <c r="C830" t="str">
        <f>"44190019921113087X"</f>
        <v>44190019921113087X</v>
      </c>
      <c r="D830" t="s">
        <v>1</v>
      </c>
      <c r="E830" t="s">
        <v>1</v>
      </c>
      <c r="F830" t="s">
        <v>0</v>
      </c>
      <c r="G830" t="str">
        <f>"2018-10-18 17:08:21"</f>
        <v>2018-10-18 17:08:21</v>
      </c>
    </row>
    <row r="831" spans="1:7" x14ac:dyDescent="0.2">
      <c r="A831" t="s">
        <v>2502</v>
      </c>
      <c r="B831" t="str">
        <f>"13577739310"</f>
        <v>13577739310</v>
      </c>
      <c r="C831" t="str">
        <f>"53042219810930034X"</f>
        <v>53042219810930034X</v>
      </c>
      <c r="D831" t="s">
        <v>2503</v>
      </c>
      <c r="E831" t="s">
        <v>2504</v>
      </c>
      <c r="F831" t="s">
        <v>0</v>
      </c>
      <c r="G831" t="str">
        <f>"2018-10-18 17:10:37"</f>
        <v>2018-10-18 17:10:37</v>
      </c>
    </row>
    <row r="832" spans="1:7" x14ac:dyDescent="0.2">
      <c r="A832" t="s">
        <v>2505</v>
      </c>
      <c r="B832" t="str">
        <f>"15713962971"</f>
        <v>15713962971</v>
      </c>
      <c r="C832" t="str">
        <f>"412826198901054228"</f>
        <v>412826198901054228</v>
      </c>
      <c r="D832" t="s">
        <v>2506</v>
      </c>
      <c r="E832" t="s">
        <v>2507</v>
      </c>
      <c r="F832" t="s">
        <v>0</v>
      </c>
      <c r="G832" t="str">
        <f>"2018-10-18 17:08:11"</f>
        <v>2018-10-18 17:08:11</v>
      </c>
    </row>
    <row r="833" spans="1:7" x14ac:dyDescent="0.2">
      <c r="A833" t="s">
        <v>2508</v>
      </c>
      <c r="B833" t="str">
        <f>"15573475670"</f>
        <v>15573475670</v>
      </c>
      <c r="C833" t="str">
        <f>"430424199203058450"</f>
        <v>430424199203058450</v>
      </c>
      <c r="D833" t="s">
        <v>1</v>
      </c>
      <c r="E833" t="s">
        <v>1</v>
      </c>
      <c r="F833" t="s">
        <v>0</v>
      </c>
      <c r="G833" t="str">
        <f>"2018-11-04 18:22:58"</f>
        <v>2018-11-04 18:22:58</v>
      </c>
    </row>
    <row r="834" spans="1:7" x14ac:dyDescent="0.2">
      <c r="A834" t="s">
        <v>2509</v>
      </c>
      <c r="B834" t="str">
        <f>"17768563330"</f>
        <v>17768563330</v>
      </c>
      <c r="C834" t="str">
        <f>"321023198911020448"</f>
        <v>321023198911020448</v>
      </c>
      <c r="D834" t="s">
        <v>1</v>
      </c>
      <c r="E834" t="s">
        <v>1</v>
      </c>
      <c r="F834" t="s">
        <v>0</v>
      </c>
      <c r="G834" t="str">
        <f>"2018-10-18 17:12:19"</f>
        <v>2018-10-18 17:12:19</v>
      </c>
    </row>
    <row r="835" spans="1:7" x14ac:dyDescent="0.2">
      <c r="A835" t="s">
        <v>2510</v>
      </c>
      <c r="B835" t="str">
        <f>"13481060036"</f>
        <v>13481060036</v>
      </c>
      <c r="C835" t="str">
        <f>"450121199104140617"</f>
        <v>450121199104140617</v>
      </c>
      <c r="D835" t="s">
        <v>1</v>
      </c>
      <c r="E835" t="s">
        <v>1</v>
      </c>
      <c r="F835" t="s">
        <v>0</v>
      </c>
      <c r="G835" t="str">
        <f>"2018-10-18 17:10:20"</f>
        <v>2018-10-18 17:10:20</v>
      </c>
    </row>
    <row r="836" spans="1:7" x14ac:dyDescent="0.2">
      <c r="A836" t="s">
        <v>2511</v>
      </c>
      <c r="B836" t="str">
        <f>"13280990163"</f>
        <v>13280990163</v>
      </c>
      <c r="C836" t="str">
        <f>"370683199606166813"</f>
        <v>370683199606166813</v>
      </c>
      <c r="D836" t="s">
        <v>2512</v>
      </c>
      <c r="E836" t="s">
        <v>2513</v>
      </c>
      <c r="F836" t="s">
        <v>0</v>
      </c>
      <c r="G836" t="str">
        <f>"2018-10-19 15:53:05"</f>
        <v>2018-10-19 15:53:05</v>
      </c>
    </row>
    <row r="837" spans="1:7" x14ac:dyDescent="0.2">
      <c r="A837" t="s">
        <v>2514</v>
      </c>
      <c r="B837" t="str">
        <f>"18612722736"</f>
        <v>18612722736</v>
      </c>
      <c r="C837" t="str">
        <f>"11022619861001161X"</f>
        <v>11022619861001161X</v>
      </c>
      <c r="D837" t="s">
        <v>2515</v>
      </c>
      <c r="E837" t="s">
        <v>2516</v>
      </c>
      <c r="F837" t="s">
        <v>0</v>
      </c>
      <c r="G837" t="str">
        <f>"2018-10-18 17:07:55"</f>
        <v>2018-10-18 17:07:55</v>
      </c>
    </row>
    <row r="838" spans="1:7" x14ac:dyDescent="0.2">
      <c r="A838" t="s">
        <v>1</v>
      </c>
      <c r="B838" t="str">
        <f>"15968018750"</f>
        <v>15968018750</v>
      </c>
      <c r="C838" t="s">
        <v>1</v>
      </c>
      <c r="D838" t="s">
        <v>1</v>
      </c>
      <c r="E838" t="s">
        <v>1</v>
      </c>
      <c r="F838" t="s">
        <v>0</v>
      </c>
      <c r="G838" t="str">
        <f>"2018-10-18 17:07:49"</f>
        <v>2018-10-18 17:07:49</v>
      </c>
    </row>
    <row r="839" spans="1:7" x14ac:dyDescent="0.2">
      <c r="A839" t="s">
        <v>2517</v>
      </c>
      <c r="B839" t="str">
        <f>"18827235156"</f>
        <v>18827235156</v>
      </c>
      <c r="C839" t="str">
        <f>"420704199503010319"</f>
        <v>420704199503010319</v>
      </c>
      <c r="D839" t="s">
        <v>2518</v>
      </c>
      <c r="E839" t="s">
        <v>2519</v>
      </c>
      <c r="F839" t="s">
        <v>0</v>
      </c>
      <c r="G839" t="str">
        <f>"2018-10-18 17:07:48"</f>
        <v>2018-10-18 17:07:48</v>
      </c>
    </row>
    <row r="840" spans="1:7" x14ac:dyDescent="0.2">
      <c r="A840" t="s">
        <v>254</v>
      </c>
      <c r="B840" t="str">
        <f>"15833693629"</f>
        <v>15833693629</v>
      </c>
      <c r="C840" t="str">
        <f>"130502198212080328"</f>
        <v>130502198212080328</v>
      </c>
      <c r="D840" t="s">
        <v>1</v>
      </c>
      <c r="E840" t="s">
        <v>1</v>
      </c>
      <c r="F840" t="s">
        <v>0</v>
      </c>
      <c r="G840" t="str">
        <f>"2018-10-18 17:44:26"</f>
        <v>2018-10-18 17:44:26</v>
      </c>
    </row>
    <row r="841" spans="1:7" x14ac:dyDescent="0.2">
      <c r="A841" t="s">
        <v>2520</v>
      </c>
      <c r="B841" t="str">
        <f>"15332968566"</f>
        <v>15332968566</v>
      </c>
      <c r="C841" t="str">
        <f>"150422199103012738"</f>
        <v>150422199103012738</v>
      </c>
      <c r="D841" t="s">
        <v>2521</v>
      </c>
      <c r="E841" t="s">
        <v>2522</v>
      </c>
      <c r="F841" t="s">
        <v>0</v>
      </c>
      <c r="G841" t="str">
        <f>"2018-10-18 17:14:39"</f>
        <v>2018-10-18 17:14:39</v>
      </c>
    </row>
    <row r="842" spans="1:7" x14ac:dyDescent="0.2">
      <c r="A842" t="s">
        <v>1</v>
      </c>
      <c r="B842" t="str">
        <f>"15989244688"</f>
        <v>15989244688</v>
      </c>
      <c r="C842" t="s">
        <v>1</v>
      </c>
      <c r="D842" t="s">
        <v>1</v>
      </c>
      <c r="E842" t="s">
        <v>1</v>
      </c>
      <c r="F842" t="s">
        <v>0</v>
      </c>
      <c r="G842" t="str">
        <f>"2018-10-18 17:07:26"</f>
        <v>2018-10-18 17:07:26</v>
      </c>
    </row>
    <row r="843" spans="1:7" x14ac:dyDescent="0.2">
      <c r="A843" t="s">
        <v>2523</v>
      </c>
      <c r="B843" t="str">
        <f>"15898689663"</f>
        <v>15898689663</v>
      </c>
      <c r="C843" t="str">
        <f>"372930197304266321"</f>
        <v>372930197304266321</v>
      </c>
      <c r="D843" t="s">
        <v>2524</v>
      </c>
      <c r="E843" t="s">
        <v>2525</v>
      </c>
      <c r="F843" t="s">
        <v>0</v>
      </c>
      <c r="G843" t="str">
        <f>"2018-10-18 17:11:11"</f>
        <v>2018-10-18 17:11:11</v>
      </c>
    </row>
    <row r="844" spans="1:7" x14ac:dyDescent="0.2">
      <c r="A844" t="s">
        <v>2526</v>
      </c>
      <c r="B844" t="str">
        <f>"13816514527"</f>
        <v>13816514527</v>
      </c>
      <c r="C844" t="str">
        <f>"41302619740315603X"</f>
        <v>41302619740315603X</v>
      </c>
      <c r="D844" t="s">
        <v>2527</v>
      </c>
      <c r="E844" t="s">
        <v>2528</v>
      </c>
      <c r="F844" t="s">
        <v>0</v>
      </c>
      <c r="G844" t="str">
        <f>"2018-10-18 17:10:46"</f>
        <v>2018-10-18 17:10:46</v>
      </c>
    </row>
    <row r="845" spans="1:7" x14ac:dyDescent="0.2">
      <c r="A845" t="s">
        <v>2529</v>
      </c>
      <c r="B845" t="str">
        <f>"13258127036"</f>
        <v>13258127036</v>
      </c>
      <c r="C845" t="str">
        <f>"441223199207262323"</f>
        <v>441223199207262323</v>
      </c>
      <c r="D845" t="s">
        <v>2530</v>
      </c>
      <c r="E845" t="s">
        <v>2531</v>
      </c>
      <c r="F845" t="s">
        <v>0</v>
      </c>
      <c r="G845" t="str">
        <f>"2018-10-18 17:28:37"</f>
        <v>2018-10-18 17:28:37</v>
      </c>
    </row>
    <row r="846" spans="1:7" x14ac:dyDescent="0.2">
      <c r="A846" t="s">
        <v>2532</v>
      </c>
      <c r="B846" t="str">
        <f>"13633000704"</f>
        <v>13633000704</v>
      </c>
      <c r="C846" t="str">
        <f>"452225199010011032"</f>
        <v>452225199010011032</v>
      </c>
      <c r="D846" t="s">
        <v>1</v>
      </c>
      <c r="E846" t="s">
        <v>1</v>
      </c>
      <c r="F846" t="s">
        <v>0</v>
      </c>
      <c r="G846" t="str">
        <f>"2018-10-18 17:17:15"</f>
        <v>2018-10-18 17:17:15</v>
      </c>
    </row>
    <row r="847" spans="1:7" x14ac:dyDescent="0.2">
      <c r="A847" t="s">
        <v>2533</v>
      </c>
      <c r="B847" t="str">
        <f>"18203057735"</f>
        <v>18203057735</v>
      </c>
      <c r="C847" t="str">
        <f>"500230199512136736"</f>
        <v>500230199512136736</v>
      </c>
      <c r="D847" t="s">
        <v>2534</v>
      </c>
      <c r="E847" t="s">
        <v>2535</v>
      </c>
      <c r="F847" t="s">
        <v>0</v>
      </c>
      <c r="G847" t="str">
        <f>"2018-10-18 17:06:38"</f>
        <v>2018-10-18 17:06:38</v>
      </c>
    </row>
    <row r="848" spans="1:7" x14ac:dyDescent="0.2">
      <c r="A848" t="s">
        <v>1</v>
      </c>
      <c r="B848" t="str">
        <f>"15150195707"</f>
        <v>15150195707</v>
      </c>
      <c r="C848" t="s">
        <v>1</v>
      </c>
      <c r="D848" t="s">
        <v>1</v>
      </c>
      <c r="E848" t="s">
        <v>1</v>
      </c>
      <c r="F848" t="s">
        <v>0</v>
      </c>
      <c r="G848" t="str">
        <f>"2018-10-18 17:05:49"</f>
        <v>2018-10-18 17:05:49</v>
      </c>
    </row>
    <row r="849" spans="1:7" x14ac:dyDescent="0.2">
      <c r="A849" t="s">
        <v>1</v>
      </c>
      <c r="B849" t="str">
        <f>"15175388859"</f>
        <v>15175388859</v>
      </c>
      <c r="C849" t="s">
        <v>1</v>
      </c>
      <c r="D849" t="s">
        <v>1</v>
      </c>
      <c r="E849" t="s">
        <v>1</v>
      </c>
      <c r="F849" t="s">
        <v>0</v>
      </c>
      <c r="G849" t="str">
        <f>"2018-10-18 17:08:15"</f>
        <v>2018-10-18 17:08:15</v>
      </c>
    </row>
    <row r="850" spans="1:7" x14ac:dyDescent="0.2">
      <c r="A850" t="s">
        <v>2536</v>
      </c>
      <c r="B850" t="str">
        <f>"18229688560"</f>
        <v>18229688560</v>
      </c>
      <c r="C850" t="str">
        <f>"43072219910807451X"</f>
        <v>43072219910807451X</v>
      </c>
      <c r="D850" t="s">
        <v>1</v>
      </c>
      <c r="E850" t="s">
        <v>1</v>
      </c>
      <c r="F850" t="s">
        <v>0</v>
      </c>
      <c r="G850" t="str">
        <f>"2018-10-18 17:07:58"</f>
        <v>2018-10-18 17:07:58</v>
      </c>
    </row>
    <row r="851" spans="1:7" x14ac:dyDescent="0.2">
      <c r="A851" t="s">
        <v>2537</v>
      </c>
      <c r="B851" t="str">
        <f>"15011828742"</f>
        <v>15011828742</v>
      </c>
      <c r="C851" t="str">
        <f>"44088219840927811X"</f>
        <v>44088219840927811X</v>
      </c>
      <c r="D851" t="s">
        <v>1</v>
      </c>
      <c r="E851" t="s">
        <v>1</v>
      </c>
      <c r="F851" t="s">
        <v>0</v>
      </c>
      <c r="G851" t="str">
        <f>"2018-10-18 17:06:53"</f>
        <v>2018-10-18 17:06:53</v>
      </c>
    </row>
    <row r="852" spans="1:7" x14ac:dyDescent="0.2">
      <c r="A852" t="s">
        <v>2538</v>
      </c>
      <c r="B852" t="str">
        <f>"15223801306"</f>
        <v>15223801306</v>
      </c>
      <c r="C852" t="str">
        <f>"500102199702272703"</f>
        <v>500102199702272703</v>
      </c>
      <c r="D852" t="s">
        <v>1</v>
      </c>
      <c r="E852" t="s">
        <v>1</v>
      </c>
      <c r="F852" t="s">
        <v>0</v>
      </c>
      <c r="G852" t="str">
        <f>"2018-10-18 17:08:01"</f>
        <v>2018-10-18 17:08:01</v>
      </c>
    </row>
    <row r="853" spans="1:7" x14ac:dyDescent="0.2">
      <c r="A853" t="s">
        <v>1</v>
      </c>
      <c r="B853" t="str">
        <f>"13696964575"</f>
        <v>13696964575</v>
      </c>
      <c r="C853" t="s">
        <v>1</v>
      </c>
      <c r="D853" t="s">
        <v>1</v>
      </c>
      <c r="E853" t="s">
        <v>1</v>
      </c>
      <c r="F853" t="s">
        <v>0</v>
      </c>
      <c r="G853" t="str">
        <f>"2018-10-18 17:05:32"</f>
        <v>2018-10-18 17:05:32</v>
      </c>
    </row>
    <row r="854" spans="1:7" x14ac:dyDescent="0.2">
      <c r="A854" t="s">
        <v>2539</v>
      </c>
      <c r="B854" t="str">
        <f>"18741098671"</f>
        <v>18741098671</v>
      </c>
      <c r="C854" t="str">
        <f>"211202198202011040"</f>
        <v>211202198202011040</v>
      </c>
      <c r="D854" t="s">
        <v>1</v>
      </c>
      <c r="E854" t="s">
        <v>1</v>
      </c>
      <c r="F854" t="s">
        <v>0</v>
      </c>
      <c r="G854" t="str">
        <f>"2018-10-18 17:07:20"</f>
        <v>2018-10-18 17:07:20</v>
      </c>
    </row>
    <row r="855" spans="1:7" x14ac:dyDescent="0.2">
      <c r="A855" t="s">
        <v>2540</v>
      </c>
      <c r="B855" t="str">
        <f>"18805460883"</f>
        <v>18805460883</v>
      </c>
      <c r="C855" t="str">
        <f>"230229199005173216"</f>
        <v>230229199005173216</v>
      </c>
      <c r="D855" t="s">
        <v>1</v>
      </c>
      <c r="E855" t="s">
        <v>1</v>
      </c>
      <c r="F855" t="s">
        <v>0</v>
      </c>
      <c r="G855" t="str">
        <f>"2018-10-18 17:06:07"</f>
        <v>2018-10-18 17:06:07</v>
      </c>
    </row>
    <row r="856" spans="1:7" x14ac:dyDescent="0.2">
      <c r="A856" t="s">
        <v>1</v>
      </c>
      <c r="B856" t="str">
        <f>"17864226218"</f>
        <v>17864226218</v>
      </c>
      <c r="C856" t="s">
        <v>1</v>
      </c>
      <c r="D856" t="s">
        <v>1</v>
      </c>
      <c r="E856" t="s">
        <v>1</v>
      </c>
      <c r="F856" t="s">
        <v>0</v>
      </c>
      <c r="G856" t="str">
        <f>"2018-10-18 17:04:31"</f>
        <v>2018-10-18 17:04:31</v>
      </c>
    </row>
    <row r="857" spans="1:7" x14ac:dyDescent="0.2">
      <c r="A857" t="s">
        <v>2541</v>
      </c>
      <c r="B857" t="str">
        <f>"18593118182"</f>
        <v>18593118182</v>
      </c>
      <c r="C857" t="str">
        <f>"530381199704252919"</f>
        <v>530381199704252919</v>
      </c>
      <c r="D857" t="s">
        <v>1</v>
      </c>
      <c r="E857" t="s">
        <v>1</v>
      </c>
      <c r="F857" t="s">
        <v>0</v>
      </c>
      <c r="G857" t="str">
        <f>"2018-10-18 17:06:25"</f>
        <v>2018-10-18 17:06:25</v>
      </c>
    </row>
    <row r="858" spans="1:7" x14ac:dyDescent="0.2">
      <c r="A858" t="s">
        <v>118</v>
      </c>
      <c r="B858" t="str">
        <f>"18756369495"</f>
        <v>18756369495</v>
      </c>
      <c r="C858" t="str">
        <f>"342523199503040032"</f>
        <v>342523199503040032</v>
      </c>
      <c r="D858" t="s">
        <v>1</v>
      </c>
      <c r="E858" t="s">
        <v>1</v>
      </c>
      <c r="F858" t="s">
        <v>0</v>
      </c>
      <c r="G858" t="str">
        <f>"2018-10-18 17:06:33"</f>
        <v>2018-10-18 17:06:33</v>
      </c>
    </row>
    <row r="859" spans="1:7" x14ac:dyDescent="0.2">
      <c r="A859" t="s">
        <v>621</v>
      </c>
      <c r="B859" t="str">
        <f>"15373868935"</f>
        <v>15373868935</v>
      </c>
      <c r="C859" t="str">
        <f>"130133199505231238"</f>
        <v>130133199505231238</v>
      </c>
      <c r="D859" t="s">
        <v>1</v>
      </c>
      <c r="E859" t="s">
        <v>1</v>
      </c>
      <c r="F859" t="s">
        <v>0</v>
      </c>
      <c r="G859" t="str">
        <f>"2018-10-18 17:05:58"</f>
        <v>2018-10-18 17:05:58</v>
      </c>
    </row>
    <row r="860" spans="1:7" x14ac:dyDescent="0.2">
      <c r="A860" t="s">
        <v>1</v>
      </c>
      <c r="B860" t="str">
        <f>"18280888147"</f>
        <v>18280888147</v>
      </c>
      <c r="C860" t="s">
        <v>1</v>
      </c>
      <c r="D860" t="s">
        <v>1</v>
      </c>
      <c r="E860" t="s">
        <v>1</v>
      </c>
      <c r="F860" t="s">
        <v>0</v>
      </c>
      <c r="G860" t="str">
        <f>"2018-10-18 17:05:59"</f>
        <v>2018-10-18 17:05:59</v>
      </c>
    </row>
    <row r="861" spans="1:7" x14ac:dyDescent="0.2">
      <c r="A861" t="s">
        <v>2542</v>
      </c>
      <c r="B861" t="str">
        <f>"17635817115"</f>
        <v>17635817115</v>
      </c>
      <c r="C861" t="str">
        <f>"142232198603015473"</f>
        <v>142232198603015473</v>
      </c>
      <c r="D861" t="s">
        <v>2543</v>
      </c>
      <c r="E861" t="s">
        <v>2544</v>
      </c>
      <c r="F861" t="s">
        <v>0</v>
      </c>
      <c r="G861" t="str">
        <f>"2018-10-18 17:04:23"</f>
        <v>2018-10-18 17:04:23</v>
      </c>
    </row>
    <row r="862" spans="1:7" x14ac:dyDescent="0.2">
      <c r="A862" t="s">
        <v>1</v>
      </c>
      <c r="B862" t="str">
        <f>"13759559673"</f>
        <v>13759559673</v>
      </c>
      <c r="C862" t="s">
        <v>1</v>
      </c>
      <c r="D862" t="s">
        <v>1</v>
      </c>
      <c r="E862" t="s">
        <v>1</v>
      </c>
      <c r="F862" t="s">
        <v>0</v>
      </c>
      <c r="G862" t="str">
        <f>"2018-10-18 17:03:06"</f>
        <v>2018-10-18 17:03:06</v>
      </c>
    </row>
    <row r="863" spans="1:7" x14ac:dyDescent="0.2">
      <c r="A863" t="s">
        <v>1</v>
      </c>
      <c r="B863" t="str">
        <f>"15761601440"</f>
        <v>15761601440</v>
      </c>
      <c r="C863" t="s">
        <v>1</v>
      </c>
      <c r="D863" t="s">
        <v>1</v>
      </c>
      <c r="E863" t="s">
        <v>1</v>
      </c>
      <c r="F863" t="s">
        <v>0</v>
      </c>
      <c r="G863" t="str">
        <f>"2018-10-18 17:03:02"</f>
        <v>2018-10-18 17:03:02</v>
      </c>
    </row>
    <row r="864" spans="1:7" x14ac:dyDescent="0.2">
      <c r="A864" t="s">
        <v>1</v>
      </c>
      <c r="B864" t="str">
        <f>"18313169314"</f>
        <v>18313169314</v>
      </c>
      <c r="C864" t="s">
        <v>1</v>
      </c>
      <c r="D864" t="s">
        <v>1</v>
      </c>
      <c r="E864" t="s">
        <v>1</v>
      </c>
      <c r="F864" t="s">
        <v>0</v>
      </c>
      <c r="G864" t="str">
        <f>"2018-10-18 17:05:31"</f>
        <v>2018-10-18 17:05:31</v>
      </c>
    </row>
    <row r="865" spans="1:7" x14ac:dyDescent="0.2">
      <c r="A865" t="s">
        <v>2545</v>
      </c>
      <c r="B865" t="str">
        <f>"17644022643"</f>
        <v>17644022643</v>
      </c>
      <c r="C865" t="str">
        <f>"220106199812212013"</f>
        <v>220106199812212013</v>
      </c>
      <c r="D865" t="s">
        <v>1</v>
      </c>
      <c r="E865" t="s">
        <v>1</v>
      </c>
      <c r="F865" t="s">
        <v>0</v>
      </c>
      <c r="G865" t="str">
        <f>"2018-10-18 17:07:47"</f>
        <v>2018-10-18 17:07:47</v>
      </c>
    </row>
    <row r="866" spans="1:7" x14ac:dyDescent="0.2">
      <c r="A866" t="s">
        <v>370</v>
      </c>
      <c r="B866" t="str">
        <f>"18311272682"</f>
        <v>18311272682</v>
      </c>
      <c r="C866" t="str">
        <f>"130823199812267017"</f>
        <v>130823199812267017</v>
      </c>
      <c r="D866" t="s">
        <v>1</v>
      </c>
      <c r="E866" t="s">
        <v>1</v>
      </c>
      <c r="F866" t="s">
        <v>0</v>
      </c>
      <c r="G866" t="str">
        <f>"2018-10-18 17:04:37"</f>
        <v>2018-10-18 17:04:37</v>
      </c>
    </row>
    <row r="867" spans="1:7" x14ac:dyDescent="0.2">
      <c r="A867" t="s">
        <v>2546</v>
      </c>
      <c r="B867" t="str">
        <f>"15125947792"</f>
        <v>15125947792</v>
      </c>
      <c r="C867" t="str">
        <f>"532623198912062140"</f>
        <v>532623198912062140</v>
      </c>
      <c r="D867" t="s">
        <v>1</v>
      </c>
      <c r="E867" t="s">
        <v>1</v>
      </c>
      <c r="F867" t="s">
        <v>0</v>
      </c>
      <c r="G867" t="str">
        <f>"2018-10-18 17:05:21"</f>
        <v>2018-10-18 17:05:21</v>
      </c>
    </row>
    <row r="868" spans="1:7" x14ac:dyDescent="0.2">
      <c r="A868" t="s">
        <v>2547</v>
      </c>
      <c r="B868" t="str">
        <f>"15670337813"</f>
        <v>15670337813</v>
      </c>
      <c r="C868" t="str">
        <f>"410326199211014232"</f>
        <v>410326199211014232</v>
      </c>
      <c r="D868" t="s">
        <v>1</v>
      </c>
      <c r="E868" t="s">
        <v>1</v>
      </c>
      <c r="F868" t="s">
        <v>0</v>
      </c>
      <c r="G868" t="str">
        <f>"2018-10-18 17:05:14"</f>
        <v>2018-10-18 17:05:14</v>
      </c>
    </row>
    <row r="869" spans="1:7" x14ac:dyDescent="0.2">
      <c r="A869" t="s">
        <v>2548</v>
      </c>
      <c r="B869" t="str">
        <f>"17698780320"</f>
        <v>17698780320</v>
      </c>
      <c r="C869" t="str">
        <f>"412801199404201116"</f>
        <v>412801199404201116</v>
      </c>
      <c r="D869" t="s">
        <v>2549</v>
      </c>
      <c r="E869" t="s">
        <v>2550</v>
      </c>
      <c r="F869" t="s">
        <v>0</v>
      </c>
      <c r="G869" t="str">
        <f>"2018-10-18 17:02:59"</f>
        <v>2018-10-18 17:02:59</v>
      </c>
    </row>
    <row r="870" spans="1:7" x14ac:dyDescent="0.2">
      <c r="A870" t="s">
        <v>14</v>
      </c>
      <c r="B870" t="str">
        <f>"13227745618"</f>
        <v>13227745618</v>
      </c>
      <c r="C870" t="str">
        <f>"610122198012050632"</f>
        <v>610122198012050632</v>
      </c>
      <c r="D870" t="s">
        <v>1</v>
      </c>
      <c r="E870" t="s">
        <v>1</v>
      </c>
      <c r="F870" t="s">
        <v>0</v>
      </c>
      <c r="G870" t="str">
        <f>"2018-10-18 17:13:04"</f>
        <v>2018-10-18 17:13:04</v>
      </c>
    </row>
    <row r="871" spans="1:7" x14ac:dyDescent="0.2">
      <c r="A871" t="s">
        <v>1</v>
      </c>
      <c r="B871" t="str">
        <f>"13289709925"</f>
        <v>13289709925</v>
      </c>
      <c r="C871" t="s">
        <v>1</v>
      </c>
      <c r="D871" t="s">
        <v>1</v>
      </c>
      <c r="E871" t="s">
        <v>1</v>
      </c>
      <c r="F871" t="s">
        <v>0</v>
      </c>
      <c r="G871" t="str">
        <f>"2018-10-18 17:04:37"</f>
        <v>2018-10-18 17:04:37</v>
      </c>
    </row>
    <row r="872" spans="1:7" x14ac:dyDescent="0.2">
      <c r="A872" t="s">
        <v>2551</v>
      </c>
      <c r="B872" t="str">
        <f>"17869131883"</f>
        <v>17869131883</v>
      </c>
      <c r="C872" t="str">
        <f>"53262119951113431X"</f>
        <v>53262119951113431X</v>
      </c>
      <c r="D872" t="s">
        <v>1</v>
      </c>
      <c r="E872" t="s">
        <v>1</v>
      </c>
      <c r="F872" t="s">
        <v>0</v>
      </c>
      <c r="G872" t="str">
        <f>"2018-10-18 17:04:04"</f>
        <v>2018-10-18 17:04:04</v>
      </c>
    </row>
    <row r="873" spans="1:7" x14ac:dyDescent="0.2">
      <c r="A873" t="s">
        <v>2552</v>
      </c>
      <c r="B873" t="str">
        <f>"15954705512"</f>
        <v>15954705512</v>
      </c>
      <c r="C873" t="str">
        <f>"210502198512301217"</f>
        <v>210502198512301217</v>
      </c>
      <c r="D873" t="s">
        <v>1</v>
      </c>
      <c r="E873" t="s">
        <v>1</v>
      </c>
      <c r="F873" t="s">
        <v>0</v>
      </c>
      <c r="G873" t="str">
        <f>"2018-10-18 17:03:41"</f>
        <v>2018-10-18 17:03:41</v>
      </c>
    </row>
    <row r="874" spans="1:7" x14ac:dyDescent="0.2">
      <c r="A874" t="s">
        <v>2553</v>
      </c>
      <c r="B874" t="str">
        <f>"13943561515"</f>
        <v>13943561515</v>
      </c>
      <c r="C874" t="str">
        <f>"220519197205010377"</f>
        <v>220519197205010377</v>
      </c>
      <c r="D874" t="s">
        <v>1</v>
      </c>
      <c r="E874" t="s">
        <v>1</v>
      </c>
      <c r="F874" t="s">
        <v>0</v>
      </c>
      <c r="G874" t="str">
        <f>"2018-10-18 17:01:43"</f>
        <v>2018-10-18 17:01:43</v>
      </c>
    </row>
    <row r="875" spans="1:7" x14ac:dyDescent="0.2">
      <c r="A875" t="s">
        <v>2554</v>
      </c>
      <c r="B875" t="str">
        <f>"13918959440"</f>
        <v>13918959440</v>
      </c>
      <c r="C875" t="str">
        <f>"622301198904010540"</f>
        <v>622301198904010540</v>
      </c>
      <c r="D875" t="s">
        <v>1</v>
      </c>
      <c r="E875" t="s">
        <v>1</v>
      </c>
      <c r="F875" t="s">
        <v>0</v>
      </c>
      <c r="G875" t="str">
        <f>"2018-10-18 17:01:36"</f>
        <v>2018-10-18 17:01:36</v>
      </c>
    </row>
    <row r="876" spans="1:7" x14ac:dyDescent="0.2">
      <c r="A876" t="s">
        <v>1</v>
      </c>
      <c r="B876" t="str">
        <f>"15578093824"</f>
        <v>15578093824</v>
      </c>
      <c r="C876" t="s">
        <v>1</v>
      </c>
      <c r="D876" t="s">
        <v>1</v>
      </c>
      <c r="E876" t="s">
        <v>1</v>
      </c>
      <c r="F876" t="s">
        <v>0</v>
      </c>
      <c r="G876" t="str">
        <f>"2018-10-18 17:01:23"</f>
        <v>2018-10-18 17:01:23</v>
      </c>
    </row>
    <row r="877" spans="1:7" x14ac:dyDescent="0.2">
      <c r="A877" t="s">
        <v>2555</v>
      </c>
      <c r="B877" t="str">
        <f>"13847964459"</f>
        <v>13847964459</v>
      </c>
      <c r="C877" t="str">
        <f>"150402199211041717"</f>
        <v>150402199211041717</v>
      </c>
      <c r="D877" t="s">
        <v>1</v>
      </c>
      <c r="E877" t="s">
        <v>1</v>
      </c>
      <c r="F877" t="s">
        <v>0</v>
      </c>
      <c r="G877" t="str">
        <f>"2018-10-23 09:36:33"</f>
        <v>2018-10-23 09:36:33</v>
      </c>
    </row>
    <row r="878" spans="1:7" x14ac:dyDescent="0.2">
      <c r="A878" t="s">
        <v>1</v>
      </c>
      <c r="B878" t="str">
        <f>"17611510150"</f>
        <v>17611510150</v>
      </c>
      <c r="C878" t="s">
        <v>1</v>
      </c>
      <c r="D878" t="s">
        <v>1</v>
      </c>
      <c r="E878" t="s">
        <v>1</v>
      </c>
      <c r="F878" t="s">
        <v>0</v>
      </c>
      <c r="G878" t="str">
        <f>"2018-10-21 15:26:03"</f>
        <v>2018-10-21 15:26:03</v>
      </c>
    </row>
    <row r="879" spans="1:7" x14ac:dyDescent="0.2">
      <c r="A879" t="s">
        <v>1020</v>
      </c>
      <c r="B879" t="str">
        <f>"18506140781"</f>
        <v>18506140781</v>
      </c>
      <c r="C879" t="str">
        <f>"420528199510232219"</f>
        <v>420528199510232219</v>
      </c>
      <c r="D879" t="s">
        <v>1</v>
      </c>
      <c r="E879" t="s">
        <v>1</v>
      </c>
      <c r="F879" t="s">
        <v>0</v>
      </c>
      <c r="G879" t="str">
        <f>"2018-10-18 17:02:06"</f>
        <v>2018-10-18 17:02:06</v>
      </c>
    </row>
    <row r="880" spans="1:7" x14ac:dyDescent="0.2">
      <c r="A880" t="s">
        <v>2556</v>
      </c>
      <c r="B880" t="str">
        <f>"17545105662"</f>
        <v>17545105662</v>
      </c>
      <c r="C880" t="str">
        <f>"230184199811103318"</f>
        <v>230184199811103318</v>
      </c>
      <c r="D880" t="s">
        <v>1</v>
      </c>
      <c r="E880" t="s">
        <v>1</v>
      </c>
      <c r="F880" t="s">
        <v>0</v>
      </c>
      <c r="G880" t="str">
        <f>"2018-10-18 17:04:02"</f>
        <v>2018-10-18 17:04:02</v>
      </c>
    </row>
    <row r="881" spans="1:7" x14ac:dyDescent="0.2">
      <c r="A881" t="s">
        <v>2557</v>
      </c>
      <c r="B881" t="str">
        <f>"17720992121"</f>
        <v>17720992121</v>
      </c>
      <c r="C881" t="str">
        <f>"350781199406126015"</f>
        <v>350781199406126015</v>
      </c>
      <c r="D881" t="s">
        <v>1</v>
      </c>
      <c r="E881" t="s">
        <v>1</v>
      </c>
      <c r="F881" t="s">
        <v>0</v>
      </c>
      <c r="G881" t="str">
        <f>"2018-10-18 18:36:07"</f>
        <v>2018-10-18 18:36:07</v>
      </c>
    </row>
    <row r="882" spans="1:7" x14ac:dyDescent="0.2">
      <c r="A882" t="s">
        <v>2558</v>
      </c>
      <c r="B882" t="str">
        <f>"15200185857"</f>
        <v>15200185857</v>
      </c>
      <c r="C882" t="str">
        <f>"130521199202280039"</f>
        <v>130521199202280039</v>
      </c>
      <c r="D882" t="s">
        <v>1</v>
      </c>
      <c r="E882" t="s">
        <v>1</v>
      </c>
      <c r="F882" t="s">
        <v>0</v>
      </c>
      <c r="G882" t="str">
        <f>"2018-10-18 17:02:13"</f>
        <v>2018-10-18 17:02:13</v>
      </c>
    </row>
    <row r="883" spans="1:7" x14ac:dyDescent="0.2">
      <c r="A883" t="s">
        <v>851</v>
      </c>
      <c r="B883" t="str">
        <f>"13511781279"</f>
        <v>13511781279</v>
      </c>
      <c r="C883" t="str">
        <f>"320825197707202835"</f>
        <v>320825197707202835</v>
      </c>
      <c r="D883" t="s">
        <v>1</v>
      </c>
      <c r="E883" t="s">
        <v>1</v>
      </c>
      <c r="F883" t="s">
        <v>0</v>
      </c>
      <c r="G883" t="str">
        <f>"2018-10-18 17:03:06"</f>
        <v>2018-10-18 17:03:06</v>
      </c>
    </row>
    <row r="884" spans="1:7" x14ac:dyDescent="0.2">
      <c r="A884" t="s">
        <v>1042</v>
      </c>
      <c r="B884" t="str">
        <f>"13993984793"</f>
        <v>13993984793</v>
      </c>
      <c r="C884" t="str">
        <f>"621225198201020018"</f>
        <v>621225198201020018</v>
      </c>
      <c r="D884" t="s">
        <v>1</v>
      </c>
      <c r="E884" t="s">
        <v>1</v>
      </c>
      <c r="F884" t="s">
        <v>0</v>
      </c>
      <c r="G884" t="str">
        <f>"2018-10-18 17:00:54"</f>
        <v>2018-10-18 17:00:54</v>
      </c>
    </row>
    <row r="885" spans="1:7" x14ac:dyDescent="0.2">
      <c r="A885" t="s">
        <v>2559</v>
      </c>
      <c r="B885" t="str">
        <f>"13876697521"</f>
        <v>13876697521</v>
      </c>
      <c r="C885" t="str">
        <f>"445202198601012725"</f>
        <v>445202198601012725</v>
      </c>
      <c r="D885" t="s">
        <v>1</v>
      </c>
      <c r="E885" t="s">
        <v>1</v>
      </c>
      <c r="F885" t="s">
        <v>0</v>
      </c>
      <c r="G885" t="str">
        <f>"2018-10-18 17:05:18"</f>
        <v>2018-10-18 17:05:18</v>
      </c>
    </row>
    <row r="886" spans="1:7" x14ac:dyDescent="0.2">
      <c r="A886" t="s">
        <v>1</v>
      </c>
      <c r="B886" t="str">
        <f>"18689306930"</f>
        <v>18689306930</v>
      </c>
      <c r="C886" t="s">
        <v>1</v>
      </c>
      <c r="D886" t="s">
        <v>1</v>
      </c>
      <c r="E886" t="s">
        <v>1</v>
      </c>
      <c r="F886" t="s">
        <v>0</v>
      </c>
      <c r="G886" t="str">
        <f>"2018-10-18 17:00:47"</f>
        <v>2018-10-18 17:00:47</v>
      </c>
    </row>
    <row r="887" spans="1:7" x14ac:dyDescent="0.2">
      <c r="A887" t="s">
        <v>2560</v>
      </c>
      <c r="B887" t="str">
        <f>"13830010925"</f>
        <v>13830010925</v>
      </c>
      <c r="C887" t="str">
        <f>"620421197106061612"</f>
        <v>620421197106061612</v>
      </c>
      <c r="D887" t="s">
        <v>1</v>
      </c>
      <c r="E887" t="s">
        <v>1</v>
      </c>
      <c r="F887" t="s">
        <v>0</v>
      </c>
      <c r="G887" t="str">
        <f>"2018-10-18 17:02:33"</f>
        <v>2018-10-18 17:02:33</v>
      </c>
    </row>
    <row r="888" spans="1:7" x14ac:dyDescent="0.2">
      <c r="A888" t="s">
        <v>2561</v>
      </c>
      <c r="B888" t="str">
        <f>"17684226854"</f>
        <v>17684226854</v>
      </c>
      <c r="C888" t="str">
        <f>"522401199702052319"</f>
        <v>522401199702052319</v>
      </c>
      <c r="D888" t="s">
        <v>1</v>
      </c>
      <c r="E888" t="s">
        <v>1</v>
      </c>
      <c r="F888" t="s">
        <v>0</v>
      </c>
      <c r="G888" t="str">
        <f>"2018-10-18 17:01:37"</f>
        <v>2018-10-18 17:01:37</v>
      </c>
    </row>
    <row r="889" spans="1:7" x14ac:dyDescent="0.2">
      <c r="A889" t="s">
        <v>2562</v>
      </c>
      <c r="B889" t="str">
        <f>"15137200101"</f>
        <v>15137200101</v>
      </c>
      <c r="C889" t="str">
        <f>"410522198303168141"</f>
        <v>410522198303168141</v>
      </c>
      <c r="D889" t="s">
        <v>2563</v>
      </c>
      <c r="E889" t="s">
        <v>2564</v>
      </c>
      <c r="F889" t="s">
        <v>0</v>
      </c>
      <c r="G889" t="str">
        <f>"2018-10-18 17:01:09"</f>
        <v>2018-10-18 17:01:09</v>
      </c>
    </row>
    <row r="890" spans="1:7" x14ac:dyDescent="0.2">
      <c r="A890" t="s">
        <v>2565</v>
      </c>
      <c r="B890" t="str">
        <f>"18000237047"</f>
        <v>18000237047</v>
      </c>
      <c r="C890" t="str">
        <f>"360428198905152911"</f>
        <v>360428198905152911</v>
      </c>
      <c r="D890" t="s">
        <v>1</v>
      </c>
      <c r="E890" t="s">
        <v>1</v>
      </c>
      <c r="F890" t="s">
        <v>0</v>
      </c>
      <c r="G890" t="str">
        <f>"2018-10-18 17:00:00"</f>
        <v>2018-10-18 17:00:00</v>
      </c>
    </row>
    <row r="891" spans="1:7" x14ac:dyDescent="0.2">
      <c r="A891" t="s">
        <v>1</v>
      </c>
      <c r="B891" t="str">
        <f>"15506739594"</f>
        <v>15506739594</v>
      </c>
      <c r="C891" t="s">
        <v>1</v>
      </c>
      <c r="D891" t="s">
        <v>1</v>
      </c>
      <c r="E891" t="s">
        <v>1</v>
      </c>
      <c r="F891" t="s">
        <v>0</v>
      </c>
      <c r="G891" t="str">
        <f>"2018-10-18 16:59:51"</f>
        <v>2018-10-18 16:59:51</v>
      </c>
    </row>
    <row r="892" spans="1:7" x14ac:dyDescent="0.2">
      <c r="A892" t="s">
        <v>1</v>
      </c>
      <c r="B892" t="str">
        <f>"18280168415"</f>
        <v>18280168415</v>
      </c>
      <c r="C892" t="s">
        <v>1</v>
      </c>
      <c r="D892" t="s">
        <v>1</v>
      </c>
      <c r="E892" t="s">
        <v>1</v>
      </c>
      <c r="F892" t="s">
        <v>0</v>
      </c>
      <c r="G892" t="str">
        <f>"2018-10-18 16:59:49"</f>
        <v>2018-10-18 16:59:49</v>
      </c>
    </row>
    <row r="893" spans="1:7" x14ac:dyDescent="0.2">
      <c r="A893" t="s">
        <v>2566</v>
      </c>
      <c r="B893" t="str">
        <f>"18767814333"</f>
        <v>18767814333</v>
      </c>
      <c r="C893" t="str">
        <f>"332522199506280033"</f>
        <v>332522199506280033</v>
      </c>
      <c r="D893" t="s">
        <v>2567</v>
      </c>
      <c r="E893" t="s">
        <v>2568</v>
      </c>
      <c r="F893" t="s">
        <v>0</v>
      </c>
      <c r="G893" t="str">
        <f>"2018-10-18 17:02:47"</f>
        <v>2018-10-18 17:02:47</v>
      </c>
    </row>
    <row r="894" spans="1:7" x14ac:dyDescent="0.2">
      <c r="A894" t="s">
        <v>2569</v>
      </c>
      <c r="B894" t="str">
        <f>"15167111346"</f>
        <v>15167111346</v>
      </c>
      <c r="C894" t="str">
        <f>"342423198908163276"</f>
        <v>342423198908163276</v>
      </c>
      <c r="D894" t="s">
        <v>1</v>
      </c>
      <c r="E894" t="s">
        <v>1</v>
      </c>
      <c r="F894" t="s">
        <v>0</v>
      </c>
      <c r="G894" t="str">
        <f>"2018-10-18 17:01:08"</f>
        <v>2018-10-18 17:01:08</v>
      </c>
    </row>
    <row r="895" spans="1:7" x14ac:dyDescent="0.2">
      <c r="A895" t="s">
        <v>1</v>
      </c>
      <c r="B895" t="str">
        <f>"13279364541"</f>
        <v>13279364541</v>
      </c>
      <c r="C895" t="s">
        <v>1</v>
      </c>
      <c r="D895" t="s">
        <v>1</v>
      </c>
      <c r="E895" t="s">
        <v>1</v>
      </c>
      <c r="F895" t="s">
        <v>0</v>
      </c>
      <c r="G895" t="str">
        <f>"2018-10-18 16:59:24"</f>
        <v>2018-10-18 16:59:24</v>
      </c>
    </row>
    <row r="896" spans="1:7" x14ac:dyDescent="0.2">
      <c r="A896" t="s">
        <v>1</v>
      </c>
      <c r="B896" t="str">
        <f>"13333798596"</f>
        <v>13333798596</v>
      </c>
      <c r="C896" t="s">
        <v>1</v>
      </c>
      <c r="D896" t="s">
        <v>1</v>
      </c>
      <c r="E896" t="s">
        <v>1</v>
      </c>
      <c r="F896" t="s">
        <v>0</v>
      </c>
      <c r="G896" t="str">
        <f>"2018-10-18 16:59:08"</f>
        <v>2018-10-18 16:59:08</v>
      </c>
    </row>
    <row r="897" spans="1:7" x14ac:dyDescent="0.2">
      <c r="A897" t="s">
        <v>2570</v>
      </c>
      <c r="B897" t="str">
        <f>"13469885999"</f>
        <v>13469885999</v>
      </c>
      <c r="C897" t="str">
        <f>"340321199009301510"</f>
        <v>340321199009301510</v>
      </c>
      <c r="D897" t="s">
        <v>1</v>
      </c>
      <c r="E897" t="s">
        <v>1</v>
      </c>
      <c r="F897" t="s">
        <v>0</v>
      </c>
      <c r="G897" t="str">
        <f>"2018-10-18 17:00:50"</f>
        <v>2018-10-18 17:00:50</v>
      </c>
    </row>
    <row r="898" spans="1:7" x14ac:dyDescent="0.2">
      <c r="A898" t="s">
        <v>2571</v>
      </c>
      <c r="B898" t="str">
        <f>"15715801589"</f>
        <v>15715801589</v>
      </c>
      <c r="C898" t="str">
        <f>"341021198301160313"</f>
        <v>341021198301160313</v>
      </c>
      <c r="D898" t="s">
        <v>1</v>
      </c>
      <c r="E898" t="s">
        <v>1</v>
      </c>
      <c r="F898" t="s">
        <v>0</v>
      </c>
      <c r="G898" t="str">
        <f>"2018-10-18 17:01:13"</f>
        <v>2018-10-18 17:01:13</v>
      </c>
    </row>
    <row r="899" spans="1:7" x14ac:dyDescent="0.2">
      <c r="A899" t="s">
        <v>2572</v>
      </c>
      <c r="B899" t="str">
        <f>"13845057184"</f>
        <v>13845057184</v>
      </c>
      <c r="C899" t="str">
        <f>"230105197108082338"</f>
        <v>230105197108082338</v>
      </c>
      <c r="D899" t="s">
        <v>1</v>
      </c>
      <c r="E899" t="s">
        <v>1</v>
      </c>
      <c r="F899" t="s">
        <v>0</v>
      </c>
      <c r="G899" t="str">
        <f>"2018-10-18 17:00:47"</f>
        <v>2018-10-18 17:00:47</v>
      </c>
    </row>
    <row r="900" spans="1:7" x14ac:dyDescent="0.2">
      <c r="A900" t="s">
        <v>1</v>
      </c>
      <c r="B900" t="str">
        <f>"13770990924"</f>
        <v>13770990924</v>
      </c>
      <c r="C900" t="s">
        <v>1</v>
      </c>
      <c r="D900" t="s">
        <v>1</v>
      </c>
      <c r="E900" t="s">
        <v>1</v>
      </c>
      <c r="F900" t="s">
        <v>0</v>
      </c>
      <c r="G900" t="str">
        <f>"2018-10-18 17:00:47"</f>
        <v>2018-10-18 17:00:47</v>
      </c>
    </row>
    <row r="901" spans="1:7" x14ac:dyDescent="0.2">
      <c r="A901" t="s">
        <v>2573</v>
      </c>
      <c r="B901" t="str">
        <f>"13664308927"</f>
        <v>13664308927</v>
      </c>
      <c r="C901" t="str">
        <f>"220322198911177838"</f>
        <v>220322198911177838</v>
      </c>
      <c r="D901" t="s">
        <v>1</v>
      </c>
      <c r="E901" t="s">
        <v>1</v>
      </c>
      <c r="F901" t="s">
        <v>0</v>
      </c>
      <c r="G901" t="str">
        <f>"2018-10-18 17:10:00"</f>
        <v>2018-10-18 17:10:00</v>
      </c>
    </row>
    <row r="902" spans="1:7" x14ac:dyDescent="0.2">
      <c r="A902" t="s">
        <v>2574</v>
      </c>
      <c r="B902" t="str">
        <f>"13823346876"</f>
        <v>13823346876</v>
      </c>
      <c r="C902" t="str">
        <f>"441721197211112091"</f>
        <v>441721197211112091</v>
      </c>
      <c r="D902" t="s">
        <v>1</v>
      </c>
      <c r="E902" t="s">
        <v>1</v>
      </c>
      <c r="F902" t="s">
        <v>0</v>
      </c>
      <c r="G902" t="str">
        <f>"2018-10-18 16:57:50"</f>
        <v>2018-10-18 16:57:50</v>
      </c>
    </row>
    <row r="903" spans="1:7" x14ac:dyDescent="0.2">
      <c r="A903" t="s">
        <v>1</v>
      </c>
      <c r="B903" t="str">
        <f>"13186734082"</f>
        <v>13186734082</v>
      </c>
      <c r="C903" t="s">
        <v>1</v>
      </c>
      <c r="D903" t="s">
        <v>1</v>
      </c>
      <c r="E903" t="s">
        <v>1</v>
      </c>
      <c r="F903" t="s">
        <v>0</v>
      </c>
      <c r="G903" t="str">
        <f>"2018-10-18 16:57:50"</f>
        <v>2018-10-18 16:57:50</v>
      </c>
    </row>
    <row r="904" spans="1:7" x14ac:dyDescent="0.2">
      <c r="A904" t="s">
        <v>1</v>
      </c>
      <c r="B904" t="str">
        <f>"18195127002"</f>
        <v>18195127002</v>
      </c>
      <c r="C904" t="s">
        <v>1</v>
      </c>
      <c r="D904" t="s">
        <v>1</v>
      </c>
      <c r="E904" t="s">
        <v>1</v>
      </c>
      <c r="F904" t="s">
        <v>0</v>
      </c>
      <c r="G904" t="str">
        <f>"2018-10-18 16:57:44"</f>
        <v>2018-10-18 16:57:44</v>
      </c>
    </row>
    <row r="905" spans="1:7" x14ac:dyDescent="0.2">
      <c r="A905" t="s">
        <v>2575</v>
      </c>
      <c r="B905" t="str">
        <f>"13514284412"</f>
        <v>13514284412</v>
      </c>
      <c r="C905" t="str">
        <f>"210181198612094917"</f>
        <v>210181198612094917</v>
      </c>
      <c r="D905" t="s">
        <v>1</v>
      </c>
      <c r="E905" t="s">
        <v>1</v>
      </c>
      <c r="F905" t="s">
        <v>0</v>
      </c>
      <c r="G905" t="str">
        <f>"2018-10-18 17:25:18"</f>
        <v>2018-10-18 17:25:18</v>
      </c>
    </row>
    <row r="906" spans="1:7" x14ac:dyDescent="0.2">
      <c r="A906" t="s">
        <v>1</v>
      </c>
      <c r="B906" t="str">
        <f>"18616383964"</f>
        <v>18616383964</v>
      </c>
      <c r="C906" t="s">
        <v>1</v>
      </c>
      <c r="D906" t="s">
        <v>1</v>
      </c>
      <c r="E906" t="s">
        <v>1</v>
      </c>
      <c r="F906" t="s">
        <v>0</v>
      </c>
      <c r="G906" t="str">
        <f>"2018-10-18 16:57:19"</f>
        <v>2018-10-18 16:57:19</v>
      </c>
    </row>
    <row r="907" spans="1:7" x14ac:dyDescent="0.2">
      <c r="A907" t="s">
        <v>218</v>
      </c>
      <c r="B907" t="str">
        <f>"15122436858"</f>
        <v>15122436858</v>
      </c>
      <c r="C907" t="str">
        <f>"130228197910234630"</f>
        <v>130228197910234630</v>
      </c>
      <c r="D907" t="s">
        <v>1</v>
      </c>
      <c r="E907" t="s">
        <v>1</v>
      </c>
      <c r="F907" t="s">
        <v>0</v>
      </c>
      <c r="G907" t="str">
        <f>"2018-10-18 17:00:38"</f>
        <v>2018-10-18 17:00:38</v>
      </c>
    </row>
    <row r="908" spans="1:7" x14ac:dyDescent="0.2">
      <c r="A908" t="s">
        <v>1596</v>
      </c>
      <c r="B908" t="str">
        <f>"13686872957"</f>
        <v>13686872957</v>
      </c>
      <c r="C908" t="str">
        <f>"450721198711102258"</f>
        <v>450721198711102258</v>
      </c>
      <c r="D908" t="s">
        <v>1</v>
      </c>
      <c r="E908" t="s">
        <v>1</v>
      </c>
      <c r="F908" t="s">
        <v>0</v>
      </c>
      <c r="G908" t="str">
        <f>"2018-10-18 16:59:08"</f>
        <v>2018-10-18 16:59:08</v>
      </c>
    </row>
    <row r="909" spans="1:7" x14ac:dyDescent="0.2">
      <c r="A909" t="s">
        <v>2576</v>
      </c>
      <c r="B909" t="str">
        <f>"13066000624"</f>
        <v>13066000624</v>
      </c>
      <c r="C909" t="str">
        <f>"230230199410152318"</f>
        <v>230230199410152318</v>
      </c>
      <c r="D909" t="s">
        <v>1</v>
      </c>
      <c r="E909" t="s">
        <v>1</v>
      </c>
      <c r="F909" t="s">
        <v>0</v>
      </c>
      <c r="G909" t="str">
        <f>"2018-10-23 13:24:19"</f>
        <v>2018-10-23 13:24:19</v>
      </c>
    </row>
    <row r="910" spans="1:7" x14ac:dyDescent="0.2">
      <c r="A910" t="s">
        <v>2577</v>
      </c>
      <c r="B910" t="str">
        <f>"18716267922"</f>
        <v>18716267922</v>
      </c>
      <c r="C910" t="str">
        <f>"512323198208047414"</f>
        <v>512323198208047414</v>
      </c>
      <c r="D910" t="s">
        <v>2578</v>
      </c>
      <c r="E910" t="s">
        <v>2579</v>
      </c>
      <c r="F910" t="s">
        <v>0</v>
      </c>
      <c r="G910" t="str">
        <f>"2018-10-18 17:02:43"</f>
        <v>2018-10-18 17:02:43</v>
      </c>
    </row>
    <row r="911" spans="1:7" x14ac:dyDescent="0.2">
      <c r="A911" t="s">
        <v>2580</v>
      </c>
      <c r="B911" t="str">
        <f>"18022176609"</f>
        <v>18022176609</v>
      </c>
      <c r="C911" t="str">
        <f>"442000199607058845"</f>
        <v>442000199607058845</v>
      </c>
      <c r="D911" t="s">
        <v>1</v>
      </c>
      <c r="E911" t="s">
        <v>1</v>
      </c>
      <c r="F911" t="s">
        <v>0</v>
      </c>
      <c r="G911" t="str">
        <f>"2018-10-18 17:00:48"</f>
        <v>2018-10-18 17:00:48</v>
      </c>
    </row>
    <row r="912" spans="1:7" x14ac:dyDescent="0.2">
      <c r="A912" t="s">
        <v>2581</v>
      </c>
      <c r="B912" t="str">
        <f>"13936887815"</f>
        <v>13936887815</v>
      </c>
      <c r="C912" t="str">
        <f>"230604197805021013"</f>
        <v>230604197805021013</v>
      </c>
      <c r="D912" t="s">
        <v>1</v>
      </c>
      <c r="E912" t="s">
        <v>1</v>
      </c>
      <c r="F912" t="s">
        <v>0</v>
      </c>
      <c r="G912" t="str">
        <f>"2018-10-18 16:57:46"</f>
        <v>2018-10-18 16:57:46</v>
      </c>
    </row>
    <row r="913" spans="1:7" x14ac:dyDescent="0.2">
      <c r="A913" t="s">
        <v>2582</v>
      </c>
      <c r="B913" t="str">
        <f>"13929334393"</f>
        <v>13929334393</v>
      </c>
      <c r="C913" t="str">
        <f>"441522199001234976"</f>
        <v>441522199001234976</v>
      </c>
      <c r="D913" t="s">
        <v>1</v>
      </c>
      <c r="E913" t="s">
        <v>1</v>
      </c>
      <c r="F913" t="s">
        <v>0</v>
      </c>
      <c r="G913" t="str">
        <f>"2018-10-18 17:04:29"</f>
        <v>2018-10-18 17:04:29</v>
      </c>
    </row>
    <row r="914" spans="1:7" x14ac:dyDescent="0.2">
      <c r="A914" t="s">
        <v>1</v>
      </c>
      <c r="B914" t="str">
        <f>"18650977131"</f>
        <v>18650977131</v>
      </c>
      <c r="C914" t="s">
        <v>1</v>
      </c>
      <c r="D914" t="s">
        <v>1</v>
      </c>
      <c r="E914" t="s">
        <v>1</v>
      </c>
      <c r="F914" t="s">
        <v>0</v>
      </c>
      <c r="G914" t="str">
        <f>"2018-10-18 16:56:05"</f>
        <v>2018-10-18 16:56:05</v>
      </c>
    </row>
    <row r="915" spans="1:7" x14ac:dyDescent="0.2">
      <c r="A915" t="s">
        <v>1</v>
      </c>
      <c r="B915" t="str">
        <f>"13936261836"</f>
        <v>13936261836</v>
      </c>
      <c r="C915" t="s">
        <v>1</v>
      </c>
      <c r="D915" t="s">
        <v>1</v>
      </c>
      <c r="E915" t="s">
        <v>1</v>
      </c>
      <c r="F915" t="s">
        <v>0</v>
      </c>
      <c r="G915" t="str">
        <f>"2018-10-18 16:55:36"</f>
        <v>2018-10-18 16:55:36</v>
      </c>
    </row>
    <row r="916" spans="1:7" x14ac:dyDescent="0.2">
      <c r="A916" t="s">
        <v>2583</v>
      </c>
      <c r="B916" t="str">
        <f>"17612422468"</f>
        <v>17612422468</v>
      </c>
      <c r="C916" t="str">
        <f>"210521199303103795"</f>
        <v>210521199303103795</v>
      </c>
      <c r="D916" t="s">
        <v>2584</v>
      </c>
      <c r="E916" t="s">
        <v>2585</v>
      </c>
      <c r="F916" t="s">
        <v>0</v>
      </c>
      <c r="G916" t="str">
        <f>"2018-10-18 16:57:42"</f>
        <v>2018-10-18 16:57:42</v>
      </c>
    </row>
    <row r="917" spans="1:7" x14ac:dyDescent="0.2">
      <c r="A917" t="s">
        <v>2586</v>
      </c>
      <c r="B917" t="str">
        <f>"18659038608"</f>
        <v>18659038608</v>
      </c>
      <c r="C917" t="str">
        <f>"350582199309303011"</f>
        <v>350582199309303011</v>
      </c>
      <c r="D917" t="s">
        <v>2587</v>
      </c>
      <c r="E917" t="s">
        <v>2588</v>
      </c>
      <c r="F917" t="s">
        <v>0</v>
      </c>
      <c r="G917" t="str">
        <f>"2018-10-20 23:49:11"</f>
        <v>2018-10-20 23:49:11</v>
      </c>
    </row>
    <row r="918" spans="1:7" x14ac:dyDescent="0.2">
      <c r="A918" t="s">
        <v>1739</v>
      </c>
      <c r="B918" t="str">
        <f>"18652975598"</f>
        <v>18652975598</v>
      </c>
      <c r="C918" t="str">
        <f>"320107197011100012"</f>
        <v>320107197011100012</v>
      </c>
      <c r="D918" t="s">
        <v>1</v>
      </c>
      <c r="E918" t="s">
        <v>1</v>
      </c>
      <c r="F918" t="s">
        <v>0</v>
      </c>
      <c r="G918" t="str">
        <f>"2018-10-18 16:59:20"</f>
        <v>2018-10-18 16:59:20</v>
      </c>
    </row>
    <row r="919" spans="1:7" x14ac:dyDescent="0.2">
      <c r="A919" t="s">
        <v>1</v>
      </c>
      <c r="B919" t="str">
        <f>"17621711883"</f>
        <v>17621711883</v>
      </c>
      <c r="C919" t="s">
        <v>1</v>
      </c>
      <c r="D919" t="s">
        <v>1</v>
      </c>
      <c r="E919" t="s">
        <v>1</v>
      </c>
      <c r="F919" t="s">
        <v>0</v>
      </c>
      <c r="G919" t="str">
        <f>"2018-10-18 16:54:45"</f>
        <v>2018-10-18 16:54:45</v>
      </c>
    </row>
    <row r="920" spans="1:7" x14ac:dyDescent="0.2">
      <c r="A920" t="s">
        <v>2589</v>
      </c>
      <c r="B920" t="str">
        <f>"15379072200"</f>
        <v>15379072200</v>
      </c>
      <c r="C920" t="str">
        <f>"62011119710807053X"</f>
        <v>62011119710807053X</v>
      </c>
      <c r="D920" t="s">
        <v>2590</v>
      </c>
      <c r="E920" t="s">
        <v>2591</v>
      </c>
      <c r="F920" t="s">
        <v>0</v>
      </c>
      <c r="G920" t="str">
        <f>"2018-10-18 17:00:52"</f>
        <v>2018-10-18 17:00:52</v>
      </c>
    </row>
    <row r="921" spans="1:7" x14ac:dyDescent="0.2">
      <c r="A921" t="s">
        <v>2592</v>
      </c>
      <c r="B921" t="str">
        <f>"18396407870"</f>
        <v>18396407870</v>
      </c>
      <c r="C921" t="str">
        <f>"352202199008191515"</f>
        <v>352202199008191515</v>
      </c>
      <c r="D921" t="s">
        <v>1</v>
      </c>
      <c r="E921" t="s">
        <v>1</v>
      </c>
      <c r="F921" t="s">
        <v>0</v>
      </c>
      <c r="G921" t="str">
        <f>"2018-10-18 16:55:46"</f>
        <v>2018-10-18 16:55:46</v>
      </c>
    </row>
    <row r="922" spans="1:7" x14ac:dyDescent="0.2">
      <c r="A922" t="s">
        <v>2593</v>
      </c>
      <c r="B922" t="str">
        <f>"15550393332"</f>
        <v>15550393332</v>
      </c>
      <c r="C922" t="str">
        <f>"371203198311133515"</f>
        <v>371203198311133515</v>
      </c>
      <c r="D922" t="s">
        <v>1</v>
      </c>
      <c r="E922" t="s">
        <v>1</v>
      </c>
      <c r="F922" t="s">
        <v>0</v>
      </c>
      <c r="G922" t="str">
        <f>"2018-10-18 17:05:06"</f>
        <v>2018-10-18 17:05:06</v>
      </c>
    </row>
    <row r="923" spans="1:7" x14ac:dyDescent="0.2">
      <c r="A923" t="s">
        <v>1</v>
      </c>
      <c r="B923" t="str">
        <f>"17538131855"</f>
        <v>17538131855</v>
      </c>
      <c r="C923" t="s">
        <v>1</v>
      </c>
      <c r="D923" t="s">
        <v>1</v>
      </c>
      <c r="E923" t="s">
        <v>1</v>
      </c>
      <c r="F923" t="s">
        <v>0</v>
      </c>
      <c r="G923" t="str">
        <f>"2018-10-18 16:54:10"</f>
        <v>2018-10-18 16:54:10</v>
      </c>
    </row>
    <row r="924" spans="1:7" x14ac:dyDescent="0.2">
      <c r="A924" t="s">
        <v>2594</v>
      </c>
      <c r="B924" t="str">
        <f>"13771353390"</f>
        <v>13771353390</v>
      </c>
      <c r="C924" t="str">
        <f>"320282199408118434"</f>
        <v>320282199408118434</v>
      </c>
      <c r="D924" t="s">
        <v>1</v>
      </c>
      <c r="E924" t="s">
        <v>1</v>
      </c>
      <c r="F924" t="s">
        <v>0</v>
      </c>
      <c r="G924" t="str">
        <f>"2018-10-18 16:56:36"</f>
        <v>2018-10-18 16:56:36</v>
      </c>
    </row>
    <row r="925" spans="1:7" x14ac:dyDescent="0.2">
      <c r="A925" t="s">
        <v>1</v>
      </c>
      <c r="B925" t="str">
        <f>"15958951050"</f>
        <v>15958951050</v>
      </c>
      <c r="C925" t="s">
        <v>1</v>
      </c>
      <c r="D925" t="s">
        <v>1</v>
      </c>
      <c r="E925" t="s">
        <v>1</v>
      </c>
      <c r="F925" t="s">
        <v>0</v>
      </c>
      <c r="G925" t="str">
        <f>"2018-10-18 16:53:30"</f>
        <v>2018-10-18 16:53:30</v>
      </c>
    </row>
    <row r="926" spans="1:7" x14ac:dyDescent="0.2">
      <c r="A926" t="s">
        <v>2595</v>
      </c>
      <c r="B926" t="str">
        <f>"15658295386"</f>
        <v>15658295386</v>
      </c>
      <c r="C926" t="str">
        <f>"532101198305103064"</f>
        <v>532101198305103064</v>
      </c>
      <c r="D926" t="s">
        <v>1</v>
      </c>
      <c r="E926" t="s">
        <v>1</v>
      </c>
      <c r="F926" t="s">
        <v>0</v>
      </c>
      <c r="G926" t="str">
        <f>"2018-10-18 16:55:57"</f>
        <v>2018-10-18 16:55:57</v>
      </c>
    </row>
    <row r="927" spans="1:7" x14ac:dyDescent="0.2">
      <c r="A927" t="s">
        <v>1</v>
      </c>
      <c r="B927" t="str">
        <f>"13676273845"</f>
        <v>13676273845</v>
      </c>
      <c r="C927" t="s">
        <v>1</v>
      </c>
      <c r="D927" t="s">
        <v>1</v>
      </c>
      <c r="E927" t="s">
        <v>1</v>
      </c>
      <c r="F927" t="s">
        <v>0</v>
      </c>
      <c r="G927" t="str">
        <f>"2018-10-18 16:53:10"</f>
        <v>2018-10-18 16:53:10</v>
      </c>
    </row>
    <row r="928" spans="1:7" x14ac:dyDescent="0.2">
      <c r="A928" t="s">
        <v>2596</v>
      </c>
      <c r="B928" t="str">
        <f>"13554085004"</f>
        <v>13554085004</v>
      </c>
      <c r="C928" t="str">
        <f>"42010419851217203X"</f>
        <v>42010419851217203X</v>
      </c>
      <c r="D928" t="s">
        <v>1</v>
      </c>
      <c r="E928" t="s">
        <v>1</v>
      </c>
      <c r="F928" t="s">
        <v>0</v>
      </c>
      <c r="G928" t="str">
        <f>"2018-10-18 17:19:26"</f>
        <v>2018-10-18 17:19:26</v>
      </c>
    </row>
    <row r="929" spans="1:7" x14ac:dyDescent="0.2">
      <c r="A929" t="s">
        <v>2597</v>
      </c>
      <c r="B929" t="str">
        <f>"15691975938"</f>
        <v>15691975938</v>
      </c>
      <c r="C929" t="str">
        <f>"610523199006098878"</f>
        <v>610523199006098878</v>
      </c>
      <c r="D929" t="s">
        <v>1</v>
      </c>
      <c r="E929" t="s">
        <v>1</v>
      </c>
      <c r="F929" t="s">
        <v>0</v>
      </c>
      <c r="G929" t="str">
        <f>"2018-10-18 16:54:35"</f>
        <v>2018-10-18 16:54:35</v>
      </c>
    </row>
    <row r="930" spans="1:7" x14ac:dyDescent="0.2">
      <c r="A930" t="s">
        <v>2598</v>
      </c>
      <c r="B930" t="str">
        <f>"15244449144"</f>
        <v>15244449144</v>
      </c>
      <c r="C930" t="str">
        <f>"370724198808202094"</f>
        <v>370724198808202094</v>
      </c>
      <c r="D930" t="s">
        <v>1</v>
      </c>
      <c r="E930" t="s">
        <v>1</v>
      </c>
      <c r="F930" t="s">
        <v>0</v>
      </c>
      <c r="G930" t="str">
        <f>"2018-10-18 16:54:05"</f>
        <v>2018-10-18 16:54:05</v>
      </c>
    </row>
    <row r="931" spans="1:7" x14ac:dyDescent="0.2">
      <c r="A931" t="s">
        <v>2599</v>
      </c>
      <c r="B931" t="str">
        <f>"15068027157"</f>
        <v>15068027157</v>
      </c>
      <c r="C931" t="str">
        <f>"33072319911106215X"</f>
        <v>33072319911106215X</v>
      </c>
      <c r="D931" t="s">
        <v>1</v>
      </c>
      <c r="E931" t="s">
        <v>1</v>
      </c>
      <c r="F931" t="s">
        <v>0</v>
      </c>
      <c r="G931" t="str">
        <f>"2018-10-23 18:49:34"</f>
        <v>2018-10-23 18:49:34</v>
      </c>
    </row>
    <row r="932" spans="1:7" x14ac:dyDescent="0.2">
      <c r="A932" t="s">
        <v>2600</v>
      </c>
      <c r="B932" t="str">
        <f>"15241985261"</f>
        <v>15241985261</v>
      </c>
      <c r="C932" t="str">
        <f>"210319197211262527"</f>
        <v>210319197211262527</v>
      </c>
      <c r="D932" t="s">
        <v>1</v>
      </c>
      <c r="E932" t="s">
        <v>1</v>
      </c>
      <c r="F932" t="s">
        <v>0</v>
      </c>
      <c r="G932" t="str">
        <f>"2018-10-18 16:54:37"</f>
        <v>2018-10-18 16:54:37</v>
      </c>
    </row>
    <row r="933" spans="1:7" x14ac:dyDescent="0.2">
      <c r="A933" t="s">
        <v>1723</v>
      </c>
      <c r="B933" t="str">
        <f>"17614204049"</f>
        <v>17614204049</v>
      </c>
      <c r="C933" t="str">
        <f>"210381199411064936"</f>
        <v>210381199411064936</v>
      </c>
      <c r="D933" t="s">
        <v>2601</v>
      </c>
      <c r="E933" t="s">
        <v>2602</v>
      </c>
      <c r="F933" t="s">
        <v>0</v>
      </c>
      <c r="G933" t="str">
        <f>"2018-10-18 16:53:22"</f>
        <v>2018-10-18 16:53:22</v>
      </c>
    </row>
    <row r="934" spans="1:7" x14ac:dyDescent="0.2">
      <c r="A934" t="s">
        <v>2603</v>
      </c>
      <c r="B934" t="str">
        <f>"13907601769"</f>
        <v>13907601769</v>
      </c>
      <c r="C934" t="str">
        <f>"460200198903282719"</f>
        <v>460200198903282719</v>
      </c>
      <c r="D934" t="s">
        <v>2604</v>
      </c>
      <c r="E934" t="s">
        <v>2605</v>
      </c>
      <c r="F934" t="s">
        <v>0</v>
      </c>
      <c r="G934" t="str">
        <f>"2018-10-18 16:53:23"</f>
        <v>2018-10-18 16:53:23</v>
      </c>
    </row>
    <row r="935" spans="1:7" x14ac:dyDescent="0.2">
      <c r="A935" t="s">
        <v>860</v>
      </c>
      <c r="B935" t="str">
        <f>"15107282111"</f>
        <v>15107282111</v>
      </c>
      <c r="C935" t="str">
        <f>"421083198502062110"</f>
        <v>421083198502062110</v>
      </c>
      <c r="D935" t="s">
        <v>1</v>
      </c>
      <c r="E935" t="s">
        <v>1</v>
      </c>
      <c r="F935" t="s">
        <v>0</v>
      </c>
      <c r="G935" t="str">
        <f>"2018-10-18 17:04:49"</f>
        <v>2018-10-18 17:04:49</v>
      </c>
    </row>
    <row r="936" spans="1:7" x14ac:dyDescent="0.2">
      <c r="A936" t="s">
        <v>2606</v>
      </c>
      <c r="B936" t="str">
        <f>"18593839124"</f>
        <v>18593839124</v>
      </c>
      <c r="C936" t="str">
        <f>"522530199212101736"</f>
        <v>522530199212101736</v>
      </c>
      <c r="D936" t="s">
        <v>1</v>
      </c>
      <c r="E936" t="s">
        <v>1</v>
      </c>
      <c r="F936" t="s">
        <v>0</v>
      </c>
      <c r="G936" t="str">
        <f>"2018-10-18 16:51:54"</f>
        <v>2018-10-18 16:51:54</v>
      </c>
    </row>
    <row r="937" spans="1:7" x14ac:dyDescent="0.2">
      <c r="A937" t="s">
        <v>1</v>
      </c>
      <c r="B937" t="str">
        <f>"13177777120"</f>
        <v>13177777120</v>
      </c>
      <c r="C937" t="s">
        <v>1</v>
      </c>
      <c r="D937" t="s">
        <v>1</v>
      </c>
      <c r="E937" t="s">
        <v>1</v>
      </c>
      <c r="F937" t="s">
        <v>0</v>
      </c>
      <c r="G937" t="str">
        <f>"2018-10-18 16:51:42"</f>
        <v>2018-10-18 16:51:42</v>
      </c>
    </row>
    <row r="938" spans="1:7" x14ac:dyDescent="0.2">
      <c r="A938" t="s">
        <v>2607</v>
      </c>
      <c r="B938" t="str">
        <f>"15166824127"</f>
        <v>15166824127</v>
      </c>
      <c r="C938" t="str">
        <f>"370686199212174123"</f>
        <v>370686199212174123</v>
      </c>
      <c r="D938" t="s">
        <v>1</v>
      </c>
      <c r="E938" t="s">
        <v>1</v>
      </c>
      <c r="F938" t="s">
        <v>0</v>
      </c>
      <c r="G938" t="str">
        <f>"2018-10-18 18:25:11"</f>
        <v>2018-10-18 18:25:11</v>
      </c>
    </row>
    <row r="939" spans="1:7" x14ac:dyDescent="0.2">
      <c r="A939" t="s">
        <v>2608</v>
      </c>
      <c r="B939" t="str">
        <f>"13817963761"</f>
        <v>13817963761</v>
      </c>
      <c r="C939" t="str">
        <f>"320124198511130825"</f>
        <v>320124198511130825</v>
      </c>
      <c r="D939" t="s">
        <v>1</v>
      </c>
      <c r="E939" t="s">
        <v>1</v>
      </c>
      <c r="F939" t="s">
        <v>0</v>
      </c>
      <c r="G939" t="str">
        <f>"2018-10-18 19:30:52"</f>
        <v>2018-10-18 19:30:52</v>
      </c>
    </row>
    <row r="940" spans="1:7" x14ac:dyDescent="0.2">
      <c r="A940" t="s">
        <v>1</v>
      </c>
      <c r="B940" t="str">
        <f>"18715693315"</f>
        <v>18715693315</v>
      </c>
      <c r="C940" t="s">
        <v>1</v>
      </c>
      <c r="D940" t="s">
        <v>1</v>
      </c>
      <c r="E940" t="s">
        <v>1</v>
      </c>
      <c r="F940" t="s">
        <v>0</v>
      </c>
      <c r="G940" t="str">
        <f>"2018-10-18 16:53:00"</f>
        <v>2018-10-18 16:53:00</v>
      </c>
    </row>
    <row r="941" spans="1:7" x14ac:dyDescent="0.2">
      <c r="A941" t="s">
        <v>1691</v>
      </c>
      <c r="B941" t="str">
        <f>"18822637837"</f>
        <v>18822637837</v>
      </c>
      <c r="C941" t="str">
        <f>"140224199205106233"</f>
        <v>140224199205106233</v>
      </c>
      <c r="D941" t="s">
        <v>1</v>
      </c>
      <c r="E941" t="s">
        <v>1</v>
      </c>
      <c r="F941" t="s">
        <v>0</v>
      </c>
      <c r="G941" t="str">
        <f>"2018-10-18 16:52:39"</f>
        <v>2018-10-18 16:52:39</v>
      </c>
    </row>
    <row r="942" spans="1:7" x14ac:dyDescent="0.2">
      <c r="A942" t="s">
        <v>2609</v>
      </c>
      <c r="B942" t="str">
        <f>"13569434220"</f>
        <v>13569434220</v>
      </c>
      <c r="C942" t="str">
        <f>"410782198307275427"</f>
        <v>410782198307275427</v>
      </c>
      <c r="D942" t="s">
        <v>1</v>
      </c>
      <c r="E942" t="s">
        <v>1</v>
      </c>
      <c r="F942" t="s">
        <v>0</v>
      </c>
      <c r="G942" t="str">
        <f>"2018-10-18 16:52:30"</f>
        <v>2018-10-18 16:52:30</v>
      </c>
    </row>
    <row r="943" spans="1:7" x14ac:dyDescent="0.2">
      <c r="A943" t="s">
        <v>1</v>
      </c>
      <c r="B943" t="str">
        <f>"15602148982"</f>
        <v>15602148982</v>
      </c>
      <c r="C943" t="s">
        <v>1</v>
      </c>
      <c r="D943" t="s">
        <v>1</v>
      </c>
      <c r="E943" t="s">
        <v>1</v>
      </c>
      <c r="F943" t="s">
        <v>0</v>
      </c>
      <c r="G943" t="str">
        <f>"2018-10-30 09:47:54"</f>
        <v>2018-10-30 09:47:54</v>
      </c>
    </row>
    <row r="944" spans="1:7" x14ac:dyDescent="0.2">
      <c r="A944" t="s">
        <v>1</v>
      </c>
      <c r="B944" t="str">
        <f>"18547767809"</f>
        <v>18547767809</v>
      </c>
      <c r="C944" t="s">
        <v>1</v>
      </c>
      <c r="D944" t="s">
        <v>1</v>
      </c>
      <c r="E944" t="s">
        <v>1</v>
      </c>
      <c r="F944" t="s">
        <v>0</v>
      </c>
      <c r="G944" t="str">
        <f>"2018-10-18 16:50:33"</f>
        <v>2018-10-18 16:50:33</v>
      </c>
    </row>
    <row r="945" spans="1:7" x14ac:dyDescent="0.2">
      <c r="A945" t="s">
        <v>221</v>
      </c>
      <c r="B945" t="str">
        <f>"18642926318"</f>
        <v>18642926318</v>
      </c>
      <c r="C945" t="str">
        <f>"211421199303261027"</f>
        <v>211421199303261027</v>
      </c>
      <c r="D945" t="s">
        <v>1</v>
      </c>
      <c r="E945" t="s">
        <v>1</v>
      </c>
      <c r="F945" t="s">
        <v>0</v>
      </c>
      <c r="G945" t="str">
        <f>"2018-10-18 16:51:56"</f>
        <v>2018-10-18 16:51:56</v>
      </c>
    </row>
    <row r="946" spans="1:7" x14ac:dyDescent="0.2">
      <c r="A946" t="s">
        <v>570</v>
      </c>
      <c r="B946" t="str">
        <f>"15809358353"</f>
        <v>15809358353</v>
      </c>
      <c r="C946" t="str">
        <f>"622722197801033319"</f>
        <v>622722197801033319</v>
      </c>
      <c r="D946" t="s">
        <v>1</v>
      </c>
      <c r="E946" t="s">
        <v>1</v>
      </c>
      <c r="F946" t="s">
        <v>0</v>
      </c>
      <c r="G946" t="str">
        <f>"2018-10-18 16:49:50"</f>
        <v>2018-10-18 16:49:50</v>
      </c>
    </row>
    <row r="947" spans="1:7" x14ac:dyDescent="0.2">
      <c r="A947" t="s">
        <v>2610</v>
      </c>
      <c r="B947" t="str">
        <f>"15059919759"</f>
        <v>15059919759</v>
      </c>
      <c r="C947" t="str">
        <f>"350823198807190533"</f>
        <v>350823198807190533</v>
      </c>
      <c r="D947" t="s">
        <v>1</v>
      </c>
      <c r="E947" t="s">
        <v>1</v>
      </c>
      <c r="F947" t="s">
        <v>0</v>
      </c>
      <c r="G947" t="str">
        <f>"2018-10-19 13:34:06"</f>
        <v>2018-10-19 13:34:06</v>
      </c>
    </row>
    <row r="948" spans="1:7" x14ac:dyDescent="0.2">
      <c r="A948" t="s">
        <v>1</v>
      </c>
      <c r="B948" t="str">
        <f>"18674335252"</f>
        <v>18674335252</v>
      </c>
      <c r="C948" t="s">
        <v>1</v>
      </c>
      <c r="D948" t="s">
        <v>1</v>
      </c>
      <c r="E948" t="s">
        <v>1</v>
      </c>
      <c r="F948" t="s">
        <v>0</v>
      </c>
      <c r="G948" t="str">
        <f>"2018-10-18 16:49:42"</f>
        <v>2018-10-18 16:49:42</v>
      </c>
    </row>
    <row r="949" spans="1:7" x14ac:dyDescent="0.2">
      <c r="A949" t="s">
        <v>2611</v>
      </c>
      <c r="B949" t="str">
        <f>"13480790728"</f>
        <v>13480790728</v>
      </c>
      <c r="C949" t="str">
        <f>"440881198907184814"</f>
        <v>440881198907184814</v>
      </c>
      <c r="D949" t="s">
        <v>1</v>
      </c>
      <c r="E949" t="s">
        <v>1</v>
      </c>
      <c r="F949" t="s">
        <v>0</v>
      </c>
      <c r="G949" t="str">
        <f>"2018-10-18 16:49:35"</f>
        <v>2018-10-18 16:49:35</v>
      </c>
    </row>
    <row r="950" spans="1:7" x14ac:dyDescent="0.2">
      <c r="A950" t="s">
        <v>2612</v>
      </c>
      <c r="B950" t="str">
        <f>"14797723630"</f>
        <v>14797723630</v>
      </c>
      <c r="C950" t="str">
        <f>"452128199306025015"</f>
        <v>452128199306025015</v>
      </c>
      <c r="D950" t="s">
        <v>1</v>
      </c>
      <c r="E950" t="s">
        <v>1</v>
      </c>
      <c r="F950" t="s">
        <v>0</v>
      </c>
      <c r="G950" t="str">
        <f>"2018-10-18 16:55:55"</f>
        <v>2018-10-18 16:55:55</v>
      </c>
    </row>
    <row r="951" spans="1:7" x14ac:dyDescent="0.2">
      <c r="A951" t="s">
        <v>1</v>
      </c>
      <c r="B951" t="str">
        <f>"13930359555"</f>
        <v>13930359555</v>
      </c>
      <c r="C951" t="s">
        <v>1</v>
      </c>
      <c r="D951" t="s">
        <v>1</v>
      </c>
      <c r="E951" t="s">
        <v>1</v>
      </c>
      <c r="F951" t="s">
        <v>0</v>
      </c>
      <c r="G951" t="str">
        <f>"2018-10-18 16:49:19"</f>
        <v>2018-10-18 16:49:19</v>
      </c>
    </row>
    <row r="952" spans="1:7" x14ac:dyDescent="0.2">
      <c r="A952" t="s">
        <v>2613</v>
      </c>
      <c r="B952" t="str">
        <f>"15057696479"</f>
        <v>15057696479</v>
      </c>
      <c r="C952" t="str">
        <f>"500234199206086895"</f>
        <v>500234199206086895</v>
      </c>
      <c r="D952" t="s">
        <v>1</v>
      </c>
      <c r="E952" t="s">
        <v>1</v>
      </c>
      <c r="F952" t="s">
        <v>0</v>
      </c>
      <c r="G952" t="str">
        <f>"2018-10-18 16:51:03"</f>
        <v>2018-10-18 16:51:03</v>
      </c>
    </row>
    <row r="953" spans="1:7" x14ac:dyDescent="0.2">
      <c r="A953" t="s">
        <v>2614</v>
      </c>
      <c r="B953" t="str">
        <f>"18313295298"</f>
        <v>18313295298</v>
      </c>
      <c r="C953" t="str">
        <f>"530324198405200359"</f>
        <v>530324198405200359</v>
      </c>
      <c r="D953" t="s">
        <v>1</v>
      </c>
      <c r="E953" t="s">
        <v>1</v>
      </c>
      <c r="F953" t="s">
        <v>0</v>
      </c>
      <c r="G953" t="str">
        <f>"2018-10-18 23:09:34"</f>
        <v>2018-10-18 23:09:34</v>
      </c>
    </row>
    <row r="954" spans="1:7" x14ac:dyDescent="0.2">
      <c r="A954" t="s">
        <v>2615</v>
      </c>
      <c r="B954" t="str">
        <f>"13995684897"</f>
        <v>13995684897</v>
      </c>
      <c r="C954" t="str">
        <f>"420103198307203232"</f>
        <v>420103198307203232</v>
      </c>
      <c r="D954" t="s">
        <v>2616</v>
      </c>
      <c r="E954" t="s">
        <v>2617</v>
      </c>
      <c r="F954" t="s">
        <v>0</v>
      </c>
      <c r="G954" t="str">
        <f>"2018-10-18 16:51:31"</f>
        <v>2018-10-18 16:51:31</v>
      </c>
    </row>
    <row r="955" spans="1:7" x14ac:dyDescent="0.2">
      <c r="A955" t="s">
        <v>2618</v>
      </c>
      <c r="B955" t="str">
        <f>"15872734242"</f>
        <v>15872734242</v>
      </c>
      <c r="C955" t="str">
        <f>"420324199407111914"</f>
        <v>420324199407111914</v>
      </c>
      <c r="D955" t="s">
        <v>2619</v>
      </c>
      <c r="E955" t="s">
        <v>2620</v>
      </c>
      <c r="F955" t="s">
        <v>0</v>
      </c>
      <c r="G955" t="str">
        <f>"2018-10-18 16:55:08"</f>
        <v>2018-10-18 16:55:08</v>
      </c>
    </row>
    <row r="956" spans="1:7" x14ac:dyDescent="0.2">
      <c r="A956" t="s">
        <v>1</v>
      </c>
      <c r="B956" t="str">
        <f>"13230936500"</f>
        <v>13230936500</v>
      </c>
      <c r="C956" t="s">
        <v>1</v>
      </c>
      <c r="D956" t="s">
        <v>1</v>
      </c>
      <c r="E956" t="s">
        <v>1</v>
      </c>
      <c r="F956" t="s">
        <v>0</v>
      </c>
      <c r="G956" t="str">
        <f>"2018-10-18 16:48:49"</f>
        <v>2018-10-18 16:48:49</v>
      </c>
    </row>
    <row r="957" spans="1:7" x14ac:dyDescent="0.2">
      <c r="A957" t="s">
        <v>2621</v>
      </c>
      <c r="B957" t="str">
        <f>"18946452851"</f>
        <v>18946452851</v>
      </c>
      <c r="C957" t="str">
        <f>"239004198309163119"</f>
        <v>239004198309163119</v>
      </c>
      <c r="D957" t="s">
        <v>1</v>
      </c>
      <c r="E957" t="s">
        <v>1</v>
      </c>
      <c r="F957" t="s">
        <v>0</v>
      </c>
      <c r="G957" t="str">
        <f>"2018-10-18 16:51:54"</f>
        <v>2018-10-18 16:51:54</v>
      </c>
    </row>
    <row r="958" spans="1:7" x14ac:dyDescent="0.2">
      <c r="A958" t="s">
        <v>1</v>
      </c>
      <c r="B958" t="str">
        <f>"18251787188"</f>
        <v>18251787188</v>
      </c>
      <c r="C958" t="s">
        <v>1</v>
      </c>
      <c r="D958" t="s">
        <v>1</v>
      </c>
      <c r="E958" t="s">
        <v>1</v>
      </c>
      <c r="F958" t="s">
        <v>0</v>
      </c>
      <c r="G958" t="str">
        <f>"2018-10-18 16:48:48"</f>
        <v>2018-10-18 16:48:48</v>
      </c>
    </row>
    <row r="959" spans="1:7" x14ac:dyDescent="0.2">
      <c r="A959" t="s">
        <v>2622</v>
      </c>
      <c r="B959" t="str">
        <f>"17665168432"</f>
        <v>17665168432</v>
      </c>
      <c r="C959" t="str">
        <f>"450421199703140519"</f>
        <v>450421199703140519</v>
      </c>
      <c r="D959" t="s">
        <v>1</v>
      </c>
      <c r="E959" t="s">
        <v>1</v>
      </c>
      <c r="F959" t="s">
        <v>0</v>
      </c>
      <c r="G959" t="str">
        <f>"2018-10-18 16:54:49"</f>
        <v>2018-10-18 16:54:49</v>
      </c>
    </row>
    <row r="960" spans="1:7" x14ac:dyDescent="0.2">
      <c r="A960" t="s">
        <v>23</v>
      </c>
      <c r="B960" t="str">
        <f>"18801048502"</f>
        <v>18801048502</v>
      </c>
      <c r="C960" t="str">
        <f>"41138119930905481X"</f>
        <v>41138119930905481X</v>
      </c>
      <c r="D960" t="s">
        <v>2623</v>
      </c>
      <c r="E960" t="s">
        <v>2624</v>
      </c>
      <c r="F960" t="s">
        <v>0</v>
      </c>
      <c r="G960" t="str">
        <f>"2018-10-18 16:52:12"</f>
        <v>2018-10-18 16:52:12</v>
      </c>
    </row>
    <row r="961" spans="1:7" x14ac:dyDescent="0.2">
      <c r="A961" t="s">
        <v>2625</v>
      </c>
      <c r="B961" t="str">
        <f>"17790374003"</f>
        <v>17790374003</v>
      </c>
      <c r="C961" t="str">
        <f>"510812199009104536"</f>
        <v>510812199009104536</v>
      </c>
      <c r="D961" t="s">
        <v>1</v>
      </c>
      <c r="E961" t="s">
        <v>1</v>
      </c>
      <c r="F961" t="s">
        <v>0</v>
      </c>
      <c r="G961" t="str">
        <f>"2018-10-18 17:01:02"</f>
        <v>2018-10-18 17:01:02</v>
      </c>
    </row>
    <row r="962" spans="1:7" x14ac:dyDescent="0.2">
      <c r="A962" t="s">
        <v>2626</v>
      </c>
      <c r="B962" t="str">
        <f>"18399067196"</f>
        <v>18399067196</v>
      </c>
      <c r="C962" t="str">
        <f>"650104198108041647"</f>
        <v>650104198108041647</v>
      </c>
      <c r="D962" t="s">
        <v>1</v>
      </c>
      <c r="E962" t="s">
        <v>1</v>
      </c>
      <c r="F962" t="s">
        <v>0</v>
      </c>
      <c r="G962" t="str">
        <f>"2018-10-18 16:51:19"</f>
        <v>2018-10-18 16:51:19</v>
      </c>
    </row>
    <row r="963" spans="1:7" x14ac:dyDescent="0.2">
      <c r="A963" t="s">
        <v>2627</v>
      </c>
      <c r="B963" t="str">
        <f>"13672772728"</f>
        <v>13672772728</v>
      </c>
      <c r="C963" t="str">
        <f>"440821197608175036"</f>
        <v>440821197608175036</v>
      </c>
      <c r="D963" t="s">
        <v>1</v>
      </c>
      <c r="E963" t="s">
        <v>1</v>
      </c>
      <c r="F963" t="s">
        <v>0</v>
      </c>
      <c r="G963" t="str">
        <f>"2018-10-18 16:50:43"</f>
        <v>2018-10-18 16:50:43</v>
      </c>
    </row>
    <row r="964" spans="1:7" x14ac:dyDescent="0.2">
      <c r="A964" t="s">
        <v>2628</v>
      </c>
      <c r="B964" t="str">
        <f>"13514330055"</f>
        <v>13514330055</v>
      </c>
      <c r="C964" t="str">
        <f>"222401199106011819"</f>
        <v>222401199106011819</v>
      </c>
      <c r="D964" t="s">
        <v>1</v>
      </c>
      <c r="E964" t="s">
        <v>1</v>
      </c>
      <c r="F964" t="s">
        <v>0</v>
      </c>
      <c r="G964" t="str">
        <f>"2018-10-18 16:56:31"</f>
        <v>2018-10-18 16:56:31</v>
      </c>
    </row>
    <row r="965" spans="1:7" x14ac:dyDescent="0.2">
      <c r="A965" t="s">
        <v>1</v>
      </c>
      <c r="B965" t="str">
        <f>"18666965814"</f>
        <v>18666965814</v>
      </c>
      <c r="C965" t="s">
        <v>1</v>
      </c>
      <c r="D965" t="s">
        <v>1</v>
      </c>
      <c r="E965" t="s">
        <v>1</v>
      </c>
      <c r="F965" t="s">
        <v>0</v>
      </c>
      <c r="G965" t="str">
        <f>"2018-10-18 16:47:57"</f>
        <v>2018-10-18 16:47:57</v>
      </c>
    </row>
    <row r="966" spans="1:7" x14ac:dyDescent="0.2">
      <c r="A966" t="s">
        <v>595</v>
      </c>
      <c r="B966" t="str">
        <f>"18507937539"</f>
        <v>18507937539</v>
      </c>
      <c r="C966" t="str">
        <f>"362301199008045076"</f>
        <v>362301199008045076</v>
      </c>
      <c r="D966" t="s">
        <v>1</v>
      </c>
      <c r="E966" t="s">
        <v>1</v>
      </c>
      <c r="F966" t="s">
        <v>0</v>
      </c>
      <c r="G966" t="str">
        <f>"2018-10-18 16:49:30"</f>
        <v>2018-10-18 16:49:30</v>
      </c>
    </row>
    <row r="967" spans="1:7" x14ac:dyDescent="0.2">
      <c r="A967" t="s">
        <v>1</v>
      </c>
      <c r="B967" t="str">
        <f>"15068050169"</f>
        <v>15068050169</v>
      </c>
      <c r="C967" t="s">
        <v>1</v>
      </c>
      <c r="D967" t="s">
        <v>1</v>
      </c>
      <c r="E967" t="s">
        <v>1</v>
      </c>
      <c r="F967" t="s">
        <v>0</v>
      </c>
      <c r="G967" t="str">
        <f>"2018-10-18 16:47:32"</f>
        <v>2018-10-18 16:47:32</v>
      </c>
    </row>
    <row r="968" spans="1:7" x14ac:dyDescent="0.2">
      <c r="A968" t="s">
        <v>2629</v>
      </c>
      <c r="B968" t="str">
        <f>"18688022635"</f>
        <v>18688022635</v>
      </c>
      <c r="C968" t="str">
        <f>"440506199512300030"</f>
        <v>440506199512300030</v>
      </c>
      <c r="D968" t="s">
        <v>1</v>
      </c>
      <c r="E968" t="s">
        <v>1</v>
      </c>
      <c r="F968" t="s">
        <v>0</v>
      </c>
      <c r="G968" t="str">
        <f>"2018-10-18 16:48:35"</f>
        <v>2018-10-18 16:48:35</v>
      </c>
    </row>
    <row r="969" spans="1:7" x14ac:dyDescent="0.2">
      <c r="A969" t="s">
        <v>2630</v>
      </c>
      <c r="B969" t="str">
        <f>"18111197295"</f>
        <v>18111197295</v>
      </c>
      <c r="C969" t="str">
        <f>"510525199808182667"</f>
        <v>510525199808182667</v>
      </c>
      <c r="D969" t="s">
        <v>1</v>
      </c>
      <c r="E969" t="s">
        <v>1</v>
      </c>
      <c r="F969" t="s">
        <v>0</v>
      </c>
      <c r="G969" t="str">
        <f>"2018-10-18 16:49:24"</f>
        <v>2018-10-18 16:49:24</v>
      </c>
    </row>
    <row r="970" spans="1:7" x14ac:dyDescent="0.2">
      <c r="A970" t="s">
        <v>2631</v>
      </c>
      <c r="B970" t="str">
        <f>"15229292215"</f>
        <v>15229292215</v>
      </c>
      <c r="C970" t="str">
        <f>"610422198606262313"</f>
        <v>610422198606262313</v>
      </c>
      <c r="D970" t="s">
        <v>2632</v>
      </c>
      <c r="E970" t="s">
        <v>2633</v>
      </c>
      <c r="F970" t="s">
        <v>0</v>
      </c>
      <c r="G970" t="str">
        <f>"2018-10-18 16:50:01"</f>
        <v>2018-10-18 16:50:01</v>
      </c>
    </row>
    <row r="971" spans="1:7" x14ac:dyDescent="0.2">
      <c r="A971" t="s">
        <v>2634</v>
      </c>
      <c r="B971" t="str">
        <f>"15012115881"</f>
        <v>15012115881</v>
      </c>
      <c r="C971" t="str">
        <f>"532129198402052955"</f>
        <v>532129198402052955</v>
      </c>
      <c r="D971" t="s">
        <v>1</v>
      </c>
      <c r="E971" t="s">
        <v>1</v>
      </c>
      <c r="F971" t="s">
        <v>0</v>
      </c>
      <c r="G971" t="str">
        <f>"2018-10-18 16:47:15"</f>
        <v>2018-10-18 16:47:15</v>
      </c>
    </row>
    <row r="972" spans="1:7" x14ac:dyDescent="0.2">
      <c r="A972" t="s">
        <v>2635</v>
      </c>
      <c r="B972" t="str">
        <f>"15820667326"</f>
        <v>15820667326</v>
      </c>
      <c r="C972" t="str">
        <f>"440681199401122310"</f>
        <v>440681199401122310</v>
      </c>
      <c r="D972" t="s">
        <v>1</v>
      </c>
      <c r="E972" t="s">
        <v>1</v>
      </c>
      <c r="F972" t="s">
        <v>0</v>
      </c>
      <c r="G972" t="str">
        <f>"2018-10-29 11:44:14"</f>
        <v>2018-10-29 11:44:14</v>
      </c>
    </row>
    <row r="973" spans="1:7" x14ac:dyDescent="0.2">
      <c r="A973" t="s">
        <v>1</v>
      </c>
      <c r="B973" t="str">
        <f>"18170746101"</f>
        <v>18170746101</v>
      </c>
      <c r="C973" t="s">
        <v>1</v>
      </c>
      <c r="D973" t="s">
        <v>1</v>
      </c>
      <c r="E973" t="s">
        <v>1</v>
      </c>
      <c r="F973" t="s">
        <v>0</v>
      </c>
      <c r="G973" t="str">
        <f>"2018-10-18 16:46:11"</f>
        <v>2018-10-18 16:46:11</v>
      </c>
    </row>
    <row r="974" spans="1:7" x14ac:dyDescent="0.2">
      <c r="A974" t="s">
        <v>2636</v>
      </c>
      <c r="B974" t="str">
        <f>"17751648952"</f>
        <v>17751648952</v>
      </c>
      <c r="C974" t="str">
        <f>"321302199705140819"</f>
        <v>321302199705140819</v>
      </c>
      <c r="D974" t="s">
        <v>1</v>
      </c>
      <c r="E974" t="s">
        <v>1</v>
      </c>
      <c r="F974" t="s">
        <v>0</v>
      </c>
      <c r="G974" t="str">
        <f>"2018-10-18 16:48:56"</f>
        <v>2018-10-18 16:48:56</v>
      </c>
    </row>
    <row r="975" spans="1:7" x14ac:dyDescent="0.2">
      <c r="A975" t="s">
        <v>2637</v>
      </c>
      <c r="B975" t="str">
        <f>"13607656852"</f>
        <v>13607656852</v>
      </c>
      <c r="C975" t="str">
        <f>"411326198806190717"</f>
        <v>411326198806190717</v>
      </c>
      <c r="D975" t="s">
        <v>1</v>
      </c>
      <c r="E975" t="s">
        <v>1</v>
      </c>
      <c r="F975" t="s">
        <v>0</v>
      </c>
      <c r="G975" t="str">
        <f>"2018-10-18 17:09:36"</f>
        <v>2018-10-18 17:09:36</v>
      </c>
    </row>
    <row r="976" spans="1:7" x14ac:dyDescent="0.2">
      <c r="A976" t="s">
        <v>1</v>
      </c>
      <c r="B976" t="str">
        <f>"18665444559"</f>
        <v>18665444559</v>
      </c>
      <c r="C976" t="s">
        <v>1</v>
      </c>
      <c r="D976" t="s">
        <v>1</v>
      </c>
      <c r="E976" t="s">
        <v>1</v>
      </c>
      <c r="F976" t="s">
        <v>0</v>
      </c>
      <c r="G976" t="str">
        <f>"2018-10-18 16:57:02"</f>
        <v>2018-10-18 16:57:02</v>
      </c>
    </row>
    <row r="977" spans="1:7" x14ac:dyDescent="0.2">
      <c r="A977" t="s">
        <v>2638</v>
      </c>
      <c r="B977" t="str">
        <f>"13533589030"</f>
        <v>13533589030</v>
      </c>
      <c r="C977" t="str">
        <f>"452730199102255913"</f>
        <v>452730199102255913</v>
      </c>
      <c r="D977" t="s">
        <v>1</v>
      </c>
      <c r="E977" t="s">
        <v>1</v>
      </c>
      <c r="F977" t="s">
        <v>0</v>
      </c>
      <c r="G977" t="str">
        <f>"2018-10-25 15:42:00"</f>
        <v>2018-10-25 15:42:00</v>
      </c>
    </row>
    <row r="978" spans="1:7" x14ac:dyDescent="0.2">
      <c r="A978" t="s">
        <v>2639</v>
      </c>
      <c r="B978" t="str">
        <f>"13997940452"</f>
        <v>13997940452</v>
      </c>
      <c r="C978" t="str">
        <f>"420822197909133377"</f>
        <v>420822197909133377</v>
      </c>
      <c r="D978" t="s">
        <v>1</v>
      </c>
      <c r="E978" t="s">
        <v>1</v>
      </c>
      <c r="F978" t="s">
        <v>0</v>
      </c>
      <c r="G978" t="str">
        <f>"2018-10-18 16:46:43"</f>
        <v>2018-10-18 16:46:43</v>
      </c>
    </row>
    <row r="979" spans="1:7" x14ac:dyDescent="0.2">
      <c r="A979" t="s">
        <v>2640</v>
      </c>
      <c r="B979" t="str">
        <f>"18189620115"</f>
        <v>18189620115</v>
      </c>
      <c r="C979" t="str">
        <f>"622201199303172746"</f>
        <v>622201199303172746</v>
      </c>
      <c r="D979" t="s">
        <v>1</v>
      </c>
      <c r="E979" t="s">
        <v>1</v>
      </c>
      <c r="F979" t="s">
        <v>0</v>
      </c>
      <c r="G979" t="str">
        <f>"2018-10-18 16:46:54"</f>
        <v>2018-10-18 16:46:54</v>
      </c>
    </row>
    <row r="980" spans="1:7" x14ac:dyDescent="0.2">
      <c r="A980" t="s">
        <v>2641</v>
      </c>
      <c r="B980" t="str">
        <f>"13822387739"</f>
        <v>13822387739</v>
      </c>
      <c r="C980" t="str">
        <f>"440782198403242110"</f>
        <v>440782198403242110</v>
      </c>
      <c r="D980" t="s">
        <v>1</v>
      </c>
      <c r="E980" t="s">
        <v>1</v>
      </c>
      <c r="F980" t="s">
        <v>0</v>
      </c>
      <c r="G980" t="str">
        <f>"2018-10-18 16:48:31"</f>
        <v>2018-10-18 16:48:31</v>
      </c>
    </row>
    <row r="981" spans="1:7" x14ac:dyDescent="0.2">
      <c r="A981" t="s">
        <v>1</v>
      </c>
      <c r="B981" t="str">
        <f>"15676316074"</f>
        <v>15676316074</v>
      </c>
      <c r="C981" t="s">
        <v>1</v>
      </c>
      <c r="D981" t="s">
        <v>1</v>
      </c>
      <c r="E981" t="s">
        <v>1</v>
      </c>
      <c r="F981" t="s">
        <v>0</v>
      </c>
      <c r="G981" t="str">
        <f>"2018-10-18 16:45:05"</f>
        <v>2018-10-18 16:45:05</v>
      </c>
    </row>
    <row r="982" spans="1:7" x14ac:dyDescent="0.2">
      <c r="A982" t="s">
        <v>2642</v>
      </c>
      <c r="B982" t="str">
        <f>"15738893692"</f>
        <v>15738893692</v>
      </c>
      <c r="C982" t="str">
        <f>"410181198601147531"</f>
        <v>410181198601147531</v>
      </c>
      <c r="D982" t="s">
        <v>1</v>
      </c>
      <c r="E982" t="s">
        <v>1</v>
      </c>
      <c r="F982" t="s">
        <v>0</v>
      </c>
      <c r="G982" t="str">
        <f>"2018-10-18 16:47:24"</f>
        <v>2018-10-18 16:47:24</v>
      </c>
    </row>
    <row r="983" spans="1:7" x14ac:dyDescent="0.2">
      <c r="A983" t="s">
        <v>2643</v>
      </c>
      <c r="B983" t="str">
        <f>"13423805027"</f>
        <v>13423805027</v>
      </c>
      <c r="C983" t="str">
        <f>"44150219880707406X"</f>
        <v>44150219880707406X</v>
      </c>
      <c r="D983" t="s">
        <v>1</v>
      </c>
      <c r="E983" t="s">
        <v>1</v>
      </c>
      <c r="F983" t="s">
        <v>0</v>
      </c>
      <c r="G983" t="str">
        <f>"2018-10-18 16:47:40"</f>
        <v>2018-10-18 16:47:40</v>
      </c>
    </row>
    <row r="984" spans="1:7" x14ac:dyDescent="0.2">
      <c r="A984" t="s">
        <v>1</v>
      </c>
      <c r="B984" t="str">
        <f>"13771671428"</f>
        <v>13771671428</v>
      </c>
      <c r="C984" t="s">
        <v>1</v>
      </c>
      <c r="D984" t="s">
        <v>1</v>
      </c>
      <c r="E984" t="s">
        <v>1</v>
      </c>
      <c r="F984" t="s">
        <v>0</v>
      </c>
      <c r="G984" t="str">
        <f>"2018-10-18 16:44:49"</f>
        <v>2018-10-18 16:44:49</v>
      </c>
    </row>
    <row r="985" spans="1:7" x14ac:dyDescent="0.2">
      <c r="A985" t="s">
        <v>2644</v>
      </c>
      <c r="B985" t="str">
        <f>"15721425273"</f>
        <v>15721425273</v>
      </c>
      <c r="C985" t="str">
        <f>"140430199502196018"</f>
        <v>140430199502196018</v>
      </c>
      <c r="D985" t="s">
        <v>2645</v>
      </c>
      <c r="E985" t="s">
        <v>2646</v>
      </c>
      <c r="F985" t="s">
        <v>0</v>
      </c>
      <c r="G985" t="str">
        <f>"2018-10-18 16:46:01"</f>
        <v>2018-10-18 16:46:01</v>
      </c>
    </row>
    <row r="986" spans="1:7" x14ac:dyDescent="0.2">
      <c r="A986" t="s">
        <v>1</v>
      </c>
      <c r="B986" t="str">
        <f>"13609306012"</f>
        <v>13609306012</v>
      </c>
      <c r="C986" t="s">
        <v>1</v>
      </c>
      <c r="D986" t="s">
        <v>1</v>
      </c>
      <c r="E986" t="s">
        <v>1</v>
      </c>
      <c r="F986" t="s">
        <v>0</v>
      </c>
      <c r="G986" t="str">
        <f>"2018-10-18 16:44:24"</f>
        <v>2018-10-18 16:44:24</v>
      </c>
    </row>
    <row r="987" spans="1:7" x14ac:dyDescent="0.2">
      <c r="A987" t="s">
        <v>2647</v>
      </c>
      <c r="B987" t="str">
        <f>"15109365352"</f>
        <v>15109365352</v>
      </c>
      <c r="C987" t="str">
        <f>"622201199005184829"</f>
        <v>622201199005184829</v>
      </c>
      <c r="D987" t="s">
        <v>2648</v>
      </c>
      <c r="E987" t="s">
        <v>2649</v>
      </c>
      <c r="F987" t="s">
        <v>0</v>
      </c>
      <c r="G987" t="str">
        <f>"2018-10-18 16:45:51"</f>
        <v>2018-10-18 16:45:51</v>
      </c>
    </row>
    <row r="988" spans="1:7" x14ac:dyDescent="0.2">
      <c r="A988" t="s">
        <v>2650</v>
      </c>
      <c r="B988" t="str">
        <f>"13545365275"</f>
        <v>13545365275</v>
      </c>
      <c r="C988" t="str">
        <f>"421083199601204916"</f>
        <v>421083199601204916</v>
      </c>
      <c r="D988" t="s">
        <v>1</v>
      </c>
      <c r="E988" t="s">
        <v>1</v>
      </c>
      <c r="F988" t="s">
        <v>0</v>
      </c>
      <c r="G988" t="str">
        <f>"2018-10-18 16:44:21"</f>
        <v>2018-10-18 16:44:21</v>
      </c>
    </row>
    <row r="989" spans="1:7" x14ac:dyDescent="0.2">
      <c r="A989" t="s">
        <v>2651</v>
      </c>
      <c r="B989" t="str">
        <f>"18789686350"</f>
        <v>18789686350</v>
      </c>
      <c r="C989" t="str">
        <f>"460025199211190347"</f>
        <v>460025199211190347</v>
      </c>
      <c r="D989" t="s">
        <v>2652</v>
      </c>
      <c r="E989" t="s">
        <v>2653</v>
      </c>
      <c r="F989" t="s">
        <v>0</v>
      </c>
      <c r="G989" t="str">
        <f>"2018-10-18 16:45:26"</f>
        <v>2018-10-18 16:45:26</v>
      </c>
    </row>
    <row r="990" spans="1:7" x14ac:dyDescent="0.2">
      <c r="A990" t="s">
        <v>2654</v>
      </c>
      <c r="B990" t="str">
        <f>"13787304905"</f>
        <v>13787304905</v>
      </c>
      <c r="C990" t="str">
        <f>"430624199005254312"</f>
        <v>430624199005254312</v>
      </c>
      <c r="D990" t="s">
        <v>1</v>
      </c>
      <c r="E990" t="s">
        <v>1</v>
      </c>
      <c r="F990" t="s">
        <v>0</v>
      </c>
      <c r="G990" t="str">
        <f>"2018-10-18 16:56:12"</f>
        <v>2018-10-18 16:56:12</v>
      </c>
    </row>
    <row r="991" spans="1:7" x14ac:dyDescent="0.2">
      <c r="A991" t="s">
        <v>2655</v>
      </c>
      <c r="B991" t="str">
        <f>"18030861194"</f>
        <v>18030861194</v>
      </c>
      <c r="C991" t="str">
        <f>"510183199403230036"</f>
        <v>510183199403230036</v>
      </c>
      <c r="D991" t="s">
        <v>1</v>
      </c>
      <c r="E991" t="s">
        <v>1</v>
      </c>
      <c r="F991" t="s">
        <v>0</v>
      </c>
      <c r="G991" t="str">
        <f>"2018-10-18 16:44:42"</f>
        <v>2018-10-18 16:44:42</v>
      </c>
    </row>
    <row r="992" spans="1:7" x14ac:dyDescent="0.2">
      <c r="A992" t="s">
        <v>852</v>
      </c>
      <c r="B992" t="str">
        <f>"17340366227"</f>
        <v>17340366227</v>
      </c>
      <c r="C992" t="str">
        <f>"513229198410170022"</f>
        <v>513229198410170022</v>
      </c>
      <c r="D992" t="s">
        <v>1</v>
      </c>
      <c r="E992" t="s">
        <v>1</v>
      </c>
      <c r="F992" t="s">
        <v>0</v>
      </c>
      <c r="G992" t="str">
        <f>"2018-10-18 16:43:51"</f>
        <v>2018-10-18 16:43:51</v>
      </c>
    </row>
    <row r="993" spans="1:7" x14ac:dyDescent="0.2">
      <c r="A993" t="s">
        <v>2656</v>
      </c>
      <c r="B993" t="str">
        <f>"15725728372"</f>
        <v>15725728372</v>
      </c>
      <c r="C993" t="str">
        <f>"370481199012041518"</f>
        <v>370481199012041518</v>
      </c>
      <c r="D993" t="s">
        <v>1</v>
      </c>
      <c r="E993" t="s">
        <v>1</v>
      </c>
      <c r="F993" t="s">
        <v>0</v>
      </c>
      <c r="G993" t="str">
        <f>"2018-10-18 16:45:10"</f>
        <v>2018-10-18 16:45:10</v>
      </c>
    </row>
    <row r="994" spans="1:7" x14ac:dyDescent="0.2">
      <c r="A994" t="s">
        <v>2657</v>
      </c>
      <c r="B994" t="str">
        <f>"15328436090"</f>
        <v>15328436090</v>
      </c>
      <c r="C994" t="str">
        <f>"511324199606282065"</f>
        <v>511324199606282065</v>
      </c>
      <c r="D994" t="s">
        <v>1</v>
      </c>
      <c r="E994" t="s">
        <v>1</v>
      </c>
      <c r="F994" t="s">
        <v>0</v>
      </c>
      <c r="G994" t="str">
        <f>"2018-10-19 10:05:05"</f>
        <v>2018-10-19 10:05:05</v>
      </c>
    </row>
    <row r="995" spans="1:7" x14ac:dyDescent="0.2">
      <c r="A995" t="s">
        <v>2658</v>
      </c>
      <c r="B995" t="str">
        <f>"13751924930"</f>
        <v>13751924930</v>
      </c>
      <c r="C995" t="str">
        <f>"441521199112198270"</f>
        <v>441521199112198270</v>
      </c>
      <c r="D995" t="s">
        <v>2659</v>
      </c>
      <c r="E995" t="s">
        <v>2660</v>
      </c>
      <c r="F995" t="s">
        <v>0</v>
      </c>
      <c r="G995" t="str">
        <f>"2018-10-18 16:47:46"</f>
        <v>2018-10-18 16:47:46</v>
      </c>
    </row>
    <row r="996" spans="1:7" x14ac:dyDescent="0.2">
      <c r="A996" t="s">
        <v>1</v>
      </c>
      <c r="B996" t="str">
        <f>"13519400340"</f>
        <v>13519400340</v>
      </c>
      <c r="C996" t="s">
        <v>1</v>
      </c>
      <c r="D996" t="s">
        <v>1</v>
      </c>
      <c r="E996" t="s">
        <v>1</v>
      </c>
      <c r="F996" t="s">
        <v>0</v>
      </c>
      <c r="G996" t="str">
        <f>"2018-10-18 16:43:36"</f>
        <v>2018-10-18 16:43:36</v>
      </c>
    </row>
    <row r="997" spans="1:7" x14ac:dyDescent="0.2">
      <c r="A997" t="s">
        <v>1</v>
      </c>
      <c r="B997" t="str">
        <f>"13596467194"</f>
        <v>13596467194</v>
      </c>
      <c r="C997" t="s">
        <v>1</v>
      </c>
      <c r="D997" t="s">
        <v>1</v>
      </c>
      <c r="E997" t="s">
        <v>1</v>
      </c>
      <c r="F997" t="s">
        <v>0</v>
      </c>
      <c r="G997" t="str">
        <f>"2018-10-18 16:43:33"</f>
        <v>2018-10-18 16:43:33</v>
      </c>
    </row>
    <row r="998" spans="1:7" x14ac:dyDescent="0.2">
      <c r="A998" t="s">
        <v>2661</v>
      </c>
      <c r="B998" t="str">
        <f>"18406572031"</f>
        <v>18406572031</v>
      </c>
      <c r="C998" t="str">
        <f>"522424199802242210"</f>
        <v>522424199802242210</v>
      </c>
      <c r="D998" t="s">
        <v>2662</v>
      </c>
      <c r="E998" t="s">
        <v>2663</v>
      </c>
      <c r="F998" t="s">
        <v>0</v>
      </c>
      <c r="G998" t="str">
        <f>"2018-10-18 16:56:04"</f>
        <v>2018-10-18 16:56:04</v>
      </c>
    </row>
    <row r="999" spans="1:7" x14ac:dyDescent="0.2">
      <c r="A999" t="s">
        <v>1</v>
      </c>
      <c r="B999" t="str">
        <f>"13904457633"</f>
        <v>13904457633</v>
      </c>
      <c r="C999" t="s">
        <v>1</v>
      </c>
      <c r="D999" t="s">
        <v>1</v>
      </c>
      <c r="E999" t="s">
        <v>1</v>
      </c>
      <c r="F999" t="s">
        <v>0</v>
      </c>
      <c r="G999" t="str">
        <f>"2018-10-18 16:43:06"</f>
        <v>2018-10-18 16:43:06</v>
      </c>
    </row>
    <row r="1000" spans="1:7" x14ac:dyDescent="0.2">
      <c r="A1000" t="s">
        <v>2664</v>
      </c>
      <c r="B1000" t="str">
        <f>"17750289890"</f>
        <v>17750289890</v>
      </c>
      <c r="C1000" t="str">
        <f>"352227199606033012"</f>
        <v>352227199606033012</v>
      </c>
      <c r="D1000" t="s">
        <v>1</v>
      </c>
      <c r="E1000" t="s">
        <v>1</v>
      </c>
      <c r="F1000" t="s">
        <v>0</v>
      </c>
      <c r="G1000" t="str">
        <f>"2018-10-18 17:01:41"</f>
        <v>2018-10-18 17:01:41</v>
      </c>
    </row>
    <row r="1001" spans="1:7" x14ac:dyDescent="0.2">
      <c r="A1001" t="s">
        <v>2665</v>
      </c>
      <c r="B1001" t="str">
        <f>"15982335136"</f>
        <v>15982335136</v>
      </c>
      <c r="C1001" t="str">
        <f>"510184199110178664"</f>
        <v>510184199110178664</v>
      </c>
      <c r="D1001" t="s">
        <v>1</v>
      </c>
      <c r="E1001" t="s">
        <v>1</v>
      </c>
      <c r="F1001" t="s">
        <v>0</v>
      </c>
      <c r="G1001" t="str">
        <f>"2018-10-18 16:54:02"</f>
        <v>2018-10-18 16:54:02</v>
      </c>
    </row>
    <row r="1002" spans="1:7" x14ac:dyDescent="0.2">
      <c r="A1002" t="s">
        <v>2666</v>
      </c>
      <c r="B1002" t="str">
        <f>"13904009261"</f>
        <v>13904009261</v>
      </c>
      <c r="C1002" t="str">
        <f>"210111197609232510"</f>
        <v>210111197609232510</v>
      </c>
      <c r="D1002" t="s">
        <v>1</v>
      </c>
      <c r="E1002" t="s">
        <v>1</v>
      </c>
      <c r="F1002" t="s">
        <v>0</v>
      </c>
      <c r="G1002" t="str">
        <f>"2018-10-18 16:42:32"</f>
        <v>2018-10-18 16:42:32</v>
      </c>
    </row>
    <row r="1003" spans="1:7" x14ac:dyDescent="0.2">
      <c r="A1003" t="s">
        <v>2667</v>
      </c>
      <c r="B1003" t="str">
        <f>"15927614006"</f>
        <v>15927614006</v>
      </c>
      <c r="C1003" t="str">
        <f>"420105198402182022"</f>
        <v>420105198402182022</v>
      </c>
      <c r="D1003" t="s">
        <v>2668</v>
      </c>
      <c r="E1003" t="s">
        <v>2669</v>
      </c>
      <c r="F1003" t="s">
        <v>0</v>
      </c>
      <c r="G1003" t="str">
        <f>"2018-10-24 13:47:36"</f>
        <v>2018-10-24 13:47:36</v>
      </c>
    </row>
    <row r="1004" spans="1:7" x14ac:dyDescent="0.2">
      <c r="A1004" t="s">
        <v>2670</v>
      </c>
      <c r="B1004" t="str">
        <f>"15875072592"</f>
        <v>15875072592</v>
      </c>
      <c r="C1004" t="str">
        <f>"440783199212165459"</f>
        <v>440783199212165459</v>
      </c>
      <c r="D1004" t="s">
        <v>1</v>
      </c>
      <c r="E1004" t="s">
        <v>1</v>
      </c>
      <c r="F1004" t="s">
        <v>0</v>
      </c>
      <c r="G1004" t="str">
        <f>"2018-10-18 16:44:16"</f>
        <v>2018-10-18 16:44:16</v>
      </c>
    </row>
    <row r="1005" spans="1:7" x14ac:dyDescent="0.2">
      <c r="A1005" t="s">
        <v>2671</v>
      </c>
      <c r="B1005" t="str">
        <f>"18632423777"</f>
        <v>18632423777</v>
      </c>
      <c r="C1005" t="str">
        <f>"220822197911213117"</f>
        <v>220822197911213117</v>
      </c>
      <c r="D1005" t="s">
        <v>1</v>
      </c>
      <c r="E1005" t="s">
        <v>1</v>
      </c>
      <c r="F1005" t="s">
        <v>0</v>
      </c>
      <c r="G1005" t="str">
        <f>"2018-10-18 19:40:44"</f>
        <v>2018-10-18 19:40:44</v>
      </c>
    </row>
    <row r="1006" spans="1:7" x14ac:dyDescent="0.2">
      <c r="A1006" t="s">
        <v>2672</v>
      </c>
      <c r="B1006" t="str">
        <f>"15756543370"</f>
        <v>15756543370</v>
      </c>
      <c r="C1006" t="str">
        <f>"513029199809214932"</f>
        <v>513029199809214932</v>
      </c>
      <c r="D1006" t="s">
        <v>1</v>
      </c>
      <c r="E1006" t="s">
        <v>1</v>
      </c>
      <c r="F1006" t="s">
        <v>0</v>
      </c>
      <c r="G1006" t="str">
        <f>"2018-10-18 16:42:10"</f>
        <v>2018-10-18 16:42:10</v>
      </c>
    </row>
    <row r="1007" spans="1:7" x14ac:dyDescent="0.2">
      <c r="A1007" t="s">
        <v>2673</v>
      </c>
      <c r="B1007" t="str">
        <f>"18868039107"</f>
        <v>18868039107</v>
      </c>
      <c r="C1007" t="str">
        <f>"330483199406075011"</f>
        <v>330483199406075011</v>
      </c>
      <c r="D1007" t="s">
        <v>2674</v>
      </c>
      <c r="E1007" t="s">
        <v>2675</v>
      </c>
      <c r="F1007" t="s">
        <v>0</v>
      </c>
      <c r="G1007" t="str">
        <f>"2018-10-18 17:14:03"</f>
        <v>2018-10-18 17:14:03</v>
      </c>
    </row>
    <row r="1008" spans="1:7" x14ac:dyDescent="0.2">
      <c r="A1008" t="s">
        <v>1</v>
      </c>
      <c r="B1008" t="str">
        <f>"13175462203"</f>
        <v>13175462203</v>
      </c>
      <c r="C1008" t="s">
        <v>1</v>
      </c>
      <c r="D1008" t="s">
        <v>1</v>
      </c>
      <c r="E1008" t="s">
        <v>1</v>
      </c>
      <c r="F1008" t="s">
        <v>0</v>
      </c>
      <c r="G1008" t="str">
        <f>"2018-10-18 16:41:59"</f>
        <v>2018-10-18 16:41:59</v>
      </c>
    </row>
    <row r="1009" spans="1:7" x14ac:dyDescent="0.2">
      <c r="A1009" t="s">
        <v>2676</v>
      </c>
      <c r="B1009" t="str">
        <f>"15911981662"</f>
        <v>15911981662</v>
      </c>
      <c r="C1009" t="str">
        <f>"530381198704111548"</f>
        <v>530381198704111548</v>
      </c>
      <c r="D1009" t="s">
        <v>1</v>
      </c>
      <c r="E1009" t="s">
        <v>1</v>
      </c>
      <c r="F1009" t="s">
        <v>0</v>
      </c>
      <c r="G1009" t="str">
        <f>"2018-10-18 16:47:15"</f>
        <v>2018-10-18 16:47:15</v>
      </c>
    </row>
    <row r="1010" spans="1:7" x14ac:dyDescent="0.2">
      <c r="A1010" t="s">
        <v>1</v>
      </c>
      <c r="B1010" t="str">
        <f>"18702685002"</f>
        <v>18702685002</v>
      </c>
      <c r="C1010" t="s">
        <v>1</v>
      </c>
      <c r="D1010" t="s">
        <v>1</v>
      </c>
      <c r="E1010" t="s">
        <v>1</v>
      </c>
      <c r="F1010" t="s">
        <v>0</v>
      </c>
      <c r="G1010" t="str">
        <f>"2018-10-18 16:44:51"</f>
        <v>2018-10-18 16:44:51</v>
      </c>
    </row>
    <row r="1011" spans="1:7" x14ac:dyDescent="0.2">
      <c r="A1011" t="s">
        <v>2677</v>
      </c>
      <c r="B1011" t="str">
        <f>"18281534714"</f>
        <v>18281534714</v>
      </c>
      <c r="C1011" t="str">
        <f>"51078119870801601X"</f>
        <v>51078119870801601X</v>
      </c>
      <c r="D1011" t="s">
        <v>1</v>
      </c>
      <c r="E1011" t="s">
        <v>1</v>
      </c>
      <c r="F1011" t="s">
        <v>0</v>
      </c>
      <c r="G1011" t="str">
        <f>"2018-10-18 16:41:37"</f>
        <v>2018-10-18 16:41:37</v>
      </c>
    </row>
    <row r="1012" spans="1:7" x14ac:dyDescent="0.2">
      <c r="A1012" t="s">
        <v>2678</v>
      </c>
      <c r="B1012" t="str">
        <f>"15263327586"</f>
        <v>15263327586</v>
      </c>
      <c r="C1012" t="str">
        <f>"371122198701253129"</f>
        <v>371122198701253129</v>
      </c>
      <c r="D1012" t="s">
        <v>2679</v>
      </c>
      <c r="E1012" t="s">
        <v>2680</v>
      </c>
      <c r="F1012" t="s">
        <v>0</v>
      </c>
      <c r="G1012" t="str">
        <f>"2018-10-18 16:49:16"</f>
        <v>2018-10-18 16:49:16</v>
      </c>
    </row>
    <row r="1013" spans="1:7" x14ac:dyDescent="0.2">
      <c r="A1013" t="s">
        <v>1</v>
      </c>
      <c r="B1013" t="str">
        <f>"13352546800"</f>
        <v>13352546800</v>
      </c>
      <c r="C1013" t="s">
        <v>1</v>
      </c>
      <c r="D1013" t="s">
        <v>1</v>
      </c>
      <c r="E1013" t="s">
        <v>1</v>
      </c>
      <c r="F1013" t="s">
        <v>0</v>
      </c>
      <c r="G1013" t="str">
        <f>"2018-10-18 16:42:41"</f>
        <v>2018-10-18 16:42:41</v>
      </c>
    </row>
    <row r="1014" spans="1:7" x14ac:dyDescent="0.2">
      <c r="A1014" t="s">
        <v>2681</v>
      </c>
      <c r="B1014" t="str">
        <f>"13425481172"</f>
        <v>13425481172</v>
      </c>
      <c r="C1014" t="str">
        <f>"45088119921118621X"</f>
        <v>45088119921118621X</v>
      </c>
      <c r="D1014" t="s">
        <v>1</v>
      </c>
      <c r="E1014" t="s">
        <v>1</v>
      </c>
      <c r="F1014" t="s">
        <v>0</v>
      </c>
      <c r="G1014" t="str">
        <f>"2018-10-18 16:43:59"</f>
        <v>2018-10-18 16:43:59</v>
      </c>
    </row>
    <row r="1015" spans="1:7" x14ac:dyDescent="0.2">
      <c r="A1015" t="s">
        <v>1</v>
      </c>
      <c r="B1015" t="str">
        <f>"18888333275"</f>
        <v>18888333275</v>
      </c>
      <c r="C1015" t="s">
        <v>1</v>
      </c>
      <c r="D1015" t="s">
        <v>1</v>
      </c>
      <c r="E1015" t="s">
        <v>1</v>
      </c>
      <c r="F1015" t="s">
        <v>0</v>
      </c>
      <c r="G1015" t="str">
        <f>"2018-10-18 16:41:08"</f>
        <v>2018-10-18 16:41:08</v>
      </c>
    </row>
    <row r="1016" spans="1:7" x14ac:dyDescent="0.2">
      <c r="A1016" t="s">
        <v>2682</v>
      </c>
      <c r="B1016" t="str">
        <f>"13818491469"</f>
        <v>13818491469</v>
      </c>
      <c r="C1016" t="str">
        <f>"230206197407091615"</f>
        <v>230206197407091615</v>
      </c>
      <c r="D1016" t="s">
        <v>1</v>
      </c>
      <c r="E1016" t="s">
        <v>1</v>
      </c>
      <c r="F1016" t="s">
        <v>0</v>
      </c>
      <c r="G1016" t="str">
        <f>"2018-10-19 17:59:30"</f>
        <v>2018-10-19 17:59:30</v>
      </c>
    </row>
    <row r="1017" spans="1:7" x14ac:dyDescent="0.2">
      <c r="A1017" t="s">
        <v>2683</v>
      </c>
      <c r="B1017" t="str">
        <f>"13830018838"</f>
        <v>13830018838</v>
      </c>
      <c r="C1017" t="str">
        <f>"620402199310072714"</f>
        <v>620402199310072714</v>
      </c>
      <c r="D1017" t="s">
        <v>1</v>
      </c>
      <c r="E1017" t="s">
        <v>1</v>
      </c>
      <c r="F1017" t="s">
        <v>0</v>
      </c>
      <c r="G1017" t="str">
        <f>"2018-10-18 16:43:12"</f>
        <v>2018-10-18 16:43:12</v>
      </c>
    </row>
    <row r="1018" spans="1:7" x14ac:dyDescent="0.2">
      <c r="A1018" t="s">
        <v>1</v>
      </c>
      <c r="B1018" t="str">
        <f>"13378199701"</f>
        <v>13378199701</v>
      </c>
      <c r="C1018" t="s">
        <v>1</v>
      </c>
      <c r="D1018" t="s">
        <v>1</v>
      </c>
      <c r="E1018" t="s">
        <v>1</v>
      </c>
      <c r="F1018" t="s">
        <v>0</v>
      </c>
      <c r="G1018" t="str">
        <f>"2018-10-18 16:40:50"</f>
        <v>2018-10-18 16:40:50</v>
      </c>
    </row>
    <row r="1019" spans="1:7" x14ac:dyDescent="0.2">
      <c r="A1019" t="s">
        <v>2684</v>
      </c>
      <c r="B1019" t="str">
        <f>"13320575993"</f>
        <v>13320575993</v>
      </c>
      <c r="C1019" t="str">
        <f>"530323199203141934"</f>
        <v>530323199203141934</v>
      </c>
      <c r="D1019" t="s">
        <v>1</v>
      </c>
      <c r="E1019" t="s">
        <v>1</v>
      </c>
      <c r="F1019" t="s">
        <v>0</v>
      </c>
      <c r="G1019" t="str">
        <f>"2018-10-18 16:42:59"</f>
        <v>2018-10-18 16:42:59</v>
      </c>
    </row>
    <row r="1020" spans="1:7" x14ac:dyDescent="0.2">
      <c r="A1020" t="s">
        <v>2685</v>
      </c>
      <c r="B1020" t="str">
        <f>"13196005012"</f>
        <v>13196005012</v>
      </c>
      <c r="C1020" t="str">
        <f>"220181198807061228"</f>
        <v>220181198807061228</v>
      </c>
      <c r="D1020" t="s">
        <v>1</v>
      </c>
      <c r="E1020" t="s">
        <v>1</v>
      </c>
      <c r="F1020" t="s">
        <v>0</v>
      </c>
      <c r="G1020" t="str">
        <f>"2018-10-18 16:40:44"</f>
        <v>2018-10-18 16:40:44</v>
      </c>
    </row>
    <row r="1021" spans="1:7" x14ac:dyDescent="0.2">
      <c r="A1021" t="s">
        <v>2686</v>
      </c>
      <c r="B1021" t="str">
        <f>"13701611860"</f>
        <v>13701611860</v>
      </c>
      <c r="C1021" t="str">
        <f>"513721199107295050"</f>
        <v>513721199107295050</v>
      </c>
      <c r="D1021" t="s">
        <v>1</v>
      </c>
      <c r="E1021" t="s">
        <v>1</v>
      </c>
      <c r="F1021" t="s">
        <v>0</v>
      </c>
      <c r="G1021" t="str">
        <f>"2018-10-18 16:45:33"</f>
        <v>2018-10-18 16:45:33</v>
      </c>
    </row>
    <row r="1022" spans="1:7" x14ac:dyDescent="0.2">
      <c r="A1022" t="s">
        <v>1</v>
      </c>
      <c r="B1022" t="str">
        <f>"17633016065"</f>
        <v>17633016065</v>
      </c>
      <c r="C1022" t="s">
        <v>1</v>
      </c>
      <c r="D1022" t="s">
        <v>1</v>
      </c>
      <c r="E1022" t="s">
        <v>1</v>
      </c>
      <c r="F1022" t="s">
        <v>0</v>
      </c>
      <c r="G1022" t="str">
        <f>"2018-10-18 16:40:11"</f>
        <v>2018-10-18 16:40:11</v>
      </c>
    </row>
    <row r="1023" spans="1:7" x14ac:dyDescent="0.2">
      <c r="A1023" t="s">
        <v>2687</v>
      </c>
      <c r="B1023" t="str">
        <f>"13563971233"</f>
        <v>13563971233</v>
      </c>
      <c r="C1023" t="str">
        <f>"371321198511085034"</f>
        <v>371321198511085034</v>
      </c>
      <c r="D1023" t="s">
        <v>1</v>
      </c>
      <c r="E1023" t="s">
        <v>1</v>
      </c>
      <c r="F1023" t="s">
        <v>0</v>
      </c>
      <c r="G1023" t="str">
        <f>"2018-10-18 17:54:24"</f>
        <v>2018-10-18 17:54:24</v>
      </c>
    </row>
    <row r="1024" spans="1:7" x14ac:dyDescent="0.2">
      <c r="A1024" t="s">
        <v>2688</v>
      </c>
      <c r="B1024" t="str">
        <f>"18607485678"</f>
        <v>18607485678</v>
      </c>
      <c r="C1024" t="str">
        <f>"43122119901202163X"</f>
        <v>43122119901202163X</v>
      </c>
      <c r="D1024" t="s">
        <v>1</v>
      </c>
      <c r="E1024" t="s">
        <v>1</v>
      </c>
      <c r="F1024" t="s">
        <v>0</v>
      </c>
      <c r="G1024" t="str">
        <f>"2018-10-18 16:41:49"</f>
        <v>2018-10-18 16:41:49</v>
      </c>
    </row>
    <row r="1025" spans="1:7" x14ac:dyDescent="0.2">
      <c r="A1025" t="s">
        <v>2689</v>
      </c>
      <c r="B1025" t="str">
        <f>"15957634554"</f>
        <v>15957634554</v>
      </c>
      <c r="C1025" t="str">
        <f>"331021198607073034"</f>
        <v>331021198607073034</v>
      </c>
      <c r="D1025" t="s">
        <v>1</v>
      </c>
      <c r="E1025" t="s">
        <v>1</v>
      </c>
      <c r="F1025" t="s">
        <v>0</v>
      </c>
      <c r="G1025" t="str">
        <f>"2018-10-18 16:42:04"</f>
        <v>2018-10-18 16:42:04</v>
      </c>
    </row>
    <row r="1026" spans="1:7" x14ac:dyDescent="0.2">
      <c r="A1026" t="s">
        <v>1296</v>
      </c>
      <c r="B1026" t="str">
        <f>"13529070225"</f>
        <v>13529070225</v>
      </c>
      <c r="C1026" t="str">
        <f>"522428198302250426"</f>
        <v>522428198302250426</v>
      </c>
      <c r="D1026" t="s">
        <v>1</v>
      </c>
      <c r="E1026" t="s">
        <v>1</v>
      </c>
      <c r="F1026" t="s">
        <v>0</v>
      </c>
      <c r="G1026" t="str">
        <f>"2018-10-18 16:40:00"</f>
        <v>2018-10-18 16:40:00</v>
      </c>
    </row>
    <row r="1027" spans="1:7" x14ac:dyDescent="0.2">
      <c r="A1027" t="s">
        <v>2690</v>
      </c>
      <c r="B1027" t="str">
        <f>"13503596050"</f>
        <v>13503596050</v>
      </c>
      <c r="C1027" t="str">
        <f>"142723197405260810"</f>
        <v>142723197405260810</v>
      </c>
      <c r="D1027" t="s">
        <v>1</v>
      </c>
      <c r="E1027" t="s">
        <v>1</v>
      </c>
      <c r="F1027" t="s">
        <v>0</v>
      </c>
      <c r="G1027" t="str">
        <f>"2018-10-18 16:41:37"</f>
        <v>2018-10-18 16:41:37</v>
      </c>
    </row>
    <row r="1028" spans="1:7" x14ac:dyDescent="0.2">
      <c r="A1028" t="s">
        <v>2691</v>
      </c>
      <c r="B1028" t="str">
        <f>"13717055152"</f>
        <v>13717055152</v>
      </c>
      <c r="C1028" t="str">
        <f>"512535198112131335"</f>
        <v>512535198112131335</v>
      </c>
      <c r="D1028" t="s">
        <v>2692</v>
      </c>
      <c r="E1028" t="s">
        <v>2693</v>
      </c>
      <c r="F1028" t="s">
        <v>0</v>
      </c>
      <c r="G1028" t="str">
        <f>"2018-10-18 16:41:43"</f>
        <v>2018-10-18 16:41:43</v>
      </c>
    </row>
    <row r="1029" spans="1:7" x14ac:dyDescent="0.2">
      <c r="A1029" t="s">
        <v>2694</v>
      </c>
      <c r="B1029" t="str">
        <f>"17378900920"</f>
        <v>17378900920</v>
      </c>
      <c r="C1029" t="str">
        <f>"511102197909200743"</f>
        <v>511102197909200743</v>
      </c>
      <c r="D1029" t="s">
        <v>1</v>
      </c>
      <c r="E1029" t="s">
        <v>1</v>
      </c>
      <c r="F1029" t="s">
        <v>0</v>
      </c>
      <c r="G1029" t="str">
        <f>"2018-10-18 16:41:41"</f>
        <v>2018-10-18 16:41:41</v>
      </c>
    </row>
    <row r="1030" spans="1:7" x14ac:dyDescent="0.2">
      <c r="A1030" t="s">
        <v>2695</v>
      </c>
      <c r="B1030" t="str">
        <f>"13414197012"</f>
        <v>13414197012</v>
      </c>
      <c r="C1030" t="str">
        <f>"440782199402102612"</f>
        <v>440782199402102612</v>
      </c>
      <c r="D1030" t="s">
        <v>2696</v>
      </c>
      <c r="E1030" t="s">
        <v>2697</v>
      </c>
      <c r="F1030" t="s">
        <v>0</v>
      </c>
      <c r="G1030" t="str">
        <f>"2018-10-18 17:33:46"</f>
        <v>2018-10-18 17:33:46</v>
      </c>
    </row>
    <row r="1031" spans="1:7" x14ac:dyDescent="0.2">
      <c r="A1031" t="s">
        <v>1</v>
      </c>
      <c r="B1031" t="str">
        <f>"13919821794"</f>
        <v>13919821794</v>
      </c>
      <c r="C1031" t="s">
        <v>1</v>
      </c>
      <c r="D1031" t="s">
        <v>1</v>
      </c>
      <c r="E1031" t="s">
        <v>1</v>
      </c>
      <c r="F1031" t="s">
        <v>0</v>
      </c>
      <c r="G1031" t="str">
        <f>"2018-10-18 16:39:49"</f>
        <v>2018-10-18 16:39:49</v>
      </c>
    </row>
    <row r="1032" spans="1:7" x14ac:dyDescent="0.2">
      <c r="A1032" t="s">
        <v>952</v>
      </c>
      <c r="B1032" t="str">
        <f>"17780922590"</f>
        <v>17780922590</v>
      </c>
      <c r="C1032" t="str">
        <f>"511381199210066232"</f>
        <v>511381199210066232</v>
      </c>
      <c r="D1032" t="s">
        <v>1</v>
      </c>
      <c r="E1032" t="s">
        <v>1</v>
      </c>
      <c r="F1032" t="s">
        <v>0</v>
      </c>
      <c r="G1032" t="str">
        <f>"2018-10-18 16:40:37"</f>
        <v>2018-10-18 16:40:37</v>
      </c>
    </row>
    <row r="1033" spans="1:7" x14ac:dyDescent="0.2">
      <c r="A1033" t="s">
        <v>2698</v>
      </c>
      <c r="B1033" t="str">
        <f>"18259058595"</f>
        <v>18259058595</v>
      </c>
      <c r="C1033" t="str">
        <f>"350521199708040519"</f>
        <v>350521199708040519</v>
      </c>
      <c r="D1033" t="s">
        <v>1</v>
      </c>
      <c r="E1033" t="s">
        <v>1</v>
      </c>
      <c r="F1033" t="s">
        <v>0</v>
      </c>
      <c r="G1033" t="str">
        <f>"2018-10-18 16:51:12"</f>
        <v>2018-10-18 16:51:12</v>
      </c>
    </row>
    <row r="1034" spans="1:7" x14ac:dyDescent="0.2">
      <c r="A1034" t="s">
        <v>1</v>
      </c>
      <c r="B1034" t="str">
        <f>"18789323919"</f>
        <v>18789323919</v>
      </c>
      <c r="C1034" t="s">
        <v>1</v>
      </c>
      <c r="D1034" t="s">
        <v>1</v>
      </c>
      <c r="E1034" t="s">
        <v>1</v>
      </c>
      <c r="F1034" t="s">
        <v>0</v>
      </c>
      <c r="G1034" t="str">
        <f>"2018-10-18 16:39:18"</f>
        <v>2018-10-18 16:39:18</v>
      </c>
    </row>
    <row r="1035" spans="1:7" x14ac:dyDescent="0.2">
      <c r="A1035" t="s">
        <v>2699</v>
      </c>
      <c r="B1035" t="str">
        <f>"15189447198"</f>
        <v>15189447198</v>
      </c>
      <c r="C1035" t="str">
        <f>"32068219950721612X"</f>
        <v>32068219950721612X</v>
      </c>
      <c r="D1035" t="s">
        <v>1</v>
      </c>
      <c r="E1035" t="s">
        <v>1</v>
      </c>
      <c r="F1035" t="s">
        <v>0</v>
      </c>
      <c r="G1035" t="str">
        <f>"2018-10-18 16:57:32"</f>
        <v>2018-10-18 16:57:32</v>
      </c>
    </row>
    <row r="1036" spans="1:7" x14ac:dyDescent="0.2">
      <c r="A1036" t="s">
        <v>1</v>
      </c>
      <c r="B1036" t="str">
        <f>"15061712193"</f>
        <v>15061712193</v>
      </c>
      <c r="C1036" t="s">
        <v>1</v>
      </c>
      <c r="D1036" t="s">
        <v>1</v>
      </c>
      <c r="E1036" t="s">
        <v>1</v>
      </c>
      <c r="F1036" t="s">
        <v>0</v>
      </c>
      <c r="G1036" t="str">
        <f>"2018-10-18 16:41:20"</f>
        <v>2018-10-18 16:41:20</v>
      </c>
    </row>
    <row r="1037" spans="1:7" x14ac:dyDescent="0.2">
      <c r="A1037" t="s">
        <v>2700</v>
      </c>
      <c r="B1037" t="str">
        <f>"17367686831"</f>
        <v>17367686831</v>
      </c>
      <c r="C1037" t="str">
        <f>"130182198612220510"</f>
        <v>130182198612220510</v>
      </c>
      <c r="D1037" t="s">
        <v>1</v>
      </c>
      <c r="E1037" t="s">
        <v>1</v>
      </c>
      <c r="F1037" t="s">
        <v>0</v>
      </c>
      <c r="G1037" t="str">
        <f>"2018-10-18 16:40:16"</f>
        <v>2018-10-18 16:40:16</v>
      </c>
    </row>
    <row r="1038" spans="1:7" x14ac:dyDescent="0.2">
      <c r="A1038" t="s">
        <v>2701</v>
      </c>
      <c r="B1038" t="str">
        <f>"15579189999"</f>
        <v>15579189999</v>
      </c>
      <c r="C1038" t="str">
        <f>"360102198406134313"</f>
        <v>360102198406134313</v>
      </c>
      <c r="D1038" t="s">
        <v>1</v>
      </c>
      <c r="E1038" t="s">
        <v>1</v>
      </c>
      <c r="F1038" t="s">
        <v>0</v>
      </c>
      <c r="G1038" t="str">
        <f>"2018-10-19 04:28:10"</f>
        <v>2018-10-19 04:28:10</v>
      </c>
    </row>
    <row r="1039" spans="1:7" x14ac:dyDescent="0.2">
      <c r="A1039" t="s">
        <v>2702</v>
      </c>
      <c r="B1039" t="str">
        <f>"17520601987"</f>
        <v>17520601987</v>
      </c>
      <c r="C1039" t="str">
        <f>"445281200008095633"</f>
        <v>445281200008095633</v>
      </c>
      <c r="D1039" t="s">
        <v>1</v>
      </c>
      <c r="E1039" t="s">
        <v>1</v>
      </c>
      <c r="F1039" t="s">
        <v>0</v>
      </c>
      <c r="G1039" t="str">
        <f>"2018-10-18 16:39:55"</f>
        <v>2018-10-18 16:39:55</v>
      </c>
    </row>
    <row r="1040" spans="1:7" x14ac:dyDescent="0.2">
      <c r="A1040" t="s">
        <v>2703</v>
      </c>
      <c r="B1040" t="str">
        <f>"17805370137"</f>
        <v>17805370137</v>
      </c>
      <c r="C1040" t="str">
        <f>"370825197812137317"</f>
        <v>370825197812137317</v>
      </c>
      <c r="D1040" t="s">
        <v>1</v>
      </c>
      <c r="E1040" t="s">
        <v>1</v>
      </c>
      <c r="F1040" t="s">
        <v>0</v>
      </c>
      <c r="G1040" t="str">
        <f>"2018-10-18 16:39:24"</f>
        <v>2018-10-18 16:39:24</v>
      </c>
    </row>
    <row r="1041" spans="1:7" x14ac:dyDescent="0.2">
      <c r="A1041" t="s">
        <v>2704</v>
      </c>
      <c r="B1041" t="str">
        <f>"15599370307"</f>
        <v>15599370307</v>
      </c>
      <c r="C1041" t="str">
        <f>"522401199402259641"</f>
        <v>522401199402259641</v>
      </c>
      <c r="D1041" t="s">
        <v>2705</v>
      </c>
      <c r="E1041" t="s">
        <v>2706</v>
      </c>
      <c r="F1041" t="s">
        <v>0</v>
      </c>
      <c r="G1041" t="str">
        <f>"2018-10-18 16:59:10"</f>
        <v>2018-10-18 16:59:10</v>
      </c>
    </row>
    <row r="1042" spans="1:7" x14ac:dyDescent="0.2">
      <c r="A1042" t="s">
        <v>816</v>
      </c>
      <c r="B1042" t="str">
        <f>"18262967062"</f>
        <v>18262967062</v>
      </c>
      <c r="C1042" t="str">
        <f>"320981199707204967"</f>
        <v>320981199707204967</v>
      </c>
      <c r="D1042" t="s">
        <v>1</v>
      </c>
      <c r="E1042" t="s">
        <v>1</v>
      </c>
      <c r="F1042" t="s">
        <v>0</v>
      </c>
      <c r="G1042" t="str">
        <f>"2018-10-18 16:38:59"</f>
        <v>2018-10-18 16:38:59</v>
      </c>
    </row>
    <row r="1043" spans="1:7" x14ac:dyDescent="0.2">
      <c r="A1043" t="s">
        <v>2707</v>
      </c>
      <c r="B1043" t="str">
        <f>"18765179870"</f>
        <v>18765179870</v>
      </c>
      <c r="C1043" t="str">
        <f>"370782199708035813"</f>
        <v>370782199708035813</v>
      </c>
      <c r="D1043" t="s">
        <v>1</v>
      </c>
      <c r="E1043" t="s">
        <v>1</v>
      </c>
      <c r="F1043" t="s">
        <v>0</v>
      </c>
      <c r="G1043" t="str">
        <f>"2018-10-18 16:37:51"</f>
        <v>2018-10-18 16:37:51</v>
      </c>
    </row>
    <row r="1044" spans="1:7" x14ac:dyDescent="0.2">
      <c r="A1044" t="s">
        <v>2708</v>
      </c>
      <c r="B1044" t="str">
        <f>"15733317973"</f>
        <v>15733317973</v>
      </c>
      <c r="C1044" t="str">
        <f>"130324199510165428"</f>
        <v>130324199510165428</v>
      </c>
      <c r="D1044" t="s">
        <v>1</v>
      </c>
      <c r="E1044" t="s">
        <v>1</v>
      </c>
      <c r="F1044" t="s">
        <v>0</v>
      </c>
      <c r="G1044" t="str">
        <f>"2018-10-18 16:38:58"</f>
        <v>2018-10-18 16:38:58</v>
      </c>
    </row>
    <row r="1045" spans="1:7" x14ac:dyDescent="0.2">
      <c r="A1045" t="s">
        <v>2709</v>
      </c>
      <c r="B1045" t="str">
        <f>"13215161796"</f>
        <v>13215161796</v>
      </c>
      <c r="C1045" t="str">
        <f>"450327199301111654"</f>
        <v>450327199301111654</v>
      </c>
      <c r="D1045" t="s">
        <v>1</v>
      </c>
      <c r="E1045" t="s">
        <v>1</v>
      </c>
      <c r="F1045" t="s">
        <v>0</v>
      </c>
      <c r="G1045" t="str">
        <f>"2018-10-18 16:39:01"</f>
        <v>2018-10-18 16:39:01</v>
      </c>
    </row>
    <row r="1046" spans="1:7" x14ac:dyDescent="0.2">
      <c r="A1046" t="s">
        <v>1</v>
      </c>
      <c r="B1046" t="str">
        <f>"15942334934"</f>
        <v>15942334934</v>
      </c>
      <c r="C1046" t="s">
        <v>1</v>
      </c>
      <c r="D1046" t="s">
        <v>1</v>
      </c>
      <c r="E1046" t="s">
        <v>1</v>
      </c>
      <c r="F1046" t="s">
        <v>0</v>
      </c>
      <c r="G1046" t="str">
        <f>"2018-10-18 16:37:37"</f>
        <v>2018-10-18 16:37:37</v>
      </c>
    </row>
    <row r="1047" spans="1:7" x14ac:dyDescent="0.2">
      <c r="A1047" t="s">
        <v>2710</v>
      </c>
      <c r="B1047" t="str">
        <f>"13123003735"</f>
        <v>13123003735</v>
      </c>
      <c r="C1047" t="str">
        <f>"350583199404076677"</f>
        <v>350583199404076677</v>
      </c>
      <c r="D1047" t="s">
        <v>1</v>
      </c>
      <c r="E1047" t="s">
        <v>1</v>
      </c>
      <c r="F1047" t="s">
        <v>0</v>
      </c>
      <c r="G1047" t="str">
        <f>"2018-10-18 17:15:09"</f>
        <v>2018-10-18 17:15:09</v>
      </c>
    </row>
    <row r="1048" spans="1:7" x14ac:dyDescent="0.2">
      <c r="A1048" t="s">
        <v>2711</v>
      </c>
      <c r="B1048" t="str">
        <f>"13726971695"</f>
        <v>13726971695</v>
      </c>
      <c r="C1048" t="str">
        <f>"441827199209034322"</f>
        <v>441827199209034322</v>
      </c>
      <c r="D1048" t="s">
        <v>1</v>
      </c>
      <c r="E1048" t="s">
        <v>1</v>
      </c>
      <c r="F1048" t="s">
        <v>0</v>
      </c>
      <c r="G1048" t="str">
        <f>"2018-10-28 20:43:48"</f>
        <v>2018-10-28 20:43:48</v>
      </c>
    </row>
    <row r="1049" spans="1:7" x14ac:dyDescent="0.2">
      <c r="A1049" t="s">
        <v>192</v>
      </c>
      <c r="B1049" t="str">
        <f>"18049431995"</f>
        <v>18049431995</v>
      </c>
      <c r="C1049" t="str">
        <f>"610111199504024516"</f>
        <v>610111199504024516</v>
      </c>
      <c r="D1049" t="s">
        <v>1</v>
      </c>
      <c r="E1049" t="s">
        <v>1</v>
      </c>
      <c r="F1049" t="s">
        <v>0</v>
      </c>
      <c r="G1049" t="str">
        <f>"2018-10-21 14:00:43"</f>
        <v>2018-10-21 14:00:43</v>
      </c>
    </row>
    <row r="1050" spans="1:7" x14ac:dyDescent="0.2">
      <c r="A1050" t="s">
        <v>83</v>
      </c>
      <c r="B1050" t="str">
        <f>"13303270123"</f>
        <v>13303270123</v>
      </c>
      <c r="C1050" t="str">
        <f>"130303198206062110"</f>
        <v>130303198206062110</v>
      </c>
      <c r="D1050" t="s">
        <v>1</v>
      </c>
      <c r="E1050" t="s">
        <v>1</v>
      </c>
      <c r="F1050" t="s">
        <v>0</v>
      </c>
      <c r="G1050" t="str">
        <f>"2018-10-18 16:40:02"</f>
        <v>2018-10-18 16:40:02</v>
      </c>
    </row>
    <row r="1051" spans="1:7" x14ac:dyDescent="0.2">
      <c r="A1051" t="s">
        <v>2712</v>
      </c>
      <c r="B1051" t="str">
        <f>"17635159402"</f>
        <v>17635159402</v>
      </c>
      <c r="C1051" t="str">
        <f>"140224199108153011"</f>
        <v>140224199108153011</v>
      </c>
      <c r="D1051" t="s">
        <v>1</v>
      </c>
      <c r="E1051" t="s">
        <v>1</v>
      </c>
      <c r="F1051" t="s">
        <v>0</v>
      </c>
      <c r="G1051" t="str">
        <f>"2018-10-18 18:19:47"</f>
        <v>2018-10-18 18:19:47</v>
      </c>
    </row>
    <row r="1052" spans="1:7" x14ac:dyDescent="0.2">
      <c r="A1052" t="s">
        <v>2713</v>
      </c>
      <c r="B1052" t="str">
        <f>"13506771003"</f>
        <v>13506771003</v>
      </c>
      <c r="C1052" t="str">
        <f>"33032619880608143X"</f>
        <v>33032619880608143X</v>
      </c>
      <c r="D1052" t="s">
        <v>1</v>
      </c>
      <c r="E1052" t="s">
        <v>1</v>
      </c>
      <c r="F1052" t="s">
        <v>0</v>
      </c>
      <c r="G1052" t="str">
        <f>"2018-10-18 16:40:02"</f>
        <v>2018-10-18 16:40:02</v>
      </c>
    </row>
    <row r="1053" spans="1:7" x14ac:dyDescent="0.2">
      <c r="A1053" t="s">
        <v>2714</v>
      </c>
      <c r="B1053" t="str">
        <f>"15616497154"</f>
        <v>15616497154</v>
      </c>
      <c r="C1053" t="str">
        <f>"430703199511015051"</f>
        <v>430703199511015051</v>
      </c>
      <c r="D1053" t="s">
        <v>1</v>
      </c>
      <c r="E1053" t="s">
        <v>1</v>
      </c>
      <c r="F1053" t="s">
        <v>0</v>
      </c>
      <c r="G1053" t="str">
        <f>"2018-10-18 18:27:43"</f>
        <v>2018-10-18 18:27:43</v>
      </c>
    </row>
    <row r="1054" spans="1:7" x14ac:dyDescent="0.2">
      <c r="A1054" t="s">
        <v>1</v>
      </c>
      <c r="B1054" t="str">
        <f>"15676888204"</f>
        <v>15676888204</v>
      </c>
      <c r="C1054" t="s">
        <v>1</v>
      </c>
      <c r="D1054" t="s">
        <v>1</v>
      </c>
      <c r="E1054" t="s">
        <v>1</v>
      </c>
      <c r="F1054" t="s">
        <v>0</v>
      </c>
      <c r="G1054" t="str">
        <f>"2018-10-18 16:36:36"</f>
        <v>2018-10-18 16:36:36</v>
      </c>
    </row>
    <row r="1055" spans="1:7" x14ac:dyDescent="0.2">
      <c r="A1055" t="s">
        <v>2715</v>
      </c>
      <c r="B1055" t="str">
        <f>"13992305300"</f>
        <v>13992305300</v>
      </c>
      <c r="C1055" t="str">
        <f>"610502198607282412"</f>
        <v>610502198607282412</v>
      </c>
      <c r="D1055" t="s">
        <v>2716</v>
      </c>
      <c r="E1055" t="s">
        <v>2717</v>
      </c>
      <c r="F1055" t="s">
        <v>0</v>
      </c>
      <c r="G1055" t="str">
        <f>"2018-10-18 17:31:00"</f>
        <v>2018-10-18 17:31:00</v>
      </c>
    </row>
    <row r="1056" spans="1:7" x14ac:dyDescent="0.2">
      <c r="A1056" t="s">
        <v>2718</v>
      </c>
      <c r="B1056" t="str">
        <f>"15181254905"</f>
        <v>15181254905</v>
      </c>
      <c r="C1056" t="str">
        <f>"510421199710170018"</f>
        <v>510421199710170018</v>
      </c>
      <c r="D1056" t="s">
        <v>1</v>
      </c>
      <c r="E1056" t="s">
        <v>1</v>
      </c>
      <c r="F1056" t="s">
        <v>0</v>
      </c>
      <c r="G1056" t="str">
        <f>"2018-10-18 16:38:01"</f>
        <v>2018-10-18 16:38:01</v>
      </c>
    </row>
    <row r="1057" spans="1:7" x14ac:dyDescent="0.2">
      <c r="A1057" t="s">
        <v>91</v>
      </c>
      <c r="B1057" t="str">
        <f>"18593864318"</f>
        <v>18593864318</v>
      </c>
      <c r="C1057" t="str">
        <f>"520181199505240816"</f>
        <v>520181199505240816</v>
      </c>
      <c r="D1057" t="s">
        <v>1</v>
      </c>
      <c r="E1057" t="s">
        <v>1</v>
      </c>
      <c r="F1057" t="s">
        <v>0</v>
      </c>
      <c r="G1057" t="str">
        <f>"2018-10-18 16:47:19"</f>
        <v>2018-10-18 16:47:19</v>
      </c>
    </row>
    <row r="1058" spans="1:7" x14ac:dyDescent="0.2">
      <c r="A1058" t="s">
        <v>2719</v>
      </c>
      <c r="B1058" t="str">
        <f>"18769528636"</f>
        <v>18769528636</v>
      </c>
      <c r="C1058" t="str">
        <f>"371526198608040425"</f>
        <v>371526198608040425</v>
      </c>
      <c r="D1058" t="s">
        <v>1</v>
      </c>
      <c r="E1058" t="s">
        <v>1</v>
      </c>
      <c r="F1058" t="s">
        <v>0</v>
      </c>
      <c r="G1058" t="str">
        <f>"2018-10-18 16:37:50"</f>
        <v>2018-10-18 16:37:50</v>
      </c>
    </row>
    <row r="1059" spans="1:7" x14ac:dyDescent="0.2">
      <c r="A1059" t="s">
        <v>1</v>
      </c>
      <c r="B1059" t="str">
        <f>"13534870037"</f>
        <v>13534870037</v>
      </c>
      <c r="C1059" t="s">
        <v>1</v>
      </c>
      <c r="D1059" t="s">
        <v>1</v>
      </c>
      <c r="E1059" t="s">
        <v>1</v>
      </c>
      <c r="F1059" t="s">
        <v>0</v>
      </c>
      <c r="G1059" t="str">
        <f>"2018-10-19 15:13:23"</f>
        <v>2018-10-19 15:13:23</v>
      </c>
    </row>
    <row r="1060" spans="1:7" x14ac:dyDescent="0.2">
      <c r="A1060" t="s">
        <v>1388</v>
      </c>
      <c r="B1060" t="str">
        <f>"15077730052"</f>
        <v>15077730052</v>
      </c>
      <c r="C1060" t="str">
        <f>"45092319891220617X"</f>
        <v>45092319891220617X</v>
      </c>
      <c r="D1060" t="s">
        <v>2720</v>
      </c>
      <c r="E1060" t="s">
        <v>2721</v>
      </c>
      <c r="F1060" t="s">
        <v>0</v>
      </c>
      <c r="G1060" t="str">
        <f>"2018-10-18 16:50:38"</f>
        <v>2018-10-18 16:50:38</v>
      </c>
    </row>
    <row r="1061" spans="1:7" x14ac:dyDescent="0.2">
      <c r="A1061" t="s">
        <v>2722</v>
      </c>
      <c r="B1061" t="str">
        <f>"13558626595"</f>
        <v>13558626595</v>
      </c>
      <c r="C1061" t="str">
        <f>"511521199009150533"</f>
        <v>511521199009150533</v>
      </c>
      <c r="D1061" t="s">
        <v>1</v>
      </c>
      <c r="E1061" t="s">
        <v>1</v>
      </c>
      <c r="F1061" t="s">
        <v>0</v>
      </c>
      <c r="G1061" t="str">
        <f>"2018-10-18 16:53:14"</f>
        <v>2018-10-18 16:53:14</v>
      </c>
    </row>
    <row r="1062" spans="1:7" x14ac:dyDescent="0.2">
      <c r="A1062" t="s">
        <v>1</v>
      </c>
      <c r="B1062" t="str">
        <f>"15993065215"</f>
        <v>15993065215</v>
      </c>
      <c r="C1062" t="s">
        <v>1</v>
      </c>
      <c r="D1062" t="s">
        <v>1</v>
      </c>
      <c r="E1062" t="s">
        <v>1</v>
      </c>
      <c r="F1062" t="s">
        <v>0</v>
      </c>
      <c r="G1062" t="str">
        <f>"2018-10-18 19:43:03"</f>
        <v>2018-10-18 19:43:03</v>
      </c>
    </row>
    <row r="1063" spans="1:7" x14ac:dyDescent="0.2">
      <c r="A1063" t="s">
        <v>1</v>
      </c>
      <c r="B1063" t="str">
        <f>"18269367837"</f>
        <v>18269367837</v>
      </c>
      <c r="C1063" t="s">
        <v>1</v>
      </c>
      <c r="D1063" t="s">
        <v>1</v>
      </c>
      <c r="E1063" t="s">
        <v>1</v>
      </c>
      <c r="F1063" t="s">
        <v>0</v>
      </c>
      <c r="G1063" t="str">
        <f>"2018-10-18 16:35:15"</f>
        <v>2018-10-18 16:35:15</v>
      </c>
    </row>
    <row r="1064" spans="1:7" x14ac:dyDescent="0.2">
      <c r="A1064" t="s">
        <v>620</v>
      </c>
      <c r="B1064" t="str">
        <f>"17871628292"</f>
        <v>17871628292</v>
      </c>
      <c r="C1064" t="str">
        <f>"420606198904236522"</f>
        <v>420606198904236522</v>
      </c>
      <c r="D1064" t="s">
        <v>1</v>
      </c>
      <c r="E1064" t="s">
        <v>1</v>
      </c>
      <c r="F1064" t="s">
        <v>0</v>
      </c>
      <c r="G1064" t="str">
        <f>"2018-10-18 16:37:55"</f>
        <v>2018-10-18 16:37:55</v>
      </c>
    </row>
    <row r="1065" spans="1:7" x14ac:dyDescent="0.2">
      <c r="A1065" t="s">
        <v>2723</v>
      </c>
      <c r="B1065" t="str">
        <f>"15346717218"</f>
        <v>15346717218</v>
      </c>
      <c r="C1065" t="str">
        <f>"620121198409024614"</f>
        <v>620121198409024614</v>
      </c>
      <c r="D1065" t="s">
        <v>1</v>
      </c>
      <c r="E1065" t="s">
        <v>1</v>
      </c>
      <c r="F1065" t="s">
        <v>0</v>
      </c>
      <c r="G1065" t="str">
        <f>"2018-10-19 15:05:51"</f>
        <v>2018-10-19 15:05:51</v>
      </c>
    </row>
    <row r="1066" spans="1:7" x14ac:dyDescent="0.2">
      <c r="A1066" t="s">
        <v>2724</v>
      </c>
      <c r="B1066" t="str">
        <f>"13931687742"</f>
        <v>13931687742</v>
      </c>
      <c r="C1066" t="str">
        <f>"131022198401211111"</f>
        <v>131022198401211111</v>
      </c>
      <c r="D1066" t="s">
        <v>1</v>
      </c>
      <c r="E1066" t="s">
        <v>1</v>
      </c>
      <c r="F1066" t="s">
        <v>0</v>
      </c>
      <c r="G1066" t="str">
        <f>"2018-10-19 07:16:06"</f>
        <v>2018-10-19 07:16:06</v>
      </c>
    </row>
    <row r="1067" spans="1:7" x14ac:dyDescent="0.2">
      <c r="A1067" t="s">
        <v>2725</v>
      </c>
      <c r="B1067" t="str">
        <f>"13539969747"</f>
        <v>13539969747</v>
      </c>
      <c r="C1067" t="str">
        <f>"450821199007240825"</f>
        <v>450821199007240825</v>
      </c>
      <c r="D1067" t="s">
        <v>1</v>
      </c>
      <c r="E1067" t="s">
        <v>1</v>
      </c>
      <c r="F1067" t="s">
        <v>0</v>
      </c>
      <c r="G1067" t="str">
        <f>"2018-10-18 16:34:51"</f>
        <v>2018-10-18 16:34:51</v>
      </c>
    </row>
    <row r="1068" spans="1:7" x14ac:dyDescent="0.2">
      <c r="A1068" t="s">
        <v>452</v>
      </c>
      <c r="B1068" t="str">
        <f>"13087651113"</f>
        <v>13087651113</v>
      </c>
      <c r="C1068" t="str">
        <f>"610202198703250019"</f>
        <v>610202198703250019</v>
      </c>
      <c r="D1068" t="s">
        <v>1</v>
      </c>
      <c r="E1068" t="s">
        <v>1</v>
      </c>
      <c r="F1068" t="s">
        <v>0</v>
      </c>
      <c r="G1068" t="str">
        <f>"2018-10-18 16:38:51"</f>
        <v>2018-10-18 16:38:51</v>
      </c>
    </row>
    <row r="1069" spans="1:7" x14ac:dyDescent="0.2">
      <c r="A1069" t="s">
        <v>2726</v>
      </c>
      <c r="B1069" t="str">
        <f>"18089899150"</f>
        <v>18089899150</v>
      </c>
      <c r="C1069" t="str">
        <f>"460022198307101747"</f>
        <v>460022198307101747</v>
      </c>
      <c r="D1069" t="s">
        <v>1</v>
      </c>
      <c r="E1069" t="s">
        <v>1</v>
      </c>
      <c r="F1069" t="s">
        <v>0</v>
      </c>
      <c r="G1069" t="str">
        <f>"2018-10-18 17:47:06"</f>
        <v>2018-10-18 17:47:06</v>
      </c>
    </row>
    <row r="1070" spans="1:7" x14ac:dyDescent="0.2">
      <c r="A1070" t="s">
        <v>2727</v>
      </c>
      <c r="B1070" t="str">
        <f>"18625500520"</f>
        <v>18625500520</v>
      </c>
      <c r="C1070" t="str">
        <f>"410122199006284712"</f>
        <v>410122199006284712</v>
      </c>
      <c r="D1070" t="s">
        <v>1</v>
      </c>
      <c r="E1070" t="s">
        <v>1</v>
      </c>
      <c r="F1070" t="s">
        <v>0</v>
      </c>
      <c r="G1070" t="str">
        <f>"2018-10-18 16:35:42"</f>
        <v>2018-10-18 16:35:42</v>
      </c>
    </row>
    <row r="1071" spans="1:7" x14ac:dyDescent="0.2">
      <c r="A1071" t="s">
        <v>2728</v>
      </c>
      <c r="B1071" t="str">
        <f>"18771876721"</f>
        <v>18771876721</v>
      </c>
      <c r="C1071" t="str">
        <f>"420525197711051432"</f>
        <v>420525197711051432</v>
      </c>
      <c r="D1071" t="s">
        <v>1</v>
      </c>
      <c r="E1071" t="s">
        <v>1</v>
      </c>
      <c r="F1071" t="s">
        <v>0</v>
      </c>
      <c r="G1071" t="str">
        <f>"2018-10-18 16:36:17"</f>
        <v>2018-10-18 16:36:17</v>
      </c>
    </row>
    <row r="1072" spans="1:7" x14ac:dyDescent="0.2">
      <c r="A1072" t="s">
        <v>1</v>
      </c>
      <c r="B1072" t="str">
        <f>"15872509590"</f>
        <v>15872509590</v>
      </c>
      <c r="C1072" t="s">
        <v>1</v>
      </c>
      <c r="D1072" t="s">
        <v>1</v>
      </c>
      <c r="E1072" t="s">
        <v>1</v>
      </c>
      <c r="F1072" t="s">
        <v>0</v>
      </c>
      <c r="G1072" t="str">
        <f>"2018-10-18 16:35:54"</f>
        <v>2018-10-18 16:35:54</v>
      </c>
    </row>
    <row r="1073" spans="1:7" x14ac:dyDescent="0.2">
      <c r="A1073" t="s">
        <v>2729</v>
      </c>
      <c r="B1073" t="str">
        <f>"15003411826"</f>
        <v>15003411826</v>
      </c>
      <c r="C1073" t="str">
        <f>"140106198706011248"</f>
        <v>140106198706011248</v>
      </c>
      <c r="D1073" t="s">
        <v>2730</v>
      </c>
      <c r="E1073" t="s">
        <v>2731</v>
      </c>
      <c r="F1073" t="s">
        <v>0</v>
      </c>
      <c r="G1073" t="str">
        <f>"2018-10-18 16:35:53"</f>
        <v>2018-10-18 16:35:53</v>
      </c>
    </row>
    <row r="1074" spans="1:7" x14ac:dyDescent="0.2">
      <c r="A1074" t="s">
        <v>2732</v>
      </c>
      <c r="B1074" t="str">
        <f>"18671419307"</f>
        <v>18671419307</v>
      </c>
      <c r="C1074" t="str">
        <f>"420281199405181216"</f>
        <v>420281199405181216</v>
      </c>
      <c r="D1074" t="s">
        <v>2733</v>
      </c>
      <c r="E1074" t="s">
        <v>2734</v>
      </c>
      <c r="F1074" t="s">
        <v>0</v>
      </c>
      <c r="G1074" t="str">
        <f>"2018-10-28 13:05:06"</f>
        <v>2018-10-28 13:05:06</v>
      </c>
    </row>
    <row r="1075" spans="1:7" x14ac:dyDescent="0.2">
      <c r="A1075" t="s">
        <v>1</v>
      </c>
      <c r="B1075" t="str">
        <f>"18252740133"</f>
        <v>18252740133</v>
      </c>
      <c r="C1075" t="s">
        <v>1</v>
      </c>
      <c r="D1075" t="s">
        <v>1</v>
      </c>
      <c r="E1075" t="s">
        <v>1</v>
      </c>
      <c r="F1075" t="s">
        <v>0</v>
      </c>
      <c r="G1075" t="str">
        <f>"2018-10-18 16:34:04"</f>
        <v>2018-10-18 16:34:04</v>
      </c>
    </row>
    <row r="1076" spans="1:7" x14ac:dyDescent="0.2">
      <c r="A1076" t="s">
        <v>2735</v>
      </c>
      <c r="B1076" t="str">
        <f>"18244285208"</f>
        <v>18244285208</v>
      </c>
      <c r="C1076" t="str">
        <f>"622301199512111355"</f>
        <v>622301199512111355</v>
      </c>
      <c r="D1076" t="s">
        <v>1</v>
      </c>
      <c r="E1076" t="s">
        <v>1</v>
      </c>
      <c r="F1076" t="s">
        <v>0</v>
      </c>
      <c r="G1076" t="str">
        <f>"2018-10-18 18:13:16"</f>
        <v>2018-10-18 18:13:16</v>
      </c>
    </row>
    <row r="1077" spans="1:7" x14ac:dyDescent="0.2">
      <c r="A1077" t="s">
        <v>2736</v>
      </c>
      <c r="B1077" t="str">
        <f>"18052408044"</f>
        <v>18052408044</v>
      </c>
      <c r="C1077" t="str">
        <f>"320923199701166919"</f>
        <v>320923199701166919</v>
      </c>
      <c r="D1077" t="s">
        <v>1</v>
      </c>
      <c r="E1077" t="s">
        <v>1</v>
      </c>
      <c r="F1077" t="s">
        <v>0</v>
      </c>
      <c r="G1077" t="str">
        <f>"2018-10-18 16:34:58"</f>
        <v>2018-10-18 16:34:58</v>
      </c>
    </row>
    <row r="1078" spans="1:7" x14ac:dyDescent="0.2">
      <c r="A1078" t="s">
        <v>1</v>
      </c>
      <c r="B1078" t="str">
        <f>"15819170720"</f>
        <v>15819170720</v>
      </c>
      <c r="C1078" t="s">
        <v>1</v>
      </c>
      <c r="D1078" t="s">
        <v>1</v>
      </c>
      <c r="E1078" t="s">
        <v>1</v>
      </c>
      <c r="F1078" t="s">
        <v>0</v>
      </c>
      <c r="G1078" t="str">
        <f>"2018-10-18 16:33:39"</f>
        <v>2018-10-18 16:33:39</v>
      </c>
    </row>
    <row r="1079" spans="1:7" x14ac:dyDescent="0.2">
      <c r="A1079" t="s">
        <v>1</v>
      </c>
      <c r="B1079" t="str">
        <f>"13624079078"</f>
        <v>13624079078</v>
      </c>
      <c r="C1079" t="s">
        <v>1</v>
      </c>
      <c r="D1079" t="s">
        <v>1</v>
      </c>
      <c r="E1079" t="s">
        <v>1</v>
      </c>
      <c r="F1079" t="s">
        <v>0</v>
      </c>
      <c r="G1079" t="str">
        <f>"2018-10-18 16:33:23"</f>
        <v>2018-10-18 16:33:23</v>
      </c>
    </row>
    <row r="1080" spans="1:7" x14ac:dyDescent="0.2">
      <c r="A1080" t="s">
        <v>2737</v>
      </c>
      <c r="B1080" t="str">
        <f>"15924405002"</f>
        <v>15924405002</v>
      </c>
      <c r="C1080" t="str">
        <f>"152726199602235112"</f>
        <v>152726199602235112</v>
      </c>
      <c r="D1080" t="s">
        <v>2738</v>
      </c>
      <c r="E1080" t="s">
        <v>2739</v>
      </c>
      <c r="F1080" t="s">
        <v>0</v>
      </c>
      <c r="G1080" t="str">
        <f>"2018-10-18 16:34:05"</f>
        <v>2018-10-18 16:34:05</v>
      </c>
    </row>
    <row r="1081" spans="1:7" x14ac:dyDescent="0.2">
      <c r="A1081" t="s">
        <v>2740</v>
      </c>
      <c r="B1081" t="str">
        <f>"15381739880"</f>
        <v>15381739880</v>
      </c>
      <c r="C1081" t="str">
        <f>"500237199006173117"</f>
        <v>500237199006173117</v>
      </c>
      <c r="D1081" t="s">
        <v>1</v>
      </c>
      <c r="E1081" t="s">
        <v>1</v>
      </c>
      <c r="F1081" t="s">
        <v>0</v>
      </c>
      <c r="G1081" t="str">
        <f>"2018-10-18 16:35:51"</f>
        <v>2018-10-18 16:35:51</v>
      </c>
    </row>
    <row r="1082" spans="1:7" x14ac:dyDescent="0.2">
      <c r="A1082" t="s">
        <v>1</v>
      </c>
      <c r="B1082" t="str">
        <f>"15217408433"</f>
        <v>15217408433</v>
      </c>
      <c r="C1082" t="s">
        <v>1</v>
      </c>
      <c r="D1082" t="s">
        <v>1</v>
      </c>
      <c r="E1082" t="s">
        <v>1</v>
      </c>
      <c r="F1082" t="s">
        <v>0</v>
      </c>
      <c r="G1082" t="str">
        <f>"2018-10-18 16:32:34"</f>
        <v>2018-10-18 16:32:34</v>
      </c>
    </row>
    <row r="1083" spans="1:7" x14ac:dyDescent="0.2">
      <c r="A1083" t="s">
        <v>2741</v>
      </c>
      <c r="B1083" t="str">
        <f>"17366122272"</f>
        <v>17366122272</v>
      </c>
      <c r="C1083" t="str">
        <f>"33068219860218301X"</f>
        <v>33068219860218301X</v>
      </c>
      <c r="D1083" t="s">
        <v>1</v>
      </c>
      <c r="E1083" t="s">
        <v>1</v>
      </c>
      <c r="F1083" t="s">
        <v>0</v>
      </c>
      <c r="G1083" t="str">
        <f>"2018-10-18 16:47:28"</f>
        <v>2018-10-18 16:47:28</v>
      </c>
    </row>
    <row r="1084" spans="1:7" x14ac:dyDescent="0.2">
      <c r="A1084" t="s">
        <v>2742</v>
      </c>
      <c r="B1084" t="str">
        <f>"13684068090"</f>
        <v>13684068090</v>
      </c>
      <c r="C1084" t="str">
        <f>"510182198108301216"</f>
        <v>510182198108301216</v>
      </c>
      <c r="D1084" t="s">
        <v>2743</v>
      </c>
      <c r="E1084" t="s">
        <v>2744</v>
      </c>
      <c r="F1084" t="s">
        <v>0</v>
      </c>
      <c r="G1084" t="str">
        <f>"2018-10-18 16:35:54"</f>
        <v>2018-10-18 16:35:54</v>
      </c>
    </row>
    <row r="1085" spans="1:7" x14ac:dyDescent="0.2">
      <c r="A1085" t="s">
        <v>1</v>
      </c>
      <c r="B1085" t="str">
        <f>"18272667744"</f>
        <v>18272667744</v>
      </c>
      <c r="C1085" t="s">
        <v>1</v>
      </c>
      <c r="D1085" t="s">
        <v>1</v>
      </c>
      <c r="E1085" t="s">
        <v>1</v>
      </c>
      <c r="F1085" t="s">
        <v>0</v>
      </c>
      <c r="G1085" t="str">
        <f>"2018-10-18 16:32:20"</f>
        <v>2018-10-18 16:32:20</v>
      </c>
    </row>
    <row r="1086" spans="1:7" x14ac:dyDescent="0.2">
      <c r="A1086" t="s">
        <v>474</v>
      </c>
      <c r="B1086" t="str">
        <f>"13372336797"</f>
        <v>13372336797</v>
      </c>
      <c r="C1086" t="str">
        <f>"430224199804095555"</f>
        <v>430224199804095555</v>
      </c>
      <c r="D1086" t="s">
        <v>2745</v>
      </c>
      <c r="E1086" t="s">
        <v>1604</v>
      </c>
      <c r="F1086" t="s">
        <v>0</v>
      </c>
      <c r="G1086" t="str">
        <f>"2018-10-23 10:05:58"</f>
        <v>2018-10-23 10:05:58</v>
      </c>
    </row>
    <row r="1087" spans="1:7" x14ac:dyDescent="0.2">
      <c r="A1087" t="s">
        <v>2746</v>
      </c>
      <c r="B1087" t="str">
        <f>"13933714454"</f>
        <v>13933714454</v>
      </c>
      <c r="C1087" t="str">
        <f>"130528199308132434"</f>
        <v>130528199308132434</v>
      </c>
      <c r="D1087" t="s">
        <v>1</v>
      </c>
      <c r="E1087" t="s">
        <v>1</v>
      </c>
      <c r="F1087" t="s">
        <v>0</v>
      </c>
      <c r="G1087" t="str">
        <f>"2018-10-18 16:33:28"</f>
        <v>2018-10-18 16:33:28</v>
      </c>
    </row>
    <row r="1088" spans="1:7" x14ac:dyDescent="0.2">
      <c r="A1088" t="s">
        <v>1</v>
      </c>
      <c r="B1088" t="str">
        <f>"15216468953"</f>
        <v>15216468953</v>
      </c>
      <c r="C1088" t="s">
        <v>1</v>
      </c>
      <c r="D1088" t="s">
        <v>1</v>
      </c>
      <c r="E1088" t="s">
        <v>1</v>
      </c>
      <c r="F1088" t="s">
        <v>0</v>
      </c>
      <c r="G1088" t="str">
        <f>"2018-10-19 13:58:21"</f>
        <v>2018-10-19 13:58:21</v>
      </c>
    </row>
    <row r="1089" spans="1:7" x14ac:dyDescent="0.2">
      <c r="A1089" t="s">
        <v>2747</v>
      </c>
      <c r="B1089" t="str">
        <f>"13455373124"</f>
        <v>13455373124</v>
      </c>
      <c r="C1089" t="str">
        <f>"370811198506273018"</f>
        <v>370811198506273018</v>
      </c>
      <c r="D1089" t="s">
        <v>1</v>
      </c>
      <c r="E1089" t="s">
        <v>1</v>
      </c>
      <c r="F1089" t="s">
        <v>0</v>
      </c>
      <c r="G1089" t="str">
        <f>"2018-10-18 17:02:52"</f>
        <v>2018-10-18 17:02:52</v>
      </c>
    </row>
    <row r="1090" spans="1:7" x14ac:dyDescent="0.2">
      <c r="A1090" t="s">
        <v>2748</v>
      </c>
      <c r="B1090" t="str">
        <f>"13840999223"</f>
        <v>13840999223</v>
      </c>
      <c r="C1090" t="str">
        <f>"210282199312052818"</f>
        <v>210282199312052818</v>
      </c>
      <c r="D1090" t="s">
        <v>1</v>
      </c>
      <c r="E1090" t="s">
        <v>1</v>
      </c>
      <c r="F1090" t="s">
        <v>0</v>
      </c>
      <c r="G1090" t="str">
        <f>"2018-10-18 16:33:22"</f>
        <v>2018-10-18 16:33:22</v>
      </c>
    </row>
    <row r="1091" spans="1:7" x14ac:dyDescent="0.2">
      <c r="A1091" t="s">
        <v>2749</v>
      </c>
      <c r="B1091" t="str">
        <f>"13216639721"</f>
        <v>13216639721</v>
      </c>
      <c r="C1091" t="str">
        <f>"330283199501065232"</f>
        <v>330283199501065232</v>
      </c>
      <c r="D1091" t="s">
        <v>1</v>
      </c>
      <c r="E1091" t="s">
        <v>1</v>
      </c>
      <c r="F1091" t="s">
        <v>0</v>
      </c>
      <c r="G1091" t="str">
        <f>"2018-10-18 16:54:37"</f>
        <v>2018-10-18 16:54:37</v>
      </c>
    </row>
    <row r="1092" spans="1:7" x14ac:dyDescent="0.2">
      <c r="A1092" t="s">
        <v>2750</v>
      </c>
      <c r="B1092" t="str">
        <f>"15067781928"</f>
        <v>15067781928</v>
      </c>
      <c r="C1092" t="str">
        <f>"500101199304108899"</f>
        <v>500101199304108899</v>
      </c>
      <c r="D1092" t="s">
        <v>1</v>
      </c>
      <c r="E1092" t="s">
        <v>1</v>
      </c>
      <c r="F1092" t="s">
        <v>0</v>
      </c>
      <c r="G1092" t="str">
        <f>"2018-10-18 16:31:54"</f>
        <v>2018-10-18 16:31:54</v>
      </c>
    </row>
    <row r="1093" spans="1:7" x14ac:dyDescent="0.2">
      <c r="A1093" t="s">
        <v>170</v>
      </c>
      <c r="B1093" t="str">
        <f>"15984299994"</f>
        <v>15984299994</v>
      </c>
      <c r="C1093" t="str">
        <f>"511011197809095094"</f>
        <v>511011197809095094</v>
      </c>
      <c r="D1093" t="s">
        <v>2751</v>
      </c>
      <c r="E1093" t="s">
        <v>2752</v>
      </c>
      <c r="F1093" t="s">
        <v>0</v>
      </c>
      <c r="G1093" t="str">
        <f>"2018-10-18 16:31:39"</f>
        <v>2018-10-18 16:31:39</v>
      </c>
    </row>
    <row r="1094" spans="1:7" x14ac:dyDescent="0.2">
      <c r="A1094" t="s">
        <v>2753</v>
      </c>
      <c r="B1094" t="str">
        <f>"18584854491"</f>
        <v>18584854491</v>
      </c>
      <c r="C1094" t="str">
        <f>"51052120000201797X"</f>
        <v>51052120000201797X</v>
      </c>
      <c r="D1094" t="s">
        <v>1</v>
      </c>
      <c r="E1094" t="s">
        <v>1</v>
      </c>
      <c r="F1094" t="s">
        <v>0</v>
      </c>
      <c r="G1094" t="str">
        <f>"2018-10-18 16:31:35"</f>
        <v>2018-10-18 16:31:35</v>
      </c>
    </row>
    <row r="1095" spans="1:7" x14ac:dyDescent="0.2">
      <c r="A1095" t="s">
        <v>1</v>
      </c>
      <c r="B1095" t="str">
        <f>"18243632155"</f>
        <v>18243632155</v>
      </c>
      <c r="C1095" t="s">
        <v>1</v>
      </c>
      <c r="D1095" t="s">
        <v>1</v>
      </c>
      <c r="E1095" t="s">
        <v>1</v>
      </c>
      <c r="F1095" t="s">
        <v>0</v>
      </c>
      <c r="G1095" t="str">
        <f>"2018-10-18 16:32:45"</f>
        <v>2018-10-18 16:32:45</v>
      </c>
    </row>
    <row r="1096" spans="1:7" x14ac:dyDescent="0.2">
      <c r="A1096" t="s">
        <v>2754</v>
      </c>
      <c r="B1096" t="str">
        <f>"15071298753"</f>
        <v>15071298753</v>
      </c>
      <c r="C1096" t="str">
        <f>"411321199003151514"</f>
        <v>411321199003151514</v>
      </c>
      <c r="D1096" t="s">
        <v>1</v>
      </c>
      <c r="E1096" t="s">
        <v>1</v>
      </c>
      <c r="F1096" t="s">
        <v>0</v>
      </c>
      <c r="G1096" t="str">
        <f>"2018-10-18 16:32:49"</f>
        <v>2018-10-18 16:32:49</v>
      </c>
    </row>
    <row r="1097" spans="1:7" x14ac:dyDescent="0.2">
      <c r="A1097" t="s">
        <v>2755</v>
      </c>
      <c r="B1097" t="str">
        <f>"13887004031"</f>
        <v>13887004031</v>
      </c>
      <c r="C1097" t="str">
        <f>"532124197712080031"</f>
        <v>532124197712080031</v>
      </c>
      <c r="D1097" t="s">
        <v>1</v>
      </c>
      <c r="E1097" t="s">
        <v>1</v>
      </c>
      <c r="F1097" t="s">
        <v>0</v>
      </c>
      <c r="G1097" t="str">
        <f>"2018-10-19 07:37:26"</f>
        <v>2018-10-19 07:37:26</v>
      </c>
    </row>
    <row r="1098" spans="1:7" x14ac:dyDescent="0.2">
      <c r="A1098" t="s">
        <v>2756</v>
      </c>
      <c r="B1098" t="str">
        <f>"15032333023"</f>
        <v>15032333023</v>
      </c>
      <c r="C1098" t="str">
        <f>"130322199303112638"</f>
        <v>130322199303112638</v>
      </c>
      <c r="D1098" t="s">
        <v>1</v>
      </c>
      <c r="E1098" t="s">
        <v>1</v>
      </c>
      <c r="F1098" t="s">
        <v>0</v>
      </c>
      <c r="G1098" t="str">
        <f>"2018-10-18 16:33:13"</f>
        <v>2018-10-18 16:33:13</v>
      </c>
    </row>
    <row r="1099" spans="1:7" x14ac:dyDescent="0.2">
      <c r="A1099" t="s">
        <v>1</v>
      </c>
      <c r="B1099" t="str">
        <f>"13367121486"</f>
        <v>13367121486</v>
      </c>
      <c r="C1099" t="s">
        <v>1</v>
      </c>
      <c r="D1099" t="s">
        <v>1</v>
      </c>
      <c r="E1099" t="s">
        <v>1</v>
      </c>
      <c r="F1099" t="s">
        <v>0</v>
      </c>
      <c r="G1099" t="str">
        <f>"2018-10-18 16:33:58"</f>
        <v>2018-10-18 16:33:58</v>
      </c>
    </row>
    <row r="1100" spans="1:7" x14ac:dyDescent="0.2">
      <c r="A1100" t="s">
        <v>1</v>
      </c>
      <c r="B1100" t="str">
        <f>"13367121486"</f>
        <v>13367121486</v>
      </c>
      <c r="C1100" t="s">
        <v>1</v>
      </c>
      <c r="D1100" t="s">
        <v>1</v>
      </c>
      <c r="E1100" t="s">
        <v>1</v>
      </c>
      <c r="F1100" t="s">
        <v>0</v>
      </c>
      <c r="G1100" t="str">
        <f>"2018-10-18 16:33:58"</f>
        <v>2018-10-18 16:33:58</v>
      </c>
    </row>
    <row r="1101" spans="1:7" x14ac:dyDescent="0.2">
      <c r="A1101" t="s">
        <v>2757</v>
      </c>
      <c r="B1101" t="str">
        <f>"13930395830"</f>
        <v>13930395830</v>
      </c>
      <c r="C1101" t="str">
        <f>"130302199007243910"</f>
        <v>130302199007243910</v>
      </c>
      <c r="D1101" t="s">
        <v>1</v>
      </c>
      <c r="E1101" t="s">
        <v>1</v>
      </c>
      <c r="F1101" t="s">
        <v>0</v>
      </c>
      <c r="G1101" t="str">
        <f>"2018-10-18 16:30:58"</f>
        <v>2018-10-18 16:30:58</v>
      </c>
    </row>
    <row r="1102" spans="1:7" x14ac:dyDescent="0.2">
      <c r="A1102" t="s">
        <v>2758</v>
      </c>
      <c r="B1102" t="str">
        <f>"18682558707"</f>
        <v>18682558707</v>
      </c>
      <c r="C1102" t="str">
        <f>"510131199306200023"</f>
        <v>510131199306200023</v>
      </c>
      <c r="D1102" t="s">
        <v>1</v>
      </c>
      <c r="E1102" t="s">
        <v>1</v>
      </c>
      <c r="F1102" t="s">
        <v>0</v>
      </c>
      <c r="G1102" t="str">
        <f>"2018-10-18 17:01:46"</f>
        <v>2018-10-18 17:01:46</v>
      </c>
    </row>
    <row r="1103" spans="1:7" x14ac:dyDescent="0.2">
      <c r="A1103" t="s">
        <v>2759</v>
      </c>
      <c r="B1103" t="str">
        <f>"18388405131"</f>
        <v>18388405131</v>
      </c>
      <c r="C1103" t="str">
        <f>"510303199211261013"</f>
        <v>510303199211261013</v>
      </c>
      <c r="D1103" t="s">
        <v>1</v>
      </c>
      <c r="E1103" t="s">
        <v>1</v>
      </c>
      <c r="F1103" t="s">
        <v>0</v>
      </c>
      <c r="G1103" t="str">
        <f>"2018-10-18 16:33:05"</f>
        <v>2018-10-18 16:33:05</v>
      </c>
    </row>
    <row r="1104" spans="1:7" x14ac:dyDescent="0.2">
      <c r="A1104" t="s">
        <v>2760</v>
      </c>
      <c r="B1104" t="str">
        <f>"15919973516"</f>
        <v>15919973516</v>
      </c>
      <c r="C1104" t="str">
        <f>"440802198006100040"</f>
        <v>440802198006100040</v>
      </c>
      <c r="D1104" t="s">
        <v>1</v>
      </c>
      <c r="E1104" t="s">
        <v>1</v>
      </c>
      <c r="F1104" t="s">
        <v>0</v>
      </c>
      <c r="G1104" t="str">
        <f>"2018-10-18 16:31:32"</f>
        <v>2018-10-18 16:31:32</v>
      </c>
    </row>
    <row r="1105" spans="1:7" x14ac:dyDescent="0.2">
      <c r="A1105" t="s">
        <v>1</v>
      </c>
      <c r="B1105" t="str">
        <f>"15678922233"</f>
        <v>15678922233</v>
      </c>
      <c r="C1105" t="s">
        <v>1</v>
      </c>
      <c r="D1105" t="s">
        <v>1</v>
      </c>
      <c r="E1105" t="s">
        <v>1</v>
      </c>
      <c r="F1105" t="s">
        <v>0</v>
      </c>
      <c r="G1105" t="str">
        <f>"2018-10-18 16:33:39"</f>
        <v>2018-10-18 16:33:39</v>
      </c>
    </row>
    <row r="1106" spans="1:7" x14ac:dyDescent="0.2">
      <c r="A1106" t="s">
        <v>2761</v>
      </c>
      <c r="B1106" t="str">
        <f>"13929963541"</f>
        <v>13929963541</v>
      </c>
      <c r="C1106" t="str">
        <f>"44182719830415431X"</f>
        <v>44182719830415431X</v>
      </c>
      <c r="D1106" t="s">
        <v>1</v>
      </c>
      <c r="E1106" t="s">
        <v>1</v>
      </c>
      <c r="F1106" t="s">
        <v>0</v>
      </c>
      <c r="G1106" t="str">
        <f>"2018-10-18 16:32:35"</f>
        <v>2018-10-18 16:32:35</v>
      </c>
    </row>
    <row r="1107" spans="1:7" x14ac:dyDescent="0.2">
      <c r="A1107" t="s">
        <v>2762</v>
      </c>
      <c r="B1107" t="str">
        <f>"13607309967"</f>
        <v>13607309967</v>
      </c>
      <c r="C1107" t="str">
        <f>"430621197611250444"</f>
        <v>430621197611250444</v>
      </c>
      <c r="D1107" t="s">
        <v>1</v>
      </c>
      <c r="E1107" t="s">
        <v>1</v>
      </c>
      <c r="F1107" t="s">
        <v>0</v>
      </c>
      <c r="G1107" t="str">
        <f>"2018-10-18 16:31:50"</f>
        <v>2018-10-18 16:31:50</v>
      </c>
    </row>
    <row r="1108" spans="1:7" x14ac:dyDescent="0.2">
      <c r="A1108" t="s">
        <v>1</v>
      </c>
      <c r="B1108" t="str">
        <f>"15177434160"</f>
        <v>15177434160</v>
      </c>
      <c r="C1108" t="s">
        <v>1</v>
      </c>
      <c r="D1108" t="s">
        <v>1</v>
      </c>
      <c r="E1108" t="s">
        <v>1</v>
      </c>
      <c r="F1108" t="s">
        <v>0</v>
      </c>
      <c r="G1108" t="str">
        <f>"2018-10-18 16:30:12"</f>
        <v>2018-10-18 16:30:12</v>
      </c>
    </row>
    <row r="1109" spans="1:7" x14ac:dyDescent="0.2">
      <c r="A1109" t="s">
        <v>2763</v>
      </c>
      <c r="B1109" t="str">
        <f>"15191476227"</f>
        <v>15191476227</v>
      </c>
      <c r="C1109" t="str">
        <f>"612729198511272132"</f>
        <v>612729198511272132</v>
      </c>
      <c r="D1109" t="s">
        <v>1</v>
      </c>
      <c r="E1109" t="s">
        <v>1</v>
      </c>
      <c r="F1109" t="s">
        <v>0</v>
      </c>
      <c r="G1109" t="str">
        <f>"2018-10-18 16:30:06"</f>
        <v>2018-10-18 16:30:06</v>
      </c>
    </row>
    <row r="1110" spans="1:7" x14ac:dyDescent="0.2">
      <c r="A1110" t="s">
        <v>2764</v>
      </c>
      <c r="B1110" t="str">
        <f>"18670044446"</f>
        <v>18670044446</v>
      </c>
      <c r="C1110" t="str">
        <f>"43072219940303131X"</f>
        <v>43072219940303131X</v>
      </c>
      <c r="D1110" t="s">
        <v>2765</v>
      </c>
      <c r="E1110" t="s">
        <v>2766</v>
      </c>
      <c r="F1110" t="s">
        <v>0</v>
      </c>
      <c r="G1110" t="str">
        <f>"2018-10-18 16:37:57"</f>
        <v>2018-10-18 16:37:57</v>
      </c>
    </row>
    <row r="1111" spans="1:7" x14ac:dyDescent="0.2">
      <c r="A1111" t="s">
        <v>2767</v>
      </c>
      <c r="B1111" t="str">
        <f>"17513612472"</f>
        <v>17513612472</v>
      </c>
      <c r="C1111" t="str">
        <f>"411323199901096994"</f>
        <v>411323199901096994</v>
      </c>
      <c r="D1111" t="s">
        <v>1</v>
      </c>
      <c r="E1111" t="s">
        <v>1</v>
      </c>
      <c r="F1111" t="s">
        <v>0</v>
      </c>
      <c r="G1111" t="str">
        <f>"2018-10-18 16:32:03"</f>
        <v>2018-10-18 16:32:03</v>
      </c>
    </row>
    <row r="1112" spans="1:7" x14ac:dyDescent="0.2">
      <c r="A1112" t="s">
        <v>1</v>
      </c>
      <c r="B1112" t="str">
        <f>"13003399806"</f>
        <v>13003399806</v>
      </c>
      <c r="C1112" t="s">
        <v>1</v>
      </c>
      <c r="D1112" t="s">
        <v>1</v>
      </c>
      <c r="E1112" t="s">
        <v>1</v>
      </c>
      <c r="F1112" t="s">
        <v>0</v>
      </c>
      <c r="G1112" t="str">
        <f>"2018-10-18 19:15:25"</f>
        <v>2018-10-18 19:15:25</v>
      </c>
    </row>
    <row r="1113" spans="1:7" x14ac:dyDescent="0.2">
      <c r="A1113" t="s">
        <v>2768</v>
      </c>
      <c r="B1113" t="str">
        <f>"18112120007"</f>
        <v>18112120007</v>
      </c>
      <c r="C1113" t="str">
        <f>"321088199312013812"</f>
        <v>321088199312013812</v>
      </c>
      <c r="D1113" t="s">
        <v>1</v>
      </c>
      <c r="E1113" t="s">
        <v>1</v>
      </c>
      <c r="F1113" t="s">
        <v>0</v>
      </c>
      <c r="G1113" t="str">
        <f>"2018-10-18 16:35:41"</f>
        <v>2018-10-18 16:35:41</v>
      </c>
    </row>
    <row r="1114" spans="1:7" x14ac:dyDescent="0.2">
      <c r="A1114" t="s">
        <v>2769</v>
      </c>
      <c r="B1114" t="str">
        <f>"18850723779"</f>
        <v>18850723779</v>
      </c>
      <c r="C1114" t="str">
        <f>"350430198501192511"</f>
        <v>350430198501192511</v>
      </c>
      <c r="D1114" t="s">
        <v>1</v>
      </c>
      <c r="E1114" t="s">
        <v>1</v>
      </c>
      <c r="F1114" t="s">
        <v>0</v>
      </c>
      <c r="G1114" t="str">
        <f>"2018-10-18 16:34:45"</f>
        <v>2018-10-18 16:34:45</v>
      </c>
    </row>
    <row r="1115" spans="1:7" x14ac:dyDescent="0.2">
      <c r="A1115" t="s">
        <v>2770</v>
      </c>
      <c r="B1115" t="str">
        <f>"15689877234"</f>
        <v>15689877234</v>
      </c>
      <c r="C1115" t="str">
        <f>"370786199008056918"</f>
        <v>370786199008056918</v>
      </c>
      <c r="D1115" t="s">
        <v>1</v>
      </c>
      <c r="E1115" t="s">
        <v>1</v>
      </c>
      <c r="F1115" t="s">
        <v>0</v>
      </c>
      <c r="G1115" t="str">
        <f>"2018-10-18 16:35:37"</f>
        <v>2018-10-18 16:35:37</v>
      </c>
    </row>
    <row r="1116" spans="1:7" x14ac:dyDescent="0.2">
      <c r="A1116" t="s">
        <v>2771</v>
      </c>
      <c r="B1116" t="str">
        <f>"15924855369"</f>
        <v>15924855369</v>
      </c>
      <c r="C1116" t="str">
        <f>"530381199301141130"</f>
        <v>530381199301141130</v>
      </c>
      <c r="D1116" t="s">
        <v>1</v>
      </c>
      <c r="E1116" t="s">
        <v>1</v>
      </c>
      <c r="F1116" t="s">
        <v>0</v>
      </c>
      <c r="G1116" t="str">
        <f>"2018-10-18 16:31:35"</f>
        <v>2018-10-18 16:31:35</v>
      </c>
    </row>
    <row r="1117" spans="1:7" x14ac:dyDescent="0.2">
      <c r="A1117" t="s">
        <v>1</v>
      </c>
      <c r="B1117" t="str">
        <f>"18549818873"</f>
        <v>18549818873</v>
      </c>
      <c r="C1117" t="s">
        <v>1</v>
      </c>
      <c r="D1117" t="s">
        <v>1</v>
      </c>
      <c r="E1117" t="s">
        <v>1</v>
      </c>
      <c r="F1117" t="s">
        <v>0</v>
      </c>
      <c r="G1117" t="str">
        <f>"2018-10-18 16:29:42"</f>
        <v>2018-10-18 16:29:42</v>
      </c>
    </row>
    <row r="1118" spans="1:7" x14ac:dyDescent="0.2">
      <c r="A1118" t="s">
        <v>2772</v>
      </c>
      <c r="B1118" t="str">
        <f>"13644532730"</f>
        <v>13644532730</v>
      </c>
      <c r="C1118" t="str">
        <f>"231084198911171327"</f>
        <v>231084198911171327</v>
      </c>
      <c r="D1118" t="s">
        <v>1</v>
      </c>
      <c r="E1118" t="s">
        <v>1</v>
      </c>
      <c r="F1118" t="s">
        <v>0</v>
      </c>
      <c r="G1118" t="str">
        <f>"2018-10-18 16:29:41"</f>
        <v>2018-10-18 16:29:41</v>
      </c>
    </row>
    <row r="1119" spans="1:7" x14ac:dyDescent="0.2">
      <c r="A1119" t="s">
        <v>2773</v>
      </c>
      <c r="B1119" t="str">
        <f>"17878885692"</f>
        <v>17878885692</v>
      </c>
      <c r="C1119" t="str">
        <f>"450981198608122514"</f>
        <v>450981198608122514</v>
      </c>
      <c r="D1119" t="s">
        <v>1</v>
      </c>
      <c r="E1119" t="s">
        <v>1</v>
      </c>
      <c r="F1119" t="s">
        <v>0</v>
      </c>
      <c r="G1119" t="str">
        <f>"2018-10-18 16:31:11"</f>
        <v>2018-10-18 16:31:11</v>
      </c>
    </row>
    <row r="1120" spans="1:7" x14ac:dyDescent="0.2">
      <c r="A1120" t="s">
        <v>2774</v>
      </c>
      <c r="B1120" t="str">
        <f>"18822899904"</f>
        <v>18822899904</v>
      </c>
      <c r="C1120" t="str">
        <f>"350425198811283557"</f>
        <v>350425198811283557</v>
      </c>
      <c r="D1120" t="s">
        <v>1</v>
      </c>
      <c r="E1120" t="s">
        <v>1</v>
      </c>
      <c r="F1120" t="s">
        <v>0</v>
      </c>
      <c r="G1120" t="str">
        <f>"2018-10-18 17:30:34"</f>
        <v>2018-10-18 17:30:34</v>
      </c>
    </row>
    <row r="1121" spans="1:7" x14ac:dyDescent="0.2">
      <c r="A1121" t="s">
        <v>2775</v>
      </c>
      <c r="B1121" t="str">
        <f>"15863131267"</f>
        <v>15863131267</v>
      </c>
      <c r="C1121" t="str">
        <f>"371502198809082014"</f>
        <v>371502198809082014</v>
      </c>
      <c r="D1121" t="s">
        <v>1</v>
      </c>
      <c r="E1121" t="s">
        <v>1</v>
      </c>
      <c r="F1121" t="s">
        <v>0</v>
      </c>
      <c r="G1121" t="str">
        <f>"2018-10-18 16:33:55"</f>
        <v>2018-10-18 16:33:55</v>
      </c>
    </row>
    <row r="1122" spans="1:7" x14ac:dyDescent="0.2">
      <c r="A1122" t="s">
        <v>2776</v>
      </c>
      <c r="B1122" t="str">
        <f>"13777454378"</f>
        <v>13777454378</v>
      </c>
      <c r="C1122" t="str">
        <f>"360731199405201712"</f>
        <v>360731199405201712</v>
      </c>
      <c r="D1122" t="s">
        <v>2777</v>
      </c>
      <c r="E1122" t="s">
        <v>2778</v>
      </c>
      <c r="F1122" t="s">
        <v>0</v>
      </c>
      <c r="G1122" t="str">
        <f>"2018-10-18 16:49:17"</f>
        <v>2018-10-18 16:49:17</v>
      </c>
    </row>
    <row r="1123" spans="1:7" x14ac:dyDescent="0.2">
      <c r="A1123" t="s">
        <v>2779</v>
      </c>
      <c r="B1123" t="str">
        <f>"18375697879"</f>
        <v>18375697879</v>
      </c>
      <c r="C1123" t="str">
        <f>"511028199411152913"</f>
        <v>511028199411152913</v>
      </c>
      <c r="D1123" t="s">
        <v>2780</v>
      </c>
      <c r="E1123" t="s">
        <v>2781</v>
      </c>
      <c r="F1123" t="s">
        <v>0</v>
      </c>
      <c r="G1123" t="str">
        <f>"2018-10-18 16:28:56"</f>
        <v>2018-10-18 16:28:56</v>
      </c>
    </row>
    <row r="1124" spans="1:7" x14ac:dyDescent="0.2">
      <c r="A1124" t="s">
        <v>1</v>
      </c>
      <c r="B1124" t="str">
        <f>"13850328076"</f>
        <v>13850328076</v>
      </c>
      <c r="C1124" t="s">
        <v>1</v>
      </c>
      <c r="D1124" t="s">
        <v>1</v>
      </c>
      <c r="E1124" t="s">
        <v>1</v>
      </c>
      <c r="F1124" t="s">
        <v>0</v>
      </c>
      <c r="G1124" t="str">
        <f>"2018-10-18 16:28:50"</f>
        <v>2018-10-18 16:28:50</v>
      </c>
    </row>
    <row r="1125" spans="1:7" x14ac:dyDescent="0.2">
      <c r="A1125" t="s">
        <v>2782</v>
      </c>
      <c r="B1125" t="str">
        <f>"13780315660"</f>
        <v>13780315660</v>
      </c>
      <c r="C1125" t="str">
        <f>"130132199411243186"</f>
        <v>130132199411243186</v>
      </c>
      <c r="D1125" t="s">
        <v>1</v>
      </c>
      <c r="E1125" t="s">
        <v>1</v>
      </c>
      <c r="F1125" t="s">
        <v>0</v>
      </c>
      <c r="G1125" t="str">
        <f>"2018-10-18 16:28:48"</f>
        <v>2018-10-18 16:28:48</v>
      </c>
    </row>
    <row r="1126" spans="1:7" x14ac:dyDescent="0.2">
      <c r="A1126" t="s">
        <v>2783</v>
      </c>
      <c r="B1126" t="str">
        <f>"15991698280"</f>
        <v>15991698280</v>
      </c>
      <c r="C1126" t="str">
        <f>"610104198702030011"</f>
        <v>610104198702030011</v>
      </c>
      <c r="D1126" t="s">
        <v>2784</v>
      </c>
      <c r="E1126" t="s">
        <v>2785</v>
      </c>
      <c r="F1126" t="s">
        <v>0</v>
      </c>
      <c r="G1126" t="str">
        <f>"2018-10-18 16:29:34"</f>
        <v>2018-10-18 16:29:34</v>
      </c>
    </row>
    <row r="1127" spans="1:7" x14ac:dyDescent="0.2">
      <c r="A1127" t="s">
        <v>2786</v>
      </c>
      <c r="B1127" t="str">
        <f>"13065217123"</f>
        <v>13065217123</v>
      </c>
      <c r="C1127" t="str">
        <f>"21128219890513521X"</f>
        <v>21128219890513521X</v>
      </c>
      <c r="D1127" t="s">
        <v>1</v>
      </c>
      <c r="E1127" t="s">
        <v>1</v>
      </c>
      <c r="F1127" t="s">
        <v>0</v>
      </c>
      <c r="G1127" t="str">
        <f>"2018-10-27 13:17:12"</f>
        <v>2018-10-27 13:17:12</v>
      </c>
    </row>
    <row r="1128" spans="1:7" x14ac:dyDescent="0.2">
      <c r="A1128" t="s">
        <v>2787</v>
      </c>
      <c r="B1128" t="str">
        <f>"17765337196"</f>
        <v>17765337196</v>
      </c>
      <c r="C1128" t="str">
        <f>"510321199111029279"</f>
        <v>510321199111029279</v>
      </c>
      <c r="D1128" t="s">
        <v>1</v>
      </c>
      <c r="E1128" t="s">
        <v>1</v>
      </c>
      <c r="F1128" t="s">
        <v>0</v>
      </c>
      <c r="G1128" t="str">
        <f>"2018-10-18 16:30:10"</f>
        <v>2018-10-18 16:30:10</v>
      </c>
    </row>
    <row r="1129" spans="1:7" x14ac:dyDescent="0.2">
      <c r="A1129" t="s">
        <v>382</v>
      </c>
      <c r="B1129" t="str">
        <f>"15248403461"</f>
        <v>15248403461</v>
      </c>
      <c r="C1129" t="str">
        <f>"152725199102024128"</f>
        <v>152725199102024128</v>
      </c>
      <c r="D1129" t="s">
        <v>1</v>
      </c>
      <c r="E1129" t="s">
        <v>1</v>
      </c>
      <c r="F1129" t="s">
        <v>0</v>
      </c>
      <c r="G1129" t="str">
        <f>"2018-10-24 20:06:31"</f>
        <v>2018-10-24 20:06:31</v>
      </c>
    </row>
    <row r="1130" spans="1:7" x14ac:dyDescent="0.2">
      <c r="A1130" t="s">
        <v>1</v>
      </c>
      <c r="B1130" t="str">
        <f>"15882384779"</f>
        <v>15882384779</v>
      </c>
      <c r="C1130" t="s">
        <v>1</v>
      </c>
      <c r="D1130" t="s">
        <v>1</v>
      </c>
      <c r="E1130" t="s">
        <v>1</v>
      </c>
      <c r="F1130" t="s">
        <v>0</v>
      </c>
      <c r="G1130" t="str">
        <f>"2018-10-18 16:30:46"</f>
        <v>2018-10-18 16:30:46</v>
      </c>
    </row>
    <row r="1131" spans="1:7" x14ac:dyDescent="0.2">
      <c r="A1131" t="s">
        <v>1237</v>
      </c>
      <c r="B1131" t="str">
        <f>"15950634050"</f>
        <v>15950634050</v>
      </c>
      <c r="C1131" t="str">
        <f>"321322199602203640"</f>
        <v>321322199602203640</v>
      </c>
      <c r="D1131" t="s">
        <v>1</v>
      </c>
      <c r="E1131" t="s">
        <v>1</v>
      </c>
      <c r="F1131" t="s">
        <v>0</v>
      </c>
      <c r="G1131" t="str">
        <f>"2018-10-18 16:29:02"</f>
        <v>2018-10-18 16:29:02</v>
      </c>
    </row>
    <row r="1132" spans="1:7" x14ac:dyDescent="0.2">
      <c r="A1132" t="s">
        <v>2788</v>
      </c>
      <c r="B1132" t="str">
        <f>"15069782655"</f>
        <v>15069782655</v>
      </c>
      <c r="C1132" t="str">
        <f>"370882199105104213"</f>
        <v>370882199105104213</v>
      </c>
      <c r="D1132" t="s">
        <v>2789</v>
      </c>
      <c r="E1132" t="s">
        <v>2790</v>
      </c>
      <c r="F1132" t="s">
        <v>0</v>
      </c>
      <c r="G1132" t="str">
        <f>"2018-10-19 14:11:50"</f>
        <v>2018-10-19 14:11:50</v>
      </c>
    </row>
    <row r="1133" spans="1:7" x14ac:dyDescent="0.2">
      <c r="A1133" t="s">
        <v>2791</v>
      </c>
      <c r="B1133" t="str">
        <f>"15986971009"</f>
        <v>15986971009</v>
      </c>
      <c r="C1133" t="str">
        <f>"44132319880916051X"</f>
        <v>44132319880916051X</v>
      </c>
      <c r="D1133" t="s">
        <v>2792</v>
      </c>
      <c r="E1133" t="s">
        <v>2793</v>
      </c>
      <c r="F1133" t="s">
        <v>0</v>
      </c>
      <c r="G1133" t="str">
        <f>"2018-10-18 16:29:41"</f>
        <v>2018-10-18 16:29:41</v>
      </c>
    </row>
    <row r="1134" spans="1:7" x14ac:dyDescent="0.2">
      <c r="A1134" t="s">
        <v>2794</v>
      </c>
      <c r="B1134" t="str">
        <f>"17660429373"</f>
        <v>17660429373</v>
      </c>
      <c r="C1134" t="str">
        <f>"370112199911162912"</f>
        <v>370112199911162912</v>
      </c>
      <c r="D1134" t="s">
        <v>1</v>
      </c>
      <c r="E1134" t="s">
        <v>1</v>
      </c>
      <c r="F1134" t="s">
        <v>0</v>
      </c>
      <c r="G1134" t="str">
        <f>"2018-10-18 16:27:16"</f>
        <v>2018-10-18 16:27:16</v>
      </c>
    </row>
    <row r="1135" spans="1:7" x14ac:dyDescent="0.2">
      <c r="A1135" t="s">
        <v>2795</v>
      </c>
      <c r="B1135" t="str">
        <f>"15144417231"</f>
        <v>15144417231</v>
      </c>
      <c r="C1135" t="str">
        <f>"220303198809263036"</f>
        <v>220303198809263036</v>
      </c>
      <c r="D1135" t="s">
        <v>1</v>
      </c>
      <c r="E1135" t="s">
        <v>1</v>
      </c>
      <c r="F1135" t="s">
        <v>0</v>
      </c>
      <c r="G1135" t="str">
        <f>"2018-10-18 16:28:42"</f>
        <v>2018-10-18 16:28:42</v>
      </c>
    </row>
    <row r="1136" spans="1:7" x14ac:dyDescent="0.2">
      <c r="A1136" t="s">
        <v>2796</v>
      </c>
      <c r="B1136" t="str">
        <f>"18226644826"</f>
        <v>18226644826</v>
      </c>
      <c r="C1136" t="str">
        <f>"340121199612286713"</f>
        <v>340121199612286713</v>
      </c>
      <c r="D1136" t="s">
        <v>2797</v>
      </c>
      <c r="E1136" t="s">
        <v>2798</v>
      </c>
      <c r="F1136" t="s">
        <v>0</v>
      </c>
      <c r="G1136" t="str">
        <f>"2018-10-18 16:28:07"</f>
        <v>2018-10-18 16:28:07</v>
      </c>
    </row>
    <row r="1137" spans="1:7" x14ac:dyDescent="0.2">
      <c r="A1137" t="s">
        <v>1430</v>
      </c>
      <c r="B1137" t="str">
        <f>"15032906262"</f>
        <v>15032906262</v>
      </c>
      <c r="C1137" t="str">
        <f>"150430199312033631"</f>
        <v>150430199312033631</v>
      </c>
      <c r="D1137" t="s">
        <v>1</v>
      </c>
      <c r="E1137" t="s">
        <v>1</v>
      </c>
      <c r="F1137" t="s">
        <v>0</v>
      </c>
      <c r="G1137" t="str">
        <f>"2018-10-18 17:32:43"</f>
        <v>2018-10-18 17:32:43</v>
      </c>
    </row>
    <row r="1138" spans="1:7" x14ac:dyDescent="0.2">
      <c r="A1138" t="s">
        <v>2799</v>
      </c>
      <c r="B1138" t="str">
        <f>"15873137671"</f>
        <v>15873137671</v>
      </c>
      <c r="C1138" t="str">
        <f>"430121197208107077"</f>
        <v>430121197208107077</v>
      </c>
      <c r="D1138" t="s">
        <v>2800</v>
      </c>
      <c r="E1138" t="s">
        <v>2801</v>
      </c>
      <c r="F1138" t="s">
        <v>0</v>
      </c>
      <c r="G1138" t="str">
        <f>"2018-11-04 20:58:46"</f>
        <v>2018-11-04 20:58:46</v>
      </c>
    </row>
    <row r="1139" spans="1:7" x14ac:dyDescent="0.2">
      <c r="A1139" t="s">
        <v>1214</v>
      </c>
      <c r="B1139" t="str">
        <f>"13887411098"</f>
        <v>13887411098</v>
      </c>
      <c r="C1139" t="str">
        <f>"530302198606283017"</f>
        <v>530302198606283017</v>
      </c>
      <c r="D1139" t="s">
        <v>1</v>
      </c>
      <c r="E1139" t="s">
        <v>1</v>
      </c>
      <c r="F1139" t="s">
        <v>0</v>
      </c>
      <c r="G1139" t="str">
        <f>"2018-10-27 09:57:57"</f>
        <v>2018-10-27 09:57:57</v>
      </c>
    </row>
    <row r="1140" spans="1:7" x14ac:dyDescent="0.2">
      <c r="A1140" t="s">
        <v>813</v>
      </c>
      <c r="B1140" t="str">
        <f>"13153836756"</f>
        <v>13153836756</v>
      </c>
      <c r="C1140" t="str">
        <f>"371202199306262919"</f>
        <v>371202199306262919</v>
      </c>
      <c r="D1140" t="s">
        <v>2802</v>
      </c>
      <c r="E1140" t="s">
        <v>2803</v>
      </c>
      <c r="F1140" t="s">
        <v>0</v>
      </c>
      <c r="G1140" t="str">
        <f>"2018-10-18 16:29:26"</f>
        <v>2018-10-18 16:29:26</v>
      </c>
    </row>
    <row r="1141" spans="1:7" x14ac:dyDescent="0.2">
      <c r="A1141" t="s">
        <v>2804</v>
      </c>
      <c r="B1141" t="str">
        <f>"13647291817"</f>
        <v>13647291817</v>
      </c>
      <c r="C1141" t="str">
        <f>"429001198706233113"</f>
        <v>429001198706233113</v>
      </c>
      <c r="D1141" t="s">
        <v>1</v>
      </c>
      <c r="E1141" t="s">
        <v>1</v>
      </c>
      <c r="F1141" t="s">
        <v>0</v>
      </c>
      <c r="G1141" t="str">
        <f>"2018-10-19 11:33:36"</f>
        <v>2018-10-19 11:33:36</v>
      </c>
    </row>
    <row r="1142" spans="1:7" x14ac:dyDescent="0.2">
      <c r="A1142" t="s">
        <v>1672</v>
      </c>
      <c r="B1142" t="str">
        <f>"15287216064"</f>
        <v>15287216064</v>
      </c>
      <c r="C1142" t="str">
        <f>"532928198604250519"</f>
        <v>532928198604250519</v>
      </c>
      <c r="D1142" t="s">
        <v>1</v>
      </c>
      <c r="E1142" t="s">
        <v>1</v>
      </c>
      <c r="F1142" t="s">
        <v>0</v>
      </c>
      <c r="G1142" t="str">
        <f>"2018-10-18 16:27:51"</f>
        <v>2018-10-18 16:27:51</v>
      </c>
    </row>
    <row r="1143" spans="1:7" x14ac:dyDescent="0.2">
      <c r="A1143" t="s">
        <v>1</v>
      </c>
      <c r="B1143" t="str">
        <f>"13030999421"</f>
        <v>13030999421</v>
      </c>
      <c r="C1143" t="s">
        <v>1</v>
      </c>
      <c r="D1143" t="s">
        <v>1</v>
      </c>
      <c r="E1143" t="s">
        <v>1</v>
      </c>
      <c r="F1143" t="s">
        <v>0</v>
      </c>
      <c r="G1143" t="str">
        <f>"2018-10-18 16:26:02"</f>
        <v>2018-10-18 16:26:02</v>
      </c>
    </row>
    <row r="1144" spans="1:7" x14ac:dyDescent="0.2">
      <c r="A1144" t="s">
        <v>2805</v>
      </c>
      <c r="B1144" t="str">
        <f>"18976531528"</f>
        <v>18976531528</v>
      </c>
      <c r="C1144" t="str">
        <f>"460004197001200219"</f>
        <v>460004197001200219</v>
      </c>
      <c r="D1144" t="s">
        <v>1</v>
      </c>
      <c r="E1144" t="s">
        <v>1</v>
      </c>
      <c r="F1144" t="s">
        <v>0</v>
      </c>
      <c r="G1144" t="str">
        <f>"2018-10-18 16:28:59"</f>
        <v>2018-10-18 16:28:59</v>
      </c>
    </row>
    <row r="1145" spans="1:7" x14ac:dyDescent="0.2">
      <c r="A1145" t="s">
        <v>2806</v>
      </c>
      <c r="B1145" t="str">
        <f>"15639701125"</f>
        <v>15639701125</v>
      </c>
      <c r="C1145" t="str">
        <f>"411522199010224811"</f>
        <v>411522199010224811</v>
      </c>
      <c r="D1145" t="s">
        <v>1</v>
      </c>
      <c r="E1145" t="s">
        <v>1</v>
      </c>
      <c r="F1145" t="s">
        <v>0</v>
      </c>
      <c r="G1145" t="str">
        <f>"2018-10-18 16:26:54"</f>
        <v>2018-10-18 16:26:54</v>
      </c>
    </row>
    <row r="1146" spans="1:7" x14ac:dyDescent="0.2">
      <c r="A1146" t="s">
        <v>2807</v>
      </c>
      <c r="B1146" t="str">
        <f>"18142700937"</f>
        <v>18142700937</v>
      </c>
      <c r="C1146" t="str">
        <f>"211102199202051033"</f>
        <v>211102199202051033</v>
      </c>
      <c r="D1146" t="s">
        <v>1</v>
      </c>
      <c r="E1146" t="s">
        <v>1</v>
      </c>
      <c r="F1146" t="s">
        <v>0</v>
      </c>
      <c r="G1146" t="str">
        <f>"2018-10-18 16:35:44"</f>
        <v>2018-10-18 16:35:44</v>
      </c>
    </row>
    <row r="1147" spans="1:7" x14ac:dyDescent="0.2">
      <c r="A1147" t="s">
        <v>1</v>
      </c>
      <c r="B1147" t="str">
        <f>"13257785594"</f>
        <v>13257785594</v>
      </c>
      <c r="C1147" t="s">
        <v>1</v>
      </c>
      <c r="D1147" t="s">
        <v>1</v>
      </c>
      <c r="E1147" t="s">
        <v>1</v>
      </c>
      <c r="F1147" t="s">
        <v>0</v>
      </c>
      <c r="G1147" t="str">
        <f>"2018-10-18 16:25:20"</f>
        <v>2018-10-18 16:25:20</v>
      </c>
    </row>
    <row r="1148" spans="1:7" x14ac:dyDescent="0.2">
      <c r="A1148" t="s">
        <v>2808</v>
      </c>
      <c r="B1148" t="str">
        <f>"18697152035"</f>
        <v>18697152035</v>
      </c>
      <c r="C1148" t="str">
        <f>"630102199204100422"</f>
        <v>630102199204100422</v>
      </c>
      <c r="D1148" t="s">
        <v>1</v>
      </c>
      <c r="E1148" t="s">
        <v>1</v>
      </c>
      <c r="F1148" t="s">
        <v>0</v>
      </c>
      <c r="G1148" t="str">
        <f>"2018-10-18 16:28:03"</f>
        <v>2018-10-18 16:28:03</v>
      </c>
    </row>
    <row r="1149" spans="1:7" x14ac:dyDescent="0.2">
      <c r="A1149" t="s">
        <v>1</v>
      </c>
      <c r="B1149" t="str">
        <f>"18213926031"</f>
        <v>18213926031</v>
      </c>
      <c r="C1149" t="s">
        <v>1</v>
      </c>
      <c r="D1149" t="s">
        <v>1</v>
      </c>
      <c r="E1149" t="s">
        <v>1</v>
      </c>
      <c r="F1149" t="s">
        <v>0</v>
      </c>
      <c r="G1149" t="str">
        <f>"2018-10-18 16:27:15"</f>
        <v>2018-10-18 16:27:15</v>
      </c>
    </row>
    <row r="1150" spans="1:7" x14ac:dyDescent="0.2">
      <c r="A1150" t="s">
        <v>2809</v>
      </c>
      <c r="B1150" t="str">
        <f>"15907762488"</f>
        <v>15907762488</v>
      </c>
      <c r="C1150" t="str">
        <f>"452624198201101015"</f>
        <v>452624198201101015</v>
      </c>
      <c r="D1150" t="s">
        <v>1</v>
      </c>
      <c r="E1150" t="s">
        <v>1</v>
      </c>
      <c r="F1150" t="s">
        <v>0</v>
      </c>
      <c r="G1150" t="str">
        <f>"2018-10-18 16:32:51"</f>
        <v>2018-10-18 16:32:51</v>
      </c>
    </row>
    <row r="1151" spans="1:7" x14ac:dyDescent="0.2">
      <c r="A1151" t="s">
        <v>2810</v>
      </c>
      <c r="B1151" t="str">
        <f>"18300392060"</f>
        <v>18300392060</v>
      </c>
      <c r="C1151" t="str">
        <f>"37112219890820317X"</f>
        <v>37112219890820317X</v>
      </c>
      <c r="D1151" t="s">
        <v>2811</v>
      </c>
      <c r="E1151" t="s">
        <v>2812</v>
      </c>
      <c r="F1151" t="s">
        <v>0</v>
      </c>
      <c r="G1151" t="str">
        <f>"2018-10-18 16:24:30"</f>
        <v>2018-10-18 16:24:30</v>
      </c>
    </row>
    <row r="1152" spans="1:7" x14ac:dyDescent="0.2">
      <c r="A1152" t="s">
        <v>1</v>
      </c>
      <c r="B1152" t="str">
        <f>"15391947933"</f>
        <v>15391947933</v>
      </c>
      <c r="C1152" t="s">
        <v>1</v>
      </c>
      <c r="D1152" t="s">
        <v>1</v>
      </c>
      <c r="E1152" t="s">
        <v>1</v>
      </c>
      <c r="F1152" t="s">
        <v>0</v>
      </c>
      <c r="G1152" t="str">
        <f>"2018-10-18 16:26:08"</f>
        <v>2018-10-18 16:26:08</v>
      </c>
    </row>
    <row r="1153" spans="1:7" x14ac:dyDescent="0.2">
      <c r="A1153" t="s">
        <v>2813</v>
      </c>
      <c r="B1153" t="str">
        <f>"18679727748"</f>
        <v>18679727748</v>
      </c>
      <c r="C1153" t="str">
        <f>"340828198809121056"</f>
        <v>340828198809121056</v>
      </c>
      <c r="D1153" t="s">
        <v>2814</v>
      </c>
      <c r="E1153" t="s">
        <v>2815</v>
      </c>
      <c r="F1153" t="s">
        <v>0</v>
      </c>
      <c r="G1153" t="str">
        <f>"2018-10-18 16:24:03"</f>
        <v>2018-10-18 16:24:03</v>
      </c>
    </row>
    <row r="1154" spans="1:7" x14ac:dyDescent="0.2">
      <c r="A1154" t="s">
        <v>2816</v>
      </c>
      <c r="B1154" t="str">
        <f>"15658878890"</f>
        <v>15658878890</v>
      </c>
      <c r="C1154" t="str">
        <f>"340824198411036411"</f>
        <v>340824198411036411</v>
      </c>
      <c r="D1154" t="s">
        <v>2817</v>
      </c>
      <c r="E1154" t="s">
        <v>2818</v>
      </c>
      <c r="F1154" t="s">
        <v>0</v>
      </c>
      <c r="G1154" t="str">
        <f>"2018-10-18 16:28:52"</f>
        <v>2018-10-18 16:28:52</v>
      </c>
    </row>
    <row r="1155" spans="1:7" x14ac:dyDescent="0.2">
      <c r="A1155" t="s">
        <v>1</v>
      </c>
      <c r="B1155" t="str">
        <f>"18360746233"</f>
        <v>18360746233</v>
      </c>
      <c r="C1155" t="s">
        <v>1</v>
      </c>
      <c r="D1155" t="s">
        <v>1</v>
      </c>
      <c r="E1155" t="s">
        <v>1</v>
      </c>
      <c r="F1155" t="s">
        <v>0</v>
      </c>
      <c r="G1155" t="str">
        <f>"2018-10-18 16:23:45"</f>
        <v>2018-10-18 16:23:45</v>
      </c>
    </row>
    <row r="1156" spans="1:7" x14ac:dyDescent="0.2">
      <c r="A1156" t="s">
        <v>2819</v>
      </c>
      <c r="B1156" t="str">
        <f>"15076855266"</f>
        <v>15076855266</v>
      </c>
      <c r="C1156" t="str">
        <f>"131126199605154812"</f>
        <v>131126199605154812</v>
      </c>
      <c r="D1156" t="s">
        <v>1</v>
      </c>
      <c r="E1156" t="s">
        <v>1</v>
      </c>
      <c r="F1156" t="s">
        <v>0</v>
      </c>
      <c r="G1156" t="str">
        <f>"2018-10-18 16:23:33"</f>
        <v>2018-10-18 16:23:33</v>
      </c>
    </row>
    <row r="1157" spans="1:7" x14ac:dyDescent="0.2">
      <c r="A1157" t="s">
        <v>1872</v>
      </c>
      <c r="B1157" t="str">
        <f>"13395188234"</f>
        <v>13395188234</v>
      </c>
      <c r="C1157" t="str">
        <f>"341202199510013607"</f>
        <v>341202199510013607</v>
      </c>
      <c r="D1157" t="s">
        <v>2820</v>
      </c>
      <c r="E1157" t="s">
        <v>2821</v>
      </c>
      <c r="F1157" t="s">
        <v>0</v>
      </c>
      <c r="G1157" t="str">
        <f>"2018-10-18 16:23:17"</f>
        <v>2018-10-18 16:23:17</v>
      </c>
    </row>
    <row r="1158" spans="1:7" x14ac:dyDescent="0.2">
      <c r="A1158" t="s">
        <v>2822</v>
      </c>
      <c r="B1158" t="str">
        <f>"17363682623"</f>
        <v>17363682623</v>
      </c>
      <c r="C1158" t="str">
        <f>"430723198503217615"</f>
        <v>430723198503217615</v>
      </c>
      <c r="D1158" t="s">
        <v>1</v>
      </c>
      <c r="E1158" t="s">
        <v>1</v>
      </c>
      <c r="F1158" t="s">
        <v>0</v>
      </c>
      <c r="G1158" t="str">
        <f>"2018-10-18 16:24:40"</f>
        <v>2018-10-18 16:24:40</v>
      </c>
    </row>
    <row r="1159" spans="1:7" x14ac:dyDescent="0.2">
      <c r="A1159" t="s">
        <v>2823</v>
      </c>
      <c r="B1159" t="str">
        <f>"18697549359"</f>
        <v>18697549359</v>
      </c>
      <c r="C1159" t="str">
        <f>"342224199406080999"</f>
        <v>342224199406080999</v>
      </c>
      <c r="D1159" t="s">
        <v>1</v>
      </c>
      <c r="E1159" t="s">
        <v>1</v>
      </c>
      <c r="F1159" t="s">
        <v>0</v>
      </c>
      <c r="G1159" t="str">
        <f>"2018-10-18 16:25:41"</f>
        <v>2018-10-18 16:25:41</v>
      </c>
    </row>
    <row r="1160" spans="1:7" x14ac:dyDescent="0.2">
      <c r="A1160" t="s">
        <v>1</v>
      </c>
      <c r="B1160" t="str">
        <f>"15870098959"</f>
        <v>15870098959</v>
      </c>
      <c r="C1160" t="s">
        <v>1</v>
      </c>
      <c r="D1160" t="s">
        <v>1</v>
      </c>
      <c r="E1160" t="s">
        <v>1</v>
      </c>
      <c r="F1160" t="s">
        <v>0</v>
      </c>
      <c r="G1160" t="str">
        <f>"2018-10-18 16:24:13"</f>
        <v>2018-10-18 16:24:13</v>
      </c>
    </row>
    <row r="1161" spans="1:7" x14ac:dyDescent="0.2">
      <c r="A1161" t="s">
        <v>2824</v>
      </c>
      <c r="B1161" t="str">
        <f>"15168682921"</f>
        <v>15168682921</v>
      </c>
      <c r="C1161" t="str">
        <f>"332624198907050056"</f>
        <v>332624198907050056</v>
      </c>
      <c r="D1161" t="s">
        <v>1</v>
      </c>
      <c r="E1161" t="s">
        <v>1</v>
      </c>
      <c r="F1161" t="s">
        <v>0</v>
      </c>
      <c r="G1161" t="str">
        <f>"2018-10-18 16:23:18"</f>
        <v>2018-10-18 16:23:18</v>
      </c>
    </row>
    <row r="1162" spans="1:7" x14ac:dyDescent="0.2">
      <c r="A1162" t="s">
        <v>1343</v>
      </c>
      <c r="B1162" t="str">
        <f>"18092898066"</f>
        <v>18092898066</v>
      </c>
      <c r="C1162" t="str">
        <f>"612325199309112415"</f>
        <v>612325199309112415</v>
      </c>
      <c r="D1162" t="s">
        <v>1</v>
      </c>
      <c r="E1162" t="s">
        <v>1</v>
      </c>
      <c r="F1162" t="s">
        <v>0</v>
      </c>
      <c r="G1162" t="str">
        <f>"2018-10-18 16:43:05"</f>
        <v>2018-10-18 16:43:05</v>
      </c>
    </row>
    <row r="1163" spans="1:7" x14ac:dyDescent="0.2">
      <c r="A1163" t="s">
        <v>1</v>
      </c>
      <c r="B1163" t="str">
        <f>"17176476130"</f>
        <v>17176476130</v>
      </c>
      <c r="C1163" t="s">
        <v>1</v>
      </c>
      <c r="D1163" t="s">
        <v>1</v>
      </c>
      <c r="E1163" t="s">
        <v>1</v>
      </c>
      <c r="F1163" t="s">
        <v>0</v>
      </c>
      <c r="G1163" t="str">
        <f>"2018-10-18 16:22:24"</f>
        <v>2018-10-18 16:22:24</v>
      </c>
    </row>
    <row r="1164" spans="1:7" x14ac:dyDescent="0.2">
      <c r="A1164" t="s">
        <v>1113</v>
      </c>
      <c r="B1164" t="str">
        <f>"15605201908"</f>
        <v>15605201908</v>
      </c>
      <c r="C1164" t="str">
        <f>"321302199703308825"</f>
        <v>321302199703308825</v>
      </c>
      <c r="D1164" t="s">
        <v>1</v>
      </c>
      <c r="E1164" t="s">
        <v>1</v>
      </c>
      <c r="F1164" t="s">
        <v>0</v>
      </c>
      <c r="G1164" t="str">
        <f>"2018-10-18 16:43:33"</f>
        <v>2018-10-18 16:43:33</v>
      </c>
    </row>
    <row r="1165" spans="1:7" x14ac:dyDescent="0.2">
      <c r="A1165" t="s">
        <v>2825</v>
      </c>
      <c r="B1165" t="str">
        <f>"17695728398"</f>
        <v>17695728398</v>
      </c>
      <c r="C1165" t="str">
        <f>"350123199002095615"</f>
        <v>350123199002095615</v>
      </c>
      <c r="D1165" t="s">
        <v>1</v>
      </c>
      <c r="E1165" t="s">
        <v>1</v>
      </c>
      <c r="F1165" t="s">
        <v>0</v>
      </c>
      <c r="G1165" t="str">
        <f>"2018-10-18 16:24:57"</f>
        <v>2018-10-18 16:24:57</v>
      </c>
    </row>
    <row r="1166" spans="1:7" x14ac:dyDescent="0.2">
      <c r="A1166" t="s">
        <v>2826</v>
      </c>
      <c r="B1166" t="str">
        <f>"18638708036"</f>
        <v>18638708036</v>
      </c>
      <c r="C1166" t="str">
        <f>"411202195904240511"</f>
        <v>411202195904240511</v>
      </c>
      <c r="D1166" t="s">
        <v>2827</v>
      </c>
      <c r="E1166" t="s">
        <v>2828</v>
      </c>
      <c r="F1166" t="s">
        <v>0</v>
      </c>
      <c r="G1166" t="str">
        <f>"2018-10-18 16:23:56"</f>
        <v>2018-10-18 16:23:56</v>
      </c>
    </row>
    <row r="1167" spans="1:7" x14ac:dyDescent="0.2">
      <c r="A1167" t="s">
        <v>1</v>
      </c>
      <c r="B1167" t="str">
        <f>"13696291823"</f>
        <v>13696291823</v>
      </c>
      <c r="C1167" t="s">
        <v>1</v>
      </c>
      <c r="D1167" t="s">
        <v>1</v>
      </c>
      <c r="E1167" t="s">
        <v>1</v>
      </c>
      <c r="F1167" t="s">
        <v>0</v>
      </c>
      <c r="G1167" t="str">
        <f>"2018-10-18 16:21:56"</f>
        <v>2018-10-18 16:21:56</v>
      </c>
    </row>
    <row r="1168" spans="1:7" x14ac:dyDescent="0.2">
      <c r="A1168" t="s">
        <v>2829</v>
      </c>
      <c r="B1168" t="str">
        <f>"18111740116"</f>
        <v>18111740116</v>
      </c>
      <c r="C1168" t="str">
        <f>"511028198711185114"</f>
        <v>511028198711185114</v>
      </c>
      <c r="D1168" t="s">
        <v>1</v>
      </c>
      <c r="E1168" t="s">
        <v>1</v>
      </c>
      <c r="F1168" t="s">
        <v>0</v>
      </c>
      <c r="G1168" t="str">
        <f>"2018-10-18 17:07:18"</f>
        <v>2018-10-18 17:07:18</v>
      </c>
    </row>
    <row r="1169" spans="1:7" x14ac:dyDescent="0.2">
      <c r="A1169" t="s">
        <v>2830</v>
      </c>
      <c r="B1169" t="str">
        <f>"13765017751"</f>
        <v>13765017751</v>
      </c>
      <c r="C1169" t="str">
        <f>"520103198907132021"</f>
        <v>520103198907132021</v>
      </c>
      <c r="D1169" t="s">
        <v>1</v>
      </c>
      <c r="E1169" t="s">
        <v>1</v>
      </c>
      <c r="F1169" t="s">
        <v>0</v>
      </c>
      <c r="G1169" t="str">
        <f>"2018-10-18 17:07:10"</f>
        <v>2018-10-18 17:07:10</v>
      </c>
    </row>
    <row r="1170" spans="1:7" x14ac:dyDescent="0.2">
      <c r="A1170" t="s">
        <v>1403</v>
      </c>
      <c r="B1170" t="str">
        <f>"18504854339"</f>
        <v>18504854339</v>
      </c>
      <c r="C1170" t="str">
        <f>"152326199904242025"</f>
        <v>152326199904242025</v>
      </c>
      <c r="D1170" t="s">
        <v>1</v>
      </c>
      <c r="E1170" t="s">
        <v>1</v>
      </c>
      <c r="F1170" t="s">
        <v>0</v>
      </c>
      <c r="G1170" t="str">
        <f>"2018-10-18 16:22:08"</f>
        <v>2018-10-18 16:22:08</v>
      </c>
    </row>
    <row r="1171" spans="1:7" x14ac:dyDescent="0.2">
      <c r="A1171" t="s">
        <v>1</v>
      </c>
      <c r="B1171" t="str">
        <f>"18191784095"</f>
        <v>18191784095</v>
      </c>
      <c r="C1171" t="s">
        <v>1</v>
      </c>
      <c r="D1171" t="s">
        <v>1</v>
      </c>
      <c r="E1171" t="s">
        <v>1</v>
      </c>
      <c r="F1171" t="s">
        <v>0</v>
      </c>
      <c r="G1171" t="str">
        <f>"2018-10-18 16:21:15"</f>
        <v>2018-10-18 16:21:15</v>
      </c>
    </row>
    <row r="1172" spans="1:7" x14ac:dyDescent="0.2">
      <c r="A1172" t="s">
        <v>2831</v>
      </c>
      <c r="B1172" t="str">
        <f>"13169156829"</f>
        <v>13169156829</v>
      </c>
      <c r="C1172" t="str">
        <f>"511322199102202778"</f>
        <v>511322199102202778</v>
      </c>
      <c r="D1172" t="s">
        <v>1</v>
      </c>
      <c r="E1172" t="s">
        <v>1</v>
      </c>
      <c r="F1172" t="s">
        <v>0</v>
      </c>
      <c r="G1172" t="str">
        <f>"2018-10-18 16:24:34"</f>
        <v>2018-10-18 16:24:34</v>
      </c>
    </row>
    <row r="1173" spans="1:7" x14ac:dyDescent="0.2">
      <c r="A1173" t="s">
        <v>1</v>
      </c>
      <c r="B1173" t="str">
        <f>"18006320999"</f>
        <v>18006320999</v>
      </c>
      <c r="C1173" t="s">
        <v>1</v>
      </c>
      <c r="D1173" t="s">
        <v>1</v>
      </c>
      <c r="E1173" t="s">
        <v>1</v>
      </c>
      <c r="F1173" t="s">
        <v>0</v>
      </c>
      <c r="G1173" t="str">
        <f>"2018-10-18 16:20:58"</f>
        <v>2018-10-18 16:20:58</v>
      </c>
    </row>
    <row r="1174" spans="1:7" x14ac:dyDescent="0.2">
      <c r="A1174" t="s">
        <v>1</v>
      </c>
      <c r="B1174" t="str">
        <f>"15038298612"</f>
        <v>15038298612</v>
      </c>
      <c r="C1174" t="s">
        <v>1</v>
      </c>
      <c r="D1174" t="s">
        <v>1</v>
      </c>
      <c r="E1174" t="s">
        <v>1</v>
      </c>
      <c r="F1174" t="s">
        <v>0</v>
      </c>
      <c r="G1174" t="str">
        <f>"2018-10-18 16:20:57"</f>
        <v>2018-10-18 16:20:57</v>
      </c>
    </row>
    <row r="1175" spans="1:7" x14ac:dyDescent="0.2">
      <c r="A1175" t="s">
        <v>1</v>
      </c>
      <c r="B1175" t="str">
        <f>"13825659552"</f>
        <v>13825659552</v>
      </c>
      <c r="C1175" t="s">
        <v>1</v>
      </c>
      <c r="D1175" t="s">
        <v>1</v>
      </c>
      <c r="E1175" t="s">
        <v>1</v>
      </c>
      <c r="F1175" t="s">
        <v>0</v>
      </c>
      <c r="G1175" t="str">
        <f>"2018-10-18 16:20:54"</f>
        <v>2018-10-18 16:20:54</v>
      </c>
    </row>
    <row r="1176" spans="1:7" x14ac:dyDescent="0.2">
      <c r="A1176" t="s">
        <v>2832</v>
      </c>
      <c r="B1176" t="str">
        <f>"13989361658"</f>
        <v>13989361658</v>
      </c>
      <c r="C1176" t="str">
        <f>"330203199212290925"</f>
        <v>330203199212290925</v>
      </c>
      <c r="D1176" t="s">
        <v>1</v>
      </c>
      <c r="E1176" t="s">
        <v>1</v>
      </c>
      <c r="F1176" t="s">
        <v>0</v>
      </c>
      <c r="G1176" t="str">
        <f>"2018-10-18 16:26:21"</f>
        <v>2018-10-18 16:26:21</v>
      </c>
    </row>
    <row r="1177" spans="1:7" x14ac:dyDescent="0.2">
      <c r="A1177" t="s">
        <v>2833</v>
      </c>
      <c r="B1177" t="str">
        <f>"18653917500"</f>
        <v>18653917500</v>
      </c>
      <c r="C1177" t="str">
        <f>"371324198412050038"</f>
        <v>371324198412050038</v>
      </c>
      <c r="D1177" t="s">
        <v>1</v>
      </c>
      <c r="E1177" t="s">
        <v>1</v>
      </c>
      <c r="F1177" t="s">
        <v>0</v>
      </c>
      <c r="G1177" t="str">
        <f>"2018-10-18 16:20:52"</f>
        <v>2018-10-18 16:20:52</v>
      </c>
    </row>
    <row r="1178" spans="1:7" x14ac:dyDescent="0.2">
      <c r="A1178" t="s">
        <v>1</v>
      </c>
      <c r="B1178" t="str">
        <f>"18642965423"</f>
        <v>18642965423</v>
      </c>
      <c r="C1178" t="s">
        <v>1</v>
      </c>
      <c r="D1178" t="s">
        <v>1</v>
      </c>
      <c r="E1178" t="s">
        <v>1</v>
      </c>
      <c r="F1178" t="s">
        <v>0</v>
      </c>
      <c r="G1178" t="str">
        <f>"2018-10-18 16:28:55"</f>
        <v>2018-10-18 16:28:55</v>
      </c>
    </row>
    <row r="1179" spans="1:7" x14ac:dyDescent="0.2">
      <c r="A1179" t="s">
        <v>2834</v>
      </c>
      <c r="B1179" t="str">
        <f>"18463653177"</f>
        <v>18463653177</v>
      </c>
      <c r="C1179" t="str">
        <f>"370782198303120011"</f>
        <v>370782198303120011</v>
      </c>
      <c r="D1179" t="s">
        <v>1</v>
      </c>
      <c r="E1179" t="s">
        <v>1</v>
      </c>
      <c r="F1179" t="s">
        <v>0</v>
      </c>
      <c r="G1179" t="str">
        <f>"2018-10-18 16:22:33"</f>
        <v>2018-10-18 16:22:33</v>
      </c>
    </row>
    <row r="1180" spans="1:7" x14ac:dyDescent="0.2">
      <c r="A1180" t="s">
        <v>2835</v>
      </c>
      <c r="B1180" t="str">
        <f>"18977643330"</f>
        <v>18977643330</v>
      </c>
      <c r="C1180" t="str">
        <f>"452601197910251834"</f>
        <v>452601197910251834</v>
      </c>
      <c r="D1180" t="s">
        <v>1</v>
      </c>
      <c r="E1180" t="s">
        <v>1</v>
      </c>
      <c r="F1180" t="s">
        <v>0</v>
      </c>
      <c r="G1180" t="str">
        <f>"2018-10-18 16:23:37"</f>
        <v>2018-10-18 16:23:37</v>
      </c>
    </row>
    <row r="1181" spans="1:7" x14ac:dyDescent="0.2">
      <c r="A1181" t="s">
        <v>2836</v>
      </c>
      <c r="B1181" t="str">
        <f>"13462367668"</f>
        <v>13462367668</v>
      </c>
      <c r="C1181" t="str">
        <f>"410728198205034026"</f>
        <v>410728198205034026</v>
      </c>
      <c r="D1181" t="s">
        <v>1</v>
      </c>
      <c r="E1181" t="s">
        <v>1</v>
      </c>
      <c r="F1181" t="s">
        <v>0</v>
      </c>
      <c r="G1181" t="str">
        <f>"2018-10-28 17:48:04"</f>
        <v>2018-10-28 17:48:04</v>
      </c>
    </row>
    <row r="1182" spans="1:7" x14ac:dyDescent="0.2">
      <c r="A1182" t="s">
        <v>2837</v>
      </c>
      <c r="B1182" t="str">
        <f>"17609432035"</f>
        <v>17609432035</v>
      </c>
      <c r="C1182" t="str">
        <f>"610324199501183434"</f>
        <v>610324199501183434</v>
      </c>
      <c r="D1182" t="s">
        <v>1</v>
      </c>
      <c r="E1182" t="s">
        <v>1</v>
      </c>
      <c r="F1182" t="s">
        <v>0</v>
      </c>
      <c r="G1182" t="str">
        <f>"2018-10-30 15:22:17"</f>
        <v>2018-10-30 15:22:17</v>
      </c>
    </row>
    <row r="1183" spans="1:7" x14ac:dyDescent="0.2">
      <c r="A1183" t="s">
        <v>2838</v>
      </c>
      <c r="B1183" t="str">
        <f>"13709771134"</f>
        <v>13709771134</v>
      </c>
      <c r="C1183" t="str">
        <f>"632123199105128431"</f>
        <v>632123199105128431</v>
      </c>
      <c r="D1183" t="s">
        <v>2839</v>
      </c>
      <c r="E1183" t="s">
        <v>2840</v>
      </c>
      <c r="F1183" t="s">
        <v>0</v>
      </c>
      <c r="G1183" t="str">
        <f>"2018-10-18 16:24:20"</f>
        <v>2018-10-18 16:24:20</v>
      </c>
    </row>
    <row r="1184" spans="1:7" x14ac:dyDescent="0.2">
      <c r="A1184" t="s">
        <v>1</v>
      </c>
      <c r="B1184" t="str">
        <f>"15622978867"</f>
        <v>15622978867</v>
      </c>
      <c r="C1184" t="s">
        <v>1</v>
      </c>
      <c r="D1184" t="s">
        <v>1</v>
      </c>
      <c r="E1184" t="s">
        <v>1</v>
      </c>
      <c r="F1184" t="s">
        <v>0</v>
      </c>
      <c r="G1184" t="str">
        <f>"2018-10-18 16:23:15"</f>
        <v>2018-10-18 16:23:15</v>
      </c>
    </row>
    <row r="1185" spans="1:7" x14ac:dyDescent="0.2">
      <c r="A1185" t="s">
        <v>2841</v>
      </c>
      <c r="B1185" t="str">
        <f>"15006880861"</f>
        <v>15006880861</v>
      </c>
      <c r="C1185" t="str">
        <f>"370321198107253912"</f>
        <v>370321198107253912</v>
      </c>
      <c r="D1185" t="s">
        <v>1</v>
      </c>
      <c r="E1185" t="s">
        <v>1</v>
      </c>
      <c r="F1185" t="s">
        <v>0</v>
      </c>
      <c r="G1185" t="str">
        <f>"2018-10-18 16:22:36"</f>
        <v>2018-10-18 16:22:36</v>
      </c>
    </row>
    <row r="1186" spans="1:7" x14ac:dyDescent="0.2">
      <c r="A1186" t="s">
        <v>301</v>
      </c>
      <c r="B1186" t="str">
        <f>"15037326543"</f>
        <v>15037326543</v>
      </c>
      <c r="C1186" t="str">
        <f>"410782198602240016"</f>
        <v>410782198602240016</v>
      </c>
      <c r="D1186" t="s">
        <v>1</v>
      </c>
      <c r="E1186" t="s">
        <v>1</v>
      </c>
      <c r="F1186" t="s">
        <v>0</v>
      </c>
      <c r="G1186" t="str">
        <f>"2018-10-19 01:45:51"</f>
        <v>2018-10-19 01:45:51</v>
      </c>
    </row>
    <row r="1187" spans="1:7" x14ac:dyDescent="0.2">
      <c r="A1187" t="s">
        <v>528</v>
      </c>
      <c r="B1187" t="str">
        <f>"18952348688"</f>
        <v>18952348688</v>
      </c>
      <c r="C1187" t="str">
        <f>"320811198304210554"</f>
        <v>320811198304210554</v>
      </c>
      <c r="D1187" t="s">
        <v>1</v>
      </c>
      <c r="E1187" t="s">
        <v>1</v>
      </c>
      <c r="F1187" t="s">
        <v>0</v>
      </c>
      <c r="G1187" t="str">
        <f>"2018-10-18 16:22:34"</f>
        <v>2018-10-18 16:22:34</v>
      </c>
    </row>
    <row r="1188" spans="1:7" x14ac:dyDescent="0.2">
      <c r="A1188" t="s">
        <v>1166</v>
      </c>
      <c r="B1188" t="str">
        <f>"18730553221"</f>
        <v>18730553221</v>
      </c>
      <c r="C1188" t="str">
        <f>"130223199603189339"</f>
        <v>130223199603189339</v>
      </c>
      <c r="D1188" t="s">
        <v>1</v>
      </c>
      <c r="E1188" t="s">
        <v>1</v>
      </c>
      <c r="F1188" t="s">
        <v>0</v>
      </c>
      <c r="G1188" t="str">
        <f>"2018-10-18 16:22:06"</f>
        <v>2018-10-18 16:22:06</v>
      </c>
    </row>
    <row r="1189" spans="1:7" x14ac:dyDescent="0.2">
      <c r="A1189" t="s">
        <v>1</v>
      </c>
      <c r="B1189" t="str">
        <f>"13781383036"</f>
        <v>13781383036</v>
      </c>
      <c r="C1189" t="s">
        <v>1</v>
      </c>
      <c r="D1189" t="s">
        <v>1</v>
      </c>
      <c r="E1189" t="s">
        <v>1</v>
      </c>
      <c r="F1189" t="s">
        <v>0</v>
      </c>
      <c r="G1189" t="str">
        <f>"2018-10-18 16:19:51"</f>
        <v>2018-10-18 16:19:51</v>
      </c>
    </row>
    <row r="1190" spans="1:7" x14ac:dyDescent="0.2">
      <c r="A1190" t="s">
        <v>2842</v>
      </c>
      <c r="B1190" t="str">
        <f>"18964288823"</f>
        <v>18964288823</v>
      </c>
      <c r="C1190" t="str">
        <f>"321322197701221810"</f>
        <v>321322197701221810</v>
      </c>
      <c r="D1190" t="s">
        <v>2843</v>
      </c>
      <c r="E1190" t="s">
        <v>2844</v>
      </c>
      <c r="F1190" t="s">
        <v>0</v>
      </c>
      <c r="G1190" t="str">
        <f>"2018-10-18 16:26:35"</f>
        <v>2018-10-18 16:26:35</v>
      </c>
    </row>
    <row r="1191" spans="1:7" x14ac:dyDescent="0.2">
      <c r="A1191" t="s">
        <v>1</v>
      </c>
      <c r="B1191" t="str">
        <f>"13881833961"</f>
        <v>13881833961</v>
      </c>
      <c r="C1191" t="s">
        <v>1</v>
      </c>
      <c r="D1191" t="s">
        <v>1</v>
      </c>
      <c r="E1191" t="s">
        <v>1</v>
      </c>
      <c r="F1191" t="s">
        <v>0</v>
      </c>
      <c r="G1191" t="str">
        <f>"2018-10-18 16:19:40"</f>
        <v>2018-10-18 16:19:40</v>
      </c>
    </row>
    <row r="1192" spans="1:7" x14ac:dyDescent="0.2">
      <c r="A1192" t="s">
        <v>2845</v>
      </c>
      <c r="B1192" t="str">
        <f>"18609435588"</f>
        <v>18609435588</v>
      </c>
      <c r="C1192" t="str">
        <f>"620402197901080039"</f>
        <v>620402197901080039</v>
      </c>
      <c r="D1192" t="s">
        <v>1</v>
      </c>
      <c r="E1192" t="s">
        <v>1</v>
      </c>
      <c r="F1192" t="s">
        <v>0</v>
      </c>
      <c r="G1192" t="str">
        <f>"2018-10-18 18:28:33"</f>
        <v>2018-10-18 18:28:33</v>
      </c>
    </row>
    <row r="1193" spans="1:7" x14ac:dyDescent="0.2">
      <c r="A1193" t="s">
        <v>2846</v>
      </c>
      <c r="B1193" t="str">
        <f>"18660519252"</f>
        <v>18660519252</v>
      </c>
      <c r="C1193" t="str">
        <f>"370602197912262638"</f>
        <v>370602197912262638</v>
      </c>
      <c r="D1193" t="s">
        <v>1</v>
      </c>
      <c r="E1193" t="s">
        <v>1</v>
      </c>
      <c r="F1193" t="s">
        <v>0</v>
      </c>
      <c r="G1193" t="str">
        <f>"2018-10-18 16:21:26"</f>
        <v>2018-10-18 16:21:26</v>
      </c>
    </row>
    <row r="1194" spans="1:7" x14ac:dyDescent="0.2">
      <c r="A1194" t="s">
        <v>2847</v>
      </c>
      <c r="B1194" t="str">
        <f>"18268333756"</f>
        <v>18268333756</v>
      </c>
      <c r="C1194" t="str">
        <f>"330327198412247712"</f>
        <v>330327198412247712</v>
      </c>
      <c r="D1194" t="s">
        <v>1</v>
      </c>
      <c r="E1194" t="s">
        <v>1</v>
      </c>
      <c r="F1194" t="s">
        <v>0</v>
      </c>
      <c r="G1194" t="str">
        <f>"2018-10-18 16:20:53"</f>
        <v>2018-10-18 16:20:53</v>
      </c>
    </row>
    <row r="1195" spans="1:7" x14ac:dyDescent="0.2">
      <c r="A1195" t="s">
        <v>507</v>
      </c>
      <c r="B1195" t="str">
        <f>"13866371301"</f>
        <v>13866371301</v>
      </c>
      <c r="C1195" t="str">
        <f>"340702199003232510"</f>
        <v>340702199003232510</v>
      </c>
      <c r="D1195" t="s">
        <v>1</v>
      </c>
      <c r="E1195" t="s">
        <v>1</v>
      </c>
      <c r="F1195" t="s">
        <v>0</v>
      </c>
      <c r="G1195" t="str">
        <f>"2018-10-18 16:32:29"</f>
        <v>2018-10-18 16:32:29</v>
      </c>
    </row>
    <row r="1196" spans="1:7" x14ac:dyDescent="0.2">
      <c r="A1196" t="s">
        <v>794</v>
      </c>
      <c r="B1196" t="str">
        <f>"13876570752"</f>
        <v>13876570752</v>
      </c>
      <c r="C1196" t="str">
        <f>"362425198301061835"</f>
        <v>362425198301061835</v>
      </c>
      <c r="D1196" t="s">
        <v>1</v>
      </c>
      <c r="E1196" t="s">
        <v>1</v>
      </c>
      <c r="F1196" t="s">
        <v>0</v>
      </c>
      <c r="G1196" t="str">
        <f>"2018-10-18 16:21:27"</f>
        <v>2018-10-18 16:21:27</v>
      </c>
    </row>
    <row r="1197" spans="1:7" x14ac:dyDescent="0.2">
      <c r="A1197" t="s">
        <v>2848</v>
      </c>
      <c r="B1197" t="str">
        <f>"13693728811"</f>
        <v>13693728811</v>
      </c>
      <c r="C1197" t="str">
        <f>"410502198606173516"</f>
        <v>410502198606173516</v>
      </c>
      <c r="D1197" t="s">
        <v>1</v>
      </c>
      <c r="E1197" t="s">
        <v>1</v>
      </c>
      <c r="F1197" t="s">
        <v>0</v>
      </c>
      <c r="G1197" t="str">
        <f>"2018-10-18 16:20:47"</f>
        <v>2018-10-18 16:20:47</v>
      </c>
    </row>
    <row r="1198" spans="1:7" x14ac:dyDescent="0.2">
      <c r="A1198" t="s">
        <v>2849</v>
      </c>
      <c r="B1198" t="str">
        <f>"15990121273"</f>
        <v>15990121273</v>
      </c>
      <c r="C1198" t="str">
        <f>"330182199010293618"</f>
        <v>330182199010293618</v>
      </c>
      <c r="D1198" t="s">
        <v>1</v>
      </c>
      <c r="E1198" t="s">
        <v>1</v>
      </c>
      <c r="F1198" t="s">
        <v>0</v>
      </c>
      <c r="G1198" t="str">
        <f>"2018-10-18 16:21:05"</f>
        <v>2018-10-18 16:21:05</v>
      </c>
    </row>
    <row r="1199" spans="1:7" x14ac:dyDescent="0.2">
      <c r="A1199" t="s">
        <v>718</v>
      </c>
      <c r="B1199" t="str">
        <f>"15855036338"</f>
        <v>15855036338</v>
      </c>
      <c r="C1199" t="str">
        <f>"341126199205065641"</f>
        <v>341126199205065641</v>
      </c>
      <c r="D1199" t="s">
        <v>1</v>
      </c>
      <c r="E1199" t="s">
        <v>1</v>
      </c>
      <c r="F1199" t="s">
        <v>0</v>
      </c>
      <c r="G1199" t="str">
        <f>"2018-10-18 16:21:06"</f>
        <v>2018-10-18 16:21:06</v>
      </c>
    </row>
    <row r="1200" spans="1:7" x14ac:dyDescent="0.2">
      <c r="A1200" t="s">
        <v>2850</v>
      </c>
      <c r="B1200" t="str">
        <f>"13415121653"</f>
        <v>13415121653</v>
      </c>
      <c r="C1200" t="str">
        <f>"440508198203234613"</f>
        <v>440508198203234613</v>
      </c>
      <c r="D1200" t="s">
        <v>1</v>
      </c>
      <c r="E1200" t="s">
        <v>1</v>
      </c>
      <c r="F1200" t="s">
        <v>0</v>
      </c>
      <c r="G1200" t="str">
        <f>"2018-10-18 16:19:41"</f>
        <v>2018-10-18 16:19:41</v>
      </c>
    </row>
    <row r="1201" spans="1:7" x14ac:dyDescent="0.2">
      <c r="A1201" t="s">
        <v>2851</v>
      </c>
      <c r="B1201" t="str">
        <f>"15174440732"</f>
        <v>15174440732</v>
      </c>
      <c r="C1201" t="str">
        <f>"430821197911260610"</f>
        <v>430821197911260610</v>
      </c>
      <c r="D1201" t="s">
        <v>1</v>
      </c>
      <c r="E1201" t="s">
        <v>1</v>
      </c>
      <c r="F1201" t="s">
        <v>0</v>
      </c>
      <c r="G1201" t="str">
        <f>"2018-10-18 16:23:13"</f>
        <v>2018-10-18 16:23:13</v>
      </c>
    </row>
    <row r="1202" spans="1:7" x14ac:dyDescent="0.2">
      <c r="A1202" t="s">
        <v>1</v>
      </c>
      <c r="B1202" t="str">
        <f>"15057455266"</f>
        <v>15057455266</v>
      </c>
      <c r="C1202" t="s">
        <v>1</v>
      </c>
      <c r="D1202" t="s">
        <v>1</v>
      </c>
      <c r="E1202" t="s">
        <v>1</v>
      </c>
      <c r="F1202" t="s">
        <v>0</v>
      </c>
      <c r="G1202" t="str">
        <f>"2018-10-18 16:20:00"</f>
        <v>2018-10-18 16:20:00</v>
      </c>
    </row>
    <row r="1203" spans="1:7" x14ac:dyDescent="0.2">
      <c r="A1203" t="s">
        <v>1</v>
      </c>
      <c r="B1203" t="str">
        <f>"13643410170"</f>
        <v>13643410170</v>
      </c>
      <c r="C1203" t="s">
        <v>1</v>
      </c>
      <c r="D1203" t="s">
        <v>1</v>
      </c>
      <c r="E1203" t="s">
        <v>1</v>
      </c>
      <c r="F1203" t="s">
        <v>0</v>
      </c>
      <c r="G1203" t="str">
        <f>"2018-10-18 18:10:19"</f>
        <v>2018-10-18 18:10:19</v>
      </c>
    </row>
    <row r="1204" spans="1:7" x14ac:dyDescent="0.2">
      <c r="A1204" t="s">
        <v>2852</v>
      </c>
      <c r="B1204" t="str">
        <f>"13038885948"</f>
        <v>13038885948</v>
      </c>
      <c r="C1204" t="str">
        <f>"410423198711074719"</f>
        <v>410423198711074719</v>
      </c>
      <c r="D1204" t="s">
        <v>1</v>
      </c>
      <c r="E1204" t="s">
        <v>1</v>
      </c>
      <c r="F1204" t="s">
        <v>0</v>
      </c>
      <c r="G1204" t="str">
        <f>"2018-10-18 16:20:06"</f>
        <v>2018-10-18 16:20:06</v>
      </c>
    </row>
    <row r="1205" spans="1:7" x14ac:dyDescent="0.2">
      <c r="A1205" t="s">
        <v>2853</v>
      </c>
      <c r="B1205" t="str">
        <f>"18388677056"</f>
        <v>18388677056</v>
      </c>
      <c r="C1205" t="str">
        <f>"532625199711191728"</f>
        <v>532625199711191728</v>
      </c>
      <c r="D1205" t="s">
        <v>1</v>
      </c>
      <c r="E1205" t="s">
        <v>1</v>
      </c>
      <c r="F1205" t="s">
        <v>0</v>
      </c>
      <c r="G1205" t="str">
        <f>"2018-10-18 16:18:02"</f>
        <v>2018-10-18 16:18:02</v>
      </c>
    </row>
    <row r="1206" spans="1:7" x14ac:dyDescent="0.2">
      <c r="A1206" t="s">
        <v>1</v>
      </c>
      <c r="B1206" t="str">
        <f>"15196663220"</f>
        <v>15196663220</v>
      </c>
      <c r="C1206" t="s">
        <v>1</v>
      </c>
      <c r="D1206" t="s">
        <v>1</v>
      </c>
      <c r="E1206" t="s">
        <v>1</v>
      </c>
      <c r="F1206" t="s">
        <v>0</v>
      </c>
      <c r="G1206" t="str">
        <f>"2018-10-18 16:17:59"</f>
        <v>2018-10-18 16:17:59</v>
      </c>
    </row>
    <row r="1207" spans="1:7" x14ac:dyDescent="0.2">
      <c r="A1207" t="s">
        <v>2854</v>
      </c>
      <c r="B1207" t="str">
        <f>"13080216393"</f>
        <v>13080216393</v>
      </c>
      <c r="C1207" t="str">
        <f>"150202198910270986"</f>
        <v>150202198910270986</v>
      </c>
      <c r="D1207" t="s">
        <v>1</v>
      </c>
      <c r="E1207" t="s">
        <v>1</v>
      </c>
      <c r="F1207" t="s">
        <v>0</v>
      </c>
      <c r="G1207" t="str">
        <f>"2018-10-19 00:37:43"</f>
        <v>2018-10-19 00:37:43</v>
      </c>
    </row>
    <row r="1208" spans="1:7" x14ac:dyDescent="0.2">
      <c r="A1208" t="s">
        <v>2855</v>
      </c>
      <c r="B1208" t="str">
        <f>"15913669429"</f>
        <v>15913669429</v>
      </c>
      <c r="C1208" t="str">
        <f>"440781197902024715"</f>
        <v>440781197902024715</v>
      </c>
      <c r="D1208" t="s">
        <v>1</v>
      </c>
      <c r="E1208" t="s">
        <v>1</v>
      </c>
      <c r="F1208" t="s">
        <v>0</v>
      </c>
      <c r="G1208" t="str">
        <f>"2018-10-18 16:17:49"</f>
        <v>2018-10-18 16:17:49</v>
      </c>
    </row>
    <row r="1209" spans="1:7" x14ac:dyDescent="0.2">
      <c r="A1209" t="s">
        <v>2856</v>
      </c>
      <c r="B1209" t="str">
        <f>"15759716507"</f>
        <v>15759716507</v>
      </c>
      <c r="C1209" t="str">
        <f>"52262719921024081X"</f>
        <v>52262719921024081X</v>
      </c>
      <c r="D1209" t="s">
        <v>2857</v>
      </c>
      <c r="E1209" t="s">
        <v>2857</v>
      </c>
      <c r="F1209" t="s">
        <v>0</v>
      </c>
      <c r="G1209" t="str">
        <f>"2018-10-18 16:25:26"</f>
        <v>2018-10-18 16:25:26</v>
      </c>
    </row>
    <row r="1210" spans="1:7" x14ac:dyDescent="0.2">
      <c r="A1210" t="s">
        <v>2858</v>
      </c>
      <c r="B1210" t="str">
        <f>"15064843595"</f>
        <v>15064843595</v>
      </c>
      <c r="C1210" t="str">
        <f>"370284199606113310"</f>
        <v>370284199606113310</v>
      </c>
      <c r="D1210" t="s">
        <v>1</v>
      </c>
      <c r="E1210" t="s">
        <v>1</v>
      </c>
      <c r="F1210" t="s">
        <v>0</v>
      </c>
      <c r="G1210" t="str">
        <f>"2018-10-18 16:18:49"</f>
        <v>2018-10-18 16:18:49</v>
      </c>
    </row>
    <row r="1211" spans="1:7" x14ac:dyDescent="0.2">
      <c r="A1211" t="s">
        <v>2859</v>
      </c>
      <c r="B1211" t="str">
        <f>"15603610687"</f>
        <v>15603610687</v>
      </c>
      <c r="C1211" t="str">
        <f>"231083199502240414"</f>
        <v>231083199502240414</v>
      </c>
      <c r="D1211" t="s">
        <v>1</v>
      </c>
      <c r="E1211" t="s">
        <v>1</v>
      </c>
      <c r="F1211" t="s">
        <v>0</v>
      </c>
      <c r="G1211" t="str">
        <f>"2018-10-18 16:17:18"</f>
        <v>2018-10-18 16:17:18</v>
      </c>
    </row>
    <row r="1212" spans="1:7" x14ac:dyDescent="0.2">
      <c r="A1212" t="s">
        <v>858</v>
      </c>
      <c r="B1212" t="str">
        <f>"18047518553"</f>
        <v>18047518553</v>
      </c>
      <c r="C1212" t="str">
        <f>"152326199011040012"</f>
        <v>152326199011040012</v>
      </c>
      <c r="D1212" t="s">
        <v>1</v>
      </c>
      <c r="E1212" t="s">
        <v>1</v>
      </c>
      <c r="F1212" t="s">
        <v>0</v>
      </c>
      <c r="G1212" t="str">
        <f>"2018-10-18 16:26:04"</f>
        <v>2018-10-18 16:26:04</v>
      </c>
    </row>
    <row r="1213" spans="1:7" x14ac:dyDescent="0.2">
      <c r="A1213" t="s">
        <v>2860</v>
      </c>
      <c r="B1213" t="str">
        <f>"14717772797"</f>
        <v>14717772797</v>
      </c>
      <c r="C1213" t="str">
        <f>"370828199405172316"</f>
        <v>370828199405172316</v>
      </c>
      <c r="D1213" t="s">
        <v>1</v>
      </c>
      <c r="E1213" t="s">
        <v>1</v>
      </c>
      <c r="F1213" t="s">
        <v>0</v>
      </c>
      <c r="G1213" t="str">
        <f>"2018-10-18 16:18:26"</f>
        <v>2018-10-18 16:18:26</v>
      </c>
    </row>
    <row r="1214" spans="1:7" x14ac:dyDescent="0.2">
      <c r="A1214" t="s">
        <v>2861</v>
      </c>
      <c r="B1214" t="str">
        <f>"18503055866"</f>
        <v>18503055866</v>
      </c>
      <c r="C1214" t="str">
        <f>"52242419900815087X"</f>
        <v>52242419900815087X</v>
      </c>
      <c r="D1214" t="s">
        <v>1</v>
      </c>
      <c r="E1214" t="s">
        <v>1</v>
      </c>
      <c r="F1214" t="s">
        <v>0</v>
      </c>
      <c r="G1214" t="str">
        <f>"2018-10-18 17:03:32"</f>
        <v>2018-10-18 17:03:32</v>
      </c>
    </row>
    <row r="1215" spans="1:7" x14ac:dyDescent="0.2">
      <c r="A1215" t="s">
        <v>1</v>
      </c>
      <c r="B1215" t="str">
        <f>"17682496505"</f>
        <v>17682496505</v>
      </c>
      <c r="C1215" t="s">
        <v>1</v>
      </c>
      <c r="D1215" t="s">
        <v>1</v>
      </c>
      <c r="E1215" t="s">
        <v>1</v>
      </c>
      <c r="F1215" t="s">
        <v>0</v>
      </c>
      <c r="G1215" t="str">
        <f>"2018-10-18 16:16:51"</f>
        <v>2018-10-18 16:16:51</v>
      </c>
    </row>
    <row r="1216" spans="1:7" x14ac:dyDescent="0.2">
      <c r="A1216" t="s">
        <v>2862</v>
      </c>
      <c r="B1216" t="str">
        <f>"18926162628"</f>
        <v>18926162628</v>
      </c>
      <c r="C1216" t="str">
        <f>"440184198306063014"</f>
        <v>440184198306063014</v>
      </c>
      <c r="D1216" t="s">
        <v>1</v>
      </c>
      <c r="E1216" t="s">
        <v>1</v>
      </c>
      <c r="F1216" t="s">
        <v>0</v>
      </c>
      <c r="G1216" t="str">
        <f>"2018-10-18 16:20:50"</f>
        <v>2018-10-18 16:20:50</v>
      </c>
    </row>
    <row r="1217" spans="1:7" x14ac:dyDescent="0.2">
      <c r="A1217" t="s">
        <v>2863</v>
      </c>
      <c r="B1217" t="str">
        <f>"18682172844"</f>
        <v>18682172844</v>
      </c>
      <c r="C1217" t="str">
        <f>"421223199110230073"</f>
        <v>421223199110230073</v>
      </c>
      <c r="D1217" t="s">
        <v>1</v>
      </c>
      <c r="E1217" t="s">
        <v>1</v>
      </c>
      <c r="F1217" t="s">
        <v>0</v>
      </c>
      <c r="G1217" t="str">
        <f>"2018-10-18 16:16:35"</f>
        <v>2018-10-18 16:16:35</v>
      </c>
    </row>
    <row r="1218" spans="1:7" x14ac:dyDescent="0.2">
      <c r="A1218" t="s">
        <v>2864</v>
      </c>
      <c r="B1218" t="str">
        <f>"13959371901"</f>
        <v>13959371901</v>
      </c>
      <c r="C1218" t="str">
        <f>"352225198203081514"</f>
        <v>352225198203081514</v>
      </c>
      <c r="D1218" t="s">
        <v>1</v>
      </c>
      <c r="E1218" t="s">
        <v>1</v>
      </c>
      <c r="F1218" t="s">
        <v>0</v>
      </c>
      <c r="G1218" t="str">
        <f>"2018-10-25 13:25:44"</f>
        <v>2018-10-25 13:25:44</v>
      </c>
    </row>
    <row r="1219" spans="1:7" x14ac:dyDescent="0.2">
      <c r="A1219" t="s">
        <v>2865</v>
      </c>
      <c r="B1219" t="str">
        <f>"13976286350"</f>
        <v>13976286350</v>
      </c>
      <c r="C1219" t="str">
        <f>"350521198612087836"</f>
        <v>350521198612087836</v>
      </c>
      <c r="D1219" t="s">
        <v>1</v>
      </c>
      <c r="E1219" t="s">
        <v>1</v>
      </c>
      <c r="F1219" t="s">
        <v>0</v>
      </c>
      <c r="G1219" t="str">
        <f>"2018-10-18 16:18:57"</f>
        <v>2018-10-18 16:18:57</v>
      </c>
    </row>
    <row r="1220" spans="1:7" x14ac:dyDescent="0.2">
      <c r="A1220" t="s">
        <v>2866</v>
      </c>
      <c r="B1220" t="str">
        <f>"15722831599"</f>
        <v>15722831599</v>
      </c>
      <c r="C1220" t="str">
        <f>"321282199002210418"</f>
        <v>321282199002210418</v>
      </c>
      <c r="D1220" t="s">
        <v>1</v>
      </c>
      <c r="E1220" t="s">
        <v>1</v>
      </c>
      <c r="F1220" t="s">
        <v>0</v>
      </c>
      <c r="G1220" t="str">
        <f>"2018-10-18 17:33:58"</f>
        <v>2018-10-18 17:33:58</v>
      </c>
    </row>
    <row r="1221" spans="1:7" x14ac:dyDescent="0.2">
      <c r="A1221" t="s">
        <v>1</v>
      </c>
      <c r="B1221" t="str">
        <f>"18097129502"</f>
        <v>18097129502</v>
      </c>
      <c r="C1221" t="s">
        <v>1</v>
      </c>
      <c r="D1221" t="s">
        <v>1</v>
      </c>
      <c r="E1221" t="s">
        <v>1</v>
      </c>
      <c r="F1221" t="s">
        <v>0</v>
      </c>
      <c r="G1221" t="str">
        <f>"2018-10-18 16:16:30"</f>
        <v>2018-10-18 16:16:30</v>
      </c>
    </row>
    <row r="1222" spans="1:7" x14ac:dyDescent="0.2">
      <c r="A1222" t="s">
        <v>2867</v>
      </c>
      <c r="B1222" t="str">
        <f>"15842031920"</f>
        <v>15842031920</v>
      </c>
      <c r="C1222" t="str">
        <f>"210381198601305310"</f>
        <v>210381198601305310</v>
      </c>
      <c r="D1222" t="s">
        <v>1</v>
      </c>
      <c r="E1222" t="s">
        <v>1</v>
      </c>
      <c r="F1222" t="s">
        <v>0</v>
      </c>
      <c r="G1222" t="str">
        <f>"2018-10-18 16:18:10"</f>
        <v>2018-10-18 16:18:10</v>
      </c>
    </row>
    <row r="1223" spans="1:7" x14ac:dyDescent="0.2">
      <c r="A1223" t="s">
        <v>2868</v>
      </c>
      <c r="B1223" t="str">
        <f>"13804935367"</f>
        <v>13804935367</v>
      </c>
      <c r="C1223" t="str">
        <f>"210422199003300018"</f>
        <v>210422199003300018</v>
      </c>
      <c r="D1223" t="s">
        <v>2869</v>
      </c>
      <c r="E1223" t="s">
        <v>2870</v>
      </c>
      <c r="F1223" t="s">
        <v>0</v>
      </c>
      <c r="G1223" t="str">
        <f>"2018-10-18 16:19:00"</f>
        <v>2018-10-18 16:19:00</v>
      </c>
    </row>
    <row r="1224" spans="1:7" x14ac:dyDescent="0.2">
      <c r="A1224" t="s">
        <v>2871</v>
      </c>
      <c r="B1224" t="str">
        <f>"15688088282"</f>
        <v>15688088282</v>
      </c>
      <c r="C1224" t="str">
        <f>"520203198601254718"</f>
        <v>520203198601254718</v>
      </c>
      <c r="D1224" t="s">
        <v>1</v>
      </c>
      <c r="E1224" t="s">
        <v>1</v>
      </c>
      <c r="F1224" t="s">
        <v>0</v>
      </c>
      <c r="G1224" t="str">
        <f>"2018-10-18 16:17:43"</f>
        <v>2018-10-18 16:17:43</v>
      </c>
    </row>
    <row r="1225" spans="1:7" x14ac:dyDescent="0.2">
      <c r="A1225" t="s">
        <v>2872</v>
      </c>
      <c r="B1225" t="str">
        <f>"15823256437"</f>
        <v>15823256437</v>
      </c>
      <c r="C1225" t="str">
        <f>"500108198810155129"</f>
        <v>500108198810155129</v>
      </c>
      <c r="D1225" t="s">
        <v>1</v>
      </c>
      <c r="E1225" t="s">
        <v>1</v>
      </c>
      <c r="F1225" t="s">
        <v>0</v>
      </c>
      <c r="G1225" t="str">
        <f>"2018-10-22 17:14:46"</f>
        <v>2018-10-22 17:14:46</v>
      </c>
    </row>
    <row r="1226" spans="1:7" x14ac:dyDescent="0.2">
      <c r="A1226" t="s">
        <v>2873</v>
      </c>
      <c r="B1226" t="str">
        <f>"13160723307"</f>
        <v>13160723307</v>
      </c>
      <c r="C1226" t="str">
        <f>"533224200009130333"</f>
        <v>533224200009130333</v>
      </c>
      <c r="D1226" t="s">
        <v>1</v>
      </c>
      <c r="E1226" t="s">
        <v>1</v>
      </c>
      <c r="F1226" t="s">
        <v>0</v>
      </c>
      <c r="G1226" t="str">
        <f>"2018-10-19 12:46:08"</f>
        <v>2018-10-19 12:46:08</v>
      </c>
    </row>
    <row r="1227" spans="1:7" x14ac:dyDescent="0.2">
      <c r="A1227" t="s">
        <v>2874</v>
      </c>
      <c r="B1227" t="str">
        <f>"17608584320"</f>
        <v>17608584320</v>
      </c>
      <c r="C1227" t="str">
        <f>"520201198602200049"</f>
        <v>520201198602200049</v>
      </c>
      <c r="D1227" t="s">
        <v>2875</v>
      </c>
      <c r="E1227" t="s">
        <v>2876</v>
      </c>
      <c r="F1227" t="s">
        <v>0</v>
      </c>
      <c r="G1227" t="str">
        <f>"2018-10-18 16:18:28"</f>
        <v>2018-10-18 16:18:28</v>
      </c>
    </row>
    <row r="1228" spans="1:7" x14ac:dyDescent="0.2">
      <c r="A1228" t="s">
        <v>2877</v>
      </c>
      <c r="B1228" t="str">
        <f>"15547383844"</f>
        <v>15547383844</v>
      </c>
      <c r="C1228" t="str">
        <f>"620422199708262716"</f>
        <v>620422199708262716</v>
      </c>
      <c r="D1228" t="s">
        <v>1</v>
      </c>
      <c r="E1228" t="s">
        <v>1</v>
      </c>
      <c r="F1228" t="s">
        <v>0</v>
      </c>
      <c r="G1228" t="str">
        <f>"2018-10-18 16:18:07"</f>
        <v>2018-10-18 16:18:07</v>
      </c>
    </row>
    <row r="1229" spans="1:7" x14ac:dyDescent="0.2">
      <c r="A1229" t="s">
        <v>2878</v>
      </c>
      <c r="B1229" t="str">
        <f>"15182968371"</f>
        <v>15182968371</v>
      </c>
      <c r="C1229" t="str">
        <f>"511113199306050318"</f>
        <v>511113199306050318</v>
      </c>
      <c r="D1229" t="s">
        <v>1</v>
      </c>
      <c r="E1229" t="s">
        <v>1</v>
      </c>
      <c r="F1229" t="s">
        <v>0</v>
      </c>
      <c r="G1229" t="str">
        <f>"2018-10-18 16:20:46"</f>
        <v>2018-10-18 16:20:46</v>
      </c>
    </row>
    <row r="1230" spans="1:7" x14ac:dyDescent="0.2">
      <c r="A1230" t="s">
        <v>2879</v>
      </c>
      <c r="B1230" t="str">
        <f>"13949765267"</f>
        <v>13949765267</v>
      </c>
      <c r="C1230" t="str">
        <f>"411224197504276459"</f>
        <v>411224197504276459</v>
      </c>
      <c r="D1230" t="s">
        <v>1</v>
      </c>
      <c r="E1230" t="s">
        <v>1</v>
      </c>
      <c r="F1230" t="s">
        <v>0</v>
      </c>
      <c r="G1230" t="str">
        <f>"2018-10-18 16:19:06"</f>
        <v>2018-10-18 16:19:06</v>
      </c>
    </row>
    <row r="1231" spans="1:7" x14ac:dyDescent="0.2">
      <c r="A1231" t="s">
        <v>1</v>
      </c>
      <c r="B1231" t="str">
        <f>"17731077868"</f>
        <v>17731077868</v>
      </c>
      <c r="C1231" t="s">
        <v>1</v>
      </c>
      <c r="D1231" t="s">
        <v>1</v>
      </c>
      <c r="E1231" t="s">
        <v>1</v>
      </c>
      <c r="F1231" t="s">
        <v>0</v>
      </c>
      <c r="G1231" t="str">
        <f>"2018-10-18 16:15:42"</f>
        <v>2018-10-18 16:15:42</v>
      </c>
    </row>
    <row r="1232" spans="1:7" x14ac:dyDescent="0.2">
      <c r="A1232" t="s">
        <v>2880</v>
      </c>
      <c r="B1232" t="str">
        <f>"18965778883"</f>
        <v>18965778883</v>
      </c>
      <c r="C1232" t="str">
        <f>"350521198901147516"</f>
        <v>350521198901147516</v>
      </c>
      <c r="D1232" t="s">
        <v>2881</v>
      </c>
      <c r="E1232" t="s">
        <v>2882</v>
      </c>
      <c r="F1232" t="s">
        <v>0</v>
      </c>
      <c r="G1232" t="str">
        <f>"2018-10-25 22:12:28"</f>
        <v>2018-10-25 22:12:28</v>
      </c>
    </row>
    <row r="1233" spans="1:7" x14ac:dyDescent="0.2">
      <c r="A1233" t="s">
        <v>864</v>
      </c>
      <c r="B1233" t="str">
        <f>"18677966616"</f>
        <v>18677966616</v>
      </c>
      <c r="C1233" t="str">
        <f>"450502198108290178"</f>
        <v>450502198108290178</v>
      </c>
      <c r="D1233" t="s">
        <v>1</v>
      </c>
      <c r="E1233" t="s">
        <v>1</v>
      </c>
      <c r="F1233" t="s">
        <v>0</v>
      </c>
      <c r="G1233" t="str">
        <f>"2018-10-18 16:15:24"</f>
        <v>2018-10-18 16:15:24</v>
      </c>
    </row>
    <row r="1234" spans="1:7" x14ac:dyDescent="0.2">
      <c r="A1234" t="s">
        <v>2883</v>
      </c>
      <c r="B1234" t="str">
        <f>"13822315121"</f>
        <v>13822315121</v>
      </c>
      <c r="C1234" t="str">
        <f>"440783198509203634"</f>
        <v>440783198509203634</v>
      </c>
      <c r="D1234" t="s">
        <v>1</v>
      </c>
      <c r="E1234" t="s">
        <v>1</v>
      </c>
      <c r="F1234" t="s">
        <v>0</v>
      </c>
      <c r="G1234" t="str">
        <f>"2018-10-18 16:18:09"</f>
        <v>2018-10-18 16:18:09</v>
      </c>
    </row>
    <row r="1235" spans="1:7" x14ac:dyDescent="0.2">
      <c r="A1235" t="s">
        <v>2884</v>
      </c>
      <c r="B1235" t="str">
        <f>"18771941747"</f>
        <v>18771941747</v>
      </c>
      <c r="C1235" t="str">
        <f>"420117199112147923"</f>
        <v>420117199112147923</v>
      </c>
      <c r="D1235" t="s">
        <v>1</v>
      </c>
      <c r="E1235" t="s">
        <v>1</v>
      </c>
      <c r="F1235" t="s">
        <v>0</v>
      </c>
      <c r="G1235" t="str">
        <f>"2018-10-18 16:20:21"</f>
        <v>2018-10-18 16:20:21</v>
      </c>
    </row>
    <row r="1236" spans="1:7" x14ac:dyDescent="0.2">
      <c r="A1236" t="s">
        <v>1</v>
      </c>
      <c r="B1236" t="str">
        <f>"15215914768"</f>
        <v>15215914768</v>
      </c>
      <c r="C1236" t="s">
        <v>1</v>
      </c>
      <c r="D1236" t="s">
        <v>1</v>
      </c>
      <c r="E1236" t="s">
        <v>1</v>
      </c>
      <c r="F1236" t="s">
        <v>0</v>
      </c>
      <c r="G1236" t="str">
        <f>"2018-10-18 16:15:06"</f>
        <v>2018-10-18 16:15:06</v>
      </c>
    </row>
    <row r="1237" spans="1:7" x14ac:dyDescent="0.2">
      <c r="A1237" t="s">
        <v>2885</v>
      </c>
      <c r="B1237" t="str">
        <f>"15054338320"</f>
        <v>15054338320</v>
      </c>
      <c r="C1237" t="str">
        <f>"372321199511068950"</f>
        <v>372321199511068950</v>
      </c>
      <c r="D1237" t="s">
        <v>1</v>
      </c>
      <c r="E1237" t="s">
        <v>1</v>
      </c>
      <c r="F1237" t="s">
        <v>0</v>
      </c>
      <c r="G1237" t="str">
        <f>"2018-10-18 16:16:06"</f>
        <v>2018-10-18 16:16:06</v>
      </c>
    </row>
    <row r="1238" spans="1:7" x14ac:dyDescent="0.2">
      <c r="A1238" t="s">
        <v>1292</v>
      </c>
      <c r="B1238" t="str">
        <f>"15186906390"</f>
        <v>15186906390</v>
      </c>
      <c r="C1238" t="str">
        <f>"52260119951017761X"</f>
        <v>52260119951017761X</v>
      </c>
      <c r="D1238" t="s">
        <v>1</v>
      </c>
      <c r="E1238" t="s">
        <v>1</v>
      </c>
      <c r="F1238" t="s">
        <v>0</v>
      </c>
      <c r="G1238" t="str">
        <f>"2018-10-18 16:24:01"</f>
        <v>2018-10-18 16:24:01</v>
      </c>
    </row>
    <row r="1239" spans="1:7" x14ac:dyDescent="0.2">
      <c r="A1239" t="s">
        <v>1</v>
      </c>
      <c r="B1239" t="str">
        <f>"18172933991"</f>
        <v>18172933991</v>
      </c>
      <c r="C1239" t="s">
        <v>1</v>
      </c>
      <c r="D1239" t="s">
        <v>1</v>
      </c>
      <c r="E1239" t="s">
        <v>1</v>
      </c>
      <c r="F1239" t="s">
        <v>0</v>
      </c>
      <c r="G1239" t="str">
        <f>"2018-10-18 16:14:54"</f>
        <v>2018-10-18 16:14:54</v>
      </c>
    </row>
    <row r="1240" spans="1:7" x14ac:dyDescent="0.2">
      <c r="A1240" t="s">
        <v>1</v>
      </c>
      <c r="B1240" t="str">
        <f>"13783602625"</f>
        <v>13783602625</v>
      </c>
      <c r="C1240" t="s">
        <v>1</v>
      </c>
      <c r="D1240" t="s">
        <v>1</v>
      </c>
      <c r="E1240" t="s">
        <v>1</v>
      </c>
      <c r="F1240" t="s">
        <v>0</v>
      </c>
      <c r="G1240" t="str">
        <f>"2018-10-18 16:15:42"</f>
        <v>2018-10-18 16:15:42</v>
      </c>
    </row>
    <row r="1241" spans="1:7" x14ac:dyDescent="0.2">
      <c r="A1241" t="s">
        <v>2886</v>
      </c>
      <c r="B1241" t="str">
        <f>"15606034562"</f>
        <v>15606034562</v>
      </c>
      <c r="C1241" t="str">
        <f>"350521199102182053"</f>
        <v>350521199102182053</v>
      </c>
      <c r="D1241" t="s">
        <v>1</v>
      </c>
      <c r="E1241" t="s">
        <v>1</v>
      </c>
      <c r="F1241" t="s">
        <v>0</v>
      </c>
      <c r="G1241" t="str">
        <f>"2018-10-18 16:16:01"</f>
        <v>2018-10-18 16:16:01</v>
      </c>
    </row>
    <row r="1242" spans="1:7" x14ac:dyDescent="0.2">
      <c r="A1242" t="s">
        <v>2887</v>
      </c>
      <c r="B1242" t="str">
        <f>"15067872278"</f>
        <v>15067872278</v>
      </c>
      <c r="C1242" t="str">
        <f>"330324199911270402"</f>
        <v>330324199911270402</v>
      </c>
      <c r="D1242" t="s">
        <v>2888</v>
      </c>
      <c r="E1242" t="s">
        <v>2889</v>
      </c>
      <c r="F1242" t="s">
        <v>0</v>
      </c>
      <c r="G1242" t="str">
        <f>"2018-10-18 16:15:54"</f>
        <v>2018-10-18 16:15:54</v>
      </c>
    </row>
    <row r="1243" spans="1:7" x14ac:dyDescent="0.2">
      <c r="A1243" t="s">
        <v>1840</v>
      </c>
      <c r="B1243" t="str">
        <f>"18945688086"</f>
        <v>18945688086</v>
      </c>
      <c r="C1243" t="str">
        <f>"230183199706055514"</f>
        <v>230183199706055514</v>
      </c>
      <c r="D1243" t="s">
        <v>1</v>
      </c>
      <c r="E1243" t="s">
        <v>1</v>
      </c>
      <c r="F1243" t="s">
        <v>0</v>
      </c>
      <c r="G1243" t="str">
        <f>"2018-10-19 15:08:07"</f>
        <v>2018-10-19 15:08:07</v>
      </c>
    </row>
    <row r="1244" spans="1:7" x14ac:dyDescent="0.2">
      <c r="A1244" t="s">
        <v>1</v>
      </c>
      <c r="B1244" t="str">
        <f>"13878785559"</f>
        <v>13878785559</v>
      </c>
      <c r="C1244" t="s">
        <v>1</v>
      </c>
      <c r="D1244" t="s">
        <v>1</v>
      </c>
      <c r="E1244" t="s">
        <v>1</v>
      </c>
      <c r="F1244" t="s">
        <v>0</v>
      </c>
      <c r="G1244" t="str">
        <f>"2018-10-18 19:40:23"</f>
        <v>2018-10-18 19:40:23</v>
      </c>
    </row>
    <row r="1245" spans="1:7" x14ac:dyDescent="0.2">
      <c r="A1245" t="s">
        <v>2890</v>
      </c>
      <c r="B1245" t="str">
        <f>"18670410089"</f>
        <v>18670410089</v>
      </c>
      <c r="C1245" t="str">
        <f>"429004199009022226"</f>
        <v>429004199009022226</v>
      </c>
      <c r="D1245" t="s">
        <v>1</v>
      </c>
      <c r="E1245" t="s">
        <v>1</v>
      </c>
      <c r="F1245" t="s">
        <v>0</v>
      </c>
      <c r="G1245" t="str">
        <f>"2018-10-18 16:17:20"</f>
        <v>2018-10-18 16:17:20</v>
      </c>
    </row>
    <row r="1246" spans="1:7" x14ac:dyDescent="0.2">
      <c r="A1246" t="s">
        <v>2891</v>
      </c>
      <c r="B1246" t="str">
        <f>"17802930208"</f>
        <v>17802930208</v>
      </c>
      <c r="C1246" t="str">
        <f>"610124199312072435"</f>
        <v>610124199312072435</v>
      </c>
      <c r="D1246" t="s">
        <v>1</v>
      </c>
      <c r="E1246" t="s">
        <v>1</v>
      </c>
      <c r="F1246" t="s">
        <v>0</v>
      </c>
      <c r="G1246" t="str">
        <f>"2018-10-18 16:37:47"</f>
        <v>2018-10-18 16:37:47</v>
      </c>
    </row>
    <row r="1247" spans="1:7" x14ac:dyDescent="0.2">
      <c r="A1247" t="s">
        <v>2892</v>
      </c>
      <c r="B1247" t="str">
        <f>"15993092255"</f>
        <v>15993092255</v>
      </c>
      <c r="C1247" t="str">
        <f>"410724197611265532"</f>
        <v>410724197611265532</v>
      </c>
      <c r="D1247" t="s">
        <v>1</v>
      </c>
      <c r="E1247" t="s">
        <v>1</v>
      </c>
      <c r="F1247" t="s">
        <v>0</v>
      </c>
      <c r="G1247" t="str">
        <f>"2018-10-18 16:15:12"</f>
        <v>2018-10-18 16:15:12</v>
      </c>
    </row>
    <row r="1248" spans="1:7" x14ac:dyDescent="0.2">
      <c r="A1248" t="s">
        <v>2893</v>
      </c>
      <c r="B1248" t="str">
        <f>"13500573958"</f>
        <v>13500573958</v>
      </c>
      <c r="C1248" t="str">
        <f>"340403198206080815"</f>
        <v>340403198206080815</v>
      </c>
      <c r="D1248" t="s">
        <v>1</v>
      </c>
      <c r="E1248" t="s">
        <v>1</v>
      </c>
      <c r="F1248" t="s">
        <v>0</v>
      </c>
      <c r="G1248" t="str">
        <f>"2018-10-18 16:15:06"</f>
        <v>2018-10-18 16:15:06</v>
      </c>
    </row>
    <row r="1249" spans="1:7" x14ac:dyDescent="0.2">
      <c r="A1249" t="s">
        <v>2894</v>
      </c>
      <c r="B1249" t="str">
        <f>"18879787815"</f>
        <v>18879787815</v>
      </c>
      <c r="C1249" t="str">
        <f>"360722199210052423"</f>
        <v>360722199210052423</v>
      </c>
      <c r="D1249" t="s">
        <v>1</v>
      </c>
      <c r="E1249" t="s">
        <v>1</v>
      </c>
      <c r="F1249" t="s">
        <v>0</v>
      </c>
      <c r="G1249" t="str">
        <f>"2018-10-18 16:15:13"</f>
        <v>2018-10-18 16:15:13</v>
      </c>
    </row>
    <row r="1250" spans="1:7" x14ac:dyDescent="0.2">
      <c r="A1250" t="s">
        <v>413</v>
      </c>
      <c r="B1250" t="str">
        <f>"17633251019"</f>
        <v>17633251019</v>
      </c>
      <c r="C1250" t="str">
        <f>"130728199405100072"</f>
        <v>130728199405100072</v>
      </c>
      <c r="D1250" t="s">
        <v>2895</v>
      </c>
      <c r="E1250" t="s">
        <v>2896</v>
      </c>
      <c r="F1250" t="s">
        <v>0</v>
      </c>
      <c r="G1250" t="str">
        <f>"2018-10-18 16:15:33"</f>
        <v>2018-10-18 16:15:33</v>
      </c>
    </row>
    <row r="1251" spans="1:7" x14ac:dyDescent="0.2">
      <c r="A1251" t="s">
        <v>2897</v>
      </c>
      <c r="B1251" t="str">
        <f>"13555032134"</f>
        <v>13555032134</v>
      </c>
      <c r="C1251" t="str">
        <f>"230183198510214611"</f>
        <v>230183198510214611</v>
      </c>
      <c r="D1251" t="s">
        <v>1</v>
      </c>
      <c r="E1251" t="s">
        <v>1</v>
      </c>
      <c r="F1251" t="s">
        <v>0</v>
      </c>
      <c r="G1251" t="str">
        <f>"2018-10-18 16:16:18"</f>
        <v>2018-10-18 16:16:18</v>
      </c>
    </row>
    <row r="1252" spans="1:7" x14ac:dyDescent="0.2">
      <c r="A1252" t="s">
        <v>2898</v>
      </c>
      <c r="B1252" t="str">
        <f>"13918701033"</f>
        <v>13918701033</v>
      </c>
      <c r="C1252" t="str">
        <f>"310102198202124464"</f>
        <v>310102198202124464</v>
      </c>
      <c r="D1252" t="s">
        <v>1</v>
      </c>
      <c r="E1252" t="s">
        <v>1</v>
      </c>
      <c r="F1252" t="s">
        <v>0</v>
      </c>
      <c r="G1252" t="str">
        <f>"2018-10-18 16:12:59"</f>
        <v>2018-10-18 16:12:59</v>
      </c>
    </row>
    <row r="1253" spans="1:7" x14ac:dyDescent="0.2">
      <c r="A1253" t="s">
        <v>1009</v>
      </c>
      <c r="B1253" t="str">
        <f>"18637477211"</f>
        <v>18637477211</v>
      </c>
      <c r="C1253" t="str">
        <f>"411082199404217277"</f>
        <v>411082199404217277</v>
      </c>
      <c r="D1253" t="s">
        <v>1</v>
      </c>
      <c r="E1253" t="s">
        <v>1</v>
      </c>
      <c r="F1253" t="s">
        <v>0</v>
      </c>
      <c r="G1253" t="str">
        <f>"2018-10-18 16:13:59"</f>
        <v>2018-10-18 16:13:59</v>
      </c>
    </row>
    <row r="1254" spans="1:7" x14ac:dyDescent="0.2">
      <c r="A1254" t="s">
        <v>2899</v>
      </c>
      <c r="B1254" t="str">
        <f>"18270488475"</f>
        <v>18270488475</v>
      </c>
      <c r="C1254" t="str">
        <f>"362321198110057816"</f>
        <v>362321198110057816</v>
      </c>
      <c r="D1254" t="s">
        <v>1</v>
      </c>
      <c r="E1254" t="s">
        <v>1</v>
      </c>
      <c r="F1254" t="s">
        <v>0</v>
      </c>
      <c r="G1254" t="str">
        <f>"2018-10-18 16:14:25"</f>
        <v>2018-10-18 16:14:25</v>
      </c>
    </row>
    <row r="1255" spans="1:7" x14ac:dyDescent="0.2">
      <c r="A1255" t="s">
        <v>1</v>
      </c>
      <c r="B1255" t="str">
        <f>"13781071678"</f>
        <v>13781071678</v>
      </c>
      <c r="C1255" t="s">
        <v>1</v>
      </c>
      <c r="D1255" t="s">
        <v>1</v>
      </c>
      <c r="E1255" t="s">
        <v>1</v>
      </c>
      <c r="F1255" t="s">
        <v>0</v>
      </c>
      <c r="G1255" t="str">
        <f>"2018-10-18 16:12:38"</f>
        <v>2018-10-18 16:12:38</v>
      </c>
    </row>
    <row r="1256" spans="1:7" x14ac:dyDescent="0.2">
      <c r="A1256" t="s">
        <v>2900</v>
      </c>
      <c r="B1256" t="str">
        <f>"13198077799"</f>
        <v>13198077799</v>
      </c>
      <c r="C1256" t="str">
        <f>"510722196509117054"</f>
        <v>510722196509117054</v>
      </c>
      <c r="D1256" t="s">
        <v>1</v>
      </c>
      <c r="E1256" t="s">
        <v>1</v>
      </c>
      <c r="F1256" t="s">
        <v>0</v>
      </c>
      <c r="G1256" t="str">
        <f>"2018-10-18 16:14:56"</f>
        <v>2018-10-18 16:14:56</v>
      </c>
    </row>
    <row r="1257" spans="1:7" x14ac:dyDescent="0.2">
      <c r="A1257" t="s">
        <v>28</v>
      </c>
      <c r="B1257" t="str">
        <f>"15515598046"</f>
        <v>15515598046</v>
      </c>
      <c r="C1257" t="str">
        <f>"410106198306180056"</f>
        <v>410106198306180056</v>
      </c>
      <c r="D1257" t="s">
        <v>1</v>
      </c>
      <c r="E1257" t="s">
        <v>1</v>
      </c>
      <c r="F1257" t="s">
        <v>0</v>
      </c>
      <c r="G1257" t="str">
        <f>"2018-10-18 16:23:07"</f>
        <v>2018-10-18 16:23:07</v>
      </c>
    </row>
    <row r="1258" spans="1:7" x14ac:dyDescent="0.2">
      <c r="A1258" t="s">
        <v>2901</v>
      </c>
      <c r="B1258" t="str">
        <f>"15011430427"</f>
        <v>15011430427</v>
      </c>
      <c r="C1258" t="str">
        <f>"110106198908113618"</f>
        <v>110106198908113618</v>
      </c>
      <c r="D1258" t="s">
        <v>1</v>
      </c>
      <c r="E1258" t="s">
        <v>1</v>
      </c>
      <c r="F1258" t="s">
        <v>0</v>
      </c>
      <c r="G1258" t="str">
        <f>"2018-10-18 17:40:30"</f>
        <v>2018-10-18 17:40:30</v>
      </c>
    </row>
    <row r="1259" spans="1:7" x14ac:dyDescent="0.2">
      <c r="A1259" t="s">
        <v>2902</v>
      </c>
      <c r="B1259" t="str">
        <f>"15630440643"</f>
        <v>15630440643</v>
      </c>
      <c r="C1259" t="str">
        <f>"411423199305183018"</f>
        <v>411423199305183018</v>
      </c>
      <c r="D1259" t="s">
        <v>1</v>
      </c>
      <c r="E1259" t="s">
        <v>1</v>
      </c>
      <c r="F1259" t="s">
        <v>0</v>
      </c>
      <c r="G1259" t="str">
        <f>"2018-10-18 16:13:30"</f>
        <v>2018-10-18 16:13:30</v>
      </c>
    </row>
    <row r="1260" spans="1:7" x14ac:dyDescent="0.2">
      <c r="A1260" t="s">
        <v>2903</v>
      </c>
      <c r="B1260" t="str">
        <f>"18604013343"</f>
        <v>18604013343</v>
      </c>
      <c r="C1260" t="str">
        <f>"210922199409233019"</f>
        <v>210922199409233019</v>
      </c>
      <c r="D1260" t="s">
        <v>1</v>
      </c>
      <c r="E1260" t="s">
        <v>1</v>
      </c>
      <c r="F1260" t="s">
        <v>0</v>
      </c>
      <c r="G1260" t="str">
        <f>"2018-10-18 16:17:03"</f>
        <v>2018-10-18 16:17:03</v>
      </c>
    </row>
    <row r="1261" spans="1:7" x14ac:dyDescent="0.2">
      <c r="A1261" t="s">
        <v>2904</v>
      </c>
      <c r="B1261" t="str">
        <f>"15965305394"</f>
        <v>15965305394</v>
      </c>
      <c r="C1261" t="str">
        <f>"372930199208025578"</f>
        <v>372930199208025578</v>
      </c>
      <c r="D1261" t="s">
        <v>1</v>
      </c>
      <c r="E1261" t="s">
        <v>1</v>
      </c>
      <c r="F1261" t="s">
        <v>0</v>
      </c>
      <c r="G1261" t="str">
        <f>"2018-10-18 16:18:31"</f>
        <v>2018-10-18 16:18:31</v>
      </c>
    </row>
    <row r="1262" spans="1:7" x14ac:dyDescent="0.2">
      <c r="A1262" t="s">
        <v>1</v>
      </c>
      <c r="B1262" t="str">
        <f>"13879595348"</f>
        <v>13879595348</v>
      </c>
      <c r="C1262" t="s">
        <v>1</v>
      </c>
      <c r="D1262" t="s">
        <v>1</v>
      </c>
      <c r="E1262" t="s">
        <v>1</v>
      </c>
      <c r="F1262" t="s">
        <v>0</v>
      </c>
      <c r="G1262" t="str">
        <f>"2018-10-18 16:12:05"</f>
        <v>2018-10-18 16:12:05</v>
      </c>
    </row>
    <row r="1263" spans="1:7" x14ac:dyDescent="0.2">
      <c r="A1263" t="s">
        <v>2905</v>
      </c>
      <c r="B1263" t="str">
        <f>"15663256050"</f>
        <v>15663256050</v>
      </c>
      <c r="C1263" t="str">
        <f>"230227199608072710"</f>
        <v>230227199608072710</v>
      </c>
      <c r="D1263" t="s">
        <v>1</v>
      </c>
      <c r="E1263" t="s">
        <v>1</v>
      </c>
      <c r="F1263" t="s">
        <v>0</v>
      </c>
      <c r="G1263" t="str">
        <f>"2018-10-18 16:13:11"</f>
        <v>2018-10-18 16:13:11</v>
      </c>
    </row>
    <row r="1264" spans="1:7" x14ac:dyDescent="0.2">
      <c r="A1264" t="s">
        <v>2906</v>
      </c>
      <c r="B1264" t="str">
        <f>"13906881540"</f>
        <v>13906881540</v>
      </c>
      <c r="C1264" t="str">
        <f>"342921198610250910"</f>
        <v>342921198610250910</v>
      </c>
      <c r="D1264" t="s">
        <v>1</v>
      </c>
      <c r="E1264" t="s">
        <v>1</v>
      </c>
      <c r="F1264" t="s">
        <v>0</v>
      </c>
      <c r="G1264" t="str">
        <f>"2018-10-18 16:13:41"</f>
        <v>2018-10-18 16:13:41</v>
      </c>
    </row>
    <row r="1265" spans="1:7" x14ac:dyDescent="0.2">
      <c r="A1265" t="s">
        <v>2907</v>
      </c>
      <c r="B1265" t="str">
        <f>"15511392991"</f>
        <v>15511392991</v>
      </c>
      <c r="C1265" t="str">
        <f>"13082319870712006X"</f>
        <v>13082319870712006X</v>
      </c>
      <c r="D1265" t="s">
        <v>2908</v>
      </c>
      <c r="E1265" t="s">
        <v>2909</v>
      </c>
      <c r="F1265" t="s">
        <v>0</v>
      </c>
      <c r="G1265" t="str">
        <f>"2018-10-18 16:18:33"</f>
        <v>2018-10-18 16:18:33</v>
      </c>
    </row>
    <row r="1266" spans="1:7" x14ac:dyDescent="0.2">
      <c r="A1266" t="s">
        <v>2910</v>
      </c>
      <c r="B1266" t="str">
        <f>"15800383696"</f>
        <v>15800383696</v>
      </c>
      <c r="C1266" t="str">
        <f>"421125198608120931"</f>
        <v>421125198608120931</v>
      </c>
      <c r="D1266" t="s">
        <v>1</v>
      </c>
      <c r="E1266" t="s">
        <v>1</v>
      </c>
      <c r="F1266" t="s">
        <v>0</v>
      </c>
      <c r="G1266" t="str">
        <f>"2018-10-30 16:30:47"</f>
        <v>2018-10-30 16:30:47</v>
      </c>
    </row>
    <row r="1267" spans="1:7" x14ac:dyDescent="0.2">
      <c r="A1267" t="s">
        <v>2911</v>
      </c>
      <c r="B1267" t="str">
        <f>"15666247456"</f>
        <v>15666247456</v>
      </c>
      <c r="C1267" t="str">
        <f>"370831199711225875"</f>
        <v>370831199711225875</v>
      </c>
      <c r="D1267" t="s">
        <v>1</v>
      </c>
      <c r="E1267" t="s">
        <v>1</v>
      </c>
      <c r="F1267" t="s">
        <v>0</v>
      </c>
      <c r="G1267" t="str">
        <f>"2018-10-23 07:48:30"</f>
        <v>2018-10-23 07:48:30</v>
      </c>
    </row>
    <row r="1268" spans="1:7" x14ac:dyDescent="0.2">
      <c r="A1268" t="s">
        <v>2912</v>
      </c>
      <c r="B1268" t="str">
        <f>"18261311008"</f>
        <v>18261311008</v>
      </c>
      <c r="C1268" t="str">
        <f>"320722198901021739"</f>
        <v>320722198901021739</v>
      </c>
      <c r="D1268" t="s">
        <v>1</v>
      </c>
      <c r="E1268" t="s">
        <v>1</v>
      </c>
      <c r="F1268" t="s">
        <v>0</v>
      </c>
      <c r="G1268" t="str">
        <f>"2018-10-18 16:13:11"</f>
        <v>2018-10-18 16:13:11</v>
      </c>
    </row>
    <row r="1269" spans="1:7" x14ac:dyDescent="0.2">
      <c r="A1269" t="s">
        <v>2913</v>
      </c>
      <c r="B1269" t="str">
        <f>"14743882224"</f>
        <v>14743882224</v>
      </c>
      <c r="C1269" t="str">
        <f>"220721198602204658"</f>
        <v>220721198602204658</v>
      </c>
      <c r="D1269" t="s">
        <v>1</v>
      </c>
      <c r="E1269" t="s">
        <v>1</v>
      </c>
      <c r="F1269" t="s">
        <v>0</v>
      </c>
      <c r="G1269" t="str">
        <f>"2018-10-18 16:12:33"</f>
        <v>2018-10-18 16:12:33</v>
      </c>
    </row>
    <row r="1270" spans="1:7" x14ac:dyDescent="0.2">
      <c r="A1270" t="s">
        <v>2914</v>
      </c>
      <c r="B1270" t="str">
        <f>"15315057262"</f>
        <v>15315057262</v>
      </c>
      <c r="C1270" t="str">
        <f>"372301198911094816"</f>
        <v>372301198911094816</v>
      </c>
      <c r="D1270" t="s">
        <v>1</v>
      </c>
      <c r="E1270" t="s">
        <v>1</v>
      </c>
      <c r="F1270" t="s">
        <v>0</v>
      </c>
      <c r="G1270" t="str">
        <f>"2018-10-18 16:12:31"</f>
        <v>2018-10-18 16:12:31</v>
      </c>
    </row>
    <row r="1271" spans="1:7" x14ac:dyDescent="0.2">
      <c r="A1271" t="s">
        <v>1</v>
      </c>
      <c r="B1271" t="str">
        <f>"13544223980"</f>
        <v>13544223980</v>
      </c>
      <c r="C1271" t="s">
        <v>1</v>
      </c>
      <c r="D1271" t="s">
        <v>1</v>
      </c>
      <c r="E1271" t="s">
        <v>1</v>
      </c>
      <c r="F1271" t="s">
        <v>0</v>
      </c>
      <c r="G1271" t="str">
        <f>"2018-10-18 16:10:51"</f>
        <v>2018-10-18 16:10:51</v>
      </c>
    </row>
    <row r="1272" spans="1:7" x14ac:dyDescent="0.2">
      <c r="A1272" t="s">
        <v>2915</v>
      </c>
      <c r="B1272" t="str">
        <f>"18246075009"</f>
        <v>18246075009</v>
      </c>
      <c r="C1272" t="str">
        <f>"230105199012233727"</f>
        <v>230105199012233727</v>
      </c>
      <c r="D1272" t="s">
        <v>2916</v>
      </c>
      <c r="E1272" t="s">
        <v>2917</v>
      </c>
      <c r="F1272" t="s">
        <v>0</v>
      </c>
      <c r="G1272" t="str">
        <f>"2018-10-18 16:14:32"</f>
        <v>2018-10-18 16:14:32</v>
      </c>
    </row>
    <row r="1273" spans="1:7" x14ac:dyDescent="0.2">
      <c r="A1273" t="s">
        <v>2918</v>
      </c>
      <c r="B1273" t="str">
        <f>"15178881909"</f>
        <v>15178881909</v>
      </c>
      <c r="C1273" t="str">
        <f>"500113199308243911"</f>
        <v>500113199308243911</v>
      </c>
      <c r="D1273" t="s">
        <v>1</v>
      </c>
      <c r="E1273" t="s">
        <v>1</v>
      </c>
      <c r="F1273" t="s">
        <v>0</v>
      </c>
      <c r="G1273" t="str">
        <f>"2018-10-18 16:14:52"</f>
        <v>2018-10-18 16:14:52</v>
      </c>
    </row>
    <row r="1274" spans="1:7" x14ac:dyDescent="0.2">
      <c r="A1274" t="s">
        <v>1</v>
      </c>
      <c r="B1274" t="str">
        <f>"15010854130"</f>
        <v>15010854130</v>
      </c>
      <c r="C1274" t="s">
        <v>1</v>
      </c>
      <c r="D1274" t="s">
        <v>1</v>
      </c>
      <c r="E1274" t="s">
        <v>1</v>
      </c>
      <c r="F1274" t="s">
        <v>0</v>
      </c>
      <c r="G1274" t="str">
        <f>"2018-10-18 16:10:40"</f>
        <v>2018-10-18 16:10:40</v>
      </c>
    </row>
    <row r="1275" spans="1:7" x14ac:dyDescent="0.2">
      <c r="A1275" t="s">
        <v>1</v>
      </c>
      <c r="B1275" t="str">
        <f>"13876209154"</f>
        <v>13876209154</v>
      </c>
      <c r="C1275" t="s">
        <v>1</v>
      </c>
      <c r="D1275" t="s">
        <v>1</v>
      </c>
      <c r="E1275" t="s">
        <v>1</v>
      </c>
      <c r="F1275" t="s">
        <v>0</v>
      </c>
      <c r="G1275" t="str">
        <f>"2018-10-18 16:10:32"</f>
        <v>2018-10-18 16:10:32</v>
      </c>
    </row>
    <row r="1276" spans="1:7" x14ac:dyDescent="0.2">
      <c r="A1276" t="s">
        <v>2919</v>
      </c>
      <c r="B1276" t="str">
        <f>"17792322658"</f>
        <v>17792322658</v>
      </c>
      <c r="C1276" t="str">
        <f>"610123197503280776"</f>
        <v>610123197503280776</v>
      </c>
      <c r="D1276" t="s">
        <v>1</v>
      </c>
      <c r="E1276" t="s">
        <v>1</v>
      </c>
      <c r="F1276" t="s">
        <v>0</v>
      </c>
      <c r="G1276" t="str">
        <f>"2018-10-18 16:15:52"</f>
        <v>2018-10-18 16:15:52</v>
      </c>
    </row>
    <row r="1277" spans="1:7" x14ac:dyDescent="0.2">
      <c r="A1277" t="s">
        <v>2920</v>
      </c>
      <c r="B1277" t="str">
        <f>"18732754377"</f>
        <v>18732754377</v>
      </c>
      <c r="C1277" t="str">
        <f>"130921199607134218"</f>
        <v>130921199607134218</v>
      </c>
      <c r="D1277" t="s">
        <v>2921</v>
      </c>
      <c r="E1277" t="s">
        <v>2922</v>
      </c>
      <c r="F1277" t="s">
        <v>0</v>
      </c>
      <c r="G1277" t="str">
        <f>"2018-10-18 16:17:21"</f>
        <v>2018-10-18 16:17:21</v>
      </c>
    </row>
    <row r="1278" spans="1:7" x14ac:dyDescent="0.2">
      <c r="A1278" t="s">
        <v>2923</v>
      </c>
      <c r="B1278" t="str">
        <f>"15761666216"</f>
        <v>15761666216</v>
      </c>
      <c r="C1278" t="str">
        <f>"522631199406113139"</f>
        <v>522631199406113139</v>
      </c>
      <c r="D1278" t="s">
        <v>1</v>
      </c>
      <c r="E1278" t="s">
        <v>1</v>
      </c>
      <c r="F1278" t="s">
        <v>0</v>
      </c>
      <c r="G1278" t="str">
        <f>"2018-10-18 16:12:15"</f>
        <v>2018-10-18 16:12:15</v>
      </c>
    </row>
    <row r="1279" spans="1:7" x14ac:dyDescent="0.2">
      <c r="A1279" t="s">
        <v>2924</v>
      </c>
      <c r="B1279" t="str">
        <f>"15121197050"</f>
        <v>15121197050</v>
      </c>
      <c r="C1279" t="str">
        <f>"310114199404300032"</f>
        <v>310114199404300032</v>
      </c>
      <c r="D1279" t="s">
        <v>1</v>
      </c>
      <c r="E1279" t="s">
        <v>1</v>
      </c>
      <c r="F1279" t="s">
        <v>0</v>
      </c>
      <c r="G1279" t="str">
        <f>"2018-10-18 16:13:50"</f>
        <v>2018-10-18 16:13:50</v>
      </c>
    </row>
    <row r="1280" spans="1:7" x14ac:dyDescent="0.2">
      <c r="A1280" t="s">
        <v>2925</v>
      </c>
      <c r="B1280" t="str">
        <f>"13850268995"</f>
        <v>13850268995</v>
      </c>
      <c r="C1280" t="str">
        <f>"350302198104190810"</f>
        <v>350302198104190810</v>
      </c>
      <c r="D1280" t="s">
        <v>1</v>
      </c>
      <c r="E1280" t="s">
        <v>1</v>
      </c>
      <c r="F1280" t="s">
        <v>0</v>
      </c>
      <c r="G1280" t="str">
        <f>"2018-10-18 16:11:13"</f>
        <v>2018-10-18 16:11:13</v>
      </c>
    </row>
    <row r="1281" spans="1:7" x14ac:dyDescent="0.2">
      <c r="A1281" t="s">
        <v>549</v>
      </c>
      <c r="B1281" t="str">
        <f>"18662655548"</f>
        <v>18662655548</v>
      </c>
      <c r="C1281" t="str">
        <f>"320583199110041035"</f>
        <v>320583199110041035</v>
      </c>
      <c r="D1281" t="s">
        <v>1</v>
      </c>
      <c r="E1281" t="s">
        <v>1</v>
      </c>
      <c r="F1281" t="s">
        <v>0</v>
      </c>
      <c r="G1281" t="str">
        <f>"2018-10-18 16:13:04"</f>
        <v>2018-10-18 16:13:04</v>
      </c>
    </row>
    <row r="1282" spans="1:7" x14ac:dyDescent="0.2">
      <c r="A1282" t="s">
        <v>1</v>
      </c>
      <c r="B1282" t="str">
        <f>"15832285800"</f>
        <v>15832285800</v>
      </c>
      <c r="C1282" t="s">
        <v>1</v>
      </c>
      <c r="D1282" t="s">
        <v>1</v>
      </c>
      <c r="E1282" t="s">
        <v>1</v>
      </c>
      <c r="F1282" t="s">
        <v>0</v>
      </c>
      <c r="G1282" t="str">
        <f>"2018-10-18 16:20:28"</f>
        <v>2018-10-18 16:20:28</v>
      </c>
    </row>
    <row r="1283" spans="1:7" x14ac:dyDescent="0.2">
      <c r="A1283" t="s">
        <v>1</v>
      </c>
      <c r="B1283" t="str">
        <f>"18627809338"</f>
        <v>18627809338</v>
      </c>
      <c r="C1283" t="s">
        <v>1</v>
      </c>
      <c r="D1283" t="s">
        <v>1</v>
      </c>
      <c r="E1283" t="s">
        <v>1</v>
      </c>
      <c r="F1283" t="s">
        <v>0</v>
      </c>
      <c r="G1283" t="str">
        <f>"2018-10-18 16:11:09"</f>
        <v>2018-10-18 16:11:09</v>
      </c>
    </row>
    <row r="1284" spans="1:7" x14ac:dyDescent="0.2">
      <c r="A1284" t="s">
        <v>2926</v>
      </c>
      <c r="B1284" t="str">
        <f>"18213627246"</f>
        <v>18213627246</v>
      </c>
      <c r="C1284" t="str">
        <f>"532626199011101361"</f>
        <v>532626199011101361</v>
      </c>
      <c r="D1284" t="s">
        <v>1</v>
      </c>
      <c r="E1284" t="s">
        <v>1</v>
      </c>
      <c r="F1284" t="s">
        <v>0</v>
      </c>
      <c r="G1284" t="str">
        <f>"2018-10-18 16:22:17"</f>
        <v>2018-10-18 16:22:17</v>
      </c>
    </row>
    <row r="1285" spans="1:7" x14ac:dyDescent="0.2">
      <c r="A1285" t="s">
        <v>2927</v>
      </c>
      <c r="B1285" t="str">
        <f>"15901169858"</f>
        <v>15901169858</v>
      </c>
      <c r="C1285" t="str">
        <f>"130726198401025514"</f>
        <v>130726198401025514</v>
      </c>
      <c r="D1285" t="s">
        <v>1</v>
      </c>
      <c r="E1285" t="s">
        <v>1</v>
      </c>
      <c r="F1285" t="s">
        <v>0</v>
      </c>
      <c r="G1285" t="str">
        <f>"2018-10-18 16:09:24"</f>
        <v>2018-10-18 16:09:24</v>
      </c>
    </row>
    <row r="1286" spans="1:7" x14ac:dyDescent="0.2">
      <c r="A1286" t="s">
        <v>1</v>
      </c>
      <c r="B1286" t="str">
        <f>"13873610564"</f>
        <v>13873610564</v>
      </c>
      <c r="C1286" t="s">
        <v>1</v>
      </c>
      <c r="D1286" t="s">
        <v>1</v>
      </c>
      <c r="E1286" t="s">
        <v>1</v>
      </c>
      <c r="F1286" t="s">
        <v>0</v>
      </c>
      <c r="G1286" t="str">
        <f>"2018-10-18 16:09:02"</f>
        <v>2018-10-18 16:09:02</v>
      </c>
    </row>
    <row r="1287" spans="1:7" x14ac:dyDescent="0.2">
      <c r="A1287" t="s">
        <v>2928</v>
      </c>
      <c r="B1287" t="str">
        <f>"17757490918"</f>
        <v>17757490918</v>
      </c>
      <c r="C1287" t="str">
        <f>"330281198909180413"</f>
        <v>330281198909180413</v>
      </c>
      <c r="D1287" t="s">
        <v>1</v>
      </c>
      <c r="E1287" t="s">
        <v>1</v>
      </c>
      <c r="F1287" t="s">
        <v>0</v>
      </c>
      <c r="G1287" t="str">
        <f>"2018-10-18 16:11:40"</f>
        <v>2018-10-18 16:11:40</v>
      </c>
    </row>
    <row r="1288" spans="1:7" x14ac:dyDescent="0.2">
      <c r="A1288" t="s">
        <v>1</v>
      </c>
      <c r="B1288" t="str">
        <f>"18106750852"</f>
        <v>18106750852</v>
      </c>
      <c r="C1288" t="s">
        <v>1</v>
      </c>
      <c r="D1288" t="s">
        <v>1</v>
      </c>
      <c r="E1288" t="s">
        <v>1</v>
      </c>
      <c r="F1288" t="s">
        <v>0</v>
      </c>
      <c r="G1288" t="str">
        <f>"2018-10-18 16:12:22"</f>
        <v>2018-10-18 16:12:22</v>
      </c>
    </row>
    <row r="1289" spans="1:7" x14ac:dyDescent="0.2">
      <c r="A1289" t="s">
        <v>2929</v>
      </c>
      <c r="B1289" t="str">
        <f>"15021314642"</f>
        <v>15021314642</v>
      </c>
      <c r="C1289" t="str">
        <f>"370481199809282634"</f>
        <v>370481199809282634</v>
      </c>
      <c r="D1289" t="s">
        <v>1</v>
      </c>
      <c r="E1289" t="s">
        <v>1</v>
      </c>
      <c r="F1289" t="s">
        <v>0</v>
      </c>
      <c r="G1289" t="str">
        <f>"2018-10-18 16:08:52"</f>
        <v>2018-10-18 16:08:52</v>
      </c>
    </row>
    <row r="1290" spans="1:7" x14ac:dyDescent="0.2">
      <c r="A1290" t="s">
        <v>1</v>
      </c>
      <c r="B1290" t="str">
        <f>"15876939505"</f>
        <v>15876939505</v>
      </c>
      <c r="C1290" t="s">
        <v>1</v>
      </c>
      <c r="D1290" t="s">
        <v>1</v>
      </c>
      <c r="E1290" t="s">
        <v>1</v>
      </c>
      <c r="F1290" t="s">
        <v>0</v>
      </c>
      <c r="G1290" t="str">
        <f>"2018-10-18 16:26:53"</f>
        <v>2018-10-18 16:26:53</v>
      </c>
    </row>
    <row r="1291" spans="1:7" x14ac:dyDescent="0.2">
      <c r="A1291" t="s">
        <v>2930</v>
      </c>
      <c r="B1291" t="str">
        <f>"15192559081"</f>
        <v>15192559081</v>
      </c>
      <c r="C1291" t="str">
        <f>"370785199003037711"</f>
        <v>370785199003037711</v>
      </c>
      <c r="D1291" t="s">
        <v>1</v>
      </c>
      <c r="E1291" t="s">
        <v>1</v>
      </c>
      <c r="F1291" t="s">
        <v>0</v>
      </c>
      <c r="G1291" t="str">
        <f>"2018-10-18 16:12:59"</f>
        <v>2018-10-18 16:12:59</v>
      </c>
    </row>
    <row r="1292" spans="1:7" x14ac:dyDescent="0.2">
      <c r="A1292" t="s">
        <v>2931</v>
      </c>
      <c r="B1292" t="str">
        <f>"13886972345"</f>
        <v>13886972345</v>
      </c>
      <c r="C1292" t="str">
        <f>"429005199302222258"</f>
        <v>429005199302222258</v>
      </c>
      <c r="D1292" t="s">
        <v>1</v>
      </c>
      <c r="E1292" t="s">
        <v>1</v>
      </c>
      <c r="F1292" t="s">
        <v>0</v>
      </c>
      <c r="G1292" t="str">
        <f>"2018-10-18 16:10:10"</f>
        <v>2018-10-18 16:10:10</v>
      </c>
    </row>
    <row r="1293" spans="1:7" x14ac:dyDescent="0.2">
      <c r="A1293" t="s">
        <v>1526</v>
      </c>
      <c r="B1293" t="str">
        <f>"18240322810"</f>
        <v>18240322810</v>
      </c>
      <c r="C1293" t="str">
        <f>"230811198709072418"</f>
        <v>230811198709072418</v>
      </c>
      <c r="D1293" t="s">
        <v>1</v>
      </c>
      <c r="E1293" t="s">
        <v>1</v>
      </c>
      <c r="F1293" t="s">
        <v>0</v>
      </c>
      <c r="G1293" t="str">
        <f>"2018-10-18 16:08:28"</f>
        <v>2018-10-18 16:08:28</v>
      </c>
    </row>
    <row r="1294" spans="1:7" x14ac:dyDescent="0.2">
      <c r="A1294" t="s">
        <v>2932</v>
      </c>
      <c r="B1294" t="str">
        <f>"15931786665"</f>
        <v>15931786665</v>
      </c>
      <c r="C1294" t="str">
        <f>"15212319871005606X"</f>
        <v>15212319871005606X</v>
      </c>
      <c r="D1294" t="s">
        <v>1</v>
      </c>
      <c r="E1294" t="s">
        <v>1</v>
      </c>
      <c r="F1294" t="s">
        <v>0</v>
      </c>
      <c r="G1294" t="str">
        <f>"2018-10-18 16:09:21"</f>
        <v>2018-10-18 16:09:21</v>
      </c>
    </row>
    <row r="1295" spans="1:7" x14ac:dyDescent="0.2">
      <c r="A1295" t="s">
        <v>1</v>
      </c>
      <c r="B1295" t="str">
        <f>"13321605076"</f>
        <v>13321605076</v>
      </c>
      <c r="C1295" t="s">
        <v>1</v>
      </c>
      <c r="D1295" t="s">
        <v>1</v>
      </c>
      <c r="E1295" t="s">
        <v>1</v>
      </c>
      <c r="F1295" t="s">
        <v>0</v>
      </c>
      <c r="G1295" t="str">
        <f>"2018-10-18 16:08:22"</f>
        <v>2018-10-18 16:08:22</v>
      </c>
    </row>
    <row r="1296" spans="1:7" x14ac:dyDescent="0.2">
      <c r="A1296" t="s">
        <v>2933</v>
      </c>
      <c r="B1296" t="str">
        <f>"18302573882"</f>
        <v>18302573882</v>
      </c>
      <c r="C1296" t="str">
        <f>"520121199401132830"</f>
        <v>520121199401132830</v>
      </c>
      <c r="D1296" t="s">
        <v>1</v>
      </c>
      <c r="E1296" t="s">
        <v>1</v>
      </c>
      <c r="F1296" t="s">
        <v>0</v>
      </c>
      <c r="G1296" t="str">
        <f>"2018-10-18 16:13:52"</f>
        <v>2018-10-18 16:13:52</v>
      </c>
    </row>
    <row r="1297" spans="1:7" x14ac:dyDescent="0.2">
      <c r="A1297" t="s">
        <v>2934</v>
      </c>
      <c r="B1297" t="str">
        <f>"18343618307"</f>
        <v>18343618307</v>
      </c>
      <c r="C1297" t="str">
        <f>"220881199808172117"</f>
        <v>220881199808172117</v>
      </c>
      <c r="D1297" t="s">
        <v>1</v>
      </c>
      <c r="E1297" t="s">
        <v>1</v>
      </c>
      <c r="F1297" t="s">
        <v>0</v>
      </c>
      <c r="G1297" t="str">
        <f>"2018-10-18 16:09:31"</f>
        <v>2018-10-18 16:09:31</v>
      </c>
    </row>
    <row r="1298" spans="1:7" x14ac:dyDescent="0.2">
      <c r="A1298" t="s">
        <v>2935</v>
      </c>
      <c r="B1298" t="str">
        <f>"18605768598"</f>
        <v>18605768598</v>
      </c>
      <c r="C1298" t="str">
        <f>"332626196912080018"</f>
        <v>332626196912080018</v>
      </c>
      <c r="D1298" t="s">
        <v>1</v>
      </c>
      <c r="E1298" t="s">
        <v>1</v>
      </c>
      <c r="F1298" t="s">
        <v>0</v>
      </c>
      <c r="G1298" t="str">
        <f>"2018-10-18 16:10:26"</f>
        <v>2018-10-18 16:10:26</v>
      </c>
    </row>
    <row r="1299" spans="1:7" x14ac:dyDescent="0.2">
      <c r="A1299" t="s">
        <v>2936</v>
      </c>
      <c r="B1299" t="str">
        <f>"17703523847"</f>
        <v>17703523847</v>
      </c>
      <c r="C1299" t="str">
        <f>"140223199510102312"</f>
        <v>140223199510102312</v>
      </c>
      <c r="D1299" t="s">
        <v>1</v>
      </c>
      <c r="E1299" t="s">
        <v>1</v>
      </c>
      <c r="F1299" t="s">
        <v>0</v>
      </c>
      <c r="G1299" t="str">
        <f>"2018-10-18 18:18:27"</f>
        <v>2018-10-18 18:18:27</v>
      </c>
    </row>
    <row r="1300" spans="1:7" x14ac:dyDescent="0.2">
      <c r="A1300" t="s">
        <v>2937</v>
      </c>
      <c r="B1300" t="str">
        <f>"15763617012"</f>
        <v>15763617012</v>
      </c>
      <c r="C1300" t="str">
        <f>"370783198905184377"</f>
        <v>370783198905184377</v>
      </c>
      <c r="D1300" t="s">
        <v>1</v>
      </c>
      <c r="E1300" t="s">
        <v>1</v>
      </c>
      <c r="F1300" t="s">
        <v>0</v>
      </c>
      <c r="G1300" t="str">
        <f>"2018-10-18 16:09:42"</f>
        <v>2018-10-18 16:09:42</v>
      </c>
    </row>
    <row r="1301" spans="1:7" x14ac:dyDescent="0.2">
      <c r="A1301" t="s">
        <v>2938</v>
      </c>
      <c r="B1301" t="str">
        <f>"13777579652"</f>
        <v>13777579652</v>
      </c>
      <c r="C1301" t="str">
        <f>"330104198708241912"</f>
        <v>330104198708241912</v>
      </c>
      <c r="D1301" t="s">
        <v>1</v>
      </c>
      <c r="E1301" t="s">
        <v>1</v>
      </c>
      <c r="F1301" t="s">
        <v>0</v>
      </c>
      <c r="G1301" t="str">
        <f>"2018-10-18 16:10:09"</f>
        <v>2018-10-18 16:10:09</v>
      </c>
    </row>
    <row r="1302" spans="1:7" x14ac:dyDescent="0.2">
      <c r="A1302" t="s">
        <v>1</v>
      </c>
      <c r="B1302" t="str">
        <f>"18767702962"</f>
        <v>18767702962</v>
      </c>
      <c r="C1302" t="s">
        <v>1</v>
      </c>
      <c r="D1302" t="s">
        <v>1</v>
      </c>
      <c r="E1302" t="s">
        <v>1</v>
      </c>
      <c r="F1302" t="s">
        <v>0</v>
      </c>
      <c r="G1302" t="str">
        <f>"2018-10-18 16:07:29"</f>
        <v>2018-10-18 16:07:29</v>
      </c>
    </row>
    <row r="1303" spans="1:7" x14ac:dyDescent="0.2">
      <c r="A1303" t="s">
        <v>2939</v>
      </c>
      <c r="B1303" t="str">
        <f>"17835610209"</f>
        <v>17835610209</v>
      </c>
      <c r="C1303" t="str">
        <f>"142326199805265043"</f>
        <v>142326199805265043</v>
      </c>
      <c r="D1303" t="s">
        <v>1</v>
      </c>
      <c r="E1303" t="s">
        <v>1</v>
      </c>
      <c r="F1303" t="s">
        <v>0</v>
      </c>
      <c r="G1303" t="str">
        <f>"2018-10-18 16:08:23"</f>
        <v>2018-10-18 16:08:23</v>
      </c>
    </row>
    <row r="1304" spans="1:7" x14ac:dyDescent="0.2">
      <c r="A1304" t="s">
        <v>2940</v>
      </c>
      <c r="B1304" t="str">
        <f>"13484226613"</f>
        <v>13484226613</v>
      </c>
      <c r="C1304" t="str">
        <f>"330281199603263325"</f>
        <v>330281199603263325</v>
      </c>
      <c r="D1304" t="s">
        <v>1</v>
      </c>
      <c r="E1304" t="s">
        <v>1</v>
      </c>
      <c r="F1304" t="s">
        <v>0</v>
      </c>
      <c r="G1304" t="str">
        <f>"2018-10-23 22:55:30"</f>
        <v>2018-10-23 22:55:30</v>
      </c>
    </row>
    <row r="1305" spans="1:7" x14ac:dyDescent="0.2">
      <c r="A1305" t="s">
        <v>1</v>
      </c>
      <c r="B1305" t="str">
        <f>"13819834596"</f>
        <v>13819834596</v>
      </c>
      <c r="C1305" t="s">
        <v>1</v>
      </c>
      <c r="D1305" t="s">
        <v>1</v>
      </c>
      <c r="E1305" t="s">
        <v>1</v>
      </c>
      <c r="F1305" t="s">
        <v>0</v>
      </c>
      <c r="G1305" t="str">
        <f>"2018-10-19 13:33:53"</f>
        <v>2018-10-19 13:33:53</v>
      </c>
    </row>
    <row r="1306" spans="1:7" x14ac:dyDescent="0.2">
      <c r="A1306" t="s">
        <v>2941</v>
      </c>
      <c r="B1306" t="str">
        <f>"13096292893"</f>
        <v>13096292893</v>
      </c>
      <c r="C1306" t="str">
        <f>"51062319920822861X"</f>
        <v>51062319920822861X</v>
      </c>
      <c r="D1306" t="s">
        <v>1</v>
      </c>
      <c r="E1306" t="s">
        <v>1</v>
      </c>
      <c r="F1306" t="s">
        <v>0</v>
      </c>
      <c r="G1306" t="str">
        <f>"2018-10-18 16:08:51"</f>
        <v>2018-10-18 16:08:51</v>
      </c>
    </row>
    <row r="1307" spans="1:7" x14ac:dyDescent="0.2">
      <c r="A1307" t="s">
        <v>400</v>
      </c>
      <c r="B1307" t="str">
        <f>"17607014215"</f>
        <v>17607014215</v>
      </c>
      <c r="C1307" t="str">
        <f>"522634199909230053"</f>
        <v>522634199909230053</v>
      </c>
      <c r="D1307" t="s">
        <v>1</v>
      </c>
      <c r="E1307" t="s">
        <v>1</v>
      </c>
      <c r="F1307" t="s">
        <v>0</v>
      </c>
      <c r="G1307" t="str">
        <f>"2018-10-29 19:18:05"</f>
        <v>2018-10-29 19:18:05</v>
      </c>
    </row>
    <row r="1308" spans="1:7" x14ac:dyDescent="0.2">
      <c r="A1308" t="s">
        <v>1213</v>
      </c>
      <c r="B1308" t="str">
        <f>"15573667110"</f>
        <v>15573667110</v>
      </c>
      <c r="C1308" t="str">
        <f>"430703198907155056"</f>
        <v>430703198907155056</v>
      </c>
      <c r="D1308" t="s">
        <v>1</v>
      </c>
      <c r="E1308" t="s">
        <v>1</v>
      </c>
      <c r="F1308" t="s">
        <v>0</v>
      </c>
      <c r="G1308" t="str">
        <f>"2018-10-18 16:10:35"</f>
        <v>2018-10-18 16:10:35</v>
      </c>
    </row>
    <row r="1309" spans="1:7" x14ac:dyDescent="0.2">
      <c r="A1309" t="s">
        <v>2942</v>
      </c>
      <c r="B1309" t="str">
        <f>"18971817499"</f>
        <v>18971817499</v>
      </c>
      <c r="C1309" t="str">
        <f>"422326199810234919"</f>
        <v>422326199810234919</v>
      </c>
      <c r="D1309" t="s">
        <v>1</v>
      </c>
      <c r="E1309" t="s">
        <v>1</v>
      </c>
      <c r="F1309" t="s">
        <v>0</v>
      </c>
      <c r="G1309" t="str">
        <f>"2018-10-18 16:08:36"</f>
        <v>2018-10-18 16:08:36</v>
      </c>
    </row>
    <row r="1310" spans="1:7" x14ac:dyDescent="0.2">
      <c r="A1310" t="s">
        <v>2943</v>
      </c>
      <c r="B1310" t="str">
        <f>"13014267029"</f>
        <v>13014267029</v>
      </c>
      <c r="C1310" t="str">
        <f>"640302199108090319"</f>
        <v>640302199108090319</v>
      </c>
      <c r="D1310" t="s">
        <v>2944</v>
      </c>
      <c r="E1310" t="s">
        <v>2945</v>
      </c>
      <c r="F1310" t="s">
        <v>0</v>
      </c>
      <c r="G1310" t="str">
        <f>"2018-10-18 16:09:14"</f>
        <v>2018-10-18 16:09:14</v>
      </c>
    </row>
    <row r="1311" spans="1:7" x14ac:dyDescent="0.2">
      <c r="A1311" t="s">
        <v>2946</v>
      </c>
      <c r="B1311" t="str">
        <f>"13061231032"</f>
        <v>13061231032</v>
      </c>
      <c r="C1311" t="str">
        <f>"210502199509262418"</f>
        <v>210502199509262418</v>
      </c>
      <c r="D1311" t="s">
        <v>1</v>
      </c>
      <c r="E1311" t="s">
        <v>1</v>
      </c>
      <c r="F1311" t="s">
        <v>0</v>
      </c>
      <c r="G1311" t="str">
        <f>"2018-10-18 16:42:26"</f>
        <v>2018-10-18 16:42:26</v>
      </c>
    </row>
    <row r="1312" spans="1:7" x14ac:dyDescent="0.2">
      <c r="A1312" t="s">
        <v>14</v>
      </c>
      <c r="B1312" t="str">
        <f>"13838180276"</f>
        <v>13838180276</v>
      </c>
      <c r="C1312" t="str">
        <f>"410105197411012758"</f>
        <v>410105197411012758</v>
      </c>
      <c r="D1312" t="s">
        <v>1</v>
      </c>
      <c r="E1312" t="s">
        <v>1</v>
      </c>
      <c r="F1312" t="s">
        <v>0</v>
      </c>
      <c r="G1312" t="str">
        <f>"2018-10-18 16:08:46"</f>
        <v>2018-10-18 16:08:46</v>
      </c>
    </row>
    <row r="1313" spans="1:7" x14ac:dyDescent="0.2">
      <c r="A1313" t="s">
        <v>2947</v>
      </c>
      <c r="B1313" t="str">
        <f>"15559209096"</f>
        <v>15559209096</v>
      </c>
      <c r="C1313" t="str">
        <f>"130926199110213238"</f>
        <v>130926199110213238</v>
      </c>
      <c r="D1313" t="s">
        <v>2948</v>
      </c>
      <c r="E1313" t="s">
        <v>2949</v>
      </c>
      <c r="F1313" t="s">
        <v>0</v>
      </c>
      <c r="G1313" t="str">
        <f>"2018-10-18 16:08:16"</f>
        <v>2018-10-18 16:08:16</v>
      </c>
    </row>
    <row r="1314" spans="1:7" x14ac:dyDescent="0.2">
      <c r="A1314" t="s">
        <v>1</v>
      </c>
      <c r="B1314" t="str">
        <f>"15573166269"</f>
        <v>15573166269</v>
      </c>
      <c r="C1314" t="s">
        <v>1</v>
      </c>
      <c r="D1314" t="s">
        <v>1</v>
      </c>
      <c r="E1314" t="s">
        <v>1</v>
      </c>
      <c r="F1314" t="s">
        <v>0</v>
      </c>
      <c r="G1314" t="str">
        <f>"2018-10-18 16:06:17"</f>
        <v>2018-10-18 16:06:17</v>
      </c>
    </row>
    <row r="1315" spans="1:7" x14ac:dyDescent="0.2">
      <c r="A1315" t="s">
        <v>2950</v>
      </c>
      <c r="B1315" t="str">
        <f>"13802450434"</f>
        <v>13802450434</v>
      </c>
      <c r="C1315" t="str">
        <f>"44522120000519455X"</f>
        <v>44522120000519455X</v>
      </c>
      <c r="D1315" t="s">
        <v>1</v>
      </c>
      <c r="E1315" t="s">
        <v>1</v>
      </c>
      <c r="F1315" t="s">
        <v>0</v>
      </c>
      <c r="G1315" t="str">
        <f>"2018-10-18 16:08:21"</f>
        <v>2018-10-18 16:08:21</v>
      </c>
    </row>
    <row r="1316" spans="1:7" x14ac:dyDescent="0.2">
      <c r="A1316" t="s">
        <v>1</v>
      </c>
      <c r="B1316" t="str">
        <f>"18685025515"</f>
        <v>18685025515</v>
      </c>
      <c r="C1316" t="s">
        <v>1</v>
      </c>
      <c r="D1316" t="s">
        <v>1</v>
      </c>
      <c r="E1316" t="s">
        <v>1</v>
      </c>
      <c r="F1316" t="s">
        <v>0</v>
      </c>
      <c r="G1316" t="str">
        <f>"2018-10-18 16:43:00"</f>
        <v>2018-10-18 16:43:00</v>
      </c>
    </row>
    <row r="1317" spans="1:7" x14ac:dyDescent="0.2">
      <c r="A1317" t="s">
        <v>1408</v>
      </c>
      <c r="B1317" t="str">
        <f>"18108084161"</f>
        <v>18108084161</v>
      </c>
      <c r="C1317" t="str">
        <f>"513901198708110227"</f>
        <v>513901198708110227</v>
      </c>
      <c r="D1317" t="s">
        <v>1</v>
      </c>
      <c r="E1317" t="s">
        <v>1</v>
      </c>
      <c r="F1317" t="s">
        <v>0</v>
      </c>
      <c r="G1317" t="str">
        <f>"2018-10-18 16:07:53"</f>
        <v>2018-10-18 16:07:53</v>
      </c>
    </row>
    <row r="1318" spans="1:7" x14ac:dyDescent="0.2">
      <c r="A1318" t="s">
        <v>1</v>
      </c>
      <c r="B1318" t="str">
        <f>"13479020383"</f>
        <v>13479020383</v>
      </c>
      <c r="C1318" t="s">
        <v>1</v>
      </c>
      <c r="D1318" t="s">
        <v>1</v>
      </c>
      <c r="E1318" t="s">
        <v>1</v>
      </c>
      <c r="F1318" t="s">
        <v>0</v>
      </c>
      <c r="G1318" t="str">
        <f>"2018-10-18 16:06:13"</f>
        <v>2018-10-18 16:06:13</v>
      </c>
    </row>
    <row r="1319" spans="1:7" x14ac:dyDescent="0.2">
      <c r="A1319" t="s">
        <v>2951</v>
      </c>
      <c r="B1319" t="str">
        <f>"18718042057"</f>
        <v>18718042057</v>
      </c>
      <c r="C1319" t="str">
        <f>"450981199808143218"</f>
        <v>450981199808143218</v>
      </c>
      <c r="D1319" t="s">
        <v>1</v>
      </c>
      <c r="E1319" t="s">
        <v>1</v>
      </c>
      <c r="F1319" t="s">
        <v>0</v>
      </c>
      <c r="G1319" t="str">
        <f>"2018-10-18 18:06:18"</f>
        <v>2018-10-18 18:06:18</v>
      </c>
    </row>
    <row r="1320" spans="1:7" x14ac:dyDescent="0.2">
      <c r="A1320" t="s">
        <v>1</v>
      </c>
      <c r="B1320" t="str">
        <f>"13190225131"</f>
        <v>13190225131</v>
      </c>
      <c r="C1320" t="s">
        <v>1</v>
      </c>
      <c r="D1320" t="s">
        <v>1</v>
      </c>
      <c r="E1320" t="s">
        <v>1</v>
      </c>
      <c r="F1320" t="s">
        <v>0</v>
      </c>
      <c r="G1320" t="str">
        <f>"2018-10-18 16:07:52"</f>
        <v>2018-10-18 16:07:52</v>
      </c>
    </row>
    <row r="1321" spans="1:7" x14ac:dyDescent="0.2">
      <c r="A1321" t="s">
        <v>1</v>
      </c>
      <c r="B1321" t="str">
        <f>"18050222221"</f>
        <v>18050222221</v>
      </c>
      <c r="C1321" t="s">
        <v>1</v>
      </c>
      <c r="D1321" t="s">
        <v>1</v>
      </c>
      <c r="E1321" t="s">
        <v>1</v>
      </c>
      <c r="F1321" t="s">
        <v>0</v>
      </c>
      <c r="G1321" t="str">
        <f>"2018-10-18 16:06:05"</f>
        <v>2018-10-18 16:06:05</v>
      </c>
    </row>
    <row r="1322" spans="1:7" x14ac:dyDescent="0.2">
      <c r="A1322" t="s">
        <v>2952</v>
      </c>
      <c r="B1322" t="str">
        <f>"13058476334"</f>
        <v>13058476334</v>
      </c>
      <c r="C1322" t="str">
        <f>"500381199612176730"</f>
        <v>500381199612176730</v>
      </c>
      <c r="D1322" t="s">
        <v>1</v>
      </c>
      <c r="E1322" t="s">
        <v>1</v>
      </c>
      <c r="F1322" t="s">
        <v>0</v>
      </c>
      <c r="G1322" t="str">
        <f>"2018-10-18 16:37:20"</f>
        <v>2018-10-18 16:37:20</v>
      </c>
    </row>
    <row r="1323" spans="1:7" x14ac:dyDescent="0.2">
      <c r="A1323" t="s">
        <v>2953</v>
      </c>
      <c r="B1323" t="str">
        <f>"17697025412"</f>
        <v>17697025412</v>
      </c>
      <c r="C1323" t="str">
        <f>"63212219990416351X"</f>
        <v>63212219990416351X</v>
      </c>
      <c r="D1323" t="s">
        <v>1</v>
      </c>
      <c r="E1323" t="s">
        <v>1</v>
      </c>
      <c r="F1323" t="s">
        <v>0</v>
      </c>
      <c r="G1323" t="str">
        <f>"2018-10-18 16:07:47"</f>
        <v>2018-10-18 16:07:47</v>
      </c>
    </row>
    <row r="1324" spans="1:7" x14ac:dyDescent="0.2">
      <c r="A1324" t="s">
        <v>2954</v>
      </c>
      <c r="B1324" t="str">
        <f>"18566964023"</f>
        <v>18566964023</v>
      </c>
      <c r="C1324" t="str">
        <f>"450981199803143235"</f>
        <v>450981199803143235</v>
      </c>
      <c r="D1324" t="s">
        <v>1</v>
      </c>
      <c r="E1324" t="s">
        <v>1</v>
      </c>
      <c r="F1324" t="s">
        <v>0</v>
      </c>
      <c r="G1324" t="str">
        <f>"2018-10-18 16:07:04"</f>
        <v>2018-10-18 16:07:04</v>
      </c>
    </row>
    <row r="1325" spans="1:7" x14ac:dyDescent="0.2">
      <c r="A1325" t="s">
        <v>2955</v>
      </c>
      <c r="B1325" t="str">
        <f>"13799899889"</f>
        <v>13799899889</v>
      </c>
      <c r="C1325" t="str">
        <f>"350500197812280511"</f>
        <v>350500197812280511</v>
      </c>
      <c r="D1325" t="s">
        <v>1</v>
      </c>
      <c r="E1325" t="s">
        <v>1</v>
      </c>
      <c r="F1325" t="s">
        <v>0</v>
      </c>
      <c r="G1325" t="str">
        <f>"2018-10-18 16:09:16"</f>
        <v>2018-10-18 16:09:16</v>
      </c>
    </row>
    <row r="1326" spans="1:7" x14ac:dyDescent="0.2">
      <c r="A1326" t="s">
        <v>2956</v>
      </c>
      <c r="B1326" t="str">
        <f>"17697151823"</f>
        <v>17697151823</v>
      </c>
      <c r="C1326" t="str">
        <f>"632321199402030033"</f>
        <v>632321199402030033</v>
      </c>
      <c r="D1326" t="s">
        <v>1</v>
      </c>
      <c r="E1326" t="s">
        <v>1</v>
      </c>
      <c r="F1326" t="s">
        <v>0</v>
      </c>
      <c r="G1326" t="str">
        <f>"2018-10-18 16:08:29"</f>
        <v>2018-10-18 16:08:29</v>
      </c>
    </row>
    <row r="1327" spans="1:7" x14ac:dyDescent="0.2">
      <c r="A1327" t="s">
        <v>2957</v>
      </c>
      <c r="B1327" t="str">
        <f>"13646307521"</f>
        <v>13646307521</v>
      </c>
      <c r="C1327" t="str">
        <f>"371083199106181513"</f>
        <v>371083199106181513</v>
      </c>
      <c r="D1327" t="s">
        <v>1</v>
      </c>
      <c r="E1327" t="s">
        <v>1</v>
      </c>
      <c r="F1327" t="s">
        <v>0</v>
      </c>
      <c r="G1327" t="str">
        <f>"2018-10-18 16:08:42"</f>
        <v>2018-10-18 16:08:42</v>
      </c>
    </row>
    <row r="1328" spans="1:7" x14ac:dyDescent="0.2">
      <c r="A1328" t="s">
        <v>2958</v>
      </c>
      <c r="B1328" t="str">
        <f>"15141950800"</f>
        <v>15141950800</v>
      </c>
      <c r="C1328" t="str">
        <f>"211422199212126854"</f>
        <v>211422199212126854</v>
      </c>
      <c r="D1328" t="s">
        <v>1</v>
      </c>
      <c r="E1328" t="s">
        <v>1</v>
      </c>
      <c r="F1328" t="s">
        <v>0</v>
      </c>
      <c r="G1328" t="str">
        <f>"2018-10-18 16:06:22"</f>
        <v>2018-10-18 16:06:22</v>
      </c>
    </row>
    <row r="1329" spans="1:7" x14ac:dyDescent="0.2">
      <c r="A1329" t="s">
        <v>80</v>
      </c>
      <c r="B1329" t="str">
        <f>"15629981229"</f>
        <v>15629981229</v>
      </c>
      <c r="C1329" t="str">
        <f>"421202199807250013"</f>
        <v>421202199807250013</v>
      </c>
      <c r="D1329" t="s">
        <v>1</v>
      </c>
      <c r="E1329" t="s">
        <v>1</v>
      </c>
      <c r="F1329" t="s">
        <v>0</v>
      </c>
      <c r="G1329" t="str">
        <f>"2018-10-18 16:05:07"</f>
        <v>2018-10-18 16:05:07</v>
      </c>
    </row>
    <row r="1330" spans="1:7" x14ac:dyDescent="0.2">
      <c r="A1330" t="s">
        <v>1</v>
      </c>
      <c r="B1330" t="str">
        <f>"15594097712"</f>
        <v>15594097712</v>
      </c>
      <c r="C1330" t="s">
        <v>1</v>
      </c>
      <c r="D1330" t="s">
        <v>1</v>
      </c>
      <c r="E1330" t="s">
        <v>1</v>
      </c>
      <c r="F1330" t="s">
        <v>0</v>
      </c>
      <c r="G1330" t="str">
        <f>"2018-10-18 16:05:06"</f>
        <v>2018-10-18 16:05:06</v>
      </c>
    </row>
    <row r="1331" spans="1:7" x14ac:dyDescent="0.2">
      <c r="A1331" t="s">
        <v>2959</v>
      </c>
      <c r="B1331" t="str">
        <f>"18767017004"</f>
        <v>18767017004</v>
      </c>
      <c r="C1331" t="str">
        <f>"330824198703220024"</f>
        <v>330824198703220024</v>
      </c>
      <c r="D1331" t="s">
        <v>2960</v>
      </c>
      <c r="E1331" t="s">
        <v>2961</v>
      </c>
      <c r="F1331" t="s">
        <v>0</v>
      </c>
      <c r="G1331" t="str">
        <f>"2018-10-18 16:11:11"</f>
        <v>2018-10-18 16:11:11</v>
      </c>
    </row>
    <row r="1332" spans="1:7" x14ac:dyDescent="0.2">
      <c r="A1332" t="s">
        <v>2962</v>
      </c>
      <c r="B1332" t="str">
        <f>"13752704187"</f>
        <v>13752704187</v>
      </c>
      <c r="C1332" t="str">
        <f>"650105199405111323"</f>
        <v>650105199405111323</v>
      </c>
      <c r="D1332" t="s">
        <v>1</v>
      </c>
      <c r="E1332" t="s">
        <v>1</v>
      </c>
      <c r="F1332" t="s">
        <v>0</v>
      </c>
      <c r="G1332" t="str">
        <f>"2018-10-18 16:29:35"</f>
        <v>2018-10-18 16:29:35</v>
      </c>
    </row>
    <row r="1333" spans="1:7" x14ac:dyDescent="0.2">
      <c r="A1333" t="s">
        <v>2963</v>
      </c>
      <c r="B1333" t="str">
        <f>"15733166596"</f>
        <v>15733166596</v>
      </c>
      <c r="C1333" t="str">
        <f>"130121199410250414"</f>
        <v>130121199410250414</v>
      </c>
      <c r="D1333" t="s">
        <v>1</v>
      </c>
      <c r="E1333" t="s">
        <v>1</v>
      </c>
      <c r="F1333" t="s">
        <v>0</v>
      </c>
      <c r="G1333" t="str">
        <f>"2018-10-18 16:07:53"</f>
        <v>2018-10-18 16:07:53</v>
      </c>
    </row>
    <row r="1334" spans="1:7" x14ac:dyDescent="0.2">
      <c r="A1334" t="s">
        <v>2964</v>
      </c>
      <c r="B1334" t="str">
        <f>"15073018842"</f>
        <v>15073018842</v>
      </c>
      <c r="C1334" t="str">
        <f>"430602198408174031"</f>
        <v>430602198408174031</v>
      </c>
      <c r="D1334" t="s">
        <v>1</v>
      </c>
      <c r="E1334" t="s">
        <v>1</v>
      </c>
      <c r="F1334" t="s">
        <v>0</v>
      </c>
      <c r="G1334" t="str">
        <f>"2018-10-25 21:48:40"</f>
        <v>2018-10-25 21:48:40</v>
      </c>
    </row>
    <row r="1335" spans="1:7" x14ac:dyDescent="0.2">
      <c r="A1335" t="s">
        <v>1</v>
      </c>
      <c r="B1335" t="str">
        <f>"18725737575"</f>
        <v>18725737575</v>
      </c>
      <c r="C1335" t="s">
        <v>1</v>
      </c>
      <c r="D1335" t="s">
        <v>1</v>
      </c>
      <c r="E1335" t="s">
        <v>1</v>
      </c>
      <c r="F1335" t="s">
        <v>0</v>
      </c>
      <c r="G1335" t="str">
        <f>"2018-10-18 16:04:27"</f>
        <v>2018-10-18 16:04:27</v>
      </c>
    </row>
    <row r="1336" spans="1:7" x14ac:dyDescent="0.2">
      <c r="A1336" t="s">
        <v>2965</v>
      </c>
      <c r="B1336" t="str">
        <f>"18640708973"</f>
        <v>18640708973</v>
      </c>
      <c r="C1336" t="str">
        <f>"211003199408032824"</f>
        <v>211003199408032824</v>
      </c>
      <c r="D1336" t="s">
        <v>1</v>
      </c>
      <c r="E1336" t="s">
        <v>1</v>
      </c>
      <c r="F1336" t="s">
        <v>0</v>
      </c>
      <c r="G1336" t="str">
        <f>"2018-10-18 16:12:13"</f>
        <v>2018-10-18 16:12:13</v>
      </c>
    </row>
    <row r="1337" spans="1:7" x14ac:dyDescent="0.2">
      <c r="A1337" t="s">
        <v>1</v>
      </c>
      <c r="B1337" t="str">
        <f>"15843142294"</f>
        <v>15843142294</v>
      </c>
      <c r="C1337" t="s">
        <v>1</v>
      </c>
      <c r="D1337" t="s">
        <v>1</v>
      </c>
      <c r="E1337" t="s">
        <v>1</v>
      </c>
      <c r="F1337" t="s">
        <v>0</v>
      </c>
      <c r="G1337" t="str">
        <f>"2018-10-18 16:04:17"</f>
        <v>2018-10-18 16:04:17</v>
      </c>
    </row>
    <row r="1338" spans="1:7" x14ac:dyDescent="0.2">
      <c r="A1338" t="s">
        <v>2966</v>
      </c>
      <c r="B1338" t="str">
        <f>"13898471143"</f>
        <v>13898471143</v>
      </c>
      <c r="C1338" t="str">
        <f>"210282199806160915"</f>
        <v>210282199806160915</v>
      </c>
      <c r="D1338" t="s">
        <v>1</v>
      </c>
      <c r="E1338" t="s">
        <v>1</v>
      </c>
      <c r="F1338" t="s">
        <v>0</v>
      </c>
      <c r="G1338" t="str">
        <f>"2018-10-22 09:41:10"</f>
        <v>2018-10-22 09:41:10</v>
      </c>
    </row>
    <row r="1339" spans="1:7" x14ac:dyDescent="0.2">
      <c r="A1339" t="s">
        <v>1</v>
      </c>
      <c r="B1339" t="str">
        <f>"13691946635"</f>
        <v>13691946635</v>
      </c>
      <c r="C1339" t="s">
        <v>1</v>
      </c>
      <c r="D1339" t="s">
        <v>1</v>
      </c>
      <c r="E1339" t="s">
        <v>1</v>
      </c>
      <c r="F1339" t="s">
        <v>0</v>
      </c>
      <c r="G1339" t="str">
        <f>"2018-10-18 16:04:09"</f>
        <v>2018-10-18 16:04:09</v>
      </c>
    </row>
    <row r="1340" spans="1:7" x14ac:dyDescent="0.2">
      <c r="A1340" t="s">
        <v>2967</v>
      </c>
      <c r="B1340" t="str">
        <f>"18857219200"</f>
        <v>18857219200</v>
      </c>
      <c r="C1340" t="str">
        <f>"330501199701182013"</f>
        <v>330501199701182013</v>
      </c>
      <c r="D1340" t="s">
        <v>1</v>
      </c>
      <c r="E1340" t="s">
        <v>1</v>
      </c>
      <c r="F1340" t="s">
        <v>0</v>
      </c>
      <c r="G1340" t="str">
        <f>"2018-10-18 16:05:05"</f>
        <v>2018-10-18 16:05:05</v>
      </c>
    </row>
    <row r="1341" spans="1:7" x14ac:dyDescent="0.2">
      <c r="A1341" t="s">
        <v>315</v>
      </c>
      <c r="B1341" t="str">
        <f>"15209675225"</f>
        <v>15209675225</v>
      </c>
      <c r="C1341" t="str">
        <f>"640322198906063914"</f>
        <v>640322198906063914</v>
      </c>
      <c r="D1341" t="s">
        <v>1</v>
      </c>
      <c r="E1341" t="s">
        <v>1</v>
      </c>
      <c r="F1341" t="s">
        <v>0</v>
      </c>
      <c r="G1341" t="str">
        <f>"2018-10-18 16:03:52"</f>
        <v>2018-10-18 16:03:52</v>
      </c>
    </row>
    <row r="1342" spans="1:7" x14ac:dyDescent="0.2">
      <c r="A1342" t="s">
        <v>542</v>
      </c>
      <c r="B1342" t="str">
        <f>"17729094929"</f>
        <v>17729094929</v>
      </c>
      <c r="C1342" t="str">
        <f>"610422198802260067"</f>
        <v>610422198802260067</v>
      </c>
      <c r="D1342" t="s">
        <v>1</v>
      </c>
      <c r="E1342" t="s">
        <v>1</v>
      </c>
      <c r="F1342" t="s">
        <v>0</v>
      </c>
      <c r="G1342" t="str">
        <f>"2018-10-18 16:05:51"</f>
        <v>2018-10-18 16:05:51</v>
      </c>
    </row>
    <row r="1343" spans="1:7" x14ac:dyDescent="0.2">
      <c r="A1343" t="s">
        <v>2968</v>
      </c>
      <c r="B1343" t="str">
        <f>"13750188805"</f>
        <v>13750188805</v>
      </c>
      <c r="C1343" t="str">
        <f>"441823199211081835"</f>
        <v>441823199211081835</v>
      </c>
      <c r="D1343" t="s">
        <v>1</v>
      </c>
      <c r="E1343" t="s">
        <v>1</v>
      </c>
      <c r="F1343" t="s">
        <v>0</v>
      </c>
      <c r="G1343" t="str">
        <f>"2018-10-20 14:21:18"</f>
        <v>2018-10-20 14:21:18</v>
      </c>
    </row>
    <row r="1344" spans="1:7" x14ac:dyDescent="0.2">
      <c r="A1344" t="s">
        <v>2969</v>
      </c>
      <c r="B1344" t="str">
        <f>"17585310981"</f>
        <v>17585310981</v>
      </c>
      <c r="C1344" t="str">
        <f>"52012319930308302X"</f>
        <v>52012319930308302X</v>
      </c>
      <c r="D1344" t="s">
        <v>1</v>
      </c>
      <c r="E1344" t="s">
        <v>1</v>
      </c>
      <c r="F1344" t="s">
        <v>0</v>
      </c>
      <c r="G1344" t="str">
        <f>"2018-10-18 16:05:22"</f>
        <v>2018-10-18 16:05:22</v>
      </c>
    </row>
    <row r="1345" spans="1:7" x14ac:dyDescent="0.2">
      <c r="A1345" t="s">
        <v>2970</v>
      </c>
      <c r="B1345" t="str">
        <f>"15969111572"</f>
        <v>15969111572</v>
      </c>
      <c r="C1345" t="str">
        <f>"530328199311302135"</f>
        <v>530328199311302135</v>
      </c>
      <c r="D1345" t="s">
        <v>1</v>
      </c>
      <c r="E1345" t="s">
        <v>1</v>
      </c>
      <c r="F1345" t="s">
        <v>0</v>
      </c>
      <c r="G1345" t="str">
        <f>"2018-10-18 16:06:24"</f>
        <v>2018-10-18 16:06:24</v>
      </c>
    </row>
    <row r="1346" spans="1:7" x14ac:dyDescent="0.2">
      <c r="A1346" t="s">
        <v>2971</v>
      </c>
      <c r="B1346" t="str">
        <f>"18724998093"</f>
        <v>18724998093</v>
      </c>
      <c r="C1346" t="str">
        <f>"53292719821119111X"</f>
        <v>53292719821119111X</v>
      </c>
      <c r="D1346" t="s">
        <v>1</v>
      </c>
      <c r="E1346" t="s">
        <v>1</v>
      </c>
      <c r="F1346" t="s">
        <v>0</v>
      </c>
      <c r="G1346" t="str">
        <f>"2018-10-18 16:04:13"</f>
        <v>2018-10-18 16:04:13</v>
      </c>
    </row>
    <row r="1347" spans="1:7" x14ac:dyDescent="0.2">
      <c r="A1347" t="s">
        <v>2972</v>
      </c>
      <c r="B1347" t="str">
        <f>"13857423153"</f>
        <v>13857423153</v>
      </c>
      <c r="C1347" t="str">
        <f>"342423198001280044"</f>
        <v>342423198001280044</v>
      </c>
      <c r="D1347" t="s">
        <v>1</v>
      </c>
      <c r="E1347" t="s">
        <v>1</v>
      </c>
      <c r="F1347" t="s">
        <v>0</v>
      </c>
      <c r="G1347" t="str">
        <f>"2018-10-18 16:03:42"</f>
        <v>2018-10-18 16:03:42</v>
      </c>
    </row>
    <row r="1348" spans="1:7" x14ac:dyDescent="0.2">
      <c r="A1348" t="s">
        <v>2973</v>
      </c>
      <c r="B1348" t="str">
        <f>"17512016210"</f>
        <v>17512016210</v>
      </c>
      <c r="C1348" t="str">
        <f>"441481198802115897"</f>
        <v>441481198802115897</v>
      </c>
      <c r="D1348" t="s">
        <v>1</v>
      </c>
      <c r="E1348" t="s">
        <v>1</v>
      </c>
      <c r="F1348" t="s">
        <v>0</v>
      </c>
      <c r="G1348" t="str">
        <f>"2018-10-18 16:04:33"</f>
        <v>2018-10-18 16:04:33</v>
      </c>
    </row>
    <row r="1349" spans="1:7" x14ac:dyDescent="0.2">
      <c r="A1349" t="s">
        <v>1</v>
      </c>
      <c r="B1349" t="str">
        <f>"13842912182"</f>
        <v>13842912182</v>
      </c>
      <c r="C1349" t="s">
        <v>1</v>
      </c>
      <c r="D1349" t="s">
        <v>1</v>
      </c>
      <c r="E1349" t="s">
        <v>1</v>
      </c>
      <c r="F1349" t="s">
        <v>0</v>
      </c>
      <c r="G1349" t="str">
        <f>"2018-10-18 16:02:52"</f>
        <v>2018-10-18 16:02:52</v>
      </c>
    </row>
    <row r="1350" spans="1:7" x14ac:dyDescent="0.2">
      <c r="A1350" t="s">
        <v>1</v>
      </c>
      <c r="B1350" t="str">
        <f>"15915276052"</f>
        <v>15915276052</v>
      </c>
      <c r="C1350" t="s">
        <v>1</v>
      </c>
      <c r="D1350" t="s">
        <v>1</v>
      </c>
      <c r="E1350" t="s">
        <v>1</v>
      </c>
      <c r="F1350" t="s">
        <v>0</v>
      </c>
      <c r="G1350" t="str">
        <f>"2018-10-18 16:02:40"</f>
        <v>2018-10-18 16:02:40</v>
      </c>
    </row>
    <row r="1351" spans="1:7" x14ac:dyDescent="0.2">
      <c r="A1351" t="s">
        <v>2974</v>
      </c>
      <c r="B1351" t="str">
        <f>"15144999852"</f>
        <v>15144999852</v>
      </c>
      <c r="C1351" t="str">
        <f>"152327199611180517"</f>
        <v>152327199611180517</v>
      </c>
      <c r="D1351" t="s">
        <v>1</v>
      </c>
      <c r="E1351" t="s">
        <v>1</v>
      </c>
      <c r="F1351" t="s">
        <v>0</v>
      </c>
      <c r="G1351" t="str">
        <f>"2018-10-18 16:04:33"</f>
        <v>2018-10-18 16:04:33</v>
      </c>
    </row>
    <row r="1352" spans="1:7" x14ac:dyDescent="0.2">
      <c r="A1352" t="s">
        <v>2975</v>
      </c>
      <c r="B1352" t="str">
        <f>"18888333392"</f>
        <v>18888333392</v>
      </c>
      <c r="C1352" t="str">
        <f>"370105198707092111"</f>
        <v>370105198707092111</v>
      </c>
      <c r="D1352" t="s">
        <v>2976</v>
      </c>
      <c r="E1352" t="s">
        <v>2977</v>
      </c>
      <c r="F1352" t="s">
        <v>0</v>
      </c>
      <c r="G1352" t="str">
        <f>"2018-10-23 15:48:03"</f>
        <v>2018-10-23 15:48:03</v>
      </c>
    </row>
    <row r="1353" spans="1:7" x14ac:dyDescent="0.2">
      <c r="A1353" t="s">
        <v>2978</v>
      </c>
      <c r="B1353" t="str">
        <f>"18796499951"</f>
        <v>18796499951</v>
      </c>
      <c r="C1353" t="str">
        <f>"321322198208088651"</f>
        <v>321322198208088651</v>
      </c>
      <c r="D1353" t="s">
        <v>2979</v>
      </c>
      <c r="E1353" t="s">
        <v>2980</v>
      </c>
      <c r="F1353" t="s">
        <v>0</v>
      </c>
      <c r="G1353" t="str">
        <f>"2018-10-18 16:21:53"</f>
        <v>2018-10-18 16:21:53</v>
      </c>
    </row>
    <row r="1354" spans="1:7" x14ac:dyDescent="0.2">
      <c r="A1354" t="s">
        <v>2981</v>
      </c>
      <c r="B1354" t="str">
        <f>"18031214815"</f>
        <v>18031214815</v>
      </c>
      <c r="C1354" t="str">
        <f>"130627199008151237"</f>
        <v>130627199008151237</v>
      </c>
      <c r="D1354" t="s">
        <v>1</v>
      </c>
      <c r="E1354" t="s">
        <v>1</v>
      </c>
      <c r="F1354" t="s">
        <v>0</v>
      </c>
      <c r="G1354" t="str">
        <f>"2018-10-18 16:03:18"</f>
        <v>2018-10-18 16:03:18</v>
      </c>
    </row>
    <row r="1355" spans="1:7" x14ac:dyDescent="0.2">
      <c r="A1355" t="s">
        <v>2982</v>
      </c>
      <c r="B1355" t="str">
        <f>"15286242885"</f>
        <v>15286242885</v>
      </c>
      <c r="C1355" t="str">
        <f>"410923199012276612"</f>
        <v>410923199012276612</v>
      </c>
      <c r="D1355" t="s">
        <v>1</v>
      </c>
      <c r="E1355" t="s">
        <v>1</v>
      </c>
      <c r="F1355" t="s">
        <v>0</v>
      </c>
      <c r="G1355" t="str">
        <f>"2018-10-18 16:03:27"</f>
        <v>2018-10-18 16:03:27</v>
      </c>
    </row>
    <row r="1356" spans="1:7" x14ac:dyDescent="0.2">
      <c r="A1356" t="s">
        <v>2983</v>
      </c>
      <c r="B1356" t="str">
        <f>"18761678502"</f>
        <v>18761678502</v>
      </c>
      <c r="C1356" t="str">
        <f>"341225199808100257"</f>
        <v>341225199808100257</v>
      </c>
      <c r="D1356" t="s">
        <v>1</v>
      </c>
      <c r="E1356" t="s">
        <v>1</v>
      </c>
      <c r="F1356" t="s">
        <v>0</v>
      </c>
      <c r="G1356" t="str">
        <f>"2018-10-18 16:27:26"</f>
        <v>2018-10-18 16:27:26</v>
      </c>
    </row>
    <row r="1357" spans="1:7" x14ac:dyDescent="0.2">
      <c r="A1357" t="s">
        <v>2984</v>
      </c>
      <c r="B1357" t="str">
        <f>"15149960072"</f>
        <v>15149960072</v>
      </c>
      <c r="C1357" t="str">
        <f>"152322199906263916"</f>
        <v>152322199906263916</v>
      </c>
      <c r="D1357" t="s">
        <v>1</v>
      </c>
      <c r="E1357" t="s">
        <v>1</v>
      </c>
      <c r="F1357" t="s">
        <v>0</v>
      </c>
      <c r="G1357" t="str">
        <f>"2018-10-18 16:02:07"</f>
        <v>2018-10-18 16:02:07</v>
      </c>
    </row>
    <row r="1358" spans="1:7" x14ac:dyDescent="0.2">
      <c r="A1358" t="s">
        <v>2985</v>
      </c>
      <c r="B1358" t="str">
        <f>"15934944473"</f>
        <v>15934944473</v>
      </c>
      <c r="C1358" t="str">
        <f>"15232619980117041X"</f>
        <v>15232619980117041X</v>
      </c>
      <c r="D1358" t="s">
        <v>1</v>
      </c>
      <c r="E1358" t="s">
        <v>1</v>
      </c>
      <c r="F1358" t="s">
        <v>0</v>
      </c>
      <c r="G1358" t="str">
        <f>"2018-10-18 16:02:05"</f>
        <v>2018-10-18 16:02:05</v>
      </c>
    </row>
    <row r="1359" spans="1:7" x14ac:dyDescent="0.2">
      <c r="A1359" t="s">
        <v>265</v>
      </c>
      <c r="B1359" t="str">
        <f>"13466878611"</f>
        <v>13466878611</v>
      </c>
      <c r="C1359" t="str">
        <f>"142725198611120816"</f>
        <v>142725198611120816</v>
      </c>
      <c r="D1359" t="s">
        <v>1</v>
      </c>
      <c r="E1359" t="s">
        <v>1</v>
      </c>
      <c r="F1359" t="s">
        <v>0</v>
      </c>
      <c r="G1359" t="str">
        <f>"2018-10-29 10:00:27"</f>
        <v>2018-10-29 10:00:27</v>
      </c>
    </row>
    <row r="1360" spans="1:7" x14ac:dyDescent="0.2">
      <c r="A1360" t="s">
        <v>719</v>
      </c>
      <c r="B1360" t="str">
        <f>"15771301774"</f>
        <v>15771301774</v>
      </c>
      <c r="C1360" t="str">
        <f>"152626199410042118"</f>
        <v>152626199410042118</v>
      </c>
      <c r="D1360" t="s">
        <v>1</v>
      </c>
      <c r="E1360" t="s">
        <v>1</v>
      </c>
      <c r="F1360" t="s">
        <v>0</v>
      </c>
      <c r="G1360" t="str">
        <f>"2018-10-18 16:03:44"</f>
        <v>2018-10-18 16:03:44</v>
      </c>
    </row>
    <row r="1361" spans="1:7" x14ac:dyDescent="0.2">
      <c r="A1361" t="s">
        <v>1064</v>
      </c>
      <c r="B1361" t="str">
        <f>"15806575198"</f>
        <v>15806575198</v>
      </c>
      <c r="C1361" t="str">
        <f>"371323199102242112"</f>
        <v>371323199102242112</v>
      </c>
      <c r="D1361" t="s">
        <v>2986</v>
      </c>
      <c r="E1361" t="s">
        <v>2987</v>
      </c>
      <c r="F1361" t="s">
        <v>0</v>
      </c>
      <c r="G1361" t="str">
        <f>"2018-10-18 16:04:55"</f>
        <v>2018-10-18 16:04:55</v>
      </c>
    </row>
    <row r="1362" spans="1:7" x14ac:dyDescent="0.2">
      <c r="A1362" t="s">
        <v>2988</v>
      </c>
      <c r="B1362" t="str">
        <f>"13633903761"</f>
        <v>13633903761</v>
      </c>
      <c r="C1362" t="str">
        <f>"410782198207100435"</f>
        <v>410782198207100435</v>
      </c>
      <c r="D1362" t="s">
        <v>1</v>
      </c>
      <c r="E1362" t="s">
        <v>1</v>
      </c>
      <c r="F1362" t="s">
        <v>0</v>
      </c>
      <c r="G1362" t="str">
        <f>"2018-10-18 16:04:33"</f>
        <v>2018-10-18 16:04:33</v>
      </c>
    </row>
    <row r="1363" spans="1:7" x14ac:dyDescent="0.2">
      <c r="A1363" t="s">
        <v>2989</v>
      </c>
      <c r="B1363" t="str">
        <f>"15961558111"</f>
        <v>15961558111</v>
      </c>
      <c r="C1363" t="str">
        <f>"320282198311105018"</f>
        <v>320282198311105018</v>
      </c>
      <c r="D1363" t="s">
        <v>1</v>
      </c>
      <c r="E1363" t="s">
        <v>1</v>
      </c>
      <c r="F1363" t="s">
        <v>0</v>
      </c>
      <c r="G1363" t="str">
        <f>"2018-10-18 16:06:31"</f>
        <v>2018-10-18 16:06:31</v>
      </c>
    </row>
    <row r="1364" spans="1:7" x14ac:dyDescent="0.2">
      <c r="A1364" t="s">
        <v>26</v>
      </c>
      <c r="B1364" t="str">
        <f>"17635406834"</f>
        <v>17635406834</v>
      </c>
      <c r="C1364" t="str">
        <f>"370883199303013618"</f>
        <v>370883199303013618</v>
      </c>
      <c r="D1364" t="s">
        <v>1</v>
      </c>
      <c r="E1364" t="s">
        <v>1</v>
      </c>
      <c r="F1364" t="s">
        <v>0</v>
      </c>
      <c r="G1364" t="str">
        <f>"2018-10-21 11:03:57"</f>
        <v>2018-10-21 11:03:57</v>
      </c>
    </row>
    <row r="1365" spans="1:7" x14ac:dyDescent="0.2">
      <c r="A1365" t="s">
        <v>2990</v>
      </c>
      <c r="B1365" t="str">
        <f>"18972480896"</f>
        <v>18972480896</v>
      </c>
      <c r="C1365" t="str">
        <f>"42011519821010011X"</f>
        <v>42011519821010011X</v>
      </c>
      <c r="D1365" t="s">
        <v>1</v>
      </c>
      <c r="E1365" t="s">
        <v>1</v>
      </c>
      <c r="F1365" t="s">
        <v>0</v>
      </c>
      <c r="G1365" t="str">
        <f>"2018-10-18 16:05:27"</f>
        <v>2018-10-18 16:05:27</v>
      </c>
    </row>
    <row r="1366" spans="1:7" x14ac:dyDescent="0.2">
      <c r="A1366" t="s">
        <v>2991</v>
      </c>
      <c r="B1366" t="str">
        <f>"15577783990"</f>
        <v>15577783990</v>
      </c>
      <c r="C1366" t="str">
        <f>"450221199211303931"</f>
        <v>450221199211303931</v>
      </c>
      <c r="D1366" t="s">
        <v>1</v>
      </c>
      <c r="E1366" t="s">
        <v>1</v>
      </c>
      <c r="F1366" t="s">
        <v>0</v>
      </c>
      <c r="G1366" t="str">
        <f>"2018-10-18 16:04:24"</f>
        <v>2018-10-18 16:04:24</v>
      </c>
    </row>
    <row r="1367" spans="1:7" x14ac:dyDescent="0.2">
      <c r="A1367" t="s">
        <v>2992</v>
      </c>
      <c r="B1367" t="str">
        <f>"13341425802"</f>
        <v>13341425802</v>
      </c>
      <c r="C1367" t="str">
        <f>"220105199007203038"</f>
        <v>220105199007203038</v>
      </c>
      <c r="D1367" t="s">
        <v>1</v>
      </c>
      <c r="E1367" t="s">
        <v>1</v>
      </c>
      <c r="F1367" t="s">
        <v>0</v>
      </c>
      <c r="G1367" t="str">
        <f>"2018-10-18 16:01:05"</f>
        <v>2018-10-18 16:01:05</v>
      </c>
    </row>
    <row r="1368" spans="1:7" x14ac:dyDescent="0.2">
      <c r="A1368" t="s">
        <v>2993</v>
      </c>
      <c r="B1368" t="str">
        <f>"15064723339"</f>
        <v>15064723339</v>
      </c>
      <c r="C1368" t="str">
        <f>"34062119870915201X"</f>
        <v>34062119870915201X</v>
      </c>
      <c r="D1368" t="s">
        <v>1</v>
      </c>
      <c r="E1368" t="s">
        <v>1</v>
      </c>
      <c r="F1368" t="s">
        <v>0</v>
      </c>
      <c r="G1368" t="str">
        <f>"2018-10-18 16:03:37"</f>
        <v>2018-10-18 16:03:37</v>
      </c>
    </row>
    <row r="1369" spans="1:7" x14ac:dyDescent="0.2">
      <c r="A1369" t="s">
        <v>328</v>
      </c>
      <c r="B1369" t="str">
        <f>"15713878802"</f>
        <v>15713878802</v>
      </c>
      <c r="C1369" t="str">
        <f>"412726198106210038"</f>
        <v>412726198106210038</v>
      </c>
      <c r="D1369" t="s">
        <v>2994</v>
      </c>
      <c r="E1369" t="s">
        <v>2995</v>
      </c>
      <c r="F1369" t="s">
        <v>0</v>
      </c>
      <c r="G1369" t="str">
        <f>"2018-10-18 16:54:08"</f>
        <v>2018-10-18 16:54:08</v>
      </c>
    </row>
    <row r="1370" spans="1:7" x14ac:dyDescent="0.2">
      <c r="A1370" t="s">
        <v>2996</v>
      </c>
      <c r="B1370" t="str">
        <f>"15209591278"</f>
        <v>15209591278</v>
      </c>
      <c r="C1370" t="str">
        <f>"640381199001273620"</f>
        <v>640381199001273620</v>
      </c>
      <c r="D1370" t="s">
        <v>1</v>
      </c>
      <c r="E1370" t="s">
        <v>1</v>
      </c>
      <c r="F1370" t="s">
        <v>0</v>
      </c>
      <c r="G1370" t="str">
        <f>"2018-10-18 16:02:49"</f>
        <v>2018-10-18 16:02:49</v>
      </c>
    </row>
    <row r="1371" spans="1:7" x14ac:dyDescent="0.2">
      <c r="A1371" t="s">
        <v>1308</v>
      </c>
      <c r="B1371" t="str">
        <f>"18749113492"</f>
        <v>18749113492</v>
      </c>
      <c r="C1371" t="str">
        <f>"410726199709083413"</f>
        <v>410726199709083413</v>
      </c>
      <c r="D1371" t="s">
        <v>2997</v>
      </c>
      <c r="E1371" t="s">
        <v>2998</v>
      </c>
      <c r="F1371" t="s">
        <v>0</v>
      </c>
      <c r="G1371" t="str">
        <f>"2018-10-18 16:02:13"</f>
        <v>2018-10-18 16:02:13</v>
      </c>
    </row>
    <row r="1372" spans="1:7" x14ac:dyDescent="0.2">
      <c r="A1372" t="s">
        <v>484</v>
      </c>
      <c r="B1372" t="str">
        <f>"13934310850"</f>
        <v>13934310850</v>
      </c>
      <c r="C1372" t="str">
        <f>"140511198410194711"</f>
        <v>140511198410194711</v>
      </c>
      <c r="D1372" t="s">
        <v>1</v>
      </c>
      <c r="E1372" t="s">
        <v>1</v>
      </c>
      <c r="F1372" t="s">
        <v>0</v>
      </c>
      <c r="G1372" t="str">
        <f>"2018-10-18 16:02:38"</f>
        <v>2018-10-18 16:02:38</v>
      </c>
    </row>
    <row r="1373" spans="1:7" x14ac:dyDescent="0.2">
      <c r="A1373" t="s">
        <v>2999</v>
      </c>
      <c r="B1373" t="str">
        <f>"18656003523"</f>
        <v>18656003523</v>
      </c>
      <c r="C1373" t="str">
        <f>"340822199011234859"</f>
        <v>340822199011234859</v>
      </c>
      <c r="D1373" t="s">
        <v>1</v>
      </c>
      <c r="E1373" t="s">
        <v>1</v>
      </c>
      <c r="F1373" t="s">
        <v>0</v>
      </c>
      <c r="G1373" t="str">
        <f>"2018-10-19 09:58:47"</f>
        <v>2018-10-19 09:58:47</v>
      </c>
    </row>
    <row r="1374" spans="1:7" x14ac:dyDescent="0.2">
      <c r="A1374" t="s">
        <v>1</v>
      </c>
      <c r="B1374" t="str">
        <f>"15271865147"</f>
        <v>15271865147</v>
      </c>
      <c r="C1374" t="s">
        <v>1</v>
      </c>
      <c r="D1374" t="s">
        <v>1</v>
      </c>
      <c r="E1374" t="s">
        <v>1</v>
      </c>
      <c r="F1374" t="s">
        <v>0</v>
      </c>
      <c r="G1374" t="str">
        <f>"2018-10-18 16:00:15"</f>
        <v>2018-10-18 16:00:15</v>
      </c>
    </row>
    <row r="1375" spans="1:7" x14ac:dyDescent="0.2">
      <c r="A1375" t="s">
        <v>3000</v>
      </c>
      <c r="B1375" t="str">
        <f>"17634083545"</f>
        <v>17634083545</v>
      </c>
      <c r="C1375" t="str">
        <f>"142701199106274834"</f>
        <v>142701199106274834</v>
      </c>
      <c r="D1375" t="s">
        <v>1</v>
      </c>
      <c r="E1375" t="s">
        <v>1</v>
      </c>
      <c r="F1375" t="s">
        <v>0</v>
      </c>
      <c r="G1375" t="str">
        <f>"2018-10-18 16:01:07"</f>
        <v>2018-10-18 16:01:07</v>
      </c>
    </row>
    <row r="1376" spans="1:7" x14ac:dyDescent="0.2">
      <c r="A1376" t="s">
        <v>3001</v>
      </c>
      <c r="B1376" t="str">
        <f>"15061113649"</f>
        <v>15061113649</v>
      </c>
      <c r="C1376" t="str">
        <f>"320724199306103622"</f>
        <v>320724199306103622</v>
      </c>
      <c r="D1376" t="s">
        <v>1</v>
      </c>
      <c r="E1376" t="s">
        <v>1</v>
      </c>
      <c r="F1376" t="s">
        <v>0</v>
      </c>
      <c r="G1376" t="str">
        <f>"2018-10-18 16:05:24"</f>
        <v>2018-10-18 16:05:24</v>
      </c>
    </row>
    <row r="1377" spans="1:7" x14ac:dyDescent="0.2">
      <c r="A1377" t="s">
        <v>3002</v>
      </c>
      <c r="B1377" t="str">
        <f>"18278823673"</f>
        <v>18278823673</v>
      </c>
      <c r="C1377" t="str">
        <f>"452724198809102628"</f>
        <v>452724198809102628</v>
      </c>
      <c r="D1377" t="s">
        <v>1</v>
      </c>
      <c r="E1377" t="s">
        <v>1</v>
      </c>
      <c r="F1377" t="s">
        <v>0</v>
      </c>
      <c r="G1377" t="str">
        <f>"2018-10-18 15:59:51"</f>
        <v>2018-10-18 15:59:51</v>
      </c>
    </row>
    <row r="1378" spans="1:7" x14ac:dyDescent="0.2">
      <c r="A1378" t="s">
        <v>3003</v>
      </c>
      <c r="B1378" t="str">
        <f>"13657322375"</f>
        <v>13657322375</v>
      </c>
      <c r="C1378" t="str">
        <f>"43012419990420141X"</f>
        <v>43012419990420141X</v>
      </c>
      <c r="D1378" t="s">
        <v>3004</v>
      </c>
      <c r="E1378" t="s">
        <v>3005</v>
      </c>
      <c r="F1378" t="s">
        <v>0</v>
      </c>
      <c r="G1378" t="str">
        <f>"2018-11-02 15:57:06"</f>
        <v>2018-11-02 15:57:06</v>
      </c>
    </row>
    <row r="1379" spans="1:7" x14ac:dyDescent="0.2">
      <c r="A1379" t="s">
        <v>3006</v>
      </c>
      <c r="B1379" t="str">
        <f>"15055408915"</f>
        <v>15055408915</v>
      </c>
      <c r="C1379" t="str">
        <f>"340406198706303447"</f>
        <v>340406198706303447</v>
      </c>
      <c r="D1379" t="s">
        <v>1</v>
      </c>
      <c r="E1379" t="s">
        <v>1</v>
      </c>
      <c r="F1379" t="s">
        <v>0</v>
      </c>
      <c r="G1379" t="str">
        <f>"2018-10-18 16:04:05"</f>
        <v>2018-10-18 16:04:05</v>
      </c>
    </row>
    <row r="1380" spans="1:7" x14ac:dyDescent="0.2">
      <c r="A1380" t="s">
        <v>3007</v>
      </c>
      <c r="B1380" t="str">
        <f>"18520998245"</f>
        <v>18520998245</v>
      </c>
      <c r="C1380" t="str">
        <f>"440684199509276919"</f>
        <v>440684199509276919</v>
      </c>
      <c r="D1380" t="s">
        <v>1</v>
      </c>
      <c r="E1380" t="s">
        <v>1</v>
      </c>
      <c r="F1380" t="s">
        <v>0</v>
      </c>
      <c r="G1380" t="str">
        <f>"2018-10-18 16:03:48"</f>
        <v>2018-10-18 16:03:48</v>
      </c>
    </row>
    <row r="1381" spans="1:7" x14ac:dyDescent="0.2">
      <c r="A1381" t="s">
        <v>3008</v>
      </c>
      <c r="B1381" t="str">
        <f>"13818515140"</f>
        <v>13818515140</v>
      </c>
      <c r="C1381" t="str">
        <f>"310106198503070012"</f>
        <v>310106198503070012</v>
      </c>
      <c r="D1381" t="s">
        <v>1</v>
      </c>
      <c r="E1381" t="s">
        <v>1</v>
      </c>
      <c r="F1381" t="s">
        <v>0</v>
      </c>
      <c r="G1381" t="str">
        <f>"2018-10-18 16:03:22"</f>
        <v>2018-10-18 16:03:22</v>
      </c>
    </row>
    <row r="1382" spans="1:7" x14ac:dyDescent="0.2">
      <c r="A1382" t="s">
        <v>3009</v>
      </c>
      <c r="B1382" t="str">
        <f>"13979712848"</f>
        <v>13979712848</v>
      </c>
      <c r="C1382" t="str">
        <f>"360732199501230018"</f>
        <v>360732199501230018</v>
      </c>
      <c r="D1382" t="s">
        <v>1</v>
      </c>
      <c r="E1382" t="s">
        <v>1</v>
      </c>
      <c r="F1382" t="s">
        <v>0</v>
      </c>
      <c r="G1382" t="str">
        <f>"2018-10-18 16:00:38"</f>
        <v>2018-10-18 16:00:38</v>
      </c>
    </row>
    <row r="1383" spans="1:7" x14ac:dyDescent="0.2">
      <c r="A1383" t="s">
        <v>3010</v>
      </c>
      <c r="B1383" t="str">
        <f>"13248966665"</f>
        <v>13248966665</v>
      </c>
      <c r="C1383" t="str">
        <f>"330327199105241593"</f>
        <v>330327199105241593</v>
      </c>
      <c r="D1383" t="s">
        <v>1</v>
      </c>
      <c r="E1383" t="s">
        <v>1</v>
      </c>
      <c r="F1383" t="s">
        <v>0</v>
      </c>
      <c r="G1383" t="str">
        <f>"2018-10-18 16:29:00"</f>
        <v>2018-10-18 16:29:00</v>
      </c>
    </row>
    <row r="1384" spans="1:7" x14ac:dyDescent="0.2">
      <c r="A1384" t="s">
        <v>3011</v>
      </c>
      <c r="B1384" t="str">
        <f>"18893115217"</f>
        <v>18893115217</v>
      </c>
      <c r="C1384" t="str">
        <f>"620103198705210638"</f>
        <v>620103198705210638</v>
      </c>
      <c r="D1384" t="s">
        <v>1</v>
      </c>
      <c r="E1384" t="s">
        <v>1</v>
      </c>
      <c r="F1384" t="s">
        <v>0</v>
      </c>
      <c r="G1384" t="str">
        <f>"2018-10-18 23:33:30"</f>
        <v>2018-10-18 23:33:30</v>
      </c>
    </row>
    <row r="1385" spans="1:7" x14ac:dyDescent="0.2">
      <c r="A1385" t="s">
        <v>3012</v>
      </c>
      <c r="B1385" t="str">
        <f>"15689028121"</f>
        <v>15689028121</v>
      </c>
      <c r="C1385" t="str">
        <f>"370323198804100420"</f>
        <v>370323198804100420</v>
      </c>
      <c r="D1385" t="s">
        <v>1</v>
      </c>
      <c r="E1385" t="s">
        <v>1</v>
      </c>
      <c r="F1385" t="s">
        <v>0</v>
      </c>
      <c r="G1385" t="str">
        <f>"2018-10-18 16:00:35"</f>
        <v>2018-10-18 16:00:35</v>
      </c>
    </row>
    <row r="1386" spans="1:7" x14ac:dyDescent="0.2">
      <c r="A1386" t="s">
        <v>3013</v>
      </c>
      <c r="B1386" t="str">
        <f>"13759427339"</f>
        <v>13759427339</v>
      </c>
      <c r="C1386" t="str">
        <f>"530126198710060614"</f>
        <v>530126198710060614</v>
      </c>
      <c r="D1386" t="s">
        <v>1</v>
      </c>
      <c r="E1386" t="s">
        <v>1</v>
      </c>
      <c r="F1386" t="s">
        <v>0</v>
      </c>
      <c r="G1386" t="str">
        <f>"2018-10-18 16:04:00"</f>
        <v>2018-10-18 16:04:00</v>
      </c>
    </row>
    <row r="1387" spans="1:7" x14ac:dyDescent="0.2">
      <c r="A1387" t="s">
        <v>3014</v>
      </c>
      <c r="B1387" t="str">
        <f>"15114514120"</f>
        <v>15114514120</v>
      </c>
      <c r="C1387" t="str">
        <f>"230204197605301115"</f>
        <v>230204197605301115</v>
      </c>
      <c r="D1387" t="s">
        <v>3015</v>
      </c>
      <c r="E1387" t="s">
        <v>3016</v>
      </c>
      <c r="F1387" t="s">
        <v>0</v>
      </c>
      <c r="G1387" t="str">
        <f>"2018-10-18 16:00:21"</f>
        <v>2018-10-18 16:00:21</v>
      </c>
    </row>
    <row r="1388" spans="1:7" x14ac:dyDescent="0.2">
      <c r="A1388" t="s">
        <v>3017</v>
      </c>
      <c r="B1388" t="str">
        <f>"13766658050"</f>
        <v>13766658050</v>
      </c>
      <c r="C1388" t="str">
        <f>"231003199001282921"</f>
        <v>231003199001282921</v>
      </c>
      <c r="D1388" t="s">
        <v>1</v>
      </c>
      <c r="E1388" t="s">
        <v>1</v>
      </c>
      <c r="F1388" t="s">
        <v>0</v>
      </c>
      <c r="G1388" t="str">
        <f>"2018-10-18 15:59:52"</f>
        <v>2018-10-18 15:59:52</v>
      </c>
    </row>
    <row r="1389" spans="1:7" x14ac:dyDescent="0.2">
      <c r="A1389" t="s">
        <v>1646</v>
      </c>
      <c r="B1389" t="str">
        <f>"13453570672"</f>
        <v>13453570672</v>
      </c>
      <c r="C1389" t="str">
        <f>"140427198812304819"</f>
        <v>140427198812304819</v>
      </c>
      <c r="D1389" t="s">
        <v>3018</v>
      </c>
      <c r="E1389" t="s">
        <v>3019</v>
      </c>
      <c r="F1389" t="s">
        <v>0</v>
      </c>
      <c r="G1389" t="str">
        <f>"2018-10-18 16:01:02"</f>
        <v>2018-10-18 16:01:02</v>
      </c>
    </row>
    <row r="1390" spans="1:7" x14ac:dyDescent="0.2">
      <c r="A1390" t="s">
        <v>3020</v>
      </c>
      <c r="B1390" t="str">
        <f>"13933746673"</f>
        <v>13933746673</v>
      </c>
      <c r="C1390" t="str">
        <f>"132222198012270814"</f>
        <v>132222198012270814</v>
      </c>
      <c r="D1390" t="s">
        <v>1</v>
      </c>
      <c r="E1390" t="s">
        <v>1</v>
      </c>
      <c r="F1390" t="s">
        <v>0</v>
      </c>
      <c r="G1390" t="str">
        <f>"2018-10-25 21:15:23"</f>
        <v>2018-10-25 21:15:23</v>
      </c>
    </row>
    <row r="1391" spans="1:7" x14ac:dyDescent="0.2">
      <c r="A1391" t="s">
        <v>3021</v>
      </c>
      <c r="B1391" t="str">
        <f>"15280978098"</f>
        <v>15280978098</v>
      </c>
      <c r="C1391" t="str">
        <f>"510703198808233274"</f>
        <v>510703198808233274</v>
      </c>
      <c r="D1391" t="s">
        <v>1</v>
      </c>
      <c r="E1391" t="s">
        <v>1</v>
      </c>
      <c r="F1391" t="s">
        <v>0</v>
      </c>
      <c r="G1391" t="str">
        <f>"2018-10-18 17:17:22"</f>
        <v>2018-10-18 17:17:22</v>
      </c>
    </row>
    <row r="1392" spans="1:7" x14ac:dyDescent="0.2">
      <c r="A1392" t="s">
        <v>699</v>
      </c>
      <c r="B1392" t="str">
        <f>"15186995346"</f>
        <v>15186995346</v>
      </c>
      <c r="C1392" t="str">
        <f>"510121197504210052"</f>
        <v>510121197504210052</v>
      </c>
      <c r="D1392" t="s">
        <v>1</v>
      </c>
      <c r="E1392" t="s">
        <v>1</v>
      </c>
      <c r="F1392" t="s">
        <v>0</v>
      </c>
      <c r="G1392" t="str">
        <f>"2018-10-25 23:33:17"</f>
        <v>2018-10-25 23:33:17</v>
      </c>
    </row>
    <row r="1393" spans="1:7" x14ac:dyDescent="0.2">
      <c r="A1393" t="s">
        <v>3022</v>
      </c>
      <c r="B1393" t="str">
        <f>"18285500052"</f>
        <v>18285500052</v>
      </c>
      <c r="C1393" t="str">
        <f>"522629198501094822"</f>
        <v>522629198501094822</v>
      </c>
      <c r="D1393" t="s">
        <v>3023</v>
      </c>
      <c r="E1393" t="s">
        <v>3024</v>
      </c>
      <c r="F1393" t="s">
        <v>0</v>
      </c>
      <c r="G1393" t="str">
        <f>"2018-10-18 19:42:34"</f>
        <v>2018-10-18 19:42:34</v>
      </c>
    </row>
    <row r="1394" spans="1:7" x14ac:dyDescent="0.2">
      <c r="A1394" t="s">
        <v>3025</v>
      </c>
      <c r="B1394" t="str">
        <f>"13173042714"</f>
        <v>13173042714</v>
      </c>
      <c r="C1394" t="str">
        <f>"370102198202040819"</f>
        <v>370102198202040819</v>
      </c>
      <c r="D1394" t="s">
        <v>1</v>
      </c>
      <c r="E1394" t="s">
        <v>1</v>
      </c>
      <c r="F1394" t="s">
        <v>0</v>
      </c>
      <c r="G1394" t="str">
        <f>"2018-10-18 16:00:57"</f>
        <v>2018-10-18 16:00:57</v>
      </c>
    </row>
    <row r="1395" spans="1:7" x14ac:dyDescent="0.2">
      <c r="A1395" t="s">
        <v>3026</v>
      </c>
      <c r="B1395" t="str">
        <f>"15887811803"</f>
        <v>15887811803</v>
      </c>
      <c r="C1395" t="str">
        <f>"530122199410050026"</f>
        <v>530122199410050026</v>
      </c>
      <c r="D1395" t="s">
        <v>1</v>
      </c>
      <c r="E1395" t="s">
        <v>1</v>
      </c>
      <c r="F1395" t="s">
        <v>0</v>
      </c>
      <c r="G1395" t="str">
        <f>"2018-10-18 15:59:39"</f>
        <v>2018-10-18 15:59:39</v>
      </c>
    </row>
    <row r="1396" spans="1:7" x14ac:dyDescent="0.2">
      <c r="A1396" t="s">
        <v>3027</v>
      </c>
      <c r="B1396" t="str">
        <f>"13078692945"</f>
        <v>13078692945</v>
      </c>
      <c r="C1396" t="str">
        <f>"510183198910188317"</f>
        <v>510183198910188317</v>
      </c>
      <c r="D1396" t="s">
        <v>1</v>
      </c>
      <c r="E1396" t="s">
        <v>1</v>
      </c>
      <c r="F1396" t="s">
        <v>0</v>
      </c>
      <c r="G1396" t="str">
        <f>"2018-10-18 17:39:38"</f>
        <v>2018-10-18 17:39:38</v>
      </c>
    </row>
    <row r="1397" spans="1:7" x14ac:dyDescent="0.2">
      <c r="A1397" t="s">
        <v>3028</v>
      </c>
      <c r="B1397" t="str">
        <f>"17731490919"</f>
        <v>17731490919</v>
      </c>
      <c r="C1397" t="str">
        <f>"130221198112216518"</f>
        <v>130221198112216518</v>
      </c>
      <c r="D1397" t="s">
        <v>1</v>
      </c>
      <c r="E1397" t="s">
        <v>1</v>
      </c>
      <c r="F1397" t="s">
        <v>0</v>
      </c>
      <c r="G1397" t="str">
        <f>"2018-10-18 16:00:20"</f>
        <v>2018-10-18 16:00:20</v>
      </c>
    </row>
    <row r="1398" spans="1:7" x14ac:dyDescent="0.2">
      <c r="A1398" t="s">
        <v>3029</v>
      </c>
      <c r="B1398" t="str">
        <f>"18719058887"</f>
        <v>18719058887</v>
      </c>
      <c r="C1398" t="str">
        <f>"230404199201110515"</f>
        <v>230404199201110515</v>
      </c>
      <c r="D1398" t="s">
        <v>1</v>
      </c>
      <c r="E1398" t="s">
        <v>1</v>
      </c>
      <c r="F1398" t="s">
        <v>0</v>
      </c>
      <c r="G1398" t="str">
        <f>"2018-10-18 16:02:13"</f>
        <v>2018-10-18 16:02:13</v>
      </c>
    </row>
    <row r="1399" spans="1:7" x14ac:dyDescent="0.2">
      <c r="A1399" t="s">
        <v>3030</v>
      </c>
      <c r="B1399" t="str">
        <f>"15753906292"</f>
        <v>15753906292</v>
      </c>
      <c r="C1399" t="str">
        <f>"372823197604289315"</f>
        <v>372823197604289315</v>
      </c>
      <c r="D1399" t="s">
        <v>1</v>
      </c>
      <c r="E1399" t="s">
        <v>1</v>
      </c>
      <c r="F1399" t="s">
        <v>0</v>
      </c>
      <c r="G1399" t="str">
        <f>"2018-10-18 15:57:50"</f>
        <v>2018-10-18 15:57:50</v>
      </c>
    </row>
    <row r="1400" spans="1:7" x14ac:dyDescent="0.2">
      <c r="A1400" t="s">
        <v>3031</v>
      </c>
      <c r="B1400" t="str">
        <f>"13404482901"</f>
        <v>13404482901</v>
      </c>
      <c r="C1400" t="str">
        <f>"220702198703249610"</f>
        <v>220702198703249610</v>
      </c>
      <c r="D1400" t="s">
        <v>1</v>
      </c>
      <c r="E1400" t="s">
        <v>1</v>
      </c>
      <c r="F1400" t="s">
        <v>0</v>
      </c>
      <c r="G1400" t="str">
        <f>"2018-10-19 00:22:34"</f>
        <v>2018-10-19 00:22:34</v>
      </c>
    </row>
    <row r="1401" spans="1:7" x14ac:dyDescent="0.2">
      <c r="A1401" t="s">
        <v>1014</v>
      </c>
      <c r="B1401" t="str">
        <f>"13933209602"</f>
        <v>13933209602</v>
      </c>
      <c r="C1401" t="str">
        <f>"130602198703230939"</f>
        <v>130602198703230939</v>
      </c>
      <c r="D1401" t="s">
        <v>1</v>
      </c>
      <c r="E1401" t="s">
        <v>1</v>
      </c>
      <c r="F1401" t="s">
        <v>0</v>
      </c>
      <c r="G1401" t="str">
        <f>"2018-10-18 15:59:38"</f>
        <v>2018-10-18 15:59:38</v>
      </c>
    </row>
    <row r="1402" spans="1:7" x14ac:dyDescent="0.2">
      <c r="A1402" t="s">
        <v>3032</v>
      </c>
      <c r="B1402" t="str">
        <f>"18625228476"</f>
        <v>18625228476</v>
      </c>
      <c r="C1402" t="str">
        <f>"340621199207084963"</f>
        <v>340621199207084963</v>
      </c>
      <c r="D1402" t="s">
        <v>3033</v>
      </c>
      <c r="E1402" t="s">
        <v>3034</v>
      </c>
      <c r="F1402" t="s">
        <v>0</v>
      </c>
      <c r="G1402" t="str">
        <f>"2018-10-18 16:33:11"</f>
        <v>2018-10-18 16:33:11</v>
      </c>
    </row>
    <row r="1403" spans="1:7" x14ac:dyDescent="0.2">
      <c r="A1403" t="s">
        <v>1</v>
      </c>
      <c r="B1403" t="str">
        <f>"18674379886"</f>
        <v>18674379886</v>
      </c>
      <c r="C1403" t="s">
        <v>1</v>
      </c>
      <c r="D1403" t="s">
        <v>1</v>
      </c>
      <c r="E1403" t="s">
        <v>1</v>
      </c>
      <c r="F1403" t="s">
        <v>0</v>
      </c>
      <c r="G1403" t="str">
        <f>"2018-10-18 15:59:27"</f>
        <v>2018-10-18 15:59:27</v>
      </c>
    </row>
    <row r="1404" spans="1:7" x14ac:dyDescent="0.2">
      <c r="A1404" t="s">
        <v>3035</v>
      </c>
      <c r="B1404" t="str">
        <f>"18648605784"</f>
        <v>18648605784</v>
      </c>
      <c r="C1404" t="str">
        <f>"130722199812042510"</f>
        <v>130722199812042510</v>
      </c>
      <c r="D1404" t="s">
        <v>1</v>
      </c>
      <c r="E1404" t="s">
        <v>1</v>
      </c>
      <c r="F1404" t="s">
        <v>0</v>
      </c>
      <c r="G1404" t="str">
        <f>"2018-10-18 15:58:36"</f>
        <v>2018-10-18 15:58:36</v>
      </c>
    </row>
    <row r="1405" spans="1:7" x14ac:dyDescent="0.2">
      <c r="A1405" t="s">
        <v>1</v>
      </c>
      <c r="B1405" t="str">
        <f>"13912452857"</f>
        <v>13912452857</v>
      </c>
      <c r="C1405" t="s">
        <v>1</v>
      </c>
      <c r="D1405" t="s">
        <v>1</v>
      </c>
      <c r="E1405" t="s">
        <v>1</v>
      </c>
      <c r="F1405" t="s">
        <v>0</v>
      </c>
      <c r="G1405" t="str">
        <f>"2018-10-18 15:57:32"</f>
        <v>2018-10-18 15:57:32</v>
      </c>
    </row>
    <row r="1406" spans="1:7" x14ac:dyDescent="0.2">
      <c r="A1406" t="s">
        <v>3036</v>
      </c>
      <c r="B1406" t="str">
        <f>"15875932754"</f>
        <v>15875932754</v>
      </c>
      <c r="C1406" t="str">
        <f>"440881199701187918"</f>
        <v>440881199701187918</v>
      </c>
      <c r="D1406" t="s">
        <v>3037</v>
      </c>
      <c r="E1406" t="s">
        <v>3038</v>
      </c>
      <c r="F1406" t="s">
        <v>0</v>
      </c>
      <c r="G1406" t="str">
        <f>"2018-10-18 16:04:18"</f>
        <v>2018-10-18 16:04:18</v>
      </c>
    </row>
    <row r="1407" spans="1:7" x14ac:dyDescent="0.2">
      <c r="A1407" t="s">
        <v>3039</v>
      </c>
      <c r="B1407" t="str">
        <f>"15234479532"</f>
        <v>15234479532</v>
      </c>
      <c r="C1407" t="str">
        <f>"140721200003260033"</f>
        <v>140721200003260033</v>
      </c>
      <c r="D1407" t="s">
        <v>1</v>
      </c>
      <c r="E1407" t="s">
        <v>1</v>
      </c>
      <c r="F1407" t="s">
        <v>0</v>
      </c>
      <c r="G1407" t="str">
        <f>"2018-10-18 18:36:03"</f>
        <v>2018-10-18 18:36:03</v>
      </c>
    </row>
    <row r="1408" spans="1:7" x14ac:dyDescent="0.2">
      <c r="A1408" t="s">
        <v>3040</v>
      </c>
      <c r="B1408" t="str">
        <f>"18304461838"</f>
        <v>18304461838</v>
      </c>
      <c r="C1408" t="str">
        <f>"220724198810141814"</f>
        <v>220724198810141814</v>
      </c>
      <c r="D1408" t="s">
        <v>1</v>
      </c>
      <c r="E1408" t="s">
        <v>1</v>
      </c>
      <c r="F1408" t="s">
        <v>0</v>
      </c>
      <c r="G1408" t="str">
        <f>"2018-10-18 15:58:29"</f>
        <v>2018-10-18 15:58:29</v>
      </c>
    </row>
    <row r="1409" spans="1:7" x14ac:dyDescent="0.2">
      <c r="A1409" t="s">
        <v>432</v>
      </c>
      <c r="B1409" t="str">
        <f>"18133706066"</f>
        <v>18133706066</v>
      </c>
      <c r="C1409" t="str">
        <f>"342222198407151210"</f>
        <v>342222198407151210</v>
      </c>
      <c r="D1409" t="s">
        <v>1</v>
      </c>
      <c r="E1409" t="s">
        <v>1</v>
      </c>
      <c r="F1409" t="s">
        <v>0</v>
      </c>
      <c r="G1409" t="str">
        <f>"2018-10-18 16:01:30"</f>
        <v>2018-10-18 16:01:30</v>
      </c>
    </row>
    <row r="1410" spans="1:7" x14ac:dyDescent="0.2">
      <c r="A1410" t="s">
        <v>3041</v>
      </c>
      <c r="B1410" t="str">
        <f>"13464427065"</f>
        <v>13464427065</v>
      </c>
      <c r="C1410" t="str">
        <f>"152223198607158012"</f>
        <v>152223198607158012</v>
      </c>
      <c r="D1410" t="s">
        <v>1</v>
      </c>
      <c r="E1410" t="s">
        <v>1</v>
      </c>
      <c r="F1410" t="s">
        <v>0</v>
      </c>
      <c r="G1410" t="str">
        <f>"2018-10-18 15:58:58"</f>
        <v>2018-10-18 15:58:58</v>
      </c>
    </row>
    <row r="1411" spans="1:7" x14ac:dyDescent="0.2">
      <c r="A1411" t="s">
        <v>3042</v>
      </c>
      <c r="B1411" t="str">
        <f>"18316893002"</f>
        <v>18316893002</v>
      </c>
      <c r="C1411" t="str">
        <f>"445322199604051055"</f>
        <v>445322199604051055</v>
      </c>
      <c r="D1411" t="s">
        <v>1</v>
      </c>
      <c r="E1411" t="s">
        <v>1</v>
      </c>
      <c r="F1411" t="s">
        <v>0</v>
      </c>
      <c r="G1411" t="str">
        <f>"2018-10-18 16:03:50"</f>
        <v>2018-10-18 16:03:50</v>
      </c>
    </row>
    <row r="1412" spans="1:7" x14ac:dyDescent="0.2">
      <c r="A1412" t="s">
        <v>3043</v>
      </c>
      <c r="B1412" t="str">
        <f>"17539352195"</f>
        <v>17539352195</v>
      </c>
      <c r="C1412" t="str">
        <f>"410923199508080058"</f>
        <v>410923199508080058</v>
      </c>
      <c r="D1412" t="s">
        <v>1</v>
      </c>
      <c r="E1412" t="s">
        <v>1</v>
      </c>
      <c r="F1412" t="s">
        <v>0</v>
      </c>
      <c r="G1412" t="str">
        <f>"2018-10-18 15:58:04"</f>
        <v>2018-10-18 15:58:04</v>
      </c>
    </row>
    <row r="1413" spans="1:7" x14ac:dyDescent="0.2">
      <c r="A1413" t="s">
        <v>3044</v>
      </c>
      <c r="B1413" t="str">
        <f>"15827121722"</f>
        <v>15827121722</v>
      </c>
      <c r="C1413" t="str">
        <f>"420102198501023319"</f>
        <v>420102198501023319</v>
      </c>
      <c r="D1413" t="s">
        <v>1</v>
      </c>
      <c r="E1413" t="s">
        <v>1</v>
      </c>
      <c r="F1413" t="s">
        <v>0</v>
      </c>
      <c r="G1413" t="str">
        <f>"2018-10-18 16:19:02"</f>
        <v>2018-10-18 16:19:02</v>
      </c>
    </row>
    <row r="1414" spans="1:7" x14ac:dyDescent="0.2">
      <c r="A1414" t="s">
        <v>3045</v>
      </c>
      <c r="B1414" t="str">
        <f>"17633579545"</f>
        <v>17633579545</v>
      </c>
      <c r="C1414" t="str">
        <f>"412726199710261637"</f>
        <v>412726199710261637</v>
      </c>
      <c r="D1414" t="s">
        <v>1</v>
      </c>
      <c r="E1414" t="s">
        <v>1</v>
      </c>
      <c r="F1414" t="s">
        <v>0</v>
      </c>
      <c r="G1414" t="str">
        <f>"2018-10-18 15:57:58"</f>
        <v>2018-10-18 15:57:58</v>
      </c>
    </row>
    <row r="1415" spans="1:7" x14ac:dyDescent="0.2">
      <c r="A1415" t="s">
        <v>3046</v>
      </c>
      <c r="B1415" t="str">
        <f>"13481220617"</f>
        <v>13481220617</v>
      </c>
      <c r="C1415" t="str">
        <f>"450202198706170014"</f>
        <v>450202198706170014</v>
      </c>
      <c r="D1415" t="s">
        <v>1</v>
      </c>
      <c r="E1415" t="s">
        <v>1</v>
      </c>
      <c r="F1415" t="s">
        <v>0</v>
      </c>
      <c r="G1415" t="str">
        <f>"2018-10-18 16:07:58"</f>
        <v>2018-10-18 16:07:58</v>
      </c>
    </row>
    <row r="1416" spans="1:7" x14ac:dyDescent="0.2">
      <c r="A1416" t="s">
        <v>1</v>
      </c>
      <c r="B1416" t="str">
        <f>"13679379000"</f>
        <v>13679379000</v>
      </c>
      <c r="C1416" t="s">
        <v>1</v>
      </c>
      <c r="D1416" t="s">
        <v>1</v>
      </c>
      <c r="E1416" t="s">
        <v>1</v>
      </c>
      <c r="F1416" t="s">
        <v>0</v>
      </c>
      <c r="G1416" t="str">
        <f>"2018-10-18 16:06:05"</f>
        <v>2018-10-18 16:06:05</v>
      </c>
    </row>
    <row r="1417" spans="1:7" x14ac:dyDescent="0.2">
      <c r="A1417" t="s">
        <v>3047</v>
      </c>
      <c r="B1417" t="str">
        <f>"13006603087"</f>
        <v>13006603087</v>
      </c>
      <c r="C1417" t="str">
        <f>"450981199012203019"</f>
        <v>450981199012203019</v>
      </c>
      <c r="D1417" t="s">
        <v>1</v>
      </c>
      <c r="E1417" t="s">
        <v>1</v>
      </c>
      <c r="F1417" t="s">
        <v>0</v>
      </c>
      <c r="G1417" t="str">
        <f>"2018-10-18 15:58:53"</f>
        <v>2018-10-18 15:58:53</v>
      </c>
    </row>
    <row r="1418" spans="1:7" x14ac:dyDescent="0.2">
      <c r="A1418" t="s">
        <v>3048</v>
      </c>
      <c r="B1418" t="str">
        <f>"15095607180"</f>
        <v>15095607180</v>
      </c>
      <c r="C1418" t="str">
        <f>"622323199005232417"</f>
        <v>622323199005232417</v>
      </c>
      <c r="D1418" t="s">
        <v>1</v>
      </c>
      <c r="E1418" t="s">
        <v>1</v>
      </c>
      <c r="F1418" t="s">
        <v>0</v>
      </c>
      <c r="G1418" t="str">
        <f>"2018-10-18 15:57:55"</f>
        <v>2018-10-18 15:57:55</v>
      </c>
    </row>
    <row r="1419" spans="1:7" x14ac:dyDescent="0.2">
      <c r="A1419" t="s">
        <v>3049</v>
      </c>
      <c r="B1419" t="str">
        <f>"13286516517"</f>
        <v>13286516517</v>
      </c>
      <c r="C1419" t="str">
        <f>"441224198712094334"</f>
        <v>441224198712094334</v>
      </c>
      <c r="D1419" t="s">
        <v>1</v>
      </c>
      <c r="E1419" t="s">
        <v>1</v>
      </c>
      <c r="F1419" t="s">
        <v>0</v>
      </c>
      <c r="G1419" t="str">
        <f>"2018-10-18 15:57:27"</f>
        <v>2018-10-18 15:57:27</v>
      </c>
    </row>
    <row r="1420" spans="1:7" x14ac:dyDescent="0.2">
      <c r="A1420" t="s">
        <v>1</v>
      </c>
      <c r="B1420" t="str">
        <f>"15246166687"</f>
        <v>15246166687</v>
      </c>
      <c r="C1420" t="s">
        <v>1</v>
      </c>
      <c r="D1420" t="s">
        <v>1</v>
      </c>
      <c r="E1420" t="s">
        <v>1</v>
      </c>
      <c r="F1420" t="s">
        <v>0</v>
      </c>
      <c r="G1420" t="str">
        <f>"2018-10-18 15:56:01"</f>
        <v>2018-10-18 15:56:01</v>
      </c>
    </row>
    <row r="1421" spans="1:7" x14ac:dyDescent="0.2">
      <c r="A1421" t="s">
        <v>3050</v>
      </c>
      <c r="B1421" t="str">
        <f>"13549811922"</f>
        <v>13549811922</v>
      </c>
      <c r="C1421" t="str">
        <f>"441581199706167777"</f>
        <v>441581199706167777</v>
      </c>
      <c r="D1421" t="s">
        <v>1</v>
      </c>
      <c r="E1421" t="s">
        <v>1</v>
      </c>
      <c r="F1421" t="s">
        <v>0</v>
      </c>
      <c r="G1421" t="str">
        <f>"2018-10-18 15:57:34"</f>
        <v>2018-10-18 15:57:34</v>
      </c>
    </row>
    <row r="1422" spans="1:7" x14ac:dyDescent="0.2">
      <c r="A1422" t="s">
        <v>3051</v>
      </c>
      <c r="B1422" t="str">
        <f>"18293318691"</f>
        <v>18293318691</v>
      </c>
      <c r="C1422" t="str">
        <f>"622727198303095011"</f>
        <v>622727198303095011</v>
      </c>
      <c r="D1422" t="s">
        <v>1</v>
      </c>
      <c r="E1422" t="s">
        <v>1</v>
      </c>
      <c r="F1422" t="s">
        <v>0</v>
      </c>
      <c r="G1422" t="str">
        <f>"2018-10-18 15:58:55"</f>
        <v>2018-10-18 15:58:55</v>
      </c>
    </row>
    <row r="1423" spans="1:7" x14ac:dyDescent="0.2">
      <c r="A1423" t="s">
        <v>3052</v>
      </c>
      <c r="B1423" t="str">
        <f>"13546075402"</f>
        <v>13546075402</v>
      </c>
      <c r="C1423" t="str">
        <f>"140223199605201030"</f>
        <v>140223199605201030</v>
      </c>
      <c r="D1423" t="s">
        <v>3053</v>
      </c>
      <c r="E1423" t="s">
        <v>3054</v>
      </c>
      <c r="F1423" t="s">
        <v>0</v>
      </c>
      <c r="G1423" t="str">
        <f>"2018-10-18 15:57:26"</f>
        <v>2018-10-18 15:57:26</v>
      </c>
    </row>
    <row r="1424" spans="1:7" x14ac:dyDescent="0.2">
      <c r="A1424" t="s">
        <v>3055</v>
      </c>
      <c r="B1424" t="str">
        <f>"15920062281"</f>
        <v>15920062281</v>
      </c>
      <c r="C1424" t="str">
        <f>"342224198803021955"</f>
        <v>342224198803021955</v>
      </c>
      <c r="D1424" t="s">
        <v>1</v>
      </c>
      <c r="E1424" t="s">
        <v>1</v>
      </c>
      <c r="F1424" t="s">
        <v>0</v>
      </c>
      <c r="G1424" t="str">
        <f>"2018-10-18 15:58:04"</f>
        <v>2018-10-18 15:58:04</v>
      </c>
    </row>
    <row r="1425" spans="1:7" x14ac:dyDescent="0.2">
      <c r="A1425" t="s">
        <v>3056</v>
      </c>
      <c r="B1425" t="str">
        <f>"18033084448"</f>
        <v>18033084448</v>
      </c>
      <c r="C1425" t="str">
        <f>"440506198204170014"</f>
        <v>440506198204170014</v>
      </c>
      <c r="D1425" t="s">
        <v>3057</v>
      </c>
      <c r="E1425" t="s">
        <v>3058</v>
      </c>
      <c r="F1425" t="s">
        <v>0</v>
      </c>
      <c r="G1425" t="str">
        <f>"2018-10-18 16:12:41"</f>
        <v>2018-10-18 16:12:41</v>
      </c>
    </row>
    <row r="1426" spans="1:7" x14ac:dyDescent="0.2">
      <c r="A1426" t="s">
        <v>3059</v>
      </c>
      <c r="B1426" t="str">
        <f>"15896499299"</f>
        <v>15896499299</v>
      </c>
      <c r="C1426" t="str">
        <f>"321321199010033637"</f>
        <v>321321199010033637</v>
      </c>
      <c r="D1426" t="s">
        <v>1</v>
      </c>
      <c r="E1426" t="s">
        <v>1</v>
      </c>
      <c r="F1426" t="s">
        <v>0</v>
      </c>
      <c r="G1426" t="str">
        <f>"2018-11-03 19:47:16"</f>
        <v>2018-11-03 19:47:16</v>
      </c>
    </row>
    <row r="1427" spans="1:7" x14ac:dyDescent="0.2">
      <c r="A1427" t="s">
        <v>1</v>
      </c>
      <c r="B1427" t="str">
        <f>"18238779344"</f>
        <v>18238779344</v>
      </c>
      <c r="C1427" t="s">
        <v>1</v>
      </c>
      <c r="D1427" t="s">
        <v>1</v>
      </c>
      <c r="E1427" t="s">
        <v>1</v>
      </c>
      <c r="F1427" t="s">
        <v>0</v>
      </c>
      <c r="G1427" t="str">
        <f>"2018-10-18 15:55:19"</f>
        <v>2018-10-18 15:55:19</v>
      </c>
    </row>
    <row r="1428" spans="1:7" x14ac:dyDescent="0.2">
      <c r="A1428" t="s">
        <v>3060</v>
      </c>
      <c r="B1428" t="str">
        <f>"13631887116"</f>
        <v>13631887116</v>
      </c>
      <c r="C1428" t="str">
        <f>"440921198801146851"</f>
        <v>440921198801146851</v>
      </c>
      <c r="D1428" t="s">
        <v>1</v>
      </c>
      <c r="E1428" t="s">
        <v>1</v>
      </c>
      <c r="F1428" t="s">
        <v>0</v>
      </c>
      <c r="G1428" t="str">
        <f>"2018-10-18 15:57:31"</f>
        <v>2018-10-18 15:57:31</v>
      </c>
    </row>
    <row r="1429" spans="1:7" x14ac:dyDescent="0.2">
      <c r="A1429" t="s">
        <v>3061</v>
      </c>
      <c r="B1429" t="str">
        <f>"18309656571"</f>
        <v>18309656571</v>
      </c>
      <c r="C1429" t="str">
        <f>"640321199512160912"</f>
        <v>640321199512160912</v>
      </c>
      <c r="D1429" t="s">
        <v>3062</v>
      </c>
      <c r="E1429" t="s">
        <v>3063</v>
      </c>
      <c r="F1429" t="s">
        <v>0</v>
      </c>
      <c r="G1429" t="str">
        <f>"2018-10-18 15:57:33"</f>
        <v>2018-10-18 15:57:33</v>
      </c>
    </row>
    <row r="1430" spans="1:7" x14ac:dyDescent="0.2">
      <c r="A1430" t="s">
        <v>3064</v>
      </c>
      <c r="B1430" t="str">
        <f>"15804252395"</f>
        <v>15804252395</v>
      </c>
      <c r="C1430" t="str">
        <f>"22072219940402442X"</f>
        <v>22072219940402442X</v>
      </c>
      <c r="D1430" t="s">
        <v>1</v>
      </c>
      <c r="E1430" t="s">
        <v>1</v>
      </c>
      <c r="F1430" t="s">
        <v>0</v>
      </c>
      <c r="G1430" t="str">
        <f>"2018-10-18 15:55:13"</f>
        <v>2018-10-18 15:55:13</v>
      </c>
    </row>
    <row r="1431" spans="1:7" x14ac:dyDescent="0.2">
      <c r="A1431" t="s">
        <v>3065</v>
      </c>
      <c r="B1431" t="str">
        <f>"15090247727"</f>
        <v>15090247727</v>
      </c>
      <c r="C1431" t="str">
        <f>"410901197902200532"</f>
        <v>410901197902200532</v>
      </c>
      <c r="D1431" t="s">
        <v>3066</v>
      </c>
      <c r="E1431" t="s">
        <v>3067</v>
      </c>
      <c r="F1431" t="s">
        <v>0</v>
      </c>
      <c r="G1431" t="str">
        <f>"2018-10-23 13:48:38"</f>
        <v>2018-10-23 13:48:38</v>
      </c>
    </row>
    <row r="1432" spans="1:7" x14ac:dyDescent="0.2">
      <c r="A1432" t="s">
        <v>3068</v>
      </c>
      <c r="B1432" t="str">
        <f>"18260358845"</f>
        <v>18260358845</v>
      </c>
      <c r="C1432" t="str">
        <f>"320304199512170028"</f>
        <v>320304199512170028</v>
      </c>
      <c r="D1432" t="s">
        <v>1</v>
      </c>
      <c r="E1432" t="s">
        <v>1</v>
      </c>
      <c r="F1432" t="s">
        <v>0</v>
      </c>
      <c r="G1432" t="str">
        <f>"2018-10-19 17:09:31"</f>
        <v>2018-10-19 17:09:31</v>
      </c>
    </row>
    <row r="1433" spans="1:7" x14ac:dyDescent="0.2">
      <c r="A1433" t="s">
        <v>1</v>
      </c>
      <c r="B1433" t="str">
        <f>"18506263827"</f>
        <v>18506263827</v>
      </c>
      <c r="C1433" t="s">
        <v>1</v>
      </c>
      <c r="D1433" t="s">
        <v>1</v>
      </c>
      <c r="E1433" t="s">
        <v>1</v>
      </c>
      <c r="F1433" t="s">
        <v>0</v>
      </c>
      <c r="G1433" t="str">
        <f>"2018-10-18 15:57:00"</f>
        <v>2018-10-18 15:57:00</v>
      </c>
    </row>
    <row r="1434" spans="1:7" x14ac:dyDescent="0.2">
      <c r="A1434" t="s">
        <v>528</v>
      </c>
      <c r="B1434" t="str">
        <f>"13569791995"</f>
        <v>13569791995</v>
      </c>
      <c r="C1434" t="str">
        <f>"41150219911015945X"</f>
        <v>41150219911015945X</v>
      </c>
      <c r="D1434" t="s">
        <v>1</v>
      </c>
      <c r="E1434" t="s">
        <v>1</v>
      </c>
      <c r="F1434" t="s">
        <v>0</v>
      </c>
      <c r="G1434" t="str">
        <f>"2018-10-18 15:56:26"</f>
        <v>2018-10-18 15:56:26</v>
      </c>
    </row>
    <row r="1435" spans="1:7" x14ac:dyDescent="0.2">
      <c r="A1435" t="s">
        <v>1</v>
      </c>
      <c r="B1435" t="str">
        <f>"15107188345"</f>
        <v>15107188345</v>
      </c>
      <c r="C1435" t="s">
        <v>1</v>
      </c>
      <c r="D1435" t="s">
        <v>1</v>
      </c>
      <c r="E1435" t="s">
        <v>1</v>
      </c>
      <c r="F1435" t="s">
        <v>0</v>
      </c>
      <c r="G1435" t="str">
        <f>"2018-10-18 15:55:28"</f>
        <v>2018-10-18 15:55:28</v>
      </c>
    </row>
    <row r="1436" spans="1:7" x14ac:dyDescent="0.2">
      <c r="A1436" t="s">
        <v>1</v>
      </c>
      <c r="B1436" t="str">
        <f>"13981087056"</f>
        <v>13981087056</v>
      </c>
      <c r="C1436" t="s">
        <v>1</v>
      </c>
      <c r="D1436" t="s">
        <v>1</v>
      </c>
      <c r="E1436" t="s">
        <v>1</v>
      </c>
      <c r="F1436" t="s">
        <v>0</v>
      </c>
      <c r="G1436" t="str">
        <f>"2018-10-18 15:56:03"</f>
        <v>2018-10-18 15:56:03</v>
      </c>
    </row>
    <row r="1437" spans="1:7" x14ac:dyDescent="0.2">
      <c r="A1437" t="s">
        <v>3069</v>
      </c>
      <c r="B1437" t="str">
        <f>"15563130858"</f>
        <v>15563130858</v>
      </c>
      <c r="C1437" t="str">
        <f>"370832198411257658"</f>
        <v>370832198411257658</v>
      </c>
      <c r="D1437" t="s">
        <v>1</v>
      </c>
      <c r="E1437" t="s">
        <v>1</v>
      </c>
      <c r="F1437" t="s">
        <v>0</v>
      </c>
      <c r="G1437" t="str">
        <f>"2018-10-18 16:02:53"</f>
        <v>2018-10-18 16:02:53</v>
      </c>
    </row>
    <row r="1438" spans="1:7" x14ac:dyDescent="0.2">
      <c r="A1438" t="s">
        <v>3070</v>
      </c>
      <c r="B1438" t="str">
        <f>"13612804749"</f>
        <v>13612804749</v>
      </c>
      <c r="C1438" t="str">
        <f>"440921197904095730"</f>
        <v>440921197904095730</v>
      </c>
      <c r="D1438" t="s">
        <v>3071</v>
      </c>
      <c r="E1438" t="s">
        <v>3072</v>
      </c>
      <c r="F1438" t="s">
        <v>0</v>
      </c>
      <c r="G1438" t="str">
        <f>"2018-10-18 16:17:36"</f>
        <v>2018-10-18 16:17:36</v>
      </c>
    </row>
    <row r="1439" spans="1:7" x14ac:dyDescent="0.2">
      <c r="A1439" t="s">
        <v>1</v>
      </c>
      <c r="B1439" t="str">
        <f>"13550764798"</f>
        <v>13550764798</v>
      </c>
      <c r="C1439" t="s">
        <v>1</v>
      </c>
      <c r="D1439" t="s">
        <v>1</v>
      </c>
      <c r="E1439" t="s">
        <v>1</v>
      </c>
      <c r="F1439" t="s">
        <v>0</v>
      </c>
      <c r="G1439" t="str">
        <f>"2018-10-18 15:54:09"</f>
        <v>2018-10-18 15:54:09</v>
      </c>
    </row>
    <row r="1440" spans="1:7" x14ac:dyDescent="0.2">
      <c r="A1440" t="s">
        <v>3073</v>
      </c>
      <c r="B1440" t="str">
        <f>"13722503267"</f>
        <v>13722503267</v>
      </c>
      <c r="C1440" t="str">
        <f>"130229199401130038"</f>
        <v>130229199401130038</v>
      </c>
      <c r="D1440" t="s">
        <v>1</v>
      </c>
      <c r="E1440" t="s">
        <v>1</v>
      </c>
      <c r="F1440" t="s">
        <v>0</v>
      </c>
      <c r="G1440" t="str">
        <f>"2018-10-18 16:00:52"</f>
        <v>2018-10-18 16:00:52</v>
      </c>
    </row>
    <row r="1441" spans="1:7" x14ac:dyDescent="0.2">
      <c r="A1441" t="s">
        <v>1622</v>
      </c>
      <c r="B1441" t="str">
        <f>"18976562500"</f>
        <v>18976562500</v>
      </c>
      <c r="C1441" t="str">
        <f>"460102198507101215"</f>
        <v>460102198507101215</v>
      </c>
      <c r="D1441" t="s">
        <v>3074</v>
      </c>
      <c r="E1441" t="s">
        <v>3075</v>
      </c>
      <c r="F1441" t="s">
        <v>0</v>
      </c>
      <c r="G1441" t="str">
        <f>"2018-10-18 15:55:14"</f>
        <v>2018-10-18 15:55:14</v>
      </c>
    </row>
    <row r="1442" spans="1:7" x14ac:dyDescent="0.2">
      <c r="A1442" t="s">
        <v>640</v>
      </c>
      <c r="B1442" t="str">
        <f>"15004946678"</f>
        <v>15004946678</v>
      </c>
      <c r="C1442" t="str">
        <f>"152301199004040025"</f>
        <v>152301199004040025</v>
      </c>
      <c r="D1442" t="s">
        <v>1</v>
      </c>
      <c r="E1442" t="s">
        <v>1</v>
      </c>
      <c r="F1442" t="s">
        <v>0</v>
      </c>
      <c r="G1442" t="str">
        <f>"2018-10-18 15:56:00"</f>
        <v>2018-10-18 15:56:00</v>
      </c>
    </row>
    <row r="1443" spans="1:7" x14ac:dyDescent="0.2">
      <c r="A1443" t="s">
        <v>3076</v>
      </c>
      <c r="B1443" t="str">
        <f>"15089254723"</f>
        <v>15089254723</v>
      </c>
      <c r="C1443" t="str">
        <f>"441322199511144638"</f>
        <v>441322199511144638</v>
      </c>
      <c r="D1443" t="s">
        <v>1</v>
      </c>
      <c r="E1443" t="s">
        <v>1</v>
      </c>
      <c r="F1443" t="s">
        <v>0</v>
      </c>
      <c r="G1443" t="str">
        <f>"2018-10-18 15:55:36"</f>
        <v>2018-10-18 15:55:36</v>
      </c>
    </row>
    <row r="1444" spans="1:7" x14ac:dyDescent="0.2">
      <c r="A1444" t="s">
        <v>3077</v>
      </c>
      <c r="B1444" t="str">
        <f>"13669965094"</f>
        <v>13669965094</v>
      </c>
      <c r="C1444" t="str">
        <f>"65232319900211172X"</f>
        <v>65232319900211172X</v>
      </c>
      <c r="D1444" t="s">
        <v>1</v>
      </c>
      <c r="E1444" t="s">
        <v>1</v>
      </c>
      <c r="F1444" t="s">
        <v>0</v>
      </c>
      <c r="G1444" t="str">
        <f>"2018-10-18 15:58:08"</f>
        <v>2018-10-18 15:58:08</v>
      </c>
    </row>
    <row r="1445" spans="1:7" x14ac:dyDescent="0.2">
      <c r="A1445" t="s">
        <v>3078</v>
      </c>
      <c r="B1445" t="str">
        <f>"15003015851"</f>
        <v>15003015851</v>
      </c>
      <c r="C1445" t="str">
        <f>"622226198503201540"</f>
        <v>622226198503201540</v>
      </c>
      <c r="D1445" t="s">
        <v>1</v>
      </c>
      <c r="E1445" t="s">
        <v>1</v>
      </c>
      <c r="F1445" t="s">
        <v>0</v>
      </c>
      <c r="G1445" t="str">
        <f>"2018-10-18 15:54:45"</f>
        <v>2018-10-18 15:54:45</v>
      </c>
    </row>
    <row r="1446" spans="1:7" x14ac:dyDescent="0.2">
      <c r="A1446" t="s">
        <v>1063</v>
      </c>
      <c r="B1446" t="str">
        <f>"18171545737"</f>
        <v>18171545737</v>
      </c>
      <c r="C1446" t="str">
        <f>"420982199007294914"</f>
        <v>420982199007294914</v>
      </c>
      <c r="D1446" t="s">
        <v>1</v>
      </c>
      <c r="E1446" t="s">
        <v>1</v>
      </c>
      <c r="F1446" t="s">
        <v>0</v>
      </c>
      <c r="G1446" t="str">
        <f>"2018-10-18 15:55:50"</f>
        <v>2018-10-18 15:55:50</v>
      </c>
    </row>
    <row r="1447" spans="1:7" x14ac:dyDescent="0.2">
      <c r="A1447" t="s">
        <v>722</v>
      </c>
      <c r="B1447" t="str">
        <f>"18105112080"</f>
        <v>18105112080</v>
      </c>
      <c r="C1447" t="str">
        <f>"320982199203013792"</f>
        <v>320982199203013792</v>
      </c>
      <c r="D1447" t="s">
        <v>1</v>
      </c>
      <c r="E1447" t="s">
        <v>1</v>
      </c>
      <c r="F1447" t="s">
        <v>0</v>
      </c>
      <c r="G1447" t="str">
        <f>"2018-10-18 15:54:30"</f>
        <v>2018-10-18 15:54:30</v>
      </c>
    </row>
    <row r="1448" spans="1:7" x14ac:dyDescent="0.2">
      <c r="A1448" t="s">
        <v>3079</v>
      </c>
      <c r="B1448" t="str">
        <f>"15919210687"</f>
        <v>15919210687</v>
      </c>
      <c r="C1448" t="str">
        <f>"440582199311267015"</f>
        <v>440582199311267015</v>
      </c>
      <c r="D1448" t="s">
        <v>1</v>
      </c>
      <c r="E1448" t="s">
        <v>1</v>
      </c>
      <c r="F1448" t="s">
        <v>0</v>
      </c>
      <c r="G1448" t="str">
        <f>"2018-10-18 15:57:16"</f>
        <v>2018-10-18 15:57:16</v>
      </c>
    </row>
    <row r="1449" spans="1:7" x14ac:dyDescent="0.2">
      <c r="A1449" t="s">
        <v>3080</v>
      </c>
      <c r="B1449" t="str">
        <f>"13731055435"</f>
        <v>13731055435</v>
      </c>
      <c r="C1449" t="str">
        <f>"130621199508281216"</f>
        <v>130621199508281216</v>
      </c>
      <c r="D1449" t="s">
        <v>1</v>
      </c>
      <c r="E1449" t="s">
        <v>1</v>
      </c>
      <c r="F1449" t="s">
        <v>0</v>
      </c>
      <c r="G1449" t="str">
        <f>"2018-10-18 15:54:09"</f>
        <v>2018-10-18 15:54:09</v>
      </c>
    </row>
    <row r="1450" spans="1:7" x14ac:dyDescent="0.2">
      <c r="A1450" t="s">
        <v>1</v>
      </c>
      <c r="B1450" t="str">
        <f>"13616771535"</f>
        <v>13616771535</v>
      </c>
      <c r="C1450" t="s">
        <v>1</v>
      </c>
      <c r="D1450" t="s">
        <v>1</v>
      </c>
      <c r="E1450" t="s">
        <v>1</v>
      </c>
      <c r="F1450" t="s">
        <v>0</v>
      </c>
      <c r="G1450" t="str">
        <f>"2018-10-18 15:53:03"</f>
        <v>2018-10-18 15:53:03</v>
      </c>
    </row>
    <row r="1451" spans="1:7" x14ac:dyDescent="0.2">
      <c r="A1451" t="s">
        <v>3081</v>
      </c>
      <c r="B1451" t="str">
        <f>"15947033195"</f>
        <v>15947033195</v>
      </c>
      <c r="C1451" t="str">
        <f>"131127197503158019"</f>
        <v>131127197503158019</v>
      </c>
      <c r="D1451" t="s">
        <v>1</v>
      </c>
      <c r="E1451" t="s">
        <v>1</v>
      </c>
      <c r="F1451" t="s">
        <v>0</v>
      </c>
      <c r="G1451" t="str">
        <f>"2018-10-18 15:54:09"</f>
        <v>2018-10-18 15:54:09</v>
      </c>
    </row>
    <row r="1452" spans="1:7" x14ac:dyDescent="0.2">
      <c r="A1452" t="s">
        <v>3082</v>
      </c>
      <c r="B1452" t="str">
        <f>"13153644462"</f>
        <v>13153644462</v>
      </c>
      <c r="C1452" t="str">
        <f>"370705199105060515"</f>
        <v>370705199105060515</v>
      </c>
      <c r="D1452" t="s">
        <v>1</v>
      </c>
      <c r="E1452" t="s">
        <v>1</v>
      </c>
      <c r="F1452" t="s">
        <v>0</v>
      </c>
      <c r="G1452" t="str">
        <f>"2018-10-18 15:54:17"</f>
        <v>2018-10-18 15:54:17</v>
      </c>
    </row>
    <row r="1453" spans="1:7" x14ac:dyDescent="0.2">
      <c r="A1453" t="s">
        <v>3083</v>
      </c>
      <c r="B1453" t="str">
        <f>"15555529889"</f>
        <v>15555529889</v>
      </c>
      <c r="C1453" t="str">
        <f>"340521199303066815"</f>
        <v>340521199303066815</v>
      </c>
      <c r="D1453" t="s">
        <v>1</v>
      </c>
      <c r="E1453" t="s">
        <v>1</v>
      </c>
      <c r="F1453" t="s">
        <v>0</v>
      </c>
      <c r="G1453" t="str">
        <f>"2018-10-19 00:12:51"</f>
        <v>2018-10-19 00:12:51</v>
      </c>
    </row>
    <row r="1454" spans="1:7" x14ac:dyDescent="0.2">
      <c r="A1454" t="s">
        <v>1</v>
      </c>
      <c r="B1454" t="str">
        <f>"13967644959"</f>
        <v>13967644959</v>
      </c>
      <c r="C1454" t="s">
        <v>1</v>
      </c>
      <c r="D1454" t="s">
        <v>1</v>
      </c>
      <c r="E1454" t="s">
        <v>1</v>
      </c>
      <c r="F1454" t="s">
        <v>0</v>
      </c>
      <c r="G1454" t="str">
        <f>"2018-10-18 15:52:40"</f>
        <v>2018-10-18 15:52:40</v>
      </c>
    </row>
    <row r="1455" spans="1:7" x14ac:dyDescent="0.2">
      <c r="A1455" t="s">
        <v>3084</v>
      </c>
      <c r="B1455" t="str">
        <f>"13969047959"</f>
        <v>13969047959</v>
      </c>
      <c r="C1455" t="str">
        <f>"370102198011303321"</f>
        <v>370102198011303321</v>
      </c>
      <c r="D1455" t="s">
        <v>1</v>
      </c>
      <c r="E1455" t="s">
        <v>1</v>
      </c>
      <c r="F1455" t="s">
        <v>0</v>
      </c>
      <c r="G1455" t="str">
        <f>"2018-10-25 11:47:55"</f>
        <v>2018-10-25 11:47:55</v>
      </c>
    </row>
    <row r="1456" spans="1:7" x14ac:dyDescent="0.2">
      <c r="A1456" t="s">
        <v>3085</v>
      </c>
      <c r="B1456" t="str">
        <f>"15001336897"</f>
        <v>15001336897</v>
      </c>
      <c r="C1456" t="str">
        <f>"110222199207291614"</f>
        <v>110222199207291614</v>
      </c>
      <c r="D1456" t="s">
        <v>1</v>
      </c>
      <c r="E1456" t="s">
        <v>1</v>
      </c>
      <c r="F1456" t="s">
        <v>0</v>
      </c>
      <c r="G1456" t="str">
        <f>"2018-10-18 16:02:39"</f>
        <v>2018-10-18 16:02:39</v>
      </c>
    </row>
    <row r="1457" spans="1:7" x14ac:dyDescent="0.2">
      <c r="A1457" t="s">
        <v>3086</v>
      </c>
      <c r="B1457" t="str">
        <f>"15924003779"</f>
        <v>15924003779</v>
      </c>
      <c r="C1457" t="str">
        <f>"330922198609172516"</f>
        <v>330922198609172516</v>
      </c>
      <c r="D1457" t="s">
        <v>1</v>
      </c>
      <c r="E1457" t="s">
        <v>1</v>
      </c>
      <c r="F1457" t="s">
        <v>0</v>
      </c>
      <c r="G1457" t="str">
        <f>"2018-10-18 15:54:59"</f>
        <v>2018-10-18 15:54:59</v>
      </c>
    </row>
    <row r="1458" spans="1:7" x14ac:dyDescent="0.2">
      <c r="A1458" t="s">
        <v>1</v>
      </c>
      <c r="B1458" t="str">
        <f>"14769221206"</f>
        <v>14769221206</v>
      </c>
      <c r="C1458" t="s">
        <v>1</v>
      </c>
      <c r="D1458" t="s">
        <v>1</v>
      </c>
      <c r="E1458" t="s">
        <v>1</v>
      </c>
      <c r="F1458" t="s">
        <v>0</v>
      </c>
      <c r="G1458" t="str">
        <f>"2018-10-18 15:52:26"</f>
        <v>2018-10-18 15:52:26</v>
      </c>
    </row>
    <row r="1459" spans="1:7" x14ac:dyDescent="0.2">
      <c r="A1459" t="s">
        <v>1</v>
      </c>
      <c r="B1459" t="str">
        <f>"15751862708"</f>
        <v>15751862708</v>
      </c>
      <c r="C1459" t="s">
        <v>1</v>
      </c>
      <c r="D1459" t="s">
        <v>1</v>
      </c>
      <c r="E1459" t="s">
        <v>1</v>
      </c>
      <c r="F1459" t="s">
        <v>0</v>
      </c>
      <c r="G1459" t="str">
        <f>"2018-10-18 15:52:23"</f>
        <v>2018-10-18 15:52:23</v>
      </c>
    </row>
    <row r="1460" spans="1:7" x14ac:dyDescent="0.2">
      <c r="A1460" t="s">
        <v>3087</v>
      </c>
      <c r="B1460" t="str">
        <f>"15550711546"</f>
        <v>15550711546</v>
      </c>
      <c r="C1460" t="str">
        <f>"370481199501101585"</f>
        <v>370481199501101585</v>
      </c>
      <c r="D1460" t="s">
        <v>1</v>
      </c>
      <c r="E1460" t="s">
        <v>1</v>
      </c>
      <c r="F1460" t="s">
        <v>0</v>
      </c>
      <c r="G1460" t="str">
        <f>"2018-10-18 16:47:08"</f>
        <v>2018-10-18 16:47:08</v>
      </c>
    </row>
    <row r="1461" spans="1:7" x14ac:dyDescent="0.2">
      <c r="A1461" t="s">
        <v>1</v>
      </c>
      <c r="B1461" t="str">
        <f>"18933499606"</f>
        <v>18933499606</v>
      </c>
      <c r="C1461" t="s">
        <v>1</v>
      </c>
      <c r="D1461" t="s">
        <v>1</v>
      </c>
      <c r="E1461" t="s">
        <v>1</v>
      </c>
      <c r="F1461" t="s">
        <v>0</v>
      </c>
      <c r="G1461" t="str">
        <f>"2018-10-18 17:20:43"</f>
        <v>2018-10-18 17:20:43</v>
      </c>
    </row>
    <row r="1462" spans="1:7" x14ac:dyDescent="0.2">
      <c r="A1462" t="s">
        <v>3088</v>
      </c>
      <c r="B1462" t="str">
        <f>"18826824846"</f>
        <v>18826824846</v>
      </c>
      <c r="C1462" t="str">
        <f>"430721198807226112"</f>
        <v>430721198807226112</v>
      </c>
      <c r="D1462" t="s">
        <v>1</v>
      </c>
      <c r="E1462" t="s">
        <v>1</v>
      </c>
      <c r="F1462" t="s">
        <v>0</v>
      </c>
      <c r="G1462" t="str">
        <f>"2018-10-18 16:10:03"</f>
        <v>2018-10-18 16:10:03</v>
      </c>
    </row>
    <row r="1463" spans="1:7" x14ac:dyDescent="0.2">
      <c r="A1463" t="s">
        <v>3089</v>
      </c>
      <c r="B1463" t="str">
        <f>"15388860091"</f>
        <v>15388860091</v>
      </c>
      <c r="C1463" t="str">
        <f>"532530199612053018"</f>
        <v>532530199612053018</v>
      </c>
      <c r="D1463" t="s">
        <v>1</v>
      </c>
      <c r="E1463" t="s">
        <v>1</v>
      </c>
      <c r="F1463" t="s">
        <v>0</v>
      </c>
      <c r="G1463" t="str">
        <f>"2018-10-18 15:55:15"</f>
        <v>2018-10-18 15:55:15</v>
      </c>
    </row>
    <row r="1464" spans="1:7" x14ac:dyDescent="0.2">
      <c r="A1464" t="s">
        <v>3090</v>
      </c>
      <c r="B1464" t="str">
        <f>"18125570757"</f>
        <v>18125570757</v>
      </c>
      <c r="C1464" t="str">
        <f>"441424199605253497"</f>
        <v>441424199605253497</v>
      </c>
      <c r="D1464" t="s">
        <v>1</v>
      </c>
      <c r="E1464" t="s">
        <v>1</v>
      </c>
      <c r="F1464" t="s">
        <v>0</v>
      </c>
      <c r="G1464" t="str">
        <f>"2018-10-18 15:53:31"</f>
        <v>2018-10-18 15:53:31</v>
      </c>
    </row>
    <row r="1465" spans="1:7" x14ac:dyDescent="0.2">
      <c r="A1465" t="s">
        <v>3091</v>
      </c>
      <c r="B1465" t="str">
        <f>"18803562376"</f>
        <v>18803562376</v>
      </c>
      <c r="C1465" t="str">
        <f>"140511199010190935"</f>
        <v>140511199010190935</v>
      </c>
      <c r="D1465" t="s">
        <v>1</v>
      </c>
      <c r="E1465" t="s">
        <v>1</v>
      </c>
      <c r="F1465" t="s">
        <v>0</v>
      </c>
      <c r="G1465" t="str">
        <f>"2018-10-18 15:54:18"</f>
        <v>2018-10-18 15:54:18</v>
      </c>
    </row>
    <row r="1466" spans="1:7" x14ac:dyDescent="0.2">
      <c r="A1466" t="s">
        <v>3092</v>
      </c>
      <c r="B1466" t="str">
        <f>"18555137762"</f>
        <v>18555137762</v>
      </c>
      <c r="C1466" t="str">
        <f>"342623199508077710"</f>
        <v>342623199508077710</v>
      </c>
      <c r="D1466" t="s">
        <v>3093</v>
      </c>
      <c r="E1466" t="s">
        <v>3094</v>
      </c>
      <c r="F1466" t="s">
        <v>0</v>
      </c>
      <c r="G1466" t="str">
        <f>"2018-10-18 16:00:52"</f>
        <v>2018-10-18 16:00:52</v>
      </c>
    </row>
    <row r="1467" spans="1:7" x14ac:dyDescent="0.2">
      <c r="A1467" t="s">
        <v>3095</v>
      </c>
      <c r="B1467" t="str">
        <f>"17861428638"</f>
        <v>17861428638</v>
      </c>
      <c r="C1467" t="str">
        <f>"23088119990323172X"</f>
        <v>23088119990323172X</v>
      </c>
      <c r="D1467" t="s">
        <v>1</v>
      </c>
      <c r="E1467" t="s">
        <v>1</v>
      </c>
      <c r="F1467" t="s">
        <v>0</v>
      </c>
      <c r="G1467" t="str">
        <f>"2018-10-18 15:53:51"</f>
        <v>2018-10-18 15:53:51</v>
      </c>
    </row>
    <row r="1468" spans="1:7" x14ac:dyDescent="0.2">
      <c r="A1468" t="s">
        <v>3096</v>
      </c>
      <c r="B1468" t="str">
        <f>"13991021070"</f>
        <v>13991021070</v>
      </c>
      <c r="C1468" t="str">
        <f>"610422198701272042"</f>
        <v>610422198701272042</v>
      </c>
      <c r="D1468" t="s">
        <v>1</v>
      </c>
      <c r="E1468" t="s">
        <v>1</v>
      </c>
      <c r="F1468" t="s">
        <v>0</v>
      </c>
      <c r="G1468" t="str">
        <f>"2018-10-18 15:53:29"</f>
        <v>2018-10-18 15:53:29</v>
      </c>
    </row>
    <row r="1469" spans="1:7" x14ac:dyDescent="0.2">
      <c r="A1469" t="s">
        <v>3097</v>
      </c>
      <c r="B1469" t="str">
        <f>"17869023820"</f>
        <v>17869023820</v>
      </c>
      <c r="C1469" t="str">
        <f>"532925198901120551"</f>
        <v>532925198901120551</v>
      </c>
      <c r="D1469" t="s">
        <v>1</v>
      </c>
      <c r="E1469" t="s">
        <v>1</v>
      </c>
      <c r="F1469" t="s">
        <v>0</v>
      </c>
      <c r="G1469" t="str">
        <f>"2018-10-18 15:53:36"</f>
        <v>2018-10-18 15:53:36</v>
      </c>
    </row>
    <row r="1470" spans="1:7" x14ac:dyDescent="0.2">
      <c r="A1470" t="s">
        <v>3098</v>
      </c>
      <c r="B1470" t="str">
        <f>"15118939622"</f>
        <v>15118939622</v>
      </c>
      <c r="C1470" t="str">
        <f>"441381199411237634"</f>
        <v>441381199411237634</v>
      </c>
      <c r="D1470" t="s">
        <v>1</v>
      </c>
      <c r="E1470" t="s">
        <v>1</v>
      </c>
      <c r="F1470" t="s">
        <v>0</v>
      </c>
      <c r="G1470" t="str">
        <f>"2018-10-19 10:48:53"</f>
        <v>2018-10-19 10:48:53</v>
      </c>
    </row>
    <row r="1471" spans="1:7" x14ac:dyDescent="0.2">
      <c r="A1471" t="s">
        <v>3099</v>
      </c>
      <c r="B1471" t="str">
        <f>"18339922990"</f>
        <v>18339922990</v>
      </c>
      <c r="C1471" t="str">
        <f>"410184198905245615"</f>
        <v>410184198905245615</v>
      </c>
      <c r="D1471" t="s">
        <v>3100</v>
      </c>
      <c r="E1471" t="s">
        <v>3101</v>
      </c>
      <c r="F1471" t="s">
        <v>0</v>
      </c>
      <c r="G1471" t="str">
        <f>"2018-10-18 15:53:41"</f>
        <v>2018-10-18 15:53:41</v>
      </c>
    </row>
    <row r="1472" spans="1:7" x14ac:dyDescent="0.2">
      <c r="A1472" t="s">
        <v>3102</v>
      </c>
      <c r="B1472" t="str">
        <f>"18729798811"</f>
        <v>18729798811</v>
      </c>
      <c r="C1472" t="str">
        <f>"610222198603280523"</f>
        <v>610222198603280523</v>
      </c>
      <c r="D1472" t="s">
        <v>3103</v>
      </c>
      <c r="E1472" t="s">
        <v>3104</v>
      </c>
      <c r="F1472" t="s">
        <v>0</v>
      </c>
      <c r="G1472" t="str">
        <f>"2018-10-18 21:09:45"</f>
        <v>2018-10-18 21:09:45</v>
      </c>
    </row>
    <row r="1473" spans="1:7" x14ac:dyDescent="0.2">
      <c r="A1473" t="s">
        <v>230</v>
      </c>
      <c r="B1473" t="str">
        <f>"13946594433"</f>
        <v>13946594433</v>
      </c>
      <c r="C1473" t="str">
        <f>"230921197709111222"</f>
        <v>230921197709111222</v>
      </c>
      <c r="D1473" t="s">
        <v>1</v>
      </c>
      <c r="E1473" t="s">
        <v>1</v>
      </c>
      <c r="F1473" t="s">
        <v>0</v>
      </c>
      <c r="G1473" t="str">
        <f>"2018-10-18 15:51:29"</f>
        <v>2018-10-18 15:51:29</v>
      </c>
    </row>
    <row r="1474" spans="1:7" x14ac:dyDescent="0.2">
      <c r="A1474" t="s">
        <v>3105</v>
      </c>
      <c r="B1474" t="str">
        <f>"18350088081"</f>
        <v>18350088081</v>
      </c>
      <c r="C1474" t="str">
        <f>"350425199508290337"</f>
        <v>350425199508290337</v>
      </c>
      <c r="D1474" t="s">
        <v>3106</v>
      </c>
      <c r="E1474" t="s">
        <v>3107</v>
      </c>
      <c r="F1474" t="s">
        <v>0</v>
      </c>
      <c r="G1474" t="str">
        <f>"2018-10-18 15:52:45"</f>
        <v>2018-10-18 15:52:45</v>
      </c>
    </row>
    <row r="1475" spans="1:7" x14ac:dyDescent="0.2">
      <c r="A1475" t="s">
        <v>3108</v>
      </c>
      <c r="B1475" t="str">
        <f>"18135955070"</f>
        <v>18135955070</v>
      </c>
      <c r="C1475" t="str">
        <f>"142724198407063512"</f>
        <v>142724198407063512</v>
      </c>
      <c r="D1475" t="s">
        <v>1</v>
      </c>
      <c r="E1475" t="s">
        <v>1</v>
      </c>
      <c r="F1475" t="s">
        <v>0</v>
      </c>
      <c r="G1475" t="str">
        <f>"2018-10-18 16:05:49"</f>
        <v>2018-10-18 16:05:49</v>
      </c>
    </row>
    <row r="1476" spans="1:7" x14ac:dyDescent="0.2">
      <c r="A1476" t="s">
        <v>3109</v>
      </c>
      <c r="B1476" t="str">
        <f>"13953272521"</f>
        <v>13953272521</v>
      </c>
      <c r="C1476" t="str">
        <f>"370205199008116030"</f>
        <v>370205199008116030</v>
      </c>
      <c r="D1476" t="s">
        <v>3110</v>
      </c>
      <c r="E1476" t="s">
        <v>3111</v>
      </c>
      <c r="F1476" t="s">
        <v>0</v>
      </c>
      <c r="G1476" t="str">
        <f>"2018-10-18 15:52:12"</f>
        <v>2018-10-18 15:52:12</v>
      </c>
    </row>
    <row r="1477" spans="1:7" x14ac:dyDescent="0.2">
      <c r="A1477" t="s">
        <v>3112</v>
      </c>
      <c r="B1477" t="str">
        <f>"13799416985"</f>
        <v>13799416985</v>
      </c>
      <c r="C1477" t="str">
        <f>"350121197808164016"</f>
        <v>350121197808164016</v>
      </c>
      <c r="D1477" t="s">
        <v>1</v>
      </c>
      <c r="E1477" t="s">
        <v>1</v>
      </c>
      <c r="F1477" t="s">
        <v>0</v>
      </c>
      <c r="G1477" t="str">
        <f>"2018-10-18 15:53:51"</f>
        <v>2018-10-18 15:53:51</v>
      </c>
    </row>
    <row r="1478" spans="1:7" x14ac:dyDescent="0.2">
      <c r="A1478" t="s">
        <v>3113</v>
      </c>
      <c r="B1478" t="str">
        <f>"18570694284"</f>
        <v>18570694284</v>
      </c>
      <c r="C1478" t="str">
        <f>"430422199703231237"</f>
        <v>430422199703231237</v>
      </c>
      <c r="D1478" t="s">
        <v>1</v>
      </c>
      <c r="E1478" t="s">
        <v>1</v>
      </c>
      <c r="F1478" t="s">
        <v>0</v>
      </c>
      <c r="G1478" t="str">
        <f>"2018-10-18 15:50:38"</f>
        <v>2018-10-18 15:50:38</v>
      </c>
    </row>
    <row r="1479" spans="1:7" x14ac:dyDescent="0.2">
      <c r="A1479" t="s">
        <v>1</v>
      </c>
      <c r="B1479" t="str">
        <f>"18833113133"</f>
        <v>18833113133</v>
      </c>
      <c r="C1479" t="s">
        <v>1</v>
      </c>
      <c r="D1479" t="s">
        <v>1</v>
      </c>
      <c r="E1479" t="s">
        <v>1</v>
      </c>
      <c r="F1479" t="s">
        <v>0</v>
      </c>
      <c r="G1479" t="str">
        <f>"2018-10-18 15:50:37"</f>
        <v>2018-10-18 15:50:37</v>
      </c>
    </row>
    <row r="1480" spans="1:7" x14ac:dyDescent="0.2">
      <c r="A1480" t="s">
        <v>220</v>
      </c>
      <c r="B1480" t="str">
        <f>"13416899943"</f>
        <v>13416899943</v>
      </c>
      <c r="C1480" t="str">
        <f>"510322198711233814"</f>
        <v>510322198711233814</v>
      </c>
      <c r="D1480" t="s">
        <v>1</v>
      </c>
      <c r="E1480" t="s">
        <v>1</v>
      </c>
      <c r="F1480" t="s">
        <v>0</v>
      </c>
      <c r="G1480" t="str">
        <f>"2018-10-18 15:52:25"</f>
        <v>2018-10-18 15:52:25</v>
      </c>
    </row>
    <row r="1481" spans="1:7" x14ac:dyDescent="0.2">
      <c r="A1481" t="s">
        <v>1</v>
      </c>
      <c r="B1481" t="str">
        <f>"13214461449"</f>
        <v>13214461449</v>
      </c>
      <c r="C1481" t="s">
        <v>1</v>
      </c>
      <c r="D1481" t="s">
        <v>1</v>
      </c>
      <c r="E1481" t="s">
        <v>1</v>
      </c>
      <c r="F1481" t="s">
        <v>0</v>
      </c>
      <c r="G1481" t="str">
        <f>"2018-10-18 15:50:29"</f>
        <v>2018-10-18 15:50:29</v>
      </c>
    </row>
    <row r="1482" spans="1:7" x14ac:dyDescent="0.2">
      <c r="A1482" t="s">
        <v>3114</v>
      </c>
      <c r="B1482" t="str">
        <f>"13654442921"</f>
        <v>13654442921</v>
      </c>
      <c r="C1482" t="str">
        <f>"220721199008281233"</f>
        <v>220721199008281233</v>
      </c>
      <c r="D1482" t="s">
        <v>1</v>
      </c>
      <c r="E1482" t="s">
        <v>1</v>
      </c>
      <c r="F1482" t="s">
        <v>0</v>
      </c>
      <c r="G1482" t="str">
        <f>"2018-10-18 15:51:31"</f>
        <v>2018-10-18 15:51:31</v>
      </c>
    </row>
    <row r="1483" spans="1:7" x14ac:dyDescent="0.2">
      <c r="A1483" t="s">
        <v>3115</v>
      </c>
      <c r="B1483" t="str">
        <f>"15119728416"</f>
        <v>15119728416</v>
      </c>
      <c r="C1483" t="str">
        <f>"440923199407084629"</f>
        <v>440923199407084629</v>
      </c>
      <c r="D1483" t="s">
        <v>1</v>
      </c>
      <c r="E1483" t="s">
        <v>1</v>
      </c>
      <c r="F1483" t="s">
        <v>0</v>
      </c>
      <c r="G1483" t="str">
        <f>"2018-10-18 15:53:21"</f>
        <v>2018-10-18 15:53:21</v>
      </c>
    </row>
    <row r="1484" spans="1:7" x14ac:dyDescent="0.2">
      <c r="A1484" t="s">
        <v>3116</v>
      </c>
      <c r="B1484" t="str">
        <f>"15214088783"</f>
        <v>15214088783</v>
      </c>
      <c r="C1484" t="str">
        <f>"532328199402092518"</f>
        <v>532328199402092518</v>
      </c>
      <c r="D1484" t="s">
        <v>3117</v>
      </c>
      <c r="E1484" t="s">
        <v>3118</v>
      </c>
      <c r="F1484" t="s">
        <v>0</v>
      </c>
      <c r="G1484" t="str">
        <f>"2018-10-18 15:54:09"</f>
        <v>2018-10-18 15:54:09</v>
      </c>
    </row>
    <row r="1485" spans="1:7" x14ac:dyDescent="0.2">
      <c r="A1485" t="s">
        <v>1</v>
      </c>
      <c r="B1485" t="str">
        <f>"18344541041"</f>
        <v>18344541041</v>
      </c>
      <c r="C1485" t="s">
        <v>1</v>
      </c>
      <c r="D1485" t="s">
        <v>1</v>
      </c>
      <c r="E1485" t="s">
        <v>1</v>
      </c>
      <c r="F1485" t="s">
        <v>0</v>
      </c>
      <c r="G1485" t="str">
        <f>"2018-10-19 06:41:27"</f>
        <v>2018-10-19 06:41:27</v>
      </c>
    </row>
    <row r="1486" spans="1:7" x14ac:dyDescent="0.2">
      <c r="A1486" t="s">
        <v>3119</v>
      </c>
      <c r="B1486" t="str">
        <f>"18294578840"</f>
        <v>18294578840</v>
      </c>
      <c r="C1486" t="str">
        <f>"62263019950323161X"</f>
        <v>62263019950323161X</v>
      </c>
      <c r="D1486" t="s">
        <v>1</v>
      </c>
      <c r="E1486" t="s">
        <v>1</v>
      </c>
      <c r="F1486" t="s">
        <v>0</v>
      </c>
      <c r="G1486" t="str">
        <f>"2018-10-18 15:51:26"</f>
        <v>2018-10-18 15:51:26</v>
      </c>
    </row>
    <row r="1487" spans="1:7" x14ac:dyDescent="0.2">
      <c r="A1487" t="s">
        <v>1</v>
      </c>
      <c r="B1487" t="str">
        <f>"13648141025"</f>
        <v>13648141025</v>
      </c>
      <c r="C1487" t="s">
        <v>1</v>
      </c>
      <c r="D1487" t="s">
        <v>1</v>
      </c>
      <c r="E1487" t="s">
        <v>1</v>
      </c>
      <c r="F1487" t="s">
        <v>0</v>
      </c>
      <c r="G1487" t="str">
        <f>"2018-10-18 15:49:59"</f>
        <v>2018-10-18 15:49:59</v>
      </c>
    </row>
    <row r="1488" spans="1:7" x14ac:dyDescent="0.2">
      <c r="A1488" t="s">
        <v>140</v>
      </c>
      <c r="B1488" t="str">
        <f>"13967080341"</f>
        <v>13967080341</v>
      </c>
      <c r="C1488" t="str">
        <f>"332501198507150437"</f>
        <v>332501198507150437</v>
      </c>
      <c r="D1488" t="s">
        <v>3120</v>
      </c>
      <c r="E1488" t="s">
        <v>3121</v>
      </c>
      <c r="F1488" t="s">
        <v>0</v>
      </c>
      <c r="G1488" t="str">
        <f>"2018-10-18 15:54:50"</f>
        <v>2018-10-18 15:54:50</v>
      </c>
    </row>
    <row r="1489" spans="1:7" x14ac:dyDescent="0.2">
      <c r="A1489" t="s">
        <v>1</v>
      </c>
      <c r="B1489" t="str">
        <f>"18757416787"</f>
        <v>18757416787</v>
      </c>
      <c r="C1489" t="s">
        <v>1</v>
      </c>
      <c r="D1489" t="s">
        <v>1</v>
      </c>
      <c r="E1489" t="s">
        <v>1</v>
      </c>
      <c r="F1489" t="s">
        <v>0</v>
      </c>
      <c r="G1489" t="str">
        <f>"2018-10-18 15:49:49"</f>
        <v>2018-10-18 15:49:49</v>
      </c>
    </row>
    <row r="1490" spans="1:7" x14ac:dyDescent="0.2">
      <c r="A1490" t="s">
        <v>3122</v>
      </c>
      <c r="B1490" t="str">
        <f>"15921824381"</f>
        <v>15921824381</v>
      </c>
      <c r="C1490" t="str">
        <f>"321281199802084230"</f>
        <v>321281199802084230</v>
      </c>
      <c r="D1490" t="s">
        <v>1</v>
      </c>
      <c r="E1490" t="s">
        <v>1</v>
      </c>
      <c r="F1490" t="s">
        <v>0</v>
      </c>
      <c r="G1490" t="str">
        <f>"2018-10-18 15:59:49"</f>
        <v>2018-10-18 15:59:49</v>
      </c>
    </row>
    <row r="1491" spans="1:7" x14ac:dyDescent="0.2">
      <c r="A1491" t="s">
        <v>1</v>
      </c>
      <c r="B1491" t="str">
        <f>"13609421390"</f>
        <v>13609421390</v>
      </c>
      <c r="C1491" t="s">
        <v>1</v>
      </c>
      <c r="D1491" t="s">
        <v>1</v>
      </c>
      <c r="E1491" t="s">
        <v>1</v>
      </c>
      <c r="F1491" t="s">
        <v>0</v>
      </c>
      <c r="G1491" t="str">
        <f>"2018-10-18 15:50:13"</f>
        <v>2018-10-18 15:50:13</v>
      </c>
    </row>
    <row r="1492" spans="1:7" x14ac:dyDescent="0.2">
      <c r="A1492" t="s">
        <v>3123</v>
      </c>
      <c r="B1492" t="str">
        <f>"13665360722"</f>
        <v>13665360722</v>
      </c>
      <c r="C1492" t="str">
        <f>"37078119961030277X"</f>
        <v>37078119961030277X</v>
      </c>
      <c r="D1492" t="s">
        <v>1</v>
      </c>
      <c r="E1492" t="s">
        <v>1</v>
      </c>
      <c r="F1492" t="s">
        <v>0</v>
      </c>
      <c r="G1492" t="str">
        <f>"2018-10-18 15:51:45"</f>
        <v>2018-10-18 15:51:45</v>
      </c>
    </row>
    <row r="1493" spans="1:7" x14ac:dyDescent="0.2">
      <c r="A1493" t="s">
        <v>3124</v>
      </c>
      <c r="B1493" t="str">
        <f>"15557811653"</f>
        <v>15557811653</v>
      </c>
      <c r="C1493" t="str">
        <f>"522325199910079810"</f>
        <v>522325199910079810</v>
      </c>
      <c r="D1493" t="s">
        <v>1</v>
      </c>
      <c r="E1493" t="s">
        <v>1</v>
      </c>
      <c r="F1493" t="s">
        <v>0</v>
      </c>
      <c r="G1493" t="str">
        <f>"2018-10-18 15:51:30"</f>
        <v>2018-10-18 15:51:30</v>
      </c>
    </row>
    <row r="1494" spans="1:7" x14ac:dyDescent="0.2">
      <c r="A1494" t="s">
        <v>3125</v>
      </c>
      <c r="B1494" t="str">
        <f>"18784043202"</f>
        <v>18784043202</v>
      </c>
      <c r="C1494" t="str">
        <f>"622822199803111354"</f>
        <v>622822199803111354</v>
      </c>
      <c r="D1494" t="s">
        <v>1</v>
      </c>
      <c r="E1494" t="s">
        <v>1</v>
      </c>
      <c r="F1494" t="s">
        <v>0</v>
      </c>
      <c r="G1494" t="str">
        <f>"2018-10-18 15:54:58"</f>
        <v>2018-10-18 15:54:58</v>
      </c>
    </row>
    <row r="1495" spans="1:7" x14ac:dyDescent="0.2">
      <c r="A1495" t="s">
        <v>3126</v>
      </c>
      <c r="B1495" t="str">
        <f>"15977679591"</f>
        <v>15977679591</v>
      </c>
      <c r="C1495" t="str">
        <f>"452728199106110322"</f>
        <v>452728199106110322</v>
      </c>
      <c r="D1495" t="s">
        <v>3127</v>
      </c>
      <c r="E1495" t="s">
        <v>3128</v>
      </c>
      <c r="F1495" t="s">
        <v>0</v>
      </c>
      <c r="G1495" t="str">
        <f>"2018-11-04 11:26:03"</f>
        <v>2018-11-04 11:26:03</v>
      </c>
    </row>
    <row r="1496" spans="1:7" x14ac:dyDescent="0.2">
      <c r="A1496" t="s">
        <v>3129</v>
      </c>
      <c r="B1496" t="str">
        <f>"18062259318"</f>
        <v>18062259318</v>
      </c>
      <c r="C1496" t="str">
        <f>"420684198603273513"</f>
        <v>420684198603273513</v>
      </c>
      <c r="D1496" t="s">
        <v>3130</v>
      </c>
      <c r="E1496" t="s">
        <v>3131</v>
      </c>
      <c r="F1496" t="s">
        <v>0</v>
      </c>
      <c r="G1496" t="str">
        <f>"2018-10-18 15:51:40"</f>
        <v>2018-10-18 15:51:40</v>
      </c>
    </row>
    <row r="1497" spans="1:7" x14ac:dyDescent="0.2">
      <c r="A1497" t="s">
        <v>3132</v>
      </c>
      <c r="B1497" t="str">
        <f>"13771437907"</f>
        <v>13771437907</v>
      </c>
      <c r="C1497" t="str">
        <f>"320923199107086377"</f>
        <v>320923199107086377</v>
      </c>
      <c r="D1497" t="s">
        <v>1</v>
      </c>
      <c r="E1497" t="s">
        <v>1</v>
      </c>
      <c r="F1497" t="s">
        <v>0</v>
      </c>
      <c r="G1497" t="str">
        <f>"2018-10-18 15:50:02"</f>
        <v>2018-10-18 15:50:02</v>
      </c>
    </row>
    <row r="1498" spans="1:7" x14ac:dyDescent="0.2">
      <c r="A1498" t="s">
        <v>3133</v>
      </c>
      <c r="B1498" t="str">
        <f>"13455092160"</f>
        <v>13455092160</v>
      </c>
      <c r="C1498" t="str">
        <f>"371525198602031038"</f>
        <v>371525198602031038</v>
      </c>
      <c r="D1498" t="s">
        <v>1</v>
      </c>
      <c r="E1498" t="s">
        <v>1</v>
      </c>
      <c r="F1498" t="s">
        <v>0</v>
      </c>
      <c r="G1498" t="str">
        <f>"2018-10-18 15:50:24"</f>
        <v>2018-10-18 15:50:24</v>
      </c>
    </row>
    <row r="1499" spans="1:7" x14ac:dyDescent="0.2">
      <c r="A1499" t="s">
        <v>1</v>
      </c>
      <c r="B1499" t="str">
        <f>"13060527683"</f>
        <v>13060527683</v>
      </c>
      <c r="C1499" t="s">
        <v>1</v>
      </c>
      <c r="D1499" t="s">
        <v>1</v>
      </c>
      <c r="E1499" t="s">
        <v>1</v>
      </c>
      <c r="F1499" t="s">
        <v>0</v>
      </c>
      <c r="G1499" t="str">
        <f>"2018-10-18 15:48:23"</f>
        <v>2018-10-18 15:48:23</v>
      </c>
    </row>
    <row r="1500" spans="1:7" x14ac:dyDescent="0.2">
      <c r="A1500" t="s">
        <v>28</v>
      </c>
      <c r="B1500" t="str">
        <f>"18775692713"</f>
        <v>18775692713</v>
      </c>
      <c r="C1500" t="str">
        <f>"452623199206211836"</f>
        <v>452623199206211836</v>
      </c>
      <c r="D1500" t="s">
        <v>1</v>
      </c>
      <c r="E1500" t="s">
        <v>1</v>
      </c>
      <c r="F1500" t="s">
        <v>0</v>
      </c>
      <c r="G1500" t="str">
        <f>"2018-10-18 16:09:05"</f>
        <v>2018-10-18 16:09:05</v>
      </c>
    </row>
    <row r="1501" spans="1:7" x14ac:dyDescent="0.2">
      <c r="A1501" t="s">
        <v>1381</v>
      </c>
      <c r="B1501" t="str">
        <f>"15935145676"</f>
        <v>15935145676</v>
      </c>
      <c r="C1501" t="str">
        <f>"142223198611076122"</f>
        <v>142223198611076122</v>
      </c>
      <c r="D1501" t="s">
        <v>3134</v>
      </c>
      <c r="E1501" t="s">
        <v>3135</v>
      </c>
      <c r="F1501" t="s">
        <v>0</v>
      </c>
      <c r="G1501" t="str">
        <f>"2018-10-31 15:20:53"</f>
        <v>2018-10-31 15:20:53</v>
      </c>
    </row>
    <row r="1502" spans="1:7" x14ac:dyDescent="0.2">
      <c r="A1502" t="s">
        <v>1637</v>
      </c>
      <c r="B1502" t="str">
        <f>"13846299873"</f>
        <v>13846299873</v>
      </c>
      <c r="C1502" t="str">
        <f>"230227199404081543"</f>
        <v>230227199404081543</v>
      </c>
      <c r="D1502" t="s">
        <v>1</v>
      </c>
      <c r="E1502" t="s">
        <v>1</v>
      </c>
      <c r="F1502" t="s">
        <v>0</v>
      </c>
      <c r="G1502" t="str">
        <f>"2018-10-18 15:50:19"</f>
        <v>2018-10-18 15:50:19</v>
      </c>
    </row>
    <row r="1503" spans="1:7" x14ac:dyDescent="0.2">
      <c r="A1503" t="s">
        <v>3136</v>
      </c>
      <c r="B1503" t="str">
        <f>"13523742960"</f>
        <v>13523742960</v>
      </c>
      <c r="C1503" t="str">
        <f>"41108219860307303X"</f>
        <v>41108219860307303X</v>
      </c>
      <c r="D1503" t="s">
        <v>1</v>
      </c>
      <c r="E1503" t="s">
        <v>1</v>
      </c>
      <c r="F1503" t="s">
        <v>0</v>
      </c>
      <c r="G1503" t="str">
        <f>"2018-10-18 15:48:17"</f>
        <v>2018-10-18 15:48:17</v>
      </c>
    </row>
    <row r="1504" spans="1:7" x14ac:dyDescent="0.2">
      <c r="A1504" t="s">
        <v>116</v>
      </c>
      <c r="B1504" t="str">
        <f>"15097858600"</f>
        <v>15097858600</v>
      </c>
      <c r="C1504" t="str">
        <f>"130823199101180011"</f>
        <v>130823199101180011</v>
      </c>
      <c r="D1504" t="s">
        <v>1</v>
      </c>
      <c r="E1504" t="s">
        <v>1</v>
      </c>
      <c r="F1504" t="s">
        <v>0</v>
      </c>
      <c r="G1504" t="str">
        <f>"2018-10-18 15:51:31"</f>
        <v>2018-10-18 15:51:31</v>
      </c>
    </row>
    <row r="1505" spans="1:7" x14ac:dyDescent="0.2">
      <c r="A1505" t="s">
        <v>3137</v>
      </c>
      <c r="B1505" t="str">
        <f>"13363471583"</f>
        <v>13363471583</v>
      </c>
      <c r="C1505" t="str">
        <f>"142625198406060038"</f>
        <v>142625198406060038</v>
      </c>
      <c r="D1505" t="s">
        <v>3138</v>
      </c>
      <c r="E1505" t="s">
        <v>3139</v>
      </c>
      <c r="F1505" t="s">
        <v>0</v>
      </c>
      <c r="G1505" t="str">
        <f>"2018-10-28 12:28:03"</f>
        <v>2018-10-28 12:28:03</v>
      </c>
    </row>
    <row r="1506" spans="1:7" x14ac:dyDescent="0.2">
      <c r="A1506" t="s">
        <v>3140</v>
      </c>
      <c r="B1506" t="str">
        <f>"18859251127"</f>
        <v>18859251127</v>
      </c>
      <c r="C1506" t="str">
        <f>"511524198204034671"</f>
        <v>511524198204034671</v>
      </c>
      <c r="D1506" t="s">
        <v>1</v>
      </c>
      <c r="E1506" t="s">
        <v>1</v>
      </c>
      <c r="F1506" t="s">
        <v>0</v>
      </c>
      <c r="G1506" t="str">
        <f>"2018-10-18 15:50:18"</f>
        <v>2018-10-18 15:50:18</v>
      </c>
    </row>
    <row r="1507" spans="1:7" x14ac:dyDescent="0.2">
      <c r="A1507" t="s">
        <v>1</v>
      </c>
      <c r="B1507" t="str">
        <f>"13600265859"</f>
        <v>13600265859</v>
      </c>
      <c r="C1507" t="s">
        <v>1</v>
      </c>
      <c r="D1507" t="s">
        <v>1</v>
      </c>
      <c r="E1507" t="s">
        <v>1</v>
      </c>
      <c r="F1507" t="s">
        <v>0</v>
      </c>
      <c r="G1507" t="str">
        <f>"2018-10-18 15:47:47"</f>
        <v>2018-10-18 15:47:47</v>
      </c>
    </row>
    <row r="1508" spans="1:7" x14ac:dyDescent="0.2">
      <c r="A1508" t="s">
        <v>3141</v>
      </c>
      <c r="B1508" t="str">
        <f>"13996486109"</f>
        <v>13996486109</v>
      </c>
      <c r="C1508" t="str">
        <f>"510215198010135016"</f>
        <v>510215198010135016</v>
      </c>
      <c r="D1508" t="s">
        <v>1</v>
      </c>
      <c r="E1508" t="s">
        <v>1</v>
      </c>
      <c r="F1508" t="s">
        <v>0</v>
      </c>
      <c r="G1508" t="str">
        <f>"2018-10-18 15:53:02"</f>
        <v>2018-10-18 15:53:02</v>
      </c>
    </row>
    <row r="1509" spans="1:7" x14ac:dyDescent="0.2">
      <c r="A1509" t="s">
        <v>3142</v>
      </c>
      <c r="B1509" t="str">
        <f>"15879622822"</f>
        <v>15879622822</v>
      </c>
      <c r="C1509" t="str">
        <f>"362402199212121517"</f>
        <v>362402199212121517</v>
      </c>
      <c r="D1509" t="s">
        <v>1</v>
      </c>
      <c r="E1509" t="s">
        <v>1</v>
      </c>
      <c r="F1509" t="s">
        <v>0</v>
      </c>
      <c r="G1509" t="str">
        <f>"2018-10-18 15:59:31"</f>
        <v>2018-10-18 15:59:31</v>
      </c>
    </row>
    <row r="1510" spans="1:7" x14ac:dyDescent="0.2">
      <c r="A1510" t="s">
        <v>3143</v>
      </c>
      <c r="B1510" t="str">
        <f>"15380150318"</f>
        <v>15380150318</v>
      </c>
      <c r="C1510" t="str">
        <f>"320321199406160818"</f>
        <v>320321199406160818</v>
      </c>
      <c r="D1510" t="s">
        <v>1</v>
      </c>
      <c r="E1510" t="s">
        <v>1</v>
      </c>
      <c r="F1510" t="s">
        <v>0</v>
      </c>
      <c r="G1510" t="str">
        <f>"2018-10-18 15:50:28"</f>
        <v>2018-10-18 15:50:28</v>
      </c>
    </row>
    <row r="1511" spans="1:7" x14ac:dyDescent="0.2">
      <c r="A1511" t="s">
        <v>3144</v>
      </c>
      <c r="B1511" t="str">
        <f>"17326979271"</f>
        <v>17326979271</v>
      </c>
      <c r="C1511" t="str">
        <f>"230183199610011613"</f>
        <v>230183199610011613</v>
      </c>
      <c r="D1511" t="s">
        <v>1</v>
      </c>
      <c r="E1511" t="s">
        <v>1</v>
      </c>
      <c r="F1511" t="s">
        <v>0</v>
      </c>
      <c r="G1511" t="str">
        <f>"2018-10-18 15:50:34"</f>
        <v>2018-10-18 15:50:34</v>
      </c>
    </row>
    <row r="1512" spans="1:7" x14ac:dyDescent="0.2">
      <c r="A1512" t="s">
        <v>1</v>
      </c>
      <c r="B1512" t="str">
        <f>"17621764014"</f>
        <v>17621764014</v>
      </c>
      <c r="C1512" t="s">
        <v>1</v>
      </c>
      <c r="D1512" t="s">
        <v>1</v>
      </c>
      <c r="E1512" t="s">
        <v>1</v>
      </c>
      <c r="F1512" t="s">
        <v>0</v>
      </c>
      <c r="G1512" t="str">
        <f>"2018-10-18 15:48:43"</f>
        <v>2018-10-18 15:48:43</v>
      </c>
    </row>
    <row r="1513" spans="1:7" x14ac:dyDescent="0.2">
      <c r="A1513" t="s">
        <v>503</v>
      </c>
      <c r="B1513" t="str">
        <f>"13942706195"</f>
        <v>13942706195</v>
      </c>
      <c r="C1513" t="str">
        <f>"211121199611060220"</f>
        <v>211121199611060220</v>
      </c>
      <c r="D1513" t="s">
        <v>1</v>
      </c>
      <c r="E1513" t="s">
        <v>1</v>
      </c>
      <c r="F1513" t="s">
        <v>0</v>
      </c>
      <c r="G1513" t="str">
        <f>"2018-10-18 15:48:06"</f>
        <v>2018-10-18 15:48:06</v>
      </c>
    </row>
    <row r="1514" spans="1:7" x14ac:dyDescent="0.2">
      <c r="A1514" t="s">
        <v>3145</v>
      </c>
      <c r="B1514" t="str">
        <f>"18105356965"</f>
        <v>18105356965</v>
      </c>
      <c r="C1514" t="str">
        <f>"370686198901163118"</f>
        <v>370686198901163118</v>
      </c>
      <c r="D1514" t="s">
        <v>3146</v>
      </c>
      <c r="E1514" t="s">
        <v>3147</v>
      </c>
      <c r="F1514" t="s">
        <v>0</v>
      </c>
      <c r="G1514" t="str">
        <f>"2018-10-18 15:55:32"</f>
        <v>2018-10-18 15:55:32</v>
      </c>
    </row>
    <row r="1515" spans="1:7" x14ac:dyDescent="0.2">
      <c r="A1515" t="s">
        <v>611</v>
      </c>
      <c r="B1515" t="str">
        <f>"18685968219"</f>
        <v>18685968219</v>
      </c>
      <c r="C1515" t="str">
        <f>"610582199012096529"</f>
        <v>610582199012096529</v>
      </c>
      <c r="D1515" t="s">
        <v>1</v>
      </c>
      <c r="E1515" t="s">
        <v>1</v>
      </c>
      <c r="F1515" t="s">
        <v>0</v>
      </c>
      <c r="G1515" t="str">
        <f>"2018-11-02 07:59:01"</f>
        <v>2018-11-02 07:59:01</v>
      </c>
    </row>
    <row r="1516" spans="1:7" x14ac:dyDescent="0.2">
      <c r="A1516" t="s">
        <v>3148</v>
      </c>
      <c r="B1516" t="str">
        <f>"18669086959"</f>
        <v>18669086959</v>
      </c>
      <c r="C1516" t="str">
        <f>"530425198509120013"</f>
        <v>530425198509120013</v>
      </c>
      <c r="D1516" t="s">
        <v>1</v>
      </c>
      <c r="E1516" t="s">
        <v>1</v>
      </c>
      <c r="F1516" t="s">
        <v>0</v>
      </c>
      <c r="G1516" t="str">
        <f>"2018-10-18 15:53:25"</f>
        <v>2018-10-18 15:53:25</v>
      </c>
    </row>
    <row r="1517" spans="1:7" x14ac:dyDescent="0.2">
      <c r="A1517" t="s">
        <v>1</v>
      </c>
      <c r="B1517" t="str">
        <f>"17602643407"</f>
        <v>17602643407</v>
      </c>
      <c r="C1517" t="s">
        <v>1</v>
      </c>
      <c r="D1517" t="s">
        <v>1</v>
      </c>
      <c r="E1517" t="s">
        <v>1</v>
      </c>
      <c r="F1517" t="s">
        <v>0</v>
      </c>
      <c r="G1517" t="str">
        <f>"2018-10-18 15:46:58"</f>
        <v>2018-10-18 15:46:58</v>
      </c>
    </row>
    <row r="1518" spans="1:7" x14ac:dyDescent="0.2">
      <c r="A1518" t="s">
        <v>3149</v>
      </c>
      <c r="B1518" t="str">
        <f>"15167877373"</f>
        <v>15167877373</v>
      </c>
      <c r="C1518" t="str">
        <f>"330382198308270052"</f>
        <v>330382198308270052</v>
      </c>
      <c r="D1518" t="s">
        <v>1</v>
      </c>
      <c r="E1518" t="s">
        <v>1</v>
      </c>
      <c r="F1518" t="s">
        <v>0</v>
      </c>
      <c r="G1518" t="str">
        <f>"2018-10-18 15:50:19"</f>
        <v>2018-10-18 15:50:19</v>
      </c>
    </row>
    <row r="1519" spans="1:7" x14ac:dyDescent="0.2">
      <c r="A1519" t="s">
        <v>3150</v>
      </c>
      <c r="B1519" t="str">
        <f>"15853668345"</f>
        <v>15853668345</v>
      </c>
      <c r="C1519" t="str">
        <f>"370783199003212142"</f>
        <v>370783199003212142</v>
      </c>
      <c r="D1519" t="s">
        <v>1</v>
      </c>
      <c r="E1519" t="s">
        <v>1</v>
      </c>
      <c r="F1519" t="s">
        <v>0</v>
      </c>
      <c r="G1519" t="str">
        <f>"2018-10-18 15:57:05"</f>
        <v>2018-10-18 15:57:05</v>
      </c>
    </row>
    <row r="1520" spans="1:7" x14ac:dyDescent="0.2">
      <c r="A1520" t="s">
        <v>3151</v>
      </c>
      <c r="B1520" t="str">
        <f>"18662333290"</f>
        <v>18662333290</v>
      </c>
      <c r="C1520" t="str">
        <f>"412828198805200638"</f>
        <v>412828198805200638</v>
      </c>
      <c r="D1520" t="s">
        <v>1</v>
      </c>
      <c r="E1520" t="s">
        <v>1</v>
      </c>
      <c r="F1520" t="s">
        <v>0</v>
      </c>
      <c r="G1520" t="str">
        <f>"2018-11-01 15:08:57"</f>
        <v>2018-11-01 15:08:57</v>
      </c>
    </row>
    <row r="1521" spans="1:7" x14ac:dyDescent="0.2">
      <c r="A1521" t="s">
        <v>3152</v>
      </c>
      <c r="B1521" t="str">
        <f>"13054444984"</f>
        <v>13054444984</v>
      </c>
      <c r="C1521" t="str">
        <f>"440181198705306918"</f>
        <v>440181198705306918</v>
      </c>
      <c r="D1521" t="s">
        <v>1</v>
      </c>
      <c r="E1521" t="s">
        <v>1</v>
      </c>
      <c r="F1521" t="s">
        <v>0</v>
      </c>
      <c r="G1521" t="str">
        <f>"2018-10-18 15:48:06"</f>
        <v>2018-10-18 15:48:06</v>
      </c>
    </row>
    <row r="1522" spans="1:7" x14ac:dyDescent="0.2">
      <c r="A1522" t="s">
        <v>1</v>
      </c>
      <c r="B1522" t="str">
        <f>"15815353751"</f>
        <v>15815353751</v>
      </c>
      <c r="C1522" t="s">
        <v>1</v>
      </c>
      <c r="D1522" t="s">
        <v>1</v>
      </c>
      <c r="E1522" t="s">
        <v>1</v>
      </c>
      <c r="F1522" t="s">
        <v>0</v>
      </c>
      <c r="G1522" t="str">
        <f>"2018-10-18 15:46:37"</f>
        <v>2018-10-18 15:46:37</v>
      </c>
    </row>
    <row r="1523" spans="1:7" x14ac:dyDescent="0.2">
      <c r="A1523" t="s">
        <v>3153</v>
      </c>
      <c r="B1523" t="str">
        <f>"15025239923"</f>
        <v>15025239923</v>
      </c>
      <c r="C1523" t="str">
        <f>"532621198806203533"</f>
        <v>532621198806203533</v>
      </c>
      <c r="D1523" t="s">
        <v>3154</v>
      </c>
      <c r="E1523" t="s">
        <v>3155</v>
      </c>
      <c r="F1523" t="s">
        <v>0</v>
      </c>
      <c r="G1523" t="str">
        <f>"2018-10-18 15:48:46"</f>
        <v>2018-10-18 15:48:46</v>
      </c>
    </row>
    <row r="1524" spans="1:7" x14ac:dyDescent="0.2">
      <c r="A1524" t="s">
        <v>1</v>
      </c>
      <c r="B1524" t="str">
        <f>"18043850793"</f>
        <v>18043850793</v>
      </c>
      <c r="C1524" t="s">
        <v>1</v>
      </c>
      <c r="D1524" t="s">
        <v>1</v>
      </c>
      <c r="E1524" t="s">
        <v>1</v>
      </c>
      <c r="F1524" t="s">
        <v>0</v>
      </c>
      <c r="G1524" t="str">
        <f>"2018-10-18 15:46:27"</f>
        <v>2018-10-18 15:46:27</v>
      </c>
    </row>
    <row r="1525" spans="1:7" x14ac:dyDescent="0.2">
      <c r="A1525" t="s">
        <v>3156</v>
      </c>
      <c r="B1525" t="str">
        <f>"13340979111"</f>
        <v>13340979111</v>
      </c>
      <c r="C1525" t="str">
        <f>"513433199108050046"</f>
        <v>513433199108050046</v>
      </c>
      <c r="D1525" t="s">
        <v>1</v>
      </c>
      <c r="E1525" t="s">
        <v>1</v>
      </c>
      <c r="F1525" t="s">
        <v>0</v>
      </c>
      <c r="G1525" t="str">
        <f>"2018-10-18 21:58:58"</f>
        <v>2018-10-18 21:58:58</v>
      </c>
    </row>
    <row r="1526" spans="1:7" x14ac:dyDescent="0.2">
      <c r="A1526" t="s">
        <v>3157</v>
      </c>
      <c r="B1526" t="str">
        <f>"15581205785"</f>
        <v>15581205785</v>
      </c>
      <c r="C1526" t="str">
        <f>"432503197811011548"</f>
        <v>432503197811011548</v>
      </c>
      <c r="D1526" t="s">
        <v>1</v>
      </c>
      <c r="E1526" t="s">
        <v>1</v>
      </c>
      <c r="F1526" t="s">
        <v>0</v>
      </c>
      <c r="G1526" t="str">
        <f>"2018-10-18 15:47:15"</f>
        <v>2018-10-18 15:47:15</v>
      </c>
    </row>
    <row r="1527" spans="1:7" x14ac:dyDescent="0.2">
      <c r="A1527" t="s">
        <v>3158</v>
      </c>
      <c r="B1527" t="str">
        <f>"18871836996"</f>
        <v>18871836996</v>
      </c>
      <c r="C1527" t="str">
        <f>"422823197511282573"</f>
        <v>422823197511282573</v>
      </c>
      <c r="D1527" t="s">
        <v>1</v>
      </c>
      <c r="E1527" t="s">
        <v>1</v>
      </c>
      <c r="F1527" t="s">
        <v>0</v>
      </c>
      <c r="G1527" t="str">
        <f>"2018-10-18 15:47:58"</f>
        <v>2018-10-18 15:47:58</v>
      </c>
    </row>
    <row r="1528" spans="1:7" x14ac:dyDescent="0.2">
      <c r="A1528" t="s">
        <v>3159</v>
      </c>
      <c r="B1528" t="str">
        <f>"13773394450"</f>
        <v>13773394450</v>
      </c>
      <c r="C1528" t="str">
        <f>"321088198710034868"</f>
        <v>321088198710034868</v>
      </c>
      <c r="D1528" t="s">
        <v>1</v>
      </c>
      <c r="E1528" t="s">
        <v>1</v>
      </c>
      <c r="F1528" t="s">
        <v>0</v>
      </c>
      <c r="G1528" t="str">
        <f>"2018-10-19 08:48:10"</f>
        <v>2018-10-19 08:48:10</v>
      </c>
    </row>
    <row r="1529" spans="1:7" x14ac:dyDescent="0.2">
      <c r="A1529" t="s">
        <v>119</v>
      </c>
      <c r="B1529" t="str">
        <f>"13830283917"</f>
        <v>13830283917</v>
      </c>
      <c r="C1529" t="str">
        <f>"622425198705290013"</f>
        <v>622425198705290013</v>
      </c>
      <c r="D1529" t="s">
        <v>1</v>
      </c>
      <c r="E1529" t="s">
        <v>1</v>
      </c>
      <c r="F1529" t="s">
        <v>0</v>
      </c>
      <c r="G1529" t="str">
        <f>"2018-10-18 15:49:11"</f>
        <v>2018-10-18 15:49:11</v>
      </c>
    </row>
    <row r="1530" spans="1:7" x14ac:dyDescent="0.2">
      <c r="A1530" t="s">
        <v>3160</v>
      </c>
      <c r="B1530" t="str">
        <f>"15255633199"</f>
        <v>15255633199</v>
      </c>
      <c r="C1530" t="str">
        <f>"342601199311114313"</f>
        <v>342601199311114313</v>
      </c>
      <c r="D1530" t="s">
        <v>1</v>
      </c>
      <c r="E1530" t="s">
        <v>1</v>
      </c>
      <c r="F1530" t="s">
        <v>0</v>
      </c>
      <c r="G1530" t="str">
        <f>"2018-10-18 15:47:03"</f>
        <v>2018-10-18 15:47:03</v>
      </c>
    </row>
    <row r="1531" spans="1:7" x14ac:dyDescent="0.2">
      <c r="A1531" t="s">
        <v>3161</v>
      </c>
      <c r="B1531" t="str">
        <f>"18954829997"</f>
        <v>18954829997</v>
      </c>
      <c r="C1531" t="str">
        <f>"370402199508286521"</f>
        <v>370402199508286521</v>
      </c>
      <c r="D1531" t="s">
        <v>1</v>
      </c>
      <c r="E1531" t="s">
        <v>1</v>
      </c>
      <c r="F1531" t="s">
        <v>0</v>
      </c>
      <c r="G1531" t="str">
        <f>"2018-10-18 15:47:28"</f>
        <v>2018-10-18 15:47:28</v>
      </c>
    </row>
    <row r="1532" spans="1:7" x14ac:dyDescent="0.2">
      <c r="A1532" t="s">
        <v>1</v>
      </c>
      <c r="B1532" t="str">
        <f>"18304225250"</f>
        <v>18304225250</v>
      </c>
      <c r="C1532" t="s">
        <v>1</v>
      </c>
      <c r="D1532" t="s">
        <v>1</v>
      </c>
      <c r="E1532" t="s">
        <v>1</v>
      </c>
      <c r="F1532" t="s">
        <v>0</v>
      </c>
      <c r="G1532" t="str">
        <f>"2018-10-18 15:45:52"</f>
        <v>2018-10-18 15:45:52</v>
      </c>
    </row>
    <row r="1533" spans="1:7" x14ac:dyDescent="0.2">
      <c r="A1533" t="s">
        <v>3162</v>
      </c>
      <c r="B1533" t="str">
        <f>"18248020606"</f>
        <v>18248020606</v>
      </c>
      <c r="C1533" t="str">
        <f>"150204199008011530"</f>
        <v>150204199008011530</v>
      </c>
      <c r="D1533" t="s">
        <v>1</v>
      </c>
      <c r="E1533" t="s">
        <v>1</v>
      </c>
      <c r="F1533" t="s">
        <v>0</v>
      </c>
      <c r="G1533" t="str">
        <f>"2018-10-18 15:47:12"</f>
        <v>2018-10-18 15:47:12</v>
      </c>
    </row>
    <row r="1534" spans="1:7" x14ac:dyDescent="0.2">
      <c r="A1534" t="s">
        <v>3163</v>
      </c>
      <c r="B1534" t="str">
        <f>"18628471912"</f>
        <v>18628471912</v>
      </c>
      <c r="C1534" t="str">
        <f>"61043119930501494X"</f>
        <v>61043119930501494X</v>
      </c>
      <c r="D1534" t="s">
        <v>1</v>
      </c>
      <c r="E1534" t="s">
        <v>1</v>
      </c>
      <c r="F1534" t="s">
        <v>0</v>
      </c>
      <c r="G1534" t="str">
        <f>"2018-10-18 15:46:33"</f>
        <v>2018-10-18 15:46:33</v>
      </c>
    </row>
    <row r="1535" spans="1:7" x14ac:dyDescent="0.2">
      <c r="A1535" t="s">
        <v>3164</v>
      </c>
      <c r="B1535" t="str">
        <f>"15212286158"</f>
        <v>15212286158</v>
      </c>
      <c r="C1535" t="str">
        <f>"340221198004226259"</f>
        <v>340221198004226259</v>
      </c>
      <c r="D1535" t="s">
        <v>3165</v>
      </c>
      <c r="E1535" t="s">
        <v>3166</v>
      </c>
      <c r="F1535" t="s">
        <v>0</v>
      </c>
      <c r="G1535" t="str">
        <f>"2018-10-18 15:45:46"</f>
        <v>2018-10-18 15:45:46</v>
      </c>
    </row>
    <row r="1536" spans="1:7" x14ac:dyDescent="0.2">
      <c r="A1536" t="s">
        <v>3167</v>
      </c>
      <c r="B1536" t="str">
        <f>"13619203360"</f>
        <v>13619203360</v>
      </c>
      <c r="C1536" t="str">
        <f>"610428198402261632"</f>
        <v>610428198402261632</v>
      </c>
      <c r="D1536" t="s">
        <v>3168</v>
      </c>
      <c r="E1536" t="s">
        <v>3169</v>
      </c>
      <c r="F1536" t="s">
        <v>0</v>
      </c>
      <c r="G1536" t="str">
        <f>"2018-10-18 18:04:08"</f>
        <v>2018-10-18 18:04:08</v>
      </c>
    </row>
    <row r="1537" spans="1:7" x14ac:dyDescent="0.2">
      <c r="A1537" t="s">
        <v>1</v>
      </c>
      <c r="B1537" t="str">
        <f>"17714181507"</f>
        <v>17714181507</v>
      </c>
      <c r="C1537" t="s">
        <v>1</v>
      </c>
      <c r="D1537" t="s">
        <v>1</v>
      </c>
      <c r="E1537" t="s">
        <v>1</v>
      </c>
      <c r="F1537" t="s">
        <v>0</v>
      </c>
      <c r="G1537" t="str">
        <f>"2018-10-18 15:53:01"</f>
        <v>2018-10-18 15:53:01</v>
      </c>
    </row>
    <row r="1538" spans="1:7" x14ac:dyDescent="0.2">
      <c r="A1538" t="s">
        <v>3170</v>
      </c>
      <c r="B1538" t="str">
        <f>"13731404300"</f>
        <v>13731404300</v>
      </c>
      <c r="C1538" t="str">
        <f>"130828198501300016"</f>
        <v>130828198501300016</v>
      </c>
      <c r="D1538" t="s">
        <v>1</v>
      </c>
      <c r="E1538" t="s">
        <v>1</v>
      </c>
      <c r="F1538" t="s">
        <v>0</v>
      </c>
      <c r="G1538" t="str">
        <f>"2018-10-18 15:47:57"</f>
        <v>2018-10-18 15:47:57</v>
      </c>
    </row>
    <row r="1539" spans="1:7" x14ac:dyDescent="0.2">
      <c r="A1539" t="s">
        <v>3171</v>
      </c>
      <c r="B1539" t="str">
        <f>"15198944253"</f>
        <v>15198944253</v>
      </c>
      <c r="C1539" t="str">
        <f>"530128198801041235"</f>
        <v>530128198801041235</v>
      </c>
      <c r="D1539" t="s">
        <v>1</v>
      </c>
      <c r="E1539" t="s">
        <v>1</v>
      </c>
      <c r="F1539" t="s">
        <v>0</v>
      </c>
      <c r="G1539" t="str">
        <f>"2018-10-26 12:14:05"</f>
        <v>2018-10-26 12:14:05</v>
      </c>
    </row>
    <row r="1540" spans="1:7" x14ac:dyDescent="0.2">
      <c r="A1540" t="s">
        <v>3172</v>
      </c>
      <c r="B1540" t="str">
        <f>"13572022464"</f>
        <v>13572022464</v>
      </c>
      <c r="C1540" t="str">
        <f>"610102198608130611"</f>
        <v>610102198608130611</v>
      </c>
      <c r="D1540" t="s">
        <v>1</v>
      </c>
      <c r="E1540" t="s">
        <v>1</v>
      </c>
      <c r="F1540" t="s">
        <v>0</v>
      </c>
      <c r="G1540" t="str">
        <f>"2018-10-18 15:45:33"</f>
        <v>2018-10-18 15:45:33</v>
      </c>
    </row>
    <row r="1541" spans="1:7" x14ac:dyDescent="0.2">
      <c r="A1541" t="s">
        <v>1</v>
      </c>
      <c r="B1541" t="str">
        <f>"18823187765"</f>
        <v>18823187765</v>
      </c>
      <c r="C1541" t="s">
        <v>1</v>
      </c>
      <c r="D1541" t="s">
        <v>1</v>
      </c>
      <c r="E1541" t="s">
        <v>1</v>
      </c>
      <c r="F1541" t="s">
        <v>0</v>
      </c>
      <c r="G1541" t="str">
        <f>"2018-10-18 15:45:26"</f>
        <v>2018-10-18 15:45:26</v>
      </c>
    </row>
    <row r="1542" spans="1:7" x14ac:dyDescent="0.2">
      <c r="A1542" t="s">
        <v>3173</v>
      </c>
      <c r="B1542" t="str">
        <f>"17777134795"</f>
        <v>17777134795</v>
      </c>
      <c r="C1542" t="str">
        <f>"452129198504100225"</f>
        <v>452129198504100225</v>
      </c>
      <c r="D1542" t="s">
        <v>1</v>
      </c>
      <c r="E1542" t="s">
        <v>1</v>
      </c>
      <c r="F1542" t="s">
        <v>0</v>
      </c>
      <c r="G1542" t="str">
        <f>"2018-10-18 15:49:16"</f>
        <v>2018-10-18 15:49:16</v>
      </c>
    </row>
    <row r="1543" spans="1:7" x14ac:dyDescent="0.2">
      <c r="A1543" t="s">
        <v>1</v>
      </c>
      <c r="B1543" t="str">
        <f>"15128193610"</f>
        <v>15128193610</v>
      </c>
      <c r="C1543" t="s">
        <v>1</v>
      </c>
      <c r="D1543" t="s">
        <v>1</v>
      </c>
      <c r="E1543" t="s">
        <v>1</v>
      </c>
      <c r="F1543" t="s">
        <v>0</v>
      </c>
      <c r="G1543" t="str">
        <f>"2018-10-18 15:45:00"</f>
        <v>2018-10-18 15:45:00</v>
      </c>
    </row>
    <row r="1544" spans="1:7" x14ac:dyDescent="0.2">
      <c r="A1544" t="s">
        <v>3174</v>
      </c>
      <c r="B1544" t="str">
        <f>"15528952817"</f>
        <v>15528952817</v>
      </c>
      <c r="C1544" t="str">
        <f>"511521199008155113"</f>
        <v>511521199008155113</v>
      </c>
      <c r="D1544" t="s">
        <v>1</v>
      </c>
      <c r="E1544" t="s">
        <v>1</v>
      </c>
      <c r="F1544" t="s">
        <v>0</v>
      </c>
      <c r="G1544" t="str">
        <f>"2018-10-18 17:08:30"</f>
        <v>2018-10-18 17:08:30</v>
      </c>
    </row>
    <row r="1545" spans="1:7" x14ac:dyDescent="0.2">
      <c r="A1545" t="s">
        <v>3175</v>
      </c>
      <c r="B1545" t="str">
        <f>"18560924245"</f>
        <v>18560924245</v>
      </c>
      <c r="C1545" t="str">
        <f>"371021197711175033"</f>
        <v>371021197711175033</v>
      </c>
      <c r="D1545" t="s">
        <v>1</v>
      </c>
      <c r="E1545" t="s">
        <v>1</v>
      </c>
      <c r="F1545" t="s">
        <v>0</v>
      </c>
      <c r="G1545" t="str">
        <f>"2018-10-18 15:46:48"</f>
        <v>2018-10-18 15:46:48</v>
      </c>
    </row>
    <row r="1546" spans="1:7" x14ac:dyDescent="0.2">
      <c r="A1546" t="s">
        <v>3176</v>
      </c>
      <c r="B1546" t="str">
        <f>"13819271820"</f>
        <v>13819271820</v>
      </c>
      <c r="C1546" t="str">
        <f>"522425199408150082"</f>
        <v>522425199408150082</v>
      </c>
      <c r="D1546" t="s">
        <v>1</v>
      </c>
      <c r="E1546" t="s">
        <v>1</v>
      </c>
      <c r="F1546" t="s">
        <v>0</v>
      </c>
      <c r="G1546" t="str">
        <f>"2018-10-18 15:44:47"</f>
        <v>2018-10-18 15:44:47</v>
      </c>
    </row>
    <row r="1547" spans="1:7" x14ac:dyDescent="0.2">
      <c r="A1547" t="s">
        <v>1</v>
      </c>
      <c r="B1547" t="str">
        <f>"18259158465"</f>
        <v>18259158465</v>
      </c>
      <c r="C1547" t="s">
        <v>1</v>
      </c>
      <c r="D1547" t="s">
        <v>1</v>
      </c>
      <c r="E1547" t="s">
        <v>1</v>
      </c>
      <c r="F1547" t="s">
        <v>0</v>
      </c>
      <c r="G1547" t="str">
        <f>"2018-10-18 15:44:41"</f>
        <v>2018-10-18 15:44:41</v>
      </c>
    </row>
    <row r="1548" spans="1:7" x14ac:dyDescent="0.2">
      <c r="A1548" t="s">
        <v>3177</v>
      </c>
      <c r="B1548" t="str">
        <f>"18287637808"</f>
        <v>18287637808</v>
      </c>
      <c r="C1548" t="str">
        <f>"532621198308230336"</f>
        <v>532621198308230336</v>
      </c>
      <c r="D1548" t="s">
        <v>1</v>
      </c>
      <c r="E1548" t="s">
        <v>1</v>
      </c>
      <c r="F1548" t="s">
        <v>0</v>
      </c>
      <c r="G1548" t="str">
        <f>"2018-10-18 15:46:14"</f>
        <v>2018-10-18 15:46:14</v>
      </c>
    </row>
    <row r="1549" spans="1:7" x14ac:dyDescent="0.2">
      <c r="A1549" t="s">
        <v>3178</v>
      </c>
      <c r="B1549" t="str">
        <f>"18397856414"</f>
        <v>18397856414</v>
      </c>
      <c r="C1549" t="str">
        <f>"362204199507303715"</f>
        <v>362204199507303715</v>
      </c>
      <c r="D1549" t="s">
        <v>1</v>
      </c>
      <c r="E1549" t="s">
        <v>1</v>
      </c>
      <c r="F1549" t="s">
        <v>0</v>
      </c>
      <c r="G1549" t="str">
        <f>"2018-10-18 15:45:34"</f>
        <v>2018-10-18 15:45:34</v>
      </c>
    </row>
    <row r="1550" spans="1:7" x14ac:dyDescent="0.2">
      <c r="A1550" t="s">
        <v>3179</v>
      </c>
      <c r="B1550" t="str">
        <f>"18060268866"</f>
        <v>18060268866</v>
      </c>
      <c r="C1550" t="str">
        <f>"350623199305155715"</f>
        <v>350623199305155715</v>
      </c>
      <c r="D1550" t="s">
        <v>1</v>
      </c>
      <c r="E1550" t="s">
        <v>1</v>
      </c>
      <c r="F1550" t="s">
        <v>0</v>
      </c>
      <c r="G1550" t="str">
        <f>"2018-10-18 15:49:50"</f>
        <v>2018-10-18 15:49:50</v>
      </c>
    </row>
    <row r="1551" spans="1:7" x14ac:dyDescent="0.2">
      <c r="A1551" t="s">
        <v>3180</v>
      </c>
      <c r="B1551" t="str">
        <f>"18802405101"</f>
        <v>18802405101</v>
      </c>
      <c r="C1551" t="str">
        <f>"22082119950802751X"</f>
        <v>22082119950802751X</v>
      </c>
      <c r="D1551" t="s">
        <v>1</v>
      </c>
      <c r="E1551" t="s">
        <v>1</v>
      </c>
      <c r="F1551" t="s">
        <v>0</v>
      </c>
      <c r="G1551" t="str">
        <f>"2018-10-18 20:03:21"</f>
        <v>2018-10-18 20:03:21</v>
      </c>
    </row>
    <row r="1552" spans="1:7" x14ac:dyDescent="0.2">
      <c r="A1552" t="s">
        <v>1708</v>
      </c>
      <c r="B1552" t="str">
        <f>"13831888211"</f>
        <v>13831888211</v>
      </c>
      <c r="C1552" t="str">
        <f>"133025198205076419"</f>
        <v>133025198205076419</v>
      </c>
      <c r="D1552" t="s">
        <v>1</v>
      </c>
      <c r="E1552" t="s">
        <v>1</v>
      </c>
      <c r="F1552" t="s">
        <v>0</v>
      </c>
      <c r="G1552" t="str">
        <f>"2018-10-18 15:47:33"</f>
        <v>2018-10-18 15:47:33</v>
      </c>
    </row>
    <row r="1553" spans="1:7" x14ac:dyDescent="0.2">
      <c r="A1553" t="s">
        <v>3181</v>
      </c>
      <c r="B1553" t="str">
        <f>"17628003653"</f>
        <v>17628003653</v>
      </c>
      <c r="C1553" t="str">
        <f>"43082219971117801X"</f>
        <v>43082219971117801X</v>
      </c>
      <c r="D1553" t="s">
        <v>1</v>
      </c>
      <c r="E1553" t="s">
        <v>1</v>
      </c>
      <c r="F1553" t="s">
        <v>0</v>
      </c>
      <c r="G1553" t="str">
        <f>"2018-10-18 15:48:16"</f>
        <v>2018-10-18 15:48:16</v>
      </c>
    </row>
    <row r="1554" spans="1:7" x14ac:dyDescent="0.2">
      <c r="A1554" t="s">
        <v>3182</v>
      </c>
      <c r="B1554" t="str">
        <f>"13593741466"</f>
        <v>13593741466</v>
      </c>
      <c r="C1554" t="str">
        <f>"420321198706034134"</f>
        <v>420321198706034134</v>
      </c>
      <c r="D1554" t="s">
        <v>3183</v>
      </c>
      <c r="E1554" t="s">
        <v>3184</v>
      </c>
      <c r="F1554" t="s">
        <v>0</v>
      </c>
      <c r="G1554" t="str">
        <f>"2018-10-18 15:46:22"</f>
        <v>2018-10-18 15:46:22</v>
      </c>
    </row>
    <row r="1555" spans="1:7" x14ac:dyDescent="0.2">
      <c r="A1555" t="s">
        <v>3185</v>
      </c>
      <c r="B1555" t="str">
        <f>"17771443150"</f>
        <v>17771443150</v>
      </c>
      <c r="C1555" t="str">
        <f>"420114199201275127"</f>
        <v>420114199201275127</v>
      </c>
      <c r="D1555" t="s">
        <v>1</v>
      </c>
      <c r="E1555" t="s">
        <v>1</v>
      </c>
      <c r="F1555" t="s">
        <v>0</v>
      </c>
      <c r="G1555" t="str">
        <f>"2018-10-18 15:45:18"</f>
        <v>2018-10-18 15:45:18</v>
      </c>
    </row>
    <row r="1556" spans="1:7" x14ac:dyDescent="0.2">
      <c r="A1556" t="s">
        <v>3186</v>
      </c>
      <c r="B1556" t="str">
        <f>"18080197022"</f>
        <v>18080197022</v>
      </c>
      <c r="C1556" t="str">
        <f>"511023198506295638"</f>
        <v>511023198506295638</v>
      </c>
      <c r="D1556" t="s">
        <v>1</v>
      </c>
      <c r="E1556" t="s">
        <v>1</v>
      </c>
      <c r="F1556" t="s">
        <v>0</v>
      </c>
      <c r="G1556" t="str">
        <f>"2018-10-19 12:11:42"</f>
        <v>2018-10-19 12:11:42</v>
      </c>
    </row>
    <row r="1557" spans="1:7" x14ac:dyDescent="0.2">
      <c r="A1557" t="s">
        <v>1139</v>
      </c>
      <c r="B1557" t="str">
        <f>"17688902984"</f>
        <v>17688902984</v>
      </c>
      <c r="C1557" t="str">
        <f>"362322199411226610"</f>
        <v>362322199411226610</v>
      </c>
      <c r="D1557" t="s">
        <v>1</v>
      </c>
      <c r="E1557" t="s">
        <v>1</v>
      </c>
      <c r="F1557" t="s">
        <v>0</v>
      </c>
      <c r="G1557" t="str">
        <f>"2018-10-18 15:44:18"</f>
        <v>2018-10-18 15:44:18</v>
      </c>
    </row>
    <row r="1558" spans="1:7" x14ac:dyDescent="0.2">
      <c r="A1558" t="s">
        <v>1</v>
      </c>
      <c r="B1558" t="str">
        <f>"13040750193"</f>
        <v>13040750193</v>
      </c>
      <c r="C1558" t="s">
        <v>1</v>
      </c>
      <c r="D1558" t="s">
        <v>1</v>
      </c>
      <c r="E1558" t="s">
        <v>1</v>
      </c>
      <c r="F1558" t="s">
        <v>0</v>
      </c>
      <c r="G1558" t="str">
        <f>"2018-10-18 15:44:14"</f>
        <v>2018-10-18 15:44:14</v>
      </c>
    </row>
    <row r="1559" spans="1:7" x14ac:dyDescent="0.2">
      <c r="A1559" t="s">
        <v>3187</v>
      </c>
      <c r="B1559" t="str">
        <f>"13530119190"</f>
        <v>13530119190</v>
      </c>
      <c r="C1559" t="str">
        <f>"441422199405300938"</f>
        <v>441422199405300938</v>
      </c>
      <c r="D1559" t="s">
        <v>3188</v>
      </c>
      <c r="E1559" t="s">
        <v>3189</v>
      </c>
      <c r="F1559" t="s">
        <v>0</v>
      </c>
      <c r="G1559" t="str">
        <f>"2018-10-18 18:03:59"</f>
        <v>2018-10-18 18:03:59</v>
      </c>
    </row>
    <row r="1560" spans="1:7" x14ac:dyDescent="0.2">
      <c r="A1560" t="s">
        <v>1</v>
      </c>
      <c r="B1560" t="str">
        <f>"15812106574"</f>
        <v>15812106574</v>
      </c>
      <c r="C1560" t="s">
        <v>1</v>
      </c>
      <c r="D1560" t="s">
        <v>1</v>
      </c>
      <c r="E1560" t="s">
        <v>1</v>
      </c>
      <c r="F1560" t="s">
        <v>0</v>
      </c>
      <c r="G1560" t="str">
        <f>"2018-10-18 15:44:07"</f>
        <v>2018-10-18 15:44:07</v>
      </c>
    </row>
    <row r="1561" spans="1:7" x14ac:dyDescent="0.2">
      <c r="A1561" t="s">
        <v>334</v>
      </c>
      <c r="B1561" t="str">
        <f>"17748239470"</f>
        <v>17748239470</v>
      </c>
      <c r="C1561" t="str">
        <f>"152825198707013027"</f>
        <v>152825198707013027</v>
      </c>
      <c r="D1561" t="s">
        <v>3190</v>
      </c>
      <c r="E1561" t="s">
        <v>3191</v>
      </c>
      <c r="F1561" t="s">
        <v>0</v>
      </c>
      <c r="G1561" t="str">
        <f>"2018-10-18 15:44:06"</f>
        <v>2018-10-18 15:44:06</v>
      </c>
    </row>
    <row r="1562" spans="1:7" x14ac:dyDescent="0.2">
      <c r="A1562" t="s">
        <v>3192</v>
      </c>
      <c r="B1562" t="str">
        <f>"18518319117"</f>
        <v>18518319117</v>
      </c>
      <c r="C1562" t="str">
        <f>"652301199302062810"</f>
        <v>652301199302062810</v>
      </c>
      <c r="D1562" t="s">
        <v>3193</v>
      </c>
      <c r="E1562" t="s">
        <v>3194</v>
      </c>
      <c r="F1562" t="s">
        <v>0</v>
      </c>
      <c r="G1562" t="str">
        <f>"2018-10-18 15:46:15"</f>
        <v>2018-10-18 15:46:15</v>
      </c>
    </row>
    <row r="1563" spans="1:7" x14ac:dyDescent="0.2">
      <c r="A1563" t="s">
        <v>3195</v>
      </c>
      <c r="B1563" t="str">
        <f>"13837969444"</f>
        <v>13837969444</v>
      </c>
      <c r="C1563" t="str">
        <f>"410306199203240533"</f>
        <v>410306199203240533</v>
      </c>
      <c r="D1563" t="s">
        <v>1</v>
      </c>
      <c r="E1563" t="s">
        <v>1</v>
      </c>
      <c r="F1563" t="s">
        <v>0</v>
      </c>
      <c r="G1563" t="str">
        <f>"2018-10-18 15:46:12"</f>
        <v>2018-10-18 15:46:12</v>
      </c>
    </row>
    <row r="1564" spans="1:7" x14ac:dyDescent="0.2">
      <c r="A1564" t="s">
        <v>28</v>
      </c>
      <c r="B1564" t="str">
        <f>"18041930212"</f>
        <v>18041930212</v>
      </c>
      <c r="C1564" t="str">
        <f>"211481199502254037"</f>
        <v>211481199502254037</v>
      </c>
      <c r="D1564" t="s">
        <v>1</v>
      </c>
      <c r="E1564" t="s">
        <v>1</v>
      </c>
      <c r="F1564" t="s">
        <v>0</v>
      </c>
      <c r="G1564" t="str">
        <f>"2018-10-18 15:44:41"</f>
        <v>2018-10-18 15:44:41</v>
      </c>
    </row>
    <row r="1565" spans="1:7" x14ac:dyDescent="0.2">
      <c r="A1565" t="s">
        <v>3196</v>
      </c>
      <c r="B1565" t="str">
        <f>"18166314889"</f>
        <v>18166314889</v>
      </c>
      <c r="C1565" t="str">
        <f>"500107199003267712"</f>
        <v>500107199003267712</v>
      </c>
      <c r="D1565" t="s">
        <v>1</v>
      </c>
      <c r="E1565" t="s">
        <v>1</v>
      </c>
      <c r="F1565" t="s">
        <v>0</v>
      </c>
      <c r="G1565" t="str">
        <f>"2018-10-18 15:55:40"</f>
        <v>2018-10-18 15:55:40</v>
      </c>
    </row>
    <row r="1566" spans="1:7" x14ac:dyDescent="0.2">
      <c r="A1566" t="s">
        <v>331</v>
      </c>
      <c r="B1566" t="str">
        <f>"17610640909"</f>
        <v>17610640909</v>
      </c>
      <c r="C1566" t="str">
        <f>"210321198403051018"</f>
        <v>210321198403051018</v>
      </c>
      <c r="D1566" t="s">
        <v>1</v>
      </c>
      <c r="E1566" t="s">
        <v>1</v>
      </c>
      <c r="F1566" t="s">
        <v>0</v>
      </c>
      <c r="G1566" t="str">
        <f>"2018-10-18 15:46:32"</f>
        <v>2018-10-18 15:46:32</v>
      </c>
    </row>
    <row r="1567" spans="1:7" x14ac:dyDescent="0.2">
      <c r="A1567" t="s">
        <v>929</v>
      </c>
      <c r="B1567" t="str">
        <f>"17609886202"</f>
        <v>17609886202</v>
      </c>
      <c r="C1567" t="str">
        <f>"230229199511281711"</f>
        <v>230229199511281711</v>
      </c>
      <c r="D1567" t="s">
        <v>1</v>
      </c>
      <c r="E1567" t="s">
        <v>1</v>
      </c>
      <c r="F1567" t="s">
        <v>0</v>
      </c>
      <c r="G1567" t="str">
        <f>"2018-10-18 15:47:11"</f>
        <v>2018-10-18 15:47:11</v>
      </c>
    </row>
    <row r="1568" spans="1:7" x14ac:dyDescent="0.2">
      <c r="A1568" t="s">
        <v>3197</v>
      </c>
      <c r="B1568" t="str">
        <f>"17390068077"</f>
        <v>17390068077</v>
      </c>
      <c r="C1568" t="str">
        <f>"220102199305205913"</f>
        <v>220102199305205913</v>
      </c>
      <c r="D1568" t="s">
        <v>1</v>
      </c>
      <c r="E1568" t="s">
        <v>1</v>
      </c>
      <c r="F1568" t="s">
        <v>0</v>
      </c>
      <c r="G1568" t="str">
        <f>"2018-10-18 16:07:17"</f>
        <v>2018-10-18 16:07:17</v>
      </c>
    </row>
    <row r="1569" spans="1:7" x14ac:dyDescent="0.2">
      <c r="A1569" t="s">
        <v>3198</v>
      </c>
      <c r="B1569" t="str">
        <f>"18641249900"</f>
        <v>18641249900</v>
      </c>
      <c r="C1569" t="str">
        <f>"210311197807300052"</f>
        <v>210311197807300052</v>
      </c>
      <c r="D1569" t="s">
        <v>1</v>
      </c>
      <c r="E1569" t="s">
        <v>1</v>
      </c>
      <c r="F1569" t="s">
        <v>0</v>
      </c>
      <c r="G1569" t="str">
        <f>"2018-10-18 15:45:29"</f>
        <v>2018-10-18 15:45:29</v>
      </c>
    </row>
    <row r="1570" spans="1:7" x14ac:dyDescent="0.2">
      <c r="A1570" t="s">
        <v>3199</v>
      </c>
      <c r="B1570" t="str">
        <f>"13038547126"</f>
        <v>13038547126</v>
      </c>
      <c r="C1570" t="str">
        <f>"610422199111292750"</f>
        <v>610422199111292750</v>
      </c>
      <c r="D1570" t="s">
        <v>1</v>
      </c>
      <c r="E1570" t="s">
        <v>1</v>
      </c>
      <c r="F1570" t="s">
        <v>0</v>
      </c>
      <c r="G1570" t="str">
        <f>"2018-10-18 15:45:56"</f>
        <v>2018-10-18 15:45:56</v>
      </c>
    </row>
    <row r="1571" spans="1:7" x14ac:dyDescent="0.2">
      <c r="A1571" t="s">
        <v>3200</v>
      </c>
      <c r="B1571" t="str">
        <f>"18804456163"</f>
        <v>18804456163</v>
      </c>
      <c r="C1571" t="str">
        <f>"220702197408034815"</f>
        <v>220702197408034815</v>
      </c>
      <c r="D1571" t="s">
        <v>1</v>
      </c>
      <c r="E1571" t="s">
        <v>1</v>
      </c>
      <c r="F1571" t="s">
        <v>0</v>
      </c>
      <c r="G1571" t="str">
        <f>"2018-10-18 15:44:25"</f>
        <v>2018-10-18 15:44:25</v>
      </c>
    </row>
    <row r="1572" spans="1:7" x14ac:dyDescent="0.2">
      <c r="A1572" t="s">
        <v>1</v>
      </c>
      <c r="B1572" t="str">
        <f>"18300412323"</f>
        <v>18300412323</v>
      </c>
      <c r="C1572" t="s">
        <v>1</v>
      </c>
      <c r="D1572" t="s">
        <v>1</v>
      </c>
      <c r="E1572" t="s">
        <v>1</v>
      </c>
      <c r="F1572" t="s">
        <v>0</v>
      </c>
      <c r="G1572" t="str">
        <f>"2018-10-18 15:45:17"</f>
        <v>2018-10-18 15:45:17</v>
      </c>
    </row>
    <row r="1573" spans="1:7" x14ac:dyDescent="0.2">
      <c r="A1573" t="s">
        <v>1</v>
      </c>
      <c r="B1573" t="str">
        <f>"15912197808"</f>
        <v>15912197808</v>
      </c>
      <c r="C1573" t="s">
        <v>1</v>
      </c>
      <c r="D1573" t="s">
        <v>1</v>
      </c>
      <c r="E1573" t="s">
        <v>1</v>
      </c>
      <c r="F1573" t="s">
        <v>0</v>
      </c>
      <c r="G1573" t="str">
        <f>"2018-10-18 15:43:13"</f>
        <v>2018-10-18 15:43:13</v>
      </c>
    </row>
    <row r="1574" spans="1:7" x14ac:dyDescent="0.2">
      <c r="A1574" t="s">
        <v>3201</v>
      </c>
      <c r="B1574" t="str">
        <f>"15258509995"</f>
        <v>15258509995</v>
      </c>
      <c r="C1574" t="str">
        <f>"330623197901136710"</f>
        <v>330623197901136710</v>
      </c>
      <c r="D1574" t="s">
        <v>1</v>
      </c>
      <c r="E1574" t="s">
        <v>1</v>
      </c>
      <c r="F1574" t="s">
        <v>0</v>
      </c>
      <c r="G1574" t="str">
        <f>"2018-10-31 13:13:31"</f>
        <v>2018-10-31 13:13:31</v>
      </c>
    </row>
    <row r="1575" spans="1:7" x14ac:dyDescent="0.2">
      <c r="A1575" t="s">
        <v>1638</v>
      </c>
      <c r="B1575" t="str">
        <f>"18042952112"</f>
        <v>18042952112</v>
      </c>
      <c r="C1575" t="str">
        <f>"211481199512254014"</f>
        <v>211481199512254014</v>
      </c>
      <c r="D1575" t="s">
        <v>1</v>
      </c>
      <c r="E1575" t="s">
        <v>1</v>
      </c>
      <c r="F1575" t="s">
        <v>0</v>
      </c>
      <c r="G1575" t="str">
        <f>"2018-10-18 15:48:11"</f>
        <v>2018-10-18 15:48:11</v>
      </c>
    </row>
    <row r="1576" spans="1:7" x14ac:dyDescent="0.2">
      <c r="A1576" t="s">
        <v>1</v>
      </c>
      <c r="B1576" t="str">
        <f>"15173055157"</f>
        <v>15173055157</v>
      </c>
      <c r="C1576" t="s">
        <v>1</v>
      </c>
      <c r="D1576" t="s">
        <v>1</v>
      </c>
      <c r="E1576" t="s">
        <v>1</v>
      </c>
      <c r="F1576" t="s">
        <v>0</v>
      </c>
      <c r="G1576" t="str">
        <f>"2018-10-18 15:46:18"</f>
        <v>2018-10-18 15:46:18</v>
      </c>
    </row>
    <row r="1577" spans="1:7" x14ac:dyDescent="0.2">
      <c r="A1577" t="s">
        <v>3202</v>
      </c>
      <c r="B1577" t="str">
        <f>"13860513510"</f>
        <v>13860513510</v>
      </c>
      <c r="C1577" t="str">
        <f>"350426198308253517"</f>
        <v>350426198308253517</v>
      </c>
      <c r="D1577" t="s">
        <v>3203</v>
      </c>
      <c r="E1577" t="s">
        <v>3204</v>
      </c>
      <c r="F1577" t="s">
        <v>0</v>
      </c>
      <c r="G1577" t="str">
        <f>"2018-10-18 15:50:16"</f>
        <v>2018-10-18 15:50:16</v>
      </c>
    </row>
    <row r="1578" spans="1:7" x14ac:dyDescent="0.2">
      <c r="A1578" t="s">
        <v>1</v>
      </c>
      <c r="B1578" t="str">
        <f>"15099889742"</f>
        <v>15099889742</v>
      </c>
      <c r="C1578" t="s">
        <v>1</v>
      </c>
      <c r="D1578" t="s">
        <v>1</v>
      </c>
      <c r="E1578" t="s">
        <v>1</v>
      </c>
      <c r="F1578" t="s">
        <v>0</v>
      </c>
      <c r="G1578" t="str">
        <f>"2018-10-18 16:42:59"</f>
        <v>2018-10-18 16:42:59</v>
      </c>
    </row>
    <row r="1579" spans="1:7" x14ac:dyDescent="0.2">
      <c r="A1579" t="s">
        <v>137</v>
      </c>
      <c r="B1579" t="str">
        <f>"18563847185"</f>
        <v>18563847185</v>
      </c>
      <c r="C1579" t="str">
        <f>"370685198805211312"</f>
        <v>370685198805211312</v>
      </c>
      <c r="D1579" t="s">
        <v>1</v>
      </c>
      <c r="E1579" t="s">
        <v>1</v>
      </c>
      <c r="F1579" t="s">
        <v>0</v>
      </c>
      <c r="G1579" t="str">
        <f>"2018-10-18 18:12:58"</f>
        <v>2018-10-18 18:12:58</v>
      </c>
    </row>
    <row r="1580" spans="1:7" x14ac:dyDescent="0.2">
      <c r="A1580" t="s">
        <v>3205</v>
      </c>
      <c r="B1580" t="str">
        <f>"13125163537"</f>
        <v>13125163537</v>
      </c>
      <c r="C1580" t="str">
        <f>"420922199006188291"</f>
        <v>420922199006188291</v>
      </c>
      <c r="D1580" t="s">
        <v>3206</v>
      </c>
      <c r="E1580" t="s">
        <v>3207</v>
      </c>
      <c r="F1580" t="s">
        <v>0</v>
      </c>
      <c r="G1580" t="str">
        <f>"2018-10-18 15:51:20"</f>
        <v>2018-10-18 15:51:20</v>
      </c>
    </row>
    <row r="1581" spans="1:7" x14ac:dyDescent="0.2">
      <c r="A1581" t="s">
        <v>3208</v>
      </c>
      <c r="B1581" t="str">
        <f>"18571610671"</f>
        <v>18571610671</v>
      </c>
      <c r="C1581" t="str">
        <f>"421022199203105418"</f>
        <v>421022199203105418</v>
      </c>
      <c r="D1581" t="s">
        <v>1</v>
      </c>
      <c r="E1581" t="s">
        <v>1</v>
      </c>
      <c r="F1581" t="s">
        <v>0</v>
      </c>
      <c r="G1581" t="str">
        <f>"2018-10-18 15:42:44"</f>
        <v>2018-10-18 15:42:44</v>
      </c>
    </row>
    <row r="1582" spans="1:7" x14ac:dyDescent="0.2">
      <c r="A1582" t="s">
        <v>3209</v>
      </c>
      <c r="B1582" t="str">
        <f>"13893727255"</f>
        <v>13893727255</v>
      </c>
      <c r="C1582" t="str">
        <f>"62020219830228042X"</f>
        <v>62020219830228042X</v>
      </c>
      <c r="D1582" t="s">
        <v>1</v>
      </c>
      <c r="E1582" t="s">
        <v>1</v>
      </c>
      <c r="F1582" t="s">
        <v>0</v>
      </c>
      <c r="G1582" t="str">
        <f>"2018-10-18 15:42:43"</f>
        <v>2018-10-18 15:42:43</v>
      </c>
    </row>
    <row r="1583" spans="1:7" x14ac:dyDescent="0.2">
      <c r="A1583" t="s">
        <v>3210</v>
      </c>
      <c r="B1583" t="str">
        <f>"15162431089"</f>
        <v>15162431089</v>
      </c>
      <c r="C1583" t="str">
        <f>"431102198512076398"</f>
        <v>431102198512076398</v>
      </c>
      <c r="D1583" t="s">
        <v>1</v>
      </c>
      <c r="E1583" t="s">
        <v>1</v>
      </c>
      <c r="F1583" t="s">
        <v>0</v>
      </c>
      <c r="G1583" t="str">
        <f>"2018-10-19 11:50:24"</f>
        <v>2018-10-19 11:50:24</v>
      </c>
    </row>
    <row r="1584" spans="1:7" x14ac:dyDescent="0.2">
      <c r="A1584" t="s">
        <v>1</v>
      </c>
      <c r="B1584" t="str">
        <f>"18690116026"</f>
        <v>18690116026</v>
      </c>
      <c r="C1584" t="s">
        <v>1</v>
      </c>
      <c r="D1584" t="s">
        <v>1</v>
      </c>
      <c r="E1584" t="s">
        <v>1</v>
      </c>
      <c r="F1584" t="s">
        <v>0</v>
      </c>
      <c r="G1584" t="str">
        <f>"2018-10-18 15:42:16"</f>
        <v>2018-10-18 15:42:16</v>
      </c>
    </row>
    <row r="1585" spans="1:7" x14ac:dyDescent="0.2">
      <c r="A1585" t="s">
        <v>3211</v>
      </c>
      <c r="B1585" t="str">
        <f>"13713800418"</f>
        <v>13713800418</v>
      </c>
      <c r="C1585" t="str">
        <f>"450902199509202526"</f>
        <v>450902199509202526</v>
      </c>
      <c r="D1585" t="s">
        <v>1</v>
      </c>
      <c r="E1585" t="s">
        <v>1</v>
      </c>
      <c r="F1585" t="s">
        <v>0</v>
      </c>
      <c r="G1585" t="str">
        <f>"2018-10-18 15:43:34"</f>
        <v>2018-10-18 15:43:34</v>
      </c>
    </row>
    <row r="1586" spans="1:7" x14ac:dyDescent="0.2">
      <c r="A1586" t="s">
        <v>1494</v>
      </c>
      <c r="B1586" t="str">
        <f>"13577038498"</f>
        <v>13577038498</v>
      </c>
      <c r="C1586" t="str">
        <f>"530122198501060612"</f>
        <v>530122198501060612</v>
      </c>
      <c r="D1586" t="s">
        <v>3212</v>
      </c>
      <c r="E1586" t="s">
        <v>3213</v>
      </c>
      <c r="F1586" t="s">
        <v>0</v>
      </c>
      <c r="G1586" t="str">
        <f>"2018-10-25 15:01:24"</f>
        <v>2018-10-25 15:01:24</v>
      </c>
    </row>
    <row r="1587" spans="1:7" x14ac:dyDescent="0.2">
      <c r="A1587" t="s">
        <v>1</v>
      </c>
      <c r="B1587" t="str">
        <f>"13028908800"</f>
        <v>13028908800</v>
      </c>
      <c r="C1587" t="s">
        <v>1</v>
      </c>
      <c r="D1587" t="s">
        <v>1</v>
      </c>
      <c r="E1587" t="s">
        <v>1</v>
      </c>
      <c r="F1587" t="s">
        <v>0</v>
      </c>
      <c r="G1587" t="str">
        <f>"2018-10-18 15:42:09"</f>
        <v>2018-10-18 15:42:09</v>
      </c>
    </row>
    <row r="1588" spans="1:7" x14ac:dyDescent="0.2">
      <c r="A1588" t="s">
        <v>3214</v>
      </c>
      <c r="B1588" t="str">
        <f>"13926163801"</f>
        <v>13926163801</v>
      </c>
      <c r="C1588" t="str">
        <f>"440184198906132116"</f>
        <v>440184198906132116</v>
      </c>
      <c r="D1588" t="s">
        <v>1</v>
      </c>
      <c r="E1588" t="s">
        <v>1</v>
      </c>
      <c r="F1588" t="s">
        <v>0</v>
      </c>
      <c r="G1588" t="str">
        <f>"2018-10-22 10:05:28"</f>
        <v>2018-10-22 10:05:28</v>
      </c>
    </row>
    <row r="1589" spans="1:7" x14ac:dyDescent="0.2">
      <c r="A1589" t="s">
        <v>3215</v>
      </c>
      <c r="B1589" t="str">
        <f>"13883950774"</f>
        <v>13883950774</v>
      </c>
      <c r="C1589" t="str">
        <f>"500383199102137339"</f>
        <v>500383199102137339</v>
      </c>
      <c r="D1589" t="s">
        <v>1</v>
      </c>
      <c r="E1589" t="s">
        <v>1</v>
      </c>
      <c r="F1589" t="s">
        <v>0</v>
      </c>
      <c r="G1589" t="str">
        <f>"2018-10-18 15:43:59"</f>
        <v>2018-10-18 15:43:59</v>
      </c>
    </row>
    <row r="1590" spans="1:7" x14ac:dyDescent="0.2">
      <c r="A1590" t="s">
        <v>1</v>
      </c>
      <c r="B1590" t="str">
        <f>"18218597930"</f>
        <v>18218597930</v>
      </c>
      <c r="C1590" t="s">
        <v>1</v>
      </c>
      <c r="D1590" t="s">
        <v>1</v>
      </c>
      <c r="E1590" t="s">
        <v>1</v>
      </c>
      <c r="F1590" t="s">
        <v>0</v>
      </c>
      <c r="G1590" t="str">
        <f>"2018-10-18 16:41:34"</f>
        <v>2018-10-18 16:41:34</v>
      </c>
    </row>
    <row r="1591" spans="1:7" x14ac:dyDescent="0.2">
      <c r="A1591" t="s">
        <v>1</v>
      </c>
      <c r="B1591" t="str">
        <f>"15254792324"</f>
        <v>15254792324</v>
      </c>
      <c r="C1591" t="s">
        <v>1</v>
      </c>
      <c r="D1591" t="s">
        <v>1</v>
      </c>
      <c r="E1591" t="s">
        <v>1</v>
      </c>
      <c r="F1591" t="s">
        <v>0</v>
      </c>
      <c r="G1591" t="str">
        <f>"2018-10-18 15:41:52"</f>
        <v>2018-10-18 15:41:52</v>
      </c>
    </row>
    <row r="1592" spans="1:7" x14ac:dyDescent="0.2">
      <c r="A1592" t="s">
        <v>3216</v>
      </c>
      <c r="B1592" t="str">
        <f>"18991639406"</f>
        <v>18991639406</v>
      </c>
      <c r="C1592" t="str">
        <f>"610528199506231817"</f>
        <v>610528199506231817</v>
      </c>
      <c r="D1592" t="s">
        <v>1</v>
      </c>
      <c r="E1592" t="s">
        <v>1</v>
      </c>
      <c r="F1592" t="s">
        <v>0</v>
      </c>
      <c r="G1592" t="str">
        <f>"2018-10-18 15:45:38"</f>
        <v>2018-10-18 15:45:38</v>
      </c>
    </row>
    <row r="1593" spans="1:7" x14ac:dyDescent="0.2">
      <c r="A1593" t="s">
        <v>1</v>
      </c>
      <c r="B1593" t="str">
        <f>"15513960198"</f>
        <v>15513960198</v>
      </c>
      <c r="C1593" t="s">
        <v>1</v>
      </c>
      <c r="D1593" t="s">
        <v>1</v>
      </c>
      <c r="E1593" t="s">
        <v>1</v>
      </c>
      <c r="F1593" t="s">
        <v>0</v>
      </c>
      <c r="G1593" t="str">
        <f>"2018-10-18 15:42:54"</f>
        <v>2018-10-18 15:42:54</v>
      </c>
    </row>
    <row r="1594" spans="1:7" x14ac:dyDescent="0.2">
      <c r="A1594" t="s">
        <v>3217</v>
      </c>
      <c r="B1594" t="str">
        <f>"15557178288"</f>
        <v>15557178288</v>
      </c>
      <c r="C1594" t="str">
        <f>"320724198905063656"</f>
        <v>320724198905063656</v>
      </c>
      <c r="D1594" t="s">
        <v>1</v>
      </c>
      <c r="E1594" t="s">
        <v>1</v>
      </c>
      <c r="F1594" t="s">
        <v>0</v>
      </c>
      <c r="G1594" t="str">
        <f>"2018-10-18 15:41:45"</f>
        <v>2018-10-18 15:41:45</v>
      </c>
    </row>
    <row r="1595" spans="1:7" x14ac:dyDescent="0.2">
      <c r="A1595" t="s">
        <v>3218</v>
      </c>
      <c r="B1595" t="str">
        <f>"15379817652"</f>
        <v>15379817652</v>
      </c>
      <c r="C1595" t="str">
        <f>"622102197703044737"</f>
        <v>622102197703044737</v>
      </c>
      <c r="D1595" t="s">
        <v>1</v>
      </c>
      <c r="E1595" t="s">
        <v>1</v>
      </c>
      <c r="F1595" t="s">
        <v>0</v>
      </c>
      <c r="G1595" t="str">
        <f>"2018-10-18 15:44:07"</f>
        <v>2018-10-18 15:44:07</v>
      </c>
    </row>
    <row r="1596" spans="1:7" x14ac:dyDescent="0.2">
      <c r="A1596" t="s">
        <v>3219</v>
      </c>
      <c r="B1596" t="str">
        <f>"15860257516"</f>
        <v>15860257516</v>
      </c>
      <c r="C1596" t="str">
        <f>"511621199305198203"</f>
        <v>511621199305198203</v>
      </c>
      <c r="D1596" t="s">
        <v>1</v>
      </c>
      <c r="E1596" t="s">
        <v>1</v>
      </c>
      <c r="F1596" t="s">
        <v>0</v>
      </c>
      <c r="G1596" t="str">
        <f>"2018-10-21 10:54:18"</f>
        <v>2018-10-21 10:54:18</v>
      </c>
    </row>
    <row r="1597" spans="1:7" x14ac:dyDescent="0.2">
      <c r="A1597" t="s">
        <v>3220</v>
      </c>
      <c r="B1597" t="str">
        <f>"18856305078"</f>
        <v>18856305078</v>
      </c>
      <c r="C1597" t="str">
        <f>"342530198909171816"</f>
        <v>342530198909171816</v>
      </c>
      <c r="D1597" t="s">
        <v>1</v>
      </c>
      <c r="E1597" t="s">
        <v>1</v>
      </c>
      <c r="F1597" t="s">
        <v>0</v>
      </c>
      <c r="G1597" t="str">
        <f>"2018-10-18 15:48:54"</f>
        <v>2018-10-18 15:48:54</v>
      </c>
    </row>
    <row r="1598" spans="1:7" x14ac:dyDescent="0.2">
      <c r="A1598" t="s">
        <v>3221</v>
      </c>
      <c r="B1598" t="str">
        <f>"13821706975"</f>
        <v>13821706975</v>
      </c>
      <c r="C1598" t="str">
        <f>"222301197905120910"</f>
        <v>222301197905120910</v>
      </c>
      <c r="D1598" t="s">
        <v>1</v>
      </c>
      <c r="E1598" t="s">
        <v>1</v>
      </c>
      <c r="F1598" t="s">
        <v>0</v>
      </c>
      <c r="G1598" t="str">
        <f>"2018-10-18 15:42:52"</f>
        <v>2018-10-18 15:42:52</v>
      </c>
    </row>
    <row r="1599" spans="1:7" x14ac:dyDescent="0.2">
      <c r="A1599" t="s">
        <v>3222</v>
      </c>
      <c r="B1599" t="str">
        <f>"15851303178"</f>
        <v>15851303178</v>
      </c>
      <c r="C1599" t="str">
        <f>"320602199008091025"</f>
        <v>320602199008091025</v>
      </c>
      <c r="D1599" t="s">
        <v>1</v>
      </c>
      <c r="E1599" t="s">
        <v>1</v>
      </c>
      <c r="F1599" t="s">
        <v>0</v>
      </c>
      <c r="G1599" t="str">
        <f>"2018-10-18 15:42:22"</f>
        <v>2018-10-18 15:42:22</v>
      </c>
    </row>
    <row r="1600" spans="1:7" x14ac:dyDescent="0.2">
      <c r="A1600" t="s">
        <v>3223</v>
      </c>
      <c r="B1600" t="str">
        <f>"17780306594"</f>
        <v>17780306594</v>
      </c>
      <c r="C1600" t="str">
        <f>"51072419961224121X"</f>
        <v>51072419961224121X</v>
      </c>
      <c r="D1600" t="s">
        <v>3224</v>
      </c>
      <c r="E1600" t="s">
        <v>3225</v>
      </c>
      <c r="F1600" t="s">
        <v>0</v>
      </c>
      <c r="G1600" t="str">
        <f>"2018-10-22 15:00:49"</f>
        <v>2018-10-22 15:00:49</v>
      </c>
    </row>
    <row r="1601" spans="1:7" x14ac:dyDescent="0.2">
      <c r="A1601" t="s">
        <v>1</v>
      </c>
      <c r="B1601" t="str">
        <f>"13604454276"</f>
        <v>13604454276</v>
      </c>
      <c r="C1601" t="s">
        <v>1</v>
      </c>
      <c r="D1601" t="s">
        <v>1</v>
      </c>
      <c r="E1601" t="s">
        <v>1</v>
      </c>
      <c r="F1601" t="s">
        <v>0</v>
      </c>
      <c r="G1601" t="str">
        <f>"2018-10-18 15:41:06"</f>
        <v>2018-10-18 15:41:06</v>
      </c>
    </row>
    <row r="1602" spans="1:7" x14ac:dyDescent="0.2">
      <c r="A1602" t="s">
        <v>3226</v>
      </c>
      <c r="B1602" t="str">
        <f>"18559649423"</f>
        <v>18559649423</v>
      </c>
      <c r="C1602" t="str">
        <f>"350582199403023534"</f>
        <v>350582199403023534</v>
      </c>
      <c r="D1602" t="s">
        <v>1</v>
      </c>
      <c r="E1602" t="s">
        <v>1</v>
      </c>
      <c r="F1602" t="s">
        <v>0</v>
      </c>
      <c r="G1602" t="str">
        <f>"2018-10-18 15:44:51"</f>
        <v>2018-10-18 15:44:51</v>
      </c>
    </row>
    <row r="1603" spans="1:7" x14ac:dyDescent="0.2">
      <c r="A1603" t="s">
        <v>3227</v>
      </c>
      <c r="B1603" t="str">
        <f>"13996421541"</f>
        <v>13996421541</v>
      </c>
      <c r="C1603" t="str">
        <f>"350581199212263520"</f>
        <v>350581199212263520</v>
      </c>
      <c r="D1603" t="s">
        <v>1</v>
      </c>
      <c r="E1603" t="s">
        <v>1</v>
      </c>
      <c r="F1603" t="s">
        <v>0</v>
      </c>
      <c r="G1603" t="str">
        <f>"2018-10-18 16:02:20"</f>
        <v>2018-10-18 16:02:20</v>
      </c>
    </row>
    <row r="1604" spans="1:7" x14ac:dyDescent="0.2">
      <c r="A1604" t="s">
        <v>1570</v>
      </c>
      <c r="B1604" t="str">
        <f>"18252004642"</f>
        <v>18252004642</v>
      </c>
      <c r="C1604" t="str">
        <f>"320923199406094510"</f>
        <v>320923199406094510</v>
      </c>
      <c r="D1604" t="s">
        <v>1</v>
      </c>
      <c r="E1604" t="s">
        <v>1</v>
      </c>
      <c r="F1604" t="s">
        <v>0</v>
      </c>
      <c r="G1604" t="str">
        <f>"2018-10-18 15:42:37"</f>
        <v>2018-10-18 15:42:37</v>
      </c>
    </row>
    <row r="1605" spans="1:7" x14ac:dyDescent="0.2">
      <c r="A1605" t="s">
        <v>1</v>
      </c>
      <c r="B1605" t="str">
        <f>"15134524123"</f>
        <v>15134524123</v>
      </c>
      <c r="C1605" t="s">
        <v>1</v>
      </c>
      <c r="D1605" t="s">
        <v>1</v>
      </c>
      <c r="E1605" t="s">
        <v>1</v>
      </c>
      <c r="F1605" t="s">
        <v>0</v>
      </c>
      <c r="G1605" t="str">
        <f>"2018-10-18 15:40:19"</f>
        <v>2018-10-18 15:40:19</v>
      </c>
    </row>
    <row r="1606" spans="1:7" x14ac:dyDescent="0.2">
      <c r="A1606" t="s">
        <v>3228</v>
      </c>
      <c r="B1606" t="str">
        <f>"13792020099"</f>
        <v>13792020099</v>
      </c>
      <c r="C1606" t="str">
        <f>"371102199309158134"</f>
        <v>371102199309158134</v>
      </c>
      <c r="D1606" t="s">
        <v>3229</v>
      </c>
      <c r="E1606" t="s">
        <v>3230</v>
      </c>
      <c r="F1606" t="s">
        <v>0</v>
      </c>
      <c r="G1606" t="str">
        <f>"2018-10-24 20:45:00"</f>
        <v>2018-10-24 20:45:00</v>
      </c>
    </row>
    <row r="1607" spans="1:7" x14ac:dyDescent="0.2">
      <c r="A1607" t="s">
        <v>3231</v>
      </c>
      <c r="B1607" t="str">
        <f>"13168222443"</f>
        <v>13168222443</v>
      </c>
      <c r="C1607" t="str">
        <f>"44152119930413823X"</f>
        <v>44152119930413823X</v>
      </c>
      <c r="D1607" t="s">
        <v>1</v>
      </c>
      <c r="E1607" t="s">
        <v>1</v>
      </c>
      <c r="F1607" t="s">
        <v>0</v>
      </c>
      <c r="G1607" t="str">
        <f>"2018-10-18 15:41:37"</f>
        <v>2018-10-18 15:41:37</v>
      </c>
    </row>
    <row r="1608" spans="1:7" x14ac:dyDescent="0.2">
      <c r="A1608" t="s">
        <v>3232</v>
      </c>
      <c r="B1608" t="str">
        <f>"18890791571"</f>
        <v>18890791571</v>
      </c>
      <c r="C1608" t="str">
        <f>"430781199301124013"</f>
        <v>430781199301124013</v>
      </c>
      <c r="D1608" t="s">
        <v>1</v>
      </c>
      <c r="E1608" t="s">
        <v>1</v>
      </c>
      <c r="F1608" t="s">
        <v>0</v>
      </c>
      <c r="G1608" t="str">
        <f>"2018-10-25 14:13:20"</f>
        <v>2018-10-25 14:13:20</v>
      </c>
    </row>
    <row r="1609" spans="1:7" x14ac:dyDescent="0.2">
      <c r="A1609" t="s">
        <v>3233</v>
      </c>
      <c r="B1609" t="str">
        <f>"15124268379"</f>
        <v>15124268379</v>
      </c>
      <c r="C1609" t="str">
        <f>"211402199505061921"</f>
        <v>211402199505061921</v>
      </c>
      <c r="D1609" t="s">
        <v>1</v>
      </c>
      <c r="E1609" t="s">
        <v>1</v>
      </c>
      <c r="F1609" t="s">
        <v>0</v>
      </c>
      <c r="G1609" t="str">
        <f>"2018-10-18 15:46:33"</f>
        <v>2018-10-18 15:46:33</v>
      </c>
    </row>
    <row r="1610" spans="1:7" x14ac:dyDescent="0.2">
      <c r="A1610" t="s">
        <v>3234</v>
      </c>
      <c r="B1610" t="str">
        <f>"18204089750"</f>
        <v>18204089750</v>
      </c>
      <c r="C1610" t="str">
        <f>"22018219961002191X"</f>
        <v>22018219961002191X</v>
      </c>
      <c r="D1610" t="s">
        <v>1</v>
      </c>
      <c r="E1610" t="s">
        <v>1</v>
      </c>
      <c r="F1610" t="s">
        <v>0</v>
      </c>
      <c r="G1610" t="str">
        <f>"2018-10-18 15:42:13"</f>
        <v>2018-10-18 15:42:13</v>
      </c>
    </row>
    <row r="1611" spans="1:7" x14ac:dyDescent="0.2">
      <c r="A1611" t="s">
        <v>1647</v>
      </c>
      <c r="B1611" t="str">
        <f>"15718855985"</f>
        <v>15718855985</v>
      </c>
      <c r="C1611" t="str">
        <f>"412825199603114593"</f>
        <v>412825199603114593</v>
      </c>
      <c r="D1611" t="s">
        <v>3235</v>
      </c>
      <c r="E1611" t="s">
        <v>3236</v>
      </c>
      <c r="F1611" t="s">
        <v>0</v>
      </c>
      <c r="G1611" t="str">
        <f>"2018-10-18 15:39:44"</f>
        <v>2018-10-18 15:39:44</v>
      </c>
    </row>
    <row r="1612" spans="1:7" x14ac:dyDescent="0.2">
      <c r="A1612" t="s">
        <v>3237</v>
      </c>
      <c r="B1612" t="str">
        <f>"13821607541"</f>
        <v>13821607541</v>
      </c>
      <c r="C1612" t="str">
        <f>"120110197904030913"</f>
        <v>120110197904030913</v>
      </c>
      <c r="D1612" t="s">
        <v>1</v>
      </c>
      <c r="E1612" t="s">
        <v>1</v>
      </c>
      <c r="F1612" t="s">
        <v>0</v>
      </c>
      <c r="G1612" t="str">
        <f>"2018-10-18 15:44:21"</f>
        <v>2018-10-18 15:44:21</v>
      </c>
    </row>
    <row r="1613" spans="1:7" x14ac:dyDescent="0.2">
      <c r="A1613" t="s">
        <v>1</v>
      </c>
      <c r="B1613" t="str">
        <f>"15878175525"</f>
        <v>15878175525</v>
      </c>
      <c r="C1613" t="s">
        <v>1</v>
      </c>
      <c r="D1613" t="s">
        <v>1</v>
      </c>
      <c r="E1613" t="s">
        <v>1</v>
      </c>
      <c r="F1613" t="s">
        <v>0</v>
      </c>
      <c r="G1613" t="str">
        <f>"2018-10-18 15:55:16"</f>
        <v>2018-10-18 15:55:16</v>
      </c>
    </row>
    <row r="1614" spans="1:7" x14ac:dyDescent="0.2">
      <c r="A1614" t="s">
        <v>1469</v>
      </c>
      <c r="B1614" t="str">
        <f>"15178084649"</f>
        <v>15178084649</v>
      </c>
      <c r="C1614" t="str">
        <f>"341281199112037756"</f>
        <v>341281199112037756</v>
      </c>
      <c r="D1614" t="s">
        <v>1</v>
      </c>
      <c r="E1614" t="s">
        <v>1</v>
      </c>
      <c r="F1614" t="s">
        <v>0</v>
      </c>
      <c r="G1614" t="str">
        <f>"2018-10-26 16:20:31"</f>
        <v>2018-10-26 16:20:31</v>
      </c>
    </row>
    <row r="1615" spans="1:7" x14ac:dyDescent="0.2">
      <c r="A1615" t="s">
        <v>3238</v>
      </c>
      <c r="B1615" t="str">
        <f>"15881748886"</f>
        <v>15881748886</v>
      </c>
      <c r="C1615" t="str">
        <f>"511302199803041430"</f>
        <v>511302199803041430</v>
      </c>
      <c r="D1615" t="s">
        <v>1</v>
      </c>
      <c r="E1615" t="s">
        <v>1</v>
      </c>
      <c r="F1615" t="s">
        <v>0</v>
      </c>
      <c r="G1615" t="str">
        <f>"2018-10-18 15:39:25"</f>
        <v>2018-10-18 15:39:25</v>
      </c>
    </row>
    <row r="1616" spans="1:7" x14ac:dyDescent="0.2">
      <c r="A1616" t="s">
        <v>1</v>
      </c>
      <c r="B1616" t="str">
        <f>"17732708432"</f>
        <v>17732708432</v>
      </c>
      <c r="C1616" t="s">
        <v>1</v>
      </c>
      <c r="D1616" t="s">
        <v>1</v>
      </c>
      <c r="E1616" t="s">
        <v>1</v>
      </c>
      <c r="F1616" t="s">
        <v>0</v>
      </c>
      <c r="G1616" t="str">
        <f>"2018-10-18 15:39:25"</f>
        <v>2018-10-18 15:39:25</v>
      </c>
    </row>
    <row r="1617" spans="1:7" x14ac:dyDescent="0.2">
      <c r="A1617" t="s">
        <v>3239</v>
      </c>
      <c r="B1617" t="str">
        <f>"18364220729"</f>
        <v>18364220729</v>
      </c>
      <c r="C1617" t="str">
        <f>"410622199603223018"</f>
        <v>410622199603223018</v>
      </c>
      <c r="D1617" t="s">
        <v>1</v>
      </c>
      <c r="E1617" t="s">
        <v>1</v>
      </c>
      <c r="F1617" t="s">
        <v>0</v>
      </c>
      <c r="G1617" t="str">
        <f>"2018-10-18 15:40:57"</f>
        <v>2018-10-18 15:40:57</v>
      </c>
    </row>
    <row r="1618" spans="1:7" x14ac:dyDescent="0.2">
      <c r="A1618" t="s">
        <v>1</v>
      </c>
      <c r="B1618" t="str">
        <f>"13616682076"</f>
        <v>13616682076</v>
      </c>
      <c r="C1618" t="s">
        <v>1</v>
      </c>
      <c r="D1618" t="s">
        <v>1</v>
      </c>
      <c r="E1618" t="s">
        <v>1</v>
      </c>
      <c r="F1618" t="s">
        <v>0</v>
      </c>
      <c r="G1618" t="str">
        <f>"2018-10-18 15:39:11"</f>
        <v>2018-10-18 15:39:11</v>
      </c>
    </row>
    <row r="1619" spans="1:7" x14ac:dyDescent="0.2">
      <c r="A1619" t="s">
        <v>3240</v>
      </c>
      <c r="B1619" t="str">
        <f>"18356661791"</f>
        <v>18356661791</v>
      </c>
      <c r="C1619" t="str">
        <f>"342921199708061821"</f>
        <v>342921199708061821</v>
      </c>
      <c r="D1619" t="s">
        <v>1</v>
      </c>
      <c r="E1619" t="s">
        <v>1</v>
      </c>
      <c r="F1619" t="s">
        <v>0</v>
      </c>
      <c r="G1619" t="str">
        <f>"2018-10-18 15:40:25"</f>
        <v>2018-10-18 15:40:25</v>
      </c>
    </row>
    <row r="1620" spans="1:7" x14ac:dyDescent="0.2">
      <c r="A1620" t="s">
        <v>3241</v>
      </c>
      <c r="B1620" t="str">
        <f>"15044174250"</f>
        <v>15044174250</v>
      </c>
      <c r="C1620" t="str">
        <f>"220122198503160745"</f>
        <v>220122198503160745</v>
      </c>
      <c r="D1620" t="s">
        <v>1</v>
      </c>
      <c r="E1620" t="s">
        <v>1</v>
      </c>
      <c r="F1620" t="s">
        <v>0</v>
      </c>
      <c r="G1620" t="str">
        <f>"2018-10-18 15:39:00"</f>
        <v>2018-10-18 15:39:00</v>
      </c>
    </row>
    <row r="1621" spans="1:7" x14ac:dyDescent="0.2">
      <c r="A1621" t="s">
        <v>1</v>
      </c>
      <c r="B1621" t="str">
        <f>"13851724529"</f>
        <v>13851724529</v>
      </c>
      <c r="C1621" t="s">
        <v>1</v>
      </c>
      <c r="D1621" t="s">
        <v>1</v>
      </c>
      <c r="E1621" t="s">
        <v>1</v>
      </c>
      <c r="F1621" t="s">
        <v>0</v>
      </c>
      <c r="G1621" t="str">
        <f>"2018-10-18 15:38:53"</f>
        <v>2018-10-18 15:38:53</v>
      </c>
    </row>
    <row r="1622" spans="1:7" x14ac:dyDescent="0.2">
      <c r="A1622" t="s">
        <v>1</v>
      </c>
      <c r="B1622" t="str">
        <f>"18798753343"</f>
        <v>18798753343</v>
      </c>
      <c r="C1622" t="s">
        <v>1</v>
      </c>
      <c r="D1622" t="s">
        <v>1</v>
      </c>
      <c r="E1622" t="s">
        <v>1</v>
      </c>
      <c r="F1622" t="s">
        <v>0</v>
      </c>
      <c r="G1622" t="str">
        <f>"2018-10-18 15:38:52"</f>
        <v>2018-10-18 15:38:52</v>
      </c>
    </row>
    <row r="1623" spans="1:7" x14ac:dyDescent="0.2">
      <c r="A1623" t="s">
        <v>3242</v>
      </c>
      <c r="B1623" t="str">
        <f>"13554034112"</f>
        <v>13554034112</v>
      </c>
      <c r="C1623" t="str">
        <f>"421125199405102359"</f>
        <v>421125199405102359</v>
      </c>
      <c r="D1623" t="s">
        <v>3243</v>
      </c>
      <c r="E1623" t="s">
        <v>3244</v>
      </c>
      <c r="F1623" t="s">
        <v>0</v>
      </c>
      <c r="G1623" t="str">
        <f>"2018-10-18 15:39:24"</f>
        <v>2018-10-18 15:39:24</v>
      </c>
    </row>
    <row r="1624" spans="1:7" x14ac:dyDescent="0.2">
      <c r="A1624" t="s">
        <v>3245</v>
      </c>
      <c r="B1624" t="str">
        <f>"13416520527"</f>
        <v>13416520527</v>
      </c>
      <c r="C1624" t="str">
        <f>"441823199301067033"</f>
        <v>441823199301067033</v>
      </c>
      <c r="D1624" t="s">
        <v>3246</v>
      </c>
      <c r="E1624" t="s">
        <v>3247</v>
      </c>
      <c r="F1624" t="s">
        <v>0</v>
      </c>
      <c r="G1624" t="str">
        <f>"2018-10-20 14:14:28"</f>
        <v>2018-10-20 14:14:28</v>
      </c>
    </row>
    <row r="1625" spans="1:7" x14ac:dyDescent="0.2">
      <c r="A1625" t="s">
        <v>3248</v>
      </c>
      <c r="B1625" t="str">
        <f>"13888941510"</f>
        <v>13888941510</v>
      </c>
      <c r="C1625" t="str">
        <f>"532401197605032423"</f>
        <v>532401197605032423</v>
      </c>
      <c r="D1625" t="s">
        <v>1</v>
      </c>
      <c r="E1625" t="s">
        <v>1</v>
      </c>
      <c r="F1625" t="s">
        <v>0</v>
      </c>
      <c r="G1625" t="str">
        <f>"2018-10-18 15:40:20"</f>
        <v>2018-10-18 15:40:20</v>
      </c>
    </row>
    <row r="1626" spans="1:7" x14ac:dyDescent="0.2">
      <c r="A1626" t="s">
        <v>3249</v>
      </c>
      <c r="B1626" t="str">
        <f>"18525440806"</f>
        <v>18525440806</v>
      </c>
      <c r="C1626" t="str">
        <f>"630105198609140320"</f>
        <v>630105198609140320</v>
      </c>
      <c r="D1626" t="s">
        <v>1</v>
      </c>
      <c r="E1626" t="s">
        <v>1</v>
      </c>
      <c r="F1626" t="s">
        <v>0</v>
      </c>
      <c r="G1626" t="str">
        <f>"2018-10-18 16:00:19"</f>
        <v>2018-10-18 16:00:19</v>
      </c>
    </row>
    <row r="1627" spans="1:7" x14ac:dyDescent="0.2">
      <c r="A1627" t="s">
        <v>3250</v>
      </c>
      <c r="B1627" t="str">
        <f>"15897451693"</f>
        <v>15897451693</v>
      </c>
      <c r="C1627" t="str">
        <f>"431230198702175726"</f>
        <v>431230198702175726</v>
      </c>
      <c r="D1627" t="s">
        <v>1</v>
      </c>
      <c r="E1627" t="s">
        <v>1</v>
      </c>
      <c r="F1627" t="s">
        <v>0</v>
      </c>
      <c r="G1627" t="str">
        <f>"2018-10-18 15:50:23"</f>
        <v>2018-10-18 15:50:23</v>
      </c>
    </row>
    <row r="1628" spans="1:7" x14ac:dyDescent="0.2">
      <c r="A1628" t="s">
        <v>503</v>
      </c>
      <c r="B1628" t="str">
        <f>"18566125889"</f>
        <v>18566125889</v>
      </c>
      <c r="C1628" t="str">
        <f>"421126198801210812"</f>
        <v>421126198801210812</v>
      </c>
      <c r="D1628" t="s">
        <v>1</v>
      </c>
      <c r="E1628" t="s">
        <v>1</v>
      </c>
      <c r="F1628" t="s">
        <v>0</v>
      </c>
      <c r="G1628" t="str">
        <f>"2018-10-18 15:39:33"</f>
        <v>2018-10-18 15:39:33</v>
      </c>
    </row>
    <row r="1629" spans="1:7" x14ac:dyDescent="0.2">
      <c r="A1629" t="s">
        <v>1</v>
      </c>
      <c r="B1629" t="str">
        <f>"13024664212"</f>
        <v>13024664212</v>
      </c>
      <c r="C1629" t="s">
        <v>1</v>
      </c>
      <c r="D1629" t="s">
        <v>1</v>
      </c>
      <c r="E1629" t="s">
        <v>1</v>
      </c>
      <c r="F1629" t="s">
        <v>0</v>
      </c>
      <c r="G1629" t="str">
        <f>"2018-10-18 15:37:54"</f>
        <v>2018-10-18 15:37:54</v>
      </c>
    </row>
    <row r="1630" spans="1:7" x14ac:dyDescent="0.2">
      <c r="A1630" t="s">
        <v>3251</v>
      </c>
      <c r="B1630" t="str">
        <f>"15774040346"</f>
        <v>15774040346</v>
      </c>
      <c r="C1630" t="str">
        <f>"430529198909140010"</f>
        <v>430529198909140010</v>
      </c>
      <c r="D1630" t="s">
        <v>1</v>
      </c>
      <c r="E1630" t="s">
        <v>1</v>
      </c>
      <c r="F1630" t="s">
        <v>0</v>
      </c>
      <c r="G1630" t="str">
        <f>"2018-10-18 15:39:48"</f>
        <v>2018-10-18 15:39:48</v>
      </c>
    </row>
    <row r="1631" spans="1:7" x14ac:dyDescent="0.2">
      <c r="A1631" t="s">
        <v>3252</v>
      </c>
      <c r="B1631" t="str">
        <f>"13487511988"</f>
        <v>13487511988</v>
      </c>
      <c r="C1631" t="str">
        <f>"43102219970519677X"</f>
        <v>43102219970519677X</v>
      </c>
      <c r="D1631" t="s">
        <v>1</v>
      </c>
      <c r="E1631" t="s">
        <v>1</v>
      </c>
      <c r="F1631" t="s">
        <v>0</v>
      </c>
      <c r="G1631" t="str">
        <f>"2018-10-18 15:39:39"</f>
        <v>2018-10-18 15:39:39</v>
      </c>
    </row>
    <row r="1632" spans="1:7" x14ac:dyDescent="0.2">
      <c r="A1632" t="s">
        <v>3253</v>
      </c>
      <c r="B1632" t="str">
        <f>"18878369713"</f>
        <v>18878369713</v>
      </c>
      <c r="C1632" t="str">
        <f>"450330198810191318"</f>
        <v>450330198810191318</v>
      </c>
      <c r="D1632" t="s">
        <v>1</v>
      </c>
      <c r="E1632" t="s">
        <v>1</v>
      </c>
      <c r="F1632" t="s">
        <v>0</v>
      </c>
      <c r="G1632" t="str">
        <f>"2018-10-18 15:40:03"</f>
        <v>2018-10-18 15:40:03</v>
      </c>
    </row>
    <row r="1633" spans="1:7" x14ac:dyDescent="0.2">
      <c r="A1633" t="s">
        <v>1</v>
      </c>
      <c r="B1633" t="str">
        <f>"18199269230"</f>
        <v>18199269230</v>
      </c>
      <c r="C1633" t="s">
        <v>1</v>
      </c>
      <c r="D1633" t="s">
        <v>1</v>
      </c>
      <c r="E1633" t="s">
        <v>1</v>
      </c>
      <c r="F1633" t="s">
        <v>0</v>
      </c>
      <c r="G1633" t="str">
        <f>"2018-10-18 15:40:12"</f>
        <v>2018-10-18 15:40:12</v>
      </c>
    </row>
    <row r="1634" spans="1:7" x14ac:dyDescent="0.2">
      <c r="A1634" t="s">
        <v>3254</v>
      </c>
      <c r="B1634" t="str">
        <f>"13322050425"</f>
        <v>13322050425</v>
      </c>
      <c r="C1634" t="str">
        <f>"460102199204253320"</f>
        <v>460102199204253320</v>
      </c>
      <c r="D1634" t="s">
        <v>1</v>
      </c>
      <c r="E1634" t="s">
        <v>1</v>
      </c>
      <c r="F1634" t="s">
        <v>0</v>
      </c>
      <c r="G1634" t="str">
        <f>"2018-10-18 15:42:57"</f>
        <v>2018-10-18 15:42:57</v>
      </c>
    </row>
    <row r="1635" spans="1:7" x14ac:dyDescent="0.2">
      <c r="A1635" t="s">
        <v>3255</v>
      </c>
      <c r="B1635" t="str">
        <f>"15953951286"</f>
        <v>15953951286</v>
      </c>
      <c r="C1635" t="str">
        <f>"371324199307143210"</f>
        <v>371324199307143210</v>
      </c>
      <c r="D1635" t="s">
        <v>3256</v>
      </c>
      <c r="E1635" t="s">
        <v>3257</v>
      </c>
      <c r="F1635" t="s">
        <v>0</v>
      </c>
      <c r="G1635" t="str">
        <f>"2018-10-24 15:17:05"</f>
        <v>2018-10-24 15:17:05</v>
      </c>
    </row>
    <row r="1636" spans="1:7" x14ac:dyDescent="0.2">
      <c r="A1636" t="s">
        <v>3258</v>
      </c>
      <c r="B1636" t="str">
        <f>"18982379286"</f>
        <v>18982379286</v>
      </c>
      <c r="C1636" t="str">
        <f>"510411197905052415"</f>
        <v>510411197905052415</v>
      </c>
      <c r="D1636" t="s">
        <v>1</v>
      </c>
      <c r="E1636" t="s">
        <v>1</v>
      </c>
      <c r="F1636" t="s">
        <v>0</v>
      </c>
      <c r="G1636" t="str">
        <f>"2018-10-18 15:38:49"</f>
        <v>2018-10-18 15:38:49</v>
      </c>
    </row>
    <row r="1637" spans="1:7" x14ac:dyDescent="0.2">
      <c r="A1637" t="s">
        <v>3259</v>
      </c>
      <c r="B1637" t="str">
        <f>"18093345161"</f>
        <v>18093345161</v>
      </c>
      <c r="C1637" t="str">
        <f>"622201198808153327"</f>
        <v>622201198808153327</v>
      </c>
      <c r="D1637" t="s">
        <v>1</v>
      </c>
      <c r="E1637" t="s">
        <v>1</v>
      </c>
      <c r="F1637" t="s">
        <v>0</v>
      </c>
      <c r="G1637" t="str">
        <f>"2018-10-18 15:39:14"</f>
        <v>2018-10-18 15:39:14</v>
      </c>
    </row>
    <row r="1638" spans="1:7" x14ac:dyDescent="0.2">
      <c r="A1638" t="s">
        <v>3260</v>
      </c>
      <c r="B1638" t="str">
        <f>"15057275419"</f>
        <v>15057275419</v>
      </c>
      <c r="C1638" t="str">
        <f>"362525199304224812"</f>
        <v>362525199304224812</v>
      </c>
      <c r="D1638" t="s">
        <v>1</v>
      </c>
      <c r="E1638" t="s">
        <v>1</v>
      </c>
      <c r="F1638" t="s">
        <v>0</v>
      </c>
      <c r="G1638" t="str">
        <f>"2018-10-18 15:39:47"</f>
        <v>2018-10-18 15:39:47</v>
      </c>
    </row>
    <row r="1639" spans="1:7" x14ac:dyDescent="0.2">
      <c r="A1639" t="s">
        <v>1</v>
      </c>
      <c r="B1639" t="str">
        <f>"17687932918"</f>
        <v>17687932918</v>
      </c>
      <c r="C1639" t="s">
        <v>1</v>
      </c>
      <c r="D1639" t="s">
        <v>1</v>
      </c>
      <c r="E1639" t="s">
        <v>1</v>
      </c>
      <c r="F1639" t="s">
        <v>0</v>
      </c>
      <c r="G1639" t="str">
        <f>"2018-10-18 15:40:29"</f>
        <v>2018-10-18 15:40:29</v>
      </c>
    </row>
    <row r="1640" spans="1:7" x14ac:dyDescent="0.2">
      <c r="A1640" t="s">
        <v>3261</v>
      </c>
      <c r="B1640" t="str">
        <f>"18070757286"</f>
        <v>18070757286</v>
      </c>
      <c r="C1640" t="str">
        <f>"452826198006152814"</f>
        <v>452826198006152814</v>
      </c>
      <c r="D1640" t="s">
        <v>1</v>
      </c>
      <c r="E1640" t="s">
        <v>1</v>
      </c>
      <c r="F1640" t="s">
        <v>0</v>
      </c>
      <c r="G1640" t="str">
        <f>"2018-10-18 16:50:20"</f>
        <v>2018-10-18 16:50:20</v>
      </c>
    </row>
    <row r="1641" spans="1:7" x14ac:dyDescent="0.2">
      <c r="A1641" t="s">
        <v>3262</v>
      </c>
      <c r="B1641" t="str">
        <f>"15951991292"</f>
        <v>15951991292</v>
      </c>
      <c r="C1641" t="str">
        <f>"320830199501025626"</f>
        <v>320830199501025626</v>
      </c>
      <c r="D1641" t="s">
        <v>3263</v>
      </c>
      <c r="E1641" t="s">
        <v>3263</v>
      </c>
      <c r="F1641" t="s">
        <v>0</v>
      </c>
      <c r="G1641" t="str">
        <f>"2018-10-19 10:36:28"</f>
        <v>2018-10-19 10:36:28</v>
      </c>
    </row>
    <row r="1642" spans="1:7" x14ac:dyDescent="0.2">
      <c r="A1642" t="s">
        <v>3264</v>
      </c>
      <c r="B1642" t="str">
        <f>"18617843070"</f>
        <v>18617843070</v>
      </c>
      <c r="C1642" t="str">
        <f>"130321199003087331"</f>
        <v>130321199003087331</v>
      </c>
      <c r="D1642" t="s">
        <v>1</v>
      </c>
      <c r="E1642" t="s">
        <v>1</v>
      </c>
      <c r="F1642" t="s">
        <v>0</v>
      </c>
      <c r="G1642" t="str">
        <f>"2018-10-18 15:38:25"</f>
        <v>2018-10-18 15:38:25</v>
      </c>
    </row>
    <row r="1643" spans="1:7" x14ac:dyDescent="0.2">
      <c r="A1643" t="s">
        <v>1</v>
      </c>
      <c r="B1643" t="str">
        <f>"13192095259"</f>
        <v>13192095259</v>
      </c>
      <c r="C1643" t="s">
        <v>1</v>
      </c>
      <c r="D1643" t="s">
        <v>1</v>
      </c>
      <c r="E1643" t="s">
        <v>1</v>
      </c>
      <c r="F1643" t="s">
        <v>0</v>
      </c>
      <c r="G1643" t="str">
        <f>"2018-10-18 15:36:47"</f>
        <v>2018-10-18 15:36:47</v>
      </c>
    </row>
    <row r="1644" spans="1:7" x14ac:dyDescent="0.2">
      <c r="A1644" t="s">
        <v>3265</v>
      </c>
      <c r="B1644" t="str">
        <f>"15738838780"</f>
        <v>15738838780</v>
      </c>
      <c r="C1644" t="str">
        <f>"410122199603010015"</f>
        <v>410122199603010015</v>
      </c>
      <c r="D1644" t="s">
        <v>1</v>
      </c>
      <c r="E1644" t="s">
        <v>1</v>
      </c>
      <c r="F1644" t="s">
        <v>0</v>
      </c>
      <c r="G1644" t="str">
        <f>"2018-10-18 15:47:18"</f>
        <v>2018-10-18 15:47:18</v>
      </c>
    </row>
    <row r="1645" spans="1:7" x14ac:dyDescent="0.2">
      <c r="A1645" t="s">
        <v>3266</v>
      </c>
      <c r="B1645" t="str">
        <f>"15805890180"</f>
        <v>15805890180</v>
      </c>
      <c r="C1645" t="str">
        <f>"330724198901133946"</f>
        <v>330724198901133946</v>
      </c>
      <c r="D1645" t="s">
        <v>1</v>
      </c>
      <c r="E1645" t="s">
        <v>1</v>
      </c>
      <c r="F1645" t="s">
        <v>0</v>
      </c>
      <c r="G1645" t="str">
        <f>"2018-10-18 15:36:44"</f>
        <v>2018-10-18 15:36:44</v>
      </c>
    </row>
    <row r="1646" spans="1:7" x14ac:dyDescent="0.2">
      <c r="A1646" t="s">
        <v>1</v>
      </c>
      <c r="B1646" t="str">
        <f>"13623665628"</f>
        <v>13623665628</v>
      </c>
      <c r="C1646" t="s">
        <v>1</v>
      </c>
      <c r="D1646" t="s">
        <v>1</v>
      </c>
      <c r="E1646" t="s">
        <v>1</v>
      </c>
      <c r="F1646" t="s">
        <v>0</v>
      </c>
      <c r="G1646" t="str">
        <f>"2018-10-18 15:39:38"</f>
        <v>2018-10-18 15:39:38</v>
      </c>
    </row>
    <row r="1647" spans="1:7" x14ac:dyDescent="0.2">
      <c r="A1647" t="s">
        <v>3267</v>
      </c>
      <c r="B1647" t="str">
        <f>"18810621931"</f>
        <v>18810621931</v>
      </c>
      <c r="C1647" t="str">
        <f>"231081199310050234"</f>
        <v>231081199310050234</v>
      </c>
      <c r="D1647" t="s">
        <v>1</v>
      </c>
      <c r="E1647" t="s">
        <v>1</v>
      </c>
      <c r="F1647" t="s">
        <v>0</v>
      </c>
      <c r="G1647" t="str">
        <f>"2018-10-18 15:36:31"</f>
        <v>2018-10-18 15:36:31</v>
      </c>
    </row>
    <row r="1648" spans="1:7" x14ac:dyDescent="0.2">
      <c r="A1648" t="s">
        <v>3268</v>
      </c>
      <c r="B1648" t="str">
        <f>"13613657248"</f>
        <v>13613657248</v>
      </c>
      <c r="C1648" t="str">
        <f>"239005199701181523"</f>
        <v>239005199701181523</v>
      </c>
      <c r="D1648" t="s">
        <v>1</v>
      </c>
      <c r="E1648" t="s">
        <v>1</v>
      </c>
      <c r="F1648" t="s">
        <v>0</v>
      </c>
      <c r="G1648" t="str">
        <f>"2018-10-23 09:45:06"</f>
        <v>2018-10-23 09:45:06</v>
      </c>
    </row>
    <row r="1649" spans="1:7" x14ac:dyDescent="0.2">
      <c r="A1649" t="s">
        <v>1</v>
      </c>
      <c r="B1649" t="str">
        <f>"13085723820"</f>
        <v>13085723820</v>
      </c>
      <c r="C1649" t="s">
        <v>1</v>
      </c>
      <c r="D1649" t="s">
        <v>1</v>
      </c>
      <c r="E1649" t="s">
        <v>1</v>
      </c>
      <c r="F1649" t="s">
        <v>0</v>
      </c>
      <c r="G1649" t="str">
        <f>"2018-10-18 15:36:16"</f>
        <v>2018-10-18 15:36:16</v>
      </c>
    </row>
    <row r="1650" spans="1:7" x14ac:dyDescent="0.2">
      <c r="A1650" t="s">
        <v>3269</v>
      </c>
      <c r="B1650" t="str">
        <f>"13303813188"</f>
        <v>13303813188</v>
      </c>
      <c r="C1650" t="str">
        <f>"410522197903150346"</f>
        <v>410522197903150346</v>
      </c>
      <c r="D1650" t="s">
        <v>1</v>
      </c>
      <c r="E1650" t="s">
        <v>1</v>
      </c>
      <c r="F1650" t="s">
        <v>0</v>
      </c>
      <c r="G1650" t="str">
        <f>"2018-10-18 15:37:28"</f>
        <v>2018-10-18 15:37:28</v>
      </c>
    </row>
    <row r="1651" spans="1:7" x14ac:dyDescent="0.2">
      <c r="A1651" t="s">
        <v>1</v>
      </c>
      <c r="B1651" t="str">
        <f>"15138086886"</f>
        <v>15138086886</v>
      </c>
      <c r="C1651" t="s">
        <v>1</v>
      </c>
      <c r="D1651" t="s">
        <v>1</v>
      </c>
      <c r="E1651" t="s">
        <v>1</v>
      </c>
      <c r="F1651" t="s">
        <v>0</v>
      </c>
      <c r="G1651" t="str">
        <f>"2018-10-18 15:37:08"</f>
        <v>2018-10-18 15:37:08</v>
      </c>
    </row>
    <row r="1652" spans="1:7" x14ac:dyDescent="0.2">
      <c r="A1652" t="s">
        <v>3270</v>
      </c>
      <c r="B1652" t="str">
        <f>"13649294969"</f>
        <v>13649294969</v>
      </c>
      <c r="C1652" t="str">
        <f>"610124198101080078"</f>
        <v>610124198101080078</v>
      </c>
      <c r="D1652" t="s">
        <v>1</v>
      </c>
      <c r="E1652" t="s">
        <v>1</v>
      </c>
      <c r="F1652" t="s">
        <v>0</v>
      </c>
      <c r="G1652" t="str">
        <f>"2018-10-19 04:44:38"</f>
        <v>2018-10-19 04:44:38</v>
      </c>
    </row>
    <row r="1653" spans="1:7" x14ac:dyDescent="0.2">
      <c r="A1653" t="s">
        <v>1</v>
      </c>
      <c r="B1653" t="str">
        <f>"13323134912"</f>
        <v>13323134912</v>
      </c>
      <c r="C1653" t="s">
        <v>1</v>
      </c>
      <c r="D1653" t="s">
        <v>1</v>
      </c>
      <c r="E1653" t="s">
        <v>1</v>
      </c>
      <c r="F1653" t="s">
        <v>0</v>
      </c>
      <c r="G1653" t="str">
        <f>"2018-10-18 15:35:57"</f>
        <v>2018-10-18 15:35:57</v>
      </c>
    </row>
    <row r="1654" spans="1:7" x14ac:dyDescent="0.2">
      <c r="A1654" t="s">
        <v>3271</v>
      </c>
      <c r="B1654" t="str">
        <f>"18649316076"</f>
        <v>18649316076</v>
      </c>
      <c r="C1654" t="str">
        <f>"140427198902176013"</f>
        <v>140427198902176013</v>
      </c>
      <c r="D1654" t="s">
        <v>1</v>
      </c>
      <c r="E1654" t="s">
        <v>1</v>
      </c>
      <c r="F1654" t="s">
        <v>0</v>
      </c>
      <c r="G1654" t="str">
        <f>"2018-10-18 15:54:18"</f>
        <v>2018-10-18 15:54:18</v>
      </c>
    </row>
    <row r="1655" spans="1:7" x14ac:dyDescent="0.2">
      <c r="A1655" t="s">
        <v>1</v>
      </c>
      <c r="B1655" t="str">
        <f>"15875669412"</f>
        <v>15875669412</v>
      </c>
      <c r="C1655" t="s">
        <v>1</v>
      </c>
      <c r="D1655" t="s">
        <v>1</v>
      </c>
      <c r="E1655" t="s">
        <v>1</v>
      </c>
      <c r="F1655" t="s">
        <v>0</v>
      </c>
      <c r="G1655" t="str">
        <f>"2018-10-18 15:35:47"</f>
        <v>2018-10-18 15:35:47</v>
      </c>
    </row>
    <row r="1656" spans="1:7" x14ac:dyDescent="0.2">
      <c r="A1656" t="s">
        <v>905</v>
      </c>
      <c r="B1656" t="str">
        <f>"15149485698"</f>
        <v>15149485698</v>
      </c>
      <c r="C1656" t="str">
        <f>"152722199303276138"</f>
        <v>152722199303276138</v>
      </c>
      <c r="D1656" t="s">
        <v>3272</v>
      </c>
      <c r="E1656" t="s">
        <v>3273</v>
      </c>
      <c r="F1656" t="s">
        <v>0</v>
      </c>
      <c r="G1656" t="str">
        <f>"2018-10-18 15:36:21"</f>
        <v>2018-10-18 15:36:21</v>
      </c>
    </row>
    <row r="1657" spans="1:7" x14ac:dyDescent="0.2">
      <c r="A1657" t="s">
        <v>3274</v>
      </c>
      <c r="B1657" t="str">
        <f>"13654449521"</f>
        <v>13654449521</v>
      </c>
      <c r="C1657" t="str">
        <f>"220302199510250423"</f>
        <v>220302199510250423</v>
      </c>
      <c r="D1657" t="s">
        <v>1</v>
      </c>
      <c r="E1657" t="s">
        <v>1</v>
      </c>
      <c r="F1657" t="s">
        <v>0</v>
      </c>
      <c r="G1657" t="str">
        <f>"2018-10-18 15:35:37"</f>
        <v>2018-10-18 15:35:37</v>
      </c>
    </row>
    <row r="1658" spans="1:7" x14ac:dyDescent="0.2">
      <c r="A1658" t="s">
        <v>3275</v>
      </c>
      <c r="B1658" t="str">
        <f>"13706016208"</f>
        <v>13706016208</v>
      </c>
      <c r="C1658" t="str">
        <f>"350721198708090811"</f>
        <v>350721198708090811</v>
      </c>
      <c r="D1658" t="s">
        <v>1</v>
      </c>
      <c r="E1658" t="s">
        <v>1</v>
      </c>
      <c r="F1658" t="s">
        <v>0</v>
      </c>
      <c r="G1658" t="str">
        <f>"2018-10-18 15:35:31"</f>
        <v>2018-10-18 15:35:31</v>
      </c>
    </row>
    <row r="1659" spans="1:7" x14ac:dyDescent="0.2">
      <c r="A1659" t="s">
        <v>3276</v>
      </c>
      <c r="B1659" t="str">
        <f>"18093708884"</f>
        <v>18093708884</v>
      </c>
      <c r="C1659" t="str">
        <f>"622102198511150636"</f>
        <v>622102198511150636</v>
      </c>
      <c r="D1659" t="s">
        <v>3277</v>
      </c>
      <c r="E1659" t="s">
        <v>3278</v>
      </c>
      <c r="F1659" t="s">
        <v>0</v>
      </c>
      <c r="G1659" t="str">
        <f>"2018-10-18 15:42:42"</f>
        <v>2018-10-18 15:42:42</v>
      </c>
    </row>
    <row r="1660" spans="1:7" x14ac:dyDescent="0.2">
      <c r="A1660" t="s">
        <v>3279</v>
      </c>
      <c r="B1660" t="str">
        <f>"18661691421"</f>
        <v>18661691421</v>
      </c>
      <c r="C1660" t="str">
        <f>"340826199410193420"</f>
        <v>340826199410193420</v>
      </c>
      <c r="D1660" t="s">
        <v>1</v>
      </c>
      <c r="E1660" t="s">
        <v>1</v>
      </c>
      <c r="F1660" t="s">
        <v>0</v>
      </c>
      <c r="G1660" t="str">
        <f>"2018-10-18 15:35:14"</f>
        <v>2018-10-18 15:35:14</v>
      </c>
    </row>
    <row r="1661" spans="1:7" x14ac:dyDescent="0.2">
      <c r="A1661" t="s">
        <v>3280</v>
      </c>
      <c r="B1661" t="str">
        <f>"18896304834"</f>
        <v>18896304834</v>
      </c>
      <c r="C1661" t="str">
        <f>"532621199904110319"</f>
        <v>532621199904110319</v>
      </c>
      <c r="D1661" t="s">
        <v>1</v>
      </c>
      <c r="E1661" t="s">
        <v>1</v>
      </c>
      <c r="F1661" t="s">
        <v>0</v>
      </c>
      <c r="G1661" t="str">
        <f>"2018-10-18 15:37:37"</f>
        <v>2018-10-18 15:37:37</v>
      </c>
    </row>
    <row r="1662" spans="1:7" x14ac:dyDescent="0.2">
      <c r="A1662" t="s">
        <v>3281</v>
      </c>
      <c r="B1662" t="str">
        <f>"15599081413"</f>
        <v>15599081413</v>
      </c>
      <c r="C1662" t="str">
        <f>"612322199205284010"</f>
        <v>612322199205284010</v>
      </c>
      <c r="D1662" t="s">
        <v>3282</v>
      </c>
      <c r="E1662" t="s">
        <v>3283</v>
      </c>
      <c r="F1662" t="s">
        <v>0</v>
      </c>
      <c r="G1662" t="str">
        <f>"2018-10-18 15:36:30"</f>
        <v>2018-10-18 15:36:30</v>
      </c>
    </row>
    <row r="1663" spans="1:7" x14ac:dyDescent="0.2">
      <c r="A1663" t="s">
        <v>3284</v>
      </c>
      <c r="B1663" t="str">
        <f>"15048158830"</f>
        <v>15048158830</v>
      </c>
      <c r="C1663" t="str">
        <f>"152628199012115193"</f>
        <v>152628199012115193</v>
      </c>
      <c r="D1663" t="s">
        <v>979</v>
      </c>
      <c r="E1663" t="s">
        <v>3285</v>
      </c>
      <c r="F1663" t="s">
        <v>0</v>
      </c>
      <c r="G1663" t="str">
        <f>"2018-10-18 15:36:11"</f>
        <v>2018-10-18 15:36:11</v>
      </c>
    </row>
    <row r="1664" spans="1:7" x14ac:dyDescent="0.2">
      <c r="A1664" t="s">
        <v>3286</v>
      </c>
      <c r="B1664" t="str">
        <f>"15589444678"</f>
        <v>15589444678</v>
      </c>
      <c r="C1664" t="str">
        <f>"372901199708121812"</f>
        <v>372901199708121812</v>
      </c>
      <c r="D1664" t="s">
        <v>1</v>
      </c>
      <c r="E1664" t="s">
        <v>1</v>
      </c>
      <c r="F1664" t="s">
        <v>0</v>
      </c>
      <c r="G1664" t="str">
        <f>"2018-10-18 15:36:34"</f>
        <v>2018-10-18 15:36:34</v>
      </c>
    </row>
    <row r="1665" spans="1:7" x14ac:dyDescent="0.2">
      <c r="A1665" t="s">
        <v>3287</v>
      </c>
      <c r="B1665" t="str">
        <f>"18855330132"</f>
        <v>18855330132</v>
      </c>
      <c r="C1665" t="str">
        <f>"32128319941125643X"</f>
        <v>32128319941125643X</v>
      </c>
      <c r="D1665" t="s">
        <v>1</v>
      </c>
      <c r="E1665" t="s">
        <v>1</v>
      </c>
      <c r="F1665" t="s">
        <v>0</v>
      </c>
      <c r="G1665" t="str">
        <f>"2018-10-18 15:34:14"</f>
        <v>2018-10-18 15:34:14</v>
      </c>
    </row>
    <row r="1666" spans="1:7" x14ac:dyDescent="0.2">
      <c r="A1666" t="s">
        <v>3288</v>
      </c>
      <c r="B1666" t="str">
        <f>"13045251621"</f>
        <v>13045251621</v>
      </c>
      <c r="C1666" t="str">
        <f>"230716198107310315"</f>
        <v>230716198107310315</v>
      </c>
      <c r="D1666" t="s">
        <v>1</v>
      </c>
      <c r="E1666" t="s">
        <v>1</v>
      </c>
      <c r="F1666" t="s">
        <v>0</v>
      </c>
      <c r="G1666" t="str">
        <f>"2018-10-18 15:36:58"</f>
        <v>2018-10-18 15:36:58</v>
      </c>
    </row>
    <row r="1667" spans="1:7" x14ac:dyDescent="0.2">
      <c r="A1667" t="s">
        <v>3289</v>
      </c>
      <c r="B1667" t="str">
        <f>"15198634579"</f>
        <v>15198634579</v>
      </c>
      <c r="C1667" t="str">
        <f>"532623198405141194"</f>
        <v>532623198405141194</v>
      </c>
      <c r="D1667" t="s">
        <v>1</v>
      </c>
      <c r="E1667" t="s">
        <v>1</v>
      </c>
      <c r="F1667" t="s">
        <v>0</v>
      </c>
      <c r="G1667" t="str">
        <f>"2018-10-18 15:36:13"</f>
        <v>2018-10-18 15:36:13</v>
      </c>
    </row>
    <row r="1668" spans="1:7" x14ac:dyDescent="0.2">
      <c r="A1668" t="s">
        <v>3290</v>
      </c>
      <c r="B1668" t="str">
        <f>"18855929192"</f>
        <v>18855929192</v>
      </c>
      <c r="C1668" t="str">
        <f>"341004198610111412"</f>
        <v>341004198610111412</v>
      </c>
      <c r="D1668" t="s">
        <v>1</v>
      </c>
      <c r="E1668" t="s">
        <v>1</v>
      </c>
      <c r="F1668" t="s">
        <v>0</v>
      </c>
      <c r="G1668" t="str">
        <f>"2018-10-18 15:43:10"</f>
        <v>2018-10-18 15:43:10</v>
      </c>
    </row>
    <row r="1669" spans="1:7" x14ac:dyDescent="0.2">
      <c r="A1669" t="s">
        <v>3291</v>
      </c>
      <c r="B1669" t="str">
        <f>"13732327056"</f>
        <v>13732327056</v>
      </c>
      <c r="C1669" t="str">
        <f>"513030198012230020"</f>
        <v>513030198012230020</v>
      </c>
      <c r="D1669" t="s">
        <v>1</v>
      </c>
      <c r="E1669" t="s">
        <v>1</v>
      </c>
      <c r="F1669" t="s">
        <v>0</v>
      </c>
      <c r="G1669" t="str">
        <f>"2018-10-24 15:28:30"</f>
        <v>2018-10-24 15:28:30</v>
      </c>
    </row>
    <row r="1670" spans="1:7" x14ac:dyDescent="0.2">
      <c r="A1670" t="s">
        <v>1</v>
      </c>
      <c r="B1670" t="str">
        <f>"15081424411"</f>
        <v>15081424411</v>
      </c>
      <c r="C1670" t="s">
        <v>1</v>
      </c>
      <c r="D1670" t="s">
        <v>1</v>
      </c>
      <c r="E1670" t="s">
        <v>1</v>
      </c>
      <c r="F1670" t="s">
        <v>0</v>
      </c>
      <c r="G1670" t="str">
        <f>"2018-10-18 15:33:52"</f>
        <v>2018-10-18 15:33:52</v>
      </c>
    </row>
    <row r="1671" spans="1:7" x14ac:dyDescent="0.2">
      <c r="A1671" t="s">
        <v>3292</v>
      </c>
      <c r="B1671" t="str">
        <f>"15262717539"</f>
        <v>15262717539</v>
      </c>
      <c r="C1671" t="str">
        <f>"320621199008282218"</f>
        <v>320621199008282218</v>
      </c>
      <c r="D1671" t="s">
        <v>3293</v>
      </c>
      <c r="E1671" t="s">
        <v>3294</v>
      </c>
      <c r="F1671" t="s">
        <v>0</v>
      </c>
      <c r="G1671" t="str">
        <f>"2018-10-18 15:33:44"</f>
        <v>2018-10-18 15:33:44</v>
      </c>
    </row>
    <row r="1672" spans="1:7" x14ac:dyDescent="0.2">
      <c r="A1672" t="s">
        <v>1</v>
      </c>
      <c r="B1672" t="str">
        <f>"13515785994"</f>
        <v>13515785994</v>
      </c>
      <c r="C1672" t="s">
        <v>1</v>
      </c>
      <c r="D1672" t="s">
        <v>1</v>
      </c>
      <c r="E1672" t="s">
        <v>1</v>
      </c>
      <c r="F1672" t="s">
        <v>0</v>
      </c>
      <c r="G1672" t="str">
        <f>"2018-10-18 15:33:37"</f>
        <v>2018-10-18 15:33:37</v>
      </c>
    </row>
    <row r="1673" spans="1:7" x14ac:dyDescent="0.2">
      <c r="A1673" t="s">
        <v>3295</v>
      </c>
      <c r="B1673" t="str">
        <f>"15987247956"</f>
        <v>15987247956</v>
      </c>
      <c r="C1673" t="str">
        <f>"53232319840206051X"</f>
        <v>53232319840206051X</v>
      </c>
      <c r="D1673" t="s">
        <v>1</v>
      </c>
      <c r="E1673" t="s">
        <v>1</v>
      </c>
      <c r="F1673" t="s">
        <v>0</v>
      </c>
      <c r="G1673" t="str">
        <f>"2018-10-28 13:33:36"</f>
        <v>2018-10-28 13:33:36</v>
      </c>
    </row>
    <row r="1674" spans="1:7" x14ac:dyDescent="0.2">
      <c r="A1674" t="s">
        <v>3296</v>
      </c>
      <c r="B1674" t="str">
        <f>"15927138425"</f>
        <v>15927138425</v>
      </c>
      <c r="C1674" t="str">
        <f>"420105198911271226"</f>
        <v>420105198911271226</v>
      </c>
      <c r="D1674" t="s">
        <v>1</v>
      </c>
      <c r="E1674" t="s">
        <v>1</v>
      </c>
      <c r="F1674" t="s">
        <v>0</v>
      </c>
      <c r="G1674" t="str">
        <f>"2018-10-27 15:48:16"</f>
        <v>2018-10-27 15:48:16</v>
      </c>
    </row>
    <row r="1675" spans="1:7" x14ac:dyDescent="0.2">
      <c r="A1675" t="s">
        <v>3297</v>
      </c>
      <c r="B1675" t="str">
        <f>"18232010612"</f>
        <v>18232010612</v>
      </c>
      <c r="C1675" t="str">
        <f>"130429199111118445"</f>
        <v>130429199111118445</v>
      </c>
      <c r="D1675" t="s">
        <v>1</v>
      </c>
      <c r="E1675" t="s">
        <v>1</v>
      </c>
      <c r="F1675" t="s">
        <v>0</v>
      </c>
      <c r="G1675" t="str">
        <f>"2018-10-25 11:39:38"</f>
        <v>2018-10-25 11:39:38</v>
      </c>
    </row>
    <row r="1676" spans="1:7" x14ac:dyDescent="0.2">
      <c r="A1676" t="s">
        <v>3298</v>
      </c>
      <c r="B1676" t="str">
        <f>"13841464142"</f>
        <v>13841464142</v>
      </c>
      <c r="C1676" t="str">
        <f>"210502198210310337"</f>
        <v>210502198210310337</v>
      </c>
      <c r="D1676" t="s">
        <v>3299</v>
      </c>
      <c r="E1676" t="s">
        <v>3300</v>
      </c>
      <c r="F1676" t="s">
        <v>0</v>
      </c>
      <c r="G1676" t="str">
        <f>"2018-10-23 20:29:33"</f>
        <v>2018-10-23 20:29:33</v>
      </c>
    </row>
    <row r="1677" spans="1:7" x14ac:dyDescent="0.2">
      <c r="A1677" t="s">
        <v>3301</v>
      </c>
      <c r="B1677" t="str">
        <f>"13969213887"</f>
        <v>13969213887</v>
      </c>
      <c r="C1677" t="str">
        <f>"371421199406076777"</f>
        <v>371421199406076777</v>
      </c>
      <c r="D1677" t="s">
        <v>1</v>
      </c>
      <c r="E1677" t="s">
        <v>1</v>
      </c>
      <c r="F1677" t="s">
        <v>0</v>
      </c>
      <c r="G1677" t="str">
        <f>"2018-10-18 15:33:16"</f>
        <v>2018-10-18 15:33:16</v>
      </c>
    </row>
    <row r="1678" spans="1:7" x14ac:dyDescent="0.2">
      <c r="A1678" t="s">
        <v>3302</v>
      </c>
      <c r="B1678" t="str">
        <f>"18324139198"</f>
        <v>18324139198</v>
      </c>
      <c r="C1678" t="str">
        <f>"513701198310112619"</f>
        <v>513701198310112619</v>
      </c>
      <c r="D1678" t="s">
        <v>1</v>
      </c>
      <c r="E1678" t="s">
        <v>1</v>
      </c>
      <c r="F1678" t="s">
        <v>0</v>
      </c>
      <c r="G1678" t="str">
        <f>"2018-10-19 00:03:42"</f>
        <v>2018-10-19 00:03:42</v>
      </c>
    </row>
    <row r="1679" spans="1:7" x14ac:dyDescent="0.2">
      <c r="A1679" t="s">
        <v>1</v>
      </c>
      <c r="B1679" t="str">
        <f>"18842930708"</f>
        <v>18842930708</v>
      </c>
      <c r="C1679" t="s">
        <v>1</v>
      </c>
      <c r="D1679" t="s">
        <v>1</v>
      </c>
      <c r="E1679" t="s">
        <v>1</v>
      </c>
      <c r="F1679" t="s">
        <v>0</v>
      </c>
      <c r="G1679" t="str">
        <f>"2018-10-18 15:33:15"</f>
        <v>2018-10-18 15:33:15</v>
      </c>
    </row>
    <row r="1680" spans="1:7" x14ac:dyDescent="0.2">
      <c r="A1680" t="s">
        <v>1</v>
      </c>
      <c r="B1680" t="str">
        <f>"18303213077"</f>
        <v>18303213077</v>
      </c>
      <c r="C1680" t="s">
        <v>1</v>
      </c>
      <c r="D1680" t="s">
        <v>1</v>
      </c>
      <c r="E1680" t="s">
        <v>1</v>
      </c>
      <c r="F1680" t="s">
        <v>0</v>
      </c>
      <c r="G1680" t="str">
        <f>"2018-10-18 15:33:13"</f>
        <v>2018-10-18 15:33:13</v>
      </c>
    </row>
    <row r="1681" spans="1:7" x14ac:dyDescent="0.2">
      <c r="A1681" t="s">
        <v>1</v>
      </c>
      <c r="B1681" t="str">
        <f>"18686725415"</f>
        <v>18686725415</v>
      </c>
      <c r="C1681" t="s">
        <v>1</v>
      </c>
      <c r="D1681" t="s">
        <v>1</v>
      </c>
      <c r="E1681" t="s">
        <v>1</v>
      </c>
      <c r="F1681" t="s">
        <v>0</v>
      </c>
      <c r="G1681" t="str">
        <f>"2018-10-18 15:33:12"</f>
        <v>2018-10-18 15:33:12</v>
      </c>
    </row>
    <row r="1682" spans="1:7" x14ac:dyDescent="0.2">
      <c r="A1682" t="s">
        <v>3303</v>
      </c>
      <c r="B1682" t="str">
        <f>"13999004623"</f>
        <v>13999004623</v>
      </c>
      <c r="C1682" t="str">
        <f>"652828198802010315"</f>
        <v>652828198802010315</v>
      </c>
      <c r="D1682" t="s">
        <v>1</v>
      </c>
      <c r="E1682" t="s">
        <v>1</v>
      </c>
      <c r="F1682" t="s">
        <v>0</v>
      </c>
      <c r="G1682" t="str">
        <f>"2018-10-18 15:39:20"</f>
        <v>2018-10-18 15:39:20</v>
      </c>
    </row>
    <row r="1683" spans="1:7" x14ac:dyDescent="0.2">
      <c r="A1683" t="s">
        <v>3304</v>
      </c>
      <c r="B1683" t="str">
        <f>"15165555576"</f>
        <v>15165555576</v>
      </c>
      <c r="C1683" t="str">
        <f>"371302198108020848"</f>
        <v>371302198108020848</v>
      </c>
      <c r="D1683" t="s">
        <v>1</v>
      </c>
      <c r="E1683" t="s">
        <v>1</v>
      </c>
      <c r="F1683" t="s">
        <v>0</v>
      </c>
      <c r="G1683" t="str">
        <f>"2018-10-18 15:41:05"</f>
        <v>2018-10-18 15:41:05</v>
      </c>
    </row>
    <row r="1684" spans="1:7" x14ac:dyDescent="0.2">
      <c r="A1684" t="s">
        <v>3305</v>
      </c>
      <c r="B1684" t="str">
        <f>"13796204300"</f>
        <v>13796204300</v>
      </c>
      <c r="C1684" t="str">
        <f>"230119198601101355"</f>
        <v>230119198601101355</v>
      </c>
      <c r="D1684" t="s">
        <v>1</v>
      </c>
      <c r="E1684" t="s">
        <v>1</v>
      </c>
      <c r="F1684" t="s">
        <v>0</v>
      </c>
      <c r="G1684" t="str">
        <f>"2018-10-18 15:36:48"</f>
        <v>2018-10-18 15:36:48</v>
      </c>
    </row>
    <row r="1685" spans="1:7" x14ac:dyDescent="0.2">
      <c r="A1685" t="s">
        <v>1</v>
      </c>
      <c r="B1685" t="str">
        <f>"15826798800"</f>
        <v>15826798800</v>
      </c>
      <c r="C1685" t="s">
        <v>1</v>
      </c>
      <c r="D1685" t="s">
        <v>1</v>
      </c>
      <c r="E1685" t="s">
        <v>1</v>
      </c>
      <c r="F1685" t="s">
        <v>0</v>
      </c>
      <c r="G1685" t="str">
        <f>"2018-10-18 15:35:22"</f>
        <v>2018-10-18 15:35:22</v>
      </c>
    </row>
    <row r="1686" spans="1:7" x14ac:dyDescent="0.2">
      <c r="A1686" t="s">
        <v>3306</v>
      </c>
      <c r="B1686" t="str">
        <f>"18256950371"</f>
        <v>18256950371</v>
      </c>
      <c r="C1686" t="str">
        <f>"340104198111103519"</f>
        <v>340104198111103519</v>
      </c>
      <c r="D1686" t="s">
        <v>1</v>
      </c>
      <c r="E1686" t="s">
        <v>1</v>
      </c>
      <c r="F1686" t="s">
        <v>0</v>
      </c>
      <c r="G1686" t="str">
        <f>"2018-10-18 15:34:23"</f>
        <v>2018-10-18 15:34:23</v>
      </c>
    </row>
    <row r="1687" spans="1:7" x14ac:dyDescent="0.2">
      <c r="A1687" t="s">
        <v>1</v>
      </c>
      <c r="B1687" t="str">
        <f>"18513755333"</f>
        <v>18513755333</v>
      </c>
      <c r="C1687" t="s">
        <v>1</v>
      </c>
      <c r="D1687" t="s">
        <v>1</v>
      </c>
      <c r="E1687" t="s">
        <v>1</v>
      </c>
      <c r="F1687" t="s">
        <v>0</v>
      </c>
      <c r="G1687" t="str">
        <f>"2018-10-18 15:32:58"</f>
        <v>2018-10-18 15:32:58</v>
      </c>
    </row>
    <row r="1688" spans="1:7" x14ac:dyDescent="0.2">
      <c r="A1688" t="s">
        <v>3307</v>
      </c>
      <c r="B1688" t="str">
        <f>"15872159240"</f>
        <v>15872159240</v>
      </c>
      <c r="C1688" t="str">
        <f>"421087199308274224"</f>
        <v>421087199308274224</v>
      </c>
      <c r="D1688" t="s">
        <v>1</v>
      </c>
      <c r="E1688" t="s">
        <v>1</v>
      </c>
      <c r="F1688" t="s">
        <v>0</v>
      </c>
      <c r="G1688" t="str">
        <f>"2018-10-18 15:34:12"</f>
        <v>2018-10-18 15:34:12</v>
      </c>
    </row>
    <row r="1689" spans="1:7" x14ac:dyDescent="0.2">
      <c r="A1689" t="s">
        <v>3308</v>
      </c>
      <c r="B1689" t="str">
        <f>"15298716926"</f>
        <v>15298716926</v>
      </c>
      <c r="C1689" t="str">
        <f>"320322198208153416"</f>
        <v>320322198208153416</v>
      </c>
      <c r="D1689" t="s">
        <v>3309</v>
      </c>
      <c r="E1689" t="s">
        <v>3310</v>
      </c>
      <c r="F1689" t="s">
        <v>0</v>
      </c>
      <c r="G1689" t="str">
        <f>"2018-10-18 16:56:57"</f>
        <v>2018-10-18 16:56:57</v>
      </c>
    </row>
    <row r="1690" spans="1:7" x14ac:dyDescent="0.2">
      <c r="A1690" t="s">
        <v>1</v>
      </c>
      <c r="B1690" t="str">
        <f>"18979767772"</f>
        <v>18979767772</v>
      </c>
      <c r="C1690" t="s">
        <v>1</v>
      </c>
      <c r="D1690" t="s">
        <v>1</v>
      </c>
      <c r="E1690" t="s">
        <v>1</v>
      </c>
      <c r="F1690" t="s">
        <v>0</v>
      </c>
      <c r="G1690" t="str">
        <f>"2018-10-18 15:34:17"</f>
        <v>2018-10-18 15:34:17</v>
      </c>
    </row>
    <row r="1691" spans="1:7" x14ac:dyDescent="0.2">
      <c r="A1691" t="s">
        <v>1</v>
      </c>
      <c r="B1691" t="str">
        <f>"13136470316"</f>
        <v>13136470316</v>
      </c>
      <c r="C1691" t="s">
        <v>1</v>
      </c>
      <c r="D1691" t="s">
        <v>1</v>
      </c>
      <c r="E1691" t="s">
        <v>1</v>
      </c>
      <c r="F1691" t="s">
        <v>0</v>
      </c>
      <c r="G1691" t="str">
        <f>"2018-10-18 15:32:30"</f>
        <v>2018-10-18 15:32:30</v>
      </c>
    </row>
    <row r="1692" spans="1:7" x14ac:dyDescent="0.2">
      <c r="A1692" t="s">
        <v>3311</v>
      </c>
      <c r="B1692" t="str">
        <f>"15509567471"</f>
        <v>15509567471</v>
      </c>
      <c r="C1692" t="str">
        <f>"640381198405082746"</f>
        <v>640381198405082746</v>
      </c>
      <c r="D1692" t="s">
        <v>1</v>
      </c>
      <c r="E1692" t="s">
        <v>1</v>
      </c>
      <c r="F1692" t="s">
        <v>0</v>
      </c>
      <c r="G1692" t="str">
        <f>"2018-10-18 15:34:06"</f>
        <v>2018-10-18 15:34:06</v>
      </c>
    </row>
    <row r="1693" spans="1:7" x14ac:dyDescent="0.2">
      <c r="A1693" t="s">
        <v>3312</v>
      </c>
      <c r="B1693" t="str">
        <f>"17602664363"</f>
        <v>17602664363</v>
      </c>
      <c r="C1693" t="str">
        <f>"410527198504153415"</f>
        <v>410527198504153415</v>
      </c>
      <c r="D1693" t="s">
        <v>1</v>
      </c>
      <c r="E1693" t="s">
        <v>1</v>
      </c>
      <c r="F1693" t="s">
        <v>0</v>
      </c>
      <c r="G1693" t="str">
        <f>"2018-10-18 15:33:25"</f>
        <v>2018-10-18 15:33:25</v>
      </c>
    </row>
    <row r="1694" spans="1:7" x14ac:dyDescent="0.2">
      <c r="A1694" t="s">
        <v>1</v>
      </c>
      <c r="B1694" t="str">
        <f>"18796671948"</f>
        <v>18796671948</v>
      </c>
      <c r="C1694" t="s">
        <v>1</v>
      </c>
      <c r="D1694" t="s">
        <v>1</v>
      </c>
      <c r="E1694" t="s">
        <v>1</v>
      </c>
      <c r="F1694" t="s">
        <v>0</v>
      </c>
      <c r="G1694" t="str">
        <f>"2018-10-18 15:38:29"</f>
        <v>2018-10-18 15:38:29</v>
      </c>
    </row>
    <row r="1695" spans="1:7" x14ac:dyDescent="0.2">
      <c r="A1695" t="s">
        <v>3313</v>
      </c>
      <c r="B1695" t="str">
        <f>"18602542621"</f>
        <v>18602542621</v>
      </c>
      <c r="C1695" t="str">
        <f>"320123198610244629"</f>
        <v>320123198610244629</v>
      </c>
      <c r="D1695" t="s">
        <v>1</v>
      </c>
      <c r="E1695" t="s">
        <v>1</v>
      </c>
      <c r="F1695" t="s">
        <v>0</v>
      </c>
      <c r="G1695" t="str">
        <f>"2018-10-18 15:47:00"</f>
        <v>2018-10-18 15:47:00</v>
      </c>
    </row>
    <row r="1696" spans="1:7" x14ac:dyDescent="0.2">
      <c r="A1696" t="s">
        <v>3314</v>
      </c>
      <c r="B1696" t="str">
        <f>"18385597627"</f>
        <v>18385597627</v>
      </c>
      <c r="C1696" t="str">
        <f>"522727199001040913"</f>
        <v>522727199001040913</v>
      </c>
      <c r="D1696" t="s">
        <v>1</v>
      </c>
      <c r="E1696" t="s">
        <v>1</v>
      </c>
      <c r="F1696" t="s">
        <v>0</v>
      </c>
      <c r="G1696" t="str">
        <f>"2018-10-24 04:19:04"</f>
        <v>2018-10-24 04:19:04</v>
      </c>
    </row>
    <row r="1697" spans="1:7" x14ac:dyDescent="0.2">
      <c r="A1697" t="s">
        <v>3315</v>
      </c>
      <c r="B1697" t="str">
        <f>"13076218659"</f>
        <v>13076218659</v>
      </c>
      <c r="C1697" t="str">
        <f>"440281199605090427"</f>
        <v>440281199605090427</v>
      </c>
      <c r="D1697" t="s">
        <v>1</v>
      </c>
      <c r="E1697" t="s">
        <v>1</v>
      </c>
      <c r="F1697" t="s">
        <v>0</v>
      </c>
      <c r="G1697" t="str">
        <f>"2018-10-18 15:53:57"</f>
        <v>2018-10-18 15:53:57</v>
      </c>
    </row>
    <row r="1698" spans="1:7" x14ac:dyDescent="0.2">
      <c r="A1698" t="s">
        <v>3316</v>
      </c>
      <c r="B1698" t="str">
        <f>"17681755772"</f>
        <v>17681755772</v>
      </c>
      <c r="C1698" t="str">
        <f>"500223198403242515"</f>
        <v>500223198403242515</v>
      </c>
      <c r="D1698" t="s">
        <v>1</v>
      </c>
      <c r="E1698" t="s">
        <v>1</v>
      </c>
      <c r="F1698" t="s">
        <v>0</v>
      </c>
      <c r="G1698" t="str">
        <f>"2018-10-18 15:39:59"</f>
        <v>2018-10-18 15:39:59</v>
      </c>
    </row>
    <row r="1699" spans="1:7" x14ac:dyDescent="0.2">
      <c r="A1699" t="s">
        <v>3317</v>
      </c>
      <c r="B1699" t="str">
        <f>"13903306357"</f>
        <v>13903306357</v>
      </c>
      <c r="C1699" t="str">
        <f>"130426198708033221"</f>
        <v>130426198708033221</v>
      </c>
      <c r="D1699" t="s">
        <v>1</v>
      </c>
      <c r="E1699" t="s">
        <v>1</v>
      </c>
      <c r="F1699" t="s">
        <v>0</v>
      </c>
      <c r="G1699" t="str">
        <f>"2018-10-18 15:40:33"</f>
        <v>2018-10-18 15:40:33</v>
      </c>
    </row>
    <row r="1700" spans="1:7" x14ac:dyDescent="0.2">
      <c r="A1700" t="s">
        <v>1</v>
      </c>
      <c r="B1700" t="str">
        <f>"18642916225"</f>
        <v>18642916225</v>
      </c>
      <c r="C1700" t="s">
        <v>1</v>
      </c>
      <c r="D1700" t="s">
        <v>1</v>
      </c>
      <c r="E1700" t="s">
        <v>1</v>
      </c>
      <c r="F1700" t="s">
        <v>0</v>
      </c>
      <c r="G1700" t="str">
        <f>"2018-10-18 15:32:49"</f>
        <v>2018-10-18 15:32:49</v>
      </c>
    </row>
    <row r="1701" spans="1:7" x14ac:dyDescent="0.2">
      <c r="A1701" t="s">
        <v>3318</v>
      </c>
      <c r="B1701" t="str">
        <f>"18360955855"</f>
        <v>18360955855</v>
      </c>
      <c r="C1701" t="str">
        <f>"32082619860506281X"</f>
        <v>32082619860506281X</v>
      </c>
      <c r="D1701" t="s">
        <v>1</v>
      </c>
      <c r="E1701" t="s">
        <v>1</v>
      </c>
      <c r="F1701" t="s">
        <v>0</v>
      </c>
      <c r="G1701" t="str">
        <f>"2018-10-18 15:31:43"</f>
        <v>2018-10-18 15:31:43</v>
      </c>
    </row>
    <row r="1702" spans="1:7" x14ac:dyDescent="0.2">
      <c r="A1702" t="s">
        <v>1364</v>
      </c>
      <c r="B1702" t="str">
        <f>"18913264500"</f>
        <v>18913264500</v>
      </c>
      <c r="C1702" t="str">
        <f>"320583198909242917"</f>
        <v>320583198909242917</v>
      </c>
      <c r="D1702" t="s">
        <v>1</v>
      </c>
      <c r="E1702" t="s">
        <v>1</v>
      </c>
      <c r="F1702" t="s">
        <v>0</v>
      </c>
      <c r="G1702" t="str">
        <f>"2018-10-18 15:32:58"</f>
        <v>2018-10-18 15:32:58</v>
      </c>
    </row>
    <row r="1703" spans="1:7" x14ac:dyDescent="0.2">
      <c r="A1703" t="s">
        <v>3319</v>
      </c>
      <c r="B1703" t="str">
        <f>"15830228380"</f>
        <v>15830228380</v>
      </c>
      <c r="C1703" t="str">
        <f>"320721198710063630"</f>
        <v>320721198710063630</v>
      </c>
      <c r="D1703" t="s">
        <v>1</v>
      </c>
      <c r="E1703" t="s">
        <v>1</v>
      </c>
      <c r="F1703" t="s">
        <v>0</v>
      </c>
      <c r="G1703" t="str">
        <f>"2018-10-18 15:31:34"</f>
        <v>2018-10-18 15:31:34</v>
      </c>
    </row>
    <row r="1704" spans="1:7" x14ac:dyDescent="0.2">
      <c r="A1704" t="s">
        <v>3320</v>
      </c>
      <c r="B1704" t="str">
        <f>"15722549400"</f>
        <v>15722549400</v>
      </c>
      <c r="C1704" t="str">
        <f>"320921199507050151"</f>
        <v>320921199507050151</v>
      </c>
      <c r="D1704" t="s">
        <v>1</v>
      </c>
      <c r="E1704" t="s">
        <v>1</v>
      </c>
      <c r="F1704" t="s">
        <v>0</v>
      </c>
      <c r="G1704" t="str">
        <f>"2018-10-18 15:31:20"</f>
        <v>2018-10-18 15:31:20</v>
      </c>
    </row>
    <row r="1705" spans="1:7" x14ac:dyDescent="0.2">
      <c r="A1705" t="s">
        <v>3321</v>
      </c>
      <c r="B1705" t="str">
        <f>"13333613700"</f>
        <v>13333613700</v>
      </c>
      <c r="C1705" t="str">
        <f>"360681198912256818"</f>
        <v>360681198912256818</v>
      </c>
      <c r="D1705" t="s">
        <v>1</v>
      </c>
      <c r="E1705" t="s">
        <v>1</v>
      </c>
      <c r="F1705" t="s">
        <v>0</v>
      </c>
      <c r="G1705" t="str">
        <f>"2018-10-18 15:32:41"</f>
        <v>2018-10-18 15:32:41</v>
      </c>
    </row>
    <row r="1706" spans="1:7" x14ac:dyDescent="0.2">
      <c r="A1706" t="s">
        <v>3322</v>
      </c>
      <c r="B1706" t="str">
        <f>"13857165619"</f>
        <v>13857165619</v>
      </c>
      <c r="C1706" t="str">
        <f>"330125198005103531"</f>
        <v>330125198005103531</v>
      </c>
      <c r="D1706" t="s">
        <v>1</v>
      </c>
      <c r="E1706" t="s">
        <v>1</v>
      </c>
      <c r="F1706" t="s">
        <v>0</v>
      </c>
      <c r="G1706" t="str">
        <f>"2018-10-18 15:33:49"</f>
        <v>2018-10-18 15:33:49</v>
      </c>
    </row>
    <row r="1707" spans="1:7" x14ac:dyDescent="0.2">
      <c r="A1707" t="s">
        <v>3323</v>
      </c>
      <c r="B1707" t="str">
        <f>"13540202466"</f>
        <v>13540202466</v>
      </c>
      <c r="C1707" t="str">
        <f>"510108198306210311"</f>
        <v>510108198306210311</v>
      </c>
      <c r="D1707" t="s">
        <v>1</v>
      </c>
      <c r="E1707" t="s">
        <v>1</v>
      </c>
      <c r="F1707" t="s">
        <v>0</v>
      </c>
      <c r="G1707" t="str">
        <f>"2018-10-18 15:36:35"</f>
        <v>2018-10-18 15:36:35</v>
      </c>
    </row>
    <row r="1708" spans="1:7" x14ac:dyDescent="0.2">
      <c r="A1708" t="s">
        <v>3324</v>
      </c>
      <c r="B1708" t="str">
        <f>"13682338852"</f>
        <v>13682338852</v>
      </c>
      <c r="C1708" t="str">
        <f>"430923199001042013"</f>
        <v>430923199001042013</v>
      </c>
      <c r="D1708" t="s">
        <v>1</v>
      </c>
      <c r="E1708" t="s">
        <v>1</v>
      </c>
      <c r="F1708" t="s">
        <v>0</v>
      </c>
      <c r="G1708" t="str">
        <f>"2018-10-18 15:32:28"</f>
        <v>2018-10-18 15:32:28</v>
      </c>
    </row>
    <row r="1709" spans="1:7" x14ac:dyDescent="0.2">
      <c r="A1709" t="s">
        <v>3325</v>
      </c>
      <c r="B1709" t="str">
        <f>"17865745506"</f>
        <v>17865745506</v>
      </c>
      <c r="C1709" t="str">
        <f>"370881198901196816"</f>
        <v>370881198901196816</v>
      </c>
      <c r="D1709" t="s">
        <v>3326</v>
      </c>
      <c r="E1709" t="s">
        <v>3327</v>
      </c>
      <c r="F1709" t="s">
        <v>0</v>
      </c>
      <c r="G1709" t="str">
        <f>"2018-10-18 15:31:12"</f>
        <v>2018-10-18 15:31:12</v>
      </c>
    </row>
    <row r="1710" spans="1:7" x14ac:dyDescent="0.2">
      <c r="A1710" t="s">
        <v>3328</v>
      </c>
      <c r="B1710" t="str">
        <f>"18275480025"</f>
        <v>18275480025</v>
      </c>
      <c r="C1710" t="str">
        <f>"522128199706201522"</f>
        <v>522128199706201522</v>
      </c>
      <c r="D1710" t="s">
        <v>1</v>
      </c>
      <c r="E1710" t="s">
        <v>1</v>
      </c>
      <c r="F1710" t="s">
        <v>0</v>
      </c>
      <c r="G1710" t="str">
        <f>"2018-10-18 15:33:11"</f>
        <v>2018-10-18 15:33:11</v>
      </c>
    </row>
    <row r="1711" spans="1:7" x14ac:dyDescent="0.2">
      <c r="A1711" t="s">
        <v>1</v>
      </c>
      <c r="B1711" t="str">
        <f>"18881835658"</f>
        <v>18881835658</v>
      </c>
      <c r="C1711" t="s">
        <v>1</v>
      </c>
      <c r="D1711" t="s">
        <v>1</v>
      </c>
      <c r="E1711" t="s">
        <v>1</v>
      </c>
      <c r="F1711" t="s">
        <v>0</v>
      </c>
      <c r="G1711" t="str">
        <f>"2018-10-18 15:32:47"</f>
        <v>2018-10-18 15:32:47</v>
      </c>
    </row>
    <row r="1712" spans="1:7" x14ac:dyDescent="0.2">
      <c r="A1712" t="s">
        <v>1</v>
      </c>
      <c r="B1712" t="str">
        <f>"13825336903"</f>
        <v>13825336903</v>
      </c>
      <c r="C1712" t="s">
        <v>1</v>
      </c>
      <c r="D1712" t="s">
        <v>1</v>
      </c>
      <c r="E1712" t="s">
        <v>1</v>
      </c>
      <c r="F1712" t="s">
        <v>0</v>
      </c>
      <c r="G1712" t="str">
        <f>"2018-10-18 15:30:53"</f>
        <v>2018-10-18 15:30:53</v>
      </c>
    </row>
    <row r="1713" spans="1:7" x14ac:dyDescent="0.2">
      <c r="A1713" t="s">
        <v>3329</v>
      </c>
      <c r="B1713" t="str">
        <f>"18357729761"</f>
        <v>18357729761</v>
      </c>
      <c r="C1713" t="str">
        <f>"330326199409183613"</f>
        <v>330326199409183613</v>
      </c>
      <c r="D1713" t="s">
        <v>1</v>
      </c>
      <c r="E1713" t="s">
        <v>1</v>
      </c>
      <c r="F1713" t="s">
        <v>0</v>
      </c>
      <c r="G1713" t="str">
        <f>"2018-10-18 17:28:45"</f>
        <v>2018-10-18 17:28:45</v>
      </c>
    </row>
    <row r="1714" spans="1:7" x14ac:dyDescent="0.2">
      <c r="A1714" t="s">
        <v>1</v>
      </c>
      <c r="B1714" t="str">
        <f>"13612218266"</f>
        <v>13612218266</v>
      </c>
      <c r="C1714" t="s">
        <v>1</v>
      </c>
      <c r="D1714" t="s">
        <v>1</v>
      </c>
      <c r="E1714" t="s">
        <v>1</v>
      </c>
      <c r="F1714" t="s">
        <v>0</v>
      </c>
      <c r="G1714" t="str">
        <f>"2018-10-18 15:30:45"</f>
        <v>2018-10-18 15:30:45</v>
      </c>
    </row>
    <row r="1715" spans="1:7" x14ac:dyDescent="0.2">
      <c r="A1715" t="s">
        <v>1</v>
      </c>
      <c r="B1715" t="str">
        <f>"13884037739"</f>
        <v>13884037739</v>
      </c>
      <c r="C1715" t="s">
        <v>1</v>
      </c>
      <c r="D1715" t="s">
        <v>1</v>
      </c>
      <c r="E1715" t="s">
        <v>1</v>
      </c>
      <c r="F1715" t="s">
        <v>0</v>
      </c>
      <c r="G1715" t="str">
        <f>"2018-10-18 15:30:28"</f>
        <v>2018-10-18 15:30:28</v>
      </c>
    </row>
    <row r="1716" spans="1:7" x14ac:dyDescent="0.2">
      <c r="A1716" t="s">
        <v>3330</v>
      </c>
      <c r="B1716" t="str">
        <f>"15921058808"</f>
        <v>15921058808</v>
      </c>
      <c r="C1716" t="str">
        <f>"321023198910053037"</f>
        <v>321023198910053037</v>
      </c>
      <c r="D1716" t="s">
        <v>1</v>
      </c>
      <c r="E1716" t="s">
        <v>1</v>
      </c>
      <c r="F1716" t="s">
        <v>0</v>
      </c>
      <c r="G1716" t="str">
        <f>"2018-10-18 15:34:19"</f>
        <v>2018-10-18 15:34:19</v>
      </c>
    </row>
    <row r="1717" spans="1:7" x14ac:dyDescent="0.2">
      <c r="A1717" t="s">
        <v>3331</v>
      </c>
      <c r="B1717" t="str">
        <f>"15859269467"</f>
        <v>15859269467</v>
      </c>
      <c r="C1717" t="str">
        <f>"352225199307082022"</f>
        <v>352225199307082022</v>
      </c>
      <c r="D1717" t="s">
        <v>1</v>
      </c>
      <c r="E1717" t="s">
        <v>1</v>
      </c>
      <c r="F1717" t="s">
        <v>0</v>
      </c>
      <c r="G1717" t="str">
        <f>"2018-10-18 15:30:11"</f>
        <v>2018-10-18 15:30:11</v>
      </c>
    </row>
    <row r="1718" spans="1:7" x14ac:dyDescent="0.2">
      <c r="A1718" t="s">
        <v>3332</v>
      </c>
      <c r="B1718" t="str">
        <f>"15052578686"</f>
        <v>15052578686</v>
      </c>
      <c r="C1718" t="str">
        <f>"321084199307300010"</f>
        <v>321084199307300010</v>
      </c>
      <c r="D1718" t="s">
        <v>1</v>
      </c>
      <c r="E1718" t="s">
        <v>1</v>
      </c>
      <c r="F1718" t="s">
        <v>0</v>
      </c>
      <c r="G1718" t="str">
        <f>"2018-10-18 15:30:45"</f>
        <v>2018-10-18 15:30:45</v>
      </c>
    </row>
    <row r="1719" spans="1:7" x14ac:dyDescent="0.2">
      <c r="A1719" t="s">
        <v>3333</v>
      </c>
      <c r="B1719" t="str">
        <f>"15036044351"</f>
        <v>15036044351</v>
      </c>
      <c r="C1719" t="str">
        <f>"41010219961228010X"</f>
        <v>41010219961228010X</v>
      </c>
      <c r="D1719" t="s">
        <v>3334</v>
      </c>
      <c r="E1719" t="s">
        <v>3335</v>
      </c>
      <c r="F1719" t="s">
        <v>0</v>
      </c>
      <c r="G1719" t="str">
        <f>"2018-10-18 15:31:52"</f>
        <v>2018-10-18 15:31:52</v>
      </c>
    </row>
    <row r="1720" spans="1:7" x14ac:dyDescent="0.2">
      <c r="A1720" t="s">
        <v>3336</v>
      </c>
      <c r="B1720" t="str">
        <f>"15059997267"</f>
        <v>15059997267</v>
      </c>
      <c r="C1720" t="str">
        <f>"350723198112111311"</f>
        <v>350723198112111311</v>
      </c>
      <c r="D1720" t="s">
        <v>1</v>
      </c>
      <c r="E1720" t="s">
        <v>1</v>
      </c>
      <c r="F1720" t="s">
        <v>0</v>
      </c>
      <c r="G1720" t="str">
        <f>"2018-10-19 09:25:45"</f>
        <v>2018-10-19 09:25:45</v>
      </c>
    </row>
    <row r="1721" spans="1:7" x14ac:dyDescent="0.2">
      <c r="A1721" t="s">
        <v>3337</v>
      </c>
      <c r="B1721" t="str">
        <f>"13633107378"</f>
        <v>13633107378</v>
      </c>
      <c r="C1721" t="str">
        <f>"120102196707290738"</f>
        <v>120102196707290738</v>
      </c>
      <c r="D1721" t="s">
        <v>1</v>
      </c>
      <c r="E1721" t="s">
        <v>1</v>
      </c>
      <c r="F1721" t="s">
        <v>0</v>
      </c>
      <c r="G1721" t="str">
        <f>"2018-10-23 13:58:38"</f>
        <v>2018-10-23 13:58:38</v>
      </c>
    </row>
    <row r="1722" spans="1:7" x14ac:dyDescent="0.2">
      <c r="A1722" t="s">
        <v>3338</v>
      </c>
      <c r="B1722" t="str">
        <f>"13213037624"</f>
        <v>13213037624</v>
      </c>
      <c r="C1722" t="str">
        <f>"411522198906243033"</f>
        <v>411522198906243033</v>
      </c>
      <c r="D1722" t="s">
        <v>1</v>
      </c>
      <c r="E1722" t="s">
        <v>1</v>
      </c>
      <c r="F1722" t="s">
        <v>0</v>
      </c>
      <c r="G1722" t="str">
        <f>"2018-10-18 18:12:50"</f>
        <v>2018-10-18 18:12:50</v>
      </c>
    </row>
    <row r="1723" spans="1:7" x14ac:dyDescent="0.2">
      <c r="A1723" t="s">
        <v>3339</v>
      </c>
      <c r="B1723" t="str">
        <f>"15505051797"</f>
        <v>15505051797</v>
      </c>
      <c r="C1723" t="str">
        <f>"340824197911183229"</f>
        <v>340824197911183229</v>
      </c>
      <c r="D1723" t="s">
        <v>1</v>
      </c>
      <c r="E1723" t="s">
        <v>1</v>
      </c>
      <c r="F1723" t="s">
        <v>0</v>
      </c>
      <c r="G1723" t="str">
        <f>"2018-10-27 18:30:10"</f>
        <v>2018-10-27 18:30:10</v>
      </c>
    </row>
    <row r="1724" spans="1:7" x14ac:dyDescent="0.2">
      <c r="A1724" t="s">
        <v>1</v>
      </c>
      <c r="B1724" t="str">
        <f>"18225917772"</f>
        <v>18225917772</v>
      </c>
      <c r="C1724" t="s">
        <v>1</v>
      </c>
      <c r="D1724" t="s">
        <v>1</v>
      </c>
      <c r="E1724" t="s">
        <v>1</v>
      </c>
      <c r="F1724" t="s">
        <v>0</v>
      </c>
      <c r="G1724" t="str">
        <f>"2018-10-18 15:34:11"</f>
        <v>2018-10-18 15:34:11</v>
      </c>
    </row>
    <row r="1725" spans="1:7" x14ac:dyDescent="0.2">
      <c r="A1725" t="s">
        <v>3340</v>
      </c>
      <c r="B1725" t="str">
        <f>"18483109949"</f>
        <v>18483109949</v>
      </c>
      <c r="C1725" t="str">
        <f>"510107199110261270"</f>
        <v>510107199110261270</v>
      </c>
      <c r="D1725" t="s">
        <v>1</v>
      </c>
      <c r="E1725" t="s">
        <v>1</v>
      </c>
      <c r="F1725" t="s">
        <v>0</v>
      </c>
      <c r="G1725" t="str">
        <f>"2018-10-26 10:23:24"</f>
        <v>2018-10-26 10:23:24</v>
      </c>
    </row>
    <row r="1726" spans="1:7" x14ac:dyDescent="0.2">
      <c r="A1726" t="s">
        <v>3341</v>
      </c>
      <c r="B1726" t="str">
        <f>"15074486456"</f>
        <v>15074486456</v>
      </c>
      <c r="C1726" t="str">
        <f>"430821198501094212"</f>
        <v>430821198501094212</v>
      </c>
      <c r="D1726" t="s">
        <v>1</v>
      </c>
      <c r="E1726" t="s">
        <v>1</v>
      </c>
      <c r="F1726" t="s">
        <v>0</v>
      </c>
      <c r="G1726" t="str">
        <f>"2018-10-18 15:36:59"</f>
        <v>2018-10-18 15:36:59</v>
      </c>
    </row>
    <row r="1727" spans="1:7" x14ac:dyDescent="0.2">
      <c r="A1727" t="s">
        <v>3342</v>
      </c>
      <c r="B1727" t="str">
        <f>"13307070519"</f>
        <v>13307070519</v>
      </c>
      <c r="C1727" t="str">
        <f>"360782199103122517"</f>
        <v>360782199103122517</v>
      </c>
      <c r="D1727" t="s">
        <v>1</v>
      </c>
      <c r="E1727" t="s">
        <v>1</v>
      </c>
      <c r="F1727" t="s">
        <v>0</v>
      </c>
      <c r="G1727" t="str">
        <f>"2018-10-18 16:42:27"</f>
        <v>2018-10-18 16:42:27</v>
      </c>
    </row>
    <row r="1728" spans="1:7" x14ac:dyDescent="0.2">
      <c r="A1728" t="s">
        <v>1256</v>
      </c>
      <c r="B1728" t="str">
        <f>"13704294313"</f>
        <v>13704294313</v>
      </c>
      <c r="C1728" t="str">
        <f>"211481199106042024"</f>
        <v>211481199106042024</v>
      </c>
      <c r="D1728" t="s">
        <v>1</v>
      </c>
      <c r="E1728" t="s">
        <v>1</v>
      </c>
      <c r="F1728" t="s">
        <v>0</v>
      </c>
      <c r="G1728" t="str">
        <f>"2018-10-18 15:31:28"</f>
        <v>2018-10-18 15:31:28</v>
      </c>
    </row>
    <row r="1729" spans="1:7" x14ac:dyDescent="0.2">
      <c r="A1729" t="s">
        <v>3343</v>
      </c>
      <c r="B1729" t="str">
        <f>"15764315544"</f>
        <v>15764315544</v>
      </c>
      <c r="C1729" t="str">
        <f>"220182197504215113"</f>
        <v>220182197504215113</v>
      </c>
      <c r="D1729" t="s">
        <v>1</v>
      </c>
      <c r="E1729" t="s">
        <v>1</v>
      </c>
      <c r="F1729" t="s">
        <v>0</v>
      </c>
      <c r="G1729" t="str">
        <f>"2018-10-18 15:32:17"</f>
        <v>2018-10-18 15:32:17</v>
      </c>
    </row>
    <row r="1730" spans="1:7" x14ac:dyDescent="0.2">
      <c r="A1730" t="s">
        <v>3344</v>
      </c>
      <c r="B1730" t="str">
        <f>"18893023590"</f>
        <v>18893023590</v>
      </c>
      <c r="C1730" t="str">
        <f>"620421199812103612"</f>
        <v>620421199812103612</v>
      </c>
      <c r="D1730" t="s">
        <v>1</v>
      </c>
      <c r="E1730" t="s">
        <v>1</v>
      </c>
      <c r="F1730" t="s">
        <v>0</v>
      </c>
      <c r="G1730" t="str">
        <f>"2018-10-18 15:29:15"</f>
        <v>2018-10-18 15:29:15</v>
      </c>
    </row>
    <row r="1731" spans="1:7" x14ac:dyDescent="0.2">
      <c r="A1731" t="s">
        <v>1</v>
      </c>
      <c r="B1731" t="str">
        <f>"13132611796"</f>
        <v>13132611796</v>
      </c>
      <c r="C1731" t="s">
        <v>1</v>
      </c>
      <c r="D1731" t="s">
        <v>1</v>
      </c>
      <c r="E1731" t="s">
        <v>1</v>
      </c>
      <c r="F1731" t="s">
        <v>0</v>
      </c>
      <c r="G1731" t="str">
        <f>"2018-10-18 15:29:12"</f>
        <v>2018-10-18 15:29:12</v>
      </c>
    </row>
    <row r="1732" spans="1:7" x14ac:dyDescent="0.2">
      <c r="A1732" t="s">
        <v>3345</v>
      </c>
      <c r="B1732" t="str">
        <f>"15770851536"</f>
        <v>15770851536</v>
      </c>
      <c r="C1732" t="str">
        <f>"360731199212117645"</f>
        <v>360731199212117645</v>
      </c>
      <c r="D1732" t="s">
        <v>1</v>
      </c>
      <c r="E1732" t="s">
        <v>1</v>
      </c>
      <c r="F1732" t="s">
        <v>0</v>
      </c>
      <c r="G1732" t="str">
        <f>"2018-10-18 15:33:47"</f>
        <v>2018-10-18 15:33:47</v>
      </c>
    </row>
    <row r="1733" spans="1:7" x14ac:dyDescent="0.2">
      <c r="A1733" t="s">
        <v>1</v>
      </c>
      <c r="B1733" t="str">
        <f>"18370785011"</f>
        <v>18370785011</v>
      </c>
      <c r="C1733" t="s">
        <v>1</v>
      </c>
      <c r="D1733" t="s">
        <v>1</v>
      </c>
      <c r="E1733" t="s">
        <v>1</v>
      </c>
      <c r="F1733" t="s">
        <v>0</v>
      </c>
      <c r="G1733" t="str">
        <f>"2018-10-18 15:28:51"</f>
        <v>2018-10-18 15:28:51</v>
      </c>
    </row>
    <row r="1734" spans="1:7" x14ac:dyDescent="0.2">
      <c r="A1734" t="s">
        <v>3346</v>
      </c>
      <c r="B1734" t="str">
        <f>"15821533976"</f>
        <v>15821533976</v>
      </c>
      <c r="C1734" t="str">
        <f>"410522199810142450"</f>
        <v>410522199810142450</v>
      </c>
      <c r="D1734" t="s">
        <v>1</v>
      </c>
      <c r="E1734" t="s">
        <v>1</v>
      </c>
      <c r="F1734" t="s">
        <v>0</v>
      </c>
      <c r="G1734" t="str">
        <f>"2018-10-18 15:31:32"</f>
        <v>2018-10-18 15:31:32</v>
      </c>
    </row>
    <row r="1735" spans="1:7" x14ac:dyDescent="0.2">
      <c r="A1735" t="s">
        <v>1</v>
      </c>
      <c r="B1735" t="str">
        <f>"18628052454"</f>
        <v>18628052454</v>
      </c>
      <c r="C1735" t="s">
        <v>1</v>
      </c>
      <c r="D1735" t="s">
        <v>1</v>
      </c>
      <c r="E1735" t="s">
        <v>1</v>
      </c>
      <c r="F1735" t="s">
        <v>0</v>
      </c>
      <c r="G1735" t="str">
        <f>"2018-10-18 15:28:47"</f>
        <v>2018-10-18 15:28:47</v>
      </c>
    </row>
    <row r="1736" spans="1:7" x14ac:dyDescent="0.2">
      <c r="A1736" t="s">
        <v>3347</v>
      </c>
      <c r="B1736" t="str">
        <f>"15759764565"</f>
        <v>15759764565</v>
      </c>
      <c r="C1736" t="str">
        <f>"350583199308185718"</f>
        <v>350583199308185718</v>
      </c>
      <c r="D1736" t="s">
        <v>1</v>
      </c>
      <c r="E1736" t="s">
        <v>1</v>
      </c>
      <c r="F1736" t="s">
        <v>0</v>
      </c>
      <c r="G1736" t="str">
        <f>"2018-10-18 15:29:43"</f>
        <v>2018-10-18 15:29:43</v>
      </c>
    </row>
    <row r="1737" spans="1:7" x14ac:dyDescent="0.2">
      <c r="A1737" t="s">
        <v>3348</v>
      </c>
      <c r="B1737" t="str">
        <f>"15900594169"</f>
        <v>15900594169</v>
      </c>
      <c r="C1737" t="str">
        <f>"310112198309282713"</f>
        <v>310112198309282713</v>
      </c>
      <c r="D1737" t="s">
        <v>3349</v>
      </c>
      <c r="E1737" t="s">
        <v>3350</v>
      </c>
      <c r="F1737" t="s">
        <v>0</v>
      </c>
      <c r="G1737" t="str">
        <f>"2018-10-18 15:33:01"</f>
        <v>2018-10-18 15:33:01</v>
      </c>
    </row>
    <row r="1738" spans="1:7" x14ac:dyDescent="0.2">
      <c r="A1738" t="s">
        <v>1</v>
      </c>
      <c r="B1738" t="str">
        <f>"18668610060"</f>
        <v>18668610060</v>
      </c>
      <c r="C1738" t="s">
        <v>1</v>
      </c>
      <c r="D1738" t="s">
        <v>1</v>
      </c>
      <c r="E1738" t="s">
        <v>1</v>
      </c>
      <c r="F1738" t="s">
        <v>0</v>
      </c>
      <c r="G1738" t="str">
        <f>"2018-10-18 15:28:26"</f>
        <v>2018-10-18 15:28:26</v>
      </c>
    </row>
    <row r="1739" spans="1:7" x14ac:dyDescent="0.2">
      <c r="A1739" t="s">
        <v>3351</v>
      </c>
      <c r="B1739" t="str">
        <f>"13871918159"</f>
        <v>13871918159</v>
      </c>
      <c r="C1739" t="str">
        <f>"420902198701160098"</f>
        <v>420902198701160098</v>
      </c>
      <c r="D1739" t="s">
        <v>3352</v>
      </c>
      <c r="E1739" t="s">
        <v>3353</v>
      </c>
      <c r="F1739" t="s">
        <v>0</v>
      </c>
      <c r="G1739" t="str">
        <f>"2018-10-18 15:31:24"</f>
        <v>2018-10-18 15:31:24</v>
      </c>
    </row>
    <row r="1740" spans="1:7" x14ac:dyDescent="0.2">
      <c r="A1740" t="s">
        <v>3354</v>
      </c>
      <c r="B1740" t="str">
        <f>"18556779758"</f>
        <v>18556779758</v>
      </c>
      <c r="C1740" t="str">
        <f>"412726199904144535"</f>
        <v>412726199904144535</v>
      </c>
      <c r="D1740" t="s">
        <v>1</v>
      </c>
      <c r="E1740" t="s">
        <v>1</v>
      </c>
      <c r="F1740" t="s">
        <v>0</v>
      </c>
      <c r="G1740" t="str">
        <f>"2018-10-18 15:31:40"</f>
        <v>2018-10-18 15:31:40</v>
      </c>
    </row>
    <row r="1741" spans="1:7" x14ac:dyDescent="0.2">
      <c r="A1741" t="s">
        <v>3355</v>
      </c>
      <c r="B1741" t="str">
        <f>"18187645741"</f>
        <v>18187645741</v>
      </c>
      <c r="C1741" t="str">
        <f>"532626199910123337"</f>
        <v>532626199910123337</v>
      </c>
      <c r="D1741" t="s">
        <v>1</v>
      </c>
      <c r="E1741" t="s">
        <v>1</v>
      </c>
      <c r="F1741" t="s">
        <v>0</v>
      </c>
      <c r="G1741" t="str">
        <f>"2018-10-25 16:16:34"</f>
        <v>2018-10-25 16:16:34</v>
      </c>
    </row>
    <row r="1742" spans="1:7" x14ac:dyDescent="0.2">
      <c r="A1742" t="s">
        <v>3356</v>
      </c>
      <c r="B1742" t="str">
        <f>"18308929229"</f>
        <v>18308929229</v>
      </c>
      <c r="C1742" t="str">
        <f>"460200199208294026"</f>
        <v>460200199208294026</v>
      </c>
      <c r="D1742" t="s">
        <v>1</v>
      </c>
      <c r="E1742" t="s">
        <v>1</v>
      </c>
      <c r="F1742" t="s">
        <v>0</v>
      </c>
      <c r="G1742" t="str">
        <f>"2018-10-18 15:28:48"</f>
        <v>2018-10-18 15:28:48</v>
      </c>
    </row>
    <row r="1743" spans="1:7" x14ac:dyDescent="0.2">
      <c r="A1743" t="s">
        <v>3357</v>
      </c>
      <c r="B1743" t="str">
        <f>"18102645873"</f>
        <v>18102645873</v>
      </c>
      <c r="C1743" t="str">
        <f>"430525199301253550"</f>
        <v>430525199301253550</v>
      </c>
      <c r="D1743" t="s">
        <v>3358</v>
      </c>
      <c r="E1743" t="s">
        <v>3359</v>
      </c>
      <c r="F1743" t="s">
        <v>0</v>
      </c>
      <c r="G1743" t="str">
        <f>"2018-10-18 15:29:42"</f>
        <v>2018-10-18 15:29:42</v>
      </c>
    </row>
    <row r="1744" spans="1:7" x14ac:dyDescent="0.2">
      <c r="A1744" t="s">
        <v>1</v>
      </c>
      <c r="B1744" t="str">
        <f>"17693475528"</f>
        <v>17693475528</v>
      </c>
      <c r="C1744" t="s">
        <v>1</v>
      </c>
      <c r="D1744" t="s">
        <v>1</v>
      </c>
      <c r="E1744" t="s">
        <v>1</v>
      </c>
      <c r="F1744" t="s">
        <v>0</v>
      </c>
      <c r="G1744" t="str">
        <f>"2018-10-18 15:32:55"</f>
        <v>2018-10-18 15:32:55</v>
      </c>
    </row>
    <row r="1745" spans="1:7" x14ac:dyDescent="0.2">
      <c r="A1745" t="s">
        <v>3360</v>
      </c>
      <c r="B1745" t="str">
        <f>"18560901919"</f>
        <v>18560901919</v>
      </c>
      <c r="C1745" t="str">
        <f>"522423199304129358"</f>
        <v>522423199304129358</v>
      </c>
      <c r="D1745" t="s">
        <v>1</v>
      </c>
      <c r="E1745" t="s">
        <v>1</v>
      </c>
      <c r="F1745" t="s">
        <v>0</v>
      </c>
      <c r="G1745" t="str">
        <f>"2018-10-18 15:32:07"</f>
        <v>2018-10-18 15:32:07</v>
      </c>
    </row>
    <row r="1746" spans="1:7" x14ac:dyDescent="0.2">
      <c r="A1746" t="s">
        <v>3361</v>
      </c>
      <c r="B1746" t="str">
        <f>"15779371985"</f>
        <v>15779371985</v>
      </c>
      <c r="C1746" t="str">
        <f>"362334199710070017"</f>
        <v>362334199710070017</v>
      </c>
      <c r="D1746" t="s">
        <v>3362</v>
      </c>
      <c r="E1746" t="s">
        <v>3363</v>
      </c>
      <c r="F1746" t="s">
        <v>0</v>
      </c>
      <c r="G1746" t="str">
        <f>"2018-10-18 16:04:29"</f>
        <v>2018-10-18 16:04:29</v>
      </c>
    </row>
    <row r="1747" spans="1:7" x14ac:dyDescent="0.2">
      <c r="A1747" t="s">
        <v>1</v>
      </c>
      <c r="B1747" t="str">
        <f>"15127310813"</f>
        <v>15127310813</v>
      </c>
      <c r="C1747" t="s">
        <v>1</v>
      </c>
      <c r="D1747" t="s">
        <v>1</v>
      </c>
      <c r="E1747" t="s">
        <v>1</v>
      </c>
      <c r="F1747" t="s">
        <v>0</v>
      </c>
      <c r="G1747" t="str">
        <f>"2018-10-26 16:56:09"</f>
        <v>2018-10-26 16:56:09</v>
      </c>
    </row>
    <row r="1748" spans="1:7" x14ac:dyDescent="0.2">
      <c r="A1748" t="s">
        <v>3364</v>
      </c>
      <c r="B1748" t="str">
        <f>"15221373620"</f>
        <v>15221373620</v>
      </c>
      <c r="C1748" t="str">
        <f>"321083197808077616"</f>
        <v>321083197808077616</v>
      </c>
      <c r="D1748" t="s">
        <v>1</v>
      </c>
      <c r="E1748" t="s">
        <v>1</v>
      </c>
      <c r="F1748" t="s">
        <v>0</v>
      </c>
      <c r="G1748" t="str">
        <f>"2018-10-18 15:27:40"</f>
        <v>2018-10-18 15:27:40</v>
      </c>
    </row>
    <row r="1749" spans="1:7" x14ac:dyDescent="0.2">
      <c r="A1749" t="s">
        <v>3365</v>
      </c>
      <c r="B1749" t="str">
        <f>"18334210228"</f>
        <v>18334210228</v>
      </c>
      <c r="C1749" t="str">
        <f>"522401198702034810"</f>
        <v>522401198702034810</v>
      </c>
      <c r="D1749" t="s">
        <v>1</v>
      </c>
      <c r="E1749" t="s">
        <v>1</v>
      </c>
      <c r="F1749" t="s">
        <v>0</v>
      </c>
      <c r="G1749" t="str">
        <f>"2018-10-18 15:30:02"</f>
        <v>2018-10-18 15:30:02</v>
      </c>
    </row>
    <row r="1750" spans="1:7" x14ac:dyDescent="0.2">
      <c r="A1750" t="s">
        <v>3366</v>
      </c>
      <c r="B1750" t="str">
        <f>"13888470596"</f>
        <v>13888470596</v>
      </c>
      <c r="C1750" t="str">
        <f>"530127198601081711"</f>
        <v>530127198601081711</v>
      </c>
      <c r="D1750" t="s">
        <v>1</v>
      </c>
      <c r="E1750" t="s">
        <v>1</v>
      </c>
      <c r="F1750" t="s">
        <v>0</v>
      </c>
      <c r="G1750" t="str">
        <f>"2018-10-18 15:29:02"</f>
        <v>2018-10-18 15:29:02</v>
      </c>
    </row>
    <row r="1751" spans="1:7" x14ac:dyDescent="0.2">
      <c r="A1751" t="s">
        <v>3367</v>
      </c>
      <c r="B1751" t="str">
        <f>"15674095626"</f>
        <v>15674095626</v>
      </c>
      <c r="C1751" t="str">
        <f>"431022198707190713"</f>
        <v>431022198707190713</v>
      </c>
      <c r="D1751" t="s">
        <v>1</v>
      </c>
      <c r="E1751" t="s">
        <v>1</v>
      </c>
      <c r="F1751" t="s">
        <v>0</v>
      </c>
      <c r="G1751" t="str">
        <f>"2018-10-18 15:27:13"</f>
        <v>2018-10-18 15:27:13</v>
      </c>
    </row>
    <row r="1752" spans="1:7" x14ac:dyDescent="0.2">
      <c r="A1752" t="s">
        <v>3368</v>
      </c>
      <c r="B1752" t="str">
        <f>"13834703341"</f>
        <v>13834703341</v>
      </c>
      <c r="C1752" t="str">
        <f>"142726197703282419"</f>
        <v>142726197703282419</v>
      </c>
      <c r="D1752" t="s">
        <v>1</v>
      </c>
      <c r="E1752" t="s">
        <v>1</v>
      </c>
      <c r="F1752" t="s">
        <v>0</v>
      </c>
      <c r="G1752" t="str">
        <f>"2018-10-18 15:27:13"</f>
        <v>2018-10-18 15:27:13</v>
      </c>
    </row>
    <row r="1753" spans="1:7" x14ac:dyDescent="0.2">
      <c r="A1753" t="s">
        <v>3369</v>
      </c>
      <c r="B1753" t="str">
        <f>"18188110461"</f>
        <v>18188110461</v>
      </c>
      <c r="C1753" t="str">
        <f>"522730198801241717"</f>
        <v>522730198801241717</v>
      </c>
      <c r="D1753" t="s">
        <v>1</v>
      </c>
      <c r="E1753" t="s">
        <v>1</v>
      </c>
      <c r="F1753" t="s">
        <v>0</v>
      </c>
      <c r="G1753" t="str">
        <f>"2018-10-18 15:28:52"</f>
        <v>2018-10-18 15:28:52</v>
      </c>
    </row>
    <row r="1754" spans="1:7" x14ac:dyDescent="0.2">
      <c r="A1754" t="s">
        <v>3370</v>
      </c>
      <c r="B1754" t="str">
        <f>"15050124144"</f>
        <v>15050124144</v>
      </c>
      <c r="C1754" t="str">
        <f>"142730198712200330"</f>
        <v>142730198712200330</v>
      </c>
      <c r="D1754" t="s">
        <v>3371</v>
      </c>
      <c r="E1754" t="s">
        <v>3372</v>
      </c>
      <c r="F1754" t="s">
        <v>0</v>
      </c>
      <c r="G1754" t="str">
        <f>"2018-10-18 15:27:03"</f>
        <v>2018-10-18 15:27:03</v>
      </c>
    </row>
    <row r="1755" spans="1:7" x14ac:dyDescent="0.2">
      <c r="A1755" t="s">
        <v>3373</v>
      </c>
      <c r="B1755" t="str">
        <f>"18710802502"</f>
        <v>18710802502</v>
      </c>
      <c r="C1755" t="str">
        <f>"653123199302030884"</f>
        <v>653123199302030884</v>
      </c>
      <c r="D1755" t="s">
        <v>1</v>
      </c>
      <c r="E1755" t="s">
        <v>1</v>
      </c>
      <c r="F1755" t="s">
        <v>0</v>
      </c>
      <c r="G1755" t="str">
        <f>"2018-10-18 15:26:33"</f>
        <v>2018-10-18 15:26:33</v>
      </c>
    </row>
    <row r="1756" spans="1:7" x14ac:dyDescent="0.2">
      <c r="A1756" t="s">
        <v>1</v>
      </c>
      <c r="B1756" t="str">
        <f>"13292549593"</f>
        <v>13292549593</v>
      </c>
      <c r="C1756" t="s">
        <v>1</v>
      </c>
      <c r="D1756" t="s">
        <v>1</v>
      </c>
      <c r="E1756" t="s">
        <v>1</v>
      </c>
      <c r="F1756" t="s">
        <v>0</v>
      </c>
      <c r="G1756" t="str">
        <f>"2018-10-18 15:26:31"</f>
        <v>2018-10-18 15:26:31</v>
      </c>
    </row>
    <row r="1757" spans="1:7" x14ac:dyDescent="0.2">
      <c r="A1757" t="s">
        <v>3374</v>
      </c>
      <c r="B1757" t="str">
        <f>"13596810556"</f>
        <v>13596810556</v>
      </c>
      <c r="C1757" t="str">
        <f>"22080219901113701X"</f>
        <v>22080219901113701X</v>
      </c>
      <c r="D1757" t="s">
        <v>1</v>
      </c>
      <c r="E1757" t="s">
        <v>1</v>
      </c>
      <c r="F1757" t="s">
        <v>0</v>
      </c>
      <c r="G1757" t="str">
        <f>"2018-10-18 15:28:35"</f>
        <v>2018-10-18 15:28:35</v>
      </c>
    </row>
    <row r="1758" spans="1:7" x14ac:dyDescent="0.2">
      <c r="A1758" t="s">
        <v>1</v>
      </c>
      <c r="B1758" t="str">
        <f>"18047848523"</f>
        <v>18047848523</v>
      </c>
      <c r="C1758" t="s">
        <v>1</v>
      </c>
      <c r="D1758" t="s">
        <v>1</v>
      </c>
      <c r="E1758" t="s">
        <v>1</v>
      </c>
      <c r="F1758" t="s">
        <v>0</v>
      </c>
      <c r="G1758" t="str">
        <f>"2018-10-18 15:28:10"</f>
        <v>2018-10-18 15:28:10</v>
      </c>
    </row>
    <row r="1759" spans="1:7" x14ac:dyDescent="0.2">
      <c r="A1759" t="s">
        <v>1070</v>
      </c>
      <c r="B1759" t="str">
        <f>"15002688590"</f>
        <v>15002688590</v>
      </c>
      <c r="C1759" t="str">
        <f>"622421199009295717"</f>
        <v>622421199009295717</v>
      </c>
      <c r="D1759" t="s">
        <v>1</v>
      </c>
      <c r="E1759" t="s">
        <v>1</v>
      </c>
      <c r="F1759" t="s">
        <v>0</v>
      </c>
      <c r="G1759" t="str">
        <f>"2018-10-18 15:26:41"</f>
        <v>2018-10-18 15:26:41</v>
      </c>
    </row>
    <row r="1760" spans="1:7" x14ac:dyDescent="0.2">
      <c r="A1760" t="s">
        <v>3375</v>
      </c>
      <c r="B1760" t="str">
        <f>"13662390102"</f>
        <v>13662390102</v>
      </c>
      <c r="C1760" t="str">
        <f>"512529197707103577"</f>
        <v>512529197707103577</v>
      </c>
      <c r="D1760" t="s">
        <v>1</v>
      </c>
      <c r="E1760" t="s">
        <v>1</v>
      </c>
      <c r="F1760" t="s">
        <v>0</v>
      </c>
      <c r="G1760" t="str">
        <f>"2018-10-19 11:54:47"</f>
        <v>2018-10-19 11:54:47</v>
      </c>
    </row>
    <row r="1761" spans="1:7" x14ac:dyDescent="0.2">
      <c r="A1761" t="s">
        <v>719</v>
      </c>
      <c r="B1761" t="str">
        <f>"17318103856"</f>
        <v>17318103856</v>
      </c>
      <c r="C1761" t="str">
        <f>"53213019930307071X"</f>
        <v>53213019930307071X</v>
      </c>
      <c r="D1761" t="s">
        <v>1</v>
      </c>
      <c r="E1761" t="s">
        <v>1</v>
      </c>
      <c r="F1761" t="s">
        <v>0</v>
      </c>
      <c r="G1761" t="str">
        <f>"2018-10-18 15:28:24"</f>
        <v>2018-10-18 15:28:24</v>
      </c>
    </row>
    <row r="1762" spans="1:7" x14ac:dyDescent="0.2">
      <c r="A1762" t="s">
        <v>3376</v>
      </c>
      <c r="B1762" t="str">
        <f>"13826257577"</f>
        <v>13826257577</v>
      </c>
      <c r="C1762" t="str">
        <f>"44058219800312611X"</f>
        <v>44058219800312611X</v>
      </c>
      <c r="D1762" t="s">
        <v>1</v>
      </c>
      <c r="E1762" t="s">
        <v>1</v>
      </c>
      <c r="F1762" t="s">
        <v>0</v>
      </c>
      <c r="G1762" t="str">
        <f>"2018-10-18 15:33:54"</f>
        <v>2018-10-18 15:33:54</v>
      </c>
    </row>
    <row r="1763" spans="1:7" x14ac:dyDescent="0.2">
      <c r="A1763" t="s">
        <v>1</v>
      </c>
      <c r="B1763" t="str">
        <f>"15828992920"</f>
        <v>15828992920</v>
      </c>
      <c r="C1763" t="s">
        <v>1</v>
      </c>
      <c r="D1763" t="s">
        <v>1</v>
      </c>
      <c r="E1763" t="s">
        <v>1</v>
      </c>
      <c r="F1763" t="s">
        <v>0</v>
      </c>
      <c r="G1763" t="str">
        <f>"2018-10-18 15:25:41"</f>
        <v>2018-10-18 15:25:41</v>
      </c>
    </row>
    <row r="1764" spans="1:7" x14ac:dyDescent="0.2">
      <c r="A1764" t="s">
        <v>69</v>
      </c>
      <c r="B1764" t="str">
        <f>"15133380450"</f>
        <v>15133380450</v>
      </c>
      <c r="C1764" t="str">
        <f>"130731199009020319"</f>
        <v>130731199009020319</v>
      </c>
      <c r="D1764" t="s">
        <v>1</v>
      </c>
      <c r="E1764" t="s">
        <v>1</v>
      </c>
      <c r="F1764" t="s">
        <v>0</v>
      </c>
      <c r="G1764" t="str">
        <f>"2018-10-18 15:28:54"</f>
        <v>2018-10-18 15:28:54</v>
      </c>
    </row>
    <row r="1765" spans="1:7" x14ac:dyDescent="0.2">
      <c r="A1765" t="s">
        <v>3377</v>
      </c>
      <c r="B1765" t="str">
        <f>"18926287098"</f>
        <v>18926287098</v>
      </c>
      <c r="C1765" t="str">
        <f>"513023199211026728"</f>
        <v>513023199211026728</v>
      </c>
      <c r="D1765" t="s">
        <v>1</v>
      </c>
      <c r="E1765" t="s">
        <v>1</v>
      </c>
      <c r="F1765" t="s">
        <v>0</v>
      </c>
      <c r="G1765" t="str">
        <f>"2018-10-23 21:48:08"</f>
        <v>2018-10-23 21:48:08</v>
      </c>
    </row>
    <row r="1766" spans="1:7" x14ac:dyDescent="0.2">
      <c r="A1766" t="s">
        <v>3378</v>
      </c>
      <c r="B1766" t="str">
        <f>"18554211509"</f>
        <v>18554211509</v>
      </c>
      <c r="C1766" t="str">
        <f>"372330199601090023"</f>
        <v>372330199601090023</v>
      </c>
      <c r="D1766" t="s">
        <v>3379</v>
      </c>
      <c r="E1766" t="s">
        <v>3380</v>
      </c>
      <c r="F1766" t="s">
        <v>0</v>
      </c>
      <c r="G1766" t="str">
        <f>"2018-10-18 15:30:33"</f>
        <v>2018-10-18 15:30:33</v>
      </c>
    </row>
    <row r="1767" spans="1:7" x14ac:dyDescent="0.2">
      <c r="A1767" t="s">
        <v>3381</v>
      </c>
      <c r="B1767" t="str">
        <f>"18187488743"</f>
        <v>18187488743</v>
      </c>
      <c r="C1767" t="str">
        <f>"532924199310270011"</f>
        <v>532924199310270011</v>
      </c>
      <c r="D1767" t="s">
        <v>1</v>
      </c>
      <c r="E1767" t="s">
        <v>1</v>
      </c>
      <c r="F1767" t="s">
        <v>0</v>
      </c>
      <c r="G1767" t="str">
        <f>"2018-10-18 15:29:07"</f>
        <v>2018-10-18 15:29:07</v>
      </c>
    </row>
    <row r="1768" spans="1:7" x14ac:dyDescent="0.2">
      <c r="A1768" t="s">
        <v>1723</v>
      </c>
      <c r="B1768" t="str">
        <f>"13572284244"</f>
        <v>13572284244</v>
      </c>
      <c r="C1768" t="str">
        <f>"610125199303097119"</f>
        <v>610125199303097119</v>
      </c>
      <c r="D1768" t="s">
        <v>3382</v>
      </c>
      <c r="E1768" t="s">
        <v>3383</v>
      </c>
      <c r="F1768" t="s">
        <v>0</v>
      </c>
      <c r="G1768" t="str">
        <f>"2018-10-18 15:27:19"</f>
        <v>2018-10-18 15:27:19</v>
      </c>
    </row>
    <row r="1769" spans="1:7" x14ac:dyDescent="0.2">
      <c r="A1769" t="s">
        <v>3384</v>
      </c>
      <c r="B1769" t="str">
        <f>"13982377223"</f>
        <v>13982377223</v>
      </c>
      <c r="C1769" t="str">
        <f>"510403199512042135"</f>
        <v>510403199512042135</v>
      </c>
      <c r="D1769" t="s">
        <v>1</v>
      </c>
      <c r="E1769" t="s">
        <v>1</v>
      </c>
      <c r="F1769" t="s">
        <v>0</v>
      </c>
      <c r="G1769" t="str">
        <f>"2018-10-18 15:25:08"</f>
        <v>2018-10-18 15:25:08</v>
      </c>
    </row>
    <row r="1770" spans="1:7" x14ac:dyDescent="0.2">
      <c r="A1770" t="s">
        <v>3385</v>
      </c>
      <c r="B1770" t="str">
        <f>"13812375266"</f>
        <v>13812375266</v>
      </c>
      <c r="C1770" t="str">
        <f>"321181198211201028"</f>
        <v>321181198211201028</v>
      </c>
      <c r="D1770" t="s">
        <v>1</v>
      </c>
      <c r="E1770" t="s">
        <v>1</v>
      </c>
      <c r="F1770" t="s">
        <v>0</v>
      </c>
      <c r="G1770" t="str">
        <f>"2018-10-18 15:26:18"</f>
        <v>2018-10-18 15:26:18</v>
      </c>
    </row>
    <row r="1771" spans="1:7" x14ac:dyDescent="0.2">
      <c r="A1771" t="s">
        <v>3386</v>
      </c>
      <c r="B1771" t="str">
        <f>"13788830923"</f>
        <v>13788830923</v>
      </c>
      <c r="C1771" t="str">
        <f>"350524198709234555"</f>
        <v>350524198709234555</v>
      </c>
      <c r="D1771" t="s">
        <v>1</v>
      </c>
      <c r="E1771" t="s">
        <v>1</v>
      </c>
      <c r="F1771" t="s">
        <v>0</v>
      </c>
      <c r="G1771" t="str">
        <f>"2018-10-18 16:39:53"</f>
        <v>2018-10-18 16:39:53</v>
      </c>
    </row>
    <row r="1772" spans="1:7" x14ac:dyDescent="0.2">
      <c r="A1772" t="s">
        <v>3387</v>
      </c>
      <c r="B1772" t="str">
        <f>"13838541744"</f>
        <v>13838541744</v>
      </c>
      <c r="C1772" t="str">
        <f>"410221198508026515"</f>
        <v>410221198508026515</v>
      </c>
      <c r="D1772" t="s">
        <v>3388</v>
      </c>
      <c r="E1772" t="s">
        <v>3389</v>
      </c>
      <c r="F1772" t="s">
        <v>0</v>
      </c>
      <c r="G1772" t="str">
        <f>"2018-11-02 14:03:47"</f>
        <v>2018-11-02 14:03:47</v>
      </c>
    </row>
    <row r="1773" spans="1:7" x14ac:dyDescent="0.2">
      <c r="A1773" t="s">
        <v>59</v>
      </c>
      <c r="B1773" t="str">
        <f>"18099998833"</f>
        <v>18099998833</v>
      </c>
      <c r="C1773" t="str">
        <f>"510923199009092314"</f>
        <v>510923199009092314</v>
      </c>
      <c r="D1773" t="s">
        <v>1</v>
      </c>
      <c r="E1773" t="s">
        <v>1</v>
      </c>
      <c r="F1773" t="s">
        <v>0</v>
      </c>
      <c r="G1773" t="str">
        <f>"2018-10-18 15:29:31"</f>
        <v>2018-10-18 15:29:31</v>
      </c>
    </row>
    <row r="1774" spans="1:7" x14ac:dyDescent="0.2">
      <c r="A1774" t="s">
        <v>3390</v>
      </c>
      <c r="B1774" t="str">
        <f>"13575938064"</f>
        <v>13575938064</v>
      </c>
      <c r="C1774" t="str">
        <f>"522527200006041338"</f>
        <v>522527200006041338</v>
      </c>
      <c r="D1774" t="s">
        <v>3391</v>
      </c>
      <c r="E1774" t="s">
        <v>3392</v>
      </c>
      <c r="F1774" t="s">
        <v>0</v>
      </c>
      <c r="G1774" t="str">
        <f>"2018-10-18 15:26:06"</f>
        <v>2018-10-18 15:26:06</v>
      </c>
    </row>
    <row r="1775" spans="1:7" x14ac:dyDescent="0.2">
      <c r="A1775" t="s">
        <v>1172</v>
      </c>
      <c r="B1775" t="str">
        <f>"15868299826"</f>
        <v>15868299826</v>
      </c>
      <c r="C1775" t="str">
        <f>"330522199408246534"</f>
        <v>330522199408246534</v>
      </c>
      <c r="D1775" t="s">
        <v>3393</v>
      </c>
      <c r="E1775" t="s">
        <v>3394</v>
      </c>
      <c r="F1775" t="s">
        <v>0</v>
      </c>
      <c r="G1775" t="str">
        <f>"2018-10-18 16:54:09"</f>
        <v>2018-10-18 16:54:09</v>
      </c>
    </row>
    <row r="1776" spans="1:7" x14ac:dyDescent="0.2">
      <c r="A1776" t="s">
        <v>3395</v>
      </c>
      <c r="B1776" t="str">
        <f>"18251443630"</f>
        <v>18251443630</v>
      </c>
      <c r="C1776" t="str">
        <f>"320922198606155778"</f>
        <v>320922198606155778</v>
      </c>
      <c r="D1776" t="s">
        <v>1</v>
      </c>
      <c r="E1776" t="s">
        <v>1</v>
      </c>
      <c r="F1776" t="s">
        <v>0</v>
      </c>
      <c r="G1776" t="str">
        <f>"2018-10-18 15:26:29"</f>
        <v>2018-10-18 15:26:29</v>
      </c>
    </row>
    <row r="1777" spans="1:7" x14ac:dyDescent="0.2">
      <c r="A1777" t="s">
        <v>1</v>
      </c>
      <c r="B1777" t="str">
        <f>"14795085799"</f>
        <v>14795085799</v>
      </c>
      <c r="C1777" t="s">
        <v>1</v>
      </c>
      <c r="D1777" t="s">
        <v>1</v>
      </c>
      <c r="E1777" t="s">
        <v>1</v>
      </c>
      <c r="F1777" t="s">
        <v>0</v>
      </c>
      <c r="G1777" t="str">
        <f>"2018-10-18 15:26:09"</f>
        <v>2018-10-18 15:26:09</v>
      </c>
    </row>
    <row r="1778" spans="1:7" x14ac:dyDescent="0.2">
      <c r="A1778" t="s">
        <v>975</v>
      </c>
      <c r="B1778" t="str">
        <f>"15264313788"</f>
        <v>15264313788</v>
      </c>
      <c r="C1778" t="str">
        <f>"37032219890401251X"</f>
        <v>37032219890401251X</v>
      </c>
      <c r="D1778" t="s">
        <v>3396</v>
      </c>
      <c r="E1778" t="s">
        <v>3397</v>
      </c>
      <c r="F1778" t="s">
        <v>0</v>
      </c>
      <c r="G1778" t="str">
        <f>"2018-10-18 15:26:07"</f>
        <v>2018-10-18 15:26:07</v>
      </c>
    </row>
    <row r="1779" spans="1:7" x14ac:dyDescent="0.2">
      <c r="A1779" t="s">
        <v>1822</v>
      </c>
      <c r="B1779" t="str">
        <f>"15142319004"</f>
        <v>15142319004</v>
      </c>
      <c r="C1779" t="str">
        <f>"211322199505102797"</f>
        <v>211322199505102797</v>
      </c>
      <c r="D1779" t="s">
        <v>1</v>
      </c>
      <c r="E1779" t="s">
        <v>1</v>
      </c>
      <c r="F1779" t="s">
        <v>0</v>
      </c>
      <c r="G1779" t="str">
        <f>"2018-10-18 15:32:29"</f>
        <v>2018-10-18 15:32:29</v>
      </c>
    </row>
    <row r="1780" spans="1:7" x14ac:dyDescent="0.2">
      <c r="A1780" t="s">
        <v>3398</v>
      </c>
      <c r="B1780" t="str">
        <f>"15925347300"</f>
        <v>15925347300</v>
      </c>
      <c r="C1780" t="str">
        <f>"532522198109221518"</f>
        <v>532522198109221518</v>
      </c>
      <c r="D1780" t="s">
        <v>3399</v>
      </c>
      <c r="E1780" t="s">
        <v>3400</v>
      </c>
      <c r="F1780" t="s">
        <v>0</v>
      </c>
      <c r="G1780" t="str">
        <f>"2018-10-18 15:26:13"</f>
        <v>2018-10-18 15:26:13</v>
      </c>
    </row>
    <row r="1781" spans="1:7" x14ac:dyDescent="0.2">
      <c r="A1781" t="s">
        <v>3401</v>
      </c>
      <c r="B1781" t="str">
        <f>"15831885050"</f>
        <v>15831885050</v>
      </c>
      <c r="C1781" t="str">
        <f>"130982199809266131"</f>
        <v>130982199809266131</v>
      </c>
      <c r="D1781" t="s">
        <v>1</v>
      </c>
      <c r="E1781" t="s">
        <v>1</v>
      </c>
      <c r="F1781" t="s">
        <v>0</v>
      </c>
      <c r="G1781" t="str">
        <f>"2018-10-18 15:24:54"</f>
        <v>2018-10-18 15:24:54</v>
      </c>
    </row>
    <row r="1782" spans="1:7" x14ac:dyDescent="0.2">
      <c r="A1782" t="s">
        <v>669</v>
      </c>
      <c r="B1782" t="str">
        <f>"18868260970"</f>
        <v>18868260970</v>
      </c>
      <c r="C1782" t="str">
        <f>"522124199001184421"</f>
        <v>522124199001184421</v>
      </c>
      <c r="D1782" t="s">
        <v>1</v>
      </c>
      <c r="E1782" t="s">
        <v>1</v>
      </c>
      <c r="F1782" t="s">
        <v>0</v>
      </c>
      <c r="G1782" t="str">
        <f>"2018-10-18 15:23:39"</f>
        <v>2018-10-18 15:23:39</v>
      </c>
    </row>
    <row r="1783" spans="1:7" x14ac:dyDescent="0.2">
      <c r="A1783" t="s">
        <v>3402</v>
      </c>
      <c r="B1783" t="str">
        <f>"13755184996"</f>
        <v>13755184996</v>
      </c>
      <c r="C1783" t="str">
        <f>"513023198304241529"</f>
        <v>513023198304241529</v>
      </c>
      <c r="D1783" t="s">
        <v>3403</v>
      </c>
      <c r="E1783" t="s">
        <v>3404</v>
      </c>
      <c r="F1783" t="s">
        <v>0</v>
      </c>
      <c r="G1783" t="str">
        <f>"2018-10-18 15:25:03"</f>
        <v>2018-10-18 15:25:03</v>
      </c>
    </row>
    <row r="1784" spans="1:7" x14ac:dyDescent="0.2">
      <c r="A1784" t="s">
        <v>3405</v>
      </c>
      <c r="B1784" t="str">
        <f>"13732778727"</f>
        <v>13732778727</v>
      </c>
      <c r="C1784" t="str">
        <f>"530328199808310026"</f>
        <v>530328199808310026</v>
      </c>
      <c r="D1784" t="s">
        <v>3406</v>
      </c>
      <c r="E1784" t="s">
        <v>3407</v>
      </c>
      <c r="F1784" t="s">
        <v>0</v>
      </c>
      <c r="G1784" t="str">
        <f>"2018-10-18 15:48:15"</f>
        <v>2018-10-18 15:48:15</v>
      </c>
    </row>
    <row r="1785" spans="1:7" x14ac:dyDescent="0.2">
      <c r="A1785" t="s">
        <v>3408</v>
      </c>
      <c r="B1785" t="str">
        <f>"18668726621"</f>
        <v>18668726621</v>
      </c>
      <c r="C1785" t="str">
        <f>"330382199607180916"</f>
        <v>330382199607180916</v>
      </c>
      <c r="D1785" t="s">
        <v>3409</v>
      </c>
      <c r="E1785" t="s">
        <v>3410</v>
      </c>
      <c r="F1785" t="s">
        <v>0</v>
      </c>
      <c r="G1785" t="str">
        <f>"2018-10-18 15:26:25"</f>
        <v>2018-10-18 15:26:25</v>
      </c>
    </row>
    <row r="1786" spans="1:7" x14ac:dyDescent="0.2">
      <c r="A1786" t="s">
        <v>3411</v>
      </c>
      <c r="B1786" t="str">
        <f>"15222793470"</f>
        <v>15222793470</v>
      </c>
      <c r="C1786" t="str">
        <f>"342427198307160016"</f>
        <v>342427198307160016</v>
      </c>
      <c r="D1786" t="s">
        <v>1</v>
      </c>
      <c r="E1786" t="s">
        <v>1</v>
      </c>
      <c r="F1786" t="s">
        <v>0</v>
      </c>
      <c r="G1786" t="str">
        <f>"2018-10-18 17:12:25"</f>
        <v>2018-10-18 17:12:25</v>
      </c>
    </row>
    <row r="1787" spans="1:7" x14ac:dyDescent="0.2">
      <c r="A1787" t="s">
        <v>1</v>
      </c>
      <c r="B1787" t="str">
        <f>"15849174610"</f>
        <v>15849174610</v>
      </c>
      <c r="C1787" t="s">
        <v>1</v>
      </c>
      <c r="D1787" t="s">
        <v>1</v>
      </c>
      <c r="E1787" t="s">
        <v>1</v>
      </c>
      <c r="F1787" t="s">
        <v>0</v>
      </c>
      <c r="G1787" t="str">
        <f>"2018-10-18 15:23:21"</f>
        <v>2018-10-18 15:23:21</v>
      </c>
    </row>
    <row r="1788" spans="1:7" x14ac:dyDescent="0.2">
      <c r="A1788" t="s">
        <v>3412</v>
      </c>
      <c r="B1788" t="str">
        <f>"15954847319"</f>
        <v>15954847319</v>
      </c>
      <c r="C1788" t="str">
        <f>"370285199307083517"</f>
        <v>370285199307083517</v>
      </c>
      <c r="D1788" t="s">
        <v>1</v>
      </c>
      <c r="E1788" t="s">
        <v>1</v>
      </c>
      <c r="F1788" t="s">
        <v>0</v>
      </c>
      <c r="G1788" t="str">
        <f>"2018-10-27 18:57:15"</f>
        <v>2018-10-27 18:57:15</v>
      </c>
    </row>
    <row r="1789" spans="1:7" x14ac:dyDescent="0.2">
      <c r="A1789" t="s">
        <v>3413</v>
      </c>
      <c r="B1789" t="str">
        <f>"17784065535"</f>
        <v>17784065535</v>
      </c>
      <c r="C1789" t="str">
        <f>"500243199103232737"</f>
        <v>500243199103232737</v>
      </c>
      <c r="D1789" t="s">
        <v>1</v>
      </c>
      <c r="E1789" t="s">
        <v>1</v>
      </c>
      <c r="F1789" t="s">
        <v>0</v>
      </c>
      <c r="G1789" t="str">
        <f>"2018-10-22 13:28:52"</f>
        <v>2018-10-22 13:28:52</v>
      </c>
    </row>
    <row r="1790" spans="1:7" x14ac:dyDescent="0.2">
      <c r="A1790" t="s">
        <v>1</v>
      </c>
      <c r="B1790" t="str">
        <f>"18831168735"</f>
        <v>18831168735</v>
      </c>
      <c r="C1790" t="s">
        <v>1</v>
      </c>
      <c r="D1790" t="s">
        <v>1</v>
      </c>
      <c r="E1790" t="s">
        <v>1</v>
      </c>
      <c r="F1790" t="s">
        <v>0</v>
      </c>
      <c r="G1790" t="str">
        <f>"2018-10-18 15:22:59"</f>
        <v>2018-10-18 15:22:59</v>
      </c>
    </row>
    <row r="1791" spans="1:7" x14ac:dyDescent="0.2">
      <c r="A1791" t="s">
        <v>3414</v>
      </c>
      <c r="B1791" t="str">
        <f>"15034166716"</f>
        <v>15034166716</v>
      </c>
      <c r="C1791" t="str">
        <f>"140121199605264658"</f>
        <v>140121199605264658</v>
      </c>
      <c r="D1791" t="s">
        <v>1</v>
      </c>
      <c r="E1791" t="s">
        <v>1</v>
      </c>
      <c r="F1791" t="s">
        <v>0</v>
      </c>
      <c r="G1791" t="str">
        <f>"2018-10-18 15:22:50"</f>
        <v>2018-10-18 15:22:50</v>
      </c>
    </row>
    <row r="1792" spans="1:7" x14ac:dyDescent="0.2">
      <c r="A1792" t="s">
        <v>3415</v>
      </c>
      <c r="B1792" t="str">
        <f>"17796345941"</f>
        <v>17796345941</v>
      </c>
      <c r="C1792" t="str">
        <f>"440982199511163650"</f>
        <v>440982199511163650</v>
      </c>
      <c r="D1792" t="s">
        <v>1</v>
      </c>
      <c r="E1792" t="s">
        <v>1</v>
      </c>
      <c r="F1792" t="s">
        <v>0</v>
      </c>
      <c r="G1792" t="str">
        <f>"2018-10-18 17:17:31"</f>
        <v>2018-10-18 17:17:31</v>
      </c>
    </row>
    <row r="1793" spans="1:7" x14ac:dyDescent="0.2">
      <c r="A1793" t="s">
        <v>3416</v>
      </c>
      <c r="B1793" t="str">
        <f>"18923708345"</f>
        <v>18923708345</v>
      </c>
      <c r="C1793" t="str">
        <f>"421223199303273213"</f>
        <v>421223199303273213</v>
      </c>
      <c r="D1793" t="s">
        <v>1</v>
      </c>
      <c r="E1793" t="s">
        <v>1</v>
      </c>
      <c r="F1793" t="s">
        <v>0</v>
      </c>
      <c r="G1793" t="str">
        <f>"2018-10-18 15:24:42"</f>
        <v>2018-10-18 15:24:42</v>
      </c>
    </row>
    <row r="1794" spans="1:7" x14ac:dyDescent="0.2">
      <c r="A1794" t="s">
        <v>3417</v>
      </c>
      <c r="B1794" t="str">
        <f>"15772228915"</f>
        <v>15772228915</v>
      </c>
      <c r="C1794" t="str">
        <f>"522401198812286621"</f>
        <v>522401198812286621</v>
      </c>
      <c r="D1794" t="s">
        <v>1</v>
      </c>
      <c r="E1794" t="s">
        <v>1</v>
      </c>
      <c r="F1794" t="s">
        <v>0</v>
      </c>
      <c r="G1794" t="str">
        <f>"2018-10-18 15:22:44"</f>
        <v>2018-10-18 15:22:44</v>
      </c>
    </row>
    <row r="1795" spans="1:7" x14ac:dyDescent="0.2">
      <c r="A1795" t="s">
        <v>3418</v>
      </c>
      <c r="B1795" t="str">
        <f>"13068617878"</f>
        <v>13068617878</v>
      </c>
      <c r="C1795" t="str">
        <f>"440682199209235012"</f>
        <v>440682199209235012</v>
      </c>
      <c r="D1795" t="s">
        <v>1</v>
      </c>
      <c r="E1795" t="s">
        <v>1</v>
      </c>
      <c r="F1795" t="s">
        <v>0</v>
      </c>
      <c r="G1795" t="str">
        <f>"2018-10-18 15:25:21"</f>
        <v>2018-10-18 15:25:21</v>
      </c>
    </row>
    <row r="1796" spans="1:7" x14ac:dyDescent="0.2">
      <c r="A1796" t="s">
        <v>3419</v>
      </c>
      <c r="B1796" t="str">
        <f>"13106884567"</f>
        <v>13106884567</v>
      </c>
      <c r="C1796" t="str">
        <f>"441322199210124641"</f>
        <v>441322199210124641</v>
      </c>
      <c r="D1796" t="s">
        <v>3420</v>
      </c>
      <c r="E1796" t="s">
        <v>3421</v>
      </c>
      <c r="F1796" t="s">
        <v>0</v>
      </c>
      <c r="G1796" t="str">
        <f>"2018-10-18 15:24:44"</f>
        <v>2018-10-18 15:24:44</v>
      </c>
    </row>
    <row r="1797" spans="1:7" x14ac:dyDescent="0.2">
      <c r="A1797" t="s">
        <v>3422</v>
      </c>
      <c r="B1797" t="str">
        <f>"13629139058"</f>
        <v>13629139058</v>
      </c>
      <c r="C1797" t="str">
        <f>"610521198809260034"</f>
        <v>610521198809260034</v>
      </c>
      <c r="D1797" t="s">
        <v>1</v>
      </c>
      <c r="E1797" t="s">
        <v>1</v>
      </c>
      <c r="F1797" t="s">
        <v>0</v>
      </c>
      <c r="G1797" t="str">
        <f>"2018-10-18 15:26:12"</f>
        <v>2018-10-18 15:26:12</v>
      </c>
    </row>
    <row r="1798" spans="1:7" x14ac:dyDescent="0.2">
      <c r="A1798" t="s">
        <v>3423</v>
      </c>
      <c r="B1798" t="str">
        <f>"13180255537"</f>
        <v>13180255537</v>
      </c>
      <c r="C1798" t="str">
        <f>"142601199001237927"</f>
        <v>142601199001237927</v>
      </c>
      <c r="D1798" t="s">
        <v>1</v>
      </c>
      <c r="E1798" t="s">
        <v>1</v>
      </c>
      <c r="F1798" t="s">
        <v>0</v>
      </c>
      <c r="G1798" t="str">
        <f>"2018-10-18 15:30:47"</f>
        <v>2018-10-18 15:30:47</v>
      </c>
    </row>
    <row r="1799" spans="1:7" x14ac:dyDescent="0.2">
      <c r="A1799" t="s">
        <v>3424</v>
      </c>
      <c r="B1799" t="str">
        <f>"18315036301"</f>
        <v>18315036301</v>
      </c>
      <c r="C1799" t="str">
        <f>"50023819950705397X"</f>
        <v>50023819950705397X</v>
      </c>
      <c r="D1799" t="s">
        <v>1</v>
      </c>
      <c r="E1799" t="s">
        <v>1</v>
      </c>
      <c r="F1799" t="s">
        <v>0</v>
      </c>
      <c r="G1799" t="str">
        <f>"2018-10-18 15:30:39"</f>
        <v>2018-10-18 15:30:39</v>
      </c>
    </row>
    <row r="1800" spans="1:7" x14ac:dyDescent="0.2">
      <c r="A1800" t="s">
        <v>3425</v>
      </c>
      <c r="B1800" t="str">
        <f>"18352655990"</f>
        <v>18352655990</v>
      </c>
      <c r="C1800" t="str">
        <f>"320682198809184675"</f>
        <v>320682198809184675</v>
      </c>
      <c r="D1800" t="s">
        <v>1</v>
      </c>
      <c r="E1800" t="s">
        <v>1</v>
      </c>
      <c r="F1800" t="s">
        <v>0</v>
      </c>
      <c r="G1800" t="str">
        <f>"2018-10-18 15:30:47"</f>
        <v>2018-10-18 15:30:47</v>
      </c>
    </row>
    <row r="1801" spans="1:7" x14ac:dyDescent="0.2">
      <c r="A1801" t="s">
        <v>61</v>
      </c>
      <c r="B1801" t="str">
        <f>"15312186266"</f>
        <v>15312186266</v>
      </c>
      <c r="C1801" t="str">
        <f>"320511198106110513"</f>
        <v>320511198106110513</v>
      </c>
      <c r="D1801" t="s">
        <v>1</v>
      </c>
      <c r="E1801" t="s">
        <v>1</v>
      </c>
      <c r="F1801" t="s">
        <v>0</v>
      </c>
      <c r="G1801" t="str">
        <f>"2018-10-22 11:33:23"</f>
        <v>2018-10-22 11:33:23</v>
      </c>
    </row>
    <row r="1802" spans="1:7" x14ac:dyDescent="0.2">
      <c r="A1802" t="s">
        <v>3426</v>
      </c>
      <c r="B1802" t="str">
        <f>"18985215804"</f>
        <v>18985215804</v>
      </c>
      <c r="C1802" t="str">
        <f>"522101199406035622"</f>
        <v>522101199406035622</v>
      </c>
      <c r="D1802" t="s">
        <v>3427</v>
      </c>
      <c r="E1802" t="s">
        <v>3428</v>
      </c>
      <c r="F1802" t="s">
        <v>0</v>
      </c>
      <c r="G1802" t="str">
        <f>"2018-10-18 15:32:59"</f>
        <v>2018-10-18 15:32:59</v>
      </c>
    </row>
    <row r="1803" spans="1:7" x14ac:dyDescent="0.2">
      <c r="A1803" t="s">
        <v>3429</v>
      </c>
      <c r="B1803" t="str">
        <f>"17691230372"</f>
        <v>17691230372</v>
      </c>
      <c r="C1803" t="str">
        <f>"412722199906203046"</f>
        <v>412722199906203046</v>
      </c>
      <c r="D1803" t="s">
        <v>1</v>
      </c>
      <c r="E1803" t="s">
        <v>1</v>
      </c>
      <c r="F1803" t="s">
        <v>0</v>
      </c>
      <c r="G1803" t="str">
        <f>"2018-10-18 15:22:12"</f>
        <v>2018-10-18 15:22:12</v>
      </c>
    </row>
    <row r="1804" spans="1:7" x14ac:dyDescent="0.2">
      <c r="A1804" t="s">
        <v>1</v>
      </c>
      <c r="B1804" t="str">
        <f>"13308673338"</f>
        <v>13308673338</v>
      </c>
      <c r="C1804" t="s">
        <v>1</v>
      </c>
      <c r="D1804" t="s">
        <v>1</v>
      </c>
      <c r="E1804" t="s">
        <v>1</v>
      </c>
      <c r="F1804" t="s">
        <v>0</v>
      </c>
      <c r="G1804" t="str">
        <f>"2018-10-18 15:22:11"</f>
        <v>2018-10-18 15:22:11</v>
      </c>
    </row>
    <row r="1805" spans="1:7" x14ac:dyDescent="0.2">
      <c r="A1805" t="s">
        <v>3430</v>
      </c>
      <c r="B1805" t="str">
        <f>"15152761075"</f>
        <v>15152761075</v>
      </c>
      <c r="C1805" t="str">
        <f>"321084199010026524"</f>
        <v>321084199010026524</v>
      </c>
      <c r="D1805" t="s">
        <v>1</v>
      </c>
      <c r="E1805" t="s">
        <v>1</v>
      </c>
      <c r="F1805" t="s">
        <v>0</v>
      </c>
      <c r="G1805" t="str">
        <f>"2018-11-04 19:54:47"</f>
        <v>2018-11-04 19:54:47</v>
      </c>
    </row>
    <row r="1806" spans="1:7" x14ac:dyDescent="0.2">
      <c r="A1806" t="s">
        <v>1225</v>
      </c>
      <c r="B1806" t="str">
        <f>"18702214417"</f>
        <v>18702214417</v>
      </c>
      <c r="C1806" t="str">
        <f>"120112197902021610"</f>
        <v>120112197902021610</v>
      </c>
      <c r="D1806" t="s">
        <v>1</v>
      </c>
      <c r="E1806" t="s">
        <v>1</v>
      </c>
      <c r="F1806" t="s">
        <v>0</v>
      </c>
      <c r="G1806" t="str">
        <f>"2018-10-18 16:23:56"</f>
        <v>2018-10-18 16:23:56</v>
      </c>
    </row>
    <row r="1807" spans="1:7" x14ac:dyDescent="0.2">
      <c r="A1807" t="s">
        <v>685</v>
      </c>
      <c r="B1807" t="str">
        <f>"13433503968"</f>
        <v>13433503968</v>
      </c>
      <c r="C1807" t="str">
        <f>"441381199312311835"</f>
        <v>441381199312311835</v>
      </c>
      <c r="D1807" t="s">
        <v>1</v>
      </c>
      <c r="E1807" t="s">
        <v>1</v>
      </c>
      <c r="F1807" t="s">
        <v>0</v>
      </c>
      <c r="G1807" t="str">
        <f>"2018-10-18 15:22:56"</f>
        <v>2018-10-18 15:22:56</v>
      </c>
    </row>
    <row r="1808" spans="1:7" x14ac:dyDescent="0.2">
      <c r="A1808" t="s">
        <v>3431</v>
      </c>
      <c r="B1808" t="str">
        <f>"15109221092"</f>
        <v>15109221092</v>
      </c>
      <c r="C1808" t="str">
        <f>"610425199509210013"</f>
        <v>610425199509210013</v>
      </c>
      <c r="D1808" t="s">
        <v>1</v>
      </c>
      <c r="E1808" t="s">
        <v>1</v>
      </c>
      <c r="F1808" t="s">
        <v>0</v>
      </c>
      <c r="G1808" t="str">
        <f>"2018-10-18 15:23:49"</f>
        <v>2018-10-18 15:23:49</v>
      </c>
    </row>
    <row r="1809" spans="1:7" x14ac:dyDescent="0.2">
      <c r="A1809" t="s">
        <v>3432</v>
      </c>
      <c r="B1809" t="str">
        <f>"15001170908"</f>
        <v>15001170908</v>
      </c>
      <c r="C1809" t="str">
        <f>"110101198401174516"</f>
        <v>110101198401174516</v>
      </c>
      <c r="D1809" t="s">
        <v>1</v>
      </c>
      <c r="E1809" t="s">
        <v>1</v>
      </c>
      <c r="F1809" t="s">
        <v>0</v>
      </c>
      <c r="G1809" t="str">
        <f>"2018-10-18 15:22:53"</f>
        <v>2018-10-18 15:22:53</v>
      </c>
    </row>
    <row r="1810" spans="1:7" x14ac:dyDescent="0.2">
      <c r="A1810" t="s">
        <v>3433</v>
      </c>
      <c r="B1810" t="str">
        <f>"13256161516"</f>
        <v>13256161516</v>
      </c>
      <c r="C1810" t="str">
        <f>"370124199005037517"</f>
        <v>370124199005037517</v>
      </c>
      <c r="D1810" t="s">
        <v>3434</v>
      </c>
      <c r="E1810" t="s">
        <v>3435</v>
      </c>
      <c r="F1810" t="s">
        <v>0</v>
      </c>
      <c r="G1810" t="str">
        <f>"2018-10-18 15:22:39"</f>
        <v>2018-10-18 15:22:39</v>
      </c>
    </row>
    <row r="1811" spans="1:7" x14ac:dyDescent="0.2">
      <c r="A1811" t="s">
        <v>1482</v>
      </c>
      <c r="B1811" t="str">
        <f>"18911935892"</f>
        <v>18911935892</v>
      </c>
      <c r="C1811" t="str">
        <f>"622424199103240025"</f>
        <v>622424199103240025</v>
      </c>
      <c r="D1811" t="s">
        <v>1</v>
      </c>
      <c r="E1811" t="s">
        <v>1</v>
      </c>
      <c r="F1811" t="s">
        <v>0</v>
      </c>
      <c r="G1811" t="str">
        <f>"2018-10-18 15:21:31"</f>
        <v>2018-10-18 15:21:31</v>
      </c>
    </row>
    <row r="1812" spans="1:7" x14ac:dyDescent="0.2">
      <c r="A1812" t="s">
        <v>3436</v>
      </c>
      <c r="B1812" t="str">
        <f>"13976099902"</f>
        <v>13976099902</v>
      </c>
      <c r="C1812" t="str">
        <f>"460004198301235215"</f>
        <v>460004198301235215</v>
      </c>
      <c r="D1812" t="s">
        <v>3437</v>
      </c>
      <c r="E1812" t="s">
        <v>3438</v>
      </c>
      <c r="F1812" t="s">
        <v>0</v>
      </c>
      <c r="G1812" t="str">
        <f>"2018-10-18 15:34:44"</f>
        <v>2018-10-18 15:34:44</v>
      </c>
    </row>
    <row r="1813" spans="1:7" x14ac:dyDescent="0.2">
      <c r="A1813" t="s">
        <v>3439</v>
      </c>
      <c r="B1813" t="str">
        <f>"17370707583"</f>
        <v>17370707583</v>
      </c>
      <c r="C1813" t="str">
        <f>"360728198904141635"</f>
        <v>360728198904141635</v>
      </c>
      <c r="D1813" t="s">
        <v>1</v>
      </c>
      <c r="E1813" t="s">
        <v>1</v>
      </c>
      <c r="F1813" t="s">
        <v>0</v>
      </c>
      <c r="G1813" t="str">
        <f>"2018-10-18 15:23:52"</f>
        <v>2018-10-18 15:23:52</v>
      </c>
    </row>
    <row r="1814" spans="1:7" x14ac:dyDescent="0.2">
      <c r="A1814" t="s">
        <v>3440</v>
      </c>
      <c r="B1814" t="str">
        <f>"18326407058"</f>
        <v>18326407058</v>
      </c>
      <c r="C1814" t="str">
        <f>"342501198703251536"</f>
        <v>342501198703251536</v>
      </c>
      <c r="D1814" t="s">
        <v>1</v>
      </c>
      <c r="E1814" t="s">
        <v>1</v>
      </c>
      <c r="F1814" t="s">
        <v>0</v>
      </c>
      <c r="G1814" t="str">
        <f>"2018-10-18 15:22:09"</f>
        <v>2018-10-18 15:22:09</v>
      </c>
    </row>
    <row r="1815" spans="1:7" x14ac:dyDescent="0.2">
      <c r="A1815" t="s">
        <v>3441</v>
      </c>
      <c r="B1815" t="str">
        <f>"15321131599"</f>
        <v>15321131599</v>
      </c>
      <c r="C1815" t="str">
        <f>"620421199108151610"</f>
        <v>620421199108151610</v>
      </c>
      <c r="D1815" t="s">
        <v>1</v>
      </c>
      <c r="E1815" t="s">
        <v>1</v>
      </c>
      <c r="F1815" t="s">
        <v>0</v>
      </c>
      <c r="G1815" t="str">
        <f>"2018-10-18 15:24:15"</f>
        <v>2018-10-18 15:24:15</v>
      </c>
    </row>
    <row r="1816" spans="1:7" x14ac:dyDescent="0.2">
      <c r="A1816" t="s">
        <v>3442</v>
      </c>
      <c r="B1816" t="str">
        <f>"13999727530"</f>
        <v>13999727530</v>
      </c>
      <c r="C1816" t="str">
        <f>"320381199904145211"</f>
        <v>320381199904145211</v>
      </c>
      <c r="D1816" t="s">
        <v>1</v>
      </c>
      <c r="E1816" t="s">
        <v>1</v>
      </c>
      <c r="F1816" t="s">
        <v>0</v>
      </c>
      <c r="G1816" t="str">
        <f>"2018-10-18 15:21:20"</f>
        <v>2018-10-18 15:21:20</v>
      </c>
    </row>
    <row r="1817" spans="1:7" x14ac:dyDescent="0.2">
      <c r="A1817" t="s">
        <v>3443</v>
      </c>
      <c r="B1817" t="str">
        <f>"18635820002"</f>
        <v>18635820002</v>
      </c>
      <c r="C1817" t="str">
        <f>"142331197811021012"</f>
        <v>142331197811021012</v>
      </c>
      <c r="D1817" t="s">
        <v>1</v>
      </c>
      <c r="E1817" t="s">
        <v>1</v>
      </c>
      <c r="F1817" t="s">
        <v>0</v>
      </c>
      <c r="G1817" t="str">
        <f>"2018-10-18 15:22:09"</f>
        <v>2018-10-18 15:22:09</v>
      </c>
    </row>
    <row r="1818" spans="1:7" x14ac:dyDescent="0.2">
      <c r="A1818" t="s">
        <v>1</v>
      </c>
      <c r="B1818" t="str">
        <f>"18628022528"</f>
        <v>18628022528</v>
      </c>
      <c r="C1818" t="s">
        <v>1</v>
      </c>
      <c r="D1818" t="s">
        <v>1</v>
      </c>
      <c r="E1818" t="s">
        <v>1</v>
      </c>
      <c r="F1818" t="s">
        <v>0</v>
      </c>
      <c r="G1818" t="str">
        <f>"2018-10-18 15:20:21"</f>
        <v>2018-10-18 15:20:21</v>
      </c>
    </row>
    <row r="1819" spans="1:7" x14ac:dyDescent="0.2">
      <c r="A1819" t="s">
        <v>1197</v>
      </c>
      <c r="B1819" t="str">
        <f>"18328023498"</f>
        <v>18328023498</v>
      </c>
      <c r="C1819" t="str">
        <f>"513723199401110013"</f>
        <v>513723199401110013</v>
      </c>
      <c r="D1819" t="s">
        <v>1</v>
      </c>
      <c r="E1819" t="s">
        <v>1</v>
      </c>
      <c r="F1819" t="s">
        <v>0</v>
      </c>
      <c r="G1819" t="str">
        <f>"2018-10-18 15:21:58"</f>
        <v>2018-10-18 15:21:58</v>
      </c>
    </row>
    <row r="1820" spans="1:7" x14ac:dyDescent="0.2">
      <c r="A1820" t="s">
        <v>1407</v>
      </c>
      <c r="B1820" t="str">
        <f>"13405882723"</f>
        <v>13405882723</v>
      </c>
      <c r="C1820" t="str">
        <f>"320123198809050610"</f>
        <v>320123198809050610</v>
      </c>
      <c r="D1820" t="s">
        <v>1</v>
      </c>
      <c r="E1820" t="s">
        <v>1</v>
      </c>
      <c r="F1820" t="s">
        <v>0</v>
      </c>
      <c r="G1820" t="str">
        <f>"2018-10-18 15:25:49"</f>
        <v>2018-10-18 15:25:49</v>
      </c>
    </row>
    <row r="1821" spans="1:7" x14ac:dyDescent="0.2">
      <c r="A1821" t="s">
        <v>3444</v>
      </c>
      <c r="B1821" t="str">
        <f>"17640571220"</f>
        <v>17640571220</v>
      </c>
      <c r="C1821" t="str">
        <f>"211302199401291217"</f>
        <v>211302199401291217</v>
      </c>
      <c r="D1821" t="s">
        <v>1</v>
      </c>
      <c r="E1821" t="s">
        <v>1</v>
      </c>
      <c r="F1821" t="s">
        <v>0</v>
      </c>
      <c r="G1821" t="str">
        <f>"2018-10-18 15:25:03"</f>
        <v>2018-10-18 15:25:03</v>
      </c>
    </row>
    <row r="1822" spans="1:7" x14ac:dyDescent="0.2">
      <c r="A1822" t="s">
        <v>3445</v>
      </c>
      <c r="B1822" t="str">
        <f>"13751005580"</f>
        <v>13751005580</v>
      </c>
      <c r="C1822" t="str">
        <f>"360311199207210549"</f>
        <v>360311199207210549</v>
      </c>
      <c r="D1822" t="s">
        <v>1</v>
      </c>
      <c r="E1822" t="s">
        <v>1</v>
      </c>
      <c r="F1822" t="s">
        <v>0</v>
      </c>
      <c r="G1822" t="str">
        <f>"2018-10-18 15:21:34"</f>
        <v>2018-10-18 15:21:34</v>
      </c>
    </row>
    <row r="1823" spans="1:7" x14ac:dyDescent="0.2">
      <c r="A1823" t="s">
        <v>3446</v>
      </c>
      <c r="B1823" t="str">
        <f>"13978237553"</f>
        <v>13978237553</v>
      </c>
      <c r="C1823" t="str">
        <f>"450222198604241614"</f>
        <v>450222198604241614</v>
      </c>
      <c r="D1823" t="s">
        <v>1</v>
      </c>
      <c r="E1823" t="s">
        <v>1</v>
      </c>
      <c r="F1823" t="s">
        <v>0</v>
      </c>
      <c r="G1823" t="str">
        <f>"2018-10-18 15:22:24"</f>
        <v>2018-10-18 15:22:24</v>
      </c>
    </row>
    <row r="1824" spans="1:7" x14ac:dyDescent="0.2">
      <c r="A1824" t="s">
        <v>3447</v>
      </c>
      <c r="B1824" t="str">
        <f>"18781698878"</f>
        <v>18781698878</v>
      </c>
      <c r="C1824" t="str">
        <f>"510702197210290513"</f>
        <v>510702197210290513</v>
      </c>
      <c r="D1824" t="s">
        <v>1</v>
      </c>
      <c r="E1824" t="s">
        <v>1</v>
      </c>
      <c r="F1824" t="s">
        <v>0</v>
      </c>
      <c r="G1824" t="str">
        <f>"2018-10-18 15:36:09"</f>
        <v>2018-10-18 15:36:09</v>
      </c>
    </row>
    <row r="1825" spans="1:7" x14ac:dyDescent="0.2">
      <c r="A1825" t="s">
        <v>3448</v>
      </c>
      <c r="B1825" t="str">
        <f>"13773637993"</f>
        <v>13773637993</v>
      </c>
      <c r="C1825" t="str">
        <f>"320623198111101700"</f>
        <v>320623198111101700</v>
      </c>
      <c r="D1825" t="s">
        <v>1</v>
      </c>
      <c r="E1825" t="s">
        <v>1</v>
      </c>
      <c r="F1825" t="s">
        <v>0</v>
      </c>
      <c r="G1825" t="str">
        <f>"2018-10-18 15:21:29"</f>
        <v>2018-10-18 15:21:29</v>
      </c>
    </row>
    <row r="1826" spans="1:7" x14ac:dyDescent="0.2">
      <c r="A1826" t="s">
        <v>1196</v>
      </c>
      <c r="B1826" t="str">
        <f>"13821951672"</f>
        <v>13821951672</v>
      </c>
      <c r="C1826" t="str">
        <f>"342623198909214013"</f>
        <v>342623198909214013</v>
      </c>
      <c r="D1826" t="s">
        <v>1</v>
      </c>
      <c r="E1826" t="s">
        <v>1</v>
      </c>
      <c r="F1826" t="s">
        <v>0</v>
      </c>
      <c r="G1826" t="str">
        <f>"2018-10-18 15:21:58"</f>
        <v>2018-10-18 15:21:58</v>
      </c>
    </row>
    <row r="1827" spans="1:7" x14ac:dyDescent="0.2">
      <c r="A1827" t="s">
        <v>1</v>
      </c>
      <c r="B1827" t="str">
        <f>"13587515743"</f>
        <v>13587515743</v>
      </c>
      <c r="C1827" t="s">
        <v>1</v>
      </c>
      <c r="D1827" t="s">
        <v>1</v>
      </c>
      <c r="E1827" t="s">
        <v>1</v>
      </c>
      <c r="F1827" t="s">
        <v>0</v>
      </c>
      <c r="G1827" t="str">
        <f>"2018-10-18 15:21:51"</f>
        <v>2018-10-18 15:21:51</v>
      </c>
    </row>
    <row r="1828" spans="1:7" x14ac:dyDescent="0.2">
      <c r="A1828" t="s">
        <v>3449</v>
      </c>
      <c r="B1828" t="str">
        <f>"18277957509"</f>
        <v>18277957509</v>
      </c>
      <c r="C1828" t="str">
        <f>"450503199111220649"</f>
        <v>450503199111220649</v>
      </c>
      <c r="D1828" t="s">
        <v>1</v>
      </c>
      <c r="E1828" t="s">
        <v>1</v>
      </c>
      <c r="F1828" t="s">
        <v>0</v>
      </c>
      <c r="G1828" t="str">
        <f>"2018-10-18 15:23:37"</f>
        <v>2018-10-18 15:23:37</v>
      </c>
    </row>
    <row r="1829" spans="1:7" x14ac:dyDescent="0.2">
      <c r="A1829" t="s">
        <v>3450</v>
      </c>
      <c r="B1829" t="str">
        <f>"18752579030"</f>
        <v>18752579030</v>
      </c>
      <c r="C1829" t="str">
        <f>"320324199003121231"</f>
        <v>320324199003121231</v>
      </c>
      <c r="D1829" t="s">
        <v>1</v>
      </c>
      <c r="E1829" t="s">
        <v>1</v>
      </c>
      <c r="F1829" t="s">
        <v>0</v>
      </c>
      <c r="G1829" t="str">
        <f>"2018-10-18 15:20:37"</f>
        <v>2018-10-18 15:20:37</v>
      </c>
    </row>
    <row r="1830" spans="1:7" x14ac:dyDescent="0.2">
      <c r="A1830" t="s">
        <v>3451</v>
      </c>
      <c r="B1830" t="str">
        <f>"15158070408"</f>
        <v>15158070408</v>
      </c>
      <c r="C1830" t="str">
        <f>"330122199009032553"</f>
        <v>330122199009032553</v>
      </c>
      <c r="D1830" t="s">
        <v>3452</v>
      </c>
      <c r="E1830" t="s">
        <v>3453</v>
      </c>
      <c r="F1830" t="s">
        <v>0</v>
      </c>
      <c r="G1830" t="str">
        <f>"2018-10-18 15:21:50"</f>
        <v>2018-10-18 15:21:50</v>
      </c>
    </row>
    <row r="1831" spans="1:7" x14ac:dyDescent="0.2">
      <c r="A1831" t="s">
        <v>3454</v>
      </c>
      <c r="B1831" t="str">
        <f>"13976775506"</f>
        <v>13976775506</v>
      </c>
      <c r="C1831" t="str">
        <f>"460027199107094411"</f>
        <v>460027199107094411</v>
      </c>
      <c r="D1831" t="s">
        <v>1</v>
      </c>
      <c r="E1831" t="s">
        <v>1</v>
      </c>
      <c r="F1831" t="s">
        <v>0</v>
      </c>
      <c r="G1831" t="str">
        <f>"2018-10-18 15:27:02"</f>
        <v>2018-10-18 15:27:02</v>
      </c>
    </row>
    <row r="1832" spans="1:7" x14ac:dyDescent="0.2">
      <c r="A1832" t="s">
        <v>1</v>
      </c>
      <c r="B1832" t="str">
        <f>"15036633166"</f>
        <v>15036633166</v>
      </c>
      <c r="C1832" t="s">
        <v>1</v>
      </c>
      <c r="D1832" t="s">
        <v>1</v>
      </c>
      <c r="E1832" t="s">
        <v>1</v>
      </c>
      <c r="F1832" t="s">
        <v>0</v>
      </c>
      <c r="G1832" t="str">
        <f>"2018-10-18 15:19:08"</f>
        <v>2018-10-18 15:19:08</v>
      </c>
    </row>
    <row r="1833" spans="1:7" x14ac:dyDescent="0.2">
      <c r="A1833" t="s">
        <v>3455</v>
      </c>
      <c r="B1833" t="str">
        <f>"18754950596"</f>
        <v>18754950596</v>
      </c>
      <c r="C1833" t="str">
        <f>"371324199204065299"</f>
        <v>371324199204065299</v>
      </c>
      <c r="D1833" t="s">
        <v>3456</v>
      </c>
      <c r="E1833" t="s">
        <v>3457</v>
      </c>
      <c r="F1833" t="s">
        <v>0</v>
      </c>
      <c r="G1833" t="str">
        <f>"2018-10-18 15:21:09"</f>
        <v>2018-10-18 15:21:09</v>
      </c>
    </row>
    <row r="1834" spans="1:7" x14ac:dyDescent="0.2">
      <c r="A1834" t="s">
        <v>759</v>
      </c>
      <c r="B1834" t="str">
        <f>"15184044456"</f>
        <v>15184044456</v>
      </c>
      <c r="C1834" t="str">
        <f>"211422198505040232"</f>
        <v>211422198505040232</v>
      </c>
      <c r="D1834" t="s">
        <v>1</v>
      </c>
      <c r="E1834" t="s">
        <v>1</v>
      </c>
      <c r="F1834" t="s">
        <v>0</v>
      </c>
      <c r="G1834" t="str">
        <f>"2018-10-18 15:22:11"</f>
        <v>2018-10-18 15:22:11</v>
      </c>
    </row>
    <row r="1835" spans="1:7" x14ac:dyDescent="0.2">
      <c r="A1835" t="s">
        <v>3458</v>
      </c>
      <c r="B1835" t="str">
        <f>"13927277618"</f>
        <v>13927277618</v>
      </c>
      <c r="C1835" t="str">
        <f>"441284199609060014"</f>
        <v>441284199609060014</v>
      </c>
      <c r="D1835" t="s">
        <v>1</v>
      </c>
      <c r="E1835" t="s">
        <v>1</v>
      </c>
      <c r="F1835" t="s">
        <v>0</v>
      </c>
      <c r="G1835" t="str">
        <f>"2018-10-18 15:23:22"</f>
        <v>2018-10-18 15:23:22</v>
      </c>
    </row>
    <row r="1836" spans="1:7" x14ac:dyDescent="0.2">
      <c r="A1836" t="s">
        <v>3459</v>
      </c>
      <c r="B1836" t="str">
        <f>"18352233602"</f>
        <v>18352233602</v>
      </c>
      <c r="C1836" t="str">
        <f>"320323198606215834"</f>
        <v>320323198606215834</v>
      </c>
      <c r="D1836" t="s">
        <v>1</v>
      </c>
      <c r="E1836" t="s">
        <v>1</v>
      </c>
      <c r="F1836" t="s">
        <v>0</v>
      </c>
      <c r="G1836" t="str">
        <f>"2018-10-20 09:30:47"</f>
        <v>2018-10-20 09:30:47</v>
      </c>
    </row>
    <row r="1837" spans="1:7" x14ac:dyDescent="0.2">
      <c r="A1837" t="s">
        <v>3460</v>
      </c>
      <c r="B1837" t="str">
        <f>"13993641661"</f>
        <v>13993641661</v>
      </c>
      <c r="C1837" t="str">
        <f>"622201198811207832"</f>
        <v>622201198811207832</v>
      </c>
      <c r="D1837" t="s">
        <v>3461</v>
      </c>
      <c r="E1837" t="s">
        <v>3462</v>
      </c>
      <c r="F1837" t="s">
        <v>0</v>
      </c>
      <c r="G1837" t="str">
        <f>"2018-10-18 15:21:33"</f>
        <v>2018-10-18 15:21:33</v>
      </c>
    </row>
    <row r="1838" spans="1:7" x14ac:dyDescent="0.2">
      <c r="A1838" t="s">
        <v>3463</v>
      </c>
      <c r="B1838" t="str">
        <f>"15706493234"</f>
        <v>15706493234</v>
      </c>
      <c r="C1838" t="str">
        <f>"371312199411076438"</f>
        <v>371312199411076438</v>
      </c>
      <c r="D1838" t="s">
        <v>3464</v>
      </c>
      <c r="E1838" t="s">
        <v>3465</v>
      </c>
      <c r="F1838" t="s">
        <v>0</v>
      </c>
      <c r="G1838" t="str">
        <f>"2018-10-27 09:39:46"</f>
        <v>2018-10-27 09:39:46</v>
      </c>
    </row>
    <row r="1839" spans="1:7" x14ac:dyDescent="0.2">
      <c r="A1839" t="s">
        <v>3466</v>
      </c>
      <c r="B1839" t="str">
        <f>"15370782538"</f>
        <v>15370782538</v>
      </c>
      <c r="C1839" t="str">
        <f>"320923199207153610"</f>
        <v>320923199207153610</v>
      </c>
      <c r="D1839" t="s">
        <v>1</v>
      </c>
      <c r="E1839" t="s">
        <v>1</v>
      </c>
      <c r="F1839" t="s">
        <v>0</v>
      </c>
      <c r="G1839" t="str">
        <f>"2018-10-18 15:21:38"</f>
        <v>2018-10-18 15:21:38</v>
      </c>
    </row>
    <row r="1840" spans="1:7" x14ac:dyDescent="0.2">
      <c r="A1840" t="s">
        <v>1</v>
      </c>
      <c r="B1840" t="str">
        <f>"15063248320"</f>
        <v>15063248320</v>
      </c>
      <c r="C1840" t="s">
        <v>1</v>
      </c>
      <c r="D1840" t="s">
        <v>1</v>
      </c>
      <c r="E1840" t="s">
        <v>1</v>
      </c>
      <c r="F1840" t="s">
        <v>0</v>
      </c>
      <c r="G1840" t="str">
        <f>"2018-10-18 15:18:18"</f>
        <v>2018-10-18 15:18:18</v>
      </c>
    </row>
    <row r="1841" spans="1:7" x14ac:dyDescent="0.2">
      <c r="A1841" t="s">
        <v>3467</v>
      </c>
      <c r="B1841" t="str">
        <f>"18653648222"</f>
        <v>18653648222</v>
      </c>
      <c r="C1841" t="str">
        <f>"370782199310274072"</f>
        <v>370782199310274072</v>
      </c>
      <c r="D1841" t="s">
        <v>1</v>
      </c>
      <c r="E1841" t="s">
        <v>1</v>
      </c>
      <c r="F1841" t="s">
        <v>0</v>
      </c>
      <c r="G1841" t="str">
        <f>"2018-10-18 17:45:23"</f>
        <v>2018-10-18 17:45:23</v>
      </c>
    </row>
    <row r="1842" spans="1:7" x14ac:dyDescent="0.2">
      <c r="A1842" t="s">
        <v>3468</v>
      </c>
      <c r="B1842" t="str">
        <f>"15277756854"</f>
        <v>15277756854</v>
      </c>
      <c r="C1842" t="str">
        <f>"450104197607150010"</f>
        <v>450104197607150010</v>
      </c>
      <c r="D1842" t="s">
        <v>1</v>
      </c>
      <c r="E1842" t="s">
        <v>1</v>
      </c>
      <c r="F1842" t="s">
        <v>0</v>
      </c>
      <c r="G1842" t="str">
        <f>"2018-10-25 16:03:52"</f>
        <v>2018-10-25 16:03:52</v>
      </c>
    </row>
    <row r="1843" spans="1:7" x14ac:dyDescent="0.2">
      <c r="A1843" t="s">
        <v>1666</v>
      </c>
      <c r="B1843" t="str">
        <f>"15256191801"</f>
        <v>15256191801</v>
      </c>
      <c r="C1843" t="str">
        <f>"341281199001203379"</f>
        <v>341281199001203379</v>
      </c>
      <c r="D1843" t="s">
        <v>1</v>
      </c>
      <c r="E1843" t="s">
        <v>1</v>
      </c>
      <c r="F1843" t="s">
        <v>0</v>
      </c>
      <c r="G1843" t="str">
        <f>"2018-10-18 15:20:44"</f>
        <v>2018-10-18 15:20:44</v>
      </c>
    </row>
    <row r="1844" spans="1:7" x14ac:dyDescent="0.2">
      <c r="A1844" t="s">
        <v>3469</v>
      </c>
      <c r="B1844" t="str">
        <f>"17603418118"</f>
        <v>17603418118</v>
      </c>
      <c r="C1844" t="str">
        <f>"130182199306152411"</f>
        <v>130182199306152411</v>
      </c>
      <c r="D1844" t="s">
        <v>1</v>
      </c>
      <c r="E1844" t="s">
        <v>1</v>
      </c>
      <c r="F1844" t="s">
        <v>0</v>
      </c>
      <c r="G1844" t="str">
        <f>"2018-10-18 16:42:19"</f>
        <v>2018-10-18 16:42:19</v>
      </c>
    </row>
    <row r="1845" spans="1:7" x14ac:dyDescent="0.2">
      <c r="A1845" t="s">
        <v>3470</v>
      </c>
      <c r="B1845" t="str">
        <f>"18193675637"</f>
        <v>18193675637</v>
      </c>
      <c r="C1845" t="str">
        <f>"622201199103313321"</f>
        <v>622201199103313321</v>
      </c>
      <c r="D1845" t="s">
        <v>1</v>
      </c>
      <c r="E1845" t="s">
        <v>1</v>
      </c>
      <c r="F1845" t="s">
        <v>0</v>
      </c>
      <c r="G1845" t="str">
        <f>"2018-10-18 15:17:36"</f>
        <v>2018-10-18 15:17:36</v>
      </c>
    </row>
    <row r="1846" spans="1:7" x14ac:dyDescent="0.2">
      <c r="A1846" t="s">
        <v>3471</v>
      </c>
      <c r="B1846" t="str">
        <f>"15919339628"</f>
        <v>15919339628</v>
      </c>
      <c r="C1846" t="str">
        <f>"440181199004253619"</f>
        <v>440181199004253619</v>
      </c>
      <c r="D1846" t="s">
        <v>1</v>
      </c>
      <c r="E1846" t="s">
        <v>1</v>
      </c>
      <c r="F1846" t="s">
        <v>0</v>
      </c>
      <c r="G1846" t="str">
        <f>"2018-10-18 15:20:09"</f>
        <v>2018-10-18 15:20:09</v>
      </c>
    </row>
    <row r="1847" spans="1:7" x14ac:dyDescent="0.2">
      <c r="A1847" t="s">
        <v>538</v>
      </c>
      <c r="B1847" t="str">
        <f>"15138826895"</f>
        <v>15138826895</v>
      </c>
      <c r="C1847" t="str">
        <f>"410881199102123538"</f>
        <v>410881199102123538</v>
      </c>
      <c r="D1847" t="s">
        <v>1</v>
      </c>
      <c r="E1847" t="s">
        <v>1</v>
      </c>
      <c r="F1847" t="s">
        <v>0</v>
      </c>
      <c r="G1847" t="str">
        <f>"2018-10-18 15:17:10"</f>
        <v>2018-10-18 15:17:10</v>
      </c>
    </row>
    <row r="1848" spans="1:7" x14ac:dyDescent="0.2">
      <c r="A1848" t="s">
        <v>3472</v>
      </c>
      <c r="B1848" t="str">
        <f>"13643659133"</f>
        <v>13643659133</v>
      </c>
      <c r="C1848" t="str">
        <f>"142703198910132413"</f>
        <v>142703198910132413</v>
      </c>
      <c r="D1848" t="s">
        <v>1</v>
      </c>
      <c r="E1848" t="s">
        <v>1</v>
      </c>
      <c r="F1848" t="s">
        <v>0</v>
      </c>
      <c r="G1848" t="str">
        <f>"2018-10-18 15:18:55"</f>
        <v>2018-10-18 15:18:55</v>
      </c>
    </row>
    <row r="1849" spans="1:7" x14ac:dyDescent="0.2">
      <c r="A1849" t="s">
        <v>3473</v>
      </c>
      <c r="B1849" t="str">
        <f>"18214321856"</f>
        <v>18214321856</v>
      </c>
      <c r="C1849" t="str">
        <f>"532531198909270613"</f>
        <v>532531198909270613</v>
      </c>
      <c r="D1849" t="s">
        <v>1</v>
      </c>
      <c r="E1849" t="s">
        <v>1</v>
      </c>
      <c r="F1849" t="s">
        <v>0</v>
      </c>
      <c r="G1849" t="str">
        <f>"2018-10-18 15:34:05"</f>
        <v>2018-10-18 15:34:05</v>
      </c>
    </row>
    <row r="1850" spans="1:7" x14ac:dyDescent="0.2">
      <c r="A1850" t="s">
        <v>1</v>
      </c>
      <c r="B1850" t="str">
        <f>"17786912100"</f>
        <v>17786912100</v>
      </c>
      <c r="C1850" t="s">
        <v>1</v>
      </c>
      <c r="D1850" t="s">
        <v>1</v>
      </c>
      <c r="E1850" t="s">
        <v>1</v>
      </c>
      <c r="F1850" t="s">
        <v>0</v>
      </c>
      <c r="G1850" t="str">
        <f>"2018-10-18 15:21:05"</f>
        <v>2018-10-18 15:21:05</v>
      </c>
    </row>
    <row r="1851" spans="1:7" x14ac:dyDescent="0.2">
      <c r="A1851" t="s">
        <v>3474</v>
      </c>
      <c r="B1851" t="str">
        <f>"15331547084"</f>
        <v>15331547084</v>
      </c>
      <c r="C1851" t="str">
        <f>"530402198703240620"</f>
        <v>530402198703240620</v>
      </c>
      <c r="D1851" t="s">
        <v>1</v>
      </c>
      <c r="E1851" t="s">
        <v>1</v>
      </c>
      <c r="F1851" t="s">
        <v>0</v>
      </c>
      <c r="G1851" t="str">
        <f>"2018-10-18 15:19:17"</f>
        <v>2018-10-18 15:19:17</v>
      </c>
    </row>
    <row r="1852" spans="1:7" x14ac:dyDescent="0.2">
      <c r="A1852" t="s">
        <v>3475</v>
      </c>
      <c r="B1852" t="str">
        <f>"17507296766"</f>
        <v>17507296766</v>
      </c>
      <c r="C1852" t="str">
        <f>"420984199110267319"</f>
        <v>420984199110267319</v>
      </c>
      <c r="D1852" t="s">
        <v>1</v>
      </c>
      <c r="E1852" t="s">
        <v>1</v>
      </c>
      <c r="F1852" t="s">
        <v>0</v>
      </c>
      <c r="G1852" t="str">
        <f>"2018-10-18 15:28:56"</f>
        <v>2018-10-18 15:28:56</v>
      </c>
    </row>
    <row r="1853" spans="1:7" x14ac:dyDescent="0.2">
      <c r="A1853" t="s">
        <v>1</v>
      </c>
      <c r="B1853" t="str">
        <f>"13099770033"</f>
        <v>13099770033</v>
      </c>
      <c r="C1853" t="s">
        <v>1</v>
      </c>
      <c r="D1853" t="s">
        <v>1</v>
      </c>
      <c r="E1853" t="s">
        <v>1</v>
      </c>
      <c r="F1853" t="s">
        <v>0</v>
      </c>
      <c r="G1853" t="str">
        <f>"2018-10-18 15:16:38"</f>
        <v>2018-10-18 15:16:38</v>
      </c>
    </row>
    <row r="1854" spans="1:7" x14ac:dyDescent="0.2">
      <c r="A1854" t="s">
        <v>3476</v>
      </c>
      <c r="B1854" t="str">
        <f>"13863855563"</f>
        <v>13863855563</v>
      </c>
      <c r="C1854" t="str">
        <f>"370602198301265543"</f>
        <v>370602198301265543</v>
      </c>
      <c r="D1854" t="s">
        <v>1</v>
      </c>
      <c r="E1854" t="s">
        <v>1</v>
      </c>
      <c r="F1854" t="s">
        <v>0</v>
      </c>
      <c r="G1854" t="str">
        <f>"2018-10-18 15:18:48"</f>
        <v>2018-10-18 15:18:48</v>
      </c>
    </row>
    <row r="1855" spans="1:7" x14ac:dyDescent="0.2">
      <c r="A1855" t="s">
        <v>3477</v>
      </c>
      <c r="B1855" t="str">
        <f>"18831503674"</f>
        <v>18831503674</v>
      </c>
      <c r="C1855" t="str">
        <f>"130282199409153818"</f>
        <v>130282199409153818</v>
      </c>
      <c r="D1855" t="s">
        <v>1</v>
      </c>
      <c r="E1855" t="s">
        <v>1</v>
      </c>
      <c r="F1855" t="s">
        <v>0</v>
      </c>
      <c r="G1855" t="str">
        <f>"2018-10-18 15:18:29"</f>
        <v>2018-10-18 15:18:29</v>
      </c>
    </row>
    <row r="1856" spans="1:7" x14ac:dyDescent="0.2">
      <c r="A1856" t="s">
        <v>3478</v>
      </c>
      <c r="B1856" t="str">
        <f>"13731199956"</f>
        <v>13731199956</v>
      </c>
      <c r="C1856" t="str">
        <f>"130124198709122745"</f>
        <v>130124198709122745</v>
      </c>
      <c r="D1856" t="s">
        <v>1</v>
      </c>
      <c r="E1856" t="s">
        <v>1</v>
      </c>
      <c r="F1856" t="s">
        <v>0</v>
      </c>
      <c r="G1856" t="str">
        <f>"2018-10-18 15:17:59"</f>
        <v>2018-10-18 15:17:59</v>
      </c>
    </row>
    <row r="1857" spans="1:7" x14ac:dyDescent="0.2">
      <c r="A1857" t="s">
        <v>1</v>
      </c>
      <c r="B1857" t="str">
        <f>"18621985514"</f>
        <v>18621985514</v>
      </c>
      <c r="C1857" t="s">
        <v>1</v>
      </c>
      <c r="D1857" t="s">
        <v>1</v>
      </c>
      <c r="E1857" t="s">
        <v>1</v>
      </c>
      <c r="F1857" t="s">
        <v>0</v>
      </c>
      <c r="G1857" t="str">
        <f>"2018-10-18 15:16:28"</f>
        <v>2018-10-18 15:16:28</v>
      </c>
    </row>
    <row r="1858" spans="1:7" x14ac:dyDescent="0.2">
      <c r="A1858" t="s">
        <v>3479</v>
      </c>
      <c r="B1858" t="str">
        <f>"13615569286"</f>
        <v>13615569286</v>
      </c>
      <c r="C1858" t="str">
        <f>"34088119901009003X"</f>
        <v>34088119901009003X</v>
      </c>
      <c r="D1858" t="s">
        <v>1</v>
      </c>
      <c r="E1858" t="s">
        <v>1</v>
      </c>
      <c r="F1858" t="s">
        <v>0</v>
      </c>
      <c r="G1858" t="str">
        <f>"2018-10-18 15:17:35"</f>
        <v>2018-10-18 15:17:35</v>
      </c>
    </row>
    <row r="1859" spans="1:7" x14ac:dyDescent="0.2">
      <c r="A1859" t="s">
        <v>3480</v>
      </c>
      <c r="B1859" t="str">
        <f>"18603811623"</f>
        <v>18603811623</v>
      </c>
      <c r="C1859" t="str">
        <f>"411224199101230455"</f>
        <v>411224199101230455</v>
      </c>
      <c r="D1859" t="s">
        <v>3481</v>
      </c>
      <c r="E1859" t="s">
        <v>3482</v>
      </c>
      <c r="F1859" t="s">
        <v>0</v>
      </c>
      <c r="G1859" t="str">
        <f>"2018-10-18 15:25:46"</f>
        <v>2018-10-18 15:25:46</v>
      </c>
    </row>
    <row r="1860" spans="1:7" x14ac:dyDescent="0.2">
      <c r="A1860" t="s">
        <v>1</v>
      </c>
      <c r="B1860" t="str">
        <f>"13110420252"</f>
        <v>13110420252</v>
      </c>
      <c r="C1860" t="s">
        <v>1</v>
      </c>
      <c r="D1860" t="s">
        <v>1</v>
      </c>
      <c r="E1860" t="s">
        <v>1</v>
      </c>
      <c r="F1860" t="s">
        <v>0</v>
      </c>
      <c r="G1860" t="str">
        <f>"2018-10-18 15:16:14"</f>
        <v>2018-10-18 15:16:14</v>
      </c>
    </row>
    <row r="1861" spans="1:7" x14ac:dyDescent="0.2">
      <c r="A1861" t="s">
        <v>1</v>
      </c>
      <c r="B1861" t="str">
        <f>"15170922167"</f>
        <v>15170922167</v>
      </c>
      <c r="C1861" t="s">
        <v>1</v>
      </c>
      <c r="D1861" t="s">
        <v>1</v>
      </c>
      <c r="E1861" t="s">
        <v>1</v>
      </c>
      <c r="F1861" t="s">
        <v>0</v>
      </c>
      <c r="G1861" t="str">
        <f>"2018-10-18 15:16:14"</f>
        <v>2018-10-18 15:16:14</v>
      </c>
    </row>
    <row r="1862" spans="1:7" x14ac:dyDescent="0.2">
      <c r="A1862" t="s">
        <v>3483</v>
      </c>
      <c r="B1862" t="str">
        <f>"13766470318"</f>
        <v>13766470318</v>
      </c>
      <c r="C1862" t="str">
        <f>"362322196608124841"</f>
        <v>362322196608124841</v>
      </c>
      <c r="D1862" t="s">
        <v>1</v>
      </c>
      <c r="E1862" t="s">
        <v>1</v>
      </c>
      <c r="F1862" t="s">
        <v>0</v>
      </c>
      <c r="G1862" t="str">
        <f>"2018-10-18 15:19:00"</f>
        <v>2018-10-18 15:19:00</v>
      </c>
    </row>
    <row r="1863" spans="1:7" x14ac:dyDescent="0.2">
      <c r="A1863" t="s">
        <v>3484</v>
      </c>
      <c r="B1863" t="str">
        <f>"13623750389"</f>
        <v>13623750389</v>
      </c>
      <c r="C1863" t="str">
        <f>"410404197310061550"</f>
        <v>410404197310061550</v>
      </c>
      <c r="D1863" t="s">
        <v>1</v>
      </c>
      <c r="E1863" t="s">
        <v>1</v>
      </c>
      <c r="F1863" t="s">
        <v>0</v>
      </c>
      <c r="G1863" t="str">
        <f>"2018-10-18 15:17:34"</f>
        <v>2018-10-18 15:17:34</v>
      </c>
    </row>
    <row r="1864" spans="1:7" x14ac:dyDescent="0.2">
      <c r="A1864" t="s">
        <v>1559</v>
      </c>
      <c r="B1864" t="str">
        <f>"18602706062"</f>
        <v>18602706062</v>
      </c>
      <c r="C1864" t="str">
        <f>"421083199212032970"</f>
        <v>421083199212032970</v>
      </c>
      <c r="D1864" t="s">
        <v>1</v>
      </c>
      <c r="E1864" t="s">
        <v>1</v>
      </c>
      <c r="F1864" t="s">
        <v>0</v>
      </c>
      <c r="G1864" t="str">
        <f>"2018-10-18 15:22:37"</f>
        <v>2018-10-18 15:22:37</v>
      </c>
    </row>
    <row r="1865" spans="1:7" x14ac:dyDescent="0.2">
      <c r="A1865" t="s">
        <v>642</v>
      </c>
      <c r="B1865" t="str">
        <f>"18004387545"</f>
        <v>18004387545</v>
      </c>
      <c r="C1865" t="str">
        <f>"220702198201121617"</f>
        <v>220702198201121617</v>
      </c>
      <c r="D1865" t="s">
        <v>1</v>
      </c>
      <c r="E1865" t="s">
        <v>1</v>
      </c>
      <c r="F1865" t="s">
        <v>0</v>
      </c>
      <c r="G1865" t="str">
        <f>"2018-10-18 15:18:02"</f>
        <v>2018-10-18 15:18:02</v>
      </c>
    </row>
    <row r="1866" spans="1:7" x14ac:dyDescent="0.2">
      <c r="A1866" t="s">
        <v>1877</v>
      </c>
      <c r="B1866" t="str">
        <f>"13252785899"</f>
        <v>13252785899</v>
      </c>
      <c r="C1866" t="str">
        <f>"211302198406181223"</f>
        <v>211302198406181223</v>
      </c>
      <c r="D1866" t="s">
        <v>3485</v>
      </c>
      <c r="E1866" t="s">
        <v>3486</v>
      </c>
      <c r="F1866" t="s">
        <v>0</v>
      </c>
      <c r="G1866" t="str">
        <f>"2018-10-18 15:17:24"</f>
        <v>2018-10-18 15:17:24</v>
      </c>
    </row>
    <row r="1867" spans="1:7" x14ac:dyDescent="0.2">
      <c r="A1867" t="s">
        <v>1512</v>
      </c>
      <c r="B1867" t="str">
        <f>"18772412498"</f>
        <v>18772412498</v>
      </c>
      <c r="C1867" t="str">
        <f>"421122198408102916"</f>
        <v>421122198408102916</v>
      </c>
      <c r="D1867" t="s">
        <v>1</v>
      </c>
      <c r="E1867" t="s">
        <v>1</v>
      </c>
      <c r="F1867" t="s">
        <v>0</v>
      </c>
      <c r="G1867" t="str">
        <f>"2018-10-18 15:19:16"</f>
        <v>2018-10-18 15:19:16</v>
      </c>
    </row>
    <row r="1868" spans="1:7" x14ac:dyDescent="0.2">
      <c r="A1868" t="s">
        <v>1</v>
      </c>
      <c r="B1868" t="str">
        <f>"15528260912"</f>
        <v>15528260912</v>
      </c>
      <c r="C1868" t="s">
        <v>1</v>
      </c>
      <c r="D1868" t="s">
        <v>1</v>
      </c>
      <c r="E1868" t="s">
        <v>1</v>
      </c>
      <c r="F1868" t="s">
        <v>0</v>
      </c>
      <c r="G1868" t="str">
        <f>"2018-10-18 15:15:47"</f>
        <v>2018-10-18 15:15:47</v>
      </c>
    </row>
    <row r="1869" spans="1:7" x14ac:dyDescent="0.2">
      <c r="A1869" t="s">
        <v>3487</v>
      </c>
      <c r="B1869" t="str">
        <f>"13055018878"</f>
        <v>13055018878</v>
      </c>
      <c r="C1869" t="str">
        <f>"431003198904192225"</f>
        <v>431003198904192225</v>
      </c>
      <c r="D1869" t="s">
        <v>1</v>
      </c>
      <c r="E1869" t="s">
        <v>1</v>
      </c>
      <c r="F1869" t="s">
        <v>0</v>
      </c>
      <c r="G1869" t="str">
        <f>"2018-10-18 16:52:30"</f>
        <v>2018-10-18 16:52:30</v>
      </c>
    </row>
    <row r="1870" spans="1:7" x14ac:dyDescent="0.2">
      <c r="A1870" t="s">
        <v>3488</v>
      </c>
      <c r="B1870" t="str">
        <f>"15047174222"</f>
        <v>15047174222</v>
      </c>
      <c r="C1870" t="str">
        <f>"152531199203061311"</f>
        <v>152531199203061311</v>
      </c>
      <c r="D1870" t="s">
        <v>1</v>
      </c>
      <c r="E1870" t="s">
        <v>1</v>
      </c>
      <c r="F1870" t="s">
        <v>0</v>
      </c>
      <c r="G1870" t="str">
        <f>"2018-10-18 15:17:59"</f>
        <v>2018-10-18 15:17:59</v>
      </c>
    </row>
    <row r="1871" spans="1:7" x14ac:dyDescent="0.2">
      <c r="A1871" t="s">
        <v>1</v>
      </c>
      <c r="B1871" t="str">
        <f>"18228423133"</f>
        <v>18228423133</v>
      </c>
      <c r="C1871" t="s">
        <v>1</v>
      </c>
      <c r="D1871" t="s">
        <v>1</v>
      </c>
      <c r="E1871" t="s">
        <v>1</v>
      </c>
      <c r="F1871" t="s">
        <v>0</v>
      </c>
      <c r="G1871" t="str">
        <f>"2018-10-18 15:15:30"</f>
        <v>2018-10-18 15:15:30</v>
      </c>
    </row>
    <row r="1872" spans="1:7" x14ac:dyDescent="0.2">
      <c r="A1872" t="s">
        <v>1</v>
      </c>
      <c r="B1872" t="str">
        <f>"18148335896"</f>
        <v>18148335896</v>
      </c>
      <c r="C1872" t="s">
        <v>1</v>
      </c>
      <c r="D1872" t="s">
        <v>1</v>
      </c>
      <c r="E1872" t="s">
        <v>1</v>
      </c>
      <c r="F1872" t="s">
        <v>0</v>
      </c>
      <c r="G1872" t="str">
        <f>"2018-10-18 15:15:28"</f>
        <v>2018-10-18 15:15:28</v>
      </c>
    </row>
    <row r="1873" spans="1:7" x14ac:dyDescent="0.2">
      <c r="A1873" t="s">
        <v>3489</v>
      </c>
      <c r="B1873" t="str">
        <f>"15618001316"</f>
        <v>15618001316</v>
      </c>
      <c r="C1873" t="str">
        <f>"310109198406273538"</f>
        <v>310109198406273538</v>
      </c>
      <c r="D1873" t="s">
        <v>1</v>
      </c>
      <c r="E1873" t="s">
        <v>1</v>
      </c>
      <c r="F1873" t="s">
        <v>0</v>
      </c>
      <c r="G1873" t="str">
        <f>"2018-10-18 15:21:35"</f>
        <v>2018-10-18 15:21:35</v>
      </c>
    </row>
    <row r="1874" spans="1:7" x14ac:dyDescent="0.2">
      <c r="A1874" t="s">
        <v>3490</v>
      </c>
      <c r="B1874" t="str">
        <f>"15099766331"</f>
        <v>15099766331</v>
      </c>
      <c r="C1874" t="str">
        <f>"452527198003060471"</f>
        <v>452527198003060471</v>
      </c>
      <c r="D1874" t="s">
        <v>3491</v>
      </c>
      <c r="E1874" t="s">
        <v>3492</v>
      </c>
      <c r="F1874" t="s">
        <v>0</v>
      </c>
      <c r="G1874" t="str">
        <f>"2018-10-18 15:15:27"</f>
        <v>2018-10-18 15:15:27</v>
      </c>
    </row>
    <row r="1875" spans="1:7" x14ac:dyDescent="0.2">
      <c r="A1875" t="s">
        <v>1</v>
      </c>
      <c r="B1875" t="str">
        <f>"15667941779"</f>
        <v>15667941779</v>
      </c>
      <c r="C1875" t="s">
        <v>1</v>
      </c>
      <c r="D1875" t="s">
        <v>1</v>
      </c>
      <c r="E1875" t="s">
        <v>1</v>
      </c>
      <c r="F1875" t="s">
        <v>0</v>
      </c>
      <c r="G1875" t="str">
        <f>"2018-10-18 15:15:22"</f>
        <v>2018-10-18 15:15:22</v>
      </c>
    </row>
    <row r="1876" spans="1:7" x14ac:dyDescent="0.2">
      <c r="A1876" t="s">
        <v>1</v>
      </c>
      <c r="B1876" t="str">
        <f>"15248807040"</f>
        <v>15248807040</v>
      </c>
      <c r="C1876" t="s">
        <v>1</v>
      </c>
      <c r="D1876" t="s">
        <v>1</v>
      </c>
      <c r="E1876" t="s">
        <v>1</v>
      </c>
      <c r="F1876" t="s">
        <v>0</v>
      </c>
      <c r="G1876" t="str">
        <f>"2018-10-18 15:15:20"</f>
        <v>2018-10-18 15:15:20</v>
      </c>
    </row>
    <row r="1877" spans="1:7" x14ac:dyDescent="0.2">
      <c r="A1877" t="s">
        <v>3493</v>
      </c>
      <c r="B1877" t="str">
        <f>"18675889799"</f>
        <v>18675889799</v>
      </c>
      <c r="C1877" t="str">
        <f>"362402198709171515"</f>
        <v>362402198709171515</v>
      </c>
      <c r="D1877" t="s">
        <v>1</v>
      </c>
      <c r="E1877" t="s">
        <v>1</v>
      </c>
      <c r="F1877" t="s">
        <v>0</v>
      </c>
      <c r="G1877" t="str">
        <f>"2018-10-18 15:16:43"</f>
        <v>2018-10-18 15:16:43</v>
      </c>
    </row>
    <row r="1878" spans="1:7" x14ac:dyDescent="0.2">
      <c r="A1878" t="s">
        <v>3494</v>
      </c>
      <c r="B1878" t="str">
        <f>"18476308499"</f>
        <v>18476308499</v>
      </c>
      <c r="C1878" t="str">
        <f>"440881199906297416"</f>
        <v>440881199906297416</v>
      </c>
      <c r="D1878" t="s">
        <v>3495</v>
      </c>
      <c r="E1878" t="s">
        <v>3496</v>
      </c>
      <c r="F1878" t="s">
        <v>0</v>
      </c>
      <c r="G1878" t="str">
        <f>"2018-10-18 15:18:32"</f>
        <v>2018-10-18 15:18:32</v>
      </c>
    </row>
    <row r="1879" spans="1:7" x14ac:dyDescent="0.2">
      <c r="A1879" t="s">
        <v>3497</v>
      </c>
      <c r="B1879" t="str">
        <f>"15517070350"</f>
        <v>15517070350</v>
      </c>
      <c r="C1879" t="str">
        <f>"411425199511148419"</f>
        <v>411425199511148419</v>
      </c>
      <c r="D1879" t="s">
        <v>3498</v>
      </c>
      <c r="E1879" t="s">
        <v>3499</v>
      </c>
      <c r="F1879" t="s">
        <v>0</v>
      </c>
      <c r="G1879" t="str">
        <f>"2018-10-18 15:15:48"</f>
        <v>2018-10-18 15:15:48</v>
      </c>
    </row>
    <row r="1880" spans="1:7" x14ac:dyDescent="0.2">
      <c r="A1880" t="s">
        <v>3500</v>
      </c>
      <c r="B1880" t="str">
        <f>"13995019250"</f>
        <v>13995019250</v>
      </c>
      <c r="C1880" t="str">
        <f>"612128197505100031"</f>
        <v>612128197505100031</v>
      </c>
      <c r="D1880" t="s">
        <v>1</v>
      </c>
      <c r="E1880" t="s">
        <v>1</v>
      </c>
      <c r="F1880" t="s">
        <v>0</v>
      </c>
      <c r="G1880" t="str">
        <f>"2018-10-18 15:16:12"</f>
        <v>2018-10-18 15:16:12</v>
      </c>
    </row>
    <row r="1881" spans="1:7" x14ac:dyDescent="0.2">
      <c r="A1881" t="s">
        <v>3501</v>
      </c>
      <c r="B1881" t="str">
        <f>"15126373100"</f>
        <v>15126373100</v>
      </c>
      <c r="C1881" t="str">
        <f>"532525199604291912"</f>
        <v>532525199604291912</v>
      </c>
      <c r="D1881" t="s">
        <v>1</v>
      </c>
      <c r="E1881" t="s">
        <v>1</v>
      </c>
      <c r="F1881" t="s">
        <v>0</v>
      </c>
      <c r="G1881" t="str">
        <f>"2018-10-18 15:16:07"</f>
        <v>2018-10-18 15:16:07</v>
      </c>
    </row>
    <row r="1882" spans="1:7" x14ac:dyDescent="0.2">
      <c r="A1882" t="s">
        <v>3502</v>
      </c>
      <c r="B1882" t="str">
        <f>"13847563918"</f>
        <v>13847563918</v>
      </c>
      <c r="C1882" t="str">
        <f>"152321197404084816"</f>
        <v>152321197404084816</v>
      </c>
      <c r="D1882" t="s">
        <v>1</v>
      </c>
      <c r="E1882" t="s">
        <v>1</v>
      </c>
      <c r="F1882" t="s">
        <v>0</v>
      </c>
      <c r="G1882" t="str">
        <f>"2018-10-18 15:17:16"</f>
        <v>2018-10-18 15:17:16</v>
      </c>
    </row>
    <row r="1883" spans="1:7" x14ac:dyDescent="0.2">
      <c r="A1883" t="s">
        <v>3503</v>
      </c>
      <c r="B1883" t="str">
        <f>"18889466480"</f>
        <v>18889466480</v>
      </c>
      <c r="C1883" t="str">
        <f>"460027198907074414"</f>
        <v>460027198907074414</v>
      </c>
      <c r="D1883" t="s">
        <v>1</v>
      </c>
      <c r="E1883" t="s">
        <v>1</v>
      </c>
      <c r="F1883" t="s">
        <v>0</v>
      </c>
      <c r="G1883" t="str">
        <f>"2018-10-18 15:16:07"</f>
        <v>2018-10-18 15:16:07</v>
      </c>
    </row>
    <row r="1884" spans="1:7" x14ac:dyDescent="0.2">
      <c r="A1884" t="s">
        <v>1089</v>
      </c>
      <c r="B1884" t="str">
        <f>"15203616400"</f>
        <v>15203616400</v>
      </c>
      <c r="C1884" t="str">
        <f>"460034199104064712"</f>
        <v>460034199104064712</v>
      </c>
      <c r="D1884" t="s">
        <v>3504</v>
      </c>
      <c r="E1884" t="s">
        <v>3505</v>
      </c>
      <c r="F1884" t="s">
        <v>0</v>
      </c>
      <c r="G1884" t="str">
        <f>"2018-10-18 15:16:03"</f>
        <v>2018-10-18 15:16:03</v>
      </c>
    </row>
    <row r="1885" spans="1:7" x14ac:dyDescent="0.2">
      <c r="A1885" t="s">
        <v>1</v>
      </c>
      <c r="B1885" t="str">
        <f>"13087968590"</f>
        <v>13087968590</v>
      </c>
      <c r="C1885" t="s">
        <v>1</v>
      </c>
      <c r="D1885" t="s">
        <v>1</v>
      </c>
      <c r="E1885" t="s">
        <v>1</v>
      </c>
      <c r="F1885" t="s">
        <v>0</v>
      </c>
      <c r="G1885" t="str">
        <f>"2018-10-18 15:54:58"</f>
        <v>2018-10-18 15:54:58</v>
      </c>
    </row>
    <row r="1886" spans="1:7" x14ac:dyDescent="0.2">
      <c r="A1886" t="s">
        <v>3506</v>
      </c>
      <c r="B1886" t="str">
        <f>"15123278578"</f>
        <v>15123278578</v>
      </c>
      <c r="C1886" t="str">
        <f>"50022519871002449X"</f>
        <v>50022519871002449X</v>
      </c>
      <c r="D1886" t="s">
        <v>1</v>
      </c>
      <c r="E1886" t="s">
        <v>1</v>
      </c>
      <c r="F1886" t="s">
        <v>0</v>
      </c>
      <c r="G1886" t="str">
        <f>"2018-10-19 13:04:35"</f>
        <v>2018-10-19 13:04:35</v>
      </c>
    </row>
    <row r="1887" spans="1:7" x14ac:dyDescent="0.2">
      <c r="A1887" t="s">
        <v>3507</v>
      </c>
      <c r="B1887" t="str">
        <f>"13419644496"</f>
        <v>13419644496</v>
      </c>
      <c r="C1887" t="str">
        <f>"421125199309210923"</f>
        <v>421125199309210923</v>
      </c>
      <c r="D1887" t="s">
        <v>1</v>
      </c>
      <c r="E1887" t="s">
        <v>1</v>
      </c>
      <c r="F1887" t="s">
        <v>0</v>
      </c>
      <c r="G1887" t="str">
        <f>"2018-10-18 16:57:10"</f>
        <v>2018-10-18 16:57:10</v>
      </c>
    </row>
    <row r="1888" spans="1:7" x14ac:dyDescent="0.2">
      <c r="A1888" t="s">
        <v>3508</v>
      </c>
      <c r="B1888" t="str">
        <f>"18235611916"</f>
        <v>18235611916</v>
      </c>
      <c r="C1888" t="str">
        <f>"140522198911092018"</f>
        <v>140522198911092018</v>
      </c>
      <c r="D1888" t="s">
        <v>1</v>
      </c>
      <c r="E1888" t="s">
        <v>1</v>
      </c>
      <c r="F1888" t="s">
        <v>0</v>
      </c>
      <c r="G1888" t="str">
        <f>"2018-10-18 15:32:39"</f>
        <v>2018-10-18 15:32:39</v>
      </c>
    </row>
    <row r="1889" spans="1:7" x14ac:dyDescent="0.2">
      <c r="A1889" t="s">
        <v>3509</v>
      </c>
      <c r="B1889" t="str">
        <f>"17602653464"</f>
        <v>17602653464</v>
      </c>
      <c r="C1889" t="str">
        <f>"131002199701062014"</f>
        <v>131002199701062014</v>
      </c>
      <c r="D1889" t="s">
        <v>3510</v>
      </c>
      <c r="E1889" t="s">
        <v>3511</v>
      </c>
      <c r="F1889" t="s">
        <v>0</v>
      </c>
      <c r="G1889" t="str">
        <f>"2018-10-29 23:42:57"</f>
        <v>2018-10-29 23:42:57</v>
      </c>
    </row>
    <row r="1890" spans="1:7" x14ac:dyDescent="0.2">
      <c r="A1890" t="s">
        <v>3512</v>
      </c>
      <c r="B1890" t="str">
        <f>"18709211245"</f>
        <v>18709211245</v>
      </c>
      <c r="C1890" t="str">
        <f>"610528199503254837"</f>
        <v>610528199503254837</v>
      </c>
      <c r="D1890" t="s">
        <v>3513</v>
      </c>
      <c r="E1890" t="s">
        <v>3514</v>
      </c>
      <c r="F1890" t="s">
        <v>0</v>
      </c>
      <c r="G1890" t="str">
        <f>"2018-10-26 11:48:52"</f>
        <v>2018-10-26 11:48:52</v>
      </c>
    </row>
    <row r="1891" spans="1:7" x14ac:dyDescent="0.2">
      <c r="A1891" t="s">
        <v>3515</v>
      </c>
      <c r="B1891" t="str">
        <f>"13790161986"</f>
        <v>13790161986</v>
      </c>
      <c r="C1891" t="str">
        <f>"441900198403304139"</f>
        <v>441900198403304139</v>
      </c>
      <c r="D1891" t="s">
        <v>1</v>
      </c>
      <c r="E1891" t="s">
        <v>1</v>
      </c>
      <c r="F1891" t="s">
        <v>0</v>
      </c>
      <c r="G1891" t="str">
        <f>"2018-10-18 15:35:30"</f>
        <v>2018-10-18 15:35:30</v>
      </c>
    </row>
    <row r="1892" spans="1:7" x14ac:dyDescent="0.2">
      <c r="A1892" t="s">
        <v>3516</v>
      </c>
      <c r="B1892" t="str">
        <f>"13963001986"</f>
        <v>13963001986</v>
      </c>
      <c r="C1892" t="str">
        <f>"371526198811115613"</f>
        <v>371526198811115613</v>
      </c>
      <c r="D1892" t="s">
        <v>1</v>
      </c>
      <c r="E1892" t="s">
        <v>1</v>
      </c>
      <c r="F1892" t="s">
        <v>0</v>
      </c>
      <c r="G1892" t="str">
        <f>"2018-10-18 15:15:13"</f>
        <v>2018-10-18 15:15:13</v>
      </c>
    </row>
    <row r="1893" spans="1:7" x14ac:dyDescent="0.2">
      <c r="A1893" t="s">
        <v>1</v>
      </c>
      <c r="B1893" t="str">
        <f>"18602080387"</f>
        <v>18602080387</v>
      </c>
      <c r="C1893" t="s">
        <v>1</v>
      </c>
      <c r="D1893" t="s">
        <v>1</v>
      </c>
      <c r="E1893" t="s">
        <v>1</v>
      </c>
      <c r="F1893" t="s">
        <v>0</v>
      </c>
      <c r="G1893" t="str">
        <f>"2018-10-18 15:16:50"</f>
        <v>2018-10-18 15:16:50</v>
      </c>
    </row>
    <row r="1894" spans="1:7" x14ac:dyDescent="0.2">
      <c r="A1894" t="s">
        <v>1</v>
      </c>
      <c r="B1894" t="str">
        <f>"13776135922"</f>
        <v>13776135922</v>
      </c>
      <c r="C1894" t="s">
        <v>1</v>
      </c>
      <c r="D1894" t="s">
        <v>1</v>
      </c>
      <c r="E1894" t="s">
        <v>1</v>
      </c>
      <c r="F1894" t="s">
        <v>0</v>
      </c>
      <c r="G1894" t="str">
        <f>"2018-10-18 15:13:36"</f>
        <v>2018-10-18 15:13:36</v>
      </c>
    </row>
    <row r="1895" spans="1:7" x14ac:dyDescent="0.2">
      <c r="A1895" t="s">
        <v>3517</v>
      </c>
      <c r="B1895" t="str">
        <f>"13321246526"</f>
        <v>13321246526</v>
      </c>
      <c r="C1895" t="str">
        <f>"622921197704126323"</f>
        <v>622921197704126323</v>
      </c>
      <c r="D1895" t="s">
        <v>1</v>
      </c>
      <c r="E1895" t="s">
        <v>1</v>
      </c>
      <c r="F1895" t="s">
        <v>0</v>
      </c>
      <c r="G1895" t="str">
        <f>"2018-10-18 15:15:11"</f>
        <v>2018-10-18 15:15:11</v>
      </c>
    </row>
    <row r="1896" spans="1:7" x14ac:dyDescent="0.2">
      <c r="A1896" t="s">
        <v>3518</v>
      </c>
      <c r="B1896" t="str">
        <f>"15705477174"</f>
        <v>15705477174</v>
      </c>
      <c r="C1896" t="str">
        <f>"370811199805202513"</f>
        <v>370811199805202513</v>
      </c>
      <c r="D1896" t="s">
        <v>3519</v>
      </c>
      <c r="E1896" t="s">
        <v>3520</v>
      </c>
      <c r="F1896" t="s">
        <v>0</v>
      </c>
      <c r="G1896" t="str">
        <f>"2018-10-18 15:30:18"</f>
        <v>2018-10-18 15:30:18</v>
      </c>
    </row>
    <row r="1897" spans="1:7" x14ac:dyDescent="0.2">
      <c r="A1897" t="s">
        <v>3521</v>
      </c>
      <c r="B1897" t="str">
        <f>"15374785520"</f>
        <v>15374785520</v>
      </c>
      <c r="C1897" t="str">
        <f>"152824198404014691"</f>
        <v>152824198404014691</v>
      </c>
      <c r="D1897" t="s">
        <v>1</v>
      </c>
      <c r="E1897" t="s">
        <v>1</v>
      </c>
      <c r="F1897" t="s">
        <v>0</v>
      </c>
      <c r="G1897" t="str">
        <f>"2018-10-18 15:13:30"</f>
        <v>2018-10-18 15:13:30</v>
      </c>
    </row>
    <row r="1898" spans="1:7" x14ac:dyDescent="0.2">
      <c r="A1898" t="s">
        <v>3522</v>
      </c>
      <c r="B1898" t="str">
        <f>"17633111177"</f>
        <v>17633111177</v>
      </c>
      <c r="C1898" t="str">
        <f>"132323198109110958"</f>
        <v>132323198109110958</v>
      </c>
      <c r="D1898" t="s">
        <v>1</v>
      </c>
      <c r="E1898" t="s">
        <v>1</v>
      </c>
      <c r="F1898" t="s">
        <v>0</v>
      </c>
      <c r="G1898" t="str">
        <f>"2018-10-18 15:14:45"</f>
        <v>2018-10-18 15:14:45</v>
      </c>
    </row>
    <row r="1899" spans="1:7" x14ac:dyDescent="0.2">
      <c r="A1899" t="s">
        <v>1</v>
      </c>
      <c r="B1899" t="str">
        <f>"15216019107"</f>
        <v>15216019107</v>
      </c>
      <c r="C1899" t="s">
        <v>1</v>
      </c>
      <c r="D1899" t="s">
        <v>1</v>
      </c>
      <c r="E1899" t="s">
        <v>1</v>
      </c>
      <c r="F1899" t="s">
        <v>0</v>
      </c>
      <c r="G1899" t="str">
        <f>"2018-10-18 15:14:38"</f>
        <v>2018-10-18 15:14:38</v>
      </c>
    </row>
    <row r="1900" spans="1:7" x14ac:dyDescent="0.2">
      <c r="A1900" t="s">
        <v>3523</v>
      </c>
      <c r="B1900" t="str">
        <f>"17699200694"</f>
        <v>17699200694</v>
      </c>
      <c r="C1900" t="str">
        <f>"44018419941026091X"</f>
        <v>44018419941026091X</v>
      </c>
      <c r="D1900" t="s">
        <v>1</v>
      </c>
      <c r="E1900" t="s">
        <v>1</v>
      </c>
      <c r="F1900" t="s">
        <v>0</v>
      </c>
      <c r="G1900" t="str">
        <f>"2018-10-18 15:13:17"</f>
        <v>2018-10-18 15:13:17</v>
      </c>
    </row>
    <row r="1901" spans="1:7" x14ac:dyDescent="0.2">
      <c r="A1901" t="s">
        <v>3524</v>
      </c>
      <c r="B1901" t="str">
        <f>"13849264394"</f>
        <v>13849264394</v>
      </c>
      <c r="C1901" t="str">
        <f>"410522198701061833"</f>
        <v>410522198701061833</v>
      </c>
      <c r="D1901" t="s">
        <v>1</v>
      </c>
      <c r="E1901" t="s">
        <v>1</v>
      </c>
      <c r="F1901" t="s">
        <v>0</v>
      </c>
      <c r="G1901" t="str">
        <f>"2018-10-18 15:14:29"</f>
        <v>2018-10-18 15:14:29</v>
      </c>
    </row>
    <row r="1902" spans="1:7" x14ac:dyDescent="0.2">
      <c r="A1902" t="s">
        <v>1</v>
      </c>
      <c r="B1902" t="str">
        <f>"15929703806"</f>
        <v>15929703806</v>
      </c>
      <c r="C1902" t="s">
        <v>1</v>
      </c>
      <c r="D1902" t="s">
        <v>1</v>
      </c>
      <c r="E1902" t="s">
        <v>1</v>
      </c>
      <c r="F1902" t="s">
        <v>0</v>
      </c>
      <c r="G1902" t="str">
        <f>"2018-10-18 15:14:18"</f>
        <v>2018-10-18 15:14:18</v>
      </c>
    </row>
    <row r="1903" spans="1:7" x14ac:dyDescent="0.2">
      <c r="A1903" t="s">
        <v>3525</v>
      </c>
      <c r="B1903" t="str">
        <f>"18030445303"</f>
        <v>18030445303</v>
      </c>
      <c r="C1903" t="str">
        <f>"511526199211171313"</f>
        <v>511526199211171313</v>
      </c>
      <c r="D1903" t="s">
        <v>1</v>
      </c>
      <c r="E1903" t="s">
        <v>1</v>
      </c>
      <c r="F1903" t="s">
        <v>0</v>
      </c>
      <c r="G1903" t="str">
        <f>"2018-10-18 15:14:52"</f>
        <v>2018-10-18 15:14:52</v>
      </c>
    </row>
    <row r="1904" spans="1:7" x14ac:dyDescent="0.2">
      <c r="A1904" t="s">
        <v>3526</v>
      </c>
      <c r="B1904" t="str">
        <f>"18885404883"</f>
        <v>18885404883</v>
      </c>
      <c r="C1904" t="str">
        <f>"520112199704040320"</f>
        <v>520112199704040320</v>
      </c>
      <c r="D1904" t="s">
        <v>1</v>
      </c>
      <c r="E1904" t="s">
        <v>1</v>
      </c>
      <c r="F1904" t="s">
        <v>0</v>
      </c>
      <c r="G1904" t="str">
        <f>"2018-10-18 15:12:53"</f>
        <v>2018-10-18 15:12:53</v>
      </c>
    </row>
    <row r="1905" spans="1:7" x14ac:dyDescent="0.2">
      <c r="A1905" t="s">
        <v>3527</v>
      </c>
      <c r="B1905" t="str">
        <f>"15168278589"</f>
        <v>15168278589</v>
      </c>
      <c r="C1905" t="str">
        <f>"362334198808065932"</f>
        <v>362334198808065932</v>
      </c>
      <c r="D1905" t="s">
        <v>1</v>
      </c>
      <c r="E1905" t="s">
        <v>1</v>
      </c>
      <c r="F1905" t="s">
        <v>0</v>
      </c>
      <c r="G1905" t="str">
        <f>"2018-10-18 15:14:18"</f>
        <v>2018-10-18 15:14:18</v>
      </c>
    </row>
    <row r="1906" spans="1:7" x14ac:dyDescent="0.2">
      <c r="A1906" t="s">
        <v>3528</v>
      </c>
      <c r="B1906" t="str">
        <f>"13039020084"</f>
        <v>13039020084</v>
      </c>
      <c r="C1906" t="str">
        <f>"220302198206150028"</f>
        <v>220302198206150028</v>
      </c>
      <c r="D1906" t="s">
        <v>1</v>
      </c>
      <c r="E1906" t="s">
        <v>1</v>
      </c>
      <c r="F1906" t="s">
        <v>0</v>
      </c>
      <c r="G1906" t="str">
        <f>"2018-10-18 15:16:38"</f>
        <v>2018-10-18 15:16:38</v>
      </c>
    </row>
    <row r="1907" spans="1:7" x14ac:dyDescent="0.2">
      <c r="A1907" t="s">
        <v>3529</v>
      </c>
      <c r="B1907" t="str">
        <f>"15907123220"</f>
        <v>15907123220</v>
      </c>
      <c r="C1907" t="str">
        <f>"42092119851230264X"</f>
        <v>42092119851230264X</v>
      </c>
      <c r="D1907" t="s">
        <v>1</v>
      </c>
      <c r="E1907" t="s">
        <v>1</v>
      </c>
      <c r="F1907" t="s">
        <v>0</v>
      </c>
      <c r="G1907" t="str">
        <f>"2018-10-18 15:14:04"</f>
        <v>2018-10-18 15:14:04</v>
      </c>
    </row>
    <row r="1908" spans="1:7" x14ac:dyDescent="0.2">
      <c r="A1908" t="s">
        <v>1</v>
      </c>
      <c r="B1908" t="str">
        <f>"18631375681"</f>
        <v>18631375681</v>
      </c>
      <c r="C1908" t="s">
        <v>1</v>
      </c>
      <c r="D1908" t="s">
        <v>1</v>
      </c>
      <c r="E1908" t="s">
        <v>1</v>
      </c>
      <c r="F1908" t="s">
        <v>0</v>
      </c>
      <c r="G1908" t="str">
        <f>"2018-10-18 15:12:36"</f>
        <v>2018-10-18 15:12:36</v>
      </c>
    </row>
    <row r="1909" spans="1:7" x14ac:dyDescent="0.2">
      <c r="A1909" t="s">
        <v>256</v>
      </c>
      <c r="B1909" t="str">
        <f>"13734214756"</f>
        <v>13734214756</v>
      </c>
      <c r="C1909" t="str">
        <f>"140211199407074418"</f>
        <v>140211199407074418</v>
      </c>
      <c r="D1909" t="s">
        <v>1</v>
      </c>
      <c r="E1909" t="s">
        <v>1</v>
      </c>
      <c r="F1909" t="s">
        <v>0</v>
      </c>
      <c r="G1909" t="str">
        <f>"2018-10-18 15:25:21"</f>
        <v>2018-10-18 15:25:21</v>
      </c>
    </row>
    <row r="1910" spans="1:7" x14ac:dyDescent="0.2">
      <c r="A1910" t="s">
        <v>1</v>
      </c>
      <c r="B1910" t="str">
        <f>"13889722743"</f>
        <v>13889722743</v>
      </c>
      <c r="C1910" t="s">
        <v>1</v>
      </c>
      <c r="D1910" t="s">
        <v>1</v>
      </c>
      <c r="E1910" t="s">
        <v>1</v>
      </c>
      <c r="F1910" t="s">
        <v>0</v>
      </c>
      <c r="G1910" t="str">
        <f>"2018-10-18 15:12:25"</f>
        <v>2018-10-18 15:12:25</v>
      </c>
    </row>
    <row r="1911" spans="1:7" x14ac:dyDescent="0.2">
      <c r="A1911" t="s">
        <v>3530</v>
      </c>
      <c r="B1911" t="str">
        <f>"18794370065"</f>
        <v>18794370065</v>
      </c>
      <c r="C1911" t="str">
        <f>"622301198902058540"</f>
        <v>622301198902058540</v>
      </c>
      <c r="D1911" t="s">
        <v>1</v>
      </c>
      <c r="E1911" t="s">
        <v>1</v>
      </c>
      <c r="F1911" t="s">
        <v>0</v>
      </c>
      <c r="G1911" t="str">
        <f>"2018-10-18 15:13:17"</f>
        <v>2018-10-18 15:13:17</v>
      </c>
    </row>
    <row r="1912" spans="1:7" x14ac:dyDescent="0.2">
      <c r="A1912" t="s">
        <v>3531</v>
      </c>
      <c r="B1912" t="str">
        <f>"13893463070"</f>
        <v>13893463070</v>
      </c>
      <c r="C1912" t="str">
        <f>"370882198803156147"</f>
        <v>370882198803156147</v>
      </c>
      <c r="D1912" t="s">
        <v>1</v>
      </c>
      <c r="E1912" t="s">
        <v>1</v>
      </c>
      <c r="F1912" t="s">
        <v>0</v>
      </c>
      <c r="G1912" t="str">
        <f>"2018-10-26 09:20:07"</f>
        <v>2018-10-26 09:20:07</v>
      </c>
    </row>
    <row r="1913" spans="1:7" x14ac:dyDescent="0.2">
      <c r="A1913" t="s">
        <v>3532</v>
      </c>
      <c r="B1913" t="str">
        <f>"18587020251"</f>
        <v>18587020251</v>
      </c>
      <c r="C1913" t="str">
        <f>"522424199103051220"</f>
        <v>522424199103051220</v>
      </c>
      <c r="D1913" t="s">
        <v>1</v>
      </c>
      <c r="E1913" t="s">
        <v>1</v>
      </c>
      <c r="F1913" t="s">
        <v>0</v>
      </c>
      <c r="G1913" t="str">
        <f>"2018-10-18 15:14:27"</f>
        <v>2018-10-18 15:14:27</v>
      </c>
    </row>
    <row r="1914" spans="1:7" x14ac:dyDescent="0.2">
      <c r="A1914" t="s">
        <v>595</v>
      </c>
      <c r="B1914" t="str">
        <f>"13645205470"</f>
        <v>13645205470</v>
      </c>
      <c r="C1914" t="str">
        <f>"320323198508071611"</f>
        <v>320323198508071611</v>
      </c>
      <c r="D1914" t="s">
        <v>3533</v>
      </c>
      <c r="E1914" t="s">
        <v>3534</v>
      </c>
      <c r="F1914" t="s">
        <v>0</v>
      </c>
      <c r="G1914" t="str">
        <f>"2018-10-18 15:15:33"</f>
        <v>2018-10-18 15:15:33</v>
      </c>
    </row>
    <row r="1915" spans="1:7" x14ac:dyDescent="0.2">
      <c r="A1915" t="s">
        <v>1033</v>
      </c>
      <c r="B1915" t="str">
        <f>"13970214726"</f>
        <v>13970214726</v>
      </c>
      <c r="C1915" t="str">
        <f>"340826198707151067"</f>
        <v>340826198707151067</v>
      </c>
      <c r="D1915" t="s">
        <v>1</v>
      </c>
      <c r="E1915" t="s">
        <v>1</v>
      </c>
      <c r="F1915" t="s">
        <v>0</v>
      </c>
      <c r="G1915" t="str">
        <f>"2018-10-18 15:17:06"</f>
        <v>2018-10-18 15:17:06</v>
      </c>
    </row>
    <row r="1916" spans="1:7" x14ac:dyDescent="0.2">
      <c r="A1916" t="s">
        <v>3535</v>
      </c>
      <c r="B1916" t="str">
        <f>"17661930058"</f>
        <v>17661930058</v>
      </c>
      <c r="C1916" t="str">
        <f>"370481199211185610"</f>
        <v>370481199211185610</v>
      </c>
      <c r="D1916" t="s">
        <v>1</v>
      </c>
      <c r="E1916" t="s">
        <v>1</v>
      </c>
      <c r="F1916" t="s">
        <v>0</v>
      </c>
      <c r="G1916" t="str">
        <f>"2018-10-18 15:18:59"</f>
        <v>2018-10-18 15:18:59</v>
      </c>
    </row>
    <row r="1917" spans="1:7" x14ac:dyDescent="0.2">
      <c r="A1917" t="s">
        <v>3536</v>
      </c>
      <c r="B1917" t="str">
        <f>"15238717228"</f>
        <v>15238717228</v>
      </c>
      <c r="C1917" t="str">
        <f>"410881199001133518"</f>
        <v>410881199001133518</v>
      </c>
      <c r="D1917" t="s">
        <v>1</v>
      </c>
      <c r="E1917" t="s">
        <v>1</v>
      </c>
      <c r="F1917" t="s">
        <v>0</v>
      </c>
      <c r="G1917" t="str">
        <f>"2018-10-23 23:14:03"</f>
        <v>2018-10-23 23:14:03</v>
      </c>
    </row>
    <row r="1918" spans="1:7" x14ac:dyDescent="0.2">
      <c r="A1918" t="s">
        <v>3537</v>
      </c>
      <c r="B1918" t="str">
        <f>"18284912151"</f>
        <v>18284912151</v>
      </c>
      <c r="C1918" t="str">
        <f>"51080219940920543X"</f>
        <v>51080219940920543X</v>
      </c>
      <c r="D1918" t="s">
        <v>1</v>
      </c>
      <c r="E1918" t="s">
        <v>1</v>
      </c>
      <c r="F1918" t="s">
        <v>0</v>
      </c>
      <c r="G1918" t="str">
        <f>"2018-10-18 15:17:37"</f>
        <v>2018-10-18 15:17:37</v>
      </c>
    </row>
    <row r="1919" spans="1:7" x14ac:dyDescent="0.2">
      <c r="A1919" t="s">
        <v>3538</v>
      </c>
      <c r="B1919" t="str">
        <f>"13709434324"</f>
        <v>13709434324</v>
      </c>
      <c r="C1919" t="str">
        <f>"500105198608071838"</f>
        <v>500105198608071838</v>
      </c>
      <c r="D1919" t="s">
        <v>3539</v>
      </c>
      <c r="E1919" t="s">
        <v>3540</v>
      </c>
      <c r="F1919" t="s">
        <v>0</v>
      </c>
      <c r="G1919" t="str">
        <f>"2018-10-19 07:25:30"</f>
        <v>2018-10-19 07:25:30</v>
      </c>
    </row>
    <row r="1920" spans="1:7" x14ac:dyDescent="0.2">
      <c r="A1920" t="s">
        <v>3541</v>
      </c>
      <c r="B1920" t="str">
        <f>"18602903225"</f>
        <v>18602903225</v>
      </c>
      <c r="C1920" t="str">
        <f>"610502198611180216"</f>
        <v>610502198611180216</v>
      </c>
      <c r="D1920" t="s">
        <v>1</v>
      </c>
      <c r="E1920" t="s">
        <v>1</v>
      </c>
      <c r="F1920" t="s">
        <v>0</v>
      </c>
      <c r="G1920" t="str">
        <f>"2018-10-18 15:13:28"</f>
        <v>2018-10-18 15:13:28</v>
      </c>
    </row>
    <row r="1921" spans="1:7" x14ac:dyDescent="0.2">
      <c r="A1921" t="s">
        <v>3542</v>
      </c>
      <c r="B1921" t="str">
        <f>"15828131043"</f>
        <v>15828131043</v>
      </c>
      <c r="C1921" t="str">
        <f>"511025198905266538"</f>
        <v>511025198905266538</v>
      </c>
      <c r="D1921" t="s">
        <v>1</v>
      </c>
      <c r="E1921" t="s">
        <v>1</v>
      </c>
      <c r="F1921" t="s">
        <v>0</v>
      </c>
      <c r="G1921" t="str">
        <f>"2018-10-18 15:17:21"</f>
        <v>2018-10-18 15:17:21</v>
      </c>
    </row>
    <row r="1922" spans="1:7" x14ac:dyDescent="0.2">
      <c r="A1922" t="s">
        <v>1</v>
      </c>
      <c r="B1922" t="str">
        <f>"13112624500"</f>
        <v>13112624500</v>
      </c>
      <c r="C1922" t="s">
        <v>1</v>
      </c>
      <c r="D1922" t="s">
        <v>1</v>
      </c>
      <c r="E1922" t="s">
        <v>1</v>
      </c>
      <c r="F1922" t="s">
        <v>0</v>
      </c>
      <c r="G1922" t="str">
        <f>"2018-10-18 15:11:09"</f>
        <v>2018-10-18 15:11:09</v>
      </c>
    </row>
    <row r="1923" spans="1:7" x14ac:dyDescent="0.2">
      <c r="A1923" t="s">
        <v>3543</v>
      </c>
      <c r="B1923" t="str">
        <f>"15674158220"</f>
        <v>15674158220</v>
      </c>
      <c r="C1923" t="str">
        <f>"430224199012130615"</f>
        <v>430224199012130615</v>
      </c>
      <c r="D1923" t="s">
        <v>1</v>
      </c>
      <c r="E1923" t="s">
        <v>1</v>
      </c>
      <c r="F1923" t="s">
        <v>0</v>
      </c>
      <c r="G1923" t="str">
        <f>"2018-10-18 15:16:40"</f>
        <v>2018-10-18 15:16:40</v>
      </c>
    </row>
    <row r="1924" spans="1:7" x14ac:dyDescent="0.2">
      <c r="A1924" t="s">
        <v>3544</v>
      </c>
      <c r="B1924" t="str">
        <f>"13233489236"</f>
        <v>13233489236</v>
      </c>
      <c r="C1924" t="str">
        <f>"142729198705243038"</f>
        <v>142729198705243038</v>
      </c>
      <c r="D1924" t="s">
        <v>1</v>
      </c>
      <c r="E1924" t="s">
        <v>1</v>
      </c>
      <c r="F1924" t="s">
        <v>0</v>
      </c>
      <c r="G1924" t="str">
        <f>"2018-10-18 15:13:10"</f>
        <v>2018-10-18 15:13:10</v>
      </c>
    </row>
    <row r="1925" spans="1:7" x14ac:dyDescent="0.2">
      <c r="A1925" t="s">
        <v>3545</v>
      </c>
      <c r="B1925" t="str">
        <f>"17600011188"</f>
        <v>17600011188</v>
      </c>
      <c r="C1925" t="str">
        <f>"420607199704095914"</f>
        <v>420607199704095914</v>
      </c>
      <c r="D1925" t="s">
        <v>1</v>
      </c>
      <c r="E1925" t="s">
        <v>1</v>
      </c>
      <c r="F1925" t="s">
        <v>0</v>
      </c>
      <c r="G1925" t="str">
        <f>"2018-10-18 15:11:49"</f>
        <v>2018-10-18 15:11:49</v>
      </c>
    </row>
    <row r="1926" spans="1:7" x14ac:dyDescent="0.2">
      <c r="A1926" t="s">
        <v>3546</v>
      </c>
      <c r="B1926" t="str">
        <f>"15187560551"</f>
        <v>15187560551</v>
      </c>
      <c r="C1926" t="str">
        <f>"533025199501040911"</f>
        <v>533025199501040911</v>
      </c>
      <c r="D1926" t="s">
        <v>1</v>
      </c>
      <c r="E1926" t="s">
        <v>1</v>
      </c>
      <c r="F1926" t="s">
        <v>0</v>
      </c>
      <c r="G1926" t="str">
        <f>"2018-10-18 15:12:19"</f>
        <v>2018-10-18 15:12:19</v>
      </c>
    </row>
    <row r="1927" spans="1:7" x14ac:dyDescent="0.2">
      <c r="A1927" t="s">
        <v>3547</v>
      </c>
      <c r="B1927" t="str">
        <f>"18757218986"</f>
        <v>18757218986</v>
      </c>
      <c r="C1927" t="str">
        <f>"320423197608225615"</f>
        <v>320423197608225615</v>
      </c>
      <c r="D1927" t="s">
        <v>3548</v>
      </c>
      <c r="E1927" t="s">
        <v>3549</v>
      </c>
      <c r="F1927" t="s">
        <v>0</v>
      </c>
      <c r="G1927" t="str">
        <f>"2018-10-18 15:13:52"</f>
        <v>2018-10-18 15:13:52</v>
      </c>
    </row>
    <row r="1928" spans="1:7" x14ac:dyDescent="0.2">
      <c r="A1928" t="s">
        <v>1</v>
      </c>
      <c r="B1928" t="str">
        <f>"13069662662"</f>
        <v>13069662662</v>
      </c>
      <c r="C1928" t="s">
        <v>1</v>
      </c>
      <c r="D1928" t="s">
        <v>1</v>
      </c>
      <c r="E1928" t="s">
        <v>1</v>
      </c>
      <c r="F1928" t="s">
        <v>0</v>
      </c>
      <c r="G1928" t="str">
        <f>"2018-10-18 15:10:49"</f>
        <v>2018-10-18 15:10:49</v>
      </c>
    </row>
    <row r="1929" spans="1:7" x14ac:dyDescent="0.2">
      <c r="A1929" t="s">
        <v>3550</v>
      </c>
      <c r="B1929" t="str">
        <f>"15020351567"</f>
        <v>15020351567</v>
      </c>
      <c r="C1929" t="str">
        <f>"371327199108143719"</f>
        <v>371327199108143719</v>
      </c>
      <c r="D1929" t="s">
        <v>3551</v>
      </c>
      <c r="E1929" t="s">
        <v>3552</v>
      </c>
      <c r="F1929" t="s">
        <v>0</v>
      </c>
      <c r="G1929" t="str">
        <f>"2018-10-18 15:12:05"</f>
        <v>2018-10-18 15:12:05</v>
      </c>
    </row>
    <row r="1930" spans="1:7" x14ac:dyDescent="0.2">
      <c r="A1930" t="s">
        <v>1</v>
      </c>
      <c r="B1930" t="str">
        <f>"13328842531"</f>
        <v>13328842531</v>
      </c>
      <c r="C1930" t="s">
        <v>1</v>
      </c>
      <c r="D1930" t="s">
        <v>1</v>
      </c>
      <c r="E1930" t="s">
        <v>1</v>
      </c>
      <c r="F1930" t="s">
        <v>0</v>
      </c>
      <c r="G1930" t="str">
        <f>"2018-10-18 15:12:14"</f>
        <v>2018-10-18 15:12:14</v>
      </c>
    </row>
    <row r="1931" spans="1:7" x14ac:dyDescent="0.2">
      <c r="A1931" t="s">
        <v>3553</v>
      </c>
      <c r="B1931" t="str">
        <f>"18193156026"</f>
        <v>18193156026</v>
      </c>
      <c r="C1931" t="str">
        <f>"620423199306263317"</f>
        <v>620423199306263317</v>
      </c>
      <c r="D1931" t="s">
        <v>3554</v>
      </c>
      <c r="E1931" t="s">
        <v>3555</v>
      </c>
      <c r="F1931" t="s">
        <v>0</v>
      </c>
      <c r="G1931" t="str">
        <f>"2018-10-18 15:11:40"</f>
        <v>2018-10-18 15:11:40</v>
      </c>
    </row>
    <row r="1932" spans="1:7" x14ac:dyDescent="0.2">
      <c r="A1932" t="s">
        <v>3556</v>
      </c>
      <c r="B1932" t="str">
        <f>"15855150835"</f>
        <v>15855150835</v>
      </c>
      <c r="C1932" t="str">
        <f>"340122197510173950"</f>
        <v>340122197510173950</v>
      </c>
      <c r="D1932" t="s">
        <v>1</v>
      </c>
      <c r="E1932" t="s">
        <v>1</v>
      </c>
      <c r="F1932" t="s">
        <v>0</v>
      </c>
      <c r="G1932" t="str">
        <f>"2018-10-18 15:11:55"</f>
        <v>2018-10-18 15:11:55</v>
      </c>
    </row>
    <row r="1933" spans="1:7" x14ac:dyDescent="0.2">
      <c r="A1933" t="s">
        <v>3557</v>
      </c>
      <c r="B1933" t="str">
        <f>"18338055208"</f>
        <v>18338055208</v>
      </c>
      <c r="C1933" t="str">
        <f>"410928199710155721"</f>
        <v>410928199710155721</v>
      </c>
      <c r="D1933" t="s">
        <v>1</v>
      </c>
      <c r="E1933" t="s">
        <v>1</v>
      </c>
      <c r="F1933" t="s">
        <v>0</v>
      </c>
      <c r="G1933" t="str">
        <f>"2018-10-19 12:13:58"</f>
        <v>2018-10-19 12:13:58</v>
      </c>
    </row>
    <row r="1934" spans="1:7" x14ac:dyDescent="0.2">
      <c r="A1934" t="s">
        <v>3558</v>
      </c>
      <c r="B1934" t="str">
        <f>"15036289836"</f>
        <v>15036289836</v>
      </c>
      <c r="C1934" t="str">
        <f>"411303198603152898"</f>
        <v>411303198603152898</v>
      </c>
      <c r="D1934" t="s">
        <v>1</v>
      </c>
      <c r="E1934" t="s">
        <v>1</v>
      </c>
      <c r="F1934" t="s">
        <v>0</v>
      </c>
      <c r="G1934" t="str">
        <f>"2018-10-28 12:08:55"</f>
        <v>2018-10-28 12:08:55</v>
      </c>
    </row>
    <row r="1935" spans="1:7" x14ac:dyDescent="0.2">
      <c r="A1935" t="s">
        <v>3559</v>
      </c>
      <c r="B1935" t="str">
        <f>"15044763316"</f>
        <v>15044763316</v>
      </c>
      <c r="C1935" t="str">
        <f>"152722197802172430"</f>
        <v>152722197802172430</v>
      </c>
      <c r="D1935" t="s">
        <v>1</v>
      </c>
      <c r="E1935" t="s">
        <v>1</v>
      </c>
      <c r="F1935" t="s">
        <v>0</v>
      </c>
      <c r="G1935" t="str">
        <f>"2018-10-22 15:58:47"</f>
        <v>2018-10-22 15:58:47</v>
      </c>
    </row>
    <row r="1936" spans="1:7" x14ac:dyDescent="0.2">
      <c r="A1936" t="s">
        <v>3560</v>
      </c>
      <c r="B1936" t="str">
        <f>"18878766339"</f>
        <v>18878766339</v>
      </c>
      <c r="C1936" t="str">
        <f>"452123198902285837"</f>
        <v>452123198902285837</v>
      </c>
      <c r="D1936" t="s">
        <v>1</v>
      </c>
      <c r="E1936" t="s">
        <v>1</v>
      </c>
      <c r="F1936" t="s">
        <v>0</v>
      </c>
      <c r="G1936" t="str">
        <f>"2018-11-02 17:05:13"</f>
        <v>2018-11-02 17:05:13</v>
      </c>
    </row>
    <row r="1937" spans="1:7" x14ac:dyDescent="0.2">
      <c r="A1937" t="s">
        <v>3561</v>
      </c>
      <c r="B1937" t="str">
        <f>"13722300462"</f>
        <v>13722300462</v>
      </c>
      <c r="C1937" t="str">
        <f>"13072919990919008X"</f>
        <v>13072919990919008X</v>
      </c>
      <c r="D1937" t="s">
        <v>1</v>
      </c>
      <c r="E1937" t="s">
        <v>1</v>
      </c>
      <c r="F1937" t="s">
        <v>0</v>
      </c>
      <c r="G1937" t="str">
        <f>"2018-10-18 15:14:07"</f>
        <v>2018-10-18 15:14:07</v>
      </c>
    </row>
    <row r="1938" spans="1:7" x14ac:dyDescent="0.2">
      <c r="A1938" t="s">
        <v>3562</v>
      </c>
      <c r="B1938" t="str">
        <f>"15229430772"</f>
        <v>15229430772</v>
      </c>
      <c r="C1938" t="str">
        <f>"610521198811232972"</f>
        <v>610521198811232972</v>
      </c>
      <c r="D1938" t="s">
        <v>3563</v>
      </c>
      <c r="E1938" t="s">
        <v>3564</v>
      </c>
      <c r="F1938" t="s">
        <v>0</v>
      </c>
      <c r="G1938" t="str">
        <f>"2018-10-18 15:11:09"</f>
        <v>2018-10-18 15:11:09</v>
      </c>
    </row>
    <row r="1939" spans="1:7" x14ac:dyDescent="0.2">
      <c r="A1939" t="s">
        <v>834</v>
      </c>
      <c r="B1939" t="str">
        <f>"15661561869"</f>
        <v>15661561869</v>
      </c>
      <c r="C1939" t="str">
        <f>"150221199301292032"</f>
        <v>150221199301292032</v>
      </c>
      <c r="D1939" t="s">
        <v>1</v>
      </c>
      <c r="E1939" t="s">
        <v>1</v>
      </c>
      <c r="F1939" t="s">
        <v>0</v>
      </c>
      <c r="G1939" t="str">
        <f>"2018-10-18 15:14:34"</f>
        <v>2018-10-18 15:14:34</v>
      </c>
    </row>
    <row r="1940" spans="1:7" x14ac:dyDescent="0.2">
      <c r="A1940" t="s">
        <v>3565</v>
      </c>
      <c r="B1940" t="str">
        <f>"13362220251"</f>
        <v>13362220251</v>
      </c>
      <c r="C1940" t="str">
        <f>"532626198301022552"</f>
        <v>532626198301022552</v>
      </c>
      <c r="D1940" t="s">
        <v>1</v>
      </c>
      <c r="E1940" t="s">
        <v>1</v>
      </c>
      <c r="F1940" t="s">
        <v>0</v>
      </c>
      <c r="G1940" t="str">
        <f>"2018-10-18 15:11:17"</f>
        <v>2018-10-18 15:11:17</v>
      </c>
    </row>
    <row r="1941" spans="1:7" x14ac:dyDescent="0.2">
      <c r="A1941" t="s">
        <v>3566</v>
      </c>
      <c r="B1941" t="str">
        <f>"18314432815"</f>
        <v>18314432815</v>
      </c>
      <c r="C1941" t="str">
        <f>"530121198905021576"</f>
        <v>530121198905021576</v>
      </c>
      <c r="D1941" t="s">
        <v>1</v>
      </c>
      <c r="E1941" t="s">
        <v>1</v>
      </c>
      <c r="F1941" t="s">
        <v>0</v>
      </c>
      <c r="G1941" t="str">
        <f>"2018-10-18 15:11:16"</f>
        <v>2018-10-18 15:11:16</v>
      </c>
    </row>
    <row r="1942" spans="1:7" x14ac:dyDescent="0.2">
      <c r="A1942" t="s">
        <v>1</v>
      </c>
      <c r="B1942" t="str">
        <f>"15233279088"</f>
        <v>15233279088</v>
      </c>
      <c r="C1942" t="s">
        <v>1</v>
      </c>
      <c r="D1942" t="s">
        <v>1</v>
      </c>
      <c r="E1942" t="s">
        <v>1</v>
      </c>
      <c r="F1942" t="s">
        <v>0</v>
      </c>
      <c r="G1942" t="str">
        <f>"2018-10-18 15:11:26"</f>
        <v>2018-10-18 15:11:26</v>
      </c>
    </row>
    <row r="1943" spans="1:7" x14ac:dyDescent="0.2">
      <c r="A1943" t="s">
        <v>3567</v>
      </c>
      <c r="B1943" t="str">
        <f>"13673014076"</f>
        <v>13673014076</v>
      </c>
      <c r="C1943" t="str">
        <f>"410926197305271612"</f>
        <v>410926197305271612</v>
      </c>
      <c r="D1943" t="s">
        <v>1</v>
      </c>
      <c r="E1943" t="s">
        <v>1</v>
      </c>
      <c r="F1943" t="s">
        <v>0</v>
      </c>
      <c r="G1943" t="str">
        <f>"2018-10-23 21:05:48"</f>
        <v>2018-10-23 21:05:48</v>
      </c>
    </row>
    <row r="1944" spans="1:7" x14ac:dyDescent="0.2">
      <c r="A1944" t="s">
        <v>1</v>
      </c>
      <c r="B1944" t="str">
        <f>"13818518414"</f>
        <v>13818518414</v>
      </c>
      <c r="C1944" t="s">
        <v>1</v>
      </c>
      <c r="D1944" t="s">
        <v>1</v>
      </c>
      <c r="E1944" t="s">
        <v>1</v>
      </c>
      <c r="F1944" t="s">
        <v>0</v>
      </c>
      <c r="G1944" t="str">
        <f>"2018-10-18 15:11:27"</f>
        <v>2018-10-18 15:11:27</v>
      </c>
    </row>
    <row r="1945" spans="1:7" x14ac:dyDescent="0.2">
      <c r="A1945" t="s">
        <v>3568</v>
      </c>
      <c r="B1945" t="str">
        <f>"13858369065"</f>
        <v>13858369065</v>
      </c>
      <c r="C1945" t="str">
        <f>"362330199308206355"</f>
        <v>362330199308206355</v>
      </c>
      <c r="D1945" t="s">
        <v>1</v>
      </c>
      <c r="E1945" t="s">
        <v>1</v>
      </c>
      <c r="F1945" t="s">
        <v>0</v>
      </c>
      <c r="G1945" t="str">
        <f>"2018-10-18 15:11:01"</f>
        <v>2018-10-18 15:11:01</v>
      </c>
    </row>
    <row r="1946" spans="1:7" x14ac:dyDescent="0.2">
      <c r="A1946" t="s">
        <v>3569</v>
      </c>
      <c r="B1946" t="str">
        <f>"15542849879"</f>
        <v>15542849879</v>
      </c>
      <c r="C1946" t="str">
        <f>"210702199910100811"</f>
        <v>210702199910100811</v>
      </c>
      <c r="D1946" t="s">
        <v>1</v>
      </c>
      <c r="E1946" t="s">
        <v>1</v>
      </c>
      <c r="F1946" t="s">
        <v>0</v>
      </c>
      <c r="G1946" t="str">
        <f>"2018-10-18 15:35:35"</f>
        <v>2018-10-18 15:35:35</v>
      </c>
    </row>
    <row r="1947" spans="1:7" x14ac:dyDescent="0.2">
      <c r="A1947" t="s">
        <v>1</v>
      </c>
      <c r="B1947" t="str">
        <f>"13297099413"</f>
        <v>13297099413</v>
      </c>
      <c r="C1947" t="s">
        <v>1</v>
      </c>
      <c r="D1947" t="s">
        <v>1</v>
      </c>
      <c r="E1947" t="s">
        <v>1</v>
      </c>
      <c r="F1947" t="s">
        <v>0</v>
      </c>
      <c r="G1947" t="str">
        <f>"2018-10-18 15:09:00"</f>
        <v>2018-10-18 15:09:00</v>
      </c>
    </row>
    <row r="1948" spans="1:7" x14ac:dyDescent="0.2">
      <c r="A1948" t="s">
        <v>3570</v>
      </c>
      <c r="B1948" t="str">
        <f>"18007706534"</f>
        <v>18007706534</v>
      </c>
      <c r="C1948" t="str">
        <f>"450681199805215419"</f>
        <v>450681199805215419</v>
      </c>
      <c r="D1948" t="s">
        <v>1</v>
      </c>
      <c r="E1948" t="s">
        <v>1</v>
      </c>
      <c r="F1948" t="s">
        <v>0</v>
      </c>
      <c r="G1948" t="str">
        <f>"2018-10-18 15:10:06"</f>
        <v>2018-10-18 15:10:06</v>
      </c>
    </row>
    <row r="1949" spans="1:7" x14ac:dyDescent="0.2">
      <c r="A1949" t="s">
        <v>3571</v>
      </c>
      <c r="B1949" t="str">
        <f>"18735116779"</f>
        <v>18735116779</v>
      </c>
      <c r="C1949" t="str">
        <f>"142601199006141350"</f>
        <v>142601199006141350</v>
      </c>
      <c r="D1949" t="s">
        <v>1</v>
      </c>
      <c r="E1949" t="s">
        <v>1</v>
      </c>
      <c r="F1949" t="s">
        <v>0</v>
      </c>
      <c r="G1949" t="str">
        <f>"2018-10-18 15:10:25"</f>
        <v>2018-10-18 15:10:25</v>
      </c>
    </row>
    <row r="1950" spans="1:7" x14ac:dyDescent="0.2">
      <c r="A1950" t="s">
        <v>3572</v>
      </c>
      <c r="B1950" t="str">
        <f>"13269962352"</f>
        <v>13269962352</v>
      </c>
      <c r="C1950" t="str">
        <f>"230404198505200013"</f>
        <v>230404198505200013</v>
      </c>
      <c r="D1950" t="s">
        <v>1</v>
      </c>
      <c r="E1950" t="s">
        <v>1</v>
      </c>
      <c r="F1950" t="s">
        <v>0</v>
      </c>
      <c r="G1950" t="str">
        <f>"2018-10-18 15:09:55"</f>
        <v>2018-10-18 15:09:55</v>
      </c>
    </row>
    <row r="1951" spans="1:7" x14ac:dyDescent="0.2">
      <c r="A1951" t="s">
        <v>3573</v>
      </c>
      <c r="B1951" t="str">
        <f>"13486896675"</f>
        <v>13486896675</v>
      </c>
      <c r="C1951" t="str">
        <f>"330327197611050440"</f>
        <v>330327197611050440</v>
      </c>
      <c r="D1951" t="s">
        <v>3574</v>
      </c>
      <c r="E1951" t="s">
        <v>3575</v>
      </c>
      <c r="F1951" t="s">
        <v>0</v>
      </c>
      <c r="G1951" t="str">
        <f>"2018-10-18 15:11:21"</f>
        <v>2018-10-18 15:11:21</v>
      </c>
    </row>
    <row r="1952" spans="1:7" x14ac:dyDescent="0.2">
      <c r="A1952" t="s">
        <v>3576</v>
      </c>
      <c r="B1952" t="str">
        <f>"18668276777"</f>
        <v>18668276777</v>
      </c>
      <c r="C1952" t="str">
        <f>"341226197505124718"</f>
        <v>341226197505124718</v>
      </c>
      <c r="D1952" t="s">
        <v>1</v>
      </c>
      <c r="E1952" t="s">
        <v>1</v>
      </c>
      <c r="F1952" t="s">
        <v>0</v>
      </c>
      <c r="G1952" t="str">
        <f>"2018-10-18 15:10:42"</f>
        <v>2018-10-18 15:10:42</v>
      </c>
    </row>
    <row r="1953" spans="1:7" x14ac:dyDescent="0.2">
      <c r="A1953" t="s">
        <v>3577</v>
      </c>
      <c r="B1953" t="str">
        <f>"18870389510"</f>
        <v>18870389510</v>
      </c>
      <c r="C1953" t="str">
        <f>"362330198805055581"</f>
        <v>362330198805055581</v>
      </c>
      <c r="D1953" t="s">
        <v>1</v>
      </c>
      <c r="E1953" t="s">
        <v>1</v>
      </c>
      <c r="F1953" t="s">
        <v>0</v>
      </c>
      <c r="G1953" t="str">
        <f>"2018-10-18 15:10:22"</f>
        <v>2018-10-18 15:10:22</v>
      </c>
    </row>
    <row r="1954" spans="1:7" x14ac:dyDescent="0.2">
      <c r="A1954" t="s">
        <v>3578</v>
      </c>
      <c r="B1954" t="str">
        <f>"13775337850"</f>
        <v>13775337850</v>
      </c>
      <c r="C1954" t="str">
        <f>"321181198708274097"</f>
        <v>321181198708274097</v>
      </c>
      <c r="D1954" t="s">
        <v>1</v>
      </c>
      <c r="E1954" t="s">
        <v>1</v>
      </c>
      <c r="F1954" t="s">
        <v>0</v>
      </c>
      <c r="G1954" t="str">
        <f>"2018-10-18 15:08:23"</f>
        <v>2018-10-18 15:08:23</v>
      </c>
    </row>
    <row r="1955" spans="1:7" x14ac:dyDescent="0.2">
      <c r="A1955" t="s">
        <v>3579</v>
      </c>
      <c r="B1955" t="str">
        <f>"18729111024"</f>
        <v>18729111024</v>
      </c>
      <c r="C1955" t="str">
        <f>"610622199301180910"</f>
        <v>610622199301180910</v>
      </c>
      <c r="D1955" t="s">
        <v>1</v>
      </c>
      <c r="E1955" t="s">
        <v>1</v>
      </c>
      <c r="F1955" t="s">
        <v>0</v>
      </c>
      <c r="G1955" t="str">
        <f>"2018-10-18 15:09:00"</f>
        <v>2018-10-18 15:09:00</v>
      </c>
    </row>
    <row r="1956" spans="1:7" x14ac:dyDescent="0.2">
      <c r="A1956" t="s">
        <v>3580</v>
      </c>
      <c r="B1956" t="str">
        <f>"15288278398"</f>
        <v>15288278398</v>
      </c>
      <c r="C1956" t="str">
        <f>"530381199409022563"</f>
        <v>530381199409022563</v>
      </c>
      <c r="D1956" t="s">
        <v>1</v>
      </c>
      <c r="E1956" t="s">
        <v>1</v>
      </c>
      <c r="F1956" t="s">
        <v>0</v>
      </c>
      <c r="G1956" t="str">
        <f>"2018-10-18 15:09:14"</f>
        <v>2018-10-18 15:09:14</v>
      </c>
    </row>
    <row r="1957" spans="1:7" x14ac:dyDescent="0.2">
      <c r="A1957" t="s">
        <v>42</v>
      </c>
      <c r="B1957" t="str">
        <f>"18983062291"</f>
        <v>18983062291</v>
      </c>
      <c r="C1957" t="str">
        <f>"500221199108167630"</f>
        <v>500221199108167630</v>
      </c>
      <c r="D1957" t="s">
        <v>1</v>
      </c>
      <c r="E1957" t="s">
        <v>1</v>
      </c>
      <c r="F1957" t="s">
        <v>0</v>
      </c>
      <c r="G1957" t="str">
        <f>"2018-10-18 15:18:12"</f>
        <v>2018-10-18 15:18:12</v>
      </c>
    </row>
    <row r="1958" spans="1:7" x14ac:dyDescent="0.2">
      <c r="A1958" t="s">
        <v>1</v>
      </c>
      <c r="B1958" t="str">
        <f>"15878691010"</f>
        <v>15878691010</v>
      </c>
      <c r="C1958" t="s">
        <v>1</v>
      </c>
      <c r="D1958" t="s">
        <v>1</v>
      </c>
      <c r="E1958" t="s">
        <v>1</v>
      </c>
      <c r="F1958" t="s">
        <v>0</v>
      </c>
      <c r="G1958" t="str">
        <f>"2018-10-18 15:12:37"</f>
        <v>2018-10-18 15:12:37</v>
      </c>
    </row>
    <row r="1959" spans="1:7" x14ac:dyDescent="0.2">
      <c r="A1959" t="s">
        <v>3581</v>
      </c>
      <c r="B1959" t="str">
        <f>"14790173829"</f>
        <v>14790173829</v>
      </c>
      <c r="C1959" t="str">
        <f>"342502198511204010"</f>
        <v>342502198511204010</v>
      </c>
      <c r="D1959" t="s">
        <v>1</v>
      </c>
      <c r="E1959" t="s">
        <v>1</v>
      </c>
      <c r="F1959" t="s">
        <v>0</v>
      </c>
      <c r="G1959" t="str">
        <f>"2018-10-18 15:10:27"</f>
        <v>2018-10-18 15:10:27</v>
      </c>
    </row>
    <row r="1960" spans="1:7" x14ac:dyDescent="0.2">
      <c r="A1960" t="s">
        <v>1597</v>
      </c>
      <c r="B1960" t="str">
        <f>"15924636882"</f>
        <v>15924636882</v>
      </c>
      <c r="C1960" t="str">
        <f>"532526199504272913"</f>
        <v>532526199504272913</v>
      </c>
      <c r="D1960" t="s">
        <v>1</v>
      </c>
      <c r="E1960" t="s">
        <v>1</v>
      </c>
      <c r="F1960" t="s">
        <v>0</v>
      </c>
      <c r="G1960" t="str">
        <f>"2018-10-18 15:09:34"</f>
        <v>2018-10-18 15:09:34</v>
      </c>
    </row>
    <row r="1961" spans="1:7" x14ac:dyDescent="0.2">
      <c r="A1961" t="s">
        <v>1</v>
      </c>
      <c r="B1961" t="str">
        <f>"13035513784"</f>
        <v>13035513784</v>
      </c>
      <c r="C1961" t="s">
        <v>1</v>
      </c>
      <c r="D1961" t="s">
        <v>1</v>
      </c>
      <c r="E1961" t="s">
        <v>1</v>
      </c>
      <c r="F1961" t="s">
        <v>0</v>
      </c>
      <c r="G1961" t="str">
        <f>"2018-10-18 15:10:47"</f>
        <v>2018-10-18 15:10:47</v>
      </c>
    </row>
    <row r="1962" spans="1:7" x14ac:dyDescent="0.2">
      <c r="A1962" t="s">
        <v>3582</v>
      </c>
      <c r="B1962" t="str">
        <f>"17690809324"</f>
        <v>17690809324</v>
      </c>
      <c r="C1962" t="str">
        <f>"622623199202040613"</f>
        <v>622623199202040613</v>
      </c>
      <c r="D1962" t="s">
        <v>1</v>
      </c>
      <c r="E1962" t="s">
        <v>1</v>
      </c>
      <c r="F1962" t="s">
        <v>0</v>
      </c>
      <c r="G1962" t="str">
        <f>"2018-10-18 15:07:33"</f>
        <v>2018-10-18 15:07:33</v>
      </c>
    </row>
    <row r="1963" spans="1:7" x14ac:dyDescent="0.2">
      <c r="A1963" t="s">
        <v>3583</v>
      </c>
      <c r="B1963" t="str">
        <f>"18775326711"</f>
        <v>18775326711</v>
      </c>
      <c r="C1963" t="str">
        <f>"421102199706120871"</f>
        <v>421102199706120871</v>
      </c>
      <c r="D1963" t="s">
        <v>1</v>
      </c>
      <c r="E1963" t="s">
        <v>1</v>
      </c>
      <c r="F1963" t="s">
        <v>0</v>
      </c>
      <c r="G1963" t="str">
        <f>"2018-10-18 15:26:42"</f>
        <v>2018-10-18 15:26:42</v>
      </c>
    </row>
    <row r="1964" spans="1:7" x14ac:dyDescent="0.2">
      <c r="A1964" t="s">
        <v>1</v>
      </c>
      <c r="B1964" t="str">
        <f>"18530158222"</f>
        <v>18530158222</v>
      </c>
      <c r="C1964" t="s">
        <v>1</v>
      </c>
      <c r="D1964" t="s">
        <v>1</v>
      </c>
      <c r="E1964" t="s">
        <v>1</v>
      </c>
      <c r="F1964" t="s">
        <v>0</v>
      </c>
      <c r="G1964" t="str">
        <f>"2018-10-18 15:07:15"</f>
        <v>2018-10-18 15:07:15</v>
      </c>
    </row>
    <row r="1965" spans="1:7" x14ac:dyDescent="0.2">
      <c r="A1965" t="s">
        <v>3584</v>
      </c>
      <c r="B1965" t="str">
        <f>"13663283612"</f>
        <v>13663283612</v>
      </c>
      <c r="C1965" t="str">
        <f>"131102198606182019"</f>
        <v>131102198606182019</v>
      </c>
      <c r="D1965" t="s">
        <v>1</v>
      </c>
      <c r="E1965" t="s">
        <v>1</v>
      </c>
      <c r="F1965" t="s">
        <v>0</v>
      </c>
      <c r="G1965" t="str">
        <f>"2018-10-18 15:49:13"</f>
        <v>2018-10-18 15:49:13</v>
      </c>
    </row>
    <row r="1966" spans="1:7" x14ac:dyDescent="0.2">
      <c r="A1966" t="s">
        <v>3585</v>
      </c>
      <c r="B1966" t="str">
        <f>"13458705653"</f>
        <v>13458705653</v>
      </c>
      <c r="C1966" t="str">
        <f>"510521198101123794"</f>
        <v>510521198101123794</v>
      </c>
      <c r="D1966" t="s">
        <v>1</v>
      </c>
      <c r="E1966" t="s">
        <v>1</v>
      </c>
      <c r="F1966" t="s">
        <v>0</v>
      </c>
      <c r="G1966" t="str">
        <f>"2018-10-18 15:11:08"</f>
        <v>2018-10-18 15:11:08</v>
      </c>
    </row>
    <row r="1967" spans="1:7" x14ac:dyDescent="0.2">
      <c r="A1967" t="s">
        <v>687</v>
      </c>
      <c r="B1967" t="str">
        <f>"18502498419"</f>
        <v>18502498419</v>
      </c>
      <c r="C1967" t="str">
        <f>"210321198410160829"</f>
        <v>210321198410160829</v>
      </c>
      <c r="D1967" t="s">
        <v>1</v>
      </c>
      <c r="E1967" t="s">
        <v>1</v>
      </c>
      <c r="F1967" t="s">
        <v>0</v>
      </c>
      <c r="G1967" t="str">
        <f>"2018-10-18 15:08:21"</f>
        <v>2018-10-18 15:08:21</v>
      </c>
    </row>
    <row r="1968" spans="1:7" x14ac:dyDescent="0.2">
      <c r="A1968" t="s">
        <v>3586</v>
      </c>
      <c r="B1968" t="str">
        <f>"15176734090"</f>
        <v>15176734090</v>
      </c>
      <c r="C1968" t="str">
        <f>"130282199512061030"</f>
        <v>130282199512061030</v>
      </c>
      <c r="D1968" t="s">
        <v>1</v>
      </c>
      <c r="E1968" t="s">
        <v>1</v>
      </c>
      <c r="F1968" t="s">
        <v>0</v>
      </c>
      <c r="G1968" t="str">
        <f>"2018-10-18 15:09:09"</f>
        <v>2018-10-18 15:09:09</v>
      </c>
    </row>
    <row r="1969" spans="1:7" x14ac:dyDescent="0.2">
      <c r="A1969" t="s">
        <v>3587</v>
      </c>
      <c r="B1969" t="str">
        <f>"13920575026"</f>
        <v>13920575026</v>
      </c>
      <c r="C1969" t="str">
        <f>"120101198312025510"</f>
        <v>120101198312025510</v>
      </c>
      <c r="D1969" t="s">
        <v>3588</v>
      </c>
      <c r="E1969" t="s">
        <v>3589</v>
      </c>
      <c r="F1969" t="s">
        <v>0</v>
      </c>
      <c r="G1969" t="str">
        <f>"2018-10-18 16:40:06"</f>
        <v>2018-10-18 16:40:06</v>
      </c>
    </row>
    <row r="1970" spans="1:7" x14ac:dyDescent="0.2">
      <c r="A1970" t="s">
        <v>1</v>
      </c>
      <c r="B1970" t="str">
        <f>"18312543087"</f>
        <v>18312543087</v>
      </c>
      <c r="C1970" t="s">
        <v>1</v>
      </c>
      <c r="D1970" t="s">
        <v>1</v>
      </c>
      <c r="E1970" t="s">
        <v>1</v>
      </c>
      <c r="F1970" t="s">
        <v>0</v>
      </c>
      <c r="G1970" t="str">
        <f>"2018-10-18 15:10:59"</f>
        <v>2018-10-18 15:10:59</v>
      </c>
    </row>
    <row r="1971" spans="1:7" x14ac:dyDescent="0.2">
      <c r="A1971" t="s">
        <v>1</v>
      </c>
      <c r="B1971" t="str">
        <f>"13255725154"</f>
        <v>13255725154</v>
      </c>
      <c r="C1971" t="s">
        <v>1</v>
      </c>
      <c r="D1971" t="s">
        <v>1</v>
      </c>
      <c r="E1971" t="s">
        <v>1</v>
      </c>
      <c r="F1971" t="s">
        <v>0</v>
      </c>
      <c r="G1971" t="str">
        <f>"2018-10-18 15:06:42"</f>
        <v>2018-10-18 15:06:42</v>
      </c>
    </row>
    <row r="1972" spans="1:7" x14ac:dyDescent="0.2">
      <c r="A1972" t="s">
        <v>1</v>
      </c>
      <c r="B1972" t="str">
        <f>"15577635564"</f>
        <v>15577635564</v>
      </c>
      <c r="C1972" t="s">
        <v>1</v>
      </c>
      <c r="D1972" t="s">
        <v>1</v>
      </c>
      <c r="E1972" t="s">
        <v>1</v>
      </c>
      <c r="F1972" t="s">
        <v>0</v>
      </c>
      <c r="G1972" t="str">
        <f>"2018-10-18 15:06:35"</f>
        <v>2018-10-18 15:06:35</v>
      </c>
    </row>
    <row r="1973" spans="1:7" x14ac:dyDescent="0.2">
      <c r="A1973" t="s">
        <v>3590</v>
      </c>
      <c r="B1973" t="str">
        <f>"15960310385"</f>
        <v>15960310385</v>
      </c>
      <c r="C1973" t="str">
        <f>"350822198702040823"</f>
        <v>350822198702040823</v>
      </c>
      <c r="D1973" t="s">
        <v>1</v>
      </c>
      <c r="E1973" t="s">
        <v>1</v>
      </c>
      <c r="F1973" t="s">
        <v>0</v>
      </c>
      <c r="G1973" t="str">
        <f>"2018-10-18 15:09:05"</f>
        <v>2018-10-18 15:09:05</v>
      </c>
    </row>
    <row r="1974" spans="1:7" x14ac:dyDescent="0.2">
      <c r="A1974" t="s">
        <v>1</v>
      </c>
      <c r="B1974" t="str">
        <f>"13776764634"</f>
        <v>13776764634</v>
      </c>
      <c r="C1974" t="s">
        <v>1</v>
      </c>
      <c r="D1974" t="s">
        <v>1</v>
      </c>
      <c r="E1974" t="s">
        <v>1</v>
      </c>
      <c r="F1974" t="s">
        <v>0</v>
      </c>
      <c r="G1974" t="str">
        <f>"2018-10-18 15:06:24"</f>
        <v>2018-10-18 15:06:24</v>
      </c>
    </row>
    <row r="1975" spans="1:7" x14ac:dyDescent="0.2">
      <c r="A1975" t="s">
        <v>3591</v>
      </c>
      <c r="B1975" t="str">
        <f>"15168492584"</f>
        <v>15168492584</v>
      </c>
      <c r="C1975" t="str">
        <f>"341125199311114332"</f>
        <v>341125199311114332</v>
      </c>
      <c r="D1975" t="s">
        <v>1</v>
      </c>
      <c r="E1975" t="s">
        <v>1</v>
      </c>
      <c r="F1975" t="s">
        <v>0</v>
      </c>
      <c r="G1975" t="str">
        <f>"2018-10-18 15:06:14"</f>
        <v>2018-10-18 15:06:14</v>
      </c>
    </row>
    <row r="1976" spans="1:7" x14ac:dyDescent="0.2">
      <c r="A1976" t="s">
        <v>3592</v>
      </c>
      <c r="B1976" t="str">
        <f>"18683558861"</f>
        <v>18683558861</v>
      </c>
      <c r="C1976" t="str">
        <f>"51310119940421161X"</f>
        <v>51310119940421161X</v>
      </c>
      <c r="D1976" t="s">
        <v>1</v>
      </c>
      <c r="E1976" t="s">
        <v>1</v>
      </c>
      <c r="F1976" t="s">
        <v>0</v>
      </c>
      <c r="G1976" t="str">
        <f>"2018-10-18 15:08:39"</f>
        <v>2018-10-18 15:08:39</v>
      </c>
    </row>
    <row r="1977" spans="1:7" x14ac:dyDescent="0.2">
      <c r="A1977" t="s">
        <v>3593</v>
      </c>
      <c r="B1977" t="str">
        <f>"13803522562"</f>
        <v>13803522562</v>
      </c>
      <c r="C1977" t="str">
        <f>"360121198203100518"</f>
        <v>360121198203100518</v>
      </c>
      <c r="D1977" t="s">
        <v>1</v>
      </c>
      <c r="E1977" t="s">
        <v>1</v>
      </c>
      <c r="F1977" t="s">
        <v>0</v>
      </c>
      <c r="G1977" t="str">
        <f>"2018-10-24 23:05:06"</f>
        <v>2018-10-24 23:05:06</v>
      </c>
    </row>
    <row r="1978" spans="1:7" x14ac:dyDescent="0.2">
      <c r="A1978" t="s">
        <v>3594</v>
      </c>
      <c r="B1978" t="str">
        <f>"18622057786"</f>
        <v>18622057786</v>
      </c>
      <c r="C1978" t="str">
        <f>"120102198206292929"</f>
        <v>120102198206292929</v>
      </c>
      <c r="D1978" t="s">
        <v>3595</v>
      </c>
      <c r="E1978" t="s">
        <v>3596</v>
      </c>
      <c r="F1978" t="s">
        <v>0</v>
      </c>
      <c r="G1978" t="str">
        <f>"2018-10-18 15:07:51"</f>
        <v>2018-10-18 15:07:51</v>
      </c>
    </row>
    <row r="1979" spans="1:7" x14ac:dyDescent="0.2">
      <c r="A1979" t="s">
        <v>3597</v>
      </c>
      <c r="B1979" t="str">
        <f>"13400879231"</f>
        <v>13400879231</v>
      </c>
      <c r="C1979" t="str">
        <f>"350524198805200021"</f>
        <v>350524198805200021</v>
      </c>
      <c r="D1979" t="s">
        <v>3598</v>
      </c>
      <c r="E1979" t="s">
        <v>3599</v>
      </c>
      <c r="F1979" t="s">
        <v>0</v>
      </c>
      <c r="G1979" t="str">
        <f>"2018-10-23 14:06:05"</f>
        <v>2018-10-23 14:06:05</v>
      </c>
    </row>
    <row r="1980" spans="1:7" x14ac:dyDescent="0.2">
      <c r="A1980" t="s">
        <v>173</v>
      </c>
      <c r="B1980" t="str">
        <f>"18859752709"</f>
        <v>18859752709</v>
      </c>
      <c r="C1980" t="str">
        <f>"431222199812284813"</f>
        <v>431222199812284813</v>
      </c>
      <c r="D1980" t="s">
        <v>1</v>
      </c>
      <c r="E1980" t="s">
        <v>1</v>
      </c>
      <c r="F1980" t="s">
        <v>0</v>
      </c>
      <c r="G1980" t="str">
        <f>"2018-10-24 14:34:08"</f>
        <v>2018-10-24 14:34:08</v>
      </c>
    </row>
    <row r="1981" spans="1:7" x14ac:dyDescent="0.2">
      <c r="A1981" t="s">
        <v>605</v>
      </c>
      <c r="B1981" t="str">
        <f>"13017621760"</f>
        <v>13017621760</v>
      </c>
      <c r="C1981" t="str">
        <f>"410223199004026068"</f>
        <v>410223199004026068</v>
      </c>
      <c r="D1981" t="s">
        <v>1</v>
      </c>
      <c r="E1981" t="s">
        <v>1</v>
      </c>
      <c r="F1981" t="s">
        <v>0</v>
      </c>
      <c r="G1981" t="str">
        <f>"2018-10-18 15:07:36"</f>
        <v>2018-10-18 15:07:36</v>
      </c>
    </row>
    <row r="1982" spans="1:7" x14ac:dyDescent="0.2">
      <c r="A1982" t="s">
        <v>3600</v>
      </c>
      <c r="B1982" t="str">
        <f>"17608904123"</f>
        <v>17608904123</v>
      </c>
      <c r="C1982" t="str">
        <f>"460022199405116218"</f>
        <v>460022199405116218</v>
      </c>
      <c r="D1982" t="s">
        <v>1</v>
      </c>
      <c r="E1982" t="s">
        <v>1</v>
      </c>
      <c r="F1982" t="s">
        <v>0</v>
      </c>
      <c r="G1982" t="str">
        <f>"2018-10-18 15:06:40"</f>
        <v>2018-10-18 15:06:40</v>
      </c>
    </row>
    <row r="1983" spans="1:7" x14ac:dyDescent="0.2">
      <c r="A1983" t="s">
        <v>3601</v>
      </c>
      <c r="B1983" t="str">
        <f>"17370051070"</f>
        <v>17370051070</v>
      </c>
      <c r="C1983" t="str">
        <f>"36073019970918031X"</f>
        <v>36073019970918031X</v>
      </c>
      <c r="D1983" t="s">
        <v>1</v>
      </c>
      <c r="E1983" t="s">
        <v>1</v>
      </c>
      <c r="F1983" t="s">
        <v>0</v>
      </c>
      <c r="G1983" t="str">
        <f>"2018-10-19 16:44:19"</f>
        <v>2018-10-19 16:44:19</v>
      </c>
    </row>
    <row r="1984" spans="1:7" x14ac:dyDescent="0.2">
      <c r="A1984" t="s">
        <v>1</v>
      </c>
      <c r="B1984" t="str">
        <f>"13468681148"</f>
        <v>13468681148</v>
      </c>
      <c r="C1984" t="s">
        <v>1</v>
      </c>
      <c r="D1984" t="s">
        <v>1</v>
      </c>
      <c r="E1984" t="s">
        <v>1</v>
      </c>
      <c r="F1984" t="s">
        <v>0</v>
      </c>
      <c r="G1984" t="str">
        <f>"2018-10-18 15:05:30"</f>
        <v>2018-10-18 15:05:30</v>
      </c>
    </row>
    <row r="1985" spans="1:7" x14ac:dyDescent="0.2">
      <c r="A1985" t="s">
        <v>242</v>
      </c>
      <c r="B1985" t="str">
        <f>"15892841306"</f>
        <v>15892841306</v>
      </c>
      <c r="C1985" t="str">
        <f>"511126199909283411"</f>
        <v>511126199909283411</v>
      </c>
      <c r="D1985" t="s">
        <v>1</v>
      </c>
      <c r="E1985" t="s">
        <v>1</v>
      </c>
      <c r="F1985" t="s">
        <v>0</v>
      </c>
      <c r="G1985" t="str">
        <f>"2018-10-18 15:06:29"</f>
        <v>2018-10-18 15:06:29</v>
      </c>
    </row>
    <row r="1986" spans="1:7" x14ac:dyDescent="0.2">
      <c r="A1986" t="s">
        <v>209</v>
      </c>
      <c r="B1986" t="str">
        <f>"18827637259"</f>
        <v>18827637259</v>
      </c>
      <c r="C1986" t="str">
        <f>"420529199506274519"</f>
        <v>420529199506274519</v>
      </c>
      <c r="D1986" t="s">
        <v>3602</v>
      </c>
      <c r="E1986" t="s">
        <v>3603</v>
      </c>
      <c r="F1986" t="s">
        <v>0</v>
      </c>
      <c r="G1986" t="str">
        <f>"2018-10-18 15:07:00"</f>
        <v>2018-10-18 15:07:00</v>
      </c>
    </row>
    <row r="1987" spans="1:7" x14ac:dyDescent="0.2">
      <c r="A1987" t="s">
        <v>3604</v>
      </c>
      <c r="B1987" t="str">
        <f>"15981379799"</f>
        <v>15981379799</v>
      </c>
      <c r="C1987" t="str">
        <f>"222405198402030847"</f>
        <v>222405198402030847</v>
      </c>
      <c r="D1987" t="s">
        <v>1</v>
      </c>
      <c r="E1987" t="s">
        <v>1</v>
      </c>
      <c r="F1987" t="s">
        <v>0</v>
      </c>
      <c r="G1987" t="str">
        <f>"2018-10-18 15:06:57"</f>
        <v>2018-10-18 15:06:57</v>
      </c>
    </row>
    <row r="1988" spans="1:7" x14ac:dyDescent="0.2">
      <c r="A1988" t="s">
        <v>1467</v>
      </c>
      <c r="B1988" t="str">
        <f>"15071114737"</f>
        <v>15071114737</v>
      </c>
      <c r="C1988" t="str">
        <f>"421125198803030018"</f>
        <v>421125198803030018</v>
      </c>
      <c r="D1988" t="s">
        <v>1</v>
      </c>
      <c r="E1988" t="s">
        <v>1</v>
      </c>
      <c r="F1988" t="s">
        <v>0</v>
      </c>
      <c r="G1988" t="str">
        <f>"2018-10-18 15:07:17"</f>
        <v>2018-10-18 15:07:17</v>
      </c>
    </row>
    <row r="1989" spans="1:7" x14ac:dyDescent="0.2">
      <c r="A1989" t="s">
        <v>3605</v>
      </c>
      <c r="B1989" t="str">
        <f>"15705907163"</f>
        <v>15705907163</v>
      </c>
      <c r="C1989" t="str">
        <f>"513021198003165857"</f>
        <v>513021198003165857</v>
      </c>
      <c r="D1989" t="s">
        <v>3606</v>
      </c>
      <c r="E1989" t="s">
        <v>3607</v>
      </c>
      <c r="F1989" t="s">
        <v>0</v>
      </c>
      <c r="G1989" t="str">
        <f>"2018-10-18 15:43:28"</f>
        <v>2018-10-18 15:43:28</v>
      </c>
    </row>
    <row r="1990" spans="1:7" x14ac:dyDescent="0.2">
      <c r="A1990" t="s">
        <v>3608</v>
      </c>
      <c r="B1990" t="str">
        <f>"13663373719"</f>
        <v>13663373719</v>
      </c>
      <c r="C1990" t="str">
        <f>"130229198902167256"</f>
        <v>130229198902167256</v>
      </c>
      <c r="D1990" t="s">
        <v>1</v>
      </c>
      <c r="E1990" t="s">
        <v>1</v>
      </c>
      <c r="F1990" t="s">
        <v>0</v>
      </c>
      <c r="G1990" t="str">
        <f>"2018-10-18 15:06:39"</f>
        <v>2018-10-18 15:06:39</v>
      </c>
    </row>
    <row r="1991" spans="1:7" x14ac:dyDescent="0.2">
      <c r="A1991" t="s">
        <v>1</v>
      </c>
      <c r="B1991" t="str">
        <f>"15238753291"</f>
        <v>15238753291</v>
      </c>
      <c r="C1991" t="s">
        <v>1</v>
      </c>
      <c r="D1991" t="s">
        <v>1</v>
      </c>
      <c r="E1991" t="s">
        <v>1</v>
      </c>
      <c r="F1991" t="s">
        <v>0</v>
      </c>
      <c r="G1991" t="str">
        <f>"2018-10-18 15:05:06"</f>
        <v>2018-10-18 15:05:06</v>
      </c>
    </row>
    <row r="1992" spans="1:7" x14ac:dyDescent="0.2">
      <c r="A1992" t="s">
        <v>3609</v>
      </c>
      <c r="B1992" t="str">
        <f>"13858487769"</f>
        <v>13858487769</v>
      </c>
      <c r="C1992" t="str">
        <f>"330681199603081742"</f>
        <v>330681199603081742</v>
      </c>
      <c r="D1992" t="s">
        <v>1</v>
      </c>
      <c r="E1992" t="s">
        <v>1</v>
      </c>
      <c r="F1992" t="s">
        <v>0</v>
      </c>
      <c r="G1992" t="str">
        <f>"2018-10-18 15:09:52"</f>
        <v>2018-10-18 15:09:52</v>
      </c>
    </row>
    <row r="1993" spans="1:7" x14ac:dyDescent="0.2">
      <c r="A1993" t="s">
        <v>3610</v>
      </c>
      <c r="B1993" t="str">
        <f>"15977609707"</f>
        <v>15977609707</v>
      </c>
      <c r="C1993" t="str">
        <f>"452626197910100056"</f>
        <v>452626197910100056</v>
      </c>
      <c r="D1993" t="s">
        <v>3611</v>
      </c>
      <c r="E1993" t="s">
        <v>3612</v>
      </c>
      <c r="F1993" t="s">
        <v>0</v>
      </c>
      <c r="G1993" t="str">
        <f>"2018-10-18 15:07:52"</f>
        <v>2018-10-18 15:07:52</v>
      </c>
    </row>
    <row r="1994" spans="1:7" x14ac:dyDescent="0.2">
      <c r="A1994" t="s">
        <v>3613</v>
      </c>
      <c r="B1994" t="str">
        <f>"13637650892"</f>
        <v>13637650892</v>
      </c>
      <c r="C1994" t="str">
        <f>"460027199103254414"</f>
        <v>460027199103254414</v>
      </c>
      <c r="D1994" t="s">
        <v>3614</v>
      </c>
      <c r="E1994" t="s">
        <v>3615</v>
      </c>
      <c r="F1994" t="s">
        <v>0</v>
      </c>
      <c r="G1994" t="str">
        <f>"2018-10-18 15:06:56"</f>
        <v>2018-10-18 15:06:56</v>
      </c>
    </row>
    <row r="1995" spans="1:7" x14ac:dyDescent="0.2">
      <c r="A1995" t="s">
        <v>3616</v>
      </c>
      <c r="B1995" t="str">
        <f>"15869562325"</f>
        <v>15869562325</v>
      </c>
      <c r="C1995" t="str">
        <f>"41130219871014423X"</f>
        <v>41130219871014423X</v>
      </c>
      <c r="D1995" t="s">
        <v>1</v>
      </c>
      <c r="E1995" t="s">
        <v>1</v>
      </c>
      <c r="F1995" t="s">
        <v>0</v>
      </c>
      <c r="G1995" t="str">
        <f>"2018-10-18 15:08:08"</f>
        <v>2018-10-18 15:08:08</v>
      </c>
    </row>
    <row r="1996" spans="1:7" x14ac:dyDescent="0.2">
      <c r="A1996" t="s">
        <v>3617</v>
      </c>
      <c r="B1996" t="str">
        <f>"18377485710"</f>
        <v>18377485710</v>
      </c>
      <c r="C1996" t="str">
        <f>"450421198112064038"</f>
        <v>450421198112064038</v>
      </c>
      <c r="D1996" t="s">
        <v>1</v>
      </c>
      <c r="E1996" t="s">
        <v>1</v>
      </c>
      <c r="F1996" t="s">
        <v>0</v>
      </c>
      <c r="G1996" t="str">
        <f>"2018-10-18 15:05:55"</f>
        <v>2018-10-18 15:05:55</v>
      </c>
    </row>
    <row r="1997" spans="1:7" x14ac:dyDescent="0.2">
      <c r="A1997" t="s">
        <v>3618</v>
      </c>
      <c r="B1997" t="str">
        <f>"17662461812"</f>
        <v>17662461812</v>
      </c>
      <c r="C1997" t="str">
        <f>"371421198810042478"</f>
        <v>371421198810042478</v>
      </c>
      <c r="D1997" t="s">
        <v>3619</v>
      </c>
      <c r="E1997" t="s">
        <v>3620</v>
      </c>
      <c r="F1997" t="s">
        <v>0</v>
      </c>
      <c r="G1997" t="str">
        <f>"2018-10-18 15:06:15"</f>
        <v>2018-10-18 15:06:15</v>
      </c>
    </row>
    <row r="1998" spans="1:7" x14ac:dyDescent="0.2">
      <c r="A1998" t="s">
        <v>855</v>
      </c>
      <c r="B1998" t="str">
        <f>"15247700803"</f>
        <v>15247700803</v>
      </c>
      <c r="C1998" t="str">
        <f>"152722199403012148"</f>
        <v>152722199403012148</v>
      </c>
      <c r="D1998" t="s">
        <v>1</v>
      </c>
      <c r="E1998" t="s">
        <v>1</v>
      </c>
      <c r="F1998" t="s">
        <v>0</v>
      </c>
      <c r="G1998" t="str">
        <f>"2018-10-29 14:58:10"</f>
        <v>2018-10-29 14:58:10</v>
      </c>
    </row>
    <row r="1999" spans="1:7" x14ac:dyDescent="0.2">
      <c r="A1999" t="s">
        <v>1</v>
      </c>
      <c r="B1999" t="str">
        <f>"18893728723"</f>
        <v>18893728723</v>
      </c>
      <c r="C1999" t="s">
        <v>1</v>
      </c>
      <c r="D1999" t="s">
        <v>1</v>
      </c>
      <c r="E1999" t="s">
        <v>1</v>
      </c>
      <c r="F1999" t="s">
        <v>0</v>
      </c>
      <c r="G1999" t="str">
        <f>"2018-10-18 15:04:40"</f>
        <v>2018-10-18 15:04:40</v>
      </c>
    </row>
    <row r="2000" spans="1:7" x14ac:dyDescent="0.2">
      <c r="A2000" t="s">
        <v>3621</v>
      </c>
      <c r="B2000" t="str">
        <f>"13527337537"</f>
        <v>13527337537</v>
      </c>
      <c r="C2000" t="str">
        <f>"500103198703072916"</f>
        <v>500103198703072916</v>
      </c>
      <c r="D2000" t="s">
        <v>1</v>
      </c>
      <c r="E2000" t="s">
        <v>1</v>
      </c>
      <c r="F2000" t="s">
        <v>0</v>
      </c>
      <c r="G2000" t="str">
        <f>"2018-10-18 15:11:55"</f>
        <v>2018-10-18 15:11:55</v>
      </c>
    </row>
    <row r="2001" spans="1:7" x14ac:dyDescent="0.2">
      <c r="A2001" t="s">
        <v>1567</v>
      </c>
      <c r="B2001" t="str">
        <f>"17723949378"</f>
        <v>17723949378</v>
      </c>
      <c r="C2001" t="str">
        <f>"500233198806035513"</f>
        <v>500233198806035513</v>
      </c>
      <c r="D2001" t="s">
        <v>3622</v>
      </c>
      <c r="E2001" t="s">
        <v>3623</v>
      </c>
      <c r="F2001" t="s">
        <v>0</v>
      </c>
      <c r="G2001" t="str">
        <f>"2018-10-18 15:05:44"</f>
        <v>2018-10-18 15:05:44</v>
      </c>
    </row>
    <row r="2002" spans="1:7" x14ac:dyDescent="0.2">
      <c r="A2002" t="s">
        <v>3624</v>
      </c>
      <c r="B2002" t="str">
        <f>"18223673993"</f>
        <v>18223673993</v>
      </c>
      <c r="C2002" t="str">
        <f>"511224198112313474"</f>
        <v>511224198112313474</v>
      </c>
      <c r="D2002" t="s">
        <v>1</v>
      </c>
      <c r="E2002" t="s">
        <v>1</v>
      </c>
      <c r="F2002" t="s">
        <v>0</v>
      </c>
      <c r="G2002" t="str">
        <f>"2018-10-18 17:30:36"</f>
        <v>2018-10-18 17:30:36</v>
      </c>
    </row>
    <row r="2003" spans="1:7" x14ac:dyDescent="0.2">
      <c r="A2003" t="s">
        <v>1</v>
      </c>
      <c r="B2003" t="str">
        <f>"17857376248"</f>
        <v>17857376248</v>
      </c>
      <c r="C2003" t="s">
        <v>1</v>
      </c>
      <c r="D2003" t="s">
        <v>1</v>
      </c>
      <c r="E2003" t="s">
        <v>1</v>
      </c>
      <c r="F2003" t="s">
        <v>0</v>
      </c>
      <c r="G2003" t="str">
        <f>"2018-10-18 15:07:12"</f>
        <v>2018-10-18 15:07:12</v>
      </c>
    </row>
    <row r="2004" spans="1:7" x14ac:dyDescent="0.2">
      <c r="A2004" t="s">
        <v>3625</v>
      </c>
      <c r="B2004" t="str">
        <f>"17620370074"</f>
        <v>17620370074</v>
      </c>
      <c r="C2004" t="str">
        <f>"513029199107120798"</f>
        <v>513029199107120798</v>
      </c>
      <c r="D2004" t="s">
        <v>1</v>
      </c>
      <c r="E2004" t="s">
        <v>1</v>
      </c>
      <c r="F2004" t="s">
        <v>0</v>
      </c>
      <c r="G2004" t="str">
        <f>"2018-10-19 19:40:30"</f>
        <v>2018-10-19 19:40:30</v>
      </c>
    </row>
    <row r="2005" spans="1:7" x14ac:dyDescent="0.2">
      <c r="A2005" t="s">
        <v>3626</v>
      </c>
      <c r="B2005" t="str">
        <f>"18376805860"</f>
        <v>18376805860</v>
      </c>
      <c r="C2005" t="str">
        <f>"45212419810603091X"</f>
        <v>45212419810603091X</v>
      </c>
      <c r="D2005" t="s">
        <v>3627</v>
      </c>
      <c r="E2005" t="s">
        <v>3628</v>
      </c>
      <c r="F2005" t="s">
        <v>0</v>
      </c>
      <c r="G2005" t="str">
        <f>"2018-11-03 08:28:31"</f>
        <v>2018-11-03 08:28:31</v>
      </c>
    </row>
    <row r="2006" spans="1:7" x14ac:dyDescent="0.2">
      <c r="A2006" t="s">
        <v>3629</v>
      </c>
      <c r="B2006" t="str">
        <f>"15980802515"</f>
        <v>15980802515</v>
      </c>
      <c r="C2006" t="str">
        <f>"35022119800206151X"</f>
        <v>35022119800206151X</v>
      </c>
      <c r="D2006" t="s">
        <v>1</v>
      </c>
      <c r="E2006" t="s">
        <v>1</v>
      </c>
      <c r="F2006" t="s">
        <v>0</v>
      </c>
      <c r="G2006" t="str">
        <f>"2018-10-18 15:06:48"</f>
        <v>2018-10-18 15:06:48</v>
      </c>
    </row>
    <row r="2007" spans="1:7" x14ac:dyDescent="0.2">
      <c r="A2007" t="s">
        <v>571</v>
      </c>
      <c r="B2007" t="str">
        <f>"15822548362"</f>
        <v>15822548362</v>
      </c>
      <c r="C2007" t="str">
        <f>"120102198804063237"</f>
        <v>120102198804063237</v>
      </c>
      <c r="D2007" t="s">
        <v>3630</v>
      </c>
      <c r="E2007" t="s">
        <v>3631</v>
      </c>
      <c r="F2007" t="s">
        <v>0</v>
      </c>
      <c r="G2007" t="str">
        <f>"2018-10-18 15:07:12"</f>
        <v>2018-10-18 15:07:12</v>
      </c>
    </row>
    <row r="2008" spans="1:7" x14ac:dyDescent="0.2">
      <c r="A2008" t="s">
        <v>3632</v>
      </c>
      <c r="B2008" t="str">
        <f>"15037223138"</f>
        <v>15037223138</v>
      </c>
      <c r="C2008" t="str">
        <f>"410521199210121537"</f>
        <v>410521199210121537</v>
      </c>
      <c r="D2008" t="s">
        <v>1</v>
      </c>
      <c r="E2008" t="s">
        <v>1</v>
      </c>
      <c r="F2008" t="s">
        <v>0</v>
      </c>
      <c r="G2008" t="str">
        <f>"2018-10-18 15:04:25"</f>
        <v>2018-10-18 15:04:25</v>
      </c>
    </row>
    <row r="2009" spans="1:7" x14ac:dyDescent="0.2">
      <c r="A2009" t="s">
        <v>3633</v>
      </c>
      <c r="B2009" t="str">
        <f>"18264345537"</f>
        <v>18264345537</v>
      </c>
      <c r="C2009" t="str">
        <f>"62232219910806224X"</f>
        <v>62232219910806224X</v>
      </c>
      <c r="D2009" t="s">
        <v>1</v>
      </c>
      <c r="E2009" t="s">
        <v>1</v>
      </c>
      <c r="F2009" t="s">
        <v>0</v>
      </c>
      <c r="G2009" t="str">
        <f>"2018-10-18 15:07:02"</f>
        <v>2018-10-18 15:07:02</v>
      </c>
    </row>
    <row r="2010" spans="1:7" x14ac:dyDescent="0.2">
      <c r="A2010" t="s">
        <v>1021</v>
      </c>
      <c r="B2010" t="str">
        <f>"17740373417"</f>
        <v>17740373417</v>
      </c>
      <c r="C2010" t="str">
        <f>"130981199512280032"</f>
        <v>130981199512280032</v>
      </c>
      <c r="D2010" t="s">
        <v>1</v>
      </c>
      <c r="E2010" t="s">
        <v>1</v>
      </c>
      <c r="F2010" t="s">
        <v>0</v>
      </c>
      <c r="G2010" t="str">
        <f>"2018-10-18 15:05:38"</f>
        <v>2018-10-18 15:05:38</v>
      </c>
    </row>
    <row r="2011" spans="1:7" x14ac:dyDescent="0.2">
      <c r="A2011" t="s">
        <v>1</v>
      </c>
      <c r="B2011" t="str">
        <f>"13919688717"</f>
        <v>13919688717</v>
      </c>
      <c r="C2011" t="s">
        <v>1</v>
      </c>
      <c r="D2011" t="s">
        <v>1</v>
      </c>
      <c r="E2011" t="s">
        <v>1</v>
      </c>
      <c r="F2011" t="s">
        <v>0</v>
      </c>
      <c r="G2011" t="str">
        <f>"2018-10-18 15:25:01"</f>
        <v>2018-10-18 15:25:01</v>
      </c>
    </row>
    <row r="2012" spans="1:7" x14ac:dyDescent="0.2">
      <c r="A2012" t="s">
        <v>1</v>
      </c>
      <c r="B2012" t="str">
        <f>"18833320122"</f>
        <v>18833320122</v>
      </c>
      <c r="C2012" t="s">
        <v>1</v>
      </c>
      <c r="D2012" t="s">
        <v>1</v>
      </c>
      <c r="E2012" t="s">
        <v>1</v>
      </c>
      <c r="F2012" t="s">
        <v>0</v>
      </c>
      <c r="G2012" t="str">
        <f>"2018-10-18 15:04:09"</f>
        <v>2018-10-18 15:04:09</v>
      </c>
    </row>
    <row r="2013" spans="1:7" x14ac:dyDescent="0.2">
      <c r="A2013" t="s">
        <v>1</v>
      </c>
      <c r="B2013" t="str">
        <f>"13073875114"</f>
        <v>13073875114</v>
      </c>
      <c r="C2013" t="s">
        <v>1</v>
      </c>
      <c r="D2013" t="s">
        <v>1</v>
      </c>
      <c r="E2013" t="s">
        <v>1</v>
      </c>
      <c r="F2013" t="s">
        <v>0</v>
      </c>
      <c r="G2013" t="str">
        <f>"2018-10-18 15:04:08"</f>
        <v>2018-10-18 15:04:08</v>
      </c>
    </row>
    <row r="2014" spans="1:7" x14ac:dyDescent="0.2">
      <c r="A2014" t="s">
        <v>3634</v>
      </c>
      <c r="B2014" t="str">
        <f>"13508730085"</f>
        <v>13508730085</v>
      </c>
      <c r="C2014" t="str">
        <f>"532522198803010323"</f>
        <v>532522198803010323</v>
      </c>
      <c r="D2014" t="s">
        <v>1</v>
      </c>
      <c r="E2014" t="s">
        <v>1</v>
      </c>
      <c r="F2014" t="s">
        <v>0</v>
      </c>
      <c r="G2014" t="str">
        <f>"2018-10-26 13:03:07"</f>
        <v>2018-10-26 13:03:07</v>
      </c>
    </row>
    <row r="2015" spans="1:7" x14ac:dyDescent="0.2">
      <c r="A2015" t="s">
        <v>1</v>
      </c>
      <c r="B2015" t="str">
        <f>"18390669611"</f>
        <v>18390669611</v>
      </c>
      <c r="C2015" t="s">
        <v>1</v>
      </c>
      <c r="D2015" t="s">
        <v>1</v>
      </c>
      <c r="E2015" t="s">
        <v>1</v>
      </c>
      <c r="F2015" t="s">
        <v>0</v>
      </c>
      <c r="G2015" t="str">
        <f>"2018-10-18 15:04:03"</f>
        <v>2018-10-18 15:04:03</v>
      </c>
    </row>
    <row r="2016" spans="1:7" x14ac:dyDescent="0.2">
      <c r="A2016" t="s">
        <v>3635</v>
      </c>
      <c r="B2016" t="str">
        <f>"15171038571"</f>
        <v>15171038571</v>
      </c>
      <c r="C2016" t="str">
        <f>"422801199402221019"</f>
        <v>422801199402221019</v>
      </c>
      <c r="D2016" t="s">
        <v>1</v>
      </c>
      <c r="E2016" t="s">
        <v>1</v>
      </c>
      <c r="F2016" t="s">
        <v>0</v>
      </c>
      <c r="G2016" t="str">
        <f>"2018-10-18 15:05:48"</f>
        <v>2018-10-18 15:05:48</v>
      </c>
    </row>
    <row r="2017" spans="1:7" x14ac:dyDescent="0.2">
      <c r="A2017" t="s">
        <v>3636</v>
      </c>
      <c r="B2017" t="str">
        <f>"15647703298"</f>
        <v>15647703298</v>
      </c>
      <c r="C2017" t="str">
        <f>"140511198105083118"</f>
        <v>140511198105083118</v>
      </c>
      <c r="D2017" t="s">
        <v>1</v>
      </c>
      <c r="E2017" t="s">
        <v>1</v>
      </c>
      <c r="F2017" t="s">
        <v>0</v>
      </c>
      <c r="G2017" t="str">
        <f>"2018-10-18 15:26:18"</f>
        <v>2018-10-18 15:26:18</v>
      </c>
    </row>
    <row r="2018" spans="1:7" x14ac:dyDescent="0.2">
      <c r="A2018" t="s">
        <v>3637</v>
      </c>
      <c r="B2018" t="str">
        <f>"18873823866"</f>
        <v>18873823866</v>
      </c>
      <c r="C2018" t="str">
        <f>"432524198807017011"</f>
        <v>432524198807017011</v>
      </c>
      <c r="D2018" t="s">
        <v>3638</v>
      </c>
      <c r="E2018" t="s">
        <v>3639</v>
      </c>
      <c r="F2018" t="s">
        <v>0</v>
      </c>
      <c r="G2018" t="str">
        <f>"2018-10-18 15:05:24"</f>
        <v>2018-10-18 15:05:24</v>
      </c>
    </row>
    <row r="2019" spans="1:7" x14ac:dyDescent="0.2">
      <c r="A2019" t="s">
        <v>3640</v>
      </c>
      <c r="B2019" t="str">
        <f>"15890629423"</f>
        <v>15890629423</v>
      </c>
      <c r="C2019" t="str">
        <f>"410185198906264013"</f>
        <v>410185198906264013</v>
      </c>
      <c r="D2019" t="s">
        <v>1</v>
      </c>
      <c r="E2019" t="s">
        <v>1</v>
      </c>
      <c r="F2019" t="s">
        <v>0</v>
      </c>
      <c r="G2019" t="str">
        <f>"2018-10-18 15:05:45"</f>
        <v>2018-10-18 15:05:45</v>
      </c>
    </row>
    <row r="2020" spans="1:7" x14ac:dyDescent="0.2">
      <c r="A2020" t="s">
        <v>1850</v>
      </c>
      <c r="B2020" t="str">
        <f>"15861377893"</f>
        <v>15861377893</v>
      </c>
      <c r="C2020" t="str">
        <f>"321023199209042019"</f>
        <v>321023199209042019</v>
      </c>
      <c r="D2020" t="s">
        <v>1</v>
      </c>
      <c r="E2020" t="s">
        <v>1</v>
      </c>
      <c r="F2020" t="s">
        <v>0</v>
      </c>
      <c r="G2020" t="str">
        <f>"2018-10-18 15:04:33"</f>
        <v>2018-10-18 15:04:33</v>
      </c>
    </row>
    <row r="2021" spans="1:7" x14ac:dyDescent="0.2">
      <c r="A2021" t="s">
        <v>3641</v>
      </c>
      <c r="B2021" t="str">
        <f>"15805376165"</f>
        <v>15805376165</v>
      </c>
      <c r="C2021" t="str">
        <f>"130121198609221819"</f>
        <v>130121198609221819</v>
      </c>
      <c r="D2021" t="s">
        <v>1</v>
      </c>
      <c r="E2021" t="s">
        <v>1</v>
      </c>
      <c r="F2021" t="s">
        <v>0</v>
      </c>
      <c r="G2021" t="str">
        <f>"2018-10-19 15:16:44"</f>
        <v>2018-10-19 15:16:44</v>
      </c>
    </row>
    <row r="2022" spans="1:7" x14ac:dyDescent="0.2">
      <c r="A2022" t="s">
        <v>3642</v>
      </c>
      <c r="B2022" t="str">
        <f>"18177918185"</f>
        <v>18177918185</v>
      </c>
      <c r="C2022" t="str">
        <f>"450521199002284822"</f>
        <v>450521199002284822</v>
      </c>
      <c r="D2022" t="s">
        <v>1</v>
      </c>
      <c r="E2022" t="s">
        <v>1</v>
      </c>
      <c r="F2022" t="s">
        <v>0</v>
      </c>
      <c r="G2022" t="str">
        <f>"2018-10-18 15:08:59"</f>
        <v>2018-10-18 15:08:59</v>
      </c>
    </row>
    <row r="2023" spans="1:7" x14ac:dyDescent="0.2">
      <c r="A2023" t="s">
        <v>1</v>
      </c>
      <c r="B2023" t="str">
        <f>"15264340596"</f>
        <v>15264340596</v>
      </c>
      <c r="C2023" t="s">
        <v>1</v>
      </c>
      <c r="D2023" t="s">
        <v>1</v>
      </c>
      <c r="E2023" t="s">
        <v>1</v>
      </c>
      <c r="F2023" t="s">
        <v>0</v>
      </c>
      <c r="G2023" t="str">
        <f>"2018-10-18 15:05:56"</f>
        <v>2018-10-18 15:05:56</v>
      </c>
    </row>
    <row r="2024" spans="1:7" x14ac:dyDescent="0.2">
      <c r="A2024" t="s">
        <v>3643</v>
      </c>
      <c r="B2024" t="str">
        <f>"15961200599"</f>
        <v>15961200599</v>
      </c>
      <c r="C2024" t="str">
        <f>"320483199410264913"</f>
        <v>320483199410264913</v>
      </c>
      <c r="D2024" t="s">
        <v>1</v>
      </c>
      <c r="E2024" t="s">
        <v>1</v>
      </c>
      <c r="F2024" t="s">
        <v>0</v>
      </c>
      <c r="G2024" t="str">
        <f>"2018-10-18 15:04:20"</f>
        <v>2018-10-18 15:04:20</v>
      </c>
    </row>
    <row r="2025" spans="1:7" x14ac:dyDescent="0.2">
      <c r="A2025" t="s">
        <v>3644</v>
      </c>
      <c r="B2025" t="str">
        <f>"13133600004"</f>
        <v>13133600004</v>
      </c>
      <c r="C2025" t="str">
        <f>"622301199410024015"</f>
        <v>622301199410024015</v>
      </c>
      <c r="D2025" t="s">
        <v>3645</v>
      </c>
      <c r="E2025" t="s">
        <v>3646</v>
      </c>
      <c r="F2025" t="s">
        <v>0</v>
      </c>
      <c r="G2025" t="str">
        <f>"2018-10-18 15:07:44"</f>
        <v>2018-10-18 15:07:44</v>
      </c>
    </row>
    <row r="2026" spans="1:7" x14ac:dyDescent="0.2">
      <c r="A2026" t="s">
        <v>3647</v>
      </c>
      <c r="B2026" t="str">
        <f>"13559838450"</f>
        <v>13559838450</v>
      </c>
      <c r="C2026" t="str">
        <f>"350784198307130021"</f>
        <v>350784198307130021</v>
      </c>
      <c r="D2026" t="s">
        <v>3648</v>
      </c>
      <c r="E2026" t="s">
        <v>3649</v>
      </c>
      <c r="F2026" t="s">
        <v>0</v>
      </c>
      <c r="G2026" t="str">
        <f>"2018-10-18 15:34:37"</f>
        <v>2018-10-18 15:34:37</v>
      </c>
    </row>
    <row r="2027" spans="1:7" x14ac:dyDescent="0.2">
      <c r="A2027" t="s">
        <v>3650</v>
      </c>
      <c r="B2027" t="str">
        <f>"18974417668"</f>
        <v>18974417668</v>
      </c>
      <c r="C2027" t="str">
        <f>"430822198405063797"</f>
        <v>430822198405063797</v>
      </c>
      <c r="D2027" t="s">
        <v>1</v>
      </c>
      <c r="E2027" t="s">
        <v>1</v>
      </c>
      <c r="F2027" t="s">
        <v>0</v>
      </c>
      <c r="G2027" t="str">
        <f>"2018-10-18 15:13:01"</f>
        <v>2018-10-18 15:13:01</v>
      </c>
    </row>
    <row r="2028" spans="1:7" x14ac:dyDescent="0.2">
      <c r="A2028" t="s">
        <v>3651</v>
      </c>
      <c r="B2028" t="str">
        <f>"15735506175"</f>
        <v>15735506175</v>
      </c>
      <c r="C2028" t="str">
        <f>"140430199007054821"</f>
        <v>140430199007054821</v>
      </c>
      <c r="D2028" t="s">
        <v>1</v>
      </c>
      <c r="E2028" t="s">
        <v>1</v>
      </c>
      <c r="F2028" t="s">
        <v>0</v>
      </c>
      <c r="G2028" t="str">
        <f>"2018-10-18 15:06:19"</f>
        <v>2018-10-18 15:06:19</v>
      </c>
    </row>
    <row r="2029" spans="1:7" x14ac:dyDescent="0.2">
      <c r="A2029" t="s">
        <v>3652</v>
      </c>
      <c r="B2029" t="str">
        <f>"13340171027"</f>
        <v>13340171027</v>
      </c>
      <c r="C2029" t="str">
        <f>"360721199010277226"</f>
        <v>360721199010277226</v>
      </c>
      <c r="D2029" t="s">
        <v>1</v>
      </c>
      <c r="E2029" t="s">
        <v>1</v>
      </c>
      <c r="F2029" t="s">
        <v>0</v>
      </c>
      <c r="G2029" t="str">
        <f>"2018-10-18 15:04:39"</f>
        <v>2018-10-18 15:04:39</v>
      </c>
    </row>
    <row r="2030" spans="1:7" x14ac:dyDescent="0.2">
      <c r="A2030" t="s">
        <v>3653</v>
      </c>
      <c r="B2030" t="str">
        <f>"13751289577"</f>
        <v>13751289577</v>
      </c>
      <c r="C2030" t="str">
        <f>"430581198402181513"</f>
        <v>430581198402181513</v>
      </c>
      <c r="D2030" t="s">
        <v>1</v>
      </c>
      <c r="E2030" t="s">
        <v>1</v>
      </c>
      <c r="F2030" t="s">
        <v>0</v>
      </c>
      <c r="G2030" t="str">
        <f>"2018-10-18 15:04:44"</f>
        <v>2018-10-18 15:04:44</v>
      </c>
    </row>
    <row r="2031" spans="1:7" x14ac:dyDescent="0.2">
      <c r="A2031" t="s">
        <v>3654</v>
      </c>
      <c r="B2031" t="str">
        <f>"13776599987"</f>
        <v>13776599987</v>
      </c>
      <c r="C2031" t="str">
        <f>"320706198903111017"</f>
        <v>320706198903111017</v>
      </c>
      <c r="D2031" t="s">
        <v>1</v>
      </c>
      <c r="E2031" t="s">
        <v>1</v>
      </c>
      <c r="F2031" t="s">
        <v>0</v>
      </c>
      <c r="G2031" t="str">
        <f>"2018-10-18 15:13:20"</f>
        <v>2018-10-18 15:13:20</v>
      </c>
    </row>
    <row r="2032" spans="1:7" x14ac:dyDescent="0.2">
      <c r="A2032" t="s">
        <v>3655</v>
      </c>
      <c r="B2032" t="str">
        <f>"18022926890"</f>
        <v>18022926890</v>
      </c>
      <c r="C2032" t="str">
        <f>"440782199102127332"</f>
        <v>440782199102127332</v>
      </c>
      <c r="D2032" t="s">
        <v>1</v>
      </c>
      <c r="E2032" t="s">
        <v>1</v>
      </c>
      <c r="F2032" t="s">
        <v>0</v>
      </c>
      <c r="G2032" t="str">
        <f>"2018-10-18 16:54:22"</f>
        <v>2018-10-18 16:54:22</v>
      </c>
    </row>
    <row r="2033" spans="1:7" x14ac:dyDescent="0.2">
      <c r="A2033" t="s">
        <v>3656</v>
      </c>
      <c r="B2033" t="str">
        <f>"15963052709"</f>
        <v>15963052709</v>
      </c>
      <c r="C2033" t="str">
        <f>"370881198802280801"</f>
        <v>370881198802280801</v>
      </c>
      <c r="D2033" t="s">
        <v>1</v>
      </c>
      <c r="E2033" t="s">
        <v>1</v>
      </c>
      <c r="F2033" t="s">
        <v>0</v>
      </c>
      <c r="G2033" t="str">
        <f>"2018-10-18 15:14:43"</f>
        <v>2018-10-18 15:14:43</v>
      </c>
    </row>
    <row r="2034" spans="1:7" x14ac:dyDescent="0.2">
      <c r="A2034" t="s">
        <v>1</v>
      </c>
      <c r="B2034" t="str">
        <f>"13087977665"</f>
        <v>13087977665</v>
      </c>
      <c r="C2034" t="s">
        <v>1</v>
      </c>
      <c r="D2034" t="s">
        <v>1</v>
      </c>
      <c r="E2034" t="s">
        <v>1</v>
      </c>
      <c r="F2034" t="s">
        <v>0</v>
      </c>
      <c r="G2034" t="str">
        <f>"2018-10-18 15:04:17"</f>
        <v>2018-10-18 15:04:17</v>
      </c>
    </row>
    <row r="2035" spans="1:7" x14ac:dyDescent="0.2">
      <c r="A2035" t="s">
        <v>1</v>
      </c>
      <c r="B2035" t="str">
        <f>"13008985344"</f>
        <v>13008985344</v>
      </c>
      <c r="C2035" t="s">
        <v>1</v>
      </c>
      <c r="D2035" t="s">
        <v>1</v>
      </c>
      <c r="E2035" t="s">
        <v>1</v>
      </c>
      <c r="F2035" t="s">
        <v>0</v>
      </c>
      <c r="G2035" t="str">
        <f>"2018-10-18 15:02:22"</f>
        <v>2018-10-18 15:02:22</v>
      </c>
    </row>
    <row r="2036" spans="1:7" x14ac:dyDescent="0.2">
      <c r="A2036" t="s">
        <v>1</v>
      </c>
      <c r="B2036" t="str">
        <f>"18346028143"</f>
        <v>18346028143</v>
      </c>
      <c r="C2036" t="s">
        <v>1</v>
      </c>
      <c r="D2036" t="s">
        <v>1</v>
      </c>
      <c r="E2036" t="s">
        <v>1</v>
      </c>
      <c r="F2036" t="s">
        <v>0</v>
      </c>
      <c r="G2036" t="str">
        <f>"2018-10-18 15:02:17"</f>
        <v>2018-10-18 15:02:17</v>
      </c>
    </row>
    <row r="2037" spans="1:7" x14ac:dyDescent="0.2">
      <c r="A2037" t="s">
        <v>3657</v>
      </c>
      <c r="B2037" t="str">
        <f>"15293725161"</f>
        <v>15293725161</v>
      </c>
      <c r="C2037" t="str">
        <f>"622102198610058624"</f>
        <v>622102198610058624</v>
      </c>
      <c r="D2037" t="s">
        <v>3658</v>
      </c>
      <c r="E2037" t="s">
        <v>3659</v>
      </c>
      <c r="F2037" t="s">
        <v>0</v>
      </c>
      <c r="G2037" t="str">
        <f>"2018-10-18 15:03:08"</f>
        <v>2018-10-18 15:03:08</v>
      </c>
    </row>
    <row r="2038" spans="1:7" x14ac:dyDescent="0.2">
      <c r="A2038" t="s">
        <v>3660</v>
      </c>
      <c r="B2038" t="str">
        <f>"15935814434"</f>
        <v>15935814434</v>
      </c>
      <c r="C2038" t="str">
        <f>"141181198107150116"</f>
        <v>141181198107150116</v>
      </c>
      <c r="D2038" t="s">
        <v>1</v>
      </c>
      <c r="E2038" t="s">
        <v>1</v>
      </c>
      <c r="F2038" t="s">
        <v>0</v>
      </c>
      <c r="G2038" t="str">
        <f>"2018-10-18 15:03:01"</f>
        <v>2018-10-18 15:03:01</v>
      </c>
    </row>
    <row r="2039" spans="1:7" x14ac:dyDescent="0.2">
      <c r="A2039" t="s">
        <v>1</v>
      </c>
      <c r="B2039" t="str">
        <f>"15234394884"</f>
        <v>15234394884</v>
      </c>
      <c r="C2039" t="s">
        <v>1</v>
      </c>
      <c r="D2039" t="s">
        <v>1</v>
      </c>
      <c r="E2039" t="s">
        <v>1</v>
      </c>
      <c r="F2039" t="s">
        <v>0</v>
      </c>
      <c r="G2039" t="str">
        <f>"2018-10-18 15:02:46"</f>
        <v>2018-10-18 15:02:46</v>
      </c>
    </row>
    <row r="2040" spans="1:7" x14ac:dyDescent="0.2">
      <c r="A2040" t="s">
        <v>3661</v>
      </c>
      <c r="B2040" t="str">
        <f>"13813676469"</f>
        <v>13813676469</v>
      </c>
      <c r="C2040" t="str">
        <f>"330182198611124313"</f>
        <v>330182198611124313</v>
      </c>
      <c r="D2040" t="s">
        <v>1</v>
      </c>
      <c r="E2040" t="s">
        <v>1</v>
      </c>
      <c r="F2040" t="s">
        <v>0</v>
      </c>
      <c r="G2040" t="str">
        <f>"2018-10-18 15:03:55"</f>
        <v>2018-10-18 15:03:55</v>
      </c>
    </row>
    <row r="2041" spans="1:7" x14ac:dyDescent="0.2">
      <c r="A2041" t="s">
        <v>183</v>
      </c>
      <c r="B2041" t="str">
        <f>"18654555656"</f>
        <v>18654555656</v>
      </c>
      <c r="C2041" t="str">
        <f>"370123199109182544"</f>
        <v>370123199109182544</v>
      </c>
      <c r="D2041" t="s">
        <v>1</v>
      </c>
      <c r="E2041" t="s">
        <v>1</v>
      </c>
      <c r="F2041" t="s">
        <v>0</v>
      </c>
      <c r="G2041" t="str">
        <f>"2018-11-03 11:26:27"</f>
        <v>2018-11-03 11:26:27</v>
      </c>
    </row>
    <row r="2042" spans="1:7" x14ac:dyDescent="0.2">
      <c r="A2042" t="s">
        <v>3662</v>
      </c>
      <c r="B2042" t="str">
        <f>"18877956667"</f>
        <v>18877956667</v>
      </c>
      <c r="C2042" t="str">
        <f>"450923198611144876"</f>
        <v>450923198611144876</v>
      </c>
      <c r="D2042" t="s">
        <v>1</v>
      </c>
      <c r="E2042" t="s">
        <v>1</v>
      </c>
      <c r="F2042" t="s">
        <v>0</v>
      </c>
      <c r="G2042" t="str">
        <f>"2018-10-18 15:04:08"</f>
        <v>2018-10-18 15:04:08</v>
      </c>
    </row>
    <row r="2043" spans="1:7" x14ac:dyDescent="0.2">
      <c r="A2043" t="s">
        <v>3663</v>
      </c>
      <c r="B2043" t="str">
        <f>"18212342365"</f>
        <v>18212342365</v>
      </c>
      <c r="C2043" t="str">
        <f>"522627198801240059"</f>
        <v>522627198801240059</v>
      </c>
      <c r="D2043" t="s">
        <v>3664</v>
      </c>
      <c r="E2043" t="s">
        <v>3665</v>
      </c>
      <c r="F2043" t="s">
        <v>0</v>
      </c>
      <c r="G2043" t="str">
        <f>"2018-10-18 15:03:24"</f>
        <v>2018-10-18 15:03:24</v>
      </c>
    </row>
    <row r="2044" spans="1:7" x14ac:dyDescent="0.2">
      <c r="A2044" t="s">
        <v>3666</v>
      </c>
      <c r="B2044" t="str">
        <f>"13546444057"</f>
        <v>13546444057</v>
      </c>
      <c r="C2044" t="str">
        <f>"142423198504201814"</f>
        <v>142423198504201814</v>
      </c>
      <c r="D2044" t="s">
        <v>1</v>
      </c>
      <c r="E2044" t="s">
        <v>1</v>
      </c>
      <c r="F2044" t="s">
        <v>0</v>
      </c>
      <c r="G2044" t="str">
        <f>"2018-10-18 15:08:05"</f>
        <v>2018-10-18 15:08:05</v>
      </c>
    </row>
    <row r="2045" spans="1:7" x14ac:dyDescent="0.2">
      <c r="A2045" t="s">
        <v>3667</v>
      </c>
      <c r="B2045" t="str">
        <f>"13504998207"</f>
        <v>13504998207</v>
      </c>
      <c r="C2045" t="str">
        <f>"210124198906212424"</f>
        <v>210124198906212424</v>
      </c>
      <c r="D2045" t="s">
        <v>1</v>
      </c>
      <c r="E2045" t="s">
        <v>1</v>
      </c>
      <c r="F2045" t="s">
        <v>0</v>
      </c>
      <c r="G2045" t="str">
        <f>"2018-10-18 15:25:56"</f>
        <v>2018-10-18 15:25:56</v>
      </c>
    </row>
    <row r="2046" spans="1:7" x14ac:dyDescent="0.2">
      <c r="A2046" t="s">
        <v>3668</v>
      </c>
      <c r="B2046" t="str">
        <f>"15582898771"</f>
        <v>15582898771</v>
      </c>
      <c r="C2046" t="str">
        <f>"142422198907240336"</f>
        <v>142422198907240336</v>
      </c>
      <c r="D2046" t="s">
        <v>3669</v>
      </c>
      <c r="E2046" t="s">
        <v>3670</v>
      </c>
      <c r="F2046" t="s">
        <v>0</v>
      </c>
      <c r="G2046" t="str">
        <f>"2018-10-18 15:04:21"</f>
        <v>2018-10-18 15:04:21</v>
      </c>
    </row>
    <row r="2047" spans="1:7" x14ac:dyDescent="0.2">
      <c r="A2047" t="s">
        <v>1</v>
      </c>
      <c r="B2047" t="str">
        <f>"18902014836"</f>
        <v>18902014836</v>
      </c>
      <c r="C2047" t="s">
        <v>1</v>
      </c>
      <c r="D2047" t="s">
        <v>1</v>
      </c>
      <c r="E2047" t="s">
        <v>1</v>
      </c>
      <c r="F2047" t="s">
        <v>0</v>
      </c>
      <c r="G2047" t="str">
        <f>"2018-10-18 17:24:10"</f>
        <v>2018-10-18 17:24:10</v>
      </c>
    </row>
    <row r="2048" spans="1:7" x14ac:dyDescent="0.2">
      <c r="A2048" t="s">
        <v>3671</v>
      </c>
      <c r="B2048" t="str">
        <f>"15863144256"</f>
        <v>15863144256</v>
      </c>
      <c r="C2048" t="str">
        <f>"370105198711253723"</f>
        <v>370105198711253723</v>
      </c>
      <c r="D2048" t="s">
        <v>1</v>
      </c>
      <c r="E2048" t="s">
        <v>1</v>
      </c>
      <c r="F2048" t="s">
        <v>0</v>
      </c>
      <c r="G2048" t="str">
        <f>"2018-10-18 16:33:32"</f>
        <v>2018-10-18 16:33:32</v>
      </c>
    </row>
    <row r="2049" spans="1:7" x14ac:dyDescent="0.2">
      <c r="A2049" t="s">
        <v>3672</v>
      </c>
      <c r="B2049" t="str">
        <f>"15175332169"</f>
        <v>15175332169</v>
      </c>
      <c r="C2049" t="str">
        <f>"43252419900510613X"</f>
        <v>43252419900510613X</v>
      </c>
      <c r="D2049" t="s">
        <v>1</v>
      </c>
      <c r="E2049" t="s">
        <v>1</v>
      </c>
      <c r="F2049" t="s">
        <v>0</v>
      </c>
      <c r="G2049" t="str">
        <f>"2018-10-18 15:01:45"</f>
        <v>2018-10-18 15:01:45</v>
      </c>
    </row>
    <row r="2050" spans="1:7" x14ac:dyDescent="0.2">
      <c r="A2050" t="s">
        <v>1</v>
      </c>
      <c r="B2050" t="str">
        <f>"13926996113"</f>
        <v>13926996113</v>
      </c>
      <c r="C2050" t="s">
        <v>1</v>
      </c>
      <c r="D2050" t="s">
        <v>1</v>
      </c>
      <c r="E2050" t="s">
        <v>1</v>
      </c>
      <c r="F2050" t="s">
        <v>0</v>
      </c>
      <c r="G2050" t="str">
        <f>"2018-10-18 15:00:22"</f>
        <v>2018-10-18 15:00:22</v>
      </c>
    </row>
    <row r="2051" spans="1:7" x14ac:dyDescent="0.2">
      <c r="A2051" t="s">
        <v>3673</v>
      </c>
      <c r="B2051" t="str">
        <f>"15903357744"</f>
        <v>15903357744</v>
      </c>
      <c r="C2051" t="str">
        <f>"130302198704175111"</f>
        <v>130302198704175111</v>
      </c>
      <c r="D2051" t="s">
        <v>3674</v>
      </c>
      <c r="E2051" t="s">
        <v>3675</v>
      </c>
      <c r="F2051" t="s">
        <v>0</v>
      </c>
      <c r="G2051" t="str">
        <f>"2018-10-18 15:11:52"</f>
        <v>2018-10-18 15:11:52</v>
      </c>
    </row>
    <row r="2052" spans="1:7" x14ac:dyDescent="0.2">
      <c r="A2052" t="s">
        <v>3676</v>
      </c>
      <c r="B2052" t="str">
        <f>"13867891318"</f>
        <v>13867891318</v>
      </c>
      <c r="C2052" t="str">
        <f>"330281198211057130"</f>
        <v>330281198211057130</v>
      </c>
      <c r="D2052" t="s">
        <v>1</v>
      </c>
      <c r="E2052" t="s">
        <v>1</v>
      </c>
      <c r="F2052" t="s">
        <v>0</v>
      </c>
      <c r="G2052" t="str">
        <f>"2018-10-18 15:04:00"</f>
        <v>2018-10-18 15:04:00</v>
      </c>
    </row>
    <row r="2053" spans="1:7" x14ac:dyDescent="0.2">
      <c r="A2053" t="s">
        <v>3677</v>
      </c>
      <c r="B2053" t="str">
        <f>"15890587209"</f>
        <v>15890587209</v>
      </c>
      <c r="C2053" t="str">
        <f>"412728198604042818"</f>
        <v>412728198604042818</v>
      </c>
      <c r="D2053" t="s">
        <v>1</v>
      </c>
      <c r="E2053" t="s">
        <v>1</v>
      </c>
      <c r="F2053" t="s">
        <v>0</v>
      </c>
      <c r="G2053" t="str">
        <f>"2018-10-18 15:01:08"</f>
        <v>2018-10-18 15:01:08</v>
      </c>
    </row>
    <row r="2054" spans="1:7" x14ac:dyDescent="0.2">
      <c r="A2054" t="s">
        <v>3678</v>
      </c>
      <c r="B2054" t="str">
        <f>"13160810309"</f>
        <v>13160810309</v>
      </c>
      <c r="C2054" t="str">
        <f>"440105198712311516"</f>
        <v>440105198712311516</v>
      </c>
      <c r="D2054" t="s">
        <v>1</v>
      </c>
      <c r="E2054" t="s">
        <v>1</v>
      </c>
      <c r="F2054" t="s">
        <v>0</v>
      </c>
      <c r="G2054" t="str">
        <f>"2018-10-18 15:11:28"</f>
        <v>2018-10-18 15:11:28</v>
      </c>
    </row>
    <row r="2055" spans="1:7" x14ac:dyDescent="0.2">
      <c r="A2055" t="s">
        <v>3679</v>
      </c>
      <c r="B2055" t="str">
        <f>"13578008961"</f>
        <v>13578008961</v>
      </c>
      <c r="C2055" t="str">
        <f>"532130198312232114"</f>
        <v>532130198312232114</v>
      </c>
      <c r="D2055" t="s">
        <v>1</v>
      </c>
      <c r="E2055" t="s">
        <v>1</v>
      </c>
      <c r="F2055" t="s">
        <v>0</v>
      </c>
      <c r="G2055" t="str">
        <f>"2018-10-18 15:01:52"</f>
        <v>2018-10-18 15:01:52</v>
      </c>
    </row>
    <row r="2056" spans="1:7" x14ac:dyDescent="0.2">
      <c r="A2056" t="s">
        <v>3680</v>
      </c>
      <c r="B2056" t="str">
        <f>"15829888191"</f>
        <v>15829888191</v>
      </c>
      <c r="C2056" t="str">
        <f>"62242519870325385X"</f>
        <v>62242519870325385X</v>
      </c>
      <c r="D2056" t="s">
        <v>3681</v>
      </c>
      <c r="E2056" t="s">
        <v>3682</v>
      </c>
      <c r="F2056" t="s">
        <v>0</v>
      </c>
      <c r="G2056" t="str">
        <f>"2018-10-18 15:00:45"</f>
        <v>2018-10-18 15:00:45</v>
      </c>
    </row>
    <row r="2057" spans="1:7" x14ac:dyDescent="0.2">
      <c r="A2057" t="s">
        <v>3683</v>
      </c>
      <c r="B2057" t="str">
        <f>"15720057959"</f>
        <v>15720057959</v>
      </c>
      <c r="C2057" t="str">
        <f>"130638199006051530"</f>
        <v>130638199006051530</v>
      </c>
      <c r="D2057" t="s">
        <v>1</v>
      </c>
      <c r="E2057" t="s">
        <v>1</v>
      </c>
      <c r="F2057" t="s">
        <v>0</v>
      </c>
      <c r="G2057" t="str">
        <f>"2018-10-18 15:01:48"</f>
        <v>2018-10-18 15:01:48</v>
      </c>
    </row>
    <row r="2058" spans="1:7" x14ac:dyDescent="0.2">
      <c r="A2058" t="s">
        <v>3684</v>
      </c>
      <c r="B2058" t="str">
        <f>"13510852533"</f>
        <v>13510852533</v>
      </c>
      <c r="C2058" t="str">
        <f>"513902199109212716"</f>
        <v>513902199109212716</v>
      </c>
      <c r="D2058" t="s">
        <v>1</v>
      </c>
      <c r="E2058" t="s">
        <v>1</v>
      </c>
      <c r="F2058" t="s">
        <v>0</v>
      </c>
      <c r="G2058" t="str">
        <f>"2018-10-18 15:08:29"</f>
        <v>2018-10-18 15:08:29</v>
      </c>
    </row>
    <row r="2059" spans="1:7" x14ac:dyDescent="0.2">
      <c r="A2059" t="s">
        <v>1</v>
      </c>
      <c r="B2059" t="str">
        <f>"13221934479"</f>
        <v>13221934479</v>
      </c>
      <c r="C2059" t="s">
        <v>1</v>
      </c>
      <c r="D2059" t="s">
        <v>1</v>
      </c>
      <c r="E2059" t="s">
        <v>1</v>
      </c>
      <c r="F2059" t="s">
        <v>0</v>
      </c>
      <c r="G2059" t="str">
        <f>"2018-10-18 14:59:28"</f>
        <v>2018-10-18 14:59:28</v>
      </c>
    </row>
    <row r="2060" spans="1:7" x14ac:dyDescent="0.2">
      <c r="A2060" t="s">
        <v>3685</v>
      </c>
      <c r="B2060" t="str">
        <f>"15138003097"</f>
        <v>15138003097</v>
      </c>
      <c r="C2060" t="str">
        <f>"410821199209090100"</f>
        <v>410821199209090100</v>
      </c>
      <c r="D2060" t="s">
        <v>1</v>
      </c>
      <c r="E2060" t="s">
        <v>1</v>
      </c>
      <c r="F2060" t="s">
        <v>0</v>
      </c>
      <c r="G2060" t="str">
        <f>"2018-10-18 15:01:27"</f>
        <v>2018-10-18 15:01:27</v>
      </c>
    </row>
    <row r="2061" spans="1:7" x14ac:dyDescent="0.2">
      <c r="A2061" t="s">
        <v>3686</v>
      </c>
      <c r="B2061" t="str">
        <f>"18079706660"</f>
        <v>18079706660</v>
      </c>
      <c r="C2061" t="str">
        <f>"360731199803176911"</f>
        <v>360731199803176911</v>
      </c>
      <c r="D2061" t="s">
        <v>1</v>
      </c>
      <c r="E2061" t="s">
        <v>1</v>
      </c>
      <c r="F2061" t="s">
        <v>0</v>
      </c>
      <c r="G2061" t="str">
        <f>"2018-10-18 14:59:19"</f>
        <v>2018-10-18 14:59:19</v>
      </c>
    </row>
    <row r="2062" spans="1:7" x14ac:dyDescent="0.2">
      <c r="A2062" t="s">
        <v>1</v>
      </c>
      <c r="B2062" t="str">
        <f>"13076714871"</f>
        <v>13076714871</v>
      </c>
      <c r="C2062" t="s">
        <v>1</v>
      </c>
      <c r="D2062" t="s">
        <v>1</v>
      </c>
      <c r="E2062" t="s">
        <v>1</v>
      </c>
      <c r="F2062" t="s">
        <v>0</v>
      </c>
      <c r="G2062" t="str">
        <f>"2018-10-18 15:00:17"</f>
        <v>2018-10-18 15:00:17</v>
      </c>
    </row>
    <row r="2063" spans="1:7" x14ac:dyDescent="0.2">
      <c r="A2063" t="s">
        <v>3687</v>
      </c>
      <c r="B2063" t="str">
        <f>"18633120685"</f>
        <v>18633120685</v>
      </c>
      <c r="C2063" t="str">
        <f>"130203198610270338"</f>
        <v>130203198610270338</v>
      </c>
      <c r="D2063" t="s">
        <v>3688</v>
      </c>
      <c r="E2063" t="s">
        <v>3689</v>
      </c>
      <c r="F2063" t="s">
        <v>0</v>
      </c>
      <c r="G2063" t="str">
        <f>"2018-10-21 15:12:18"</f>
        <v>2018-10-21 15:12:18</v>
      </c>
    </row>
    <row r="2064" spans="1:7" x14ac:dyDescent="0.2">
      <c r="A2064" t="s">
        <v>3690</v>
      </c>
      <c r="B2064" t="str">
        <f>"15828067705"</f>
        <v>15828067705</v>
      </c>
      <c r="C2064" t="str">
        <f>"510183199602065125"</f>
        <v>510183199602065125</v>
      </c>
      <c r="D2064" t="s">
        <v>1</v>
      </c>
      <c r="E2064" t="s">
        <v>1</v>
      </c>
      <c r="F2064" t="s">
        <v>0</v>
      </c>
      <c r="G2064" t="str">
        <f>"2018-10-18 15:03:01"</f>
        <v>2018-10-18 15:03:01</v>
      </c>
    </row>
    <row r="2065" spans="1:7" x14ac:dyDescent="0.2">
      <c r="A2065" t="s">
        <v>1090</v>
      </c>
      <c r="B2065" t="str">
        <f>"13915559456"</f>
        <v>13915559456</v>
      </c>
      <c r="C2065" t="str">
        <f>"320586198111067610"</f>
        <v>320586198111067610</v>
      </c>
      <c r="D2065" t="s">
        <v>1</v>
      </c>
      <c r="E2065" t="s">
        <v>1</v>
      </c>
      <c r="F2065" t="s">
        <v>0</v>
      </c>
      <c r="G2065" t="str">
        <f>"2018-10-18 15:00:42"</f>
        <v>2018-10-18 15:00:42</v>
      </c>
    </row>
    <row r="2066" spans="1:7" x14ac:dyDescent="0.2">
      <c r="A2066" t="s">
        <v>120</v>
      </c>
      <c r="B2066" t="str">
        <f>"18771105820"</f>
        <v>18771105820</v>
      </c>
      <c r="C2066" t="str">
        <f>"421181199909294412"</f>
        <v>421181199909294412</v>
      </c>
      <c r="D2066" t="s">
        <v>1</v>
      </c>
      <c r="E2066" t="s">
        <v>1</v>
      </c>
      <c r="F2066" t="s">
        <v>0</v>
      </c>
      <c r="G2066" t="str">
        <f>"2018-10-18 15:03:52"</f>
        <v>2018-10-18 15:03:52</v>
      </c>
    </row>
    <row r="2067" spans="1:7" x14ac:dyDescent="0.2">
      <c r="A2067" t="s">
        <v>1</v>
      </c>
      <c r="B2067" t="str">
        <f>"15997873060"</f>
        <v>15997873060</v>
      </c>
      <c r="C2067" t="s">
        <v>1</v>
      </c>
      <c r="D2067" t="s">
        <v>1</v>
      </c>
      <c r="E2067" t="s">
        <v>1</v>
      </c>
      <c r="F2067" t="s">
        <v>0</v>
      </c>
      <c r="G2067" t="str">
        <f>"2018-10-18 14:58:45"</f>
        <v>2018-10-18 14:58:45</v>
      </c>
    </row>
    <row r="2068" spans="1:7" x14ac:dyDescent="0.2">
      <c r="A2068" t="s">
        <v>3691</v>
      </c>
      <c r="B2068" t="str">
        <f>"18584819072"</f>
        <v>18584819072</v>
      </c>
      <c r="C2068" t="str">
        <f>"152628198602023032"</f>
        <v>152628198602023032</v>
      </c>
      <c r="D2068" t="s">
        <v>1</v>
      </c>
      <c r="E2068" t="s">
        <v>1</v>
      </c>
      <c r="F2068" t="s">
        <v>0</v>
      </c>
      <c r="G2068" t="str">
        <f>"2018-10-18 14:59:40"</f>
        <v>2018-10-18 14:59:40</v>
      </c>
    </row>
    <row r="2069" spans="1:7" x14ac:dyDescent="0.2">
      <c r="A2069" t="s">
        <v>3692</v>
      </c>
      <c r="B2069" t="str">
        <f>"13792392117"</f>
        <v>13792392117</v>
      </c>
      <c r="C2069" t="str">
        <f>"370827198710012019"</f>
        <v>370827198710012019</v>
      </c>
      <c r="D2069" t="s">
        <v>1</v>
      </c>
      <c r="E2069" t="s">
        <v>1</v>
      </c>
      <c r="F2069" t="s">
        <v>0</v>
      </c>
      <c r="G2069" t="str">
        <f>"2018-10-18 15:01:13"</f>
        <v>2018-10-18 15:01:13</v>
      </c>
    </row>
    <row r="2070" spans="1:7" x14ac:dyDescent="0.2">
      <c r="A2070" t="s">
        <v>1</v>
      </c>
      <c r="B2070" t="str">
        <f>"15022501646"</f>
        <v>15022501646</v>
      </c>
      <c r="C2070" t="s">
        <v>1</v>
      </c>
      <c r="D2070" t="s">
        <v>1</v>
      </c>
      <c r="E2070" t="s">
        <v>1</v>
      </c>
      <c r="F2070" t="s">
        <v>0</v>
      </c>
      <c r="G2070" t="str">
        <f>"2018-10-18 14:59:40"</f>
        <v>2018-10-18 14:59:40</v>
      </c>
    </row>
    <row r="2071" spans="1:7" x14ac:dyDescent="0.2">
      <c r="A2071" t="s">
        <v>1</v>
      </c>
      <c r="B2071" t="str">
        <f>"13661910261"</f>
        <v>13661910261</v>
      </c>
      <c r="C2071" t="s">
        <v>1</v>
      </c>
      <c r="D2071" t="s">
        <v>1</v>
      </c>
      <c r="E2071" t="s">
        <v>1</v>
      </c>
      <c r="F2071" t="s">
        <v>0</v>
      </c>
      <c r="G2071" t="str">
        <f>"2018-10-18 14:59:39"</f>
        <v>2018-10-18 14:59:39</v>
      </c>
    </row>
    <row r="2072" spans="1:7" x14ac:dyDescent="0.2">
      <c r="A2072" t="s">
        <v>3693</v>
      </c>
      <c r="B2072" t="str">
        <f>"15857181715"</f>
        <v>15857181715</v>
      </c>
      <c r="C2072" t="str">
        <f>"330184199109012612"</f>
        <v>330184199109012612</v>
      </c>
      <c r="D2072" t="s">
        <v>1</v>
      </c>
      <c r="E2072" t="s">
        <v>1</v>
      </c>
      <c r="F2072" t="s">
        <v>0</v>
      </c>
      <c r="G2072" t="str">
        <f>"2018-10-18 14:58:24"</f>
        <v>2018-10-18 14:58:24</v>
      </c>
    </row>
    <row r="2073" spans="1:7" x14ac:dyDescent="0.2">
      <c r="A2073" t="s">
        <v>3694</v>
      </c>
      <c r="B2073" t="str">
        <f>"15307328350"</f>
        <v>15307328350</v>
      </c>
      <c r="C2073" t="str">
        <f>"430304198801040319"</f>
        <v>430304198801040319</v>
      </c>
      <c r="D2073" t="s">
        <v>1</v>
      </c>
      <c r="E2073" t="s">
        <v>1</v>
      </c>
      <c r="F2073" t="s">
        <v>0</v>
      </c>
      <c r="G2073" t="str">
        <f>"2018-10-31 14:58:00"</f>
        <v>2018-10-31 14:58:00</v>
      </c>
    </row>
    <row r="2074" spans="1:7" x14ac:dyDescent="0.2">
      <c r="A2074" t="s">
        <v>3695</v>
      </c>
      <c r="B2074" t="str">
        <f>"13883318883"</f>
        <v>13883318883</v>
      </c>
      <c r="C2074" t="str">
        <f>"500234199501012450"</f>
        <v>500234199501012450</v>
      </c>
      <c r="D2074" t="s">
        <v>1</v>
      </c>
      <c r="E2074" t="s">
        <v>1</v>
      </c>
      <c r="F2074" t="s">
        <v>0</v>
      </c>
      <c r="G2074" t="str">
        <f>"2018-10-18 15:00:16"</f>
        <v>2018-10-18 15:00:16</v>
      </c>
    </row>
    <row r="2075" spans="1:7" x14ac:dyDescent="0.2">
      <c r="A2075" t="s">
        <v>3696</v>
      </c>
      <c r="B2075" t="str">
        <f>"18707008045"</f>
        <v>18707008045</v>
      </c>
      <c r="C2075" t="str">
        <f>"360502198812100911"</f>
        <v>360502198812100911</v>
      </c>
      <c r="D2075" t="s">
        <v>3697</v>
      </c>
      <c r="E2075" t="s">
        <v>3698</v>
      </c>
      <c r="F2075" t="s">
        <v>0</v>
      </c>
      <c r="G2075" t="str">
        <f>"2018-10-18 14:59:09"</f>
        <v>2018-10-18 14:59:09</v>
      </c>
    </row>
    <row r="2076" spans="1:7" x14ac:dyDescent="0.2">
      <c r="A2076" t="s">
        <v>3699</v>
      </c>
      <c r="B2076" t="str">
        <f>"15206799600"</f>
        <v>15206799600</v>
      </c>
      <c r="C2076" t="str">
        <f>"370827198506102519"</f>
        <v>370827198506102519</v>
      </c>
      <c r="D2076" t="s">
        <v>1</v>
      </c>
      <c r="E2076" t="s">
        <v>1</v>
      </c>
      <c r="F2076" t="s">
        <v>0</v>
      </c>
      <c r="G2076" t="str">
        <f>"2018-10-18 15:07:29"</f>
        <v>2018-10-18 15:07:29</v>
      </c>
    </row>
    <row r="2077" spans="1:7" x14ac:dyDescent="0.2">
      <c r="A2077" t="s">
        <v>1</v>
      </c>
      <c r="B2077" t="str">
        <f>"18301072531"</f>
        <v>18301072531</v>
      </c>
      <c r="C2077" t="s">
        <v>1</v>
      </c>
      <c r="D2077" t="s">
        <v>1</v>
      </c>
      <c r="E2077" t="s">
        <v>1</v>
      </c>
      <c r="F2077" t="s">
        <v>0</v>
      </c>
      <c r="G2077" t="str">
        <f>"2018-10-18 14:57:52"</f>
        <v>2018-10-18 14:57:52</v>
      </c>
    </row>
    <row r="2078" spans="1:7" x14ac:dyDescent="0.2">
      <c r="A2078" t="s">
        <v>1510</v>
      </c>
      <c r="B2078" t="str">
        <f>"15611795038"</f>
        <v>15611795038</v>
      </c>
      <c r="C2078" t="str">
        <f>"130925196611125017"</f>
        <v>130925196611125017</v>
      </c>
      <c r="D2078" t="s">
        <v>1</v>
      </c>
      <c r="E2078" t="s">
        <v>1</v>
      </c>
      <c r="F2078" t="s">
        <v>0</v>
      </c>
      <c r="G2078" t="str">
        <f>"2018-10-18 15:00:25"</f>
        <v>2018-10-18 15:00:25</v>
      </c>
    </row>
    <row r="2079" spans="1:7" x14ac:dyDescent="0.2">
      <c r="A2079" t="s">
        <v>3700</v>
      </c>
      <c r="B2079" t="str">
        <f>"15151973220"</f>
        <v>15151973220</v>
      </c>
      <c r="C2079" t="str">
        <f>"320623199404300062"</f>
        <v>320623199404300062</v>
      </c>
      <c r="D2079" t="s">
        <v>1</v>
      </c>
      <c r="E2079" t="s">
        <v>1</v>
      </c>
      <c r="F2079" t="s">
        <v>0</v>
      </c>
      <c r="G2079" t="str">
        <f>"2018-11-04 16:10:02"</f>
        <v>2018-11-04 16:10:02</v>
      </c>
    </row>
    <row r="2080" spans="1:7" x14ac:dyDescent="0.2">
      <c r="A2080" t="s">
        <v>3701</v>
      </c>
      <c r="B2080" t="str">
        <f>"13977101320"</f>
        <v>13977101320</v>
      </c>
      <c r="C2080" t="str">
        <f>"452230197309063031"</f>
        <v>452230197309063031</v>
      </c>
      <c r="D2080" t="s">
        <v>1</v>
      </c>
      <c r="E2080" t="s">
        <v>1</v>
      </c>
      <c r="F2080" t="s">
        <v>0</v>
      </c>
      <c r="G2080" t="str">
        <f>"2018-10-18 14:59:39"</f>
        <v>2018-10-18 14:59:39</v>
      </c>
    </row>
    <row r="2081" spans="1:7" x14ac:dyDescent="0.2">
      <c r="A2081" t="s">
        <v>3702</v>
      </c>
      <c r="B2081" t="str">
        <f>"17753736673"</f>
        <v>17753736673</v>
      </c>
      <c r="C2081" t="str">
        <f>"370830198908151717"</f>
        <v>370830198908151717</v>
      </c>
      <c r="D2081" t="s">
        <v>3703</v>
      </c>
      <c r="E2081" t="s">
        <v>3704</v>
      </c>
      <c r="F2081" t="s">
        <v>0</v>
      </c>
      <c r="G2081" t="str">
        <f>"2018-10-18 14:59:24"</f>
        <v>2018-10-18 14:59:24</v>
      </c>
    </row>
    <row r="2082" spans="1:7" x14ac:dyDescent="0.2">
      <c r="A2082" t="s">
        <v>3705</v>
      </c>
      <c r="B2082" t="str">
        <f>"15964411262"</f>
        <v>15964411262</v>
      </c>
      <c r="C2082" t="str">
        <f>"372925198207072940"</f>
        <v>372925198207072940</v>
      </c>
      <c r="D2082" t="s">
        <v>1</v>
      </c>
      <c r="E2082" t="s">
        <v>1</v>
      </c>
      <c r="F2082" t="s">
        <v>0</v>
      </c>
      <c r="G2082" t="str">
        <f>"2018-10-18 14:58:51"</f>
        <v>2018-10-18 14:58:51</v>
      </c>
    </row>
    <row r="2083" spans="1:7" x14ac:dyDescent="0.2">
      <c r="A2083" t="s">
        <v>3706</v>
      </c>
      <c r="B2083" t="str">
        <f>"13781553953"</f>
        <v>13781553953</v>
      </c>
      <c r="C2083" t="str">
        <f>"411425199001151052"</f>
        <v>411425199001151052</v>
      </c>
      <c r="D2083" t="s">
        <v>1</v>
      </c>
      <c r="E2083" t="s">
        <v>1</v>
      </c>
      <c r="F2083" t="s">
        <v>0</v>
      </c>
      <c r="G2083" t="str">
        <f>"2018-10-18 15:01:35"</f>
        <v>2018-10-18 15:01:35</v>
      </c>
    </row>
    <row r="2084" spans="1:7" x14ac:dyDescent="0.2">
      <c r="A2084" t="s">
        <v>3707</v>
      </c>
      <c r="B2084" t="str">
        <f>"15851058786"</f>
        <v>15851058786</v>
      </c>
      <c r="C2084" t="str">
        <f>"320981199309200717"</f>
        <v>320981199309200717</v>
      </c>
      <c r="D2084" t="s">
        <v>3708</v>
      </c>
      <c r="E2084" t="s">
        <v>3709</v>
      </c>
      <c r="F2084" t="s">
        <v>0</v>
      </c>
      <c r="G2084" t="str">
        <f>"2018-10-18 14:59:35"</f>
        <v>2018-10-18 14:59:35</v>
      </c>
    </row>
    <row r="2085" spans="1:7" x14ac:dyDescent="0.2">
      <c r="A2085" t="s">
        <v>3710</v>
      </c>
      <c r="B2085" t="str">
        <f>"18893526008"</f>
        <v>18893526008</v>
      </c>
      <c r="C2085" t="str">
        <f>"622301198310046757"</f>
        <v>622301198310046757</v>
      </c>
      <c r="D2085" t="s">
        <v>1</v>
      </c>
      <c r="E2085" t="s">
        <v>1</v>
      </c>
      <c r="F2085" t="s">
        <v>0</v>
      </c>
      <c r="G2085" t="str">
        <f>"2018-10-18 14:58:36"</f>
        <v>2018-10-18 14:58:36</v>
      </c>
    </row>
    <row r="2086" spans="1:7" x14ac:dyDescent="0.2">
      <c r="A2086" t="s">
        <v>3711</v>
      </c>
      <c r="B2086" t="str">
        <f>"13902781352"</f>
        <v>13902781352</v>
      </c>
      <c r="C2086" t="str">
        <f>"441421198708072732"</f>
        <v>441421198708072732</v>
      </c>
      <c r="D2086" t="s">
        <v>3712</v>
      </c>
      <c r="E2086" t="s">
        <v>3713</v>
      </c>
      <c r="F2086" t="s">
        <v>0</v>
      </c>
      <c r="G2086" t="str">
        <f>"2018-10-18 15:00:34"</f>
        <v>2018-10-18 15:00:34</v>
      </c>
    </row>
    <row r="2087" spans="1:7" x14ac:dyDescent="0.2">
      <c r="A2087" t="s">
        <v>3714</v>
      </c>
      <c r="B2087" t="str">
        <f>"17725590577"</f>
        <v>17725590577</v>
      </c>
      <c r="C2087" t="str">
        <f>"130827198202082614"</f>
        <v>130827198202082614</v>
      </c>
      <c r="D2087" t="s">
        <v>1</v>
      </c>
      <c r="E2087" t="s">
        <v>1</v>
      </c>
      <c r="F2087" t="s">
        <v>0</v>
      </c>
      <c r="G2087" t="str">
        <f>"2018-10-18 14:59:21"</f>
        <v>2018-10-18 14:59:21</v>
      </c>
    </row>
    <row r="2088" spans="1:7" x14ac:dyDescent="0.2">
      <c r="A2088" t="s">
        <v>563</v>
      </c>
      <c r="B2088" t="str">
        <f>"15072723729"</f>
        <v>15072723729</v>
      </c>
      <c r="C2088" t="str">
        <f>"421182199202120212"</f>
        <v>421182199202120212</v>
      </c>
      <c r="D2088" t="s">
        <v>1</v>
      </c>
      <c r="E2088" t="s">
        <v>1</v>
      </c>
      <c r="F2088" t="s">
        <v>0</v>
      </c>
      <c r="G2088" t="str">
        <f>"2018-10-18 14:58:42"</f>
        <v>2018-10-18 14:58:42</v>
      </c>
    </row>
    <row r="2089" spans="1:7" x14ac:dyDescent="0.2">
      <c r="A2089" t="s">
        <v>3715</v>
      </c>
      <c r="B2089" t="str">
        <f>"13706675138"</f>
        <v>13706675138</v>
      </c>
      <c r="C2089" t="str">
        <f>"372831197806176933"</f>
        <v>372831197806176933</v>
      </c>
      <c r="D2089" t="s">
        <v>1</v>
      </c>
      <c r="E2089" t="s">
        <v>1</v>
      </c>
      <c r="F2089" t="s">
        <v>0</v>
      </c>
      <c r="G2089" t="str">
        <f>"2018-10-18 15:00:05"</f>
        <v>2018-10-18 15:00:05</v>
      </c>
    </row>
    <row r="2090" spans="1:7" x14ac:dyDescent="0.2">
      <c r="A2090" t="s">
        <v>3716</v>
      </c>
      <c r="B2090" t="str">
        <f>"15122692716"</f>
        <v>15122692716</v>
      </c>
      <c r="C2090" t="str">
        <f>"232303199303081516"</f>
        <v>232303199303081516</v>
      </c>
      <c r="D2090" t="s">
        <v>1</v>
      </c>
      <c r="E2090" t="s">
        <v>1</v>
      </c>
      <c r="F2090" t="s">
        <v>0</v>
      </c>
      <c r="G2090" t="str">
        <f>"2018-10-18 14:56:47"</f>
        <v>2018-10-18 14:56:47</v>
      </c>
    </row>
    <row r="2091" spans="1:7" x14ac:dyDescent="0.2">
      <c r="A2091" t="s">
        <v>3717</v>
      </c>
      <c r="B2091" t="str">
        <f>"18694078132"</f>
        <v>18694078132</v>
      </c>
      <c r="C2091" t="str">
        <f>"420124197804100901"</f>
        <v>420124197804100901</v>
      </c>
      <c r="D2091" t="s">
        <v>1</v>
      </c>
      <c r="E2091" t="s">
        <v>1</v>
      </c>
      <c r="F2091" t="s">
        <v>0</v>
      </c>
      <c r="G2091" t="str">
        <f>"2018-10-18 14:57:54"</f>
        <v>2018-10-18 14:57:54</v>
      </c>
    </row>
    <row r="2092" spans="1:7" x14ac:dyDescent="0.2">
      <c r="A2092" t="s">
        <v>1</v>
      </c>
      <c r="B2092" t="str">
        <f>"13791898747"</f>
        <v>13791898747</v>
      </c>
      <c r="C2092" t="s">
        <v>1</v>
      </c>
      <c r="D2092" t="s">
        <v>1</v>
      </c>
      <c r="E2092" t="s">
        <v>1</v>
      </c>
      <c r="F2092" t="s">
        <v>0</v>
      </c>
      <c r="G2092" t="str">
        <f>"2018-10-18 14:56:37"</f>
        <v>2018-10-18 14:56:37</v>
      </c>
    </row>
    <row r="2093" spans="1:7" x14ac:dyDescent="0.2">
      <c r="A2093" t="s">
        <v>3718</v>
      </c>
      <c r="B2093" t="str">
        <f>"18336756716"</f>
        <v>18336756716</v>
      </c>
      <c r="C2093" t="str">
        <f>"410381198808169018"</f>
        <v>410381198808169018</v>
      </c>
      <c r="D2093" t="s">
        <v>1</v>
      </c>
      <c r="E2093" t="s">
        <v>1</v>
      </c>
      <c r="F2093" t="s">
        <v>0</v>
      </c>
      <c r="G2093" t="str">
        <f>"2018-10-18 14:56:36"</f>
        <v>2018-10-18 14:56:36</v>
      </c>
    </row>
    <row r="2094" spans="1:7" x14ac:dyDescent="0.2">
      <c r="A2094" t="s">
        <v>3719</v>
      </c>
      <c r="B2094" t="str">
        <f>"18254466961"</f>
        <v>18254466961</v>
      </c>
      <c r="C2094" t="str">
        <f>"370402199605106924"</f>
        <v>370402199605106924</v>
      </c>
      <c r="D2094" t="s">
        <v>1</v>
      </c>
      <c r="E2094" t="s">
        <v>1</v>
      </c>
      <c r="F2094" t="s">
        <v>0</v>
      </c>
      <c r="G2094" t="str">
        <f>"2018-10-18 14:59:22"</f>
        <v>2018-10-18 14:59:22</v>
      </c>
    </row>
    <row r="2095" spans="1:7" x14ac:dyDescent="0.2">
      <c r="A2095" t="s">
        <v>3720</v>
      </c>
      <c r="B2095" t="str">
        <f>"13059318340"</f>
        <v>13059318340</v>
      </c>
      <c r="C2095" t="str">
        <f>"445302199405050919"</f>
        <v>445302199405050919</v>
      </c>
      <c r="D2095" t="s">
        <v>1</v>
      </c>
      <c r="E2095" t="s">
        <v>1</v>
      </c>
      <c r="F2095" t="s">
        <v>0</v>
      </c>
      <c r="G2095" t="str">
        <f>"2018-10-18 15:05:29"</f>
        <v>2018-10-18 15:05:29</v>
      </c>
    </row>
    <row r="2096" spans="1:7" x14ac:dyDescent="0.2">
      <c r="A2096" t="s">
        <v>1307</v>
      </c>
      <c r="B2096" t="str">
        <f>"18384745552"</f>
        <v>18384745552</v>
      </c>
      <c r="C2096" t="str">
        <f>"511126198111181518"</f>
        <v>511126198111181518</v>
      </c>
      <c r="D2096" t="s">
        <v>1</v>
      </c>
      <c r="E2096" t="s">
        <v>1</v>
      </c>
      <c r="F2096" t="s">
        <v>0</v>
      </c>
      <c r="G2096" t="str">
        <f>"2018-10-18 14:58:02"</f>
        <v>2018-10-18 14:58:02</v>
      </c>
    </row>
    <row r="2097" spans="1:7" x14ac:dyDescent="0.2">
      <c r="A2097" t="s">
        <v>3721</v>
      </c>
      <c r="B2097" t="str">
        <f>"13756069639"</f>
        <v>13756069639</v>
      </c>
      <c r="C2097" t="str">
        <f>"210381197905045226"</f>
        <v>210381197905045226</v>
      </c>
      <c r="D2097" t="s">
        <v>1</v>
      </c>
      <c r="E2097" t="s">
        <v>1</v>
      </c>
      <c r="F2097" t="s">
        <v>0</v>
      </c>
      <c r="G2097" t="str">
        <f>"2018-10-18 14:57:23"</f>
        <v>2018-10-18 14:57:23</v>
      </c>
    </row>
    <row r="2098" spans="1:7" x14ac:dyDescent="0.2">
      <c r="A2098" t="s">
        <v>116</v>
      </c>
      <c r="B2098" t="str">
        <f>"15950669628"</f>
        <v>15950669628</v>
      </c>
      <c r="C2098" t="str">
        <f>"320382199412248616"</f>
        <v>320382199412248616</v>
      </c>
      <c r="D2098" t="s">
        <v>3722</v>
      </c>
      <c r="E2098" t="s">
        <v>3723</v>
      </c>
      <c r="F2098" t="s">
        <v>0</v>
      </c>
      <c r="G2098" t="str">
        <f>"2018-10-18 14:56:07"</f>
        <v>2018-10-18 14:56:07</v>
      </c>
    </row>
    <row r="2099" spans="1:7" x14ac:dyDescent="0.2">
      <c r="A2099" t="s">
        <v>3724</v>
      </c>
      <c r="B2099" t="str">
        <f>"18718490446"</f>
        <v>18718490446</v>
      </c>
      <c r="C2099" t="str">
        <f>"511528198506043210"</f>
        <v>511528198506043210</v>
      </c>
      <c r="D2099" t="s">
        <v>1</v>
      </c>
      <c r="E2099" t="s">
        <v>1</v>
      </c>
      <c r="F2099" t="s">
        <v>0</v>
      </c>
      <c r="G2099" t="str">
        <f>"2018-10-18 14:59:06"</f>
        <v>2018-10-18 14:59:06</v>
      </c>
    </row>
    <row r="2100" spans="1:7" x14ac:dyDescent="0.2">
      <c r="A2100" t="s">
        <v>3725</v>
      </c>
      <c r="B2100" t="str">
        <f>"18756666060"</f>
        <v>18756666060</v>
      </c>
      <c r="C2100" t="str">
        <f>"342524199104010035"</f>
        <v>342524199104010035</v>
      </c>
      <c r="D2100" t="s">
        <v>1</v>
      </c>
      <c r="E2100" t="s">
        <v>1</v>
      </c>
      <c r="F2100" t="s">
        <v>0</v>
      </c>
      <c r="G2100" t="str">
        <f>"2018-10-18 15:24:36"</f>
        <v>2018-10-18 15:24:36</v>
      </c>
    </row>
    <row r="2101" spans="1:7" x14ac:dyDescent="0.2">
      <c r="A2101" t="s">
        <v>3726</v>
      </c>
      <c r="B2101" t="str">
        <f>"15934000706"</f>
        <v>15934000706</v>
      </c>
      <c r="C2101" t="str">
        <f>"142227198709181014"</f>
        <v>142227198709181014</v>
      </c>
      <c r="D2101" t="s">
        <v>3727</v>
      </c>
      <c r="E2101" t="s">
        <v>3728</v>
      </c>
      <c r="F2101" t="s">
        <v>0</v>
      </c>
      <c r="G2101" t="str">
        <f>"2018-10-19 09:04:08"</f>
        <v>2018-10-19 09:04:08</v>
      </c>
    </row>
    <row r="2102" spans="1:7" x14ac:dyDescent="0.2">
      <c r="A2102" t="s">
        <v>3729</v>
      </c>
      <c r="B2102" t="str">
        <f>"17640698252"</f>
        <v>17640698252</v>
      </c>
      <c r="C2102" t="str">
        <f>"210304199802200824"</f>
        <v>210304199802200824</v>
      </c>
      <c r="D2102" t="s">
        <v>1</v>
      </c>
      <c r="E2102" t="s">
        <v>1</v>
      </c>
      <c r="F2102" t="s">
        <v>0</v>
      </c>
      <c r="G2102" t="str">
        <f>"2018-10-18 15:00:19"</f>
        <v>2018-10-18 15:00:19</v>
      </c>
    </row>
    <row r="2103" spans="1:7" x14ac:dyDescent="0.2">
      <c r="A2103" t="s">
        <v>970</v>
      </c>
      <c r="B2103" t="str">
        <f>"18239098746"</f>
        <v>18239098746</v>
      </c>
      <c r="C2103" t="str">
        <f>"410881198710230770"</f>
        <v>410881198710230770</v>
      </c>
      <c r="D2103" t="s">
        <v>1</v>
      </c>
      <c r="E2103" t="s">
        <v>1</v>
      </c>
      <c r="F2103" t="s">
        <v>0</v>
      </c>
      <c r="G2103" t="str">
        <f>"2018-10-18 14:57:58"</f>
        <v>2018-10-18 14:57:58</v>
      </c>
    </row>
    <row r="2104" spans="1:7" x14ac:dyDescent="0.2">
      <c r="A2104" t="s">
        <v>3730</v>
      </c>
      <c r="B2104" t="str">
        <f>"15890379610"</f>
        <v>15890379610</v>
      </c>
      <c r="C2104" t="str">
        <f>"410225199201036612"</f>
        <v>410225199201036612</v>
      </c>
      <c r="D2104" t="s">
        <v>1</v>
      </c>
      <c r="E2104" t="s">
        <v>1</v>
      </c>
      <c r="F2104" t="s">
        <v>0</v>
      </c>
      <c r="G2104" t="str">
        <f>"2018-10-18 14:57:15"</f>
        <v>2018-10-18 14:57:15</v>
      </c>
    </row>
    <row r="2105" spans="1:7" x14ac:dyDescent="0.2">
      <c r="A2105" t="s">
        <v>3731</v>
      </c>
      <c r="B2105" t="str">
        <f>"13326272076"</f>
        <v>13326272076</v>
      </c>
      <c r="C2105" t="str">
        <f>"371426199307186817"</f>
        <v>371426199307186817</v>
      </c>
      <c r="D2105" t="s">
        <v>3732</v>
      </c>
      <c r="E2105" t="s">
        <v>3733</v>
      </c>
      <c r="F2105" t="s">
        <v>0</v>
      </c>
      <c r="G2105" t="str">
        <f>"2018-10-18 15:04:18"</f>
        <v>2018-10-18 15:04:18</v>
      </c>
    </row>
    <row r="2106" spans="1:7" x14ac:dyDescent="0.2">
      <c r="A2106" t="s">
        <v>3734</v>
      </c>
      <c r="B2106" t="str">
        <f>"15145459490"</f>
        <v>15145459490</v>
      </c>
      <c r="C2106" t="str">
        <f>"230802198210170119"</f>
        <v>230802198210170119</v>
      </c>
      <c r="D2106" t="s">
        <v>1</v>
      </c>
      <c r="E2106" t="s">
        <v>1</v>
      </c>
      <c r="F2106" t="s">
        <v>0</v>
      </c>
      <c r="G2106" t="str">
        <f>"2018-10-18 14:56:28"</f>
        <v>2018-10-18 14:56:28</v>
      </c>
    </row>
    <row r="2107" spans="1:7" x14ac:dyDescent="0.2">
      <c r="A2107" t="s">
        <v>1</v>
      </c>
      <c r="B2107" t="str">
        <f>"15661471314"</f>
        <v>15661471314</v>
      </c>
      <c r="C2107" t="s">
        <v>1</v>
      </c>
      <c r="D2107" t="s">
        <v>1</v>
      </c>
      <c r="E2107" t="s">
        <v>1</v>
      </c>
      <c r="F2107" t="s">
        <v>0</v>
      </c>
      <c r="G2107" t="str">
        <f>"2018-10-18 14:55:17"</f>
        <v>2018-10-18 14:55:17</v>
      </c>
    </row>
    <row r="2108" spans="1:7" x14ac:dyDescent="0.2">
      <c r="A2108" t="s">
        <v>1</v>
      </c>
      <c r="B2108" t="str">
        <f>"15931127972"</f>
        <v>15931127972</v>
      </c>
      <c r="C2108" t="s">
        <v>1</v>
      </c>
      <c r="D2108" t="s">
        <v>1</v>
      </c>
      <c r="E2108" t="s">
        <v>1</v>
      </c>
      <c r="F2108" t="s">
        <v>0</v>
      </c>
      <c r="G2108" t="str">
        <f>"2018-10-18 14:55:08"</f>
        <v>2018-10-18 14:55:08</v>
      </c>
    </row>
    <row r="2109" spans="1:7" x14ac:dyDescent="0.2">
      <c r="A2109" t="s">
        <v>1</v>
      </c>
      <c r="B2109" t="str">
        <f>"18507208460"</f>
        <v>18507208460</v>
      </c>
      <c r="C2109" t="s">
        <v>1</v>
      </c>
      <c r="D2109" t="s">
        <v>1</v>
      </c>
      <c r="E2109" t="s">
        <v>1</v>
      </c>
      <c r="F2109" t="s">
        <v>0</v>
      </c>
      <c r="G2109" t="str">
        <f>"2018-10-18 14:54:54"</f>
        <v>2018-10-18 14:54:54</v>
      </c>
    </row>
    <row r="2110" spans="1:7" x14ac:dyDescent="0.2">
      <c r="A2110" t="s">
        <v>3735</v>
      </c>
      <c r="B2110" t="str">
        <f>"18342093789"</f>
        <v>18342093789</v>
      </c>
      <c r="C2110" t="str">
        <f>"210213198707121518"</f>
        <v>210213198707121518</v>
      </c>
      <c r="D2110" t="s">
        <v>1</v>
      </c>
      <c r="E2110" t="s">
        <v>1</v>
      </c>
      <c r="F2110" t="s">
        <v>0</v>
      </c>
      <c r="G2110" t="str">
        <f>"2018-10-18 15:09:21"</f>
        <v>2018-10-18 15:09:21</v>
      </c>
    </row>
    <row r="2111" spans="1:7" x14ac:dyDescent="0.2">
      <c r="A2111" t="s">
        <v>1</v>
      </c>
      <c r="B2111" t="str">
        <f>"15593300164"</f>
        <v>15593300164</v>
      </c>
      <c r="C2111" t="s">
        <v>1</v>
      </c>
      <c r="D2111" t="s">
        <v>1</v>
      </c>
      <c r="E2111" t="s">
        <v>1</v>
      </c>
      <c r="F2111" t="s">
        <v>0</v>
      </c>
      <c r="G2111" t="str">
        <f>"2018-10-18 14:54:37"</f>
        <v>2018-10-18 14:54:37</v>
      </c>
    </row>
    <row r="2112" spans="1:7" x14ac:dyDescent="0.2">
      <c r="A2112" t="s">
        <v>1</v>
      </c>
      <c r="B2112" t="str">
        <f>"17586471180"</f>
        <v>17586471180</v>
      </c>
      <c r="C2112" t="s">
        <v>1</v>
      </c>
      <c r="D2112" t="s">
        <v>1</v>
      </c>
      <c r="E2112" t="s">
        <v>1</v>
      </c>
      <c r="F2112" t="s">
        <v>0</v>
      </c>
      <c r="G2112" t="str">
        <f>"2018-10-18 14:56:40"</f>
        <v>2018-10-18 14:56:40</v>
      </c>
    </row>
    <row r="2113" spans="1:7" x14ac:dyDescent="0.2">
      <c r="A2113" t="s">
        <v>3736</v>
      </c>
      <c r="B2113" t="str">
        <f>"17607558340"</f>
        <v>17607558340</v>
      </c>
      <c r="C2113" t="str">
        <f>"413026199408200975"</f>
        <v>413026199408200975</v>
      </c>
      <c r="D2113" t="s">
        <v>1</v>
      </c>
      <c r="E2113" t="s">
        <v>1</v>
      </c>
      <c r="F2113" t="s">
        <v>0</v>
      </c>
      <c r="G2113" t="str">
        <f>"2018-10-18 14:56:13"</f>
        <v>2018-10-18 14:56:13</v>
      </c>
    </row>
    <row r="2114" spans="1:7" x14ac:dyDescent="0.2">
      <c r="A2114" t="s">
        <v>3737</v>
      </c>
      <c r="B2114" t="str">
        <f>"18339831685"</f>
        <v>18339831685</v>
      </c>
      <c r="C2114" t="str">
        <f>"410225199409012919"</f>
        <v>410225199409012919</v>
      </c>
      <c r="D2114" t="s">
        <v>1</v>
      </c>
      <c r="E2114" t="s">
        <v>1</v>
      </c>
      <c r="F2114" t="s">
        <v>0</v>
      </c>
      <c r="G2114" t="str">
        <f>"2018-10-18 14:54:28"</f>
        <v>2018-10-18 14:54:28</v>
      </c>
    </row>
    <row r="2115" spans="1:7" x14ac:dyDescent="0.2">
      <c r="A2115" t="s">
        <v>1</v>
      </c>
      <c r="B2115" t="str">
        <f>"15860327820"</f>
        <v>15860327820</v>
      </c>
      <c r="C2115" t="s">
        <v>1</v>
      </c>
      <c r="D2115" t="s">
        <v>1</v>
      </c>
      <c r="E2115" t="s">
        <v>1</v>
      </c>
      <c r="F2115" t="s">
        <v>0</v>
      </c>
      <c r="G2115" t="str">
        <f>"2018-10-18 14:58:04"</f>
        <v>2018-10-18 14:58:04</v>
      </c>
    </row>
    <row r="2116" spans="1:7" x14ac:dyDescent="0.2">
      <c r="A2116" t="s">
        <v>3738</v>
      </c>
      <c r="B2116" t="str">
        <f>"18622804075"</f>
        <v>18622804075</v>
      </c>
      <c r="C2116" t="str">
        <f>"372522199002076917"</f>
        <v>372522199002076917</v>
      </c>
      <c r="D2116" t="s">
        <v>1</v>
      </c>
      <c r="E2116" t="s">
        <v>1</v>
      </c>
      <c r="F2116" t="s">
        <v>0</v>
      </c>
      <c r="G2116" t="str">
        <f>"2018-10-18 14:56:00"</f>
        <v>2018-10-18 14:56:00</v>
      </c>
    </row>
    <row r="2117" spans="1:7" x14ac:dyDescent="0.2">
      <c r="A2117" t="s">
        <v>1</v>
      </c>
      <c r="B2117" t="str">
        <f>"13998637756"</f>
        <v>13998637756</v>
      </c>
      <c r="C2117" t="s">
        <v>1</v>
      </c>
      <c r="D2117" t="s">
        <v>1</v>
      </c>
      <c r="E2117" t="s">
        <v>1</v>
      </c>
      <c r="F2117" t="s">
        <v>0</v>
      </c>
      <c r="G2117" t="str">
        <f>"2018-10-18 14:54:07"</f>
        <v>2018-10-18 14:54:07</v>
      </c>
    </row>
    <row r="2118" spans="1:7" x14ac:dyDescent="0.2">
      <c r="A2118" t="s">
        <v>3739</v>
      </c>
      <c r="B2118" t="str">
        <f>"18030323788"</f>
        <v>18030323788</v>
      </c>
      <c r="C2118" t="str">
        <f>"350302198809171636"</f>
        <v>350302198809171636</v>
      </c>
      <c r="D2118" t="s">
        <v>1</v>
      </c>
      <c r="E2118" t="s">
        <v>1</v>
      </c>
      <c r="F2118" t="s">
        <v>0</v>
      </c>
      <c r="G2118" t="str">
        <f>"2018-10-18 14:54:01"</f>
        <v>2018-10-18 14:54:01</v>
      </c>
    </row>
    <row r="2119" spans="1:7" x14ac:dyDescent="0.2">
      <c r="A2119" t="s">
        <v>1</v>
      </c>
      <c r="B2119" t="str">
        <f>"15677864661"</f>
        <v>15677864661</v>
      </c>
      <c r="C2119" t="s">
        <v>1</v>
      </c>
      <c r="D2119" t="s">
        <v>1</v>
      </c>
      <c r="E2119" t="s">
        <v>1</v>
      </c>
      <c r="F2119" t="s">
        <v>0</v>
      </c>
      <c r="G2119" t="str">
        <f>"2018-10-18 14:53:59"</f>
        <v>2018-10-18 14:53:59</v>
      </c>
    </row>
    <row r="2120" spans="1:7" x14ac:dyDescent="0.2">
      <c r="A2120" t="s">
        <v>610</v>
      </c>
      <c r="B2120" t="str">
        <f>"13850013421"</f>
        <v>13850013421</v>
      </c>
      <c r="C2120" t="str">
        <f>"510722197411284860"</f>
        <v>510722197411284860</v>
      </c>
      <c r="D2120" t="s">
        <v>1</v>
      </c>
      <c r="E2120" t="s">
        <v>1</v>
      </c>
      <c r="F2120" t="s">
        <v>0</v>
      </c>
      <c r="G2120" t="str">
        <f>"2018-10-18 14:57:24"</f>
        <v>2018-10-18 14:57:24</v>
      </c>
    </row>
    <row r="2121" spans="1:7" x14ac:dyDescent="0.2">
      <c r="A2121" t="s">
        <v>3740</v>
      </c>
      <c r="B2121" t="str">
        <f>"13694883714"</f>
        <v>13694883714</v>
      </c>
      <c r="C2121" t="str">
        <f>"360111199601100953"</f>
        <v>360111199601100953</v>
      </c>
      <c r="D2121" t="s">
        <v>3741</v>
      </c>
      <c r="E2121" t="s">
        <v>3742</v>
      </c>
      <c r="F2121" t="s">
        <v>0</v>
      </c>
      <c r="G2121" t="str">
        <f>"2018-10-18 14:56:23"</f>
        <v>2018-10-18 14:56:23</v>
      </c>
    </row>
    <row r="2122" spans="1:7" x14ac:dyDescent="0.2">
      <c r="A2122" t="s">
        <v>3743</v>
      </c>
      <c r="B2122" t="str">
        <f>"13806387111"</f>
        <v>13806387111</v>
      </c>
      <c r="C2122" t="str">
        <f>"370602197911025227"</f>
        <v>370602197911025227</v>
      </c>
      <c r="D2122" t="s">
        <v>1</v>
      </c>
      <c r="E2122" t="s">
        <v>1</v>
      </c>
      <c r="F2122" t="s">
        <v>0</v>
      </c>
      <c r="G2122" t="str">
        <f>"2018-10-18 14:53:39"</f>
        <v>2018-10-18 14:53:39</v>
      </c>
    </row>
    <row r="2123" spans="1:7" x14ac:dyDescent="0.2">
      <c r="A2123" t="s">
        <v>3744</v>
      </c>
      <c r="B2123" t="str">
        <f>"15193559559"</f>
        <v>15193559559</v>
      </c>
      <c r="C2123" t="str">
        <f>"622326199405193444"</f>
        <v>622326199405193444</v>
      </c>
      <c r="D2123" t="s">
        <v>1</v>
      </c>
      <c r="E2123" t="s">
        <v>1</v>
      </c>
      <c r="F2123" t="s">
        <v>0</v>
      </c>
      <c r="G2123" t="str">
        <f>"2018-10-18 14:54:47"</f>
        <v>2018-10-18 14:54:47</v>
      </c>
    </row>
    <row r="2124" spans="1:7" x14ac:dyDescent="0.2">
      <c r="A2124" t="s">
        <v>3745</v>
      </c>
      <c r="B2124" t="str">
        <f>"15054796102"</f>
        <v>15054796102</v>
      </c>
      <c r="C2124" t="str">
        <f>"372929198601222738"</f>
        <v>372929198601222738</v>
      </c>
      <c r="D2124" t="s">
        <v>1</v>
      </c>
      <c r="E2124" t="s">
        <v>1</v>
      </c>
      <c r="F2124" t="s">
        <v>0</v>
      </c>
      <c r="G2124" t="str">
        <f>"2018-10-18 14:54:47"</f>
        <v>2018-10-18 14:54:47</v>
      </c>
    </row>
    <row r="2125" spans="1:7" x14ac:dyDescent="0.2">
      <c r="A2125" t="s">
        <v>1</v>
      </c>
      <c r="B2125" t="str">
        <f>"15849951931"</f>
        <v>15849951931</v>
      </c>
      <c r="C2125" t="s">
        <v>1</v>
      </c>
      <c r="D2125" t="s">
        <v>1</v>
      </c>
      <c r="E2125" t="s">
        <v>1</v>
      </c>
      <c r="F2125" t="s">
        <v>0</v>
      </c>
      <c r="G2125" t="str">
        <f>"2018-10-18 14:56:48"</f>
        <v>2018-10-18 14:56:48</v>
      </c>
    </row>
    <row r="2126" spans="1:7" x14ac:dyDescent="0.2">
      <c r="A2126" t="s">
        <v>3746</v>
      </c>
      <c r="B2126" t="str">
        <f>"18705880484"</f>
        <v>18705880484</v>
      </c>
      <c r="C2126" t="str">
        <f>"332529199512040313"</f>
        <v>332529199512040313</v>
      </c>
      <c r="D2126" t="s">
        <v>1</v>
      </c>
      <c r="E2126" t="s">
        <v>1</v>
      </c>
      <c r="F2126" t="s">
        <v>0</v>
      </c>
      <c r="G2126" t="str">
        <f>"2018-10-18 14:54:45"</f>
        <v>2018-10-18 14:54:45</v>
      </c>
    </row>
    <row r="2127" spans="1:7" x14ac:dyDescent="0.2">
      <c r="A2127" t="s">
        <v>3747</v>
      </c>
      <c r="B2127" t="str">
        <f>"15250848559"</f>
        <v>15250848559</v>
      </c>
      <c r="C2127" t="str">
        <f>"320282199402060374"</f>
        <v>320282199402060374</v>
      </c>
      <c r="D2127" t="s">
        <v>1</v>
      </c>
      <c r="E2127" t="s">
        <v>1</v>
      </c>
      <c r="F2127" t="s">
        <v>0</v>
      </c>
      <c r="G2127" t="str">
        <f>"2018-10-18 14:55:16"</f>
        <v>2018-10-18 14:55:16</v>
      </c>
    </row>
    <row r="2128" spans="1:7" x14ac:dyDescent="0.2">
      <c r="A2128" t="s">
        <v>1</v>
      </c>
      <c r="B2128" t="str">
        <f>"13643467040"</f>
        <v>13643467040</v>
      </c>
      <c r="C2128" t="s">
        <v>1</v>
      </c>
      <c r="D2128" t="s">
        <v>1</v>
      </c>
      <c r="E2128" t="s">
        <v>1</v>
      </c>
      <c r="F2128" t="s">
        <v>0</v>
      </c>
      <c r="G2128" t="str">
        <f>"2018-10-18 14:58:35"</f>
        <v>2018-10-18 14:58:35</v>
      </c>
    </row>
    <row r="2129" spans="1:7" x14ac:dyDescent="0.2">
      <c r="A2129" t="s">
        <v>3748</v>
      </c>
      <c r="B2129" t="str">
        <f>"15738281707"</f>
        <v>15738281707</v>
      </c>
      <c r="C2129" t="str">
        <f>"413001198605294016"</f>
        <v>413001198605294016</v>
      </c>
      <c r="D2129" t="s">
        <v>1</v>
      </c>
      <c r="E2129" t="s">
        <v>1</v>
      </c>
      <c r="F2129" t="s">
        <v>0</v>
      </c>
      <c r="G2129" t="str">
        <f>"2018-10-18 14:53:11"</f>
        <v>2018-10-18 14:53:11</v>
      </c>
    </row>
    <row r="2130" spans="1:7" x14ac:dyDescent="0.2">
      <c r="A2130" t="s">
        <v>3749</v>
      </c>
      <c r="B2130" t="str">
        <f>"15533616353"</f>
        <v>15533616353</v>
      </c>
      <c r="C2130" t="str">
        <f>"130133199603150917"</f>
        <v>130133199603150917</v>
      </c>
      <c r="D2130" t="s">
        <v>3750</v>
      </c>
      <c r="E2130" t="s">
        <v>3751</v>
      </c>
      <c r="F2130" t="s">
        <v>0</v>
      </c>
      <c r="G2130" t="str">
        <f>"2018-10-18 14:54:06"</f>
        <v>2018-10-18 14:54:06</v>
      </c>
    </row>
    <row r="2131" spans="1:7" x14ac:dyDescent="0.2">
      <c r="A2131" t="s">
        <v>3752</v>
      </c>
      <c r="B2131" t="str">
        <f>"17731355166"</f>
        <v>17731355166</v>
      </c>
      <c r="C2131" t="str">
        <f>"130726199002091914"</f>
        <v>130726199002091914</v>
      </c>
      <c r="D2131" t="s">
        <v>3753</v>
      </c>
      <c r="E2131" t="s">
        <v>3754</v>
      </c>
      <c r="F2131" t="s">
        <v>0</v>
      </c>
      <c r="G2131" t="str">
        <f>"2018-10-18 14:54:04"</f>
        <v>2018-10-18 14:54:04</v>
      </c>
    </row>
    <row r="2132" spans="1:7" x14ac:dyDescent="0.2">
      <c r="A2132" t="s">
        <v>58</v>
      </c>
      <c r="B2132" t="str">
        <f>"13998251531"</f>
        <v>13998251531</v>
      </c>
      <c r="C2132" t="str">
        <f>"210104198310120013"</f>
        <v>210104198310120013</v>
      </c>
      <c r="D2132" t="s">
        <v>1</v>
      </c>
      <c r="E2132" t="s">
        <v>1</v>
      </c>
      <c r="F2132" t="s">
        <v>0</v>
      </c>
      <c r="G2132" t="str">
        <f>"2018-10-18 14:56:55"</f>
        <v>2018-10-18 14:56:55</v>
      </c>
    </row>
    <row r="2133" spans="1:7" x14ac:dyDescent="0.2">
      <c r="A2133" t="s">
        <v>475</v>
      </c>
      <c r="B2133" t="str">
        <f>"18221367862"</f>
        <v>18221367862</v>
      </c>
      <c r="C2133" t="str">
        <f>"321323199202284337"</f>
        <v>321323199202284337</v>
      </c>
      <c r="D2133" t="s">
        <v>1</v>
      </c>
      <c r="E2133" t="s">
        <v>1</v>
      </c>
      <c r="F2133" t="s">
        <v>0</v>
      </c>
      <c r="G2133" t="str">
        <f>"2018-10-18 16:58:28"</f>
        <v>2018-10-18 16:58:28</v>
      </c>
    </row>
    <row r="2134" spans="1:7" x14ac:dyDescent="0.2">
      <c r="A2134" t="s">
        <v>3755</v>
      </c>
      <c r="B2134" t="str">
        <f>"18801261030"</f>
        <v>18801261030</v>
      </c>
      <c r="C2134" t="str">
        <f>"510723199503242559"</f>
        <v>510723199503242559</v>
      </c>
      <c r="D2134" t="s">
        <v>1</v>
      </c>
      <c r="E2134" t="s">
        <v>1</v>
      </c>
      <c r="F2134" t="s">
        <v>0</v>
      </c>
      <c r="G2134" t="str">
        <f>"2018-10-18 14:54:24"</f>
        <v>2018-10-18 14:54:24</v>
      </c>
    </row>
    <row r="2135" spans="1:7" x14ac:dyDescent="0.2">
      <c r="A2135" t="s">
        <v>3756</v>
      </c>
      <c r="B2135" t="str">
        <f>"18298887710"</f>
        <v>18298887710</v>
      </c>
      <c r="C2135" t="str">
        <f>"622821199406012516"</f>
        <v>622821199406012516</v>
      </c>
      <c r="D2135" t="s">
        <v>1</v>
      </c>
      <c r="E2135" t="s">
        <v>1</v>
      </c>
      <c r="F2135" t="s">
        <v>0</v>
      </c>
      <c r="G2135" t="str">
        <f>"2018-10-18 14:53:30"</f>
        <v>2018-10-18 14:53:30</v>
      </c>
    </row>
    <row r="2136" spans="1:7" x14ac:dyDescent="0.2">
      <c r="A2136" t="s">
        <v>3757</v>
      </c>
      <c r="B2136" t="str">
        <f>"15879051655"</f>
        <v>15879051655</v>
      </c>
      <c r="C2136" t="str">
        <f>"360102199104113319"</f>
        <v>360102199104113319</v>
      </c>
      <c r="D2136" t="s">
        <v>3758</v>
      </c>
      <c r="E2136" t="s">
        <v>3759</v>
      </c>
      <c r="F2136" t="s">
        <v>0</v>
      </c>
      <c r="G2136" t="str">
        <f>"2018-10-28 13:59:36"</f>
        <v>2018-10-28 13:59:36</v>
      </c>
    </row>
    <row r="2137" spans="1:7" x14ac:dyDescent="0.2">
      <c r="A2137" t="s">
        <v>1</v>
      </c>
      <c r="B2137" t="str">
        <f>"15122558107"</f>
        <v>15122558107</v>
      </c>
      <c r="C2137" t="s">
        <v>1</v>
      </c>
      <c r="D2137" t="s">
        <v>1</v>
      </c>
      <c r="E2137" t="s">
        <v>1</v>
      </c>
      <c r="F2137" t="s">
        <v>0</v>
      </c>
      <c r="G2137" t="str">
        <f>"2018-10-18 14:52:20"</f>
        <v>2018-10-18 14:52:20</v>
      </c>
    </row>
    <row r="2138" spans="1:7" x14ac:dyDescent="0.2">
      <c r="A2138" t="s">
        <v>3760</v>
      </c>
      <c r="B2138" t="str">
        <f>"15991931193"</f>
        <v>15991931193</v>
      </c>
      <c r="C2138" t="str">
        <f>"610502199307290247"</f>
        <v>610502199307290247</v>
      </c>
      <c r="D2138" t="s">
        <v>1</v>
      </c>
      <c r="E2138" t="s">
        <v>1</v>
      </c>
      <c r="F2138" t="s">
        <v>0</v>
      </c>
      <c r="G2138" t="str">
        <f>"2018-10-18 14:54:44"</f>
        <v>2018-10-18 14:54:44</v>
      </c>
    </row>
    <row r="2139" spans="1:7" x14ac:dyDescent="0.2">
      <c r="A2139" t="s">
        <v>260</v>
      </c>
      <c r="B2139" t="str">
        <f>"15376695913"</f>
        <v>15376695913</v>
      </c>
      <c r="C2139" t="str">
        <f>"370724199511132077"</f>
        <v>370724199511132077</v>
      </c>
      <c r="D2139" t="s">
        <v>1</v>
      </c>
      <c r="E2139" t="s">
        <v>1</v>
      </c>
      <c r="F2139" t="s">
        <v>0</v>
      </c>
      <c r="G2139" t="str">
        <f>"2018-10-18 14:53:18"</f>
        <v>2018-10-18 14:53:18</v>
      </c>
    </row>
    <row r="2140" spans="1:7" x14ac:dyDescent="0.2">
      <c r="A2140" t="s">
        <v>1</v>
      </c>
      <c r="B2140" t="str">
        <f>"17609101562"</f>
        <v>17609101562</v>
      </c>
      <c r="C2140" t="s">
        <v>1</v>
      </c>
      <c r="D2140" t="s">
        <v>1</v>
      </c>
      <c r="E2140" t="s">
        <v>1</v>
      </c>
      <c r="F2140" t="s">
        <v>0</v>
      </c>
      <c r="G2140" t="str">
        <f>"2018-10-18 14:52:07"</f>
        <v>2018-10-18 14:52:07</v>
      </c>
    </row>
    <row r="2141" spans="1:7" x14ac:dyDescent="0.2">
      <c r="A2141" t="s">
        <v>1</v>
      </c>
      <c r="B2141" t="str">
        <f>"18720129419"</f>
        <v>18720129419</v>
      </c>
      <c r="C2141" t="s">
        <v>1</v>
      </c>
      <c r="D2141" t="s">
        <v>1</v>
      </c>
      <c r="E2141" t="s">
        <v>1</v>
      </c>
      <c r="F2141" t="s">
        <v>0</v>
      </c>
      <c r="G2141" t="str">
        <f>"2018-10-18 14:52:02"</f>
        <v>2018-10-18 14:52:02</v>
      </c>
    </row>
    <row r="2142" spans="1:7" x14ac:dyDescent="0.2">
      <c r="A2142" t="s">
        <v>3761</v>
      </c>
      <c r="B2142" t="str">
        <f>"13512393044"</f>
        <v>13512393044</v>
      </c>
      <c r="C2142" t="str">
        <f>"510225197310210418"</f>
        <v>510225197310210418</v>
      </c>
      <c r="D2142" t="s">
        <v>1</v>
      </c>
      <c r="E2142" t="s">
        <v>1</v>
      </c>
      <c r="F2142" t="s">
        <v>0</v>
      </c>
      <c r="G2142" t="str">
        <f>"2018-10-18 17:42:28"</f>
        <v>2018-10-18 17:42:28</v>
      </c>
    </row>
    <row r="2143" spans="1:7" x14ac:dyDescent="0.2">
      <c r="A2143" t="s">
        <v>765</v>
      </c>
      <c r="B2143" t="str">
        <f>"18047540117"</f>
        <v>18047540117</v>
      </c>
      <c r="C2143" t="str">
        <f>"152301199611050022"</f>
        <v>152301199611050022</v>
      </c>
      <c r="D2143" t="s">
        <v>3762</v>
      </c>
      <c r="E2143" t="s">
        <v>3763</v>
      </c>
      <c r="F2143" t="s">
        <v>0</v>
      </c>
      <c r="G2143" t="str">
        <f>"2018-10-25 10:12:20"</f>
        <v>2018-10-25 10:12:20</v>
      </c>
    </row>
    <row r="2144" spans="1:7" x14ac:dyDescent="0.2">
      <c r="A2144" t="s">
        <v>3764</v>
      </c>
      <c r="B2144" t="str">
        <f>"18489899732"</f>
        <v>18489899732</v>
      </c>
      <c r="C2144" t="str">
        <f>"460200199703054468"</f>
        <v>460200199703054468</v>
      </c>
      <c r="D2144" t="s">
        <v>1</v>
      </c>
      <c r="E2144" t="s">
        <v>1</v>
      </c>
      <c r="F2144" t="s">
        <v>0</v>
      </c>
      <c r="G2144" t="str">
        <f>"2018-10-18 14:52:55"</f>
        <v>2018-10-18 14:52:55</v>
      </c>
    </row>
    <row r="2145" spans="1:7" x14ac:dyDescent="0.2">
      <c r="A2145" t="s">
        <v>1</v>
      </c>
      <c r="B2145" t="str">
        <f>"15097776965"</f>
        <v>15097776965</v>
      </c>
      <c r="C2145" t="s">
        <v>1</v>
      </c>
      <c r="D2145" t="s">
        <v>1</v>
      </c>
      <c r="E2145" t="s">
        <v>1</v>
      </c>
      <c r="F2145" t="s">
        <v>0</v>
      </c>
      <c r="G2145" t="str">
        <f>"2018-10-18 14:52:56"</f>
        <v>2018-10-18 14:52:56</v>
      </c>
    </row>
    <row r="2146" spans="1:7" x14ac:dyDescent="0.2">
      <c r="A2146" t="s">
        <v>3765</v>
      </c>
      <c r="B2146" t="str">
        <f>"13680170699"</f>
        <v>13680170699</v>
      </c>
      <c r="C2146" t="str">
        <f>"360782198705053526"</f>
        <v>360782198705053526</v>
      </c>
      <c r="D2146" t="s">
        <v>1</v>
      </c>
      <c r="E2146" t="s">
        <v>1</v>
      </c>
      <c r="F2146" t="s">
        <v>0</v>
      </c>
      <c r="G2146" t="str">
        <f>"2018-10-19 15:03:25"</f>
        <v>2018-10-19 15:03:25</v>
      </c>
    </row>
    <row r="2147" spans="1:7" x14ac:dyDescent="0.2">
      <c r="A2147" t="s">
        <v>3766</v>
      </c>
      <c r="B2147" t="str">
        <f>"18811011856"</f>
        <v>18811011856</v>
      </c>
      <c r="C2147" t="str">
        <f>"150402199607312448"</f>
        <v>150402199607312448</v>
      </c>
      <c r="D2147" t="s">
        <v>1</v>
      </c>
      <c r="E2147" t="s">
        <v>1</v>
      </c>
      <c r="F2147" t="s">
        <v>0</v>
      </c>
      <c r="G2147" t="str">
        <f>"2018-10-19 16:10:57"</f>
        <v>2018-10-19 16:10:57</v>
      </c>
    </row>
    <row r="2148" spans="1:7" x14ac:dyDescent="0.2">
      <c r="A2148" t="s">
        <v>3767</v>
      </c>
      <c r="B2148" t="str">
        <f>"15183276533"</f>
        <v>15183276533</v>
      </c>
      <c r="C2148" t="str">
        <f>"511011197910201779"</f>
        <v>511011197910201779</v>
      </c>
      <c r="D2148" t="s">
        <v>3768</v>
      </c>
      <c r="E2148" t="s">
        <v>3769</v>
      </c>
      <c r="F2148" t="s">
        <v>0</v>
      </c>
      <c r="G2148" t="str">
        <f>"2018-10-18 14:56:50"</f>
        <v>2018-10-18 14:56:50</v>
      </c>
    </row>
    <row r="2149" spans="1:7" x14ac:dyDescent="0.2">
      <c r="A2149" t="s">
        <v>3770</v>
      </c>
      <c r="B2149" t="str">
        <f>"18206062102"</f>
        <v>18206062102</v>
      </c>
      <c r="C2149" t="str">
        <f>"350681198705143034"</f>
        <v>350681198705143034</v>
      </c>
      <c r="D2149" t="s">
        <v>3771</v>
      </c>
      <c r="E2149" t="s">
        <v>3772</v>
      </c>
      <c r="F2149" t="s">
        <v>0</v>
      </c>
      <c r="G2149" t="str">
        <f>"2018-10-18 14:51:56"</f>
        <v>2018-10-18 14:51:56</v>
      </c>
    </row>
    <row r="2150" spans="1:7" x14ac:dyDescent="0.2">
      <c r="A2150" t="s">
        <v>756</v>
      </c>
      <c r="B2150" t="str">
        <f>"18727808888"</f>
        <v>18727808888</v>
      </c>
      <c r="C2150" t="str">
        <f>"420281198806180041"</f>
        <v>420281198806180041</v>
      </c>
      <c r="D2150" t="s">
        <v>1</v>
      </c>
      <c r="E2150" t="s">
        <v>1</v>
      </c>
      <c r="F2150" t="s">
        <v>0</v>
      </c>
      <c r="G2150" t="str">
        <f>"2018-10-18 14:51:43"</f>
        <v>2018-10-18 14:51:43</v>
      </c>
    </row>
    <row r="2151" spans="1:7" x14ac:dyDescent="0.2">
      <c r="A2151" t="s">
        <v>569</v>
      </c>
      <c r="B2151" t="str">
        <f>"18907375039"</f>
        <v>18907375039</v>
      </c>
      <c r="C2151" t="str">
        <f>"430921198908186157"</f>
        <v>430921198908186157</v>
      </c>
      <c r="D2151" t="s">
        <v>1</v>
      </c>
      <c r="E2151" t="s">
        <v>1</v>
      </c>
      <c r="F2151" t="s">
        <v>0</v>
      </c>
      <c r="G2151" t="str">
        <f>"2018-10-18 14:53:30"</f>
        <v>2018-10-18 14:53:30</v>
      </c>
    </row>
    <row r="2152" spans="1:7" x14ac:dyDescent="0.2">
      <c r="A2152" t="s">
        <v>3773</v>
      </c>
      <c r="B2152" t="str">
        <f>"17635642912"</f>
        <v>17635642912</v>
      </c>
      <c r="C2152" t="str">
        <f>"140522200004032310"</f>
        <v>140522200004032310</v>
      </c>
      <c r="D2152" t="s">
        <v>1</v>
      </c>
      <c r="E2152" t="s">
        <v>1</v>
      </c>
      <c r="F2152" t="s">
        <v>0</v>
      </c>
      <c r="G2152" t="str">
        <f>"2018-10-18 14:53:45"</f>
        <v>2018-10-18 14:53:45</v>
      </c>
    </row>
    <row r="2153" spans="1:7" x14ac:dyDescent="0.2">
      <c r="A2153" t="s">
        <v>3774</v>
      </c>
      <c r="B2153" t="str">
        <f>"18696227591"</f>
        <v>18696227591</v>
      </c>
      <c r="C2153" t="str">
        <f>"420683197509186121"</f>
        <v>420683197509186121</v>
      </c>
      <c r="D2153" t="s">
        <v>1</v>
      </c>
      <c r="E2153" t="s">
        <v>1</v>
      </c>
      <c r="F2153" t="s">
        <v>0</v>
      </c>
      <c r="G2153" t="str">
        <f>"2018-10-18 15:14:27"</f>
        <v>2018-10-18 15:14:27</v>
      </c>
    </row>
    <row r="2154" spans="1:7" x14ac:dyDescent="0.2">
      <c r="A2154" t="s">
        <v>1</v>
      </c>
      <c r="B2154" t="str">
        <f>"15383533661"</f>
        <v>15383533661</v>
      </c>
      <c r="C2154" t="s">
        <v>1</v>
      </c>
      <c r="D2154" t="s">
        <v>1</v>
      </c>
      <c r="E2154" t="s">
        <v>1</v>
      </c>
      <c r="F2154" t="s">
        <v>0</v>
      </c>
      <c r="G2154" t="str">
        <f>"2018-10-18 14:50:12"</f>
        <v>2018-10-18 14:50:12</v>
      </c>
    </row>
    <row r="2155" spans="1:7" x14ac:dyDescent="0.2">
      <c r="A2155" t="s">
        <v>3775</v>
      </c>
      <c r="B2155" t="str">
        <f>"15283385878"</f>
        <v>15283385878</v>
      </c>
      <c r="C2155" t="str">
        <f>"511126197708281218"</f>
        <v>511126197708281218</v>
      </c>
      <c r="D2155" t="s">
        <v>1</v>
      </c>
      <c r="E2155" t="s">
        <v>1</v>
      </c>
      <c r="F2155" t="s">
        <v>0</v>
      </c>
      <c r="G2155" t="str">
        <f>"2018-10-18 14:53:44"</f>
        <v>2018-10-18 14:53:44</v>
      </c>
    </row>
    <row r="2156" spans="1:7" x14ac:dyDescent="0.2">
      <c r="A2156" t="s">
        <v>3776</v>
      </c>
      <c r="B2156" t="str">
        <f>"13431497017"</f>
        <v>13431497017</v>
      </c>
      <c r="C2156" t="str">
        <f>"44190019940607277X"</f>
        <v>44190019940607277X</v>
      </c>
      <c r="D2156" t="s">
        <v>1</v>
      </c>
      <c r="E2156" t="s">
        <v>1</v>
      </c>
      <c r="F2156" t="s">
        <v>0</v>
      </c>
      <c r="G2156" t="str">
        <f>"2018-10-18 14:51:48"</f>
        <v>2018-10-18 14:51:48</v>
      </c>
    </row>
    <row r="2157" spans="1:7" x14ac:dyDescent="0.2">
      <c r="A2157" t="s">
        <v>3777</v>
      </c>
      <c r="B2157" t="str">
        <f>"13832394678"</f>
        <v>13832394678</v>
      </c>
      <c r="C2157" t="str">
        <f>"13012419861021333X"</f>
        <v>13012419861021333X</v>
      </c>
      <c r="D2157" t="s">
        <v>1</v>
      </c>
      <c r="E2157" t="s">
        <v>1</v>
      </c>
      <c r="F2157" t="s">
        <v>0</v>
      </c>
      <c r="G2157" t="str">
        <f>"2018-10-18 14:51:58"</f>
        <v>2018-10-18 14:51:58</v>
      </c>
    </row>
    <row r="2158" spans="1:7" x14ac:dyDescent="0.2">
      <c r="A2158" t="s">
        <v>3778</v>
      </c>
      <c r="B2158" t="str">
        <f>"18328366200"</f>
        <v>18328366200</v>
      </c>
      <c r="C2158" t="str">
        <f>"511502199503290321"</f>
        <v>511502199503290321</v>
      </c>
      <c r="D2158" t="s">
        <v>1</v>
      </c>
      <c r="E2158" t="s">
        <v>1</v>
      </c>
      <c r="F2158" t="s">
        <v>0</v>
      </c>
      <c r="G2158" t="str">
        <f>"2018-10-18 14:49:43"</f>
        <v>2018-10-18 14:49:43</v>
      </c>
    </row>
    <row r="2159" spans="1:7" x14ac:dyDescent="0.2">
      <c r="A2159" t="s">
        <v>1</v>
      </c>
      <c r="B2159" t="str">
        <f>"17726633300"</f>
        <v>17726633300</v>
      </c>
      <c r="C2159" t="s">
        <v>1</v>
      </c>
      <c r="D2159" t="s">
        <v>1</v>
      </c>
      <c r="E2159" t="s">
        <v>1</v>
      </c>
      <c r="F2159" t="s">
        <v>0</v>
      </c>
      <c r="G2159" t="str">
        <f>"2018-10-18 14:49:42"</f>
        <v>2018-10-18 14:49:42</v>
      </c>
    </row>
    <row r="2160" spans="1:7" x14ac:dyDescent="0.2">
      <c r="A2160" t="s">
        <v>1806</v>
      </c>
      <c r="B2160" t="str">
        <f>"15924957215"</f>
        <v>15924957215</v>
      </c>
      <c r="C2160" t="str">
        <f>"530324199808151517"</f>
        <v>530324199808151517</v>
      </c>
      <c r="D2160" t="s">
        <v>1</v>
      </c>
      <c r="E2160" t="s">
        <v>1</v>
      </c>
      <c r="F2160" t="s">
        <v>0</v>
      </c>
      <c r="G2160" t="str">
        <f>"2018-10-18 14:51:36"</f>
        <v>2018-10-18 14:51:36</v>
      </c>
    </row>
    <row r="2161" spans="1:7" x14ac:dyDescent="0.2">
      <c r="A2161" t="s">
        <v>3779</v>
      </c>
      <c r="B2161" t="str">
        <f>"13235695453"</f>
        <v>13235695453</v>
      </c>
      <c r="C2161" t="str">
        <f>"420683198204286126"</f>
        <v>420683198204286126</v>
      </c>
      <c r="D2161" t="s">
        <v>1</v>
      </c>
      <c r="E2161" t="s">
        <v>1</v>
      </c>
      <c r="F2161" t="s">
        <v>0</v>
      </c>
      <c r="G2161" t="str">
        <f>"2018-10-18 14:50:52"</f>
        <v>2018-10-18 14:50:52</v>
      </c>
    </row>
    <row r="2162" spans="1:7" x14ac:dyDescent="0.2">
      <c r="A2162" t="s">
        <v>3780</v>
      </c>
      <c r="B2162" t="str">
        <f>"18687781619"</f>
        <v>18687781619</v>
      </c>
      <c r="C2162" t="str">
        <f>"530425198910250025"</f>
        <v>530425198910250025</v>
      </c>
      <c r="D2162" t="s">
        <v>3781</v>
      </c>
      <c r="E2162" t="s">
        <v>3782</v>
      </c>
      <c r="F2162" t="s">
        <v>0</v>
      </c>
      <c r="G2162" t="str">
        <f>"2018-10-18 14:51:16"</f>
        <v>2018-10-18 14:51:16</v>
      </c>
    </row>
    <row r="2163" spans="1:7" x14ac:dyDescent="0.2">
      <c r="A2163" t="s">
        <v>3783</v>
      </c>
      <c r="B2163" t="str">
        <f>"13197532325"</f>
        <v>13197532325</v>
      </c>
      <c r="C2163" t="str">
        <f>"452402199304251222"</f>
        <v>452402199304251222</v>
      </c>
      <c r="D2163" t="s">
        <v>1</v>
      </c>
      <c r="E2163" t="s">
        <v>1</v>
      </c>
      <c r="F2163" t="s">
        <v>0</v>
      </c>
      <c r="G2163" t="str">
        <f>"2018-10-18 14:51:55"</f>
        <v>2018-10-18 14:51:55</v>
      </c>
    </row>
    <row r="2164" spans="1:7" x14ac:dyDescent="0.2">
      <c r="A2164" t="s">
        <v>3784</v>
      </c>
      <c r="B2164" t="str">
        <f>"17621314250"</f>
        <v>17621314250</v>
      </c>
      <c r="C2164" t="str">
        <f>"411522199403113610"</f>
        <v>411522199403113610</v>
      </c>
      <c r="D2164" t="s">
        <v>1</v>
      </c>
      <c r="E2164" t="s">
        <v>1</v>
      </c>
      <c r="F2164" t="s">
        <v>0</v>
      </c>
      <c r="G2164" t="str">
        <f>"2018-10-18 14:52:37"</f>
        <v>2018-10-18 14:52:37</v>
      </c>
    </row>
    <row r="2165" spans="1:7" x14ac:dyDescent="0.2">
      <c r="A2165" t="s">
        <v>1</v>
      </c>
      <c r="B2165" t="str">
        <f>"18672555377"</f>
        <v>18672555377</v>
      </c>
      <c r="C2165" t="s">
        <v>1</v>
      </c>
      <c r="D2165" t="s">
        <v>1</v>
      </c>
      <c r="E2165" t="s">
        <v>1</v>
      </c>
      <c r="F2165" t="s">
        <v>0</v>
      </c>
      <c r="G2165" t="str">
        <f>"2018-10-18 14:49:12"</f>
        <v>2018-10-18 14:49:12</v>
      </c>
    </row>
    <row r="2166" spans="1:7" x14ac:dyDescent="0.2">
      <c r="A2166" t="s">
        <v>3785</v>
      </c>
      <c r="B2166" t="str">
        <f>"15991747756"</f>
        <v>15991747756</v>
      </c>
      <c r="C2166" t="str">
        <f>"612301199204210931"</f>
        <v>612301199204210931</v>
      </c>
      <c r="D2166" t="s">
        <v>3786</v>
      </c>
      <c r="E2166" t="s">
        <v>3787</v>
      </c>
      <c r="F2166" t="s">
        <v>0</v>
      </c>
      <c r="G2166" t="str">
        <f>"2018-10-18 14:50:10"</f>
        <v>2018-10-18 14:50:10</v>
      </c>
    </row>
    <row r="2167" spans="1:7" x14ac:dyDescent="0.2">
      <c r="A2167" t="s">
        <v>3788</v>
      </c>
      <c r="B2167" t="str">
        <f>"13896015633"</f>
        <v>13896015633</v>
      </c>
      <c r="C2167" t="str">
        <f>"510221197405214723"</f>
        <v>510221197405214723</v>
      </c>
      <c r="D2167" t="s">
        <v>1</v>
      </c>
      <c r="E2167" t="s">
        <v>1</v>
      </c>
      <c r="F2167" t="s">
        <v>0</v>
      </c>
      <c r="G2167" t="str">
        <f>"2018-10-18 14:51:14"</f>
        <v>2018-10-18 14:51:14</v>
      </c>
    </row>
    <row r="2168" spans="1:7" x14ac:dyDescent="0.2">
      <c r="A2168" t="s">
        <v>3789</v>
      </c>
      <c r="B2168" t="str">
        <f>"13309907601"</f>
        <v>13309907601</v>
      </c>
      <c r="C2168" t="str">
        <f>"654001197306060018"</f>
        <v>654001197306060018</v>
      </c>
      <c r="D2168" t="s">
        <v>3790</v>
      </c>
      <c r="E2168" t="s">
        <v>3791</v>
      </c>
      <c r="F2168" t="s">
        <v>0</v>
      </c>
      <c r="G2168" t="str">
        <f>"2018-10-18 14:49:06"</f>
        <v>2018-10-18 14:49:06</v>
      </c>
    </row>
    <row r="2169" spans="1:7" x14ac:dyDescent="0.2">
      <c r="A2169" t="s">
        <v>1</v>
      </c>
      <c r="B2169" t="str">
        <f>"13027209283"</f>
        <v>13027209283</v>
      </c>
      <c r="C2169" t="s">
        <v>1</v>
      </c>
      <c r="D2169" t="s">
        <v>1</v>
      </c>
      <c r="E2169" t="s">
        <v>1</v>
      </c>
      <c r="F2169" t="s">
        <v>0</v>
      </c>
      <c r="G2169" t="str">
        <f>"2018-10-18 14:49:01"</f>
        <v>2018-10-18 14:49:01</v>
      </c>
    </row>
    <row r="2170" spans="1:7" x14ac:dyDescent="0.2">
      <c r="A2170" t="s">
        <v>3792</v>
      </c>
      <c r="B2170" t="str">
        <f>"13099928389"</f>
        <v>13099928389</v>
      </c>
      <c r="C2170" t="str">
        <f>"532126199405142353"</f>
        <v>532126199405142353</v>
      </c>
      <c r="D2170" t="s">
        <v>1</v>
      </c>
      <c r="E2170" t="s">
        <v>1</v>
      </c>
      <c r="F2170" t="s">
        <v>0</v>
      </c>
      <c r="G2170" t="str">
        <f>"2018-10-18 19:49:49"</f>
        <v>2018-10-18 19:49:49</v>
      </c>
    </row>
    <row r="2171" spans="1:7" x14ac:dyDescent="0.2">
      <c r="A2171" t="s">
        <v>3793</v>
      </c>
      <c r="B2171" t="str">
        <f>"13640100230"</f>
        <v>13640100230</v>
      </c>
      <c r="C2171" t="str">
        <f>"440232199807174111"</f>
        <v>440232199807174111</v>
      </c>
      <c r="D2171" t="s">
        <v>1</v>
      </c>
      <c r="E2171" t="s">
        <v>1</v>
      </c>
      <c r="F2171" t="s">
        <v>0</v>
      </c>
      <c r="G2171" t="str">
        <f>"2018-10-18 14:51:48"</f>
        <v>2018-10-18 14:51:48</v>
      </c>
    </row>
    <row r="2172" spans="1:7" x14ac:dyDescent="0.2">
      <c r="A2172" t="s">
        <v>3794</v>
      </c>
      <c r="B2172" t="str">
        <f>"18369741396"</f>
        <v>18369741396</v>
      </c>
      <c r="C2172" t="str">
        <f>"370830199605123510"</f>
        <v>370830199605123510</v>
      </c>
      <c r="D2172" t="s">
        <v>1</v>
      </c>
      <c r="E2172" t="s">
        <v>1</v>
      </c>
      <c r="F2172" t="s">
        <v>0</v>
      </c>
      <c r="G2172" t="str">
        <f>"2018-10-18 14:49:59"</f>
        <v>2018-10-18 14:49:59</v>
      </c>
    </row>
    <row r="2173" spans="1:7" x14ac:dyDescent="0.2">
      <c r="A2173" t="s">
        <v>3795</v>
      </c>
      <c r="B2173" t="str">
        <f>"13457949699"</f>
        <v>13457949699</v>
      </c>
      <c r="C2173" t="str">
        <f>"220881199410291327"</f>
        <v>220881199410291327</v>
      </c>
      <c r="D2173" t="s">
        <v>1</v>
      </c>
      <c r="E2173" t="s">
        <v>1</v>
      </c>
      <c r="F2173" t="s">
        <v>0</v>
      </c>
      <c r="G2173" t="str">
        <f>"2018-10-18 14:49:51"</f>
        <v>2018-10-18 14:49:51</v>
      </c>
    </row>
    <row r="2174" spans="1:7" x14ac:dyDescent="0.2">
      <c r="A2174" t="s">
        <v>3796</v>
      </c>
      <c r="B2174" t="str">
        <f>"13734399970"</f>
        <v>13734399970</v>
      </c>
      <c r="C2174" t="str">
        <f>"371325198612011638"</f>
        <v>371325198612011638</v>
      </c>
      <c r="D2174" t="s">
        <v>3797</v>
      </c>
      <c r="E2174" t="s">
        <v>3798</v>
      </c>
      <c r="F2174" t="s">
        <v>0</v>
      </c>
      <c r="G2174" t="str">
        <f>"2018-10-18 14:49:55"</f>
        <v>2018-10-18 14:49:55</v>
      </c>
    </row>
    <row r="2175" spans="1:7" x14ac:dyDescent="0.2">
      <c r="A2175" t="s">
        <v>242</v>
      </c>
      <c r="B2175" t="str">
        <f>"18829805878"</f>
        <v>18829805878</v>
      </c>
      <c r="C2175" t="str">
        <f>"610422199505280031"</f>
        <v>610422199505280031</v>
      </c>
      <c r="D2175" t="s">
        <v>1</v>
      </c>
      <c r="E2175" t="s">
        <v>1</v>
      </c>
      <c r="F2175" t="s">
        <v>0</v>
      </c>
      <c r="G2175" t="str">
        <f>"2018-10-18 14:58:55"</f>
        <v>2018-10-18 14:58:55</v>
      </c>
    </row>
    <row r="2176" spans="1:7" x14ac:dyDescent="0.2">
      <c r="A2176" t="s">
        <v>3799</v>
      </c>
      <c r="B2176" t="str">
        <f>"15968706062"</f>
        <v>15968706062</v>
      </c>
      <c r="C2176" t="str">
        <f>"360481198607272028"</f>
        <v>360481198607272028</v>
      </c>
      <c r="D2176" t="s">
        <v>1</v>
      </c>
      <c r="E2176" t="s">
        <v>1</v>
      </c>
      <c r="F2176" t="s">
        <v>0</v>
      </c>
      <c r="G2176" t="str">
        <f>"2018-10-18 14:49:52"</f>
        <v>2018-10-18 14:49:52</v>
      </c>
    </row>
    <row r="2177" spans="1:7" x14ac:dyDescent="0.2">
      <c r="A2177" t="s">
        <v>1</v>
      </c>
      <c r="B2177" t="str">
        <f>"15267966300"</f>
        <v>15267966300</v>
      </c>
      <c r="C2177" t="s">
        <v>1</v>
      </c>
      <c r="D2177" t="s">
        <v>1</v>
      </c>
      <c r="E2177" t="s">
        <v>1</v>
      </c>
      <c r="F2177" t="s">
        <v>0</v>
      </c>
      <c r="G2177" t="str">
        <f>"2018-10-18 14:48:22"</f>
        <v>2018-10-18 14:48:22</v>
      </c>
    </row>
    <row r="2178" spans="1:7" x14ac:dyDescent="0.2">
      <c r="A2178" t="s">
        <v>1</v>
      </c>
      <c r="B2178" t="str">
        <f>"15070978197"</f>
        <v>15070978197</v>
      </c>
      <c r="C2178" t="s">
        <v>1</v>
      </c>
      <c r="D2178" t="s">
        <v>1</v>
      </c>
      <c r="E2178" t="s">
        <v>1</v>
      </c>
      <c r="F2178" t="s">
        <v>0</v>
      </c>
      <c r="G2178" t="str">
        <f>"2018-10-18 14:48:21"</f>
        <v>2018-10-18 14:48:21</v>
      </c>
    </row>
    <row r="2179" spans="1:7" x14ac:dyDescent="0.2">
      <c r="A2179" t="s">
        <v>1</v>
      </c>
      <c r="B2179" t="str">
        <f>"13836266346"</f>
        <v>13836266346</v>
      </c>
      <c r="C2179" t="s">
        <v>1</v>
      </c>
      <c r="D2179" t="s">
        <v>1</v>
      </c>
      <c r="E2179" t="s">
        <v>1</v>
      </c>
      <c r="F2179" t="s">
        <v>0</v>
      </c>
      <c r="G2179" t="str">
        <f>"2018-10-18 14:49:25"</f>
        <v>2018-10-18 14:49:25</v>
      </c>
    </row>
    <row r="2180" spans="1:7" x14ac:dyDescent="0.2">
      <c r="A2180" t="s">
        <v>3800</v>
      </c>
      <c r="B2180" t="str">
        <f>"17307934356"</f>
        <v>17307934356</v>
      </c>
      <c r="C2180" t="str">
        <f>"361121199902023019"</f>
        <v>361121199902023019</v>
      </c>
      <c r="D2180" t="s">
        <v>1</v>
      </c>
      <c r="E2180" t="s">
        <v>1</v>
      </c>
      <c r="F2180" t="s">
        <v>0</v>
      </c>
      <c r="G2180" t="str">
        <f>"2018-10-20 19:27:02"</f>
        <v>2018-10-20 19:27:02</v>
      </c>
    </row>
    <row r="2181" spans="1:7" x14ac:dyDescent="0.2">
      <c r="A2181" t="s">
        <v>1</v>
      </c>
      <c r="B2181" t="str">
        <f>"13622588256"</f>
        <v>13622588256</v>
      </c>
      <c r="C2181" t="s">
        <v>1</v>
      </c>
      <c r="D2181" t="s">
        <v>1</v>
      </c>
      <c r="E2181" t="s">
        <v>1</v>
      </c>
      <c r="F2181" t="s">
        <v>0</v>
      </c>
      <c r="G2181" t="str">
        <f>"2018-10-18 14:47:57"</f>
        <v>2018-10-18 14:47:57</v>
      </c>
    </row>
    <row r="2182" spans="1:7" x14ac:dyDescent="0.2">
      <c r="A2182" t="s">
        <v>3801</v>
      </c>
      <c r="B2182" t="str">
        <f>"13475609222"</f>
        <v>13475609222</v>
      </c>
      <c r="C2182" t="str">
        <f>"370305198810201516"</f>
        <v>370305198810201516</v>
      </c>
      <c r="D2182" t="s">
        <v>1</v>
      </c>
      <c r="E2182" t="s">
        <v>1</v>
      </c>
      <c r="F2182" t="s">
        <v>0</v>
      </c>
      <c r="G2182" t="str">
        <f>"2018-10-18 14:50:09"</f>
        <v>2018-10-18 14:50:09</v>
      </c>
    </row>
    <row r="2183" spans="1:7" x14ac:dyDescent="0.2">
      <c r="A2183" t="s">
        <v>3802</v>
      </c>
      <c r="B2183" t="str">
        <f>"15032199028"</f>
        <v>15032199028</v>
      </c>
      <c r="C2183" t="str">
        <f>"130106198602190024"</f>
        <v>130106198602190024</v>
      </c>
      <c r="D2183" t="s">
        <v>1</v>
      </c>
      <c r="E2183" t="s">
        <v>1</v>
      </c>
      <c r="F2183" t="s">
        <v>0</v>
      </c>
      <c r="G2183" t="str">
        <f>"2018-10-18 14:49:37"</f>
        <v>2018-10-18 14:49:37</v>
      </c>
    </row>
    <row r="2184" spans="1:7" x14ac:dyDescent="0.2">
      <c r="A2184" t="s">
        <v>1</v>
      </c>
      <c r="B2184" t="str">
        <f>"15560531810"</f>
        <v>15560531810</v>
      </c>
      <c r="C2184" t="s">
        <v>1</v>
      </c>
      <c r="D2184" t="s">
        <v>1</v>
      </c>
      <c r="E2184" t="s">
        <v>1</v>
      </c>
      <c r="F2184" t="s">
        <v>0</v>
      </c>
      <c r="G2184" t="str">
        <f>"2018-10-18 14:49:32"</f>
        <v>2018-10-18 14:49:32</v>
      </c>
    </row>
    <row r="2185" spans="1:7" x14ac:dyDescent="0.2">
      <c r="A2185" t="s">
        <v>1</v>
      </c>
      <c r="B2185" t="str">
        <f>"13005943841"</f>
        <v>13005943841</v>
      </c>
      <c r="C2185" t="s">
        <v>1</v>
      </c>
      <c r="D2185" t="s">
        <v>1</v>
      </c>
      <c r="E2185" t="s">
        <v>1</v>
      </c>
      <c r="F2185" t="s">
        <v>0</v>
      </c>
      <c r="G2185" t="str">
        <f>"2018-10-18 14:47:44"</f>
        <v>2018-10-18 14:47:44</v>
      </c>
    </row>
    <row r="2186" spans="1:7" x14ac:dyDescent="0.2">
      <c r="A2186" t="s">
        <v>3803</v>
      </c>
      <c r="B2186" t="str">
        <f>"13607037137"</f>
        <v>13607037137</v>
      </c>
      <c r="C2186" t="str">
        <f>"362325199310280019"</f>
        <v>362325199310280019</v>
      </c>
      <c r="D2186" t="s">
        <v>1</v>
      </c>
      <c r="E2186" t="s">
        <v>1</v>
      </c>
      <c r="F2186" t="s">
        <v>0</v>
      </c>
      <c r="G2186" t="str">
        <f>"2018-10-18 15:23:29"</f>
        <v>2018-10-18 15:23:29</v>
      </c>
    </row>
    <row r="2187" spans="1:7" x14ac:dyDescent="0.2">
      <c r="A2187" t="s">
        <v>1</v>
      </c>
      <c r="B2187" t="str">
        <f>"15974255936"</f>
        <v>15974255936</v>
      </c>
      <c r="C2187" t="s">
        <v>1</v>
      </c>
      <c r="D2187" t="s">
        <v>1</v>
      </c>
      <c r="E2187" t="s">
        <v>1</v>
      </c>
      <c r="F2187" t="s">
        <v>0</v>
      </c>
      <c r="G2187" t="str">
        <f>"2018-10-18 14:49:46"</f>
        <v>2018-10-18 14:49:46</v>
      </c>
    </row>
    <row r="2188" spans="1:7" x14ac:dyDescent="0.2">
      <c r="A2188" t="s">
        <v>3804</v>
      </c>
      <c r="B2188" t="str">
        <f>"13645711660"</f>
        <v>13645711660</v>
      </c>
      <c r="C2188" t="str">
        <f>"330122199803081811"</f>
        <v>330122199803081811</v>
      </c>
      <c r="D2188" t="s">
        <v>1</v>
      </c>
      <c r="E2188" t="s">
        <v>1</v>
      </c>
      <c r="F2188" t="s">
        <v>0</v>
      </c>
      <c r="G2188" t="str">
        <f>"2018-10-18 14:48:57"</f>
        <v>2018-10-18 14:48:57</v>
      </c>
    </row>
    <row r="2189" spans="1:7" x14ac:dyDescent="0.2">
      <c r="A2189" t="s">
        <v>3805</v>
      </c>
      <c r="B2189" t="str">
        <f>"15035032731"</f>
        <v>15035032731</v>
      </c>
      <c r="C2189" t="str">
        <f>"142727199009032511"</f>
        <v>142727199009032511</v>
      </c>
      <c r="D2189" t="s">
        <v>1</v>
      </c>
      <c r="E2189" t="s">
        <v>1</v>
      </c>
      <c r="F2189" t="s">
        <v>0</v>
      </c>
      <c r="G2189" t="str">
        <f>"2018-10-18 14:49:23"</f>
        <v>2018-10-18 14:49:23</v>
      </c>
    </row>
    <row r="2190" spans="1:7" x14ac:dyDescent="0.2">
      <c r="A2190" t="s">
        <v>577</v>
      </c>
      <c r="B2190" t="str">
        <f>"15248962832"</f>
        <v>15248962832</v>
      </c>
      <c r="C2190" t="str">
        <f>"140302198910210418"</f>
        <v>140302198910210418</v>
      </c>
      <c r="D2190" t="s">
        <v>1</v>
      </c>
      <c r="E2190" t="s">
        <v>1</v>
      </c>
      <c r="F2190" t="s">
        <v>0</v>
      </c>
      <c r="G2190" t="str">
        <f>"2018-10-18 14:50:52"</f>
        <v>2018-10-18 14:50:52</v>
      </c>
    </row>
    <row r="2191" spans="1:7" x14ac:dyDescent="0.2">
      <c r="A2191" t="s">
        <v>3806</v>
      </c>
      <c r="B2191" t="str">
        <f>"15147659706"</f>
        <v>15147659706</v>
      </c>
      <c r="C2191" t="str">
        <f>"150422198201090997"</f>
        <v>150422198201090997</v>
      </c>
      <c r="D2191" t="s">
        <v>1</v>
      </c>
      <c r="E2191" t="s">
        <v>1</v>
      </c>
      <c r="F2191" t="s">
        <v>0</v>
      </c>
      <c r="G2191" t="str">
        <f>"2018-10-18 14:49:56"</f>
        <v>2018-10-18 14:49:56</v>
      </c>
    </row>
    <row r="2192" spans="1:7" x14ac:dyDescent="0.2">
      <c r="A2192" t="s">
        <v>878</v>
      </c>
      <c r="B2192" t="str">
        <f>"15202112412"</f>
        <v>15202112412</v>
      </c>
      <c r="C2192" t="str">
        <f>"522124199505063615"</f>
        <v>522124199505063615</v>
      </c>
      <c r="D2192" t="s">
        <v>1</v>
      </c>
      <c r="E2192" t="s">
        <v>1</v>
      </c>
      <c r="F2192" t="s">
        <v>0</v>
      </c>
      <c r="G2192" t="str">
        <f>"2018-10-18 14:49:12"</f>
        <v>2018-10-18 14:49:12</v>
      </c>
    </row>
    <row r="2193" spans="1:7" x14ac:dyDescent="0.2">
      <c r="A2193" t="s">
        <v>3807</v>
      </c>
      <c r="B2193" t="str">
        <f>"15981977926"</f>
        <v>15981977926</v>
      </c>
      <c r="C2193" t="str">
        <f>"410185199111051019"</f>
        <v>410185199111051019</v>
      </c>
      <c r="D2193" t="s">
        <v>1</v>
      </c>
      <c r="E2193" t="s">
        <v>1</v>
      </c>
      <c r="F2193" t="s">
        <v>0</v>
      </c>
      <c r="G2193" t="str">
        <f>"2018-10-18 14:46:56"</f>
        <v>2018-10-18 14:46:56</v>
      </c>
    </row>
    <row r="2194" spans="1:7" x14ac:dyDescent="0.2">
      <c r="A2194" t="s">
        <v>3808</v>
      </c>
      <c r="B2194" t="str">
        <f>"15333249158"</f>
        <v>15333249158</v>
      </c>
      <c r="C2194" t="str">
        <f>"131082199809255549"</f>
        <v>131082199809255549</v>
      </c>
      <c r="D2194" t="s">
        <v>1</v>
      </c>
      <c r="E2194" t="s">
        <v>1</v>
      </c>
      <c r="F2194" t="s">
        <v>0</v>
      </c>
      <c r="G2194" t="str">
        <f>"2018-10-18 14:49:09"</f>
        <v>2018-10-18 14:49:09</v>
      </c>
    </row>
    <row r="2195" spans="1:7" x14ac:dyDescent="0.2">
      <c r="A2195" t="s">
        <v>3809</v>
      </c>
      <c r="B2195" t="str">
        <f>"13880625816"</f>
        <v>13880625816</v>
      </c>
      <c r="C2195" t="str">
        <f>"510113197808028030"</f>
        <v>510113197808028030</v>
      </c>
      <c r="D2195" t="s">
        <v>1</v>
      </c>
      <c r="E2195" t="s">
        <v>1</v>
      </c>
      <c r="F2195" t="s">
        <v>0</v>
      </c>
      <c r="G2195" t="str">
        <f>"2018-10-18 16:38:09"</f>
        <v>2018-10-18 16:38:09</v>
      </c>
    </row>
    <row r="2196" spans="1:7" x14ac:dyDescent="0.2">
      <c r="A2196" t="s">
        <v>3810</v>
      </c>
      <c r="B2196" t="str">
        <f>"13981545166"</f>
        <v>13981545166</v>
      </c>
      <c r="C2196" t="str">
        <f>"513433197106102747"</f>
        <v>513433197106102747</v>
      </c>
      <c r="D2196" t="s">
        <v>1</v>
      </c>
      <c r="E2196" t="s">
        <v>1</v>
      </c>
      <c r="F2196" t="s">
        <v>0</v>
      </c>
      <c r="G2196" t="str">
        <f>"2018-10-18 15:14:13"</f>
        <v>2018-10-18 15:14:13</v>
      </c>
    </row>
    <row r="2197" spans="1:7" x14ac:dyDescent="0.2">
      <c r="A2197" t="s">
        <v>360</v>
      </c>
      <c r="B2197" t="str">
        <f>"18765668898"</f>
        <v>18765668898</v>
      </c>
      <c r="C2197" t="str">
        <f>"370782199908054285"</f>
        <v>370782199908054285</v>
      </c>
      <c r="D2197" t="s">
        <v>3811</v>
      </c>
      <c r="E2197" t="s">
        <v>3812</v>
      </c>
      <c r="F2197" t="s">
        <v>0</v>
      </c>
      <c r="G2197" t="str">
        <f>"2018-10-18 14:48:35"</f>
        <v>2018-10-18 14:48:35</v>
      </c>
    </row>
    <row r="2198" spans="1:7" x14ac:dyDescent="0.2">
      <c r="A2198" t="s">
        <v>3813</v>
      </c>
      <c r="B2198" t="str">
        <f>"18228513503"</f>
        <v>18228513503</v>
      </c>
      <c r="C2198" t="str">
        <f>"230623199610120618"</f>
        <v>230623199610120618</v>
      </c>
      <c r="D2198" t="s">
        <v>1</v>
      </c>
      <c r="E2198" t="s">
        <v>1</v>
      </c>
      <c r="F2198" t="s">
        <v>0</v>
      </c>
      <c r="G2198" t="str">
        <f>"2018-10-18 14:47:22"</f>
        <v>2018-10-18 14:47:22</v>
      </c>
    </row>
    <row r="2199" spans="1:7" x14ac:dyDescent="0.2">
      <c r="A2199" t="s">
        <v>3814</v>
      </c>
      <c r="B2199" t="str">
        <f>"17634117394"</f>
        <v>17634117394</v>
      </c>
      <c r="C2199" t="str">
        <f>"142601199706235649"</f>
        <v>142601199706235649</v>
      </c>
      <c r="D2199" t="s">
        <v>1</v>
      </c>
      <c r="E2199" t="s">
        <v>1</v>
      </c>
      <c r="F2199" t="s">
        <v>0</v>
      </c>
      <c r="G2199" t="str">
        <f>"2018-10-26 11:47:40"</f>
        <v>2018-10-26 11:47:40</v>
      </c>
    </row>
    <row r="2200" spans="1:7" x14ac:dyDescent="0.2">
      <c r="A2200" t="s">
        <v>3815</v>
      </c>
      <c r="B2200" t="str">
        <f>"18182822230"</f>
        <v>18182822230</v>
      </c>
      <c r="C2200" t="str">
        <f>"230225198406222314"</f>
        <v>230225198406222314</v>
      </c>
      <c r="D2200" t="s">
        <v>1</v>
      </c>
      <c r="E2200" t="s">
        <v>1</v>
      </c>
      <c r="F2200" t="s">
        <v>0</v>
      </c>
      <c r="G2200" t="str">
        <f>"2018-10-18 14:46:48"</f>
        <v>2018-10-18 14:46:48</v>
      </c>
    </row>
    <row r="2201" spans="1:7" x14ac:dyDescent="0.2">
      <c r="A2201" t="s">
        <v>1</v>
      </c>
      <c r="B2201" t="str">
        <f>"13814979531"</f>
        <v>13814979531</v>
      </c>
      <c r="C2201" t="s">
        <v>1</v>
      </c>
      <c r="D2201" t="s">
        <v>1</v>
      </c>
      <c r="E2201" t="s">
        <v>1</v>
      </c>
      <c r="F2201" t="s">
        <v>0</v>
      </c>
      <c r="G2201" t="str">
        <f>"2018-10-18 14:45:58"</f>
        <v>2018-10-18 14:45:58</v>
      </c>
    </row>
    <row r="2202" spans="1:7" x14ac:dyDescent="0.2">
      <c r="A2202" t="s">
        <v>1</v>
      </c>
      <c r="B2202" t="str">
        <f>"18294835830"</f>
        <v>18294835830</v>
      </c>
      <c r="C2202" t="s">
        <v>1</v>
      </c>
      <c r="D2202" t="s">
        <v>1</v>
      </c>
      <c r="E2202" t="s">
        <v>1</v>
      </c>
      <c r="F2202" t="s">
        <v>0</v>
      </c>
      <c r="G2202" t="str">
        <f>"2018-10-18 14:47:30"</f>
        <v>2018-10-18 14:47:30</v>
      </c>
    </row>
    <row r="2203" spans="1:7" x14ac:dyDescent="0.2">
      <c r="A2203" t="s">
        <v>3816</v>
      </c>
      <c r="B2203" t="str">
        <f>"13863767120"</f>
        <v>13863767120</v>
      </c>
      <c r="C2203" t="str">
        <f>"370830198502156518"</f>
        <v>370830198502156518</v>
      </c>
      <c r="D2203" t="s">
        <v>1</v>
      </c>
      <c r="E2203" t="s">
        <v>1</v>
      </c>
      <c r="F2203" t="s">
        <v>0</v>
      </c>
      <c r="G2203" t="str">
        <f>"2018-10-18 14:49:40"</f>
        <v>2018-10-18 14:49:40</v>
      </c>
    </row>
    <row r="2204" spans="1:7" x14ac:dyDescent="0.2">
      <c r="A2204" t="s">
        <v>3817</v>
      </c>
      <c r="B2204" t="str">
        <f>"13458844244"</f>
        <v>13458844244</v>
      </c>
      <c r="C2204" t="str">
        <f>"511525199002282037"</f>
        <v>511525199002282037</v>
      </c>
      <c r="D2204" t="s">
        <v>1</v>
      </c>
      <c r="E2204" t="s">
        <v>1</v>
      </c>
      <c r="F2204" t="s">
        <v>0</v>
      </c>
      <c r="G2204" t="str">
        <f>"2018-10-18 16:21:12"</f>
        <v>2018-10-18 16:21:12</v>
      </c>
    </row>
    <row r="2205" spans="1:7" x14ac:dyDescent="0.2">
      <c r="A2205" t="s">
        <v>3818</v>
      </c>
      <c r="B2205" t="str">
        <f>"15206656056"</f>
        <v>15206656056</v>
      </c>
      <c r="C2205" t="str">
        <f>"371521198806080311"</f>
        <v>371521198806080311</v>
      </c>
      <c r="D2205" t="s">
        <v>1</v>
      </c>
      <c r="E2205" t="s">
        <v>1</v>
      </c>
      <c r="F2205" t="s">
        <v>0</v>
      </c>
      <c r="G2205" t="str">
        <f>"2018-10-18 14:47:43"</f>
        <v>2018-10-18 14:47:43</v>
      </c>
    </row>
    <row r="2206" spans="1:7" x14ac:dyDescent="0.2">
      <c r="A2206" t="s">
        <v>3819</v>
      </c>
      <c r="B2206" t="str">
        <f>"15094151443"</f>
        <v>15094151443</v>
      </c>
      <c r="C2206" t="str">
        <f>"53250119900119221X"</f>
        <v>53250119900119221X</v>
      </c>
      <c r="D2206" t="s">
        <v>1</v>
      </c>
      <c r="E2206" t="s">
        <v>1</v>
      </c>
      <c r="F2206" t="s">
        <v>0</v>
      </c>
      <c r="G2206" t="str">
        <f>"2018-10-18 14:47:17"</f>
        <v>2018-10-18 14:47:17</v>
      </c>
    </row>
    <row r="2207" spans="1:7" x14ac:dyDescent="0.2">
      <c r="A2207" t="s">
        <v>1015</v>
      </c>
      <c r="B2207" t="str">
        <f>"13599086448"</f>
        <v>13599086448</v>
      </c>
      <c r="C2207" t="str">
        <f>"350121198803310330"</f>
        <v>350121198803310330</v>
      </c>
      <c r="D2207" t="s">
        <v>1</v>
      </c>
      <c r="E2207" t="s">
        <v>1</v>
      </c>
      <c r="F2207" t="s">
        <v>0</v>
      </c>
      <c r="G2207" t="str">
        <f>"2018-10-18 14:50:07"</f>
        <v>2018-10-18 14:50:07</v>
      </c>
    </row>
    <row r="2208" spans="1:7" x14ac:dyDescent="0.2">
      <c r="A2208" t="s">
        <v>1</v>
      </c>
      <c r="B2208" t="str">
        <f>"13941722562"</f>
        <v>13941722562</v>
      </c>
      <c r="C2208" t="s">
        <v>1</v>
      </c>
      <c r="D2208" t="s">
        <v>1</v>
      </c>
      <c r="E2208" t="s">
        <v>1</v>
      </c>
      <c r="F2208" t="s">
        <v>0</v>
      </c>
      <c r="G2208" t="str">
        <f>"2018-10-18 14:50:51"</f>
        <v>2018-10-18 14:50:51</v>
      </c>
    </row>
    <row r="2209" spans="1:7" x14ac:dyDescent="0.2">
      <c r="A2209" t="s">
        <v>3820</v>
      </c>
      <c r="B2209" t="str">
        <f>"13764048027"</f>
        <v>13764048027</v>
      </c>
      <c r="C2209" t="str">
        <f>"362322198901196034"</f>
        <v>362322198901196034</v>
      </c>
      <c r="D2209" t="s">
        <v>1</v>
      </c>
      <c r="E2209" t="s">
        <v>1</v>
      </c>
      <c r="F2209" t="s">
        <v>0</v>
      </c>
      <c r="G2209" t="str">
        <f>"2018-10-18 14:49:47"</f>
        <v>2018-10-18 14:49:47</v>
      </c>
    </row>
    <row r="2210" spans="1:7" x14ac:dyDescent="0.2">
      <c r="A2210" t="s">
        <v>1</v>
      </c>
      <c r="B2210" t="str">
        <f>"15506919690"</f>
        <v>15506919690</v>
      </c>
      <c r="C2210" t="s">
        <v>1</v>
      </c>
      <c r="D2210" t="s">
        <v>1</v>
      </c>
      <c r="E2210" t="s">
        <v>1</v>
      </c>
      <c r="F2210" t="s">
        <v>0</v>
      </c>
      <c r="G2210" t="str">
        <f>"2018-10-18 14:45:22"</f>
        <v>2018-10-18 14:45:22</v>
      </c>
    </row>
    <row r="2211" spans="1:7" x14ac:dyDescent="0.2">
      <c r="A2211" t="s">
        <v>3821</v>
      </c>
      <c r="B2211" t="str">
        <f>"13079995693"</f>
        <v>13079995693</v>
      </c>
      <c r="C2211" t="str">
        <f>"412728199110111275"</f>
        <v>412728199110111275</v>
      </c>
      <c r="D2211" t="s">
        <v>1</v>
      </c>
      <c r="E2211" t="s">
        <v>1</v>
      </c>
      <c r="F2211" t="s">
        <v>0</v>
      </c>
      <c r="G2211" t="str">
        <f>"2018-10-18 14:56:13"</f>
        <v>2018-10-18 14:56:13</v>
      </c>
    </row>
    <row r="2212" spans="1:7" x14ac:dyDescent="0.2">
      <c r="A2212" t="s">
        <v>3822</v>
      </c>
      <c r="B2212" t="str">
        <f>"18783685438"</f>
        <v>18783685438</v>
      </c>
      <c r="C2212" t="str">
        <f>"51322719940910242X"</f>
        <v>51322719940910242X</v>
      </c>
      <c r="D2212" t="s">
        <v>3823</v>
      </c>
      <c r="E2212" t="s">
        <v>3824</v>
      </c>
      <c r="F2212" t="s">
        <v>0</v>
      </c>
      <c r="G2212" t="str">
        <f>"2018-10-18 14:48:39"</f>
        <v>2018-10-18 14:48:39</v>
      </c>
    </row>
    <row r="2213" spans="1:7" x14ac:dyDescent="0.2">
      <c r="A2213" t="s">
        <v>1471</v>
      </c>
      <c r="B2213" t="str">
        <f>"18053565683"</f>
        <v>18053565683</v>
      </c>
      <c r="C2213" t="str">
        <f>"370613198201091522"</f>
        <v>370613198201091522</v>
      </c>
      <c r="D2213" t="s">
        <v>1</v>
      </c>
      <c r="E2213" t="s">
        <v>1</v>
      </c>
      <c r="F2213" t="s">
        <v>0</v>
      </c>
      <c r="G2213" t="str">
        <f>"2018-10-18 14:45:11"</f>
        <v>2018-10-18 14:45:11</v>
      </c>
    </row>
    <row r="2214" spans="1:7" x14ac:dyDescent="0.2">
      <c r="A2214" t="s">
        <v>3825</v>
      </c>
      <c r="B2214" t="str">
        <f>"18934799601"</f>
        <v>18934799601</v>
      </c>
      <c r="C2214" t="str">
        <f>"450329199305150311"</f>
        <v>450329199305150311</v>
      </c>
      <c r="D2214" t="s">
        <v>1</v>
      </c>
      <c r="E2214" t="s">
        <v>1</v>
      </c>
      <c r="F2214" t="s">
        <v>0</v>
      </c>
      <c r="G2214" t="str">
        <f>"2018-10-18 14:45:05"</f>
        <v>2018-10-18 14:45:05</v>
      </c>
    </row>
    <row r="2215" spans="1:7" x14ac:dyDescent="0.2">
      <c r="A2215" t="s">
        <v>1</v>
      </c>
      <c r="B2215" t="str">
        <f>"15831505133"</f>
        <v>15831505133</v>
      </c>
      <c r="C2215" t="s">
        <v>1</v>
      </c>
      <c r="D2215" t="s">
        <v>1</v>
      </c>
      <c r="E2215" t="s">
        <v>1</v>
      </c>
      <c r="F2215" t="s">
        <v>0</v>
      </c>
      <c r="G2215" t="str">
        <f>"2018-10-18 14:45:03"</f>
        <v>2018-10-18 14:45:03</v>
      </c>
    </row>
    <row r="2216" spans="1:7" x14ac:dyDescent="0.2">
      <c r="A2216" t="s">
        <v>1008</v>
      </c>
      <c r="B2216" t="str">
        <f>"18047591280"</f>
        <v>18047591280</v>
      </c>
      <c r="C2216" t="str">
        <f>"152301199106013511"</f>
        <v>152301199106013511</v>
      </c>
      <c r="D2216" t="s">
        <v>1</v>
      </c>
      <c r="E2216" t="s">
        <v>1</v>
      </c>
      <c r="F2216" t="s">
        <v>0</v>
      </c>
      <c r="G2216" t="str">
        <f>"2018-11-04 09:40:16"</f>
        <v>2018-11-04 09:40:16</v>
      </c>
    </row>
    <row r="2217" spans="1:7" x14ac:dyDescent="0.2">
      <c r="A2217" t="s">
        <v>1</v>
      </c>
      <c r="B2217" t="str">
        <f>"18031122730"</f>
        <v>18031122730</v>
      </c>
      <c r="C2217" t="s">
        <v>1</v>
      </c>
      <c r="D2217" t="s">
        <v>1</v>
      </c>
      <c r="E2217" t="s">
        <v>1</v>
      </c>
      <c r="F2217" t="s">
        <v>0</v>
      </c>
      <c r="G2217" t="str">
        <f>"2018-10-18 14:44:51"</f>
        <v>2018-10-18 14:44:51</v>
      </c>
    </row>
    <row r="2218" spans="1:7" x14ac:dyDescent="0.2">
      <c r="A2218" t="s">
        <v>3826</v>
      </c>
      <c r="B2218" t="str">
        <f>"13887918098"</f>
        <v>13887918098</v>
      </c>
      <c r="C2218" t="str">
        <f>"532822198311086539"</f>
        <v>532822198311086539</v>
      </c>
      <c r="D2218" t="s">
        <v>1</v>
      </c>
      <c r="E2218" t="s">
        <v>1</v>
      </c>
      <c r="F2218" t="s">
        <v>0</v>
      </c>
      <c r="G2218" t="str">
        <f>"2018-10-18 14:50:53"</f>
        <v>2018-10-18 14:50:53</v>
      </c>
    </row>
    <row r="2219" spans="1:7" x14ac:dyDescent="0.2">
      <c r="A2219" t="s">
        <v>131</v>
      </c>
      <c r="B2219" t="str">
        <f>"18032170591"</f>
        <v>18032170591</v>
      </c>
      <c r="C2219" t="str">
        <f>"130184198604253518"</f>
        <v>130184198604253518</v>
      </c>
      <c r="D2219" t="s">
        <v>1</v>
      </c>
      <c r="E2219" t="s">
        <v>1</v>
      </c>
      <c r="F2219" t="s">
        <v>0</v>
      </c>
      <c r="G2219" t="str">
        <f>"2018-10-18 14:44:37"</f>
        <v>2018-10-18 14:44:37</v>
      </c>
    </row>
    <row r="2220" spans="1:7" x14ac:dyDescent="0.2">
      <c r="A2220" t="s">
        <v>3827</v>
      </c>
      <c r="B2220" t="str">
        <f>"18793211860"</f>
        <v>18793211860</v>
      </c>
      <c r="C2220" t="str">
        <f>"622421198812110043"</f>
        <v>622421198812110043</v>
      </c>
      <c r="D2220" t="s">
        <v>1</v>
      </c>
      <c r="E2220" t="s">
        <v>1</v>
      </c>
      <c r="F2220" t="s">
        <v>0</v>
      </c>
      <c r="G2220" t="str">
        <f>"2018-10-18 14:44:16"</f>
        <v>2018-10-18 14:44:16</v>
      </c>
    </row>
    <row r="2221" spans="1:7" x14ac:dyDescent="0.2">
      <c r="A2221" t="s">
        <v>3828</v>
      </c>
      <c r="B2221" t="str">
        <f>"18701122399"</f>
        <v>18701122399</v>
      </c>
      <c r="C2221" t="str">
        <f>"132624198503187518"</f>
        <v>132624198503187518</v>
      </c>
      <c r="D2221" t="s">
        <v>1</v>
      </c>
      <c r="E2221" t="s">
        <v>1</v>
      </c>
      <c r="F2221" t="s">
        <v>0</v>
      </c>
      <c r="G2221" t="str">
        <f>"2018-10-18 14:45:26"</f>
        <v>2018-10-18 14:45:26</v>
      </c>
    </row>
    <row r="2222" spans="1:7" x14ac:dyDescent="0.2">
      <c r="A2222" t="s">
        <v>3829</v>
      </c>
      <c r="B2222" t="str">
        <f>"13954595358"</f>
        <v>13954595358</v>
      </c>
      <c r="C2222" t="str">
        <f>"379002197502114814"</f>
        <v>379002197502114814</v>
      </c>
      <c r="D2222" t="s">
        <v>1</v>
      </c>
      <c r="E2222" t="s">
        <v>1</v>
      </c>
      <c r="F2222" t="s">
        <v>0</v>
      </c>
      <c r="G2222" t="str">
        <f>"2018-10-18 14:45:45"</f>
        <v>2018-10-18 14:45:45</v>
      </c>
    </row>
    <row r="2223" spans="1:7" x14ac:dyDescent="0.2">
      <c r="A2223" t="s">
        <v>3830</v>
      </c>
      <c r="B2223" t="str">
        <f>"18113089986"</f>
        <v>18113089986</v>
      </c>
      <c r="C2223" t="str">
        <f>"511026197906060250"</f>
        <v>511026197906060250</v>
      </c>
      <c r="D2223" t="s">
        <v>1</v>
      </c>
      <c r="E2223" t="s">
        <v>1</v>
      </c>
      <c r="F2223" t="s">
        <v>0</v>
      </c>
      <c r="G2223" t="str">
        <f>"2018-10-18 14:44:47"</f>
        <v>2018-10-18 14:44:47</v>
      </c>
    </row>
    <row r="2224" spans="1:7" x14ac:dyDescent="0.2">
      <c r="A2224" t="s">
        <v>3831</v>
      </c>
      <c r="B2224" t="str">
        <f>"15944821809"</f>
        <v>15944821809</v>
      </c>
      <c r="C2224" t="str">
        <f>"222303197706020645"</f>
        <v>222303197706020645</v>
      </c>
      <c r="D2224" t="s">
        <v>1</v>
      </c>
      <c r="E2224" t="s">
        <v>1</v>
      </c>
      <c r="F2224" t="s">
        <v>0</v>
      </c>
      <c r="G2224" t="str">
        <f>"2018-10-18 21:40:49"</f>
        <v>2018-10-18 21:40:49</v>
      </c>
    </row>
    <row r="2225" spans="1:7" x14ac:dyDescent="0.2">
      <c r="A2225" t="s">
        <v>3832</v>
      </c>
      <c r="B2225" t="str">
        <f>"13500688997"</f>
        <v>13500688997</v>
      </c>
      <c r="C2225" t="str">
        <f>"152823197011120564"</f>
        <v>152823197011120564</v>
      </c>
      <c r="D2225" t="s">
        <v>1</v>
      </c>
      <c r="E2225" t="s">
        <v>1</v>
      </c>
      <c r="F2225" t="s">
        <v>0</v>
      </c>
      <c r="G2225" t="str">
        <f>"2018-10-21 12:00:26"</f>
        <v>2018-10-21 12:00:26</v>
      </c>
    </row>
    <row r="2226" spans="1:7" x14ac:dyDescent="0.2">
      <c r="A2226" t="s">
        <v>3833</v>
      </c>
      <c r="B2226" t="str">
        <f>"13771106615"</f>
        <v>13771106615</v>
      </c>
      <c r="C2226" t="str">
        <f>"320981198906028834"</f>
        <v>320981198906028834</v>
      </c>
      <c r="D2226" t="s">
        <v>1</v>
      </c>
      <c r="E2226" t="s">
        <v>1</v>
      </c>
      <c r="F2226" t="s">
        <v>0</v>
      </c>
      <c r="G2226" t="str">
        <f>"2018-10-18 14:44:47"</f>
        <v>2018-10-18 14:44:47</v>
      </c>
    </row>
    <row r="2227" spans="1:7" x14ac:dyDescent="0.2">
      <c r="A2227" t="s">
        <v>1</v>
      </c>
      <c r="B2227" t="str">
        <f>"15265972450"</f>
        <v>15265972450</v>
      </c>
      <c r="C2227" t="s">
        <v>1</v>
      </c>
      <c r="D2227" t="s">
        <v>1</v>
      </c>
      <c r="E2227" t="s">
        <v>1</v>
      </c>
      <c r="F2227" t="s">
        <v>0</v>
      </c>
      <c r="G2227" t="str">
        <f>"2018-10-18 14:43:14"</f>
        <v>2018-10-18 14:43:14</v>
      </c>
    </row>
    <row r="2228" spans="1:7" x14ac:dyDescent="0.2">
      <c r="A2228" t="s">
        <v>3834</v>
      </c>
      <c r="B2228" t="str">
        <f>"13888580956"</f>
        <v>13888580956</v>
      </c>
      <c r="C2228" t="str">
        <f>"532123198912141933"</f>
        <v>532123198912141933</v>
      </c>
      <c r="D2228" t="s">
        <v>3835</v>
      </c>
      <c r="E2228" t="s">
        <v>3836</v>
      </c>
      <c r="F2228" t="s">
        <v>0</v>
      </c>
      <c r="G2228" t="str">
        <f>"2018-10-18 14:45:27"</f>
        <v>2018-10-18 14:45:27</v>
      </c>
    </row>
    <row r="2229" spans="1:7" x14ac:dyDescent="0.2">
      <c r="A2229" t="s">
        <v>1</v>
      </c>
      <c r="B2229" t="str">
        <f>"13257740671"</f>
        <v>13257740671</v>
      </c>
      <c r="C2229" t="s">
        <v>1</v>
      </c>
      <c r="D2229" t="s">
        <v>1</v>
      </c>
      <c r="E2229" t="s">
        <v>1</v>
      </c>
      <c r="F2229" t="s">
        <v>0</v>
      </c>
      <c r="G2229" t="str">
        <f>"2018-10-18 14:43:10"</f>
        <v>2018-10-18 14:43:10</v>
      </c>
    </row>
    <row r="2230" spans="1:7" x14ac:dyDescent="0.2">
      <c r="A2230" t="s">
        <v>628</v>
      </c>
      <c r="B2230" t="str">
        <f>"15213427191"</f>
        <v>15213427191</v>
      </c>
      <c r="C2230" t="str">
        <f>"500223198706187138"</f>
        <v>500223198706187138</v>
      </c>
      <c r="D2230" t="s">
        <v>1</v>
      </c>
      <c r="E2230" t="s">
        <v>1</v>
      </c>
      <c r="F2230" t="s">
        <v>0</v>
      </c>
      <c r="G2230" t="str">
        <f>"2018-11-03 02:12:26"</f>
        <v>2018-11-03 02:12:26</v>
      </c>
    </row>
    <row r="2231" spans="1:7" x14ac:dyDescent="0.2">
      <c r="A2231" t="s">
        <v>1</v>
      </c>
      <c r="B2231" t="str">
        <f>"15959105466"</f>
        <v>15959105466</v>
      </c>
      <c r="C2231" t="s">
        <v>1</v>
      </c>
      <c r="D2231" t="s">
        <v>1</v>
      </c>
      <c r="E2231" t="s">
        <v>1</v>
      </c>
      <c r="F2231" t="s">
        <v>0</v>
      </c>
      <c r="G2231" t="str">
        <f>"2018-10-18 14:44:09"</f>
        <v>2018-10-18 14:44:09</v>
      </c>
    </row>
    <row r="2232" spans="1:7" x14ac:dyDescent="0.2">
      <c r="A2232" t="s">
        <v>1</v>
      </c>
      <c r="B2232" t="str">
        <f>"18582914072"</f>
        <v>18582914072</v>
      </c>
      <c r="C2232" t="s">
        <v>1</v>
      </c>
      <c r="D2232" t="s">
        <v>1</v>
      </c>
      <c r="E2232" t="s">
        <v>1</v>
      </c>
      <c r="F2232" t="s">
        <v>0</v>
      </c>
      <c r="G2232" t="str">
        <f>"2018-10-18 14:48:36"</f>
        <v>2018-10-18 14:48:36</v>
      </c>
    </row>
    <row r="2233" spans="1:7" x14ac:dyDescent="0.2">
      <c r="A2233" t="s">
        <v>3837</v>
      </c>
      <c r="B2233" t="str">
        <f>"18234567444"</f>
        <v>18234567444</v>
      </c>
      <c r="C2233" t="str">
        <f>"140428199712123229"</f>
        <v>140428199712123229</v>
      </c>
      <c r="D2233" t="s">
        <v>1</v>
      </c>
      <c r="E2233" t="s">
        <v>1</v>
      </c>
      <c r="F2233" t="s">
        <v>0</v>
      </c>
      <c r="G2233" t="str">
        <f>"2018-10-18 14:44:19"</f>
        <v>2018-10-18 14:44:19</v>
      </c>
    </row>
    <row r="2234" spans="1:7" x14ac:dyDescent="0.2">
      <c r="A2234" t="s">
        <v>3838</v>
      </c>
      <c r="B2234" t="str">
        <f>"15093982150"</f>
        <v>15093982150</v>
      </c>
      <c r="C2234" t="str">
        <f>"410521199401076513"</f>
        <v>410521199401076513</v>
      </c>
      <c r="D2234" t="s">
        <v>1</v>
      </c>
      <c r="E2234" t="s">
        <v>1</v>
      </c>
      <c r="F2234" t="s">
        <v>0</v>
      </c>
      <c r="G2234" t="str">
        <f>"2018-10-19 10:36:39"</f>
        <v>2018-10-19 10:36:39</v>
      </c>
    </row>
    <row r="2235" spans="1:7" x14ac:dyDescent="0.2">
      <c r="A2235" t="s">
        <v>3839</v>
      </c>
      <c r="B2235" t="str">
        <f>"13558218661"</f>
        <v>13558218661</v>
      </c>
      <c r="C2235" t="str">
        <f>"452123199005265849"</f>
        <v>452123199005265849</v>
      </c>
      <c r="D2235" t="s">
        <v>1</v>
      </c>
      <c r="E2235" t="s">
        <v>1</v>
      </c>
      <c r="F2235" t="s">
        <v>0</v>
      </c>
      <c r="G2235" t="str">
        <f>"2018-10-18 14:44:59"</f>
        <v>2018-10-18 14:44:59</v>
      </c>
    </row>
    <row r="2236" spans="1:7" x14ac:dyDescent="0.2">
      <c r="A2236" t="s">
        <v>3840</v>
      </c>
      <c r="B2236" t="str">
        <f>"17645899367"</f>
        <v>17645899367</v>
      </c>
      <c r="C2236" t="str">
        <f>"230621199607060252"</f>
        <v>230621199607060252</v>
      </c>
      <c r="D2236" t="s">
        <v>3841</v>
      </c>
      <c r="E2236" t="s">
        <v>3842</v>
      </c>
      <c r="F2236" t="s">
        <v>0</v>
      </c>
      <c r="G2236" t="str">
        <f>"2018-10-19 12:55:17"</f>
        <v>2018-10-19 12:55:17</v>
      </c>
    </row>
    <row r="2237" spans="1:7" x14ac:dyDescent="0.2">
      <c r="A2237" t="s">
        <v>1</v>
      </c>
      <c r="B2237" t="str">
        <f>"15869450530"</f>
        <v>15869450530</v>
      </c>
      <c r="C2237" t="s">
        <v>1</v>
      </c>
      <c r="D2237" t="s">
        <v>1</v>
      </c>
      <c r="E2237" t="s">
        <v>1</v>
      </c>
      <c r="F2237" t="s">
        <v>0</v>
      </c>
      <c r="G2237" t="str">
        <f>"2018-10-18 14:42:27"</f>
        <v>2018-10-18 14:42:27</v>
      </c>
    </row>
    <row r="2238" spans="1:7" x14ac:dyDescent="0.2">
      <c r="A2238" t="s">
        <v>1</v>
      </c>
      <c r="B2238" t="str">
        <f>"13197755914"</f>
        <v>13197755914</v>
      </c>
      <c r="C2238" t="s">
        <v>1</v>
      </c>
      <c r="D2238" t="s">
        <v>1</v>
      </c>
      <c r="E2238" t="s">
        <v>1</v>
      </c>
      <c r="F2238" t="s">
        <v>0</v>
      </c>
      <c r="G2238" t="str">
        <f>"2018-10-18 14:42:07"</f>
        <v>2018-10-18 14:42:07</v>
      </c>
    </row>
    <row r="2239" spans="1:7" x14ac:dyDescent="0.2">
      <c r="A2239" t="s">
        <v>1</v>
      </c>
      <c r="B2239" t="str">
        <f>"13998203771"</f>
        <v>13998203771</v>
      </c>
      <c r="C2239" t="s">
        <v>1</v>
      </c>
      <c r="D2239" t="s">
        <v>1</v>
      </c>
      <c r="E2239" t="s">
        <v>1</v>
      </c>
      <c r="F2239" t="s">
        <v>0</v>
      </c>
      <c r="G2239" t="str">
        <f>"2018-10-18 14:42:05"</f>
        <v>2018-10-18 14:42:05</v>
      </c>
    </row>
    <row r="2240" spans="1:7" x14ac:dyDescent="0.2">
      <c r="A2240" t="s">
        <v>3843</v>
      </c>
      <c r="B2240" t="str">
        <f>"13102599163"</f>
        <v>13102599163</v>
      </c>
      <c r="C2240" t="str">
        <f>"130523200002021217"</f>
        <v>130523200002021217</v>
      </c>
      <c r="D2240" t="s">
        <v>1</v>
      </c>
      <c r="E2240" t="s">
        <v>1</v>
      </c>
      <c r="F2240" t="s">
        <v>0</v>
      </c>
      <c r="G2240" t="str">
        <f>"2018-10-18 14:44:01"</f>
        <v>2018-10-18 14:44:01</v>
      </c>
    </row>
    <row r="2241" spans="1:7" x14ac:dyDescent="0.2">
      <c r="A2241" t="s">
        <v>3844</v>
      </c>
      <c r="B2241" t="str">
        <f>"13950600653"</f>
        <v>13950600653</v>
      </c>
      <c r="C2241" t="str">
        <f>"350721198409203935"</f>
        <v>350721198409203935</v>
      </c>
      <c r="D2241" t="s">
        <v>3845</v>
      </c>
      <c r="E2241" t="s">
        <v>3846</v>
      </c>
      <c r="F2241" t="s">
        <v>0</v>
      </c>
      <c r="G2241" t="str">
        <f>"2018-10-26 18:49:30"</f>
        <v>2018-10-26 18:49:30</v>
      </c>
    </row>
    <row r="2242" spans="1:7" x14ac:dyDescent="0.2">
      <c r="A2242" t="s">
        <v>3847</v>
      </c>
      <c r="B2242" t="str">
        <f>"13950800163"</f>
        <v>13950800163</v>
      </c>
      <c r="C2242" t="str">
        <f>"350821198804211244"</f>
        <v>350821198804211244</v>
      </c>
      <c r="D2242" t="s">
        <v>1</v>
      </c>
      <c r="E2242" t="s">
        <v>1</v>
      </c>
      <c r="F2242" t="s">
        <v>0</v>
      </c>
      <c r="G2242" t="str">
        <f>"2018-10-18 14:44:39"</f>
        <v>2018-10-18 14:44:39</v>
      </c>
    </row>
    <row r="2243" spans="1:7" x14ac:dyDescent="0.2">
      <c r="A2243" t="s">
        <v>3848</v>
      </c>
      <c r="B2243" t="str">
        <f>"15805207984"</f>
        <v>15805207984</v>
      </c>
      <c r="C2243" t="str">
        <f>"320305199409030429"</f>
        <v>320305199409030429</v>
      </c>
      <c r="D2243" t="s">
        <v>1</v>
      </c>
      <c r="E2243" t="s">
        <v>1</v>
      </c>
      <c r="F2243" t="s">
        <v>0</v>
      </c>
      <c r="G2243" t="str">
        <f>"2018-10-18 14:43:30"</f>
        <v>2018-10-18 14:43:30</v>
      </c>
    </row>
    <row r="2244" spans="1:7" x14ac:dyDescent="0.2">
      <c r="A2244" t="s">
        <v>260</v>
      </c>
      <c r="B2244" t="str">
        <f>"15810183730"</f>
        <v>15810183730</v>
      </c>
      <c r="C2244" t="str">
        <f>"110224199105202839"</f>
        <v>110224199105202839</v>
      </c>
      <c r="D2244" t="s">
        <v>1</v>
      </c>
      <c r="E2244" t="s">
        <v>1</v>
      </c>
      <c r="F2244" t="s">
        <v>0</v>
      </c>
      <c r="G2244" t="str">
        <f>"2018-10-18 14:43:09"</f>
        <v>2018-10-18 14:43:09</v>
      </c>
    </row>
    <row r="2245" spans="1:7" x14ac:dyDescent="0.2">
      <c r="A2245" t="s">
        <v>1746</v>
      </c>
      <c r="B2245" t="str">
        <f>"18035192716"</f>
        <v>18035192716</v>
      </c>
      <c r="C2245" t="str">
        <f>"140225198607241616"</f>
        <v>140225198607241616</v>
      </c>
      <c r="D2245" t="s">
        <v>1</v>
      </c>
      <c r="E2245" t="s">
        <v>1</v>
      </c>
      <c r="F2245" t="s">
        <v>0</v>
      </c>
      <c r="G2245" t="str">
        <f>"2018-10-18 14:41:17"</f>
        <v>2018-10-18 14:41:17</v>
      </c>
    </row>
    <row r="2246" spans="1:7" x14ac:dyDescent="0.2">
      <c r="A2246" t="s">
        <v>3849</v>
      </c>
      <c r="B2246" t="str">
        <f>"15648666845"</f>
        <v>15648666845</v>
      </c>
      <c r="C2246" t="str">
        <f>"150430199203250370"</f>
        <v>150430199203250370</v>
      </c>
      <c r="D2246" t="s">
        <v>1</v>
      </c>
      <c r="E2246" t="s">
        <v>1</v>
      </c>
      <c r="F2246" t="s">
        <v>0</v>
      </c>
      <c r="G2246" t="str">
        <f>"2018-10-18 16:30:12"</f>
        <v>2018-10-18 16:30:12</v>
      </c>
    </row>
    <row r="2247" spans="1:7" x14ac:dyDescent="0.2">
      <c r="A2247" t="s">
        <v>1</v>
      </c>
      <c r="B2247" t="str">
        <f>"18672188507"</f>
        <v>18672188507</v>
      </c>
      <c r="C2247" t="s">
        <v>1</v>
      </c>
      <c r="D2247" t="s">
        <v>1</v>
      </c>
      <c r="E2247" t="s">
        <v>1</v>
      </c>
      <c r="F2247" t="s">
        <v>0</v>
      </c>
      <c r="G2247" t="str">
        <f>"2018-10-18 14:42:46"</f>
        <v>2018-10-18 14:42:46</v>
      </c>
    </row>
    <row r="2248" spans="1:7" x14ac:dyDescent="0.2">
      <c r="A2248" t="s">
        <v>3850</v>
      </c>
      <c r="B2248" t="str">
        <f>"13503719550"</f>
        <v>13503719550</v>
      </c>
      <c r="C2248" t="str">
        <f>"350583199007097116"</f>
        <v>350583199007097116</v>
      </c>
      <c r="D2248" t="s">
        <v>1</v>
      </c>
      <c r="E2248" t="s">
        <v>1</v>
      </c>
      <c r="F2248" t="s">
        <v>0</v>
      </c>
      <c r="G2248" t="str">
        <f>"2018-10-20 17:36:42"</f>
        <v>2018-10-20 17:36:42</v>
      </c>
    </row>
    <row r="2249" spans="1:7" x14ac:dyDescent="0.2">
      <c r="A2249" t="s">
        <v>3851</v>
      </c>
      <c r="B2249" t="str">
        <f>"18244621628"</f>
        <v>18244621628</v>
      </c>
      <c r="C2249" t="str">
        <f>"130681199806181017"</f>
        <v>130681199806181017</v>
      </c>
      <c r="D2249" t="s">
        <v>1</v>
      </c>
      <c r="E2249" t="s">
        <v>1</v>
      </c>
      <c r="F2249" t="s">
        <v>0</v>
      </c>
      <c r="G2249" t="str">
        <f>"2018-10-18 14:42:46"</f>
        <v>2018-10-18 14:42:46</v>
      </c>
    </row>
    <row r="2250" spans="1:7" x14ac:dyDescent="0.2">
      <c r="A2250" t="s">
        <v>3852</v>
      </c>
      <c r="B2250" t="str">
        <f>"15578939695"</f>
        <v>15578939695</v>
      </c>
      <c r="C2250" t="str">
        <f>"420984199708171717"</f>
        <v>420984199708171717</v>
      </c>
      <c r="D2250" t="s">
        <v>1</v>
      </c>
      <c r="E2250" t="s">
        <v>1</v>
      </c>
      <c r="F2250" t="s">
        <v>0</v>
      </c>
      <c r="G2250" t="str">
        <f>"2018-10-18 14:42:35"</f>
        <v>2018-10-18 14:42:35</v>
      </c>
    </row>
    <row r="2251" spans="1:7" x14ac:dyDescent="0.2">
      <c r="A2251" t="s">
        <v>3853</v>
      </c>
      <c r="B2251" t="str">
        <f>"17303854777"</f>
        <v>17303854777</v>
      </c>
      <c r="C2251" t="str">
        <f>"410183199611262020"</f>
        <v>410183199611262020</v>
      </c>
      <c r="D2251" t="s">
        <v>1</v>
      </c>
      <c r="E2251" t="s">
        <v>1</v>
      </c>
      <c r="F2251" t="s">
        <v>0</v>
      </c>
      <c r="G2251" t="str">
        <f>"2018-10-18 14:42:24"</f>
        <v>2018-10-18 14:42:24</v>
      </c>
    </row>
    <row r="2252" spans="1:7" x14ac:dyDescent="0.2">
      <c r="A2252" t="s">
        <v>1</v>
      </c>
      <c r="B2252" t="str">
        <f>"13243766562"</f>
        <v>13243766562</v>
      </c>
      <c r="C2252" t="s">
        <v>1</v>
      </c>
      <c r="D2252" t="s">
        <v>1</v>
      </c>
      <c r="E2252" t="s">
        <v>1</v>
      </c>
      <c r="F2252" t="s">
        <v>0</v>
      </c>
      <c r="G2252" t="str">
        <f>"2018-10-18 14:40:50"</f>
        <v>2018-10-18 14:40:50</v>
      </c>
    </row>
    <row r="2253" spans="1:7" x14ac:dyDescent="0.2">
      <c r="A2253" t="s">
        <v>1</v>
      </c>
      <c r="B2253" t="str">
        <f>"18308847625"</f>
        <v>18308847625</v>
      </c>
      <c r="C2253" t="s">
        <v>1</v>
      </c>
      <c r="D2253" t="s">
        <v>1</v>
      </c>
      <c r="E2253" t="s">
        <v>1</v>
      </c>
      <c r="F2253" t="s">
        <v>0</v>
      </c>
      <c r="G2253" t="str">
        <f>"2018-10-18 14:40:17"</f>
        <v>2018-10-18 14:40:17</v>
      </c>
    </row>
    <row r="2254" spans="1:7" x14ac:dyDescent="0.2">
      <c r="A2254" t="s">
        <v>647</v>
      </c>
      <c r="B2254" t="str">
        <f>"15663331521"</f>
        <v>15663331521</v>
      </c>
      <c r="C2254" t="str">
        <f>"230205199110070218"</f>
        <v>230205199110070218</v>
      </c>
      <c r="D2254" t="s">
        <v>1</v>
      </c>
      <c r="E2254" t="s">
        <v>1</v>
      </c>
      <c r="F2254" t="s">
        <v>0</v>
      </c>
      <c r="G2254" t="str">
        <f>"2018-10-18 14:41:11"</f>
        <v>2018-10-18 14:41:11</v>
      </c>
    </row>
    <row r="2255" spans="1:7" x14ac:dyDescent="0.2">
      <c r="A2255" t="s">
        <v>1</v>
      </c>
      <c r="B2255" t="str">
        <f>"18335981560"</f>
        <v>18335981560</v>
      </c>
      <c r="C2255" t="s">
        <v>1</v>
      </c>
      <c r="D2255" t="s">
        <v>1</v>
      </c>
      <c r="E2255" t="s">
        <v>1</v>
      </c>
      <c r="F2255" t="s">
        <v>0</v>
      </c>
      <c r="G2255" t="str">
        <f>"2018-10-18 14:39:28"</f>
        <v>2018-10-18 14:39:28</v>
      </c>
    </row>
    <row r="2256" spans="1:7" x14ac:dyDescent="0.2">
      <c r="A2256" t="s">
        <v>721</v>
      </c>
      <c r="B2256" t="str">
        <f>"15001027714"</f>
        <v>15001027714</v>
      </c>
      <c r="C2256" t="str">
        <f>"140227199506043212"</f>
        <v>140227199506043212</v>
      </c>
      <c r="D2256" t="s">
        <v>3854</v>
      </c>
      <c r="E2256" t="s">
        <v>3855</v>
      </c>
      <c r="F2256" t="s">
        <v>0</v>
      </c>
      <c r="G2256" t="str">
        <f>"2018-10-18 14:40:33"</f>
        <v>2018-10-18 14:40:33</v>
      </c>
    </row>
    <row r="2257" spans="1:7" x14ac:dyDescent="0.2">
      <c r="A2257" t="s">
        <v>1</v>
      </c>
      <c r="B2257" t="str">
        <f>"15959763958"</f>
        <v>15959763958</v>
      </c>
      <c r="C2257" t="s">
        <v>1</v>
      </c>
      <c r="D2257" t="s">
        <v>1</v>
      </c>
      <c r="E2257" t="s">
        <v>1</v>
      </c>
      <c r="F2257" t="s">
        <v>0</v>
      </c>
      <c r="G2257" t="str">
        <f>"2018-10-18 14:39:15"</f>
        <v>2018-10-18 14:39:15</v>
      </c>
    </row>
    <row r="2258" spans="1:7" x14ac:dyDescent="0.2">
      <c r="A2258" t="s">
        <v>3856</v>
      </c>
      <c r="B2258" t="str">
        <f>"13039321129"</f>
        <v>13039321129</v>
      </c>
      <c r="C2258" t="str">
        <f>"220181198908193115"</f>
        <v>220181198908193115</v>
      </c>
      <c r="D2258" t="s">
        <v>1</v>
      </c>
      <c r="E2258" t="s">
        <v>1</v>
      </c>
      <c r="F2258" t="s">
        <v>0</v>
      </c>
      <c r="G2258" t="str">
        <f>"2018-10-27 08:24:39"</f>
        <v>2018-10-27 08:24:39</v>
      </c>
    </row>
    <row r="2259" spans="1:7" x14ac:dyDescent="0.2">
      <c r="A2259" t="s">
        <v>3857</v>
      </c>
      <c r="B2259" t="str">
        <f>"15548111373"</f>
        <v>15548111373</v>
      </c>
      <c r="C2259" t="str">
        <f>"142202199505200217"</f>
        <v>142202199505200217</v>
      </c>
      <c r="D2259" t="s">
        <v>1</v>
      </c>
      <c r="E2259" t="s">
        <v>1</v>
      </c>
      <c r="F2259" t="s">
        <v>0</v>
      </c>
      <c r="G2259" t="str">
        <f>"2018-10-18 14:41:41"</f>
        <v>2018-10-18 14:41:41</v>
      </c>
    </row>
    <row r="2260" spans="1:7" x14ac:dyDescent="0.2">
      <c r="A2260" t="s">
        <v>3858</v>
      </c>
      <c r="B2260" t="str">
        <f>"13923155002"</f>
        <v>13923155002</v>
      </c>
      <c r="C2260" t="str">
        <f>"441224199606193237"</f>
        <v>441224199606193237</v>
      </c>
      <c r="D2260" t="s">
        <v>1</v>
      </c>
      <c r="E2260" t="s">
        <v>1</v>
      </c>
      <c r="F2260" t="s">
        <v>0</v>
      </c>
      <c r="G2260" t="str">
        <f>"2018-10-18 14:39:29"</f>
        <v>2018-10-18 14:39:29</v>
      </c>
    </row>
    <row r="2261" spans="1:7" x14ac:dyDescent="0.2">
      <c r="A2261" t="s">
        <v>1</v>
      </c>
      <c r="B2261" t="str">
        <f>"13533210919"</f>
        <v>13533210919</v>
      </c>
      <c r="C2261" t="s">
        <v>1</v>
      </c>
      <c r="D2261" t="s">
        <v>1</v>
      </c>
      <c r="E2261" t="s">
        <v>1</v>
      </c>
      <c r="F2261" t="s">
        <v>0</v>
      </c>
      <c r="G2261" t="str">
        <f>"2018-10-18 14:38:42"</f>
        <v>2018-10-18 14:38:42</v>
      </c>
    </row>
    <row r="2262" spans="1:7" x14ac:dyDescent="0.2">
      <c r="A2262" t="s">
        <v>3859</v>
      </c>
      <c r="B2262" t="str">
        <f>"18322801180"</f>
        <v>18322801180</v>
      </c>
      <c r="C2262" t="str">
        <f>"360222198508055625"</f>
        <v>360222198508055625</v>
      </c>
      <c r="D2262" t="s">
        <v>1</v>
      </c>
      <c r="E2262" t="s">
        <v>1</v>
      </c>
      <c r="F2262" t="s">
        <v>0</v>
      </c>
      <c r="G2262" t="str">
        <f>"2018-10-18 14:41:51"</f>
        <v>2018-10-18 14:41:51</v>
      </c>
    </row>
    <row r="2263" spans="1:7" x14ac:dyDescent="0.2">
      <c r="A2263" t="s">
        <v>3860</v>
      </c>
      <c r="B2263" t="str">
        <f>"13827467868"</f>
        <v>13827467868</v>
      </c>
      <c r="C2263" t="str">
        <f>"430903198808150920"</f>
        <v>430903198808150920</v>
      </c>
      <c r="D2263" t="s">
        <v>3861</v>
      </c>
      <c r="E2263" t="s">
        <v>3862</v>
      </c>
      <c r="F2263" t="s">
        <v>0</v>
      </c>
      <c r="G2263" t="str">
        <f>"2018-10-18 14:40:35"</f>
        <v>2018-10-18 14:40:35</v>
      </c>
    </row>
    <row r="2264" spans="1:7" x14ac:dyDescent="0.2">
      <c r="A2264" t="s">
        <v>3863</v>
      </c>
      <c r="B2264" t="str">
        <f>"17858790946"</f>
        <v>17858790946</v>
      </c>
      <c r="C2264" t="str">
        <f>"510321199412194278"</f>
        <v>510321199412194278</v>
      </c>
      <c r="D2264" t="s">
        <v>1</v>
      </c>
      <c r="E2264" t="s">
        <v>1</v>
      </c>
      <c r="F2264" t="s">
        <v>0</v>
      </c>
      <c r="G2264" t="str">
        <f>"2018-10-18 15:12:29"</f>
        <v>2018-10-18 15:12:29</v>
      </c>
    </row>
    <row r="2265" spans="1:7" x14ac:dyDescent="0.2">
      <c r="A2265" t="s">
        <v>3864</v>
      </c>
      <c r="B2265" t="str">
        <f>"18752800305"</f>
        <v>18752800305</v>
      </c>
      <c r="C2265" t="str">
        <f>"320681199310157019"</f>
        <v>320681199310157019</v>
      </c>
      <c r="D2265" t="s">
        <v>1</v>
      </c>
      <c r="E2265" t="s">
        <v>1</v>
      </c>
      <c r="F2265" t="s">
        <v>0</v>
      </c>
      <c r="G2265" t="str">
        <f>"2018-10-18 14:38:45"</f>
        <v>2018-10-18 14:38:45</v>
      </c>
    </row>
    <row r="2266" spans="1:7" x14ac:dyDescent="0.2">
      <c r="A2266" t="s">
        <v>3865</v>
      </c>
      <c r="B2266" t="str">
        <f>"13758105627"</f>
        <v>13758105627</v>
      </c>
      <c r="C2266" t="str">
        <f>"330327199505024395"</f>
        <v>330327199505024395</v>
      </c>
      <c r="D2266" t="s">
        <v>1</v>
      </c>
      <c r="E2266" t="s">
        <v>1</v>
      </c>
      <c r="F2266" t="s">
        <v>0</v>
      </c>
      <c r="G2266" t="str">
        <f>"2018-10-18 15:40:12"</f>
        <v>2018-10-18 15:40:12</v>
      </c>
    </row>
    <row r="2267" spans="1:7" x14ac:dyDescent="0.2">
      <c r="A2267" t="s">
        <v>1</v>
      </c>
      <c r="B2267" t="str">
        <f>"13903066296"</f>
        <v>13903066296</v>
      </c>
      <c r="C2267" t="s">
        <v>1</v>
      </c>
      <c r="D2267" t="s">
        <v>1</v>
      </c>
      <c r="E2267" t="s">
        <v>1</v>
      </c>
      <c r="F2267" t="s">
        <v>0</v>
      </c>
      <c r="G2267" t="str">
        <f>"2018-10-18 14:37:29"</f>
        <v>2018-10-18 14:37:29</v>
      </c>
    </row>
    <row r="2268" spans="1:7" x14ac:dyDescent="0.2">
      <c r="A2268" t="s">
        <v>1</v>
      </c>
      <c r="B2268" t="str">
        <f>"13481897100"</f>
        <v>13481897100</v>
      </c>
      <c r="C2268" t="s">
        <v>1</v>
      </c>
      <c r="D2268" t="s">
        <v>1</v>
      </c>
      <c r="E2268" t="s">
        <v>1</v>
      </c>
      <c r="F2268" t="s">
        <v>0</v>
      </c>
      <c r="G2268" t="str">
        <f>"2018-10-18 14:38:24"</f>
        <v>2018-10-18 14:38:24</v>
      </c>
    </row>
    <row r="2269" spans="1:7" x14ac:dyDescent="0.2">
      <c r="A2269" t="s">
        <v>1</v>
      </c>
      <c r="B2269" t="str">
        <f>"13282373468"</f>
        <v>13282373468</v>
      </c>
      <c r="C2269" t="s">
        <v>1</v>
      </c>
      <c r="D2269" t="s">
        <v>1</v>
      </c>
      <c r="E2269" t="s">
        <v>1</v>
      </c>
      <c r="F2269" t="s">
        <v>0</v>
      </c>
      <c r="G2269" t="str">
        <f>"2018-10-18 14:37:21"</f>
        <v>2018-10-18 14:37:21</v>
      </c>
    </row>
    <row r="2270" spans="1:7" x14ac:dyDescent="0.2">
      <c r="A2270" t="s">
        <v>1</v>
      </c>
      <c r="B2270" t="str">
        <f>"13700992345"</f>
        <v>13700992345</v>
      </c>
      <c r="C2270" t="s">
        <v>1</v>
      </c>
      <c r="D2270" t="s">
        <v>1</v>
      </c>
      <c r="E2270" t="s">
        <v>1</v>
      </c>
      <c r="F2270" t="s">
        <v>0</v>
      </c>
      <c r="G2270" t="str">
        <f>"2018-10-18 14:39:24"</f>
        <v>2018-10-18 14:39:24</v>
      </c>
    </row>
    <row r="2271" spans="1:7" x14ac:dyDescent="0.2">
      <c r="A2271" t="s">
        <v>1</v>
      </c>
      <c r="B2271" t="str">
        <f>"18334174407"</f>
        <v>18334174407</v>
      </c>
      <c r="C2271" t="s">
        <v>1</v>
      </c>
      <c r="D2271" t="s">
        <v>1</v>
      </c>
      <c r="E2271" t="s">
        <v>1</v>
      </c>
      <c r="F2271" t="s">
        <v>0</v>
      </c>
      <c r="G2271" t="str">
        <f>"2018-10-18 15:06:10"</f>
        <v>2018-10-18 15:06:10</v>
      </c>
    </row>
    <row r="2272" spans="1:7" x14ac:dyDescent="0.2">
      <c r="A2272" t="s">
        <v>3866</v>
      </c>
      <c r="B2272" t="str">
        <f>"15181666386"</f>
        <v>15181666386</v>
      </c>
      <c r="C2272" t="str">
        <f>"510702197006293215"</f>
        <v>510702197006293215</v>
      </c>
      <c r="D2272" t="s">
        <v>1</v>
      </c>
      <c r="E2272" t="s">
        <v>1</v>
      </c>
      <c r="F2272" t="s">
        <v>0</v>
      </c>
      <c r="G2272" t="str">
        <f>"2018-10-18 14:40:39"</f>
        <v>2018-10-18 14:40:39</v>
      </c>
    </row>
    <row r="2273" spans="1:7" x14ac:dyDescent="0.2">
      <c r="A2273" t="s">
        <v>3867</v>
      </c>
      <c r="B2273" t="str">
        <f>"13683743217"</f>
        <v>13683743217</v>
      </c>
      <c r="C2273" t="str">
        <f>"411081198309083257"</f>
        <v>411081198309083257</v>
      </c>
      <c r="D2273" t="s">
        <v>1</v>
      </c>
      <c r="E2273" t="s">
        <v>1</v>
      </c>
      <c r="F2273" t="s">
        <v>0</v>
      </c>
      <c r="G2273" t="str">
        <f>"2018-10-18 16:00:52"</f>
        <v>2018-10-18 16:00:52</v>
      </c>
    </row>
    <row r="2274" spans="1:7" x14ac:dyDescent="0.2">
      <c r="A2274" t="s">
        <v>1</v>
      </c>
      <c r="B2274" t="str">
        <f>"18268829501"</f>
        <v>18268829501</v>
      </c>
      <c r="C2274" t="s">
        <v>1</v>
      </c>
      <c r="D2274" t="s">
        <v>1</v>
      </c>
      <c r="E2274" t="s">
        <v>1</v>
      </c>
      <c r="F2274" t="s">
        <v>0</v>
      </c>
      <c r="G2274" t="str">
        <f>"2018-10-18 14:36:36"</f>
        <v>2018-10-18 14:36:36</v>
      </c>
    </row>
    <row r="2275" spans="1:7" x14ac:dyDescent="0.2">
      <c r="A2275" t="s">
        <v>1</v>
      </c>
      <c r="B2275" t="str">
        <f>"18969944349"</f>
        <v>18969944349</v>
      </c>
      <c r="C2275" t="s">
        <v>1</v>
      </c>
      <c r="D2275" t="s">
        <v>1</v>
      </c>
      <c r="E2275" t="s">
        <v>1</v>
      </c>
      <c r="F2275" t="s">
        <v>0</v>
      </c>
      <c r="G2275" t="str">
        <f>"2018-10-18 14:36:05"</f>
        <v>2018-10-18 14:36:05</v>
      </c>
    </row>
    <row r="2276" spans="1:7" x14ac:dyDescent="0.2">
      <c r="A2276" t="s">
        <v>288</v>
      </c>
      <c r="B2276" t="str">
        <f>"15142111723"</f>
        <v>15142111723</v>
      </c>
      <c r="C2276" t="str">
        <f>"210922198901010939"</f>
        <v>210922198901010939</v>
      </c>
      <c r="D2276" t="s">
        <v>3868</v>
      </c>
      <c r="E2276" t="s">
        <v>3869</v>
      </c>
      <c r="F2276" t="s">
        <v>0</v>
      </c>
      <c r="G2276" t="str">
        <f>"2018-10-18 14:40:11"</f>
        <v>2018-10-18 14:40:11</v>
      </c>
    </row>
    <row r="2277" spans="1:7" x14ac:dyDescent="0.2">
      <c r="A2277" t="s">
        <v>3870</v>
      </c>
      <c r="B2277" t="str">
        <f>"15250029990"</f>
        <v>15250029990</v>
      </c>
      <c r="C2277" t="str">
        <f>"320586198002284210"</f>
        <v>320586198002284210</v>
      </c>
      <c r="D2277" t="s">
        <v>1</v>
      </c>
      <c r="E2277" t="s">
        <v>1</v>
      </c>
      <c r="F2277" t="s">
        <v>0</v>
      </c>
      <c r="G2277" t="str">
        <f>"2018-10-18 14:36:54"</f>
        <v>2018-10-18 14:36:54</v>
      </c>
    </row>
    <row r="2278" spans="1:7" x14ac:dyDescent="0.2">
      <c r="A2278" t="s">
        <v>3871</v>
      </c>
      <c r="B2278" t="str">
        <f>"18633661457"</f>
        <v>18633661457</v>
      </c>
      <c r="C2278" t="str">
        <f>"130427198808174415"</f>
        <v>130427198808174415</v>
      </c>
      <c r="D2278" t="s">
        <v>1</v>
      </c>
      <c r="E2278" t="s">
        <v>1</v>
      </c>
      <c r="F2278" t="s">
        <v>0</v>
      </c>
      <c r="G2278" t="str">
        <f>"2018-10-18 14:35:32"</f>
        <v>2018-10-18 14:35:32</v>
      </c>
    </row>
    <row r="2279" spans="1:7" x14ac:dyDescent="0.2">
      <c r="A2279" t="s">
        <v>970</v>
      </c>
      <c r="B2279" t="str">
        <f>"15854741123"</f>
        <v>15854741123</v>
      </c>
      <c r="C2279" t="str">
        <f>"370828199304081618"</f>
        <v>370828199304081618</v>
      </c>
      <c r="D2279" t="s">
        <v>1</v>
      </c>
      <c r="E2279" t="s">
        <v>1</v>
      </c>
      <c r="F2279" t="s">
        <v>0</v>
      </c>
      <c r="G2279" t="str">
        <f>"2018-10-18 16:30:46"</f>
        <v>2018-10-18 16:30:46</v>
      </c>
    </row>
    <row r="2280" spans="1:7" x14ac:dyDescent="0.2">
      <c r="A2280" t="s">
        <v>1017</v>
      </c>
      <c r="B2280" t="str">
        <f>"18890697070"</f>
        <v>18890697070</v>
      </c>
      <c r="C2280" t="str">
        <f>"430821199301064267"</f>
        <v>430821199301064267</v>
      </c>
      <c r="D2280" t="s">
        <v>1</v>
      </c>
      <c r="E2280" t="s">
        <v>1</v>
      </c>
      <c r="F2280" t="s">
        <v>0</v>
      </c>
      <c r="G2280" t="str">
        <f>"2018-10-18 16:59:40"</f>
        <v>2018-10-18 16:59:40</v>
      </c>
    </row>
    <row r="2281" spans="1:7" x14ac:dyDescent="0.2">
      <c r="A2281" t="s">
        <v>1</v>
      </c>
      <c r="B2281" t="str">
        <f>"13617074660"</f>
        <v>13617074660</v>
      </c>
      <c r="C2281" t="s">
        <v>1</v>
      </c>
      <c r="D2281" t="s">
        <v>1</v>
      </c>
      <c r="E2281" t="s">
        <v>1</v>
      </c>
      <c r="F2281" t="s">
        <v>0</v>
      </c>
      <c r="G2281" t="str">
        <f>"2018-10-18 14:35:10"</f>
        <v>2018-10-18 14:35:10</v>
      </c>
    </row>
    <row r="2282" spans="1:7" x14ac:dyDescent="0.2">
      <c r="A2282" t="s">
        <v>3872</v>
      </c>
      <c r="B2282" t="str">
        <f>"13209087455"</f>
        <v>13209087455</v>
      </c>
      <c r="C2282" t="str">
        <f>"653001199305040216"</f>
        <v>653001199305040216</v>
      </c>
      <c r="D2282" t="s">
        <v>1</v>
      </c>
      <c r="E2282" t="s">
        <v>1</v>
      </c>
      <c r="F2282" t="s">
        <v>0</v>
      </c>
      <c r="G2282" t="str">
        <f>"2018-10-18 14:35:08"</f>
        <v>2018-10-18 14:35:08</v>
      </c>
    </row>
    <row r="2283" spans="1:7" x14ac:dyDescent="0.2">
      <c r="A2283" t="s">
        <v>1</v>
      </c>
      <c r="B2283" t="str">
        <f>"18282138910"</f>
        <v>18282138910</v>
      </c>
      <c r="C2283" t="s">
        <v>1</v>
      </c>
      <c r="D2283" t="s">
        <v>1</v>
      </c>
      <c r="E2283" t="s">
        <v>1</v>
      </c>
      <c r="F2283" t="s">
        <v>0</v>
      </c>
      <c r="G2283" t="str">
        <f>"2018-10-18 14:38:13"</f>
        <v>2018-10-18 14:38:13</v>
      </c>
    </row>
    <row r="2284" spans="1:7" x14ac:dyDescent="0.2">
      <c r="A2284" t="s">
        <v>639</v>
      </c>
      <c r="B2284" t="str">
        <f>"13834137058"</f>
        <v>13834137058</v>
      </c>
      <c r="C2284" t="str">
        <f>"140181199606095012"</f>
        <v>140181199606095012</v>
      </c>
      <c r="D2284" t="s">
        <v>3873</v>
      </c>
      <c r="E2284" t="s">
        <v>3874</v>
      </c>
      <c r="F2284" t="s">
        <v>0</v>
      </c>
      <c r="G2284" t="str">
        <f>"2018-10-18 14:35:54"</f>
        <v>2018-10-18 14:35:54</v>
      </c>
    </row>
    <row r="2285" spans="1:7" x14ac:dyDescent="0.2">
      <c r="A2285" t="s">
        <v>1</v>
      </c>
      <c r="B2285" t="str">
        <f>"13506758453"</f>
        <v>13506758453</v>
      </c>
      <c r="C2285" t="s">
        <v>1</v>
      </c>
      <c r="D2285" t="s">
        <v>1</v>
      </c>
      <c r="E2285" t="s">
        <v>1</v>
      </c>
      <c r="F2285" t="s">
        <v>0</v>
      </c>
      <c r="G2285" t="str">
        <f>"2018-10-18 14:34:41"</f>
        <v>2018-10-18 14:34:41</v>
      </c>
    </row>
    <row r="2286" spans="1:7" x14ac:dyDescent="0.2">
      <c r="A2286" t="s">
        <v>1</v>
      </c>
      <c r="B2286" t="str">
        <f>"15114392746"</f>
        <v>15114392746</v>
      </c>
      <c r="C2286" t="s">
        <v>1</v>
      </c>
      <c r="D2286" t="s">
        <v>1</v>
      </c>
      <c r="E2286" t="s">
        <v>1</v>
      </c>
      <c r="F2286" t="s">
        <v>0</v>
      </c>
      <c r="G2286" t="str">
        <f>"2018-10-18 14:34:21"</f>
        <v>2018-10-18 14:34:21</v>
      </c>
    </row>
    <row r="2287" spans="1:7" x14ac:dyDescent="0.2">
      <c r="A2287" t="s">
        <v>3875</v>
      </c>
      <c r="B2287" t="str">
        <f>"18813239153"</f>
        <v>18813239153</v>
      </c>
      <c r="C2287" t="str">
        <f>"500235199210251984"</f>
        <v>500235199210251984</v>
      </c>
      <c r="D2287" t="s">
        <v>1</v>
      </c>
      <c r="E2287" t="s">
        <v>1</v>
      </c>
      <c r="F2287" t="s">
        <v>0</v>
      </c>
      <c r="G2287" t="str">
        <f>"2018-11-01 13:59:42"</f>
        <v>2018-11-01 13:59:42</v>
      </c>
    </row>
    <row r="2288" spans="1:7" x14ac:dyDescent="0.2">
      <c r="A2288" t="s">
        <v>3876</v>
      </c>
      <c r="B2288" t="str">
        <f>"15226417818"</f>
        <v>15226417818</v>
      </c>
      <c r="C2288" t="str">
        <f>"431230198602075111"</f>
        <v>431230198602075111</v>
      </c>
      <c r="D2288" t="s">
        <v>1</v>
      </c>
      <c r="E2288" t="s">
        <v>1</v>
      </c>
      <c r="F2288" t="s">
        <v>0</v>
      </c>
      <c r="G2288" t="str">
        <f>"2018-10-18 14:34:52"</f>
        <v>2018-10-18 14:34:52</v>
      </c>
    </row>
    <row r="2289" spans="1:7" x14ac:dyDescent="0.2">
      <c r="A2289" t="s">
        <v>1</v>
      </c>
      <c r="B2289" t="str">
        <f>"15952601162"</f>
        <v>15952601162</v>
      </c>
      <c r="C2289" t="s">
        <v>1</v>
      </c>
      <c r="D2289" t="s">
        <v>1</v>
      </c>
      <c r="E2289" t="s">
        <v>1</v>
      </c>
      <c r="F2289" t="s">
        <v>0</v>
      </c>
      <c r="G2289" t="str">
        <f>"2018-10-18 14:33:35"</f>
        <v>2018-10-18 14:33:35</v>
      </c>
    </row>
    <row r="2290" spans="1:7" x14ac:dyDescent="0.2">
      <c r="A2290" t="s">
        <v>3877</v>
      </c>
      <c r="B2290" t="str">
        <f>"18305949235"</f>
        <v>18305949235</v>
      </c>
      <c r="C2290" t="str">
        <f>"352203199702252038"</f>
        <v>352203199702252038</v>
      </c>
      <c r="D2290" t="s">
        <v>3878</v>
      </c>
      <c r="E2290" t="s">
        <v>3879</v>
      </c>
      <c r="F2290" t="s">
        <v>0</v>
      </c>
      <c r="G2290" t="str">
        <f>"2018-10-20 15:00:02"</f>
        <v>2018-10-20 15:00:02</v>
      </c>
    </row>
    <row r="2291" spans="1:7" x14ac:dyDescent="0.2">
      <c r="A2291" t="s">
        <v>1</v>
      </c>
      <c r="B2291" t="str">
        <f>"13940467297"</f>
        <v>13940467297</v>
      </c>
      <c r="C2291" t="s">
        <v>1</v>
      </c>
      <c r="D2291" t="s">
        <v>1</v>
      </c>
      <c r="E2291" t="s">
        <v>1</v>
      </c>
      <c r="F2291" t="s">
        <v>0</v>
      </c>
      <c r="G2291" t="str">
        <f>"2018-10-18 14:33:05"</f>
        <v>2018-10-18 14:33:05</v>
      </c>
    </row>
    <row r="2292" spans="1:7" x14ac:dyDescent="0.2">
      <c r="A2292" t="s">
        <v>3880</v>
      </c>
      <c r="B2292" t="str">
        <f>"18176296599"</f>
        <v>18176296599</v>
      </c>
      <c r="C2292" t="str">
        <f>"452131198910303919"</f>
        <v>452131198910303919</v>
      </c>
      <c r="D2292" t="s">
        <v>1</v>
      </c>
      <c r="E2292" t="s">
        <v>1</v>
      </c>
      <c r="F2292" t="s">
        <v>0</v>
      </c>
      <c r="G2292" t="str">
        <f>"2018-10-18 14:32:51"</f>
        <v>2018-10-18 14:32:51</v>
      </c>
    </row>
    <row r="2293" spans="1:7" x14ac:dyDescent="0.2">
      <c r="A2293" t="s">
        <v>3881</v>
      </c>
      <c r="B2293" t="str">
        <f>"15085419180"</f>
        <v>15085419180</v>
      </c>
      <c r="C2293" t="str">
        <f>"522124199708253224"</f>
        <v>522124199708253224</v>
      </c>
      <c r="D2293" t="s">
        <v>1</v>
      </c>
      <c r="E2293" t="s">
        <v>1</v>
      </c>
      <c r="F2293" t="s">
        <v>0</v>
      </c>
      <c r="G2293" t="str">
        <f>"2018-10-18 14:34:34"</f>
        <v>2018-10-18 14:34:34</v>
      </c>
    </row>
    <row r="2294" spans="1:7" x14ac:dyDescent="0.2">
      <c r="A2294" t="s">
        <v>3882</v>
      </c>
      <c r="B2294" t="str">
        <f>"18993601477"</f>
        <v>18993601477</v>
      </c>
      <c r="C2294" t="str">
        <f>"622224198107154014"</f>
        <v>622224198107154014</v>
      </c>
      <c r="D2294" t="s">
        <v>1</v>
      </c>
      <c r="E2294" t="s">
        <v>1</v>
      </c>
      <c r="F2294" t="s">
        <v>0</v>
      </c>
      <c r="G2294" t="str">
        <f>"2018-10-18 14:35:32"</f>
        <v>2018-10-18 14:35:32</v>
      </c>
    </row>
    <row r="2295" spans="1:7" x14ac:dyDescent="0.2">
      <c r="A2295" t="s">
        <v>3883</v>
      </c>
      <c r="B2295" t="str">
        <f>"13450933339"</f>
        <v>13450933339</v>
      </c>
      <c r="C2295" t="str">
        <f>"442000198510101590"</f>
        <v>442000198510101590</v>
      </c>
      <c r="D2295" t="s">
        <v>1</v>
      </c>
      <c r="E2295" t="s">
        <v>1</v>
      </c>
      <c r="F2295" t="s">
        <v>0</v>
      </c>
      <c r="G2295" t="str">
        <f>"2018-10-31 12:51:49"</f>
        <v>2018-10-31 12:51:49</v>
      </c>
    </row>
    <row r="2296" spans="1:7" x14ac:dyDescent="0.2">
      <c r="A2296" t="s">
        <v>100</v>
      </c>
      <c r="B2296" t="str">
        <f>"17586888083"</f>
        <v>17586888083</v>
      </c>
      <c r="C2296" t="str">
        <f>"522321199402107330"</f>
        <v>522321199402107330</v>
      </c>
      <c r="D2296" t="s">
        <v>1</v>
      </c>
      <c r="E2296" t="s">
        <v>1</v>
      </c>
      <c r="F2296" t="s">
        <v>0</v>
      </c>
      <c r="G2296" t="str">
        <f>"2018-10-18 14:34:56"</f>
        <v>2018-10-18 14:34:56</v>
      </c>
    </row>
    <row r="2297" spans="1:7" x14ac:dyDescent="0.2">
      <c r="A2297" t="s">
        <v>3884</v>
      </c>
      <c r="B2297" t="str">
        <f>"15919048984"</f>
        <v>15919048984</v>
      </c>
      <c r="C2297" t="str">
        <f>"450421199411080577"</f>
        <v>450421199411080577</v>
      </c>
      <c r="D2297" t="s">
        <v>1</v>
      </c>
      <c r="E2297" t="s">
        <v>1</v>
      </c>
      <c r="F2297" t="s">
        <v>0</v>
      </c>
      <c r="G2297" t="str">
        <f>"2018-10-18 14:35:52"</f>
        <v>2018-10-18 14:35:52</v>
      </c>
    </row>
    <row r="2298" spans="1:7" x14ac:dyDescent="0.2">
      <c r="A2298" t="s">
        <v>658</v>
      </c>
      <c r="B2298" t="str">
        <f>"18646858333"</f>
        <v>18646858333</v>
      </c>
      <c r="C2298" t="str">
        <f>"230804198208131420"</f>
        <v>230804198208131420</v>
      </c>
      <c r="D2298" t="s">
        <v>1</v>
      </c>
      <c r="E2298" t="s">
        <v>1</v>
      </c>
      <c r="F2298" t="s">
        <v>0</v>
      </c>
      <c r="G2298" t="str">
        <f>"2018-10-18 14:37:15"</f>
        <v>2018-10-18 14:37:15</v>
      </c>
    </row>
    <row r="2299" spans="1:7" x14ac:dyDescent="0.2">
      <c r="A2299" t="s">
        <v>3885</v>
      </c>
      <c r="B2299" t="str">
        <f>"17610172567"</f>
        <v>17610172567</v>
      </c>
      <c r="C2299" t="str">
        <f>"230826197407202010"</f>
        <v>230826197407202010</v>
      </c>
      <c r="D2299" t="s">
        <v>1</v>
      </c>
      <c r="E2299" t="s">
        <v>1</v>
      </c>
      <c r="F2299" t="s">
        <v>0</v>
      </c>
      <c r="G2299" t="str">
        <f>"2018-10-18 14:33:18"</f>
        <v>2018-10-18 14:33:18</v>
      </c>
    </row>
    <row r="2300" spans="1:7" x14ac:dyDescent="0.2">
      <c r="A2300" t="s">
        <v>3886</v>
      </c>
      <c r="B2300" t="str">
        <f>"15060932345"</f>
        <v>15060932345</v>
      </c>
      <c r="C2300" t="str">
        <f>"350524198611232068"</f>
        <v>350524198611232068</v>
      </c>
      <c r="D2300" t="s">
        <v>3887</v>
      </c>
      <c r="E2300" t="s">
        <v>3888</v>
      </c>
      <c r="F2300" t="s">
        <v>0</v>
      </c>
      <c r="G2300" t="str">
        <f>"2018-10-18 14:33:48"</f>
        <v>2018-10-18 14:33:48</v>
      </c>
    </row>
    <row r="2301" spans="1:7" x14ac:dyDescent="0.2">
      <c r="A2301" t="s">
        <v>3889</v>
      </c>
      <c r="B2301" t="str">
        <f>"13832598772"</f>
        <v>13832598772</v>
      </c>
      <c r="C2301" t="str">
        <f>"130229197610294814"</f>
        <v>130229197610294814</v>
      </c>
      <c r="D2301" t="s">
        <v>1</v>
      </c>
      <c r="E2301" t="s">
        <v>1</v>
      </c>
      <c r="F2301" t="s">
        <v>0</v>
      </c>
      <c r="G2301" t="str">
        <f>"2018-10-18 14:32:56"</f>
        <v>2018-10-18 14:32:56</v>
      </c>
    </row>
    <row r="2302" spans="1:7" x14ac:dyDescent="0.2">
      <c r="A2302" t="s">
        <v>1353</v>
      </c>
      <c r="B2302" t="str">
        <f>"13317759336"</f>
        <v>13317759336</v>
      </c>
      <c r="C2302" t="str">
        <f>"452501199010140710"</f>
        <v>452501199010140710</v>
      </c>
      <c r="D2302" t="s">
        <v>1</v>
      </c>
      <c r="E2302" t="s">
        <v>1</v>
      </c>
      <c r="F2302" t="s">
        <v>0</v>
      </c>
      <c r="G2302" t="str">
        <f>"2018-10-18 14:54:07"</f>
        <v>2018-10-18 14:54:07</v>
      </c>
    </row>
    <row r="2303" spans="1:7" x14ac:dyDescent="0.2">
      <c r="A2303" t="s">
        <v>3890</v>
      </c>
      <c r="B2303" t="str">
        <f>"17503725561"</f>
        <v>17503725561</v>
      </c>
      <c r="C2303" t="str">
        <f>"410511198612100053"</f>
        <v>410511198612100053</v>
      </c>
      <c r="D2303" t="s">
        <v>1</v>
      </c>
      <c r="E2303" t="s">
        <v>1</v>
      </c>
      <c r="F2303" t="s">
        <v>0</v>
      </c>
      <c r="G2303" t="str">
        <f>"2018-10-18 14:34:04"</f>
        <v>2018-10-18 14:34:04</v>
      </c>
    </row>
    <row r="2304" spans="1:7" x14ac:dyDescent="0.2">
      <c r="A2304" t="s">
        <v>3891</v>
      </c>
      <c r="B2304" t="str">
        <f>"15986042606"</f>
        <v>15986042606</v>
      </c>
      <c r="C2304" t="str">
        <f>"441623197306292723"</f>
        <v>441623197306292723</v>
      </c>
      <c r="D2304" t="s">
        <v>1</v>
      </c>
      <c r="E2304" t="s">
        <v>1</v>
      </c>
      <c r="F2304" t="s">
        <v>0</v>
      </c>
      <c r="G2304" t="str">
        <f>"2018-10-18 14:32:22"</f>
        <v>2018-10-18 14:32:22</v>
      </c>
    </row>
    <row r="2305" spans="1:7" x14ac:dyDescent="0.2">
      <c r="A2305" t="s">
        <v>3892</v>
      </c>
      <c r="B2305" t="str">
        <f>"13542284959"</f>
        <v>13542284959</v>
      </c>
      <c r="C2305" t="str">
        <f>"440203198111302713"</f>
        <v>440203198111302713</v>
      </c>
      <c r="D2305" t="s">
        <v>3893</v>
      </c>
      <c r="E2305" t="s">
        <v>3894</v>
      </c>
      <c r="F2305" t="s">
        <v>0</v>
      </c>
      <c r="G2305" t="str">
        <f>"2018-10-18 14:30:48"</f>
        <v>2018-10-18 14:30:48</v>
      </c>
    </row>
    <row r="2306" spans="1:7" x14ac:dyDescent="0.2">
      <c r="A2306" t="s">
        <v>140</v>
      </c>
      <c r="B2306" t="str">
        <f>"17681383030"</f>
        <v>17681383030</v>
      </c>
      <c r="C2306" t="str">
        <f>"342426199001021636"</f>
        <v>342426199001021636</v>
      </c>
      <c r="D2306" t="s">
        <v>1</v>
      </c>
      <c r="E2306" t="s">
        <v>1</v>
      </c>
      <c r="F2306" t="s">
        <v>0</v>
      </c>
      <c r="G2306" t="str">
        <f>"2018-10-18 14:30:42"</f>
        <v>2018-10-18 14:30:42</v>
      </c>
    </row>
    <row r="2307" spans="1:7" x14ac:dyDescent="0.2">
      <c r="A2307" t="s">
        <v>3895</v>
      </c>
      <c r="B2307" t="str">
        <f>"13236640702"</f>
        <v>13236640702</v>
      </c>
      <c r="C2307" t="str">
        <f>"21072719900401541X"</f>
        <v>21072719900401541X</v>
      </c>
      <c r="D2307" t="s">
        <v>1</v>
      </c>
      <c r="E2307" t="s">
        <v>1</v>
      </c>
      <c r="F2307" t="s">
        <v>0</v>
      </c>
      <c r="G2307" t="str">
        <f>"2018-10-18 14:31:17"</f>
        <v>2018-10-18 14:31:17</v>
      </c>
    </row>
    <row r="2308" spans="1:7" x14ac:dyDescent="0.2">
      <c r="A2308" t="s">
        <v>3896</v>
      </c>
      <c r="B2308" t="str">
        <f>"15810324568"</f>
        <v>15810324568</v>
      </c>
      <c r="C2308" t="str">
        <f>"610431198309180641"</f>
        <v>610431198309180641</v>
      </c>
      <c r="D2308" t="s">
        <v>1</v>
      </c>
      <c r="E2308" t="s">
        <v>1</v>
      </c>
      <c r="F2308" t="s">
        <v>0</v>
      </c>
      <c r="G2308" t="str">
        <f>"2018-10-18 14:31:23"</f>
        <v>2018-10-18 14:31:23</v>
      </c>
    </row>
    <row r="2309" spans="1:7" x14ac:dyDescent="0.2">
      <c r="A2309" t="s">
        <v>3897</v>
      </c>
      <c r="B2309" t="str">
        <f>"13226174447"</f>
        <v>13226174447</v>
      </c>
      <c r="C2309" t="str">
        <f>"445221198511041214"</f>
        <v>445221198511041214</v>
      </c>
      <c r="D2309" t="s">
        <v>1</v>
      </c>
      <c r="E2309" t="s">
        <v>1</v>
      </c>
      <c r="F2309" t="s">
        <v>0</v>
      </c>
      <c r="G2309" t="str">
        <f>"2018-10-18 14:32:23"</f>
        <v>2018-10-18 14:32:23</v>
      </c>
    </row>
    <row r="2310" spans="1:7" x14ac:dyDescent="0.2">
      <c r="A2310" t="s">
        <v>3898</v>
      </c>
      <c r="B2310" t="str">
        <f>"18339732927"</f>
        <v>18339732927</v>
      </c>
      <c r="C2310" t="str">
        <f>"410804199510120026"</f>
        <v>410804199510120026</v>
      </c>
      <c r="D2310" t="s">
        <v>1</v>
      </c>
      <c r="E2310" t="s">
        <v>1</v>
      </c>
      <c r="F2310" t="s">
        <v>0</v>
      </c>
      <c r="G2310" t="str">
        <f>"2018-10-18 14:30:38"</f>
        <v>2018-10-18 14:30:38</v>
      </c>
    </row>
    <row r="2311" spans="1:7" x14ac:dyDescent="0.2">
      <c r="A2311" t="s">
        <v>3899</v>
      </c>
      <c r="B2311" t="str">
        <f>"17753777555"</f>
        <v>17753777555</v>
      </c>
      <c r="C2311" t="str">
        <f>"370830199412102932"</f>
        <v>370830199412102932</v>
      </c>
      <c r="D2311" t="s">
        <v>1</v>
      </c>
      <c r="E2311" t="s">
        <v>1</v>
      </c>
      <c r="F2311" t="s">
        <v>0</v>
      </c>
      <c r="G2311" t="str">
        <f>"2018-10-18 14:30:07"</f>
        <v>2018-10-18 14:30:07</v>
      </c>
    </row>
    <row r="2312" spans="1:7" x14ac:dyDescent="0.2">
      <c r="A2312" t="s">
        <v>1</v>
      </c>
      <c r="B2312" t="str">
        <f>"13248656214"</f>
        <v>13248656214</v>
      </c>
      <c r="C2312" t="s">
        <v>1</v>
      </c>
      <c r="D2312" t="s">
        <v>1</v>
      </c>
      <c r="E2312" t="s">
        <v>1</v>
      </c>
      <c r="F2312" t="s">
        <v>0</v>
      </c>
      <c r="G2312" t="str">
        <f>"2018-10-18 14:29:16"</f>
        <v>2018-10-18 14:29:16</v>
      </c>
    </row>
    <row r="2313" spans="1:7" x14ac:dyDescent="0.2">
      <c r="A2313" t="s">
        <v>3900</v>
      </c>
      <c r="B2313" t="str">
        <f>"15272601246"</f>
        <v>15272601246</v>
      </c>
      <c r="C2313" t="str">
        <f>"42100219970210422X"</f>
        <v>42100219970210422X</v>
      </c>
      <c r="D2313" t="s">
        <v>1</v>
      </c>
      <c r="E2313" t="s">
        <v>1</v>
      </c>
      <c r="F2313" t="s">
        <v>0</v>
      </c>
      <c r="G2313" t="str">
        <f>"2018-10-18 14:30:33"</f>
        <v>2018-10-18 14:30:33</v>
      </c>
    </row>
    <row r="2314" spans="1:7" x14ac:dyDescent="0.2">
      <c r="A2314" t="s">
        <v>3901</v>
      </c>
      <c r="B2314" t="str">
        <f>"18763541636"</f>
        <v>18763541636</v>
      </c>
      <c r="C2314" t="str">
        <f>"371521199503266172"</f>
        <v>371521199503266172</v>
      </c>
      <c r="D2314" t="s">
        <v>3902</v>
      </c>
      <c r="E2314" t="s">
        <v>3903</v>
      </c>
      <c r="F2314" t="s">
        <v>0</v>
      </c>
      <c r="G2314" t="str">
        <f>"2018-10-19 09:07:05"</f>
        <v>2018-10-19 09:07:05</v>
      </c>
    </row>
    <row r="2315" spans="1:7" x14ac:dyDescent="0.2">
      <c r="A2315" t="s">
        <v>1</v>
      </c>
      <c r="B2315" t="str">
        <f>"13398102977"</f>
        <v>13398102977</v>
      </c>
      <c r="C2315" t="s">
        <v>1</v>
      </c>
      <c r="D2315" t="s">
        <v>1</v>
      </c>
      <c r="E2315" t="s">
        <v>1</v>
      </c>
      <c r="F2315" t="s">
        <v>0</v>
      </c>
      <c r="G2315" t="str">
        <f>"2018-10-18 14:28:59"</f>
        <v>2018-10-18 14:28:59</v>
      </c>
    </row>
    <row r="2316" spans="1:7" x14ac:dyDescent="0.2">
      <c r="A2316" t="s">
        <v>3904</v>
      </c>
      <c r="B2316" t="str">
        <f>"13568257118"</f>
        <v>13568257118</v>
      </c>
      <c r="C2316" t="str">
        <f>"513822198702274315"</f>
        <v>513822198702274315</v>
      </c>
      <c r="D2316" t="s">
        <v>1</v>
      </c>
      <c r="E2316" t="s">
        <v>1</v>
      </c>
      <c r="F2316" t="s">
        <v>0</v>
      </c>
      <c r="G2316" t="str">
        <f>"2018-10-18 14:30:01"</f>
        <v>2018-10-18 14:30:01</v>
      </c>
    </row>
    <row r="2317" spans="1:7" x14ac:dyDescent="0.2">
      <c r="A2317" t="s">
        <v>1</v>
      </c>
      <c r="B2317" t="str">
        <f>"18080777957"</f>
        <v>18080777957</v>
      </c>
      <c r="C2317" t="s">
        <v>1</v>
      </c>
      <c r="D2317" t="s">
        <v>1</v>
      </c>
      <c r="E2317" t="s">
        <v>1</v>
      </c>
      <c r="F2317" t="s">
        <v>0</v>
      </c>
      <c r="G2317" t="str">
        <f>"2018-10-18 14:28:28"</f>
        <v>2018-10-18 14:28:28</v>
      </c>
    </row>
    <row r="2318" spans="1:7" x14ac:dyDescent="0.2">
      <c r="A2318" t="s">
        <v>122</v>
      </c>
      <c r="B2318" t="str">
        <f>"13710808600"</f>
        <v>13710808600</v>
      </c>
      <c r="C2318" t="str">
        <f>"440184199311013059"</f>
        <v>440184199311013059</v>
      </c>
      <c r="D2318" t="s">
        <v>1</v>
      </c>
      <c r="E2318" t="s">
        <v>1</v>
      </c>
      <c r="F2318" t="s">
        <v>0</v>
      </c>
      <c r="G2318" t="str">
        <f>"2018-10-18 14:31:00"</f>
        <v>2018-10-18 14:31:00</v>
      </c>
    </row>
    <row r="2319" spans="1:7" x14ac:dyDescent="0.2">
      <c r="A2319" t="s">
        <v>1</v>
      </c>
      <c r="B2319" t="str">
        <f>"18262097361"</f>
        <v>18262097361</v>
      </c>
      <c r="C2319" t="s">
        <v>1</v>
      </c>
      <c r="D2319" t="s">
        <v>1</v>
      </c>
      <c r="E2319" t="s">
        <v>1</v>
      </c>
      <c r="F2319" t="s">
        <v>0</v>
      </c>
      <c r="G2319" t="str">
        <f>"2018-10-18 14:28:18"</f>
        <v>2018-10-18 14:28:18</v>
      </c>
    </row>
    <row r="2320" spans="1:7" x14ac:dyDescent="0.2">
      <c r="A2320" t="s">
        <v>3905</v>
      </c>
      <c r="B2320" t="str">
        <f>"13909752105"</f>
        <v>13909752105</v>
      </c>
      <c r="C2320" t="str">
        <f>"131128198812213318"</f>
        <v>131128198812213318</v>
      </c>
      <c r="D2320" t="s">
        <v>3906</v>
      </c>
      <c r="E2320" t="s">
        <v>3907</v>
      </c>
      <c r="F2320" t="s">
        <v>0</v>
      </c>
      <c r="G2320" t="str">
        <f>"2018-10-18 14:29:21"</f>
        <v>2018-10-18 14:29:21</v>
      </c>
    </row>
    <row r="2321" spans="1:7" x14ac:dyDescent="0.2">
      <c r="A2321" t="s">
        <v>3908</v>
      </c>
      <c r="B2321" t="str">
        <f>"15013618736"</f>
        <v>15013618736</v>
      </c>
      <c r="C2321" t="str">
        <f>"130625198410151633"</f>
        <v>130625198410151633</v>
      </c>
      <c r="D2321" t="s">
        <v>1</v>
      </c>
      <c r="E2321" t="s">
        <v>1</v>
      </c>
      <c r="F2321" t="s">
        <v>0</v>
      </c>
      <c r="G2321" t="str">
        <f>"2018-10-18 14:34:50"</f>
        <v>2018-10-18 14:34:50</v>
      </c>
    </row>
    <row r="2322" spans="1:7" x14ac:dyDescent="0.2">
      <c r="A2322" t="s">
        <v>3909</v>
      </c>
      <c r="B2322" t="str">
        <f>"18876781477"</f>
        <v>18876781477</v>
      </c>
      <c r="C2322" t="str">
        <f>"460300199107040313"</f>
        <v>460300199107040313</v>
      </c>
      <c r="D2322" t="s">
        <v>1</v>
      </c>
      <c r="E2322" t="s">
        <v>1</v>
      </c>
      <c r="F2322" t="s">
        <v>0</v>
      </c>
      <c r="G2322" t="str">
        <f>"2018-10-18 14:29:16"</f>
        <v>2018-10-18 14:29:16</v>
      </c>
    </row>
    <row r="2323" spans="1:7" x14ac:dyDescent="0.2">
      <c r="A2323" t="s">
        <v>3910</v>
      </c>
      <c r="B2323" t="str">
        <f>"18251676969"</f>
        <v>18251676969</v>
      </c>
      <c r="C2323" t="str">
        <f>"320381198409296018"</f>
        <v>320381198409296018</v>
      </c>
      <c r="D2323" t="s">
        <v>1</v>
      </c>
      <c r="E2323" t="s">
        <v>1</v>
      </c>
      <c r="F2323" t="s">
        <v>0</v>
      </c>
      <c r="G2323" t="str">
        <f>"2018-10-25 13:20:38"</f>
        <v>2018-10-25 13:20:38</v>
      </c>
    </row>
    <row r="2324" spans="1:7" x14ac:dyDescent="0.2">
      <c r="A2324" t="s">
        <v>1</v>
      </c>
      <c r="B2324" t="str">
        <f>"18039888803"</f>
        <v>18039888803</v>
      </c>
      <c r="C2324" t="s">
        <v>1</v>
      </c>
      <c r="D2324" t="s">
        <v>1</v>
      </c>
      <c r="E2324" t="s">
        <v>1</v>
      </c>
      <c r="F2324" t="s">
        <v>0</v>
      </c>
      <c r="G2324" t="str">
        <f>"2018-10-18 14:27:44"</f>
        <v>2018-10-18 14:27:44</v>
      </c>
    </row>
    <row r="2325" spans="1:7" x14ac:dyDescent="0.2">
      <c r="A2325" t="s">
        <v>3911</v>
      </c>
      <c r="B2325" t="str">
        <f>"13980587232"</f>
        <v>13980587232</v>
      </c>
      <c r="C2325" t="str">
        <f>"510123199712092814"</f>
        <v>510123199712092814</v>
      </c>
      <c r="D2325" t="s">
        <v>1</v>
      </c>
      <c r="E2325" t="s">
        <v>1</v>
      </c>
      <c r="F2325" t="s">
        <v>0</v>
      </c>
      <c r="G2325" t="str">
        <f>"2018-10-18 14:29:08"</f>
        <v>2018-10-18 14:29:08</v>
      </c>
    </row>
    <row r="2326" spans="1:7" x14ac:dyDescent="0.2">
      <c r="A2326" t="s">
        <v>3912</v>
      </c>
      <c r="B2326" t="str">
        <f>"13008908185"</f>
        <v>13008908185</v>
      </c>
      <c r="C2326" t="str">
        <f>"330227198210306491"</f>
        <v>330227198210306491</v>
      </c>
      <c r="D2326" t="s">
        <v>1</v>
      </c>
      <c r="E2326" t="s">
        <v>1</v>
      </c>
      <c r="F2326" t="s">
        <v>0</v>
      </c>
      <c r="G2326" t="str">
        <f>"2018-10-18 14:27:15"</f>
        <v>2018-10-18 14:27:15</v>
      </c>
    </row>
    <row r="2327" spans="1:7" x14ac:dyDescent="0.2">
      <c r="A2327" t="s">
        <v>350</v>
      </c>
      <c r="B2327" t="str">
        <f>"13727864181"</f>
        <v>13727864181</v>
      </c>
      <c r="C2327" t="str">
        <f>"520201198708203619"</f>
        <v>520201198708203619</v>
      </c>
      <c r="D2327" t="s">
        <v>1</v>
      </c>
      <c r="E2327" t="s">
        <v>1</v>
      </c>
      <c r="F2327" t="s">
        <v>0</v>
      </c>
      <c r="G2327" t="str">
        <f>"2018-10-18 14:58:28"</f>
        <v>2018-10-18 14:58:28</v>
      </c>
    </row>
    <row r="2328" spans="1:7" x14ac:dyDescent="0.2">
      <c r="A2328" t="s">
        <v>1</v>
      </c>
      <c r="B2328" t="str">
        <f>"13812666729"</f>
        <v>13812666729</v>
      </c>
      <c r="C2328" t="s">
        <v>1</v>
      </c>
      <c r="D2328" t="s">
        <v>1</v>
      </c>
      <c r="E2328" t="s">
        <v>1</v>
      </c>
      <c r="F2328" t="s">
        <v>0</v>
      </c>
      <c r="G2328" t="str">
        <f>"2018-10-18 14:26:58"</f>
        <v>2018-10-18 14:26:58</v>
      </c>
    </row>
    <row r="2329" spans="1:7" x14ac:dyDescent="0.2">
      <c r="A2329" t="s">
        <v>1</v>
      </c>
      <c r="B2329" t="str">
        <f>"15657569811"</f>
        <v>15657569811</v>
      </c>
      <c r="C2329" t="s">
        <v>1</v>
      </c>
      <c r="D2329" t="s">
        <v>1</v>
      </c>
      <c r="E2329" t="s">
        <v>1</v>
      </c>
      <c r="F2329" t="s">
        <v>0</v>
      </c>
      <c r="G2329" t="str">
        <f>"2018-10-18 14:26:53"</f>
        <v>2018-10-18 14:26:53</v>
      </c>
    </row>
    <row r="2330" spans="1:7" x14ac:dyDescent="0.2">
      <c r="A2330" t="s">
        <v>1</v>
      </c>
      <c r="B2330" t="str">
        <f>"17387865351"</f>
        <v>17387865351</v>
      </c>
      <c r="C2330" t="s">
        <v>1</v>
      </c>
      <c r="D2330" t="s">
        <v>1</v>
      </c>
      <c r="E2330" t="s">
        <v>1</v>
      </c>
      <c r="F2330" t="s">
        <v>0</v>
      </c>
      <c r="G2330" t="str">
        <f>"2018-10-18 14:26:45"</f>
        <v>2018-10-18 14:26:45</v>
      </c>
    </row>
    <row r="2331" spans="1:7" x14ac:dyDescent="0.2">
      <c r="A2331" t="s">
        <v>1</v>
      </c>
      <c r="B2331" t="str">
        <f>"13260816656"</f>
        <v>13260816656</v>
      </c>
      <c r="C2331" t="s">
        <v>1</v>
      </c>
      <c r="D2331" t="s">
        <v>1</v>
      </c>
      <c r="E2331" t="s">
        <v>1</v>
      </c>
      <c r="F2331" t="s">
        <v>0</v>
      </c>
      <c r="G2331" t="str">
        <f>"2018-10-18 14:26:44"</f>
        <v>2018-10-18 14:26:44</v>
      </c>
    </row>
    <row r="2332" spans="1:7" x14ac:dyDescent="0.2">
      <c r="A2332" t="s">
        <v>3913</v>
      </c>
      <c r="B2332" t="str">
        <f>"13195239296"</f>
        <v>13195239296</v>
      </c>
      <c r="C2332" t="str">
        <f>"522501199705207633"</f>
        <v>522501199705207633</v>
      </c>
      <c r="D2332" t="s">
        <v>1</v>
      </c>
      <c r="E2332" t="s">
        <v>1</v>
      </c>
      <c r="F2332" t="s">
        <v>0</v>
      </c>
      <c r="G2332" t="str">
        <f>"2018-10-18 14:28:01"</f>
        <v>2018-10-18 14:28:01</v>
      </c>
    </row>
    <row r="2333" spans="1:7" x14ac:dyDescent="0.2">
      <c r="A2333" t="s">
        <v>3914</v>
      </c>
      <c r="B2333" t="str">
        <f>"15763770072"</f>
        <v>15763770072</v>
      </c>
      <c r="C2333" t="str">
        <f>"370882198508131211"</f>
        <v>370882198508131211</v>
      </c>
      <c r="D2333" t="s">
        <v>3915</v>
      </c>
      <c r="E2333" t="s">
        <v>3916</v>
      </c>
      <c r="F2333" t="s">
        <v>0</v>
      </c>
      <c r="G2333" t="str">
        <f>"2018-10-28 18:37:37"</f>
        <v>2018-10-28 18:37:37</v>
      </c>
    </row>
    <row r="2334" spans="1:7" x14ac:dyDescent="0.2">
      <c r="A2334" t="s">
        <v>3917</v>
      </c>
      <c r="B2334" t="str">
        <f>"13954401112"</f>
        <v>13954401112</v>
      </c>
      <c r="C2334" t="str">
        <f>"371311198611203111"</f>
        <v>371311198611203111</v>
      </c>
      <c r="D2334" t="s">
        <v>1</v>
      </c>
      <c r="E2334" t="s">
        <v>1</v>
      </c>
      <c r="F2334" t="s">
        <v>0</v>
      </c>
      <c r="G2334" t="str">
        <f>"2018-10-18 14:27:11"</f>
        <v>2018-10-18 14:27:11</v>
      </c>
    </row>
    <row r="2335" spans="1:7" x14ac:dyDescent="0.2">
      <c r="A2335" t="s">
        <v>3918</v>
      </c>
      <c r="B2335" t="str">
        <f>"15866780050"</f>
        <v>15866780050</v>
      </c>
      <c r="C2335" t="str">
        <f>"370125199411036313"</f>
        <v>370125199411036313</v>
      </c>
      <c r="D2335" t="s">
        <v>1</v>
      </c>
      <c r="E2335" t="s">
        <v>1</v>
      </c>
      <c r="F2335" t="s">
        <v>0</v>
      </c>
      <c r="G2335" t="str">
        <f>"2018-10-18 14:38:21"</f>
        <v>2018-10-18 14:38:21</v>
      </c>
    </row>
    <row r="2336" spans="1:7" x14ac:dyDescent="0.2">
      <c r="A2336" t="s">
        <v>3919</v>
      </c>
      <c r="B2336" t="str">
        <f>"13428695003"</f>
        <v>13428695003</v>
      </c>
      <c r="C2336" t="str">
        <f>"522635199105063225"</f>
        <v>522635199105063225</v>
      </c>
      <c r="D2336" t="s">
        <v>1</v>
      </c>
      <c r="E2336" t="s">
        <v>1</v>
      </c>
      <c r="F2336" t="s">
        <v>0</v>
      </c>
      <c r="G2336" t="str">
        <f>"2018-10-18 14:48:42"</f>
        <v>2018-10-18 14:48:42</v>
      </c>
    </row>
    <row r="2337" spans="1:7" x14ac:dyDescent="0.2">
      <c r="A2337" t="s">
        <v>3920</v>
      </c>
      <c r="B2337" t="str">
        <f>"17674137949"</f>
        <v>17674137949</v>
      </c>
      <c r="C2337" t="str">
        <f>"431023199809153332"</f>
        <v>431023199809153332</v>
      </c>
      <c r="D2337" t="s">
        <v>1</v>
      </c>
      <c r="E2337" t="s">
        <v>1</v>
      </c>
      <c r="F2337" t="s">
        <v>0</v>
      </c>
      <c r="G2337" t="str">
        <f>"2018-10-23 12:56:45"</f>
        <v>2018-10-23 12:56:45</v>
      </c>
    </row>
    <row r="2338" spans="1:7" x14ac:dyDescent="0.2">
      <c r="A2338" t="s">
        <v>3921</v>
      </c>
      <c r="B2338" t="str">
        <f>"13948395258"</f>
        <v>13948395258</v>
      </c>
      <c r="C2338" t="str">
        <f>"152822198403175431"</f>
        <v>152822198403175431</v>
      </c>
      <c r="D2338" t="s">
        <v>1</v>
      </c>
      <c r="E2338" t="s">
        <v>1</v>
      </c>
      <c r="F2338" t="s">
        <v>0</v>
      </c>
      <c r="G2338" t="str">
        <f>"2018-10-18 14:27:56"</f>
        <v>2018-10-18 14:27:56</v>
      </c>
    </row>
    <row r="2339" spans="1:7" x14ac:dyDescent="0.2">
      <c r="A2339" t="s">
        <v>3922</v>
      </c>
      <c r="B2339" t="str">
        <f>"17794344371"</f>
        <v>17794344371</v>
      </c>
      <c r="C2339" t="str">
        <f>"620423199211065422"</f>
        <v>620423199211065422</v>
      </c>
      <c r="D2339" t="s">
        <v>1</v>
      </c>
      <c r="E2339" t="s">
        <v>1</v>
      </c>
      <c r="F2339" t="s">
        <v>0</v>
      </c>
      <c r="G2339" t="str">
        <f>"2018-10-18 14:27:10"</f>
        <v>2018-10-18 14:27:10</v>
      </c>
    </row>
    <row r="2340" spans="1:7" x14ac:dyDescent="0.2">
      <c r="A2340" t="s">
        <v>1</v>
      </c>
      <c r="B2340" t="str">
        <f>"15077177744"</f>
        <v>15077177744</v>
      </c>
      <c r="C2340" t="s">
        <v>1</v>
      </c>
      <c r="D2340" t="s">
        <v>1</v>
      </c>
      <c r="E2340" t="s">
        <v>1</v>
      </c>
      <c r="F2340" t="s">
        <v>0</v>
      </c>
      <c r="G2340" t="str">
        <f>"2018-10-18 14:25:16"</f>
        <v>2018-10-18 14:25:16</v>
      </c>
    </row>
    <row r="2341" spans="1:7" x14ac:dyDescent="0.2">
      <c r="A2341" t="s">
        <v>3923</v>
      </c>
      <c r="B2341" t="str">
        <f>"13667379946"</f>
        <v>13667379946</v>
      </c>
      <c r="C2341" t="str">
        <f>"430903199304032431"</f>
        <v>430903199304032431</v>
      </c>
      <c r="D2341" t="s">
        <v>1</v>
      </c>
      <c r="E2341" t="s">
        <v>1</v>
      </c>
      <c r="F2341" t="s">
        <v>0</v>
      </c>
      <c r="G2341" t="str">
        <f>"2018-10-19 15:06:27"</f>
        <v>2018-10-19 15:06:27</v>
      </c>
    </row>
    <row r="2342" spans="1:7" x14ac:dyDescent="0.2">
      <c r="A2342" t="s">
        <v>3924</v>
      </c>
      <c r="B2342" t="str">
        <f>"17742521680"</f>
        <v>17742521680</v>
      </c>
      <c r="C2342" t="str">
        <f>"431021198412027816"</f>
        <v>431021198412027816</v>
      </c>
      <c r="D2342" t="s">
        <v>1</v>
      </c>
      <c r="E2342" t="s">
        <v>1</v>
      </c>
      <c r="F2342" t="s">
        <v>0</v>
      </c>
      <c r="G2342" t="str">
        <f>"2018-10-30 00:20:14"</f>
        <v>2018-10-30 00:20:14</v>
      </c>
    </row>
    <row r="2343" spans="1:7" x14ac:dyDescent="0.2">
      <c r="A2343" t="s">
        <v>3925</v>
      </c>
      <c r="B2343" t="str">
        <f>"15750773923"</f>
        <v>15750773923</v>
      </c>
      <c r="C2343" t="str">
        <f>"410224198708021013"</f>
        <v>410224198708021013</v>
      </c>
      <c r="D2343" t="s">
        <v>1</v>
      </c>
      <c r="E2343" t="s">
        <v>1</v>
      </c>
      <c r="F2343" t="s">
        <v>0</v>
      </c>
      <c r="G2343" t="str">
        <f>"2018-10-29 16:22:08"</f>
        <v>2018-10-29 16:22:08</v>
      </c>
    </row>
    <row r="2344" spans="1:7" x14ac:dyDescent="0.2">
      <c r="A2344" t="s">
        <v>3926</v>
      </c>
      <c r="B2344" t="str">
        <f>"15267382099"</f>
        <v>15267382099</v>
      </c>
      <c r="C2344" t="str">
        <f>"360727199111082637"</f>
        <v>360727199111082637</v>
      </c>
      <c r="D2344" t="s">
        <v>1</v>
      </c>
      <c r="E2344" t="s">
        <v>1</v>
      </c>
      <c r="F2344" t="s">
        <v>0</v>
      </c>
      <c r="G2344" t="str">
        <f>"2018-10-18 14:25:54"</f>
        <v>2018-10-18 14:25:54</v>
      </c>
    </row>
    <row r="2345" spans="1:7" x14ac:dyDescent="0.2">
      <c r="A2345" t="s">
        <v>3927</v>
      </c>
      <c r="B2345" t="str">
        <f>"13400770839"</f>
        <v>13400770839</v>
      </c>
      <c r="C2345" t="str">
        <f>"350205198606202539"</f>
        <v>350205198606202539</v>
      </c>
      <c r="D2345" t="s">
        <v>1</v>
      </c>
      <c r="E2345" t="s">
        <v>1</v>
      </c>
      <c r="F2345" t="s">
        <v>0</v>
      </c>
      <c r="G2345" t="str">
        <f>"2018-11-01 13:14:57"</f>
        <v>2018-11-01 13:14:57</v>
      </c>
    </row>
    <row r="2346" spans="1:7" x14ac:dyDescent="0.2">
      <c r="A2346" t="s">
        <v>3928</v>
      </c>
      <c r="B2346" t="str">
        <f>"15854521412"</f>
        <v>15854521412</v>
      </c>
      <c r="C2346" t="str">
        <f>"370625197205056012"</f>
        <v>370625197205056012</v>
      </c>
      <c r="D2346" t="s">
        <v>1</v>
      </c>
      <c r="E2346" t="s">
        <v>1</v>
      </c>
      <c r="F2346" t="s">
        <v>0</v>
      </c>
      <c r="G2346" t="str">
        <f>"2018-10-18 14:27:50"</f>
        <v>2018-10-18 14:27:50</v>
      </c>
    </row>
    <row r="2347" spans="1:7" x14ac:dyDescent="0.2">
      <c r="A2347" t="s">
        <v>1</v>
      </c>
      <c r="B2347" t="str">
        <f>"13927114800"</f>
        <v>13927114800</v>
      </c>
      <c r="C2347" t="s">
        <v>1</v>
      </c>
      <c r="D2347" t="s">
        <v>1</v>
      </c>
      <c r="E2347" t="s">
        <v>1</v>
      </c>
      <c r="F2347" t="s">
        <v>0</v>
      </c>
      <c r="G2347" t="str">
        <f>"2018-10-18 14:23:06"</f>
        <v>2018-10-18 14:23:06</v>
      </c>
    </row>
    <row r="2348" spans="1:7" x14ac:dyDescent="0.2">
      <c r="A2348" t="s">
        <v>3929</v>
      </c>
      <c r="B2348" t="str">
        <f>"17770415635"</f>
        <v>17770415635</v>
      </c>
      <c r="C2348" t="str">
        <f>"362502198811047014"</f>
        <v>362502198811047014</v>
      </c>
      <c r="D2348" t="s">
        <v>1</v>
      </c>
      <c r="E2348" t="s">
        <v>1</v>
      </c>
      <c r="F2348" t="s">
        <v>0</v>
      </c>
      <c r="G2348" t="str">
        <f>"2018-10-18 14:26:02"</f>
        <v>2018-10-18 14:26:02</v>
      </c>
    </row>
    <row r="2349" spans="1:7" x14ac:dyDescent="0.2">
      <c r="A2349" t="s">
        <v>1</v>
      </c>
      <c r="B2349" t="str">
        <f>"13276198505"</f>
        <v>13276198505</v>
      </c>
      <c r="C2349" t="s">
        <v>1</v>
      </c>
      <c r="D2349" t="s">
        <v>1</v>
      </c>
      <c r="E2349" t="s">
        <v>1</v>
      </c>
      <c r="F2349" t="s">
        <v>0</v>
      </c>
      <c r="G2349" t="str">
        <f>"2018-10-18 14:22:29"</f>
        <v>2018-10-18 14:22:29</v>
      </c>
    </row>
    <row r="2350" spans="1:7" x14ac:dyDescent="0.2">
      <c r="A2350" t="s">
        <v>3930</v>
      </c>
      <c r="B2350" t="str">
        <f>"15960129556"</f>
        <v>15960129556</v>
      </c>
      <c r="C2350" t="str">
        <f>"320721198812091835"</f>
        <v>320721198812091835</v>
      </c>
      <c r="D2350" t="s">
        <v>3931</v>
      </c>
      <c r="E2350" t="s">
        <v>3932</v>
      </c>
      <c r="F2350" t="s">
        <v>0</v>
      </c>
      <c r="G2350" t="str">
        <f>"2018-10-18 15:01:25"</f>
        <v>2018-10-18 15:01:25</v>
      </c>
    </row>
    <row r="2351" spans="1:7" x14ac:dyDescent="0.2">
      <c r="A2351" t="s">
        <v>3933</v>
      </c>
      <c r="B2351" t="str">
        <f>"15096965348"</f>
        <v>15096965348</v>
      </c>
      <c r="C2351" t="str">
        <f>"532931199010300526"</f>
        <v>532931199010300526</v>
      </c>
      <c r="D2351" t="s">
        <v>1</v>
      </c>
      <c r="E2351" t="s">
        <v>1</v>
      </c>
      <c r="F2351" t="s">
        <v>0</v>
      </c>
      <c r="G2351" t="str">
        <f>"2018-10-18 14:25:59"</f>
        <v>2018-10-18 14:25:59</v>
      </c>
    </row>
    <row r="2352" spans="1:7" x14ac:dyDescent="0.2">
      <c r="A2352" t="s">
        <v>1</v>
      </c>
      <c r="B2352" t="str">
        <f>"18203351010"</f>
        <v>18203351010</v>
      </c>
      <c r="C2352" t="s">
        <v>1</v>
      </c>
      <c r="D2352" t="s">
        <v>1</v>
      </c>
      <c r="E2352" t="s">
        <v>1</v>
      </c>
      <c r="F2352" t="s">
        <v>0</v>
      </c>
      <c r="G2352" t="str">
        <f>"2018-10-18 14:27:35"</f>
        <v>2018-10-18 14:27:35</v>
      </c>
    </row>
    <row r="2353" spans="1:7" x14ac:dyDescent="0.2">
      <c r="A2353" t="s">
        <v>1</v>
      </c>
      <c r="B2353" t="str">
        <f>"18219124647"</f>
        <v>18219124647</v>
      </c>
      <c r="C2353" t="s">
        <v>1</v>
      </c>
      <c r="D2353" t="s">
        <v>1</v>
      </c>
      <c r="E2353" t="s">
        <v>1</v>
      </c>
      <c r="F2353" t="s">
        <v>0</v>
      </c>
      <c r="G2353" t="str">
        <f>"2018-10-18 14:22:03"</f>
        <v>2018-10-18 14:22:03</v>
      </c>
    </row>
    <row r="2354" spans="1:7" x14ac:dyDescent="0.2">
      <c r="A2354" t="s">
        <v>216</v>
      </c>
      <c r="B2354" t="str">
        <f>"18673657832"</f>
        <v>18673657832</v>
      </c>
      <c r="C2354" t="str">
        <f>"430703199310052016"</f>
        <v>430703199310052016</v>
      </c>
      <c r="D2354" t="s">
        <v>1</v>
      </c>
      <c r="E2354" t="s">
        <v>1</v>
      </c>
      <c r="F2354" t="s">
        <v>0</v>
      </c>
      <c r="G2354" t="str">
        <f>"2018-10-18 14:24:51"</f>
        <v>2018-10-18 14:24:51</v>
      </c>
    </row>
    <row r="2355" spans="1:7" x14ac:dyDescent="0.2">
      <c r="A2355" t="s">
        <v>1</v>
      </c>
      <c r="B2355" t="str">
        <f>"15934015661"</f>
        <v>15934015661</v>
      </c>
      <c r="C2355" t="s">
        <v>1</v>
      </c>
      <c r="D2355" t="s">
        <v>1</v>
      </c>
      <c r="E2355" t="s">
        <v>1</v>
      </c>
      <c r="F2355" t="s">
        <v>0</v>
      </c>
      <c r="G2355" t="str">
        <f>"2018-10-18 14:21:38"</f>
        <v>2018-10-18 14:21:38</v>
      </c>
    </row>
    <row r="2356" spans="1:7" x14ac:dyDescent="0.2">
      <c r="A2356" t="s">
        <v>3934</v>
      </c>
      <c r="B2356" t="str">
        <f>"13523982525"</f>
        <v>13523982525</v>
      </c>
      <c r="C2356" t="str">
        <f>"411282199801258030"</f>
        <v>411282199801258030</v>
      </c>
      <c r="D2356" t="s">
        <v>1</v>
      </c>
      <c r="E2356" t="s">
        <v>1</v>
      </c>
      <c r="F2356" t="s">
        <v>0</v>
      </c>
      <c r="G2356" t="str">
        <f>"2018-10-18 14:39:47"</f>
        <v>2018-10-18 14:39:47</v>
      </c>
    </row>
    <row r="2357" spans="1:7" x14ac:dyDescent="0.2">
      <c r="A2357" t="s">
        <v>1</v>
      </c>
      <c r="B2357" t="str">
        <f>"13501996619"</f>
        <v>13501996619</v>
      </c>
      <c r="C2357" t="s">
        <v>1</v>
      </c>
      <c r="D2357" t="s">
        <v>1</v>
      </c>
      <c r="E2357" t="s">
        <v>1</v>
      </c>
      <c r="F2357" t="s">
        <v>0</v>
      </c>
      <c r="G2357" t="str">
        <f>"2018-10-18 14:21:12"</f>
        <v>2018-10-18 14:21:12</v>
      </c>
    </row>
    <row r="2358" spans="1:7" x14ac:dyDescent="0.2">
      <c r="A2358" t="s">
        <v>491</v>
      </c>
      <c r="B2358" t="str">
        <f>"18240110215"</f>
        <v>18240110215</v>
      </c>
      <c r="C2358" t="str">
        <f>"210703198212033844"</f>
        <v>210703198212033844</v>
      </c>
      <c r="D2358" t="s">
        <v>1</v>
      </c>
      <c r="E2358" t="s">
        <v>1</v>
      </c>
      <c r="F2358" t="s">
        <v>0</v>
      </c>
      <c r="G2358" t="str">
        <f>"2018-10-18 14:23:27"</f>
        <v>2018-10-18 14:23:27</v>
      </c>
    </row>
    <row r="2359" spans="1:7" x14ac:dyDescent="0.2">
      <c r="A2359" t="s">
        <v>3935</v>
      </c>
      <c r="B2359" t="str">
        <f>"18121695022"</f>
        <v>18121695022</v>
      </c>
      <c r="C2359" t="str">
        <f>"32082119881027350X"</f>
        <v>32082119881027350X</v>
      </c>
      <c r="D2359" t="s">
        <v>1</v>
      </c>
      <c r="E2359" t="s">
        <v>1</v>
      </c>
      <c r="F2359" t="s">
        <v>0</v>
      </c>
      <c r="G2359" t="str">
        <f>"2018-10-18 22:00:50"</f>
        <v>2018-10-18 22:00:50</v>
      </c>
    </row>
    <row r="2360" spans="1:7" x14ac:dyDescent="0.2">
      <c r="A2360" t="s">
        <v>3936</v>
      </c>
      <c r="B2360" t="str">
        <f>"15137607234"</f>
        <v>15137607234</v>
      </c>
      <c r="C2360" t="str">
        <f>"410326198609203733"</f>
        <v>410326198609203733</v>
      </c>
      <c r="D2360" t="s">
        <v>3937</v>
      </c>
      <c r="E2360" t="s">
        <v>3938</v>
      </c>
      <c r="F2360" t="s">
        <v>0</v>
      </c>
      <c r="G2360" t="str">
        <f>"2018-10-18 14:21:42"</f>
        <v>2018-10-18 14:21:42</v>
      </c>
    </row>
    <row r="2361" spans="1:7" x14ac:dyDescent="0.2">
      <c r="A2361" t="s">
        <v>3939</v>
      </c>
      <c r="B2361" t="str">
        <f>"13346222613"</f>
        <v>13346222613</v>
      </c>
      <c r="C2361" t="str">
        <f>"370911198011060411"</f>
        <v>370911198011060411</v>
      </c>
      <c r="D2361" t="s">
        <v>1</v>
      </c>
      <c r="E2361" t="s">
        <v>1</v>
      </c>
      <c r="F2361" t="s">
        <v>0</v>
      </c>
      <c r="G2361" t="str">
        <f>"2018-10-18 14:20:39"</f>
        <v>2018-10-18 14:20:39</v>
      </c>
    </row>
    <row r="2362" spans="1:7" x14ac:dyDescent="0.2">
      <c r="A2362" t="s">
        <v>1</v>
      </c>
      <c r="B2362" t="str">
        <f>"13416519569"</f>
        <v>13416519569</v>
      </c>
      <c r="C2362" t="s">
        <v>1</v>
      </c>
      <c r="D2362" t="s">
        <v>1</v>
      </c>
      <c r="E2362" t="s">
        <v>1</v>
      </c>
      <c r="F2362" t="s">
        <v>0</v>
      </c>
      <c r="G2362" t="str">
        <f>"2018-10-18 14:19:31"</f>
        <v>2018-10-18 14:19:31</v>
      </c>
    </row>
    <row r="2363" spans="1:7" x14ac:dyDescent="0.2">
      <c r="A2363" t="s">
        <v>1</v>
      </c>
      <c r="B2363" t="str">
        <f>"13074644327"</f>
        <v>13074644327</v>
      </c>
      <c r="C2363" t="s">
        <v>1</v>
      </c>
      <c r="D2363" t="s">
        <v>1</v>
      </c>
      <c r="E2363" t="s">
        <v>1</v>
      </c>
      <c r="F2363" t="s">
        <v>0</v>
      </c>
      <c r="G2363" t="str">
        <f>"2018-10-18 14:19:21"</f>
        <v>2018-10-18 14:19:21</v>
      </c>
    </row>
    <row r="2364" spans="1:7" x14ac:dyDescent="0.2">
      <c r="A2364" t="s">
        <v>3940</v>
      </c>
      <c r="B2364" t="str">
        <f>"18284021223"</f>
        <v>18284021223</v>
      </c>
      <c r="C2364" t="str">
        <f>"510802198008232918"</f>
        <v>510802198008232918</v>
      </c>
      <c r="D2364" t="s">
        <v>1</v>
      </c>
      <c r="E2364" t="s">
        <v>1</v>
      </c>
      <c r="F2364" t="s">
        <v>0</v>
      </c>
      <c r="G2364" t="str">
        <f>"2018-10-18 14:18:44"</f>
        <v>2018-10-18 14:18:44</v>
      </c>
    </row>
    <row r="2365" spans="1:7" x14ac:dyDescent="0.2">
      <c r="A2365" t="s">
        <v>1</v>
      </c>
      <c r="B2365" t="str">
        <f>"13205702421"</f>
        <v>13205702421</v>
      </c>
      <c r="C2365" t="s">
        <v>1</v>
      </c>
      <c r="D2365" t="s">
        <v>1</v>
      </c>
      <c r="E2365" t="s">
        <v>1</v>
      </c>
      <c r="F2365" t="s">
        <v>0</v>
      </c>
      <c r="G2365" t="str">
        <f>"2018-10-18 14:18:42"</f>
        <v>2018-10-18 14:18:42</v>
      </c>
    </row>
    <row r="2366" spans="1:7" x14ac:dyDescent="0.2">
      <c r="A2366" t="s">
        <v>3941</v>
      </c>
      <c r="B2366" t="str">
        <f>"13857621063"</f>
        <v>13857621063</v>
      </c>
      <c r="C2366" t="str">
        <f>"331003199411163697"</f>
        <v>331003199411163697</v>
      </c>
      <c r="D2366" t="s">
        <v>1</v>
      </c>
      <c r="E2366" t="s">
        <v>1</v>
      </c>
      <c r="F2366" t="s">
        <v>0</v>
      </c>
      <c r="G2366" t="str">
        <f>"2018-10-18 14:27:01"</f>
        <v>2018-10-18 14:27:01</v>
      </c>
    </row>
    <row r="2367" spans="1:7" x14ac:dyDescent="0.2">
      <c r="A2367" t="s">
        <v>3942</v>
      </c>
      <c r="B2367" t="str">
        <f>"15962141986"</f>
        <v>15962141986</v>
      </c>
      <c r="C2367" t="str">
        <f>"622223198803191330"</f>
        <v>622223198803191330</v>
      </c>
      <c r="D2367" t="s">
        <v>1</v>
      </c>
      <c r="E2367" t="s">
        <v>1</v>
      </c>
      <c r="F2367" t="s">
        <v>0</v>
      </c>
      <c r="G2367" t="str">
        <f>"2018-10-18 14:22:26"</f>
        <v>2018-10-18 14:22:26</v>
      </c>
    </row>
    <row r="2368" spans="1:7" x14ac:dyDescent="0.2">
      <c r="A2368" t="s">
        <v>3943</v>
      </c>
      <c r="B2368" t="str">
        <f>"18198318267"</f>
        <v>18198318267</v>
      </c>
      <c r="C2368" t="str">
        <f>"522128199603012016"</f>
        <v>522128199603012016</v>
      </c>
      <c r="D2368" t="s">
        <v>1</v>
      </c>
      <c r="E2368" t="s">
        <v>1</v>
      </c>
      <c r="F2368" t="s">
        <v>0</v>
      </c>
      <c r="G2368" t="str">
        <f>"2018-10-18 14:20:22"</f>
        <v>2018-10-18 14:20:22</v>
      </c>
    </row>
    <row r="2369" spans="1:7" x14ac:dyDescent="0.2">
      <c r="A2369" t="s">
        <v>3944</v>
      </c>
      <c r="B2369" t="str">
        <f>"15700788276"</f>
        <v>15700788276</v>
      </c>
      <c r="C2369" t="str">
        <f>"430521198712131435"</f>
        <v>430521198712131435</v>
      </c>
      <c r="D2369" t="s">
        <v>3945</v>
      </c>
      <c r="E2369" t="s">
        <v>3946</v>
      </c>
      <c r="F2369" t="s">
        <v>0</v>
      </c>
      <c r="G2369" t="str">
        <f>"2018-10-29 22:26:14"</f>
        <v>2018-10-29 22:26:14</v>
      </c>
    </row>
    <row r="2370" spans="1:7" x14ac:dyDescent="0.2">
      <c r="A2370" t="s">
        <v>3947</v>
      </c>
      <c r="B2370" t="str">
        <f>"18077887682"</f>
        <v>18077887682</v>
      </c>
      <c r="C2370" t="str">
        <f>"452725199201030508"</f>
        <v>452725199201030508</v>
      </c>
      <c r="D2370" t="s">
        <v>1</v>
      </c>
      <c r="E2370" t="s">
        <v>1</v>
      </c>
      <c r="F2370" t="s">
        <v>0</v>
      </c>
      <c r="G2370" t="str">
        <f>"2018-11-01 20:31:44"</f>
        <v>2018-11-01 20:31:44</v>
      </c>
    </row>
    <row r="2371" spans="1:7" x14ac:dyDescent="0.2">
      <c r="A2371" t="s">
        <v>3948</v>
      </c>
      <c r="B2371" t="str">
        <f>"18311236772"</f>
        <v>18311236772</v>
      </c>
      <c r="C2371" t="str">
        <f>"130636199408033818"</f>
        <v>130636199408033818</v>
      </c>
      <c r="D2371" t="s">
        <v>1</v>
      </c>
      <c r="E2371" t="s">
        <v>1</v>
      </c>
      <c r="F2371" t="s">
        <v>0</v>
      </c>
      <c r="G2371" t="str">
        <f>"2018-10-18 14:17:37"</f>
        <v>2018-10-18 14:17:37</v>
      </c>
    </row>
    <row r="2372" spans="1:7" x14ac:dyDescent="0.2">
      <c r="A2372" t="s">
        <v>3949</v>
      </c>
      <c r="B2372" t="str">
        <f>"13333960950"</f>
        <v>13333960950</v>
      </c>
      <c r="C2372" t="str">
        <f>"412825198410143350"</f>
        <v>412825198410143350</v>
      </c>
      <c r="D2372" t="s">
        <v>1</v>
      </c>
      <c r="E2372" t="s">
        <v>1</v>
      </c>
      <c r="F2372" t="s">
        <v>0</v>
      </c>
      <c r="G2372" t="str">
        <f>"2018-10-18 16:45:35"</f>
        <v>2018-10-18 16:45:35</v>
      </c>
    </row>
    <row r="2373" spans="1:7" x14ac:dyDescent="0.2">
      <c r="A2373" t="s">
        <v>3950</v>
      </c>
      <c r="B2373" t="str">
        <f>"15343913439"</f>
        <v>15343913439</v>
      </c>
      <c r="C2373" t="str">
        <f>"41082219901013554X"</f>
        <v>41082219901013554X</v>
      </c>
      <c r="D2373" t="s">
        <v>1</v>
      </c>
      <c r="E2373" t="s">
        <v>1</v>
      </c>
      <c r="F2373" t="s">
        <v>0</v>
      </c>
      <c r="G2373" t="str">
        <f>"2018-10-31 17:01:53"</f>
        <v>2018-10-31 17:01:53</v>
      </c>
    </row>
    <row r="2374" spans="1:7" x14ac:dyDescent="0.2">
      <c r="A2374" t="s">
        <v>3951</v>
      </c>
      <c r="B2374" t="str">
        <f>"18605611561"</f>
        <v>18605611561</v>
      </c>
      <c r="C2374" t="str">
        <f>"340603197504070216"</f>
        <v>340603197504070216</v>
      </c>
      <c r="D2374" t="s">
        <v>1</v>
      </c>
      <c r="E2374" t="s">
        <v>1</v>
      </c>
      <c r="F2374" t="s">
        <v>0</v>
      </c>
      <c r="G2374" t="str">
        <f>"2018-10-18 15:02:10"</f>
        <v>2018-10-18 15:02:10</v>
      </c>
    </row>
    <row r="2375" spans="1:7" x14ac:dyDescent="0.2">
      <c r="A2375" t="s">
        <v>1</v>
      </c>
      <c r="B2375" t="str">
        <f>"18295843077"</f>
        <v>18295843077</v>
      </c>
      <c r="C2375" t="s">
        <v>1</v>
      </c>
      <c r="D2375" t="s">
        <v>1</v>
      </c>
      <c r="E2375" t="s">
        <v>1</v>
      </c>
      <c r="F2375" t="s">
        <v>0</v>
      </c>
      <c r="G2375" t="str">
        <f>"2018-10-18 14:16:38"</f>
        <v>2018-10-18 14:16:38</v>
      </c>
    </row>
    <row r="2376" spans="1:7" x14ac:dyDescent="0.2">
      <c r="A2376" t="s">
        <v>3952</v>
      </c>
      <c r="B2376" t="str">
        <f>"18295884296"</f>
        <v>18295884296</v>
      </c>
      <c r="C2376" t="str">
        <f>"14220219770320309X"</f>
        <v>14220219770320309X</v>
      </c>
      <c r="D2376" t="s">
        <v>1</v>
      </c>
      <c r="E2376" t="s">
        <v>1</v>
      </c>
      <c r="F2376" t="s">
        <v>0</v>
      </c>
      <c r="G2376" t="str">
        <f>"2018-10-18 14:18:20"</f>
        <v>2018-10-18 14:18:20</v>
      </c>
    </row>
    <row r="2377" spans="1:7" x14ac:dyDescent="0.2">
      <c r="A2377" t="s">
        <v>1</v>
      </c>
      <c r="B2377" t="str">
        <f>"15773668418"</f>
        <v>15773668418</v>
      </c>
      <c r="C2377" t="s">
        <v>1</v>
      </c>
      <c r="D2377" t="s">
        <v>1</v>
      </c>
      <c r="E2377" t="s">
        <v>1</v>
      </c>
      <c r="F2377" t="s">
        <v>0</v>
      </c>
      <c r="G2377" t="str">
        <f>"2018-10-18 14:16:14"</f>
        <v>2018-10-18 14:16:14</v>
      </c>
    </row>
    <row r="2378" spans="1:7" x14ac:dyDescent="0.2">
      <c r="A2378" t="s">
        <v>1</v>
      </c>
      <c r="B2378" t="str">
        <f>"13646003513"</f>
        <v>13646003513</v>
      </c>
      <c r="C2378" t="s">
        <v>1</v>
      </c>
      <c r="D2378" t="s">
        <v>1</v>
      </c>
      <c r="E2378" t="s">
        <v>1</v>
      </c>
      <c r="F2378" t="s">
        <v>0</v>
      </c>
      <c r="G2378" t="str">
        <f>"2018-10-18 14:16:14"</f>
        <v>2018-10-18 14:16:14</v>
      </c>
    </row>
    <row r="2379" spans="1:7" x14ac:dyDescent="0.2">
      <c r="A2379" t="s">
        <v>1</v>
      </c>
      <c r="B2379" t="str">
        <f>"15200252832"</f>
        <v>15200252832</v>
      </c>
      <c r="C2379" t="s">
        <v>1</v>
      </c>
      <c r="D2379" t="s">
        <v>1</v>
      </c>
      <c r="E2379" t="s">
        <v>1</v>
      </c>
      <c r="F2379" t="s">
        <v>0</v>
      </c>
      <c r="G2379" t="str">
        <f>"2018-10-18 14:16:13"</f>
        <v>2018-10-18 14:16:13</v>
      </c>
    </row>
    <row r="2380" spans="1:7" x14ac:dyDescent="0.2">
      <c r="A2380" t="s">
        <v>3953</v>
      </c>
      <c r="B2380" t="str">
        <f>"15968675656"</f>
        <v>15968675656</v>
      </c>
      <c r="C2380" t="str">
        <f>"140522198305275316"</f>
        <v>140522198305275316</v>
      </c>
      <c r="D2380" t="s">
        <v>1</v>
      </c>
      <c r="E2380" t="s">
        <v>1</v>
      </c>
      <c r="F2380" t="s">
        <v>0</v>
      </c>
      <c r="G2380" t="str">
        <f>"2018-10-18 14:19:00"</f>
        <v>2018-10-18 14:19:00</v>
      </c>
    </row>
    <row r="2381" spans="1:7" x14ac:dyDescent="0.2">
      <c r="A2381" t="s">
        <v>3954</v>
      </c>
      <c r="B2381" t="str">
        <f>"13511371088"</f>
        <v>13511371088</v>
      </c>
      <c r="C2381" t="str">
        <f>"330483198808106613"</f>
        <v>330483198808106613</v>
      </c>
      <c r="D2381" t="s">
        <v>1</v>
      </c>
      <c r="E2381" t="s">
        <v>1</v>
      </c>
      <c r="F2381" t="s">
        <v>0</v>
      </c>
      <c r="G2381" t="str">
        <f>"2018-10-27 13:03:28"</f>
        <v>2018-10-27 13:03:28</v>
      </c>
    </row>
    <row r="2382" spans="1:7" x14ac:dyDescent="0.2">
      <c r="A2382" t="s">
        <v>3955</v>
      </c>
      <c r="B2382" t="str">
        <f>"18943331949"</f>
        <v>18943331949</v>
      </c>
      <c r="C2382" t="str">
        <f>"222401198508252119"</f>
        <v>222401198508252119</v>
      </c>
      <c r="D2382" t="s">
        <v>1</v>
      </c>
      <c r="E2382" t="s">
        <v>1</v>
      </c>
      <c r="F2382" t="s">
        <v>0</v>
      </c>
      <c r="G2382" t="str">
        <f>"2018-10-18 14:15:48"</f>
        <v>2018-10-18 14:15:48</v>
      </c>
    </row>
    <row r="2383" spans="1:7" x14ac:dyDescent="0.2">
      <c r="A2383" t="s">
        <v>3956</v>
      </c>
      <c r="B2383" t="str">
        <f>"18267175620"</f>
        <v>18267175620</v>
      </c>
      <c r="C2383" t="str">
        <f>"330483198709160315"</f>
        <v>330483198709160315</v>
      </c>
      <c r="D2383" t="s">
        <v>1</v>
      </c>
      <c r="E2383" t="s">
        <v>1</v>
      </c>
      <c r="F2383" t="s">
        <v>0</v>
      </c>
      <c r="G2383" t="str">
        <f>"2018-10-18 14:24:58"</f>
        <v>2018-10-18 14:24:58</v>
      </c>
    </row>
    <row r="2384" spans="1:7" x14ac:dyDescent="0.2">
      <c r="A2384" t="s">
        <v>3957</v>
      </c>
      <c r="B2384" t="str">
        <f>"13709081423"</f>
        <v>13709081423</v>
      </c>
      <c r="C2384" t="str">
        <f>"510821198412251319"</f>
        <v>510821198412251319</v>
      </c>
      <c r="D2384" t="s">
        <v>1</v>
      </c>
      <c r="E2384" t="s">
        <v>1</v>
      </c>
      <c r="F2384" t="s">
        <v>0</v>
      </c>
      <c r="G2384" t="str">
        <f>"2018-10-18 14:17:20"</f>
        <v>2018-10-18 14:17:20</v>
      </c>
    </row>
    <row r="2385" spans="1:7" x14ac:dyDescent="0.2">
      <c r="A2385" t="s">
        <v>3958</v>
      </c>
      <c r="B2385" t="str">
        <f>"17318412405"</f>
        <v>17318412405</v>
      </c>
      <c r="C2385" t="str">
        <f>"500226199602296210"</f>
        <v>500226199602296210</v>
      </c>
      <c r="D2385" t="s">
        <v>1</v>
      </c>
      <c r="E2385" t="s">
        <v>1</v>
      </c>
      <c r="F2385" t="s">
        <v>0</v>
      </c>
      <c r="G2385" t="str">
        <f>"2018-10-18 14:15:12"</f>
        <v>2018-10-18 14:15:12</v>
      </c>
    </row>
    <row r="2386" spans="1:7" x14ac:dyDescent="0.2">
      <c r="A2386" t="s">
        <v>722</v>
      </c>
      <c r="B2386" t="str">
        <f>"15528267030"</f>
        <v>15528267030</v>
      </c>
      <c r="C2386" t="str">
        <f>"511902199908080914"</f>
        <v>511902199908080914</v>
      </c>
      <c r="D2386" t="s">
        <v>1</v>
      </c>
      <c r="E2386" t="s">
        <v>1</v>
      </c>
      <c r="F2386" t="s">
        <v>0</v>
      </c>
      <c r="G2386" t="str">
        <f>"2018-10-18 14:21:39"</f>
        <v>2018-10-18 14:21:39</v>
      </c>
    </row>
    <row r="2387" spans="1:7" x14ac:dyDescent="0.2">
      <c r="A2387" t="s">
        <v>3959</v>
      </c>
      <c r="B2387" t="str">
        <f>"13826215580"</f>
        <v>13826215580</v>
      </c>
      <c r="C2387" t="str">
        <f>"45070219861012511X"</f>
        <v>45070219861012511X</v>
      </c>
      <c r="D2387" t="s">
        <v>1</v>
      </c>
      <c r="E2387" t="s">
        <v>1</v>
      </c>
      <c r="F2387" t="s">
        <v>0</v>
      </c>
      <c r="G2387" t="str">
        <f>"2018-10-18 14:14:32"</f>
        <v>2018-10-18 14:14:32</v>
      </c>
    </row>
    <row r="2388" spans="1:7" x14ac:dyDescent="0.2">
      <c r="A2388" t="s">
        <v>3960</v>
      </c>
      <c r="B2388" t="str">
        <f>"17751807667"</f>
        <v>17751807667</v>
      </c>
      <c r="C2388" t="str">
        <f>"320721198708163819"</f>
        <v>320721198708163819</v>
      </c>
      <c r="D2388" t="s">
        <v>1</v>
      </c>
      <c r="E2388" t="s">
        <v>1</v>
      </c>
      <c r="F2388" t="s">
        <v>0</v>
      </c>
      <c r="G2388" t="str">
        <f>"2018-10-18 14:14:23"</f>
        <v>2018-10-18 14:14:23</v>
      </c>
    </row>
    <row r="2389" spans="1:7" x14ac:dyDescent="0.2">
      <c r="A2389" t="s">
        <v>3961</v>
      </c>
      <c r="B2389" t="str">
        <f>"15199884141"</f>
        <v>15199884141</v>
      </c>
      <c r="C2389" t="str">
        <f>"653127199005271791"</f>
        <v>653127199005271791</v>
      </c>
      <c r="D2389" t="s">
        <v>3962</v>
      </c>
      <c r="E2389" t="s">
        <v>3963</v>
      </c>
      <c r="F2389" t="s">
        <v>0</v>
      </c>
      <c r="G2389" t="str">
        <f>"2018-10-18 14:40:28"</f>
        <v>2018-10-18 14:40:28</v>
      </c>
    </row>
    <row r="2390" spans="1:7" x14ac:dyDescent="0.2">
      <c r="A2390" t="s">
        <v>3964</v>
      </c>
      <c r="B2390" t="str">
        <f>"17701717137"</f>
        <v>17701717137</v>
      </c>
      <c r="C2390" t="str">
        <f>"232331198710223017"</f>
        <v>232331198710223017</v>
      </c>
      <c r="D2390" t="s">
        <v>1</v>
      </c>
      <c r="E2390" t="s">
        <v>1</v>
      </c>
      <c r="F2390" t="s">
        <v>0</v>
      </c>
      <c r="G2390" t="str">
        <f>"2018-10-18 14:18:58"</f>
        <v>2018-10-18 14:18:58</v>
      </c>
    </row>
    <row r="2391" spans="1:7" x14ac:dyDescent="0.2">
      <c r="A2391" t="s">
        <v>68</v>
      </c>
      <c r="B2391" t="str">
        <f>"13941520707"</f>
        <v>13941520707</v>
      </c>
      <c r="C2391" t="str">
        <f>"210603196901115031"</f>
        <v>210603196901115031</v>
      </c>
      <c r="D2391" t="s">
        <v>1</v>
      </c>
      <c r="E2391" t="s">
        <v>1</v>
      </c>
      <c r="F2391" t="s">
        <v>0</v>
      </c>
      <c r="G2391" t="str">
        <f>"2018-10-18 14:24:48"</f>
        <v>2018-10-18 14:24:48</v>
      </c>
    </row>
    <row r="2392" spans="1:7" x14ac:dyDescent="0.2">
      <c r="A2392" t="s">
        <v>3965</v>
      </c>
      <c r="B2392" t="str">
        <f>"17679126473"</f>
        <v>17679126473</v>
      </c>
      <c r="C2392" t="str">
        <f>"360424200001194830"</f>
        <v>360424200001194830</v>
      </c>
      <c r="D2392" t="s">
        <v>1</v>
      </c>
      <c r="E2392" t="s">
        <v>1</v>
      </c>
      <c r="F2392" t="s">
        <v>0</v>
      </c>
      <c r="G2392" t="str">
        <f>"2018-10-18 14:14:46"</f>
        <v>2018-10-18 14:14:46</v>
      </c>
    </row>
    <row r="2393" spans="1:7" x14ac:dyDescent="0.2">
      <c r="A2393" t="s">
        <v>3966</v>
      </c>
      <c r="B2393" t="str">
        <f>"15002675376"</f>
        <v>15002675376</v>
      </c>
      <c r="C2393" t="str">
        <f>"620123199205182132"</f>
        <v>620123199205182132</v>
      </c>
      <c r="D2393" t="s">
        <v>3967</v>
      </c>
      <c r="E2393" t="s">
        <v>3968</v>
      </c>
      <c r="F2393" t="s">
        <v>0</v>
      </c>
      <c r="G2393" t="str">
        <f>"2018-10-18 14:42:18"</f>
        <v>2018-10-18 14:42:18</v>
      </c>
    </row>
    <row r="2394" spans="1:7" x14ac:dyDescent="0.2">
      <c r="A2394" t="s">
        <v>3969</v>
      </c>
      <c r="B2394" t="str">
        <f>"15277716370"</f>
        <v>15277716370</v>
      </c>
      <c r="C2394" t="str">
        <f>"45011119960211331X"</f>
        <v>45011119960211331X</v>
      </c>
      <c r="D2394" t="s">
        <v>1</v>
      </c>
      <c r="E2394" t="s">
        <v>1</v>
      </c>
      <c r="F2394" t="s">
        <v>0</v>
      </c>
      <c r="G2394" t="str">
        <f>"2018-10-18 14:18:27"</f>
        <v>2018-10-18 14:18:27</v>
      </c>
    </row>
    <row r="2395" spans="1:7" x14ac:dyDescent="0.2">
      <c r="A2395" t="s">
        <v>3970</v>
      </c>
      <c r="B2395" t="str">
        <f>"15841521228"</f>
        <v>15841521228</v>
      </c>
      <c r="C2395" t="str">
        <f>"452324198111261289"</f>
        <v>452324198111261289</v>
      </c>
      <c r="D2395" t="s">
        <v>1</v>
      </c>
      <c r="E2395" t="s">
        <v>1</v>
      </c>
      <c r="F2395" t="s">
        <v>0</v>
      </c>
      <c r="G2395" t="str">
        <f>"2018-10-20 16:29:07"</f>
        <v>2018-10-20 16:29:07</v>
      </c>
    </row>
    <row r="2396" spans="1:7" x14ac:dyDescent="0.2">
      <c r="A2396" t="s">
        <v>1</v>
      </c>
      <c r="B2396" t="str">
        <f>"15204440910"</f>
        <v>15204440910</v>
      </c>
      <c r="C2396" t="s">
        <v>1</v>
      </c>
      <c r="D2396" t="s">
        <v>1</v>
      </c>
      <c r="E2396" t="s">
        <v>1</v>
      </c>
      <c r="F2396" t="s">
        <v>0</v>
      </c>
      <c r="G2396" t="str">
        <f>"2018-10-18 14:13:01"</f>
        <v>2018-10-18 14:13:01</v>
      </c>
    </row>
    <row r="2397" spans="1:7" x14ac:dyDescent="0.2">
      <c r="A2397" t="s">
        <v>3971</v>
      </c>
      <c r="B2397" t="str">
        <f>"13688543090"</f>
        <v>13688543090</v>
      </c>
      <c r="C2397" t="str">
        <f>"522731198011158296"</f>
        <v>522731198011158296</v>
      </c>
      <c r="D2397" t="s">
        <v>3972</v>
      </c>
      <c r="E2397" t="s">
        <v>3973</v>
      </c>
      <c r="F2397" t="s">
        <v>0</v>
      </c>
      <c r="G2397" t="str">
        <f>"2018-10-18 14:12:54"</f>
        <v>2018-10-18 14:12:54</v>
      </c>
    </row>
    <row r="2398" spans="1:7" x14ac:dyDescent="0.2">
      <c r="A2398" t="s">
        <v>3974</v>
      </c>
      <c r="B2398" t="str">
        <f>"13760545655"</f>
        <v>13760545655</v>
      </c>
      <c r="C2398" t="str">
        <f>"452223199406205017"</f>
        <v>452223199406205017</v>
      </c>
      <c r="D2398" t="s">
        <v>1</v>
      </c>
      <c r="E2398" t="s">
        <v>1</v>
      </c>
      <c r="F2398" t="s">
        <v>0</v>
      </c>
      <c r="G2398" t="str">
        <f>"2018-10-18 14:14:53"</f>
        <v>2018-10-18 14:14:53</v>
      </c>
    </row>
    <row r="2399" spans="1:7" x14ac:dyDescent="0.2">
      <c r="A2399" t="s">
        <v>3975</v>
      </c>
      <c r="B2399" t="str">
        <f>"13876296796"</f>
        <v>13876296796</v>
      </c>
      <c r="C2399" t="str">
        <f>"460027198404221320"</f>
        <v>460027198404221320</v>
      </c>
      <c r="D2399" t="s">
        <v>1</v>
      </c>
      <c r="E2399" t="s">
        <v>1</v>
      </c>
      <c r="F2399" t="s">
        <v>0</v>
      </c>
      <c r="G2399" t="str">
        <f>"2018-10-18 14:12:44"</f>
        <v>2018-10-18 14:12:44</v>
      </c>
    </row>
    <row r="2400" spans="1:7" x14ac:dyDescent="0.2">
      <c r="A2400" t="s">
        <v>1</v>
      </c>
      <c r="B2400" t="str">
        <f>"18350242112"</f>
        <v>18350242112</v>
      </c>
      <c r="C2400" t="s">
        <v>1</v>
      </c>
      <c r="D2400" t="s">
        <v>1</v>
      </c>
      <c r="E2400" t="s">
        <v>1</v>
      </c>
      <c r="F2400" t="s">
        <v>0</v>
      </c>
      <c r="G2400" t="str">
        <f>"2018-10-18 14:12:29"</f>
        <v>2018-10-18 14:12:29</v>
      </c>
    </row>
    <row r="2401" spans="1:7" x14ac:dyDescent="0.2">
      <c r="A2401" t="s">
        <v>3976</v>
      </c>
      <c r="B2401" t="str">
        <f>"15183701968"</f>
        <v>15183701968</v>
      </c>
      <c r="C2401" t="str">
        <f>"533121198607023824"</f>
        <v>533121198607023824</v>
      </c>
      <c r="D2401" t="s">
        <v>1</v>
      </c>
      <c r="E2401" t="s">
        <v>1</v>
      </c>
      <c r="F2401" t="s">
        <v>0</v>
      </c>
      <c r="G2401" t="str">
        <f>"2018-10-18 14:16:20"</f>
        <v>2018-10-18 14:16:20</v>
      </c>
    </row>
    <row r="2402" spans="1:7" x14ac:dyDescent="0.2">
      <c r="A2402" t="s">
        <v>1</v>
      </c>
      <c r="B2402" t="str">
        <f>"17361339874"</f>
        <v>17361339874</v>
      </c>
      <c r="C2402" t="s">
        <v>1</v>
      </c>
      <c r="D2402" t="s">
        <v>1</v>
      </c>
      <c r="E2402" t="s">
        <v>1</v>
      </c>
      <c r="F2402" t="s">
        <v>0</v>
      </c>
      <c r="G2402" t="str">
        <f>"2018-10-18 14:12:17"</f>
        <v>2018-10-18 14:12:17</v>
      </c>
    </row>
    <row r="2403" spans="1:7" x14ac:dyDescent="0.2">
      <c r="A2403" t="s">
        <v>1348</v>
      </c>
      <c r="B2403" t="str">
        <f>"13455973196"</f>
        <v>13455973196</v>
      </c>
      <c r="C2403" t="str">
        <f>"371302198808034634"</f>
        <v>371302198808034634</v>
      </c>
      <c r="D2403" t="s">
        <v>1</v>
      </c>
      <c r="E2403" t="s">
        <v>1</v>
      </c>
      <c r="F2403" t="s">
        <v>0</v>
      </c>
      <c r="G2403" t="str">
        <f>"2018-10-18 14:14:06"</f>
        <v>2018-10-18 14:14:06</v>
      </c>
    </row>
    <row r="2404" spans="1:7" x14ac:dyDescent="0.2">
      <c r="A2404" t="s">
        <v>1085</v>
      </c>
      <c r="B2404" t="str">
        <f>"13899897743"</f>
        <v>13899897743</v>
      </c>
      <c r="C2404" t="str">
        <f>"652301198301130813"</f>
        <v>652301198301130813</v>
      </c>
      <c r="D2404" t="s">
        <v>1</v>
      </c>
      <c r="E2404" t="s">
        <v>1</v>
      </c>
      <c r="F2404" t="s">
        <v>0</v>
      </c>
      <c r="G2404" t="str">
        <f>"2018-10-18 14:14:54"</f>
        <v>2018-10-18 14:14:54</v>
      </c>
    </row>
    <row r="2405" spans="1:7" x14ac:dyDescent="0.2">
      <c r="A2405" t="s">
        <v>1</v>
      </c>
      <c r="B2405" t="str">
        <f>"18407775120"</f>
        <v>18407775120</v>
      </c>
      <c r="C2405" t="s">
        <v>1</v>
      </c>
      <c r="D2405" t="s">
        <v>1</v>
      </c>
      <c r="E2405" t="s">
        <v>1</v>
      </c>
      <c r="F2405" t="s">
        <v>0</v>
      </c>
      <c r="G2405" t="str">
        <f>"2018-10-18 14:11:52"</f>
        <v>2018-10-18 14:11:52</v>
      </c>
    </row>
    <row r="2406" spans="1:7" x14ac:dyDescent="0.2">
      <c r="A2406" t="s">
        <v>3977</v>
      </c>
      <c r="B2406" t="str">
        <f>"13547988355"</f>
        <v>13547988355</v>
      </c>
      <c r="C2406" t="str">
        <f>"511527198904131818"</f>
        <v>511527198904131818</v>
      </c>
      <c r="D2406" t="s">
        <v>1</v>
      </c>
      <c r="E2406" t="s">
        <v>1</v>
      </c>
      <c r="F2406" t="s">
        <v>0</v>
      </c>
      <c r="G2406" t="str">
        <f>"2018-10-18 14:11:47"</f>
        <v>2018-10-18 14:11:47</v>
      </c>
    </row>
    <row r="2407" spans="1:7" x14ac:dyDescent="0.2">
      <c r="A2407" t="s">
        <v>3978</v>
      </c>
      <c r="B2407" t="str">
        <f>"17759311960"</f>
        <v>17759311960</v>
      </c>
      <c r="C2407" t="str">
        <f>"352229199408065518"</f>
        <v>352229199408065518</v>
      </c>
      <c r="D2407" t="s">
        <v>1</v>
      </c>
      <c r="E2407" t="s">
        <v>1</v>
      </c>
      <c r="F2407" t="s">
        <v>0</v>
      </c>
      <c r="G2407" t="str">
        <f>"2018-10-18 14:13:24"</f>
        <v>2018-10-18 14:13:24</v>
      </c>
    </row>
    <row r="2408" spans="1:7" x14ac:dyDescent="0.2">
      <c r="A2408" t="s">
        <v>3979</v>
      </c>
      <c r="B2408" t="str">
        <f>"15157212739"</f>
        <v>15157212739</v>
      </c>
      <c r="C2408" t="str">
        <f>"330522199509186518"</f>
        <v>330522199509186518</v>
      </c>
      <c r="D2408" t="s">
        <v>1</v>
      </c>
      <c r="E2408" t="s">
        <v>1</v>
      </c>
      <c r="F2408" t="s">
        <v>0</v>
      </c>
      <c r="G2408" t="str">
        <f>"2018-10-18 14:49:42"</f>
        <v>2018-10-18 14:49:42</v>
      </c>
    </row>
    <row r="2409" spans="1:7" x14ac:dyDescent="0.2">
      <c r="A2409" t="s">
        <v>3980</v>
      </c>
      <c r="B2409" t="str">
        <f>"18866932432"</f>
        <v>18866932432</v>
      </c>
      <c r="C2409" t="str">
        <f>"371325198604182314"</f>
        <v>371325198604182314</v>
      </c>
      <c r="D2409" t="s">
        <v>1</v>
      </c>
      <c r="E2409" t="s">
        <v>1</v>
      </c>
      <c r="F2409" t="s">
        <v>0</v>
      </c>
      <c r="G2409" t="str">
        <f>"2018-10-18 14:11:54"</f>
        <v>2018-10-18 14:11:54</v>
      </c>
    </row>
    <row r="2410" spans="1:7" x14ac:dyDescent="0.2">
      <c r="A2410" t="s">
        <v>3981</v>
      </c>
      <c r="B2410" t="str">
        <f>"18475985812"</f>
        <v>18475985812</v>
      </c>
      <c r="C2410" t="str">
        <f>"440882199712201291"</f>
        <v>440882199712201291</v>
      </c>
      <c r="D2410" t="s">
        <v>1</v>
      </c>
      <c r="E2410" t="s">
        <v>1</v>
      </c>
      <c r="F2410" t="s">
        <v>0</v>
      </c>
      <c r="G2410" t="str">
        <f>"2018-10-18 14:11:54"</f>
        <v>2018-10-18 14:11:54</v>
      </c>
    </row>
    <row r="2411" spans="1:7" x14ac:dyDescent="0.2">
      <c r="A2411" t="s">
        <v>222</v>
      </c>
      <c r="B2411" t="str">
        <f>"18281003606"</f>
        <v>18281003606</v>
      </c>
      <c r="C2411" t="str">
        <f>"510682198811204431"</f>
        <v>510682198811204431</v>
      </c>
      <c r="D2411" t="s">
        <v>1</v>
      </c>
      <c r="E2411" t="s">
        <v>1</v>
      </c>
      <c r="F2411" t="s">
        <v>0</v>
      </c>
      <c r="G2411" t="str">
        <f>"2018-10-18 14:12:17"</f>
        <v>2018-10-18 14:12:17</v>
      </c>
    </row>
    <row r="2412" spans="1:7" x14ac:dyDescent="0.2">
      <c r="A2412" t="s">
        <v>3982</v>
      </c>
      <c r="B2412" t="str">
        <f>"13558939084"</f>
        <v>13558939084</v>
      </c>
      <c r="C2412" t="str">
        <f>"51390119880821711X"</f>
        <v>51390119880821711X</v>
      </c>
      <c r="D2412" t="s">
        <v>1</v>
      </c>
      <c r="E2412" t="s">
        <v>1</v>
      </c>
      <c r="F2412" t="s">
        <v>0</v>
      </c>
      <c r="G2412" t="str">
        <f>"2018-10-18 14:14:02"</f>
        <v>2018-10-18 14:14:02</v>
      </c>
    </row>
    <row r="2413" spans="1:7" x14ac:dyDescent="0.2">
      <c r="A2413" t="s">
        <v>3983</v>
      </c>
      <c r="B2413" t="str">
        <f>"13513812967"</f>
        <v>13513812967</v>
      </c>
      <c r="C2413" t="str">
        <f>"410881197608106576"</f>
        <v>410881197608106576</v>
      </c>
      <c r="D2413" t="s">
        <v>1</v>
      </c>
      <c r="E2413" t="s">
        <v>1</v>
      </c>
      <c r="F2413" t="s">
        <v>0</v>
      </c>
      <c r="G2413" t="str">
        <f>"2018-10-18 14:21:12"</f>
        <v>2018-10-18 14:21:12</v>
      </c>
    </row>
    <row r="2414" spans="1:7" x14ac:dyDescent="0.2">
      <c r="A2414" t="s">
        <v>3984</v>
      </c>
      <c r="B2414" t="str">
        <f>"15140020204"</f>
        <v>15140020204</v>
      </c>
      <c r="C2414" t="str">
        <f>"210105199504211619"</f>
        <v>210105199504211619</v>
      </c>
      <c r="D2414" t="s">
        <v>1</v>
      </c>
      <c r="E2414" t="s">
        <v>1</v>
      </c>
      <c r="F2414" t="s">
        <v>0</v>
      </c>
      <c r="G2414" t="str">
        <f>"2018-10-18 14:33:59"</f>
        <v>2018-10-18 14:33:59</v>
      </c>
    </row>
    <row r="2415" spans="1:7" x14ac:dyDescent="0.2">
      <c r="A2415" t="s">
        <v>1</v>
      </c>
      <c r="B2415" t="str">
        <f>"15198506410"</f>
        <v>15198506410</v>
      </c>
      <c r="C2415" t="s">
        <v>1</v>
      </c>
      <c r="D2415" t="s">
        <v>1</v>
      </c>
      <c r="E2415" t="s">
        <v>1</v>
      </c>
      <c r="F2415" t="s">
        <v>0</v>
      </c>
      <c r="G2415" t="str">
        <f>"2018-10-18 14:10:28"</f>
        <v>2018-10-18 14:10:28</v>
      </c>
    </row>
    <row r="2416" spans="1:7" x14ac:dyDescent="0.2">
      <c r="A2416" t="s">
        <v>419</v>
      </c>
      <c r="B2416" t="str">
        <f>"18376792607"</f>
        <v>18376792607</v>
      </c>
      <c r="C2416" t="str">
        <f>"450521199702185518"</f>
        <v>450521199702185518</v>
      </c>
      <c r="D2416" t="s">
        <v>3985</v>
      </c>
      <c r="E2416" t="s">
        <v>3986</v>
      </c>
      <c r="F2416" t="s">
        <v>0</v>
      </c>
      <c r="G2416" t="str">
        <f>"2018-10-18 14:11:52"</f>
        <v>2018-10-18 14:11:52</v>
      </c>
    </row>
    <row r="2417" spans="1:7" x14ac:dyDescent="0.2">
      <c r="A2417" t="s">
        <v>3987</v>
      </c>
      <c r="B2417" t="str">
        <f>"15703417635"</f>
        <v>15703417635</v>
      </c>
      <c r="C2417" t="str">
        <f>"130528199003067213"</f>
        <v>130528199003067213</v>
      </c>
      <c r="D2417" t="s">
        <v>3988</v>
      </c>
      <c r="E2417" t="s">
        <v>3989</v>
      </c>
      <c r="F2417" t="s">
        <v>0</v>
      </c>
      <c r="G2417" t="str">
        <f>"2018-10-18 14:10:51"</f>
        <v>2018-10-18 14:10:51</v>
      </c>
    </row>
    <row r="2418" spans="1:7" x14ac:dyDescent="0.2">
      <c r="A2418" t="s">
        <v>1</v>
      </c>
      <c r="B2418" t="str">
        <f>"17368117001"</f>
        <v>17368117001</v>
      </c>
      <c r="C2418" t="s">
        <v>1</v>
      </c>
      <c r="D2418" t="s">
        <v>1</v>
      </c>
      <c r="E2418" t="s">
        <v>1</v>
      </c>
      <c r="F2418" t="s">
        <v>0</v>
      </c>
      <c r="G2418" t="str">
        <f>"2018-10-18 14:08:43"</f>
        <v>2018-10-18 14:08:43</v>
      </c>
    </row>
    <row r="2419" spans="1:7" x14ac:dyDescent="0.2">
      <c r="A2419" t="s">
        <v>1</v>
      </c>
      <c r="B2419" t="str">
        <f>"15008088752"</f>
        <v>15008088752</v>
      </c>
      <c r="C2419" t="s">
        <v>1</v>
      </c>
      <c r="D2419" t="s">
        <v>1</v>
      </c>
      <c r="E2419" t="s">
        <v>1</v>
      </c>
      <c r="F2419" t="s">
        <v>0</v>
      </c>
      <c r="G2419" t="str">
        <f>"2018-10-18 14:08:42"</f>
        <v>2018-10-18 14:08:42</v>
      </c>
    </row>
    <row r="2420" spans="1:7" x14ac:dyDescent="0.2">
      <c r="A2420" t="s">
        <v>3990</v>
      </c>
      <c r="B2420" t="str">
        <f>"18746791540"</f>
        <v>18746791540</v>
      </c>
      <c r="C2420" t="str">
        <f>"230421198203260033"</f>
        <v>230421198203260033</v>
      </c>
      <c r="D2420" t="s">
        <v>1</v>
      </c>
      <c r="E2420" t="s">
        <v>1</v>
      </c>
      <c r="F2420" t="s">
        <v>0</v>
      </c>
      <c r="G2420" t="str">
        <f>"2018-10-18 14:10:59"</f>
        <v>2018-10-18 14:10:59</v>
      </c>
    </row>
    <row r="2421" spans="1:7" x14ac:dyDescent="0.2">
      <c r="A2421" t="s">
        <v>3991</v>
      </c>
      <c r="B2421" t="str">
        <f>"15762516823"</f>
        <v>15762516823</v>
      </c>
      <c r="C2421" t="str">
        <f>"37072419860909692X"</f>
        <v>37072419860909692X</v>
      </c>
      <c r="D2421" t="s">
        <v>1</v>
      </c>
      <c r="E2421" t="s">
        <v>1</v>
      </c>
      <c r="F2421" t="s">
        <v>0</v>
      </c>
      <c r="G2421" t="str">
        <f>"2018-10-18 15:19:39"</f>
        <v>2018-10-18 15:19:39</v>
      </c>
    </row>
    <row r="2422" spans="1:7" x14ac:dyDescent="0.2">
      <c r="A2422" t="s">
        <v>1</v>
      </c>
      <c r="B2422" t="str">
        <f>"18799912011"</f>
        <v>18799912011</v>
      </c>
      <c r="C2422" t="s">
        <v>1</v>
      </c>
      <c r="D2422" t="s">
        <v>1</v>
      </c>
      <c r="E2422" t="s">
        <v>1</v>
      </c>
      <c r="F2422" t="s">
        <v>0</v>
      </c>
      <c r="G2422" t="str">
        <f>"2018-10-18 14:08:06"</f>
        <v>2018-10-18 14:08:06</v>
      </c>
    </row>
    <row r="2423" spans="1:7" x14ac:dyDescent="0.2">
      <c r="A2423" t="s">
        <v>3992</v>
      </c>
      <c r="B2423" t="str">
        <f>"15354259555"</f>
        <v>15354259555</v>
      </c>
      <c r="C2423" t="str">
        <f>"130205198404210919"</f>
        <v>130205198404210919</v>
      </c>
      <c r="D2423" t="s">
        <v>3993</v>
      </c>
      <c r="E2423" t="s">
        <v>3994</v>
      </c>
      <c r="F2423" t="s">
        <v>0</v>
      </c>
      <c r="G2423" t="str">
        <f>"2018-10-18 14:09:33"</f>
        <v>2018-10-18 14:09:33</v>
      </c>
    </row>
    <row r="2424" spans="1:7" x14ac:dyDescent="0.2">
      <c r="A2424" t="s">
        <v>1761</v>
      </c>
      <c r="B2424" t="str">
        <f>"15126086768"</f>
        <v>15126086768</v>
      </c>
      <c r="C2424" t="str">
        <f>"533223199611241528"</f>
        <v>533223199611241528</v>
      </c>
      <c r="D2424" t="s">
        <v>1</v>
      </c>
      <c r="E2424" t="s">
        <v>1</v>
      </c>
      <c r="F2424" t="s">
        <v>0</v>
      </c>
      <c r="G2424" t="str">
        <f>"2018-10-18 14:13:40"</f>
        <v>2018-10-18 14:13:40</v>
      </c>
    </row>
    <row r="2425" spans="1:7" x14ac:dyDescent="0.2">
      <c r="A2425" t="s">
        <v>3995</v>
      </c>
      <c r="B2425" t="str">
        <f>"13872074849"</f>
        <v>13872074849</v>
      </c>
      <c r="C2425" t="str">
        <f>"420204199802174949"</f>
        <v>420204199802174949</v>
      </c>
      <c r="D2425" t="s">
        <v>1</v>
      </c>
      <c r="E2425" t="s">
        <v>1</v>
      </c>
      <c r="F2425" t="s">
        <v>0</v>
      </c>
      <c r="G2425" t="str">
        <f>"2018-10-18 14:10:38"</f>
        <v>2018-10-18 14:10:38</v>
      </c>
    </row>
    <row r="2426" spans="1:7" x14ac:dyDescent="0.2">
      <c r="A2426" t="s">
        <v>3996</v>
      </c>
      <c r="B2426" t="str">
        <f>"15806377762"</f>
        <v>15806377762</v>
      </c>
      <c r="C2426" t="str">
        <f>"370481199006065062"</f>
        <v>370481199006065062</v>
      </c>
      <c r="D2426" t="s">
        <v>1</v>
      </c>
      <c r="E2426" t="s">
        <v>1</v>
      </c>
      <c r="F2426" t="s">
        <v>0</v>
      </c>
      <c r="G2426" t="str">
        <f>"2018-10-18 14:08:51"</f>
        <v>2018-10-18 14:08:51</v>
      </c>
    </row>
    <row r="2427" spans="1:7" x14ac:dyDescent="0.2">
      <c r="A2427" t="s">
        <v>1</v>
      </c>
      <c r="B2427" t="str">
        <f>"13289283684"</f>
        <v>13289283684</v>
      </c>
      <c r="C2427" t="s">
        <v>1</v>
      </c>
      <c r="D2427" t="s">
        <v>1</v>
      </c>
      <c r="E2427" t="s">
        <v>1</v>
      </c>
      <c r="F2427" t="s">
        <v>0</v>
      </c>
      <c r="G2427" t="str">
        <f>"2018-10-18 14:07:14"</f>
        <v>2018-10-18 14:07:14</v>
      </c>
    </row>
    <row r="2428" spans="1:7" x14ac:dyDescent="0.2">
      <c r="A2428" t="s">
        <v>3997</v>
      </c>
      <c r="B2428" t="str">
        <f>"13765846618"</f>
        <v>13765846618</v>
      </c>
      <c r="C2428" t="str">
        <f>"520111198507252710"</f>
        <v>520111198507252710</v>
      </c>
      <c r="D2428" t="s">
        <v>1</v>
      </c>
      <c r="E2428" t="s">
        <v>1</v>
      </c>
      <c r="F2428" t="s">
        <v>0</v>
      </c>
      <c r="G2428" t="str">
        <f>"2018-11-01 15:25:47"</f>
        <v>2018-11-01 15:25:47</v>
      </c>
    </row>
    <row r="2429" spans="1:7" x14ac:dyDescent="0.2">
      <c r="A2429" t="s">
        <v>3998</v>
      </c>
      <c r="B2429" t="str">
        <f>"13830341612"</f>
        <v>13830341612</v>
      </c>
      <c r="C2429" t="str">
        <f>"622722199305021019"</f>
        <v>622722199305021019</v>
      </c>
      <c r="D2429" t="s">
        <v>1</v>
      </c>
      <c r="E2429" t="s">
        <v>1</v>
      </c>
      <c r="F2429" t="s">
        <v>0</v>
      </c>
      <c r="G2429" t="str">
        <f>"2018-10-18 14:19:48"</f>
        <v>2018-10-18 14:19:48</v>
      </c>
    </row>
    <row r="2430" spans="1:7" x14ac:dyDescent="0.2">
      <c r="A2430" t="s">
        <v>3999</v>
      </c>
      <c r="B2430" t="str">
        <f>"15960195153"</f>
        <v>15960195153</v>
      </c>
      <c r="C2430" t="str">
        <f>"350123199506244194"</f>
        <v>350123199506244194</v>
      </c>
      <c r="D2430" t="s">
        <v>1</v>
      </c>
      <c r="E2430" t="s">
        <v>1</v>
      </c>
      <c r="F2430" t="s">
        <v>0</v>
      </c>
      <c r="G2430" t="str">
        <f>"2018-10-18 14:09:51"</f>
        <v>2018-10-18 14:09:51</v>
      </c>
    </row>
    <row r="2431" spans="1:7" x14ac:dyDescent="0.2">
      <c r="A2431" t="s">
        <v>23</v>
      </c>
      <c r="B2431" t="str">
        <f>"13340217877"</f>
        <v>13340217877</v>
      </c>
      <c r="C2431" t="str">
        <f>"500242199210111395"</f>
        <v>500242199210111395</v>
      </c>
      <c r="D2431" t="s">
        <v>1</v>
      </c>
      <c r="E2431" t="s">
        <v>1</v>
      </c>
      <c r="F2431" t="s">
        <v>0</v>
      </c>
      <c r="G2431" t="str">
        <f>"2018-10-18 14:16:02"</f>
        <v>2018-10-18 14:16:02</v>
      </c>
    </row>
    <row r="2432" spans="1:7" x14ac:dyDescent="0.2">
      <c r="A2432" t="s">
        <v>1</v>
      </c>
      <c r="B2432" t="str">
        <f>"18795015444"</f>
        <v>18795015444</v>
      </c>
      <c r="C2432" t="s">
        <v>1</v>
      </c>
      <c r="D2432" t="s">
        <v>1</v>
      </c>
      <c r="E2432" t="s">
        <v>1</v>
      </c>
      <c r="F2432" t="s">
        <v>0</v>
      </c>
      <c r="G2432" t="str">
        <f>"2018-10-18 14:25:33"</f>
        <v>2018-10-18 14:25:33</v>
      </c>
    </row>
    <row r="2433" spans="1:7" x14ac:dyDescent="0.2">
      <c r="A2433" t="s">
        <v>4000</v>
      </c>
      <c r="B2433" t="str">
        <f>"17602060407"</f>
        <v>17602060407</v>
      </c>
      <c r="C2433" t="str">
        <f>"430223199504028733"</f>
        <v>430223199504028733</v>
      </c>
      <c r="D2433" t="s">
        <v>1</v>
      </c>
      <c r="E2433" t="s">
        <v>1</v>
      </c>
      <c r="F2433" t="s">
        <v>0</v>
      </c>
      <c r="G2433" t="str">
        <f>"2018-10-18 14:10:48"</f>
        <v>2018-10-18 14:10:48</v>
      </c>
    </row>
    <row r="2434" spans="1:7" x14ac:dyDescent="0.2">
      <c r="A2434" t="s">
        <v>811</v>
      </c>
      <c r="B2434" t="str">
        <f>"15910194671"</f>
        <v>15910194671</v>
      </c>
      <c r="C2434" t="str">
        <f>"371523199007202711"</f>
        <v>371523199007202711</v>
      </c>
      <c r="D2434" t="s">
        <v>1</v>
      </c>
      <c r="E2434" t="s">
        <v>1</v>
      </c>
      <c r="F2434" t="s">
        <v>0</v>
      </c>
      <c r="G2434" t="str">
        <f>"2018-10-18 14:07:05"</f>
        <v>2018-10-18 14:07:05</v>
      </c>
    </row>
    <row r="2435" spans="1:7" x14ac:dyDescent="0.2">
      <c r="A2435" t="s">
        <v>4001</v>
      </c>
      <c r="B2435" t="str">
        <f>"13769650394"</f>
        <v>13769650394</v>
      </c>
      <c r="C2435" t="str">
        <f>"530302198712080053"</f>
        <v>530302198712080053</v>
      </c>
      <c r="D2435" t="s">
        <v>4002</v>
      </c>
      <c r="E2435" t="s">
        <v>4003</v>
      </c>
      <c r="F2435" t="s">
        <v>0</v>
      </c>
      <c r="G2435" t="str">
        <f>"2018-10-18 14:07:24"</f>
        <v>2018-10-18 14:07:24</v>
      </c>
    </row>
    <row r="2436" spans="1:7" x14ac:dyDescent="0.2">
      <c r="A2436" t="s">
        <v>1013</v>
      </c>
      <c r="B2436" t="str">
        <f>"13315791082"</f>
        <v>13315791082</v>
      </c>
      <c r="C2436" t="str">
        <f>"130984199006041214"</f>
        <v>130984199006041214</v>
      </c>
      <c r="D2436" t="s">
        <v>4004</v>
      </c>
      <c r="E2436" t="s">
        <v>4005</v>
      </c>
      <c r="F2436" t="s">
        <v>0</v>
      </c>
      <c r="G2436" t="str">
        <f>"2018-10-18 20:52:08"</f>
        <v>2018-10-18 20:52:08</v>
      </c>
    </row>
    <row r="2437" spans="1:7" x14ac:dyDescent="0.2">
      <c r="A2437" t="s">
        <v>1</v>
      </c>
      <c r="B2437" t="str">
        <f>"13964783322"</f>
        <v>13964783322</v>
      </c>
      <c r="C2437" t="s">
        <v>1</v>
      </c>
      <c r="D2437" t="s">
        <v>1</v>
      </c>
      <c r="E2437" t="s">
        <v>1</v>
      </c>
      <c r="F2437" t="s">
        <v>0</v>
      </c>
      <c r="G2437" t="str">
        <f>"2018-10-18 14:06:29"</f>
        <v>2018-10-18 14:06:29</v>
      </c>
    </row>
    <row r="2438" spans="1:7" x14ac:dyDescent="0.2">
      <c r="A2438" t="s">
        <v>1402</v>
      </c>
      <c r="B2438" t="str">
        <f>"17673878787"</f>
        <v>17673878787</v>
      </c>
      <c r="C2438" t="str">
        <f>"430511199111034519"</f>
        <v>430511199111034519</v>
      </c>
      <c r="D2438" t="s">
        <v>4006</v>
      </c>
      <c r="E2438" t="s">
        <v>4007</v>
      </c>
      <c r="F2438" t="s">
        <v>0</v>
      </c>
      <c r="G2438" t="str">
        <f>"2018-10-18 14:08:38"</f>
        <v>2018-10-18 14:08:38</v>
      </c>
    </row>
    <row r="2439" spans="1:7" x14ac:dyDescent="0.2">
      <c r="A2439" t="s">
        <v>4008</v>
      </c>
      <c r="B2439" t="str">
        <f>"13774589944"</f>
        <v>13774589944</v>
      </c>
      <c r="C2439" t="str">
        <f>"350128198709015815"</f>
        <v>350128198709015815</v>
      </c>
      <c r="D2439" t="s">
        <v>1</v>
      </c>
      <c r="E2439" t="s">
        <v>1</v>
      </c>
      <c r="F2439" t="s">
        <v>0</v>
      </c>
      <c r="G2439" t="str">
        <f>"2018-10-18 14:35:55"</f>
        <v>2018-10-18 14:35:55</v>
      </c>
    </row>
    <row r="2440" spans="1:7" x14ac:dyDescent="0.2">
      <c r="A2440" t="s">
        <v>4009</v>
      </c>
      <c r="B2440" t="str">
        <f>"15285616168"</f>
        <v>15285616168</v>
      </c>
      <c r="C2440" t="str">
        <f>"522725198706173516"</f>
        <v>522725198706173516</v>
      </c>
      <c r="D2440" t="s">
        <v>1</v>
      </c>
      <c r="E2440" t="s">
        <v>1</v>
      </c>
      <c r="F2440" t="s">
        <v>0</v>
      </c>
      <c r="G2440" t="str">
        <f>"2018-10-19 10:36:58"</f>
        <v>2018-10-19 10:36:58</v>
      </c>
    </row>
    <row r="2441" spans="1:7" x14ac:dyDescent="0.2">
      <c r="A2441" t="s">
        <v>302</v>
      </c>
      <c r="B2441" t="str">
        <f>"17695052385"</f>
        <v>17695052385</v>
      </c>
      <c r="C2441" t="str">
        <f>"642221198505230013"</f>
        <v>642221198505230013</v>
      </c>
      <c r="D2441" t="s">
        <v>1</v>
      </c>
      <c r="E2441" t="s">
        <v>1</v>
      </c>
      <c r="F2441" t="s">
        <v>0</v>
      </c>
      <c r="G2441" t="str">
        <f>"2018-10-18 14:08:50"</f>
        <v>2018-10-18 14:08:50</v>
      </c>
    </row>
    <row r="2442" spans="1:7" x14ac:dyDescent="0.2">
      <c r="A2442" t="s">
        <v>4010</v>
      </c>
      <c r="B2442" t="str">
        <f>"15953282780"</f>
        <v>15953282780</v>
      </c>
      <c r="C2442" t="str">
        <f>"371202198109050015"</f>
        <v>371202198109050015</v>
      </c>
      <c r="D2442" t="s">
        <v>1</v>
      </c>
      <c r="E2442" t="s">
        <v>1</v>
      </c>
      <c r="F2442" t="s">
        <v>0</v>
      </c>
      <c r="G2442" t="str">
        <f>"2018-10-18 14:53:36"</f>
        <v>2018-10-18 14:53:36</v>
      </c>
    </row>
    <row r="2443" spans="1:7" x14ac:dyDescent="0.2">
      <c r="A2443" t="s">
        <v>4011</v>
      </c>
      <c r="B2443" t="str">
        <f>"15142375025"</f>
        <v>15142375025</v>
      </c>
      <c r="C2443" t="str">
        <f>"220723199204170613"</f>
        <v>220723199204170613</v>
      </c>
      <c r="D2443" t="s">
        <v>4012</v>
      </c>
      <c r="E2443" t="s">
        <v>4013</v>
      </c>
      <c r="F2443" t="s">
        <v>0</v>
      </c>
      <c r="G2443" t="str">
        <f>"2018-10-18 14:06:43"</f>
        <v>2018-10-18 14:06:43</v>
      </c>
    </row>
    <row r="2444" spans="1:7" x14ac:dyDescent="0.2">
      <c r="A2444" t="s">
        <v>1</v>
      </c>
      <c r="B2444" t="str">
        <f>"18278157372"</f>
        <v>18278157372</v>
      </c>
      <c r="C2444" t="s">
        <v>1</v>
      </c>
      <c r="D2444" t="s">
        <v>1</v>
      </c>
      <c r="E2444" t="s">
        <v>1</v>
      </c>
      <c r="F2444" t="s">
        <v>0</v>
      </c>
      <c r="G2444" t="str">
        <f>"2018-10-18 14:03:38"</f>
        <v>2018-10-18 14:03:38</v>
      </c>
    </row>
    <row r="2445" spans="1:7" x14ac:dyDescent="0.2">
      <c r="A2445" t="s">
        <v>4014</v>
      </c>
      <c r="B2445" t="str">
        <f>"18877178581"</f>
        <v>18877178581</v>
      </c>
      <c r="C2445" t="str">
        <f>"452122199509190039"</f>
        <v>452122199509190039</v>
      </c>
      <c r="D2445" t="s">
        <v>1</v>
      </c>
      <c r="E2445" t="s">
        <v>1</v>
      </c>
      <c r="F2445" t="s">
        <v>0</v>
      </c>
      <c r="G2445" t="str">
        <f>"2018-10-18 14:04:29"</f>
        <v>2018-10-18 14:04:29</v>
      </c>
    </row>
    <row r="2446" spans="1:7" x14ac:dyDescent="0.2">
      <c r="A2446" t="s">
        <v>4015</v>
      </c>
      <c r="B2446" t="str">
        <f>"13608035951"</f>
        <v>13608035951</v>
      </c>
      <c r="C2446" t="str">
        <f>"510184198111014675"</f>
        <v>510184198111014675</v>
      </c>
      <c r="D2446" t="s">
        <v>1</v>
      </c>
      <c r="E2446" t="s">
        <v>1</v>
      </c>
      <c r="F2446" t="s">
        <v>0</v>
      </c>
      <c r="G2446" t="str">
        <f>"2018-10-18 14:04:47"</f>
        <v>2018-10-18 14:04:47</v>
      </c>
    </row>
    <row r="2447" spans="1:7" x14ac:dyDescent="0.2">
      <c r="A2447" t="s">
        <v>4016</v>
      </c>
      <c r="B2447" t="str">
        <f>"18200299252"</f>
        <v>18200299252</v>
      </c>
      <c r="C2447" t="str">
        <f>"51030419890815384X"</f>
        <v>51030419890815384X</v>
      </c>
      <c r="D2447" t="s">
        <v>1</v>
      </c>
      <c r="E2447" t="s">
        <v>1</v>
      </c>
      <c r="F2447" t="s">
        <v>0</v>
      </c>
      <c r="G2447" t="str">
        <f>"2018-10-18 14:23:47"</f>
        <v>2018-10-18 14:23:47</v>
      </c>
    </row>
    <row r="2448" spans="1:7" x14ac:dyDescent="0.2">
      <c r="A2448" t="s">
        <v>1</v>
      </c>
      <c r="B2448" t="str">
        <f>"18739558019"</f>
        <v>18739558019</v>
      </c>
      <c r="C2448" t="s">
        <v>1</v>
      </c>
      <c r="D2448" t="s">
        <v>1</v>
      </c>
      <c r="E2448" t="s">
        <v>1</v>
      </c>
      <c r="F2448" t="s">
        <v>0</v>
      </c>
      <c r="G2448" t="str">
        <f>"2018-10-18 14:03:07"</f>
        <v>2018-10-18 14:03:07</v>
      </c>
    </row>
    <row r="2449" spans="1:7" x14ac:dyDescent="0.2">
      <c r="A2449" t="s">
        <v>1</v>
      </c>
      <c r="B2449" t="str">
        <f>"18281121669"</f>
        <v>18281121669</v>
      </c>
      <c r="C2449" t="s">
        <v>1</v>
      </c>
      <c r="D2449" t="s">
        <v>1</v>
      </c>
      <c r="E2449" t="s">
        <v>1</v>
      </c>
      <c r="F2449" t="s">
        <v>0</v>
      </c>
      <c r="G2449" t="str">
        <f>"2018-10-18 14:02:48"</f>
        <v>2018-10-18 14:02:48</v>
      </c>
    </row>
    <row r="2450" spans="1:7" x14ac:dyDescent="0.2">
      <c r="A2450" t="s">
        <v>4017</v>
      </c>
      <c r="B2450" t="str">
        <f>"18562639995"</f>
        <v>18562639995</v>
      </c>
      <c r="C2450" t="str">
        <f>"211402199505242618"</f>
        <v>211402199505242618</v>
      </c>
      <c r="D2450" t="s">
        <v>1</v>
      </c>
      <c r="E2450" t="s">
        <v>1</v>
      </c>
      <c r="F2450" t="s">
        <v>0</v>
      </c>
      <c r="G2450" t="str">
        <f>"2018-10-18 14:02:41"</f>
        <v>2018-10-18 14:02:41</v>
      </c>
    </row>
    <row r="2451" spans="1:7" x14ac:dyDescent="0.2">
      <c r="A2451" t="s">
        <v>1</v>
      </c>
      <c r="B2451" t="str">
        <f>"18291407442"</f>
        <v>18291407442</v>
      </c>
      <c r="C2451" t="s">
        <v>1</v>
      </c>
      <c r="D2451" t="s">
        <v>1</v>
      </c>
      <c r="E2451" t="s">
        <v>1</v>
      </c>
      <c r="F2451" t="s">
        <v>0</v>
      </c>
      <c r="G2451" t="str">
        <f>"2018-10-18 14:02:16"</f>
        <v>2018-10-18 14:02:16</v>
      </c>
    </row>
    <row r="2452" spans="1:7" x14ac:dyDescent="0.2">
      <c r="A2452" t="s">
        <v>4018</v>
      </c>
      <c r="B2452" t="str">
        <f>"18768791618"</f>
        <v>18768791618</v>
      </c>
      <c r="C2452" t="str">
        <f>"520221199501104218"</f>
        <v>520221199501104218</v>
      </c>
      <c r="D2452" t="s">
        <v>4019</v>
      </c>
      <c r="E2452" t="s">
        <v>4020</v>
      </c>
      <c r="F2452" t="s">
        <v>0</v>
      </c>
      <c r="G2452" t="str">
        <f>"2018-10-28 02:06:37"</f>
        <v>2018-10-28 02:06:37</v>
      </c>
    </row>
    <row r="2453" spans="1:7" x14ac:dyDescent="0.2">
      <c r="A2453" t="s">
        <v>4021</v>
      </c>
      <c r="B2453" t="str">
        <f>"15066098259"</f>
        <v>15066098259</v>
      </c>
      <c r="C2453" t="str">
        <f>"370523198410293013"</f>
        <v>370523198410293013</v>
      </c>
      <c r="D2453" t="s">
        <v>1</v>
      </c>
      <c r="E2453" t="s">
        <v>1</v>
      </c>
      <c r="F2453" t="s">
        <v>0</v>
      </c>
      <c r="G2453" t="str">
        <f>"2018-10-31 11:42:25"</f>
        <v>2018-10-31 11:42:25</v>
      </c>
    </row>
    <row r="2454" spans="1:7" x14ac:dyDescent="0.2">
      <c r="A2454" t="s">
        <v>4022</v>
      </c>
      <c r="B2454" t="str">
        <f>"15091593669"</f>
        <v>15091593669</v>
      </c>
      <c r="C2454" t="str">
        <f>"610122198102174620"</f>
        <v>610122198102174620</v>
      </c>
      <c r="D2454" t="s">
        <v>1</v>
      </c>
      <c r="E2454" t="s">
        <v>1</v>
      </c>
      <c r="F2454" t="s">
        <v>0</v>
      </c>
      <c r="G2454" t="str">
        <f>"2018-10-18 14:06:59"</f>
        <v>2018-10-18 14:06:59</v>
      </c>
    </row>
    <row r="2455" spans="1:7" x14ac:dyDescent="0.2">
      <c r="A2455" t="s">
        <v>4023</v>
      </c>
      <c r="B2455" t="str">
        <f>"13829718581"</f>
        <v>13829718581</v>
      </c>
      <c r="C2455" t="str">
        <f>"430426198909071057"</f>
        <v>430426198909071057</v>
      </c>
      <c r="D2455" t="s">
        <v>1</v>
      </c>
      <c r="E2455" t="s">
        <v>1</v>
      </c>
      <c r="F2455" t="s">
        <v>0</v>
      </c>
      <c r="G2455" t="str">
        <f>"2018-10-18 14:07:07"</f>
        <v>2018-10-18 14:07:07</v>
      </c>
    </row>
    <row r="2456" spans="1:7" x14ac:dyDescent="0.2">
      <c r="A2456" t="s">
        <v>1</v>
      </c>
      <c r="B2456" t="str">
        <f>"13618810721"</f>
        <v>13618810721</v>
      </c>
      <c r="C2456" t="s">
        <v>1</v>
      </c>
      <c r="D2456" t="s">
        <v>1</v>
      </c>
      <c r="E2456" t="s">
        <v>1</v>
      </c>
      <c r="F2456" t="s">
        <v>0</v>
      </c>
      <c r="G2456" t="str">
        <f>"2018-10-18 14:02:30"</f>
        <v>2018-10-18 14:02:30</v>
      </c>
    </row>
    <row r="2457" spans="1:7" x14ac:dyDescent="0.2">
      <c r="A2457" t="s">
        <v>4024</v>
      </c>
      <c r="B2457" t="str">
        <f>"15925964090"</f>
        <v>15925964090</v>
      </c>
      <c r="C2457" t="str">
        <f>"330724198511285426"</f>
        <v>330724198511285426</v>
      </c>
      <c r="D2457" t="s">
        <v>1</v>
      </c>
      <c r="E2457" t="s">
        <v>1</v>
      </c>
      <c r="F2457" t="s">
        <v>0</v>
      </c>
      <c r="G2457" t="str">
        <f>"2018-10-18 14:03:00"</f>
        <v>2018-10-18 14:03:00</v>
      </c>
    </row>
    <row r="2458" spans="1:7" x14ac:dyDescent="0.2">
      <c r="A2458" t="s">
        <v>4025</v>
      </c>
      <c r="B2458" t="str">
        <f>"13398443425"</f>
        <v>13398443425</v>
      </c>
      <c r="C2458" t="str">
        <f>"510821197708013737"</f>
        <v>510821197708013737</v>
      </c>
      <c r="D2458" t="s">
        <v>1</v>
      </c>
      <c r="E2458" t="s">
        <v>1</v>
      </c>
      <c r="F2458" t="s">
        <v>0</v>
      </c>
      <c r="G2458" t="str">
        <f>"2018-10-18 14:02:10"</f>
        <v>2018-10-18 14:02:10</v>
      </c>
    </row>
    <row r="2459" spans="1:7" x14ac:dyDescent="0.2">
      <c r="A2459" t="s">
        <v>4026</v>
      </c>
      <c r="B2459" t="str">
        <f>"15683757864"</f>
        <v>15683757864</v>
      </c>
      <c r="C2459" t="str">
        <f>"500383199801091990"</f>
        <v>500383199801091990</v>
      </c>
      <c r="D2459" t="s">
        <v>1</v>
      </c>
      <c r="E2459" t="s">
        <v>1</v>
      </c>
      <c r="F2459" t="s">
        <v>0</v>
      </c>
      <c r="G2459" t="str">
        <f>"2018-10-18 14:03:27"</f>
        <v>2018-10-18 14:03:27</v>
      </c>
    </row>
    <row r="2460" spans="1:7" x14ac:dyDescent="0.2">
      <c r="A2460" t="s">
        <v>4027</v>
      </c>
      <c r="B2460" t="str">
        <f>"18954291999"</f>
        <v>18954291999</v>
      </c>
      <c r="C2460" t="str">
        <f>"370202198006200059"</f>
        <v>370202198006200059</v>
      </c>
      <c r="D2460" t="s">
        <v>1</v>
      </c>
      <c r="E2460" t="s">
        <v>1</v>
      </c>
      <c r="F2460" t="s">
        <v>0</v>
      </c>
      <c r="G2460" t="str">
        <f>"2018-10-18 18:22:36"</f>
        <v>2018-10-18 18:22:36</v>
      </c>
    </row>
    <row r="2461" spans="1:7" x14ac:dyDescent="0.2">
      <c r="A2461" t="s">
        <v>4028</v>
      </c>
      <c r="B2461" t="str">
        <f>"17695669165"</f>
        <v>17695669165</v>
      </c>
      <c r="C2461" t="str">
        <f>"130929199608013267"</f>
        <v>130929199608013267</v>
      </c>
      <c r="D2461" t="s">
        <v>1</v>
      </c>
      <c r="E2461" t="s">
        <v>1</v>
      </c>
      <c r="F2461" t="s">
        <v>0</v>
      </c>
      <c r="G2461" t="str">
        <f>"2018-10-18 14:02:05"</f>
        <v>2018-10-18 14:02:05</v>
      </c>
    </row>
    <row r="2462" spans="1:7" x14ac:dyDescent="0.2">
      <c r="A2462" t="s">
        <v>4029</v>
      </c>
      <c r="B2462" t="str">
        <f>"15632255987"</f>
        <v>15632255987</v>
      </c>
      <c r="C2462" t="str">
        <f>"130635199106060099"</f>
        <v>130635199106060099</v>
      </c>
      <c r="D2462" t="s">
        <v>1</v>
      </c>
      <c r="E2462" t="s">
        <v>1</v>
      </c>
      <c r="F2462" t="s">
        <v>0</v>
      </c>
      <c r="G2462" t="str">
        <f>"2018-10-18 14:02:10"</f>
        <v>2018-10-18 14:02:10</v>
      </c>
    </row>
    <row r="2463" spans="1:7" x14ac:dyDescent="0.2">
      <c r="A2463" t="s">
        <v>4030</v>
      </c>
      <c r="B2463" t="str">
        <f>"13824798468"</f>
        <v>13824798468</v>
      </c>
      <c r="C2463" t="str">
        <f>"440923198006083719"</f>
        <v>440923198006083719</v>
      </c>
      <c r="D2463" t="s">
        <v>1</v>
      </c>
      <c r="E2463" t="s">
        <v>1</v>
      </c>
      <c r="F2463" t="s">
        <v>0</v>
      </c>
      <c r="G2463" t="str">
        <f>"2018-10-18 14:02:28"</f>
        <v>2018-10-18 14:02:28</v>
      </c>
    </row>
    <row r="2464" spans="1:7" x14ac:dyDescent="0.2">
      <c r="A2464" t="s">
        <v>1</v>
      </c>
      <c r="B2464" t="str">
        <f>"15235698422"</f>
        <v>15235698422</v>
      </c>
      <c r="C2464" t="s">
        <v>1</v>
      </c>
      <c r="D2464" t="s">
        <v>1</v>
      </c>
      <c r="E2464" t="s">
        <v>1</v>
      </c>
      <c r="F2464" t="s">
        <v>0</v>
      </c>
      <c r="G2464" t="str">
        <f>"2018-10-18 14:00:09"</f>
        <v>2018-10-18 14:00:09</v>
      </c>
    </row>
    <row r="2465" spans="1:7" x14ac:dyDescent="0.2">
      <c r="A2465" t="s">
        <v>4031</v>
      </c>
      <c r="B2465" t="str">
        <f>"18791874513"</f>
        <v>18791874513</v>
      </c>
      <c r="C2465" t="str">
        <f>"610327198203123112"</f>
        <v>610327198203123112</v>
      </c>
      <c r="D2465" t="s">
        <v>1</v>
      </c>
      <c r="E2465" t="s">
        <v>1</v>
      </c>
      <c r="F2465" t="s">
        <v>0</v>
      </c>
      <c r="G2465" t="str">
        <f>"2018-10-18 14:02:38"</f>
        <v>2018-10-18 14:02:38</v>
      </c>
    </row>
    <row r="2466" spans="1:7" x14ac:dyDescent="0.2">
      <c r="A2466" t="s">
        <v>4032</v>
      </c>
      <c r="B2466" t="str">
        <f>"18660395411"</f>
        <v>18660395411</v>
      </c>
      <c r="C2466" t="str">
        <f>"371482198602185135"</f>
        <v>371482198602185135</v>
      </c>
      <c r="D2466" t="s">
        <v>1</v>
      </c>
      <c r="E2466" t="s">
        <v>1</v>
      </c>
      <c r="F2466" t="s">
        <v>0</v>
      </c>
      <c r="G2466" t="str">
        <f>"2018-10-18 14:00:22"</f>
        <v>2018-10-18 14:00:22</v>
      </c>
    </row>
    <row r="2467" spans="1:7" x14ac:dyDescent="0.2">
      <c r="A2467" t="s">
        <v>4033</v>
      </c>
      <c r="B2467" t="str">
        <f>"15908851487"</f>
        <v>15908851487</v>
      </c>
      <c r="C2467" t="str">
        <f>"530129199710082358"</f>
        <v>530129199710082358</v>
      </c>
      <c r="D2467" t="s">
        <v>1</v>
      </c>
      <c r="E2467" t="s">
        <v>1</v>
      </c>
      <c r="F2467" t="s">
        <v>0</v>
      </c>
      <c r="G2467" t="str">
        <f>"2018-10-18 14:00:26"</f>
        <v>2018-10-18 14:00:26</v>
      </c>
    </row>
    <row r="2468" spans="1:7" x14ac:dyDescent="0.2">
      <c r="A2468" t="s">
        <v>1</v>
      </c>
      <c r="B2468" t="str">
        <f>"15040339292"</f>
        <v>15040339292</v>
      </c>
      <c r="C2468" t="s">
        <v>1</v>
      </c>
      <c r="D2468" t="s">
        <v>1</v>
      </c>
      <c r="E2468" t="s">
        <v>1</v>
      </c>
      <c r="F2468" t="s">
        <v>0</v>
      </c>
      <c r="G2468" t="str">
        <f>"2018-10-18 13:57:50"</f>
        <v>2018-10-18 13:57:50</v>
      </c>
    </row>
    <row r="2469" spans="1:7" x14ac:dyDescent="0.2">
      <c r="A2469" t="s">
        <v>1</v>
      </c>
      <c r="B2469" t="str">
        <f>"13505695311"</f>
        <v>13505695311</v>
      </c>
      <c r="C2469" t="s">
        <v>1</v>
      </c>
      <c r="D2469" t="s">
        <v>1</v>
      </c>
      <c r="E2469" t="s">
        <v>1</v>
      </c>
      <c r="F2469" t="s">
        <v>0</v>
      </c>
      <c r="G2469" t="str">
        <f>"2018-10-18 14:01:04"</f>
        <v>2018-10-18 14:01:04</v>
      </c>
    </row>
    <row r="2470" spans="1:7" x14ac:dyDescent="0.2">
      <c r="A2470" t="s">
        <v>4034</v>
      </c>
      <c r="B2470" t="str">
        <f>"18037999929"</f>
        <v>18037999929</v>
      </c>
      <c r="C2470" t="str">
        <f>"410328199802085510"</f>
        <v>410328199802085510</v>
      </c>
      <c r="D2470" t="s">
        <v>1</v>
      </c>
      <c r="E2470" t="s">
        <v>1</v>
      </c>
      <c r="F2470" t="s">
        <v>0</v>
      </c>
      <c r="G2470" t="str">
        <f>"2018-10-18 13:57:30"</f>
        <v>2018-10-18 13:57:30</v>
      </c>
    </row>
    <row r="2471" spans="1:7" x14ac:dyDescent="0.2">
      <c r="A2471" t="s">
        <v>4035</v>
      </c>
      <c r="B2471" t="str">
        <f>"13150222722"</f>
        <v>13150222722</v>
      </c>
      <c r="C2471" t="str">
        <f>"654221199107020035"</f>
        <v>654221199107020035</v>
      </c>
      <c r="D2471" t="s">
        <v>1</v>
      </c>
      <c r="E2471" t="s">
        <v>1</v>
      </c>
      <c r="F2471" t="s">
        <v>0</v>
      </c>
      <c r="G2471" t="str">
        <f>"2018-10-18 14:00:27"</f>
        <v>2018-10-18 14:00:27</v>
      </c>
    </row>
    <row r="2472" spans="1:7" x14ac:dyDescent="0.2">
      <c r="A2472" t="s">
        <v>4036</v>
      </c>
      <c r="B2472" t="str">
        <f>"13788897932"</f>
        <v>13788897932</v>
      </c>
      <c r="C2472" t="str">
        <f>"350125198403071110"</f>
        <v>350125198403071110</v>
      </c>
      <c r="D2472" t="s">
        <v>1</v>
      </c>
      <c r="E2472" t="s">
        <v>1</v>
      </c>
      <c r="F2472" t="s">
        <v>0</v>
      </c>
      <c r="G2472" t="str">
        <f>"2018-10-18 14:15:33"</f>
        <v>2018-10-18 14:15:33</v>
      </c>
    </row>
    <row r="2473" spans="1:7" x14ac:dyDescent="0.2">
      <c r="A2473" t="s">
        <v>1</v>
      </c>
      <c r="B2473" t="str">
        <f>"18285199311"</f>
        <v>18285199311</v>
      </c>
      <c r="C2473" t="s">
        <v>1</v>
      </c>
      <c r="D2473" t="s">
        <v>1</v>
      </c>
      <c r="E2473" t="s">
        <v>1</v>
      </c>
      <c r="F2473" t="s">
        <v>0</v>
      </c>
      <c r="G2473" t="str">
        <f>"2018-10-18 13:56:23"</f>
        <v>2018-10-18 13:56:23</v>
      </c>
    </row>
    <row r="2474" spans="1:7" x14ac:dyDescent="0.2">
      <c r="A2474" t="s">
        <v>1</v>
      </c>
      <c r="B2474" t="str">
        <f>"15911141599"</f>
        <v>15911141599</v>
      </c>
      <c r="C2474" t="s">
        <v>1</v>
      </c>
      <c r="D2474" t="s">
        <v>1</v>
      </c>
      <c r="E2474" t="s">
        <v>1</v>
      </c>
      <c r="F2474" t="s">
        <v>0</v>
      </c>
      <c r="G2474" t="str">
        <f>"2018-10-19 12:32:26"</f>
        <v>2018-10-19 12:32:26</v>
      </c>
    </row>
    <row r="2475" spans="1:7" x14ac:dyDescent="0.2">
      <c r="A2475" t="s">
        <v>1</v>
      </c>
      <c r="B2475" t="str">
        <f>"18392781014"</f>
        <v>18392781014</v>
      </c>
      <c r="C2475" t="s">
        <v>1</v>
      </c>
      <c r="D2475" t="s">
        <v>1</v>
      </c>
      <c r="E2475" t="s">
        <v>1</v>
      </c>
      <c r="F2475" t="s">
        <v>0</v>
      </c>
      <c r="G2475" t="str">
        <f>"2018-10-18 13:55:58"</f>
        <v>2018-10-18 13:55:58</v>
      </c>
    </row>
    <row r="2476" spans="1:7" x14ac:dyDescent="0.2">
      <c r="A2476" t="s">
        <v>1</v>
      </c>
      <c r="B2476" t="str">
        <f>"15991430917"</f>
        <v>15991430917</v>
      </c>
      <c r="C2476" t="s">
        <v>1</v>
      </c>
      <c r="D2476" t="s">
        <v>1</v>
      </c>
      <c r="E2476" t="s">
        <v>1</v>
      </c>
      <c r="F2476" t="s">
        <v>0</v>
      </c>
      <c r="G2476" t="str">
        <f>"2018-10-18 13:55:43"</f>
        <v>2018-10-18 13:55:43</v>
      </c>
    </row>
    <row r="2477" spans="1:7" x14ac:dyDescent="0.2">
      <c r="A2477" t="s">
        <v>4037</v>
      </c>
      <c r="B2477" t="str">
        <f>"15808739053"</f>
        <v>15808739053</v>
      </c>
      <c r="C2477" t="str">
        <f>"532501199306201236"</f>
        <v>532501199306201236</v>
      </c>
      <c r="D2477" t="s">
        <v>4038</v>
      </c>
      <c r="E2477" t="s">
        <v>4039</v>
      </c>
      <c r="F2477" t="s">
        <v>0</v>
      </c>
      <c r="G2477" t="str">
        <f>"2018-10-18 13:57:45"</f>
        <v>2018-10-18 13:57:45</v>
      </c>
    </row>
    <row r="2478" spans="1:7" x14ac:dyDescent="0.2">
      <c r="A2478" t="s">
        <v>4040</v>
      </c>
      <c r="B2478" t="str">
        <f>"13580689214"</f>
        <v>13580689214</v>
      </c>
      <c r="C2478" t="str">
        <f>"44078419940108331X"</f>
        <v>44078419940108331X</v>
      </c>
      <c r="D2478" t="s">
        <v>1</v>
      </c>
      <c r="E2478" t="s">
        <v>1</v>
      </c>
      <c r="F2478" t="s">
        <v>0</v>
      </c>
      <c r="G2478" t="str">
        <f>"2018-10-18 13:59:00"</f>
        <v>2018-10-18 13:59:00</v>
      </c>
    </row>
    <row r="2479" spans="1:7" x14ac:dyDescent="0.2">
      <c r="A2479" t="s">
        <v>1</v>
      </c>
      <c r="B2479" t="str">
        <f>"18103463330"</f>
        <v>18103463330</v>
      </c>
      <c r="C2479" t="s">
        <v>1</v>
      </c>
      <c r="D2479" t="s">
        <v>1</v>
      </c>
      <c r="E2479" t="s">
        <v>1</v>
      </c>
      <c r="F2479" t="s">
        <v>0</v>
      </c>
      <c r="G2479" t="str">
        <f>"2018-10-18 13:55:16"</f>
        <v>2018-10-18 13:55:16</v>
      </c>
    </row>
    <row r="2480" spans="1:7" x14ac:dyDescent="0.2">
      <c r="A2480" t="s">
        <v>1</v>
      </c>
      <c r="B2480" t="str">
        <f>"18868151927"</f>
        <v>18868151927</v>
      </c>
      <c r="C2480" t="s">
        <v>1</v>
      </c>
      <c r="D2480" t="s">
        <v>1</v>
      </c>
      <c r="E2480" t="s">
        <v>1</v>
      </c>
      <c r="F2480" t="s">
        <v>0</v>
      </c>
      <c r="G2480" t="str">
        <f>"2018-10-18 13:55:00"</f>
        <v>2018-10-18 13:55:00</v>
      </c>
    </row>
    <row r="2481" spans="1:7" x14ac:dyDescent="0.2">
      <c r="A2481" t="s">
        <v>4041</v>
      </c>
      <c r="B2481" t="str">
        <f>"15152213102"</f>
        <v>15152213102</v>
      </c>
      <c r="C2481" t="str">
        <f>"320723199003202280"</f>
        <v>320723199003202280</v>
      </c>
      <c r="D2481" t="s">
        <v>1</v>
      </c>
      <c r="E2481" t="s">
        <v>1</v>
      </c>
      <c r="F2481" t="s">
        <v>0</v>
      </c>
      <c r="G2481" t="str">
        <f>"2018-10-18 14:08:15"</f>
        <v>2018-10-18 14:08:15</v>
      </c>
    </row>
    <row r="2482" spans="1:7" x14ac:dyDescent="0.2">
      <c r="A2482" t="s">
        <v>537</v>
      </c>
      <c r="B2482" t="str">
        <f>"13841621321"</f>
        <v>13841621321</v>
      </c>
      <c r="C2482" t="str">
        <f>"210702198707230210"</f>
        <v>210702198707230210</v>
      </c>
      <c r="D2482" t="s">
        <v>4042</v>
      </c>
      <c r="E2482" t="s">
        <v>4043</v>
      </c>
      <c r="F2482" t="s">
        <v>0</v>
      </c>
      <c r="G2482" t="str">
        <f>"2018-10-18 13:57:20"</f>
        <v>2018-10-18 13:57:20</v>
      </c>
    </row>
    <row r="2483" spans="1:7" x14ac:dyDescent="0.2">
      <c r="A2483" t="s">
        <v>4044</v>
      </c>
      <c r="B2483" t="str">
        <f>"15198606104"</f>
        <v>15198606104</v>
      </c>
      <c r="C2483" t="str">
        <f>"533523200010142657"</f>
        <v>533523200010142657</v>
      </c>
      <c r="D2483" t="s">
        <v>1</v>
      </c>
      <c r="E2483" t="s">
        <v>1</v>
      </c>
      <c r="F2483" t="s">
        <v>0</v>
      </c>
      <c r="G2483" t="str">
        <f>"2018-10-18 14:01:42"</f>
        <v>2018-10-18 14:01:42</v>
      </c>
    </row>
    <row r="2484" spans="1:7" x14ac:dyDescent="0.2">
      <c r="A2484" t="s">
        <v>4045</v>
      </c>
      <c r="B2484" t="str">
        <f>"13345593670"</f>
        <v>13345593670</v>
      </c>
      <c r="C2484" t="str">
        <f>"341021198205037411"</f>
        <v>341021198205037411</v>
      </c>
      <c r="D2484" t="s">
        <v>1</v>
      </c>
      <c r="E2484" t="s">
        <v>1</v>
      </c>
      <c r="F2484" t="s">
        <v>0</v>
      </c>
      <c r="G2484" t="str">
        <f>"2018-10-18 13:56:07"</f>
        <v>2018-10-18 13:56:07</v>
      </c>
    </row>
    <row r="2485" spans="1:7" x14ac:dyDescent="0.2">
      <c r="A2485" t="s">
        <v>1</v>
      </c>
      <c r="B2485" t="str">
        <f>"15264261619"</f>
        <v>15264261619</v>
      </c>
      <c r="C2485" t="s">
        <v>1</v>
      </c>
      <c r="D2485" t="s">
        <v>1</v>
      </c>
      <c r="E2485" t="s">
        <v>1</v>
      </c>
      <c r="F2485" t="s">
        <v>0</v>
      </c>
      <c r="G2485" t="str">
        <f>"2018-10-21 11:58:24"</f>
        <v>2018-10-21 11:58:24</v>
      </c>
    </row>
    <row r="2486" spans="1:7" x14ac:dyDescent="0.2">
      <c r="A2486" t="s">
        <v>4046</v>
      </c>
      <c r="B2486" t="str">
        <f>"18177382750"</f>
        <v>18177382750</v>
      </c>
      <c r="C2486" t="str">
        <f>"450322198410266018"</f>
        <v>450322198410266018</v>
      </c>
      <c r="D2486" t="s">
        <v>4047</v>
      </c>
      <c r="E2486" t="s">
        <v>4048</v>
      </c>
      <c r="F2486" t="s">
        <v>0</v>
      </c>
      <c r="G2486" t="str">
        <f>"2018-10-18 13:54:53"</f>
        <v>2018-10-18 13:54:53</v>
      </c>
    </row>
    <row r="2487" spans="1:7" x14ac:dyDescent="0.2">
      <c r="A2487" t="s">
        <v>4049</v>
      </c>
      <c r="B2487" t="str">
        <f>"18841203759"</f>
        <v>18841203759</v>
      </c>
      <c r="C2487" t="str">
        <f>"210311199601021524"</f>
        <v>210311199601021524</v>
      </c>
      <c r="D2487" t="s">
        <v>1</v>
      </c>
      <c r="E2487" t="s">
        <v>1</v>
      </c>
      <c r="F2487" t="s">
        <v>0</v>
      </c>
      <c r="G2487" t="str">
        <f>"2018-10-18 13:55:26"</f>
        <v>2018-10-18 13:55:26</v>
      </c>
    </row>
    <row r="2488" spans="1:7" x14ac:dyDescent="0.2">
      <c r="A2488" t="s">
        <v>4050</v>
      </c>
      <c r="B2488" t="str">
        <f>"13180511228"</f>
        <v>13180511228</v>
      </c>
      <c r="C2488" t="str">
        <f>"130429199412282636"</f>
        <v>130429199412282636</v>
      </c>
      <c r="D2488" t="s">
        <v>1</v>
      </c>
      <c r="E2488" t="s">
        <v>1</v>
      </c>
      <c r="F2488" t="s">
        <v>0</v>
      </c>
      <c r="G2488" t="str">
        <f>"2018-10-18 13:54:59"</f>
        <v>2018-10-18 13:54:59</v>
      </c>
    </row>
    <row r="2489" spans="1:7" x14ac:dyDescent="0.2">
      <c r="A2489" t="s">
        <v>4051</v>
      </c>
      <c r="B2489" t="str">
        <f>"18259118801"</f>
        <v>18259118801</v>
      </c>
      <c r="C2489" t="str">
        <f>"350122197512145461"</f>
        <v>350122197512145461</v>
      </c>
      <c r="D2489" t="s">
        <v>1</v>
      </c>
      <c r="E2489" t="s">
        <v>1</v>
      </c>
      <c r="F2489" t="s">
        <v>0</v>
      </c>
      <c r="G2489" t="str">
        <f>"2018-10-18 13:53:06"</f>
        <v>2018-10-18 13:53:06</v>
      </c>
    </row>
    <row r="2490" spans="1:7" x14ac:dyDescent="0.2">
      <c r="A2490" t="s">
        <v>4052</v>
      </c>
      <c r="B2490" t="str">
        <f>"18702493953"</f>
        <v>18702493953</v>
      </c>
      <c r="C2490" t="str">
        <f>"520221199804060646"</f>
        <v>520221199804060646</v>
      </c>
      <c r="D2490" t="s">
        <v>1</v>
      </c>
      <c r="E2490" t="s">
        <v>1</v>
      </c>
      <c r="F2490" t="s">
        <v>0</v>
      </c>
      <c r="G2490" t="str">
        <f>"2018-10-18 13:53:19"</f>
        <v>2018-10-18 13:53:19</v>
      </c>
    </row>
    <row r="2491" spans="1:7" x14ac:dyDescent="0.2">
      <c r="A2491" t="s">
        <v>4053</v>
      </c>
      <c r="B2491" t="str">
        <f>"15834439018"</f>
        <v>15834439018</v>
      </c>
      <c r="C2491" t="str">
        <f>"220322197205147119"</f>
        <v>220322197205147119</v>
      </c>
      <c r="D2491" t="s">
        <v>1</v>
      </c>
      <c r="E2491" t="s">
        <v>1</v>
      </c>
      <c r="F2491" t="s">
        <v>0</v>
      </c>
      <c r="G2491" t="str">
        <f>"2018-10-18 13:56:50"</f>
        <v>2018-10-18 13:56:50</v>
      </c>
    </row>
    <row r="2492" spans="1:7" x14ac:dyDescent="0.2">
      <c r="A2492" t="s">
        <v>4054</v>
      </c>
      <c r="B2492" t="str">
        <f>"18660294123"</f>
        <v>18660294123</v>
      </c>
      <c r="C2492" t="str">
        <f>"370283198904071517"</f>
        <v>370283198904071517</v>
      </c>
      <c r="D2492" t="s">
        <v>4055</v>
      </c>
      <c r="E2492" t="s">
        <v>4056</v>
      </c>
      <c r="F2492" t="s">
        <v>0</v>
      </c>
      <c r="G2492" t="str">
        <f>"2018-10-18 13:50:43"</f>
        <v>2018-10-18 13:50:43</v>
      </c>
    </row>
    <row r="2493" spans="1:7" x14ac:dyDescent="0.2">
      <c r="A2493" t="s">
        <v>4057</v>
      </c>
      <c r="B2493" t="str">
        <f>"17680719434"</f>
        <v>17680719434</v>
      </c>
      <c r="C2493" t="str">
        <f>"522424199803074810"</f>
        <v>522424199803074810</v>
      </c>
      <c r="D2493" t="s">
        <v>1</v>
      </c>
      <c r="E2493" t="s">
        <v>1</v>
      </c>
      <c r="F2493" t="s">
        <v>0</v>
      </c>
      <c r="G2493" t="str">
        <f>"2018-10-18 13:50:37"</f>
        <v>2018-10-18 13:50:37</v>
      </c>
    </row>
    <row r="2494" spans="1:7" x14ac:dyDescent="0.2">
      <c r="A2494" t="s">
        <v>4058</v>
      </c>
      <c r="B2494" t="str">
        <f>"13607869311"</f>
        <v>13607869311</v>
      </c>
      <c r="C2494" t="str">
        <f>"45010619781019154X"</f>
        <v>45010619781019154X</v>
      </c>
      <c r="D2494" t="s">
        <v>1</v>
      </c>
      <c r="E2494" t="s">
        <v>1</v>
      </c>
      <c r="F2494" t="s">
        <v>0</v>
      </c>
      <c r="G2494" t="str">
        <f>"2018-10-18 14:01:47"</f>
        <v>2018-10-18 14:01:47</v>
      </c>
    </row>
    <row r="2495" spans="1:7" x14ac:dyDescent="0.2">
      <c r="A2495" t="s">
        <v>759</v>
      </c>
      <c r="B2495" t="str">
        <f>"17640646880"</f>
        <v>17640646880</v>
      </c>
      <c r="C2495" t="str">
        <f>"211402199507160421"</f>
        <v>211402199507160421</v>
      </c>
      <c r="D2495" t="s">
        <v>1</v>
      </c>
      <c r="E2495" t="s">
        <v>1</v>
      </c>
      <c r="F2495" t="s">
        <v>0</v>
      </c>
      <c r="G2495" t="str">
        <f>"2018-10-18 13:52:43"</f>
        <v>2018-10-18 13:52:43</v>
      </c>
    </row>
    <row r="2496" spans="1:7" x14ac:dyDescent="0.2">
      <c r="A2496" t="s">
        <v>4059</v>
      </c>
      <c r="B2496" t="str">
        <f>"15919109303"</f>
        <v>15919109303</v>
      </c>
      <c r="C2496" t="str">
        <f>"510823198408225671"</f>
        <v>510823198408225671</v>
      </c>
      <c r="D2496" t="s">
        <v>1</v>
      </c>
      <c r="E2496" t="s">
        <v>1</v>
      </c>
      <c r="F2496" t="s">
        <v>0</v>
      </c>
      <c r="G2496" t="str">
        <f>"2018-10-18 14:05:05"</f>
        <v>2018-10-18 14:05:05</v>
      </c>
    </row>
    <row r="2497" spans="1:7" x14ac:dyDescent="0.2">
      <c r="A2497" t="s">
        <v>1</v>
      </c>
      <c r="B2497" t="str">
        <f>"15284870473"</f>
        <v>15284870473</v>
      </c>
      <c r="C2497" t="s">
        <v>1</v>
      </c>
      <c r="D2497" t="s">
        <v>1</v>
      </c>
      <c r="E2497" t="s">
        <v>1</v>
      </c>
      <c r="F2497" t="s">
        <v>0</v>
      </c>
      <c r="G2497" t="str">
        <f>"2018-10-18 13:49:59"</f>
        <v>2018-10-18 13:49:59</v>
      </c>
    </row>
    <row r="2498" spans="1:7" x14ac:dyDescent="0.2">
      <c r="A2498" t="s">
        <v>4060</v>
      </c>
      <c r="B2498" t="str">
        <f>"18617219927"</f>
        <v>18617219927</v>
      </c>
      <c r="C2498" t="str">
        <f>"411528198303063752"</f>
        <v>411528198303063752</v>
      </c>
      <c r="D2498" t="s">
        <v>1</v>
      </c>
      <c r="E2498" t="s">
        <v>1</v>
      </c>
      <c r="F2498" t="s">
        <v>0</v>
      </c>
      <c r="G2498" t="str">
        <f>"2018-10-18 13:59:59"</f>
        <v>2018-10-18 13:59:59</v>
      </c>
    </row>
    <row r="2499" spans="1:7" x14ac:dyDescent="0.2">
      <c r="A2499" t="s">
        <v>1</v>
      </c>
      <c r="B2499" t="str">
        <f>"13831622647"</f>
        <v>13831622647</v>
      </c>
      <c r="C2499" t="s">
        <v>1</v>
      </c>
      <c r="D2499" t="s">
        <v>1</v>
      </c>
      <c r="E2499" t="s">
        <v>1</v>
      </c>
      <c r="F2499" t="s">
        <v>0</v>
      </c>
      <c r="G2499" t="str">
        <f>"2018-10-18 13:51:10"</f>
        <v>2018-10-18 13:51:10</v>
      </c>
    </row>
    <row r="2500" spans="1:7" x14ac:dyDescent="0.2">
      <c r="A2500" t="s">
        <v>4061</v>
      </c>
      <c r="B2500" t="str">
        <f>"13028259575"</f>
        <v>13028259575</v>
      </c>
      <c r="C2500" t="str">
        <f>"210502198602090329"</f>
        <v>210502198602090329</v>
      </c>
      <c r="D2500" t="s">
        <v>1</v>
      </c>
      <c r="E2500" t="s">
        <v>1</v>
      </c>
      <c r="F2500" t="s">
        <v>0</v>
      </c>
      <c r="G2500" t="str">
        <f>"2018-10-18 13:48:38"</f>
        <v>2018-10-18 13:48:38</v>
      </c>
    </row>
    <row r="2501" spans="1:7" x14ac:dyDescent="0.2">
      <c r="A2501" t="s">
        <v>1</v>
      </c>
      <c r="B2501" t="str">
        <f>"18696216881"</f>
        <v>18696216881</v>
      </c>
      <c r="C2501" t="s">
        <v>1</v>
      </c>
      <c r="D2501" t="s">
        <v>1</v>
      </c>
      <c r="E2501" t="s">
        <v>1</v>
      </c>
      <c r="F2501" t="s">
        <v>0</v>
      </c>
      <c r="G2501" t="str">
        <f>"2018-10-18 13:48:29"</f>
        <v>2018-10-18 13:48:29</v>
      </c>
    </row>
    <row r="2502" spans="1:7" x14ac:dyDescent="0.2">
      <c r="A2502" t="s">
        <v>4062</v>
      </c>
      <c r="B2502" t="str">
        <f>"17865357216"</f>
        <v>17865357216</v>
      </c>
      <c r="C2502" t="str">
        <f>"141033199504200015"</f>
        <v>141033199504200015</v>
      </c>
      <c r="D2502" t="s">
        <v>1</v>
      </c>
      <c r="E2502" t="s">
        <v>1</v>
      </c>
      <c r="F2502" t="s">
        <v>0</v>
      </c>
      <c r="G2502" t="str">
        <f>"2018-10-18 13:54:06"</f>
        <v>2018-10-18 13:54:06</v>
      </c>
    </row>
    <row r="2503" spans="1:7" x14ac:dyDescent="0.2">
      <c r="A2503" t="s">
        <v>1</v>
      </c>
      <c r="B2503" t="str">
        <f>"15680628314"</f>
        <v>15680628314</v>
      </c>
      <c r="C2503" t="s">
        <v>1</v>
      </c>
      <c r="D2503" t="s">
        <v>1</v>
      </c>
      <c r="E2503" t="s">
        <v>1</v>
      </c>
      <c r="F2503" t="s">
        <v>0</v>
      </c>
      <c r="G2503" t="str">
        <f>"2018-10-18 13:47:46"</f>
        <v>2018-10-18 13:47:46</v>
      </c>
    </row>
    <row r="2504" spans="1:7" x14ac:dyDescent="0.2">
      <c r="A2504" t="s">
        <v>1</v>
      </c>
      <c r="B2504" t="str">
        <f>"15278416066"</f>
        <v>15278416066</v>
      </c>
      <c r="C2504" t="s">
        <v>1</v>
      </c>
      <c r="D2504" t="s">
        <v>1</v>
      </c>
      <c r="E2504" t="s">
        <v>1</v>
      </c>
      <c r="F2504" t="s">
        <v>0</v>
      </c>
      <c r="G2504" t="str">
        <f>"2018-10-18 13:47:26"</f>
        <v>2018-10-18 13:47:26</v>
      </c>
    </row>
    <row r="2505" spans="1:7" x14ac:dyDescent="0.2">
      <c r="A2505" t="s">
        <v>1</v>
      </c>
      <c r="B2505" t="str">
        <f>"15665836650"</f>
        <v>15665836650</v>
      </c>
      <c r="C2505" t="s">
        <v>1</v>
      </c>
      <c r="D2505" t="s">
        <v>1</v>
      </c>
      <c r="E2505" t="s">
        <v>1</v>
      </c>
      <c r="F2505" t="s">
        <v>0</v>
      </c>
      <c r="G2505" t="str">
        <f>"2018-10-18 13:47:23"</f>
        <v>2018-10-18 13:47:23</v>
      </c>
    </row>
    <row r="2506" spans="1:7" x14ac:dyDescent="0.2">
      <c r="A2506" t="s">
        <v>4063</v>
      </c>
      <c r="B2506" t="str">
        <f>"13821205578"</f>
        <v>13821205578</v>
      </c>
      <c r="C2506" t="str">
        <f>"120101196306050534"</f>
        <v>120101196306050534</v>
      </c>
      <c r="D2506" t="s">
        <v>1</v>
      </c>
      <c r="E2506" t="s">
        <v>1</v>
      </c>
      <c r="F2506" t="s">
        <v>0</v>
      </c>
      <c r="G2506" t="str">
        <f>"2018-10-18 13:49:10"</f>
        <v>2018-10-18 13:49:10</v>
      </c>
    </row>
    <row r="2507" spans="1:7" x14ac:dyDescent="0.2">
      <c r="A2507" t="s">
        <v>4064</v>
      </c>
      <c r="B2507" t="str">
        <f>"15981260446"</f>
        <v>15981260446</v>
      </c>
      <c r="C2507" t="str">
        <f>"220281199603264226"</f>
        <v>220281199603264226</v>
      </c>
      <c r="D2507" t="s">
        <v>1</v>
      </c>
      <c r="E2507" t="s">
        <v>1</v>
      </c>
      <c r="F2507" t="s">
        <v>0</v>
      </c>
      <c r="G2507" t="str">
        <f>"2018-10-26 11:59:27"</f>
        <v>2018-10-26 11:59:27</v>
      </c>
    </row>
    <row r="2508" spans="1:7" x14ac:dyDescent="0.2">
      <c r="A2508" t="s">
        <v>4065</v>
      </c>
      <c r="B2508" t="str">
        <f>"15393060073"</f>
        <v>15393060073</v>
      </c>
      <c r="C2508" t="str">
        <f>"620503198711122628"</f>
        <v>620503198711122628</v>
      </c>
      <c r="D2508" t="s">
        <v>1</v>
      </c>
      <c r="E2508" t="s">
        <v>1</v>
      </c>
      <c r="F2508" t="s">
        <v>0</v>
      </c>
      <c r="G2508" t="str">
        <f>"2018-10-18 13:47:08"</f>
        <v>2018-10-18 13:47:08</v>
      </c>
    </row>
    <row r="2509" spans="1:7" x14ac:dyDescent="0.2">
      <c r="A2509" t="s">
        <v>4066</v>
      </c>
      <c r="B2509" t="str">
        <f>"13569181781"</f>
        <v>13569181781</v>
      </c>
      <c r="C2509" t="str">
        <f>"410822198110105546"</f>
        <v>410822198110105546</v>
      </c>
      <c r="D2509" t="s">
        <v>1</v>
      </c>
      <c r="E2509" t="s">
        <v>1</v>
      </c>
      <c r="F2509" t="s">
        <v>0</v>
      </c>
      <c r="G2509" t="str">
        <f>"2018-10-19 08:38:21"</f>
        <v>2018-10-19 08:38:21</v>
      </c>
    </row>
    <row r="2510" spans="1:7" x14ac:dyDescent="0.2">
      <c r="A2510" t="s">
        <v>4067</v>
      </c>
      <c r="B2510" t="str">
        <f>"13952342400"</f>
        <v>13952342400</v>
      </c>
      <c r="C2510" t="str">
        <f>"321323198808024973"</f>
        <v>321323198808024973</v>
      </c>
      <c r="D2510" t="s">
        <v>4068</v>
      </c>
      <c r="E2510" t="s">
        <v>4069</v>
      </c>
      <c r="F2510" t="s">
        <v>0</v>
      </c>
      <c r="G2510" t="str">
        <f>"2018-10-18 13:47:15"</f>
        <v>2018-10-18 13:47:15</v>
      </c>
    </row>
    <row r="2511" spans="1:7" x14ac:dyDescent="0.2">
      <c r="A2511" t="s">
        <v>1</v>
      </c>
      <c r="B2511" t="str">
        <f>"15096488854"</f>
        <v>15096488854</v>
      </c>
      <c r="C2511" t="s">
        <v>1</v>
      </c>
      <c r="D2511" t="s">
        <v>1</v>
      </c>
      <c r="E2511" t="s">
        <v>1</v>
      </c>
      <c r="F2511" t="s">
        <v>0</v>
      </c>
      <c r="G2511" t="str">
        <f>"2018-10-18 13:50:53"</f>
        <v>2018-10-18 13:50:53</v>
      </c>
    </row>
    <row r="2512" spans="1:7" x14ac:dyDescent="0.2">
      <c r="A2512" t="s">
        <v>4070</v>
      </c>
      <c r="B2512" t="str">
        <f>"13586228973"</f>
        <v>13586228973</v>
      </c>
      <c r="C2512" t="str">
        <f>"331081198201300870"</f>
        <v>331081198201300870</v>
      </c>
      <c r="D2512" t="s">
        <v>1</v>
      </c>
      <c r="E2512" t="s">
        <v>1</v>
      </c>
      <c r="F2512" t="s">
        <v>0</v>
      </c>
      <c r="G2512" t="str">
        <f>"2018-10-18 13:49:37"</f>
        <v>2018-10-18 13:49:37</v>
      </c>
    </row>
    <row r="2513" spans="1:7" x14ac:dyDescent="0.2">
      <c r="A2513" t="s">
        <v>4071</v>
      </c>
      <c r="B2513" t="str">
        <f>"13408854409"</f>
        <v>13408854409</v>
      </c>
      <c r="C2513" t="str">
        <f>"532101198910062010"</f>
        <v>532101198910062010</v>
      </c>
      <c r="D2513" t="s">
        <v>1</v>
      </c>
      <c r="E2513" t="s">
        <v>1</v>
      </c>
      <c r="F2513" t="s">
        <v>0</v>
      </c>
      <c r="G2513" t="str">
        <f>"2018-10-18 13:45:17"</f>
        <v>2018-10-18 13:45:17</v>
      </c>
    </row>
    <row r="2514" spans="1:7" x14ac:dyDescent="0.2">
      <c r="A2514" t="s">
        <v>4072</v>
      </c>
      <c r="B2514" t="str">
        <f>"15042222276"</f>
        <v>15042222276</v>
      </c>
      <c r="C2514" t="str">
        <f>"210381199002101337"</f>
        <v>210381199002101337</v>
      </c>
      <c r="D2514" t="s">
        <v>1</v>
      </c>
      <c r="E2514" t="s">
        <v>1</v>
      </c>
      <c r="F2514" t="s">
        <v>0</v>
      </c>
      <c r="G2514" t="str">
        <f>"2018-10-19 02:50:13"</f>
        <v>2018-10-19 02:50:13</v>
      </c>
    </row>
    <row r="2515" spans="1:7" x14ac:dyDescent="0.2">
      <c r="A2515" t="s">
        <v>4073</v>
      </c>
      <c r="B2515" t="str">
        <f>"15203633370"</f>
        <v>15203633370</v>
      </c>
      <c r="C2515" t="str">
        <f>"469025199602184516"</f>
        <v>469025199602184516</v>
      </c>
      <c r="D2515" t="s">
        <v>1</v>
      </c>
      <c r="E2515" t="s">
        <v>1</v>
      </c>
      <c r="F2515" t="s">
        <v>0</v>
      </c>
      <c r="G2515" t="str">
        <f>"2018-10-18 13:44:27"</f>
        <v>2018-10-18 13:44:27</v>
      </c>
    </row>
    <row r="2516" spans="1:7" x14ac:dyDescent="0.2">
      <c r="A2516" t="s">
        <v>1</v>
      </c>
      <c r="B2516" t="str">
        <f>"13991921988"</f>
        <v>13991921988</v>
      </c>
      <c r="C2516" t="s">
        <v>1</v>
      </c>
      <c r="D2516" t="s">
        <v>1</v>
      </c>
      <c r="E2516" t="s">
        <v>1</v>
      </c>
      <c r="F2516" t="s">
        <v>0</v>
      </c>
      <c r="G2516" t="str">
        <f>"2018-10-18 13:42:39"</f>
        <v>2018-10-18 13:42:39</v>
      </c>
    </row>
    <row r="2517" spans="1:7" x14ac:dyDescent="0.2">
      <c r="A2517" t="s">
        <v>4074</v>
      </c>
      <c r="B2517" t="str">
        <f>"15886715821"</f>
        <v>15886715821</v>
      </c>
      <c r="C2517" t="str">
        <f>"410425199310242037"</f>
        <v>410425199310242037</v>
      </c>
      <c r="D2517" t="s">
        <v>1</v>
      </c>
      <c r="E2517" t="s">
        <v>1</v>
      </c>
      <c r="F2517" t="s">
        <v>0</v>
      </c>
      <c r="G2517" t="str">
        <f>"2018-10-21 01:36:26"</f>
        <v>2018-10-21 01:36:26</v>
      </c>
    </row>
    <row r="2518" spans="1:7" x14ac:dyDescent="0.2">
      <c r="A2518" t="s">
        <v>1262</v>
      </c>
      <c r="B2518" t="str">
        <f>"13011990269"</f>
        <v>13011990269</v>
      </c>
      <c r="C2518" t="str">
        <f>"131128198408203310"</f>
        <v>131128198408203310</v>
      </c>
      <c r="D2518" t="s">
        <v>4075</v>
      </c>
      <c r="E2518" t="s">
        <v>4076</v>
      </c>
      <c r="F2518" t="s">
        <v>0</v>
      </c>
      <c r="G2518" t="str">
        <f>"2018-10-23 09:14:05"</f>
        <v>2018-10-23 09:14:05</v>
      </c>
    </row>
    <row r="2519" spans="1:7" x14ac:dyDescent="0.2">
      <c r="A2519" t="s">
        <v>4077</v>
      </c>
      <c r="B2519" t="str">
        <f>"13511393002"</f>
        <v>13511393002</v>
      </c>
      <c r="C2519" t="str">
        <f>"420525199605271422"</f>
        <v>420525199605271422</v>
      </c>
      <c r="D2519" t="s">
        <v>1</v>
      </c>
      <c r="E2519" t="s">
        <v>1</v>
      </c>
      <c r="F2519" t="s">
        <v>0</v>
      </c>
      <c r="G2519" t="str">
        <f>"2018-10-18 13:43:55"</f>
        <v>2018-10-18 13:43:55</v>
      </c>
    </row>
    <row r="2520" spans="1:7" x14ac:dyDescent="0.2">
      <c r="A2520" t="s">
        <v>4078</v>
      </c>
      <c r="B2520" t="str">
        <f>"15000508620"</f>
        <v>15000508620</v>
      </c>
      <c r="C2520" t="str">
        <f>"320502198508212516"</f>
        <v>320502198508212516</v>
      </c>
      <c r="D2520" t="s">
        <v>1</v>
      </c>
      <c r="E2520" t="s">
        <v>1</v>
      </c>
      <c r="F2520" t="s">
        <v>0</v>
      </c>
      <c r="G2520" t="str">
        <f>"2018-10-18 13:42:36"</f>
        <v>2018-10-18 13:42:36</v>
      </c>
    </row>
    <row r="2521" spans="1:7" x14ac:dyDescent="0.2">
      <c r="A2521" t="s">
        <v>4079</v>
      </c>
      <c r="B2521" t="str">
        <f>"17857221005"</f>
        <v>17857221005</v>
      </c>
      <c r="C2521" t="str">
        <f>"330324199901237262"</f>
        <v>330324199901237262</v>
      </c>
      <c r="D2521" t="s">
        <v>1</v>
      </c>
      <c r="E2521" t="s">
        <v>1</v>
      </c>
      <c r="F2521" t="s">
        <v>0</v>
      </c>
      <c r="G2521" t="str">
        <f>"2018-10-18 16:52:49"</f>
        <v>2018-10-18 16:52:49</v>
      </c>
    </row>
    <row r="2522" spans="1:7" x14ac:dyDescent="0.2">
      <c r="A2522" t="s">
        <v>1</v>
      </c>
      <c r="B2522" t="str">
        <f>"15901473742"</f>
        <v>15901473742</v>
      </c>
      <c r="C2522" t="s">
        <v>1</v>
      </c>
      <c r="D2522" t="s">
        <v>1</v>
      </c>
      <c r="E2522" t="s">
        <v>1</v>
      </c>
      <c r="F2522" t="s">
        <v>0</v>
      </c>
      <c r="G2522" t="str">
        <f>"2018-10-18 13:40:24"</f>
        <v>2018-10-18 13:40:24</v>
      </c>
    </row>
    <row r="2523" spans="1:7" x14ac:dyDescent="0.2">
      <c r="A2523" t="s">
        <v>4080</v>
      </c>
      <c r="B2523" t="str">
        <f>"13511255703"</f>
        <v>13511255703</v>
      </c>
      <c r="C2523" t="str">
        <f>"330521199805145212"</f>
        <v>330521199805145212</v>
      </c>
      <c r="D2523" t="s">
        <v>1</v>
      </c>
      <c r="E2523" t="s">
        <v>1</v>
      </c>
      <c r="F2523" t="s">
        <v>0</v>
      </c>
      <c r="G2523" t="str">
        <f>"2018-10-18 13:42:59"</f>
        <v>2018-10-18 13:42:59</v>
      </c>
    </row>
    <row r="2524" spans="1:7" x14ac:dyDescent="0.2">
      <c r="A2524" t="s">
        <v>4081</v>
      </c>
      <c r="B2524" t="str">
        <f>"15166813728"</f>
        <v>15166813728</v>
      </c>
      <c r="C2524" t="str">
        <f>"372301199010233430"</f>
        <v>372301199010233430</v>
      </c>
      <c r="D2524" t="s">
        <v>1</v>
      </c>
      <c r="E2524" t="s">
        <v>1</v>
      </c>
      <c r="F2524" t="s">
        <v>0</v>
      </c>
      <c r="G2524" t="str">
        <f>"2018-10-18 13:41:32"</f>
        <v>2018-10-18 13:41:32</v>
      </c>
    </row>
    <row r="2525" spans="1:7" x14ac:dyDescent="0.2">
      <c r="A2525" t="s">
        <v>4082</v>
      </c>
      <c r="B2525" t="str">
        <f>"13110079981"</f>
        <v>13110079981</v>
      </c>
      <c r="C2525" t="str">
        <f>"12011119950707351X"</f>
        <v>12011119950707351X</v>
      </c>
      <c r="D2525" t="s">
        <v>1</v>
      </c>
      <c r="E2525" t="s">
        <v>1</v>
      </c>
      <c r="F2525" t="s">
        <v>0</v>
      </c>
      <c r="G2525" t="str">
        <f>"2018-10-18 13:40:51"</f>
        <v>2018-10-18 13:40:51</v>
      </c>
    </row>
    <row r="2526" spans="1:7" x14ac:dyDescent="0.2">
      <c r="A2526" t="s">
        <v>1</v>
      </c>
      <c r="B2526" t="str">
        <f>"15658828389"</f>
        <v>15658828389</v>
      </c>
      <c r="C2526" t="s">
        <v>1</v>
      </c>
      <c r="D2526" t="s">
        <v>1</v>
      </c>
      <c r="E2526" t="s">
        <v>1</v>
      </c>
      <c r="F2526" t="s">
        <v>0</v>
      </c>
      <c r="G2526" t="str">
        <f>"2018-10-18 13:39:22"</f>
        <v>2018-10-18 13:39:22</v>
      </c>
    </row>
    <row r="2527" spans="1:7" x14ac:dyDescent="0.2">
      <c r="A2527" t="s">
        <v>4083</v>
      </c>
      <c r="B2527" t="str">
        <f>"13889896923"</f>
        <v>13889896923</v>
      </c>
      <c r="C2527" t="str">
        <f>"230621198809030954"</f>
        <v>230621198809030954</v>
      </c>
      <c r="D2527" t="s">
        <v>1</v>
      </c>
      <c r="E2527" t="s">
        <v>1</v>
      </c>
      <c r="F2527" t="s">
        <v>0</v>
      </c>
      <c r="G2527" t="str">
        <f>"2018-10-18 13:39:09"</f>
        <v>2018-10-18 13:39:09</v>
      </c>
    </row>
    <row r="2528" spans="1:7" x14ac:dyDescent="0.2">
      <c r="A2528" t="s">
        <v>1</v>
      </c>
      <c r="B2528" t="str">
        <f>"15958121974"</f>
        <v>15958121974</v>
      </c>
      <c r="C2528" t="s">
        <v>1</v>
      </c>
      <c r="D2528" t="s">
        <v>1</v>
      </c>
      <c r="E2528" t="s">
        <v>1</v>
      </c>
      <c r="F2528" t="s">
        <v>0</v>
      </c>
      <c r="G2528" t="str">
        <f>"2018-10-18 13:39:02"</f>
        <v>2018-10-18 13:39:02</v>
      </c>
    </row>
    <row r="2529" spans="1:7" x14ac:dyDescent="0.2">
      <c r="A2529" t="s">
        <v>485</v>
      </c>
      <c r="B2529" t="str">
        <f>"18020356078"</f>
        <v>18020356078</v>
      </c>
      <c r="C2529" t="str">
        <f>"230102197112132415"</f>
        <v>230102197112132415</v>
      </c>
      <c r="D2529" t="s">
        <v>1</v>
      </c>
      <c r="E2529" t="s">
        <v>1</v>
      </c>
      <c r="F2529" t="s">
        <v>0</v>
      </c>
      <c r="G2529" t="str">
        <f>"2018-10-18 13:40:43"</f>
        <v>2018-10-18 13:40:43</v>
      </c>
    </row>
    <row r="2530" spans="1:7" x14ac:dyDescent="0.2">
      <c r="A2530" t="s">
        <v>4084</v>
      </c>
      <c r="B2530" t="str">
        <f>"17604530452"</f>
        <v>17604530452</v>
      </c>
      <c r="C2530" t="str">
        <f>"340221199210017874"</f>
        <v>340221199210017874</v>
      </c>
      <c r="D2530" t="s">
        <v>1</v>
      </c>
      <c r="E2530" t="s">
        <v>1</v>
      </c>
      <c r="F2530" t="s">
        <v>0</v>
      </c>
      <c r="G2530" t="str">
        <f>"2018-10-18 13:38:10"</f>
        <v>2018-10-18 13:38:10</v>
      </c>
    </row>
    <row r="2531" spans="1:7" x14ac:dyDescent="0.2">
      <c r="A2531" t="s">
        <v>500</v>
      </c>
      <c r="B2531" t="str">
        <f>"18735669998"</f>
        <v>18735669998</v>
      </c>
      <c r="C2531" t="str">
        <f>"140221199612170014"</f>
        <v>140221199612170014</v>
      </c>
      <c r="D2531" t="s">
        <v>1</v>
      </c>
      <c r="E2531" t="s">
        <v>1</v>
      </c>
      <c r="F2531" t="s">
        <v>0</v>
      </c>
      <c r="G2531" t="str">
        <f>"2018-10-18 13:43:55"</f>
        <v>2018-10-18 13:43:55</v>
      </c>
    </row>
    <row r="2532" spans="1:7" x14ac:dyDescent="0.2">
      <c r="A2532" t="s">
        <v>1203</v>
      </c>
      <c r="B2532" t="str">
        <f>"13377348389"</f>
        <v>13377348389</v>
      </c>
      <c r="C2532" t="str">
        <f>"130682198706191973"</f>
        <v>130682198706191973</v>
      </c>
      <c r="D2532" t="s">
        <v>1</v>
      </c>
      <c r="E2532" t="s">
        <v>1</v>
      </c>
      <c r="F2532" t="s">
        <v>0</v>
      </c>
      <c r="G2532" t="str">
        <f>"2018-10-18 13:55:37"</f>
        <v>2018-10-18 13:55:37</v>
      </c>
    </row>
    <row r="2533" spans="1:7" x14ac:dyDescent="0.2">
      <c r="A2533" t="s">
        <v>4085</v>
      </c>
      <c r="B2533" t="str">
        <f>"15692133853"</f>
        <v>15692133853</v>
      </c>
      <c r="C2533" t="str">
        <f>"362322199404114813"</f>
        <v>362322199404114813</v>
      </c>
      <c r="D2533" t="s">
        <v>4086</v>
      </c>
      <c r="E2533" t="s">
        <v>4087</v>
      </c>
      <c r="F2533" t="s">
        <v>0</v>
      </c>
      <c r="G2533" t="str">
        <f>"2018-10-18 13:52:34"</f>
        <v>2018-10-18 13:52:34</v>
      </c>
    </row>
    <row r="2534" spans="1:7" x14ac:dyDescent="0.2">
      <c r="A2534" t="s">
        <v>374</v>
      </c>
      <c r="B2534" t="str">
        <f>"13897203114"</f>
        <v>13897203114</v>
      </c>
      <c r="C2534" t="str">
        <f>"630105198703301311"</f>
        <v>630105198703301311</v>
      </c>
      <c r="D2534" t="s">
        <v>4088</v>
      </c>
      <c r="E2534" t="s">
        <v>4089</v>
      </c>
      <c r="F2534" t="s">
        <v>0</v>
      </c>
      <c r="G2534" t="str">
        <f>"2018-10-18 13:39:22"</f>
        <v>2018-10-18 13:39:22</v>
      </c>
    </row>
    <row r="2535" spans="1:7" x14ac:dyDescent="0.2">
      <c r="A2535" t="s">
        <v>4090</v>
      </c>
      <c r="B2535" t="str">
        <f>"13588745701"</f>
        <v>13588745701</v>
      </c>
      <c r="C2535" t="str">
        <f>"330104196211070434"</f>
        <v>330104196211070434</v>
      </c>
      <c r="D2535" t="s">
        <v>4091</v>
      </c>
      <c r="E2535" t="s">
        <v>4092</v>
      </c>
      <c r="F2535" t="s">
        <v>0</v>
      </c>
      <c r="G2535" t="str">
        <f>"2018-10-18 13:38:56"</f>
        <v>2018-10-18 13:38:56</v>
      </c>
    </row>
    <row r="2536" spans="1:7" x14ac:dyDescent="0.2">
      <c r="A2536" t="s">
        <v>4093</v>
      </c>
      <c r="B2536" t="str">
        <f>"17748991928"</f>
        <v>17748991928</v>
      </c>
      <c r="C2536" t="str">
        <f>"622723199606242524"</f>
        <v>622723199606242524</v>
      </c>
      <c r="D2536" t="s">
        <v>1</v>
      </c>
      <c r="E2536" t="s">
        <v>1</v>
      </c>
      <c r="F2536" t="s">
        <v>0</v>
      </c>
      <c r="G2536" t="str">
        <f>"2018-10-26 16:47:23"</f>
        <v>2018-10-26 16:47:23</v>
      </c>
    </row>
    <row r="2537" spans="1:7" x14ac:dyDescent="0.2">
      <c r="A2537" t="s">
        <v>838</v>
      </c>
      <c r="B2537" t="str">
        <f>"13945753323"</f>
        <v>13945753323</v>
      </c>
      <c r="C2537" t="str">
        <f>"230403198710160413"</f>
        <v>230403198710160413</v>
      </c>
      <c r="D2537" t="s">
        <v>1</v>
      </c>
      <c r="E2537" t="s">
        <v>1</v>
      </c>
      <c r="F2537" t="s">
        <v>0</v>
      </c>
      <c r="G2537" t="str">
        <f>"2018-10-18 13:36:58"</f>
        <v>2018-10-18 13:36:58</v>
      </c>
    </row>
    <row r="2538" spans="1:7" x14ac:dyDescent="0.2">
      <c r="A2538" t="s">
        <v>4094</v>
      </c>
      <c r="B2538" t="str">
        <f>"18175515001"</f>
        <v>18175515001</v>
      </c>
      <c r="C2538" t="str">
        <f>"431081198709112612"</f>
        <v>431081198709112612</v>
      </c>
      <c r="D2538" t="s">
        <v>1</v>
      </c>
      <c r="E2538" t="s">
        <v>1</v>
      </c>
      <c r="F2538" t="s">
        <v>0</v>
      </c>
      <c r="G2538" t="str">
        <f>"2018-10-18 13:37:39"</f>
        <v>2018-10-18 13:37:39</v>
      </c>
    </row>
    <row r="2539" spans="1:7" x14ac:dyDescent="0.2">
      <c r="A2539" t="s">
        <v>1</v>
      </c>
      <c r="B2539" t="str">
        <f>"15973039201"</f>
        <v>15973039201</v>
      </c>
      <c r="C2539" t="s">
        <v>1</v>
      </c>
      <c r="D2539" t="s">
        <v>1</v>
      </c>
      <c r="E2539" t="s">
        <v>1</v>
      </c>
      <c r="F2539" t="s">
        <v>0</v>
      </c>
      <c r="G2539" t="str">
        <f>"2018-10-18 13:37:42"</f>
        <v>2018-10-18 13:37:42</v>
      </c>
    </row>
    <row r="2540" spans="1:7" x14ac:dyDescent="0.2">
      <c r="A2540" t="s">
        <v>4095</v>
      </c>
      <c r="B2540" t="str">
        <f>"15940339479"</f>
        <v>15940339479</v>
      </c>
      <c r="C2540" t="str">
        <f>"210114198810214510"</f>
        <v>210114198810214510</v>
      </c>
      <c r="D2540" t="s">
        <v>1</v>
      </c>
      <c r="E2540" t="s">
        <v>1</v>
      </c>
      <c r="F2540" t="s">
        <v>0</v>
      </c>
      <c r="G2540" t="str">
        <f>"2018-10-18 13:37:14"</f>
        <v>2018-10-18 13:37:14</v>
      </c>
    </row>
    <row r="2541" spans="1:7" x14ac:dyDescent="0.2">
      <c r="A2541" t="s">
        <v>58</v>
      </c>
      <c r="B2541" t="str">
        <f>"18838855098"</f>
        <v>18838855098</v>
      </c>
      <c r="C2541" t="str">
        <f>"410323198904193057"</f>
        <v>410323198904193057</v>
      </c>
      <c r="D2541" t="s">
        <v>1</v>
      </c>
      <c r="E2541" t="s">
        <v>1</v>
      </c>
      <c r="F2541" t="s">
        <v>0</v>
      </c>
      <c r="G2541" t="str">
        <f>"2018-10-18 13:34:36"</f>
        <v>2018-10-18 13:34:36</v>
      </c>
    </row>
    <row r="2542" spans="1:7" x14ac:dyDescent="0.2">
      <c r="A2542" t="s">
        <v>4096</v>
      </c>
      <c r="B2542" t="str">
        <f>"13500308559"</f>
        <v>13500308559</v>
      </c>
      <c r="C2542" t="str">
        <f>"500225198610151125"</f>
        <v>500225198610151125</v>
      </c>
      <c r="D2542" t="s">
        <v>1</v>
      </c>
      <c r="E2542" t="s">
        <v>1</v>
      </c>
      <c r="F2542" t="s">
        <v>0</v>
      </c>
      <c r="G2542" t="str">
        <f>"2018-10-18 13:46:18"</f>
        <v>2018-10-18 13:46:18</v>
      </c>
    </row>
    <row r="2543" spans="1:7" x14ac:dyDescent="0.2">
      <c r="A2543" t="s">
        <v>4097</v>
      </c>
      <c r="B2543" t="str">
        <f>"13600059509"</f>
        <v>13600059509</v>
      </c>
      <c r="C2543" t="str">
        <f>"440923199405184319"</f>
        <v>440923199405184319</v>
      </c>
      <c r="D2543" t="s">
        <v>1</v>
      </c>
      <c r="E2543" t="s">
        <v>1</v>
      </c>
      <c r="F2543" t="s">
        <v>0</v>
      </c>
      <c r="G2543" t="str">
        <f>"2018-10-18 13:36:03"</f>
        <v>2018-10-18 13:36:03</v>
      </c>
    </row>
    <row r="2544" spans="1:7" x14ac:dyDescent="0.2">
      <c r="A2544" t="s">
        <v>4098</v>
      </c>
      <c r="B2544" t="str">
        <f>"13752118594"</f>
        <v>13752118594</v>
      </c>
      <c r="C2544" t="str">
        <f>"41050419860109001X"</f>
        <v>41050419860109001X</v>
      </c>
      <c r="D2544" t="s">
        <v>1</v>
      </c>
      <c r="E2544" t="s">
        <v>1</v>
      </c>
      <c r="F2544" t="s">
        <v>0</v>
      </c>
      <c r="G2544" t="str">
        <f>"2018-10-18 14:33:18"</f>
        <v>2018-10-18 14:33:18</v>
      </c>
    </row>
    <row r="2545" spans="1:7" x14ac:dyDescent="0.2">
      <c r="A2545" t="s">
        <v>4099</v>
      </c>
      <c r="B2545" t="str">
        <f>"13713270992"</f>
        <v>13713270992</v>
      </c>
      <c r="C2545" t="str">
        <f>"441702198711181734"</f>
        <v>441702198711181734</v>
      </c>
      <c r="D2545" t="s">
        <v>4100</v>
      </c>
      <c r="E2545" t="s">
        <v>4101</v>
      </c>
      <c r="F2545" t="s">
        <v>0</v>
      </c>
      <c r="G2545" t="str">
        <f>"2018-11-03 17:13:48"</f>
        <v>2018-11-03 17:13:48</v>
      </c>
    </row>
    <row r="2546" spans="1:7" x14ac:dyDescent="0.2">
      <c r="A2546" t="s">
        <v>1</v>
      </c>
      <c r="B2546" t="str">
        <f>"18729255619"</f>
        <v>18729255619</v>
      </c>
      <c r="C2546" t="s">
        <v>1</v>
      </c>
      <c r="D2546" t="s">
        <v>1</v>
      </c>
      <c r="E2546" t="s">
        <v>1</v>
      </c>
      <c r="F2546" t="s">
        <v>0</v>
      </c>
      <c r="G2546" t="str">
        <f>"2018-10-18 13:33:19"</f>
        <v>2018-10-18 13:33:19</v>
      </c>
    </row>
    <row r="2547" spans="1:7" x14ac:dyDescent="0.2">
      <c r="A2547" t="s">
        <v>4102</v>
      </c>
      <c r="B2547" t="str">
        <f>"13893765214"</f>
        <v>13893765214</v>
      </c>
      <c r="C2547" t="str">
        <f>"622126198408280417"</f>
        <v>622126198408280417</v>
      </c>
      <c r="D2547" t="s">
        <v>1</v>
      </c>
      <c r="E2547" t="s">
        <v>1</v>
      </c>
      <c r="F2547" t="s">
        <v>0</v>
      </c>
      <c r="G2547" t="str">
        <f>"2018-10-18 13:33:18"</f>
        <v>2018-10-18 13:33:18</v>
      </c>
    </row>
    <row r="2548" spans="1:7" x14ac:dyDescent="0.2">
      <c r="A2548" t="s">
        <v>4103</v>
      </c>
      <c r="B2548" t="str">
        <f>"15888756686"</f>
        <v>15888756686</v>
      </c>
      <c r="C2548" t="str">
        <f>"330328199301265513"</f>
        <v>330328199301265513</v>
      </c>
      <c r="D2548" t="s">
        <v>1</v>
      </c>
      <c r="E2548" t="s">
        <v>1</v>
      </c>
      <c r="F2548" t="s">
        <v>0</v>
      </c>
      <c r="G2548" t="str">
        <f>"2018-10-18 13:34:11"</f>
        <v>2018-10-18 13:34:11</v>
      </c>
    </row>
    <row r="2549" spans="1:7" x14ac:dyDescent="0.2">
      <c r="A2549" t="s">
        <v>4104</v>
      </c>
      <c r="B2549" t="str">
        <f>"18993397222"</f>
        <v>18993397222</v>
      </c>
      <c r="C2549" t="str">
        <f>"620421198006184513"</f>
        <v>620421198006184513</v>
      </c>
      <c r="D2549" t="s">
        <v>4105</v>
      </c>
      <c r="E2549" t="s">
        <v>4106</v>
      </c>
      <c r="F2549" t="s">
        <v>0</v>
      </c>
      <c r="G2549" t="str">
        <f>"2018-10-30 20:15:44"</f>
        <v>2018-10-30 20:15:44</v>
      </c>
    </row>
    <row r="2550" spans="1:7" x14ac:dyDescent="0.2">
      <c r="A2550" t="s">
        <v>4107</v>
      </c>
      <c r="B2550" t="str">
        <f>"18874882415"</f>
        <v>18874882415</v>
      </c>
      <c r="C2550" t="str">
        <f>"360312196412202014"</f>
        <v>360312196412202014</v>
      </c>
      <c r="D2550" t="s">
        <v>1</v>
      </c>
      <c r="E2550" t="s">
        <v>1</v>
      </c>
      <c r="F2550" t="s">
        <v>0</v>
      </c>
      <c r="G2550" t="str">
        <f>"2018-10-18 13:33:34"</f>
        <v>2018-10-18 13:33:34</v>
      </c>
    </row>
    <row r="2551" spans="1:7" x14ac:dyDescent="0.2">
      <c r="A2551" t="s">
        <v>4108</v>
      </c>
      <c r="B2551" t="str">
        <f>"17561428112"</f>
        <v>17561428112</v>
      </c>
      <c r="C2551" t="str">
        <f>"370303199308076010"</f>
        <v>370303199308076010</v>
      </c>
      <c r="D2551" t="s">
        <v>1</v>
      </c>
      <c r="E2551" t="s">
        <v>1</v>
      </c>
      <c r="F2551" t="s">
        <v>0</v>
      </c>
      <c r="G2551" t="str">
        <f>"2018-10-20 12:52:45"</f>
        <v>2018-10-20 12:52:45</v>
      </c>
    </row>
    <row r="2552" spans="1:7" x14ac:dyDescent="0.2">
      <c r="A2552" t="s">
        <v>1</v>
      </c>
      <c r="B2552" t="str">
        <f>"13659211175"</f>
        <v>13659211175</v>
      </c>
      <c r="C2552" t="s">
        <v>1</v>
      </c>
      <c r="D2552" t="s">
        <v>1</v>
      </c>
      <c r="E2552" t="s">
        <v>1</v>
      </c>
      <c r="F2552" t="s">
        <v>0</v>
      </c>
      <c r="G2552" t="str">
        <f>"2018-10-18 13:31:36"</f>
        <v>2018-10-18 13:31:36</v>
      </c>
    </row>
    <row r="2553" spans="1:7" x14ac:dyDescent="0.2">
      <c r="A2553" t="s">
        <v>1</v>
      </c>
      <c r="B2553" t="str">
        <f>"18739182724"</f>
        <v>18739182724</v>
      </c>
      <c r="C2553" t="s">
        <v>1</v>
      </c>
      <c r="D2553" t="s">
        <v>1</v>
      </c>
      <c r="E2553" t="s">
        <v>1</v>
      </c>
      <c r="F2553" t="s">
        <v>0</v>
      </c>
      <c r="G2553" t="str">
        <f>"2018-10-18 13:38:40"</f>
        <v>2018-10-18 13:38:40</v>
      </c>
    </row>
    <row r="2554" spans="1:7" x14ac:dyDescent="0.2">
      <c r="A2554" t="s">
        <v>1</v>
      </c>
      <c r="B2554" t="str">
        <f>"18850067752"</f>
        <v>18850067752</v>
      </c>
      <c r="C2554" t="s">
        <v>1</v>
      </c>
      <c r="D2554" t="s">
        <v>1</v>
      </c>
      <c r="E2554" t="s">
        <v>1</v>
      </c>
      <c r="F2554" t="s">
        <v>0</v>
      </c>
      <c r="G2554" t="str">
        <f>"2018-10-18 13:30:04"</f>
        <v>2018-10-18 13:30:04</v>
      </c>
    </row>
    <row r="2555" spans="1:7" x14ac:dyDescent="0.2">
      <c r="A2555" t="s">
        <v>4109</v>
      </c>
      <c r="B2555" t="str">
        <f>"14769269831"</f>
        <v>14769269831</v>
      </c>
      <c r="C2555" t="str">
        <f>"532625199612121513"</f>
        <v>532625199612121513</v>
      </c>
      <c r="D2555" t="s">
        <v>4110</v>
      </c>
      <c r="E2555" t="s">
        <v>4111</v>
      </c>
      <c r="F2555" t="s">
        <v>0</v>
      </c>
      <c r="G2555" t="str">
        <f>"2018-10-18 13:33:55"</f>
        <v>2018-10-18 13:33:55</v>
      </c>
    </row>
    <row r="2556" spans="1:7" x14ac:dyDescent="0.2">
      <c r="A2556" t="s">
        <v>4112</v>
      </c>
      <c r="B2556" t="str">
        <f>"13407739992"</f>
        <v>13407739992</v>
      </c>
      <c r="C2556" t="str">
        <f>"450323199005101552"</f>
        <v>450323199005101552</v>
      </c>
      <c r="D2556" t="s">
        <v>4113</v>
      </c>
      <c r="E2556" t="s">
        <v>4114</v>
      </c>
      <c r="F2556" t="s">
        <v>0</v>
      </c>
      <c r="G2556" t="str">
        <f>"2018-10-18 13:37:34"</f>
        <v>2018-10-18 13:37:34</v>
      </c>
    </row>
    <row r="2557" spans="1:7" x14ac:dyDescent="0.2">
      <c r="A2557" t="s">
        <v>1331</v>
      </c>
      <c r="B2557" t="str">
        <f>"13529248047"</f>
        <v>13529248047</v>
      </c>
      <c r="C2557" t="str">
        <f>"530326199602222319"</f>
        <v>530326199602222319</v>
      </c>
      <c r="D2557" t="s">
        <v>4115</v>
      </c>
      <c r="E2557" t="s">
        <v>4116</v>
      </c>
      <c r="F2557" t="s">
        <v>0</v>
      </c>
      <c r="G2557" t="str">
        <f>"2018-10-18 13:44:01"</f>
        <v>2018-10-18 13:44:01</v>
      </c>
    </row>
    <row r="2558" spans="1:7" x14ac:dyDescent="0.2">
      <c r="A2558" t="s">
        <v>115</v>
      </c>
      <c r="B2558" t="str">
        <f>"15967421225"</f>
        <v>15967421225</v>
      </c>
      <c r="C2558" t="str">
        <f>"362228197902154010"</f>
        <v>362228197902154010</v>
      </c>
      <c r="D2558" t="s">
        <v>1</v>
      </c>
      <c r="E2558" t="s">
        <v>1</v>
      </c>
      <c r="F2558" t="s">
        <v>0</v>
      </c>
      <c r="G2558" t="str">
        <f>"2018-10-18 13:30:56"</f>
        <v>2018-10-18 13:30:56</v>
      </c>
    </row>
    <row r="2559" spans="1:7" x14ac:dyDescent="0.2">
      <c r="A2559" t="s">
        <v>4117</v>
      </c>
      <c r="B2559" t="str">
        <f>"15062608649"</f>
        <v>15062608649</v>
      </c>
      <c r="C2559" t="str">
        <f>"500101198806238904"</f>
        <v>500101198806238904</v>
      </c>
      <c r="D2559" t="s">
        <v>1</v>
      </c>
      <c r="E2559" t="s">
        <v>1</v>
      </c>
      <c r="F2559" t="s">
        <v>0</v>
      </c>
      <c r="G2559" t="str">
        <f>"2018-10-18 13:28:48"</f>
        <v>2018-10-18 13:28:48</v>
      </c>
    </row>
    <row r="2560" spans="1:7" x14ac:dyDescent="0.2">
      <c r="A2560" t="s">
        <v>1</v>
      </c>
      <c r="B2560" t="str">
        <f>"15067350250"</f>
        <v>15067350250</v>
      </c>
      <c r="C2560" t="s">
        <v>1</v>
      </c>
      <c r="D2560" t="s">
        <v>1</v>
      </c>
      <c r="E2560" t="s">
        <v>1</v>
      </c>
      <c r="F2560" t="s">
        <v>0</v>
      </c>
      <c r="G2560" t="str">
        <f>"2018-10-18 13:27:19"</f>
        <v>2018-10-18 13:27:19</v>
      </c>
    </row>
    <row r="2561" spans="1:7" x14ac:dyDescent="0.2">
      <c r="A2561" t="s">
        <v>1</v>
      </c>
      <c r="B2561" t="str">
        <f>"18899872221"</f>
        <v>18899872221</v>
      </c>
      <c r="C2561" t="s">
        <v>1</v>
      </c>
      <c r="D2561" t="s">
        <v>1</v>
      </c>
      <c r="E2561" t="s">
        <v>1</v>
      </c>
      <c r="F2561" t="s">
        <v>0</v>
      </c>
      <c r="G2561" t="str">
        <f>"2018-10-18 13:26:04"</f>
        <v>2018-10-18 13:26:04</v>
      </c>
    </row>
    <row r="2562" spans="1:7" x14ac:dyDescent="0.2">
      <c r="A2562" t="s">
        <v>1</v>
      </c>
      <c r="B2562" t="str">
        <f>"15913102639"</f>
        <v>15913102639</v>
      </c>
      <c r="C2562" t="s">
        <v>1</v>
      </c>
      <c r="D2562" t="s">
        <v>1</v>
      </c>
      <c r="E2562" t="s">
        <v>1</v>
      </c>
      <c r="F2562" t="s">
        <v>0</v>
      </c>
      <c r="G2562" t="str">
        <f>"2018-10-18 13:25:58"</f>
        <v>2018-10-18 13:25:58</v>
      </c>
    </row>
    <row r="2563" spans="1:7" x14ac:dyDescent="0.2">
      <c r="A2563" t="s">
        <v>1</v>
      </c>
      <c r="B2563" t="str">
        <f>"13510488176"</f>
        <v>13510488176</v>
      </c>
      <c r="C2563" t="s">
        <v>1</v>
      </c>
      <c r="D2563" t="s">
        <v>1</v>
      </c>
      <c r="E2563" t="s">
        <v>1</v>
      </c>
      <c r="F2563" t="s">
        <v>0</v>
      </c>
      <c r="G2563" t="str">
        <f>"2018-10-18 13:25:48"</f>
        <v>2018-10-18 13:25:48</v>
      </c>
    </row>
    <row r="2564" spans="1:7" x14ac:dyDescent="0.2">
      <c r="A2564" t="s">
        <v>1</v>
      </c>
      <c r="B2564" t="str">
        <f>"15935752762"</f>
        <v>15935752762</v>
      </c>
      <c r="C2564" t="s">
        <v>1</v>
      </c>
      <c r="D2564" t="s">
        <v>1</v>
      </c>
      <c r="E2564" t="s">
        <v>1</v>
      </c>
      <c r="F2564" t="s">
        <v>0</v>
      </c>
      <c r="G2564" t="str">
        <f>"2018-10-18 13:25:12"</f>
        <v>2018-10-18 13:25:12</v>
      </c>
    </row>
    <row r="2565" spans="1:7" x14ac:dyDescent="0.2">
      <c r="A2565" t="s">
        <v>4118</v>
      </c>
      <c r="B2565" t="str">
        <f>"15828532215"</f>
        <v>15828532215</v>
      </c>
      <c r="C2565" t="str">
        <f>"513723199409075558"</f>
        <v>513723199409075558</v>
      </c>
      <c r="D2565" t="s">
        <v>1</v>
      </c>
      <c r="E2565" t="s">
        <v>1</v>
      </c>
      <c r="F2565" t="s">
        <v>0</v>
      </c>
      <c r="G2565" t="str">
        <f>"2018-10-18 14:10:29"</f>
        <v>2018-10-18 14:10:29</v>
      </c>
    </row>
    <row r="2566" spans="1:7" x14ac:dyDescent="0.2">
      <c r="A2566" t="s">
        <v>1</v>
      </c>
      <c r="B2566" t="str">
        <f>"18718998556"</f>
        <v>18718998556</v>
      </c>
      <c r="C2566" t="s">
        <v>1</v>
      </c>
      <c r="D2566" t="s">
        <v>1</v>
      </c>
      <c r="E2566" t="s">
        <v>1</v>
      </c>
      <c r="F2566" t="s">
        <v>0</v>
      </c>
      <c r="G2566" t="str">
        <f>"2018-10-18 13:24:35"</f>
        <v>2018-10-18 13:24:35</v>
      </c>
    </row>
    <row r="2567" spans="1:7" x14ac:dyDescent="0.2">
      <c r="A2567" t="s">
        <v>4119</v>
      </c>
      <c r="B2567" t="str">
        <f>"14718368146"</f>
        <v>14718368146</v>
      </c>
      <c r="C2567" t="str">
        <f>"441203199302040256"</f>
        <v>441203199302040256</v>
      </c>
      <c r="D2567" t="s">
        <v>1</v>
      </c>
      <c r="E2567" t="s">
        <v>1</v>
      </c>
      <c r="F2567" t="s">
        <v>0</v>
      </c>
      <c r="G2567" t="str">
        <f>"2018-10-18 13:40:45"</f>
        <v>2018-10-18 13:40:45</v>
      </c>
    </row>
    <row r="2568" spans="1:7" x14ac:dyDescent="0.2">
      <c r="A2568" t="s">
        <v>1</v>
      </c>
      <c r="B2568" t="str">
        <f>"18088482087"</f>
        <v>18088482087</v>
      </c>
      <c r="C2568" t="s">
        <v>1</v>
      </c>
      <c r="D2568" t="s">
        <v>1</v>
      </c>
      <c r="E2568" t="s">
        <v>1</v>
      </c>
      <c r="F2568" t="s">
        <v>0</v>
      </c>
      <c r="G2568" t="str">
        <f>"2018-10-18 13:21:20"</f>
        <v>2018-10-18 13:21:20</v>
      </c>
    </row>
    <row r="2569" spans="1:7" x14ac:dyDescent="0.2">
      <c r="A2569" t="s">
        <v>4120</v>
      </c>
      <c r="B2569" t="str">
        <f>"13940240127"</f>
        <v>13940240127</v>
      </c>
      <c r="C2569" t="str">
        <f>"210122198211010612"</f>
        <v>210122198211010612</v>
      </c>
      <c r="D2569" t="s">
        <v>1</v>
      </c>
      <c r="E2569" t="s">
        <v>1</v>
      </c>
      <c r="F2569" t="s">
        <v>0</v>
      </c>
      <c r="G2569" t="str">
        <f>"2018-10-18 13:22:22"</f>
        <v>2018-10-18 13:22:22</v>
      </c>
    </row>
    <row r="2570" spans="1:7" x14ac:dyDescent="0.2">
      <c r="A2570" t="s">
        <v>4121</v>
      </c>
      <c r="B2570" t="str">
        <f>"13466126828"</f>
        <v>13466126828</v>
      </c>
      <c r="C2570" t="str">
        <f>"530381198902060921"</f>
        <v>530381198902060921</v>
      </c>
      <c r="D2570" t="s">
        <v>1</v>
      </c>
      <c r="E2570" t="s">
        <v>1</v>
      </c>
      <c r="F2570" t="s">
        <v>0</v>
      </c>
      <c r="G2570" t="str">
        <f>"2018-10-18 13:23:00"</f>
        <v>2018-10-18 13:23:00</v>
      </c>
    </row>
    <row r="2571" spans="1:7" x14ac:dyDescent="0.2">
      <c r="A2571" t="s">
        <v>1285</v>
      </c>
      <c r="B2571" t="str">
        <f>"18720868651"</f>
        <v>18720868651</v>
      </c>
      <c r="C2571" t="str">
        <f>"360727198610103610"</f>
        <v>360727198610103610</v>
      </c>
      <c r="D2571" t="s">
        <v>1</v>
      </c>
      <c r="E2571" t="s">
        <v>1</v>
      </c>
      <c r="F2571" t="s">
        <v>0</v>
      </c>
      <c r="G2571" t="str">
        <f>"2018-10-18 13:29:50"</f>
        <v>2018-10-18 13:29:50</v>
      </c>
    </row>
    <row r="2572" spans="1:7" x14ac:dyDescent="0.2">
      <c r="A2572" t="s">
        <v>4122</v>
      </c>
      <c r="B2572" t="str">
        <f>"15940819975"</f>
        <v>15940819975</v>
      </c>
      <c r="C2572" t="str">
        <f>"220322199202050564"</f>
        <v>220322199202050564</v>
      </c>
      <c r="D2572" t="s">
        <v>1</v>
      </c>
      <c r="E2572" t="s">
        <v>1</v>
      </c>
      <c r="F2572" t="s">
        <v>0</v>
      </c>
      <c r="G2572" t="str">
        <f>"2018-10-21 19:05:45"</f>
        <v>2018-10-21 19:05:45</v>
      </c>
    </row>
    <row r="2573" spans="1:7" x14ac:dyDescent="0.2">
      <c r="A2573" t="s">
        <v>1</v>
      </c>
      <c r="B2573" t="str">
        <f>"15658919144"</f>
        <v>15658919144</v>
      </c>
      <c r="C2573" t="s">
        <v>1</v>
      </c>
      <c r="D2573" t="s">
        <v>1</v>
      </c>
      <c r="E2573" t="s">
        <v>1</v>
      </c>
      <c r="F2573" t="s">
        <v>0</v>
      </c>
      <c r="G2573" t="str">
        <f>"2018-10-18 13:19:36"</f>
        <v>2018-10-18 13:19:36</v>
      </c>
    </row>
    <row r="2574" spans="1:7" x14ac:dyDescent="0.2">
      <c r="A2574" t="s">
        <v>4123</v>
      </c>
      <c r="B2574" t="str">
        <f>"18633569254"</f>
        <v>18633569254</v>
      </c>
      <c r="C2574" t="str">
        <f>"231025197010151834"</f>
        <v>231025197010151834</v>
      </c>
      <c r="D2574" t="s">
        <v>1</v>
      </c>
      <c r="E2574" t="s">
        <v>1</v>
      </c>
      <c r="F2574" t="s">
        <v>0</v>
      </c>
      <c r="G2574" t="str">
        <f>"2018-10-18 13:19:01"</f>
        <v>2018-10-18 13:19:01</v>
      </c>
    </row>
    <row r="2575" spans="1:7" x14ac:dyDescent="0.2">
      <c r="A2575" t="s">
        <v>4124</v>
      </c>
      <c r="B2575" t="str">
        <f>"13368253622"</f>
        <v>13368253622</v>
      </c>
      <c r="C2575" t="str">
        <f>"500222198703271610"</f>
        <v>500222198703271610</v>
      </c>
      <c r="D2575" t="s">
        <v>4125</v>
      </c>
      <c r="E2575" t="s">
        <v>4126</v>
      </c>
      <c r="F2575" t="s">
        <v>0</v>
      </c>
      <c r="G2575" t="str">
        <f>"2018-10-18 13:18:36"</f>
        <v>2018-10-18 13:18:36</v>
      </c>
    </row>
    <row r="2576" spans="1:7" x14ac:dyDescent="0.2">
      <c r="A2576" t="s">
        <v>4127</v>
      </c>
      <c r="B2576" t="str">
        <f>"15543497742"</f>
        <v>15543497742</v>
      </c>
      <c r="C2576" t="str">
        <f>"220283198707047427"</f>
        <v>220283198707047427</v>
      </c>
      <c r="D2576" t="s">
        <v>4128</v>
      </c>
      <c r="E2576" t="s">
        <v>4129</v>
      </c>
      <c r="F2576" t="s">
        <v>0</v>
      </c>
      <c r="G2576" t="str">
        <f>"2018-10-18 13:19:53"</f>
        <v>2018-10-18 13:19:53</v>
      </c>
    </row>
    <row r="2577" spans="1:7" x14ac:dyDescent="0.2">
      <c r="A2577" t="s">
        <v>4130</v>
      </c>
      <c r="B2577" t="str">
        <f>"13949655211"</f>
        <v>13949655211</v>
      </c>
      <c r="C2577" t="str">
        <f>"410822198607120522"</f>
        <v>410822198607120522</v>
      </c>
      <c r="D2577" t="s">
        <v>1</v>
      </c>
      <c r="E2577" t="s">
        <v>1</v>
      </c>
      <c r="F2577" t="s">
        <v>0</v>
      </c>
      <c r="G2577" t="str">
        <f>"2018-10-31 20:17:31"</f>
        <v>2018-10-31 20:17:31</v>
      </c>
    </row>
    <row r="2578" spans="1:7" x14ac:dyDescent="0.2">
      <c r="A2578" t="s">
        <v>4131</v>
      </c>
      <c r="B2578" t="str">
        <f>"13510600305"</f>
        <v>13510600305</v>
      </c>
      <c r="C2578" t="str">
        <f>"431222198603053635"</f>
        <v>431222198603053635</v>
      </c>
      <c r="D2578" t="s">
        <v>1</v>
      </c>
      <c r="E2578" t="s">
        <v>1</v>
      </c>
      <c r="F2578" t="s">
        <v>0</v>
      </c>
      <c r="G2578" t="str">
        <f>"2018-10-18 13:17:04"</f>
        <v>2018-10-18 13:17:04</v>
      </c>
    </row>
    <row r="2579" spans="1:7" x14ac:dyDescent="0.2">
      <c r="A2579" t="s">
        <v>1</v>
      </c>
      <c r="B2579" t="str">
        <f>"15911462222"</f>
        <v>15911462222</v>
      </c>
      <c r="C2579" t="s">
        <v>1</v>
      </c>
      <c r="D2579" t="s">
        <v>1</v>
      </c>
      <c r="E2579" t="s">
        <v>1</v>
      </c>
      <c r="F2579" t="s">
        <v>0</v>
      </c>
      <c r="G2579" t="str">
        <f>"2018-10-18 13:21:30"</f>
        <v>2018-10-18 13:21:30</v>
      </c>
    </row>
    <row r="2580" spans="1:7" x14ac:dyDescent="0.2">
      <c r="A2580" t="s">
        <v>4132</v>
      </c>
      <c r="B2580" t="str">
        <f>"13784906867"</f>
        <v>13784906867</v>
      </c>
      <c r="C2580" t="str">
        <f>"520123199402180060"</f>
        <v>520123199402180060</v>
      </c>
      <c r="D2580" t="s">
        <v>1</v>
      </c>
      <c r="E2580" t="s">
        <v>1</v>
      </c>
      <c r="F2580" t="s">
        <v>0</v>
      </c>
      <c r="G2580" t="str">
        <f>"2018-10-18 13:16:26"</f>
        <v>2018-10-18 13:16:26</v>
      </c>
    </row>
    <row r="2581" spans="1:7" x14ac:dyDescent="0.2">
      <c r="A2581" t="s">
        <v>1</v>
      </c>
      <c r="B2581" t="str">
        <f>"13930211514"</f>
        <v>13930211514</v>
      </c>
      <c r="C2581" t="s">
        <v>1</v>
      </c>
      <c r="D2581" t="s">
        <v>1</v>
      </c>
      <c r="E2581" t="s">
        <v>1</v>
      </c>
      <c r="F2581" t="s">
        <v>0</v>
      </c>
      <c r="G2581" t="str">
        <f>"2018-10-18 13:14:59"</f>
        <v>2018-10-18 13:14:59</v>
      </c>
    </row>
    <row r="2582" spans="1:7" x14ac:dyDescent="0.2">
      <c r="A2582" t="s">
        <v>1</v>
      </c>
      <c r="B2582" t="str">
        <f>"18934201288"</f>
        <v>18934201288</v>
      </c>
      <c r="C2582" t="s">
        <v>1</v>
      </c>
      <c r="D2582" t="s">
        <v>1</v>
      </c>
      <c r="E2582" t="s">
        <v>1</v>
      </c>
      <c r="F2582" t="s">
        <v>0</v>
      </c>
      <c r="G2582" t="str">
        <f>"2018-10-18 13:14:50"</f>
        <v>2018-10-18 13:14:50</v>
      </c>
    </row>
    <row r="2583" spans="1:7" x14ac:dyDescent="0.2">
      <c r="A2583" t="s">
        <v>4133</v>
      </c>
      <c r="B2583" t="str">
        <f>"15138052931"</f>
        <v>15138052931</v>
      </c>
      <c r="C2583" t="str">
        <f>"410822199310065010"</f>
        <v>410822199310065010</v>
      </c>
      <c r="D2583" t="s">
        <v>1</v>
      </c>
      <c r="E2583" t="s">
        <v>1</v>
      </c>
      <c r="F2583" t="s">
        <v>0</v>
      </c>
      <c r="G2583" t="str">
        <f>"2018-10-31 21:00:44"</f>
        <v>2018-10-31 21:00:44</v>
      </c>
    </row>
    <row r="2584" spans="1:7" x14ac:dyDescent="0.2">
      <c r="A2584" t="s">
        <v>4134</v>
      </c>
      <c r="B2584" t="str">
        <f>"15945433523"</f>
        <v>15945433523</v>
      </c>
      <c r="C2584" t="str">
        <f>"230882199411181267"</f>
        <v>230882199411181267</v>
      </c>
      <c r="D2584" t="s">
        <v>1</v>
      </c>
      <c r="E2584" t="s">
        <v>1</v>
      </c>
      <c r="F2584" t="s">
        <v>0</v>
      </c>
      <c r="G2584" t="str">
        <f>"2018-10-18 13:14:02"</f>
        <v>2018-10-18 13:14:02</v>
      </c>
    </row>
    <row r="2585" spans="1:7" x14ac:dyDescent="0.2">
      <c r="A2585" t="s">
        <v>4135</v>
      </c>
      <c r="B2585" t="str">
        <f>"15986857822"</f>
        <v>15986857822</v>
      </c>
      <c r="C2585" t="str">
        <f>"44058219921102661X"</f>
        <v>44058219921102661X</v>
      </c>
      <c r="D2585" t="s">
        <v>1</v>
      </c>
      <c r="E2585" t="s">
        <v>1</v>
      </c>
      <c r="F2585" t="s">
        <v>0</v>
      </c>
      <c r="G2585" t="str">
        <f>"2018-10-23 19:29:43"</f>
        <v>2018-10-23 19:29:43</v>
      </c>
    </row>
    <row r="2586" spans="1:7" x14ac:dyDescent="0.2">
      <c r="A2586" t="s">
        <v>1</v>
      </c>
      <c r="B2586" t="str">
        <f>"15882040966"</f>
        <v>15882040966</v>
      </c>
      <c r="C2586" t="s">
        <v>1</v>
      </c>
      <c r="D2586" t="s">
        <v>1</v>
      </c>
      <c r="E2586" t="s">
        <v>1</v>
      </c>
      <c r="F2586" t="s">
        <v>0</v>
      </c>
      <c r="G2586" t="str">
        <f>"2018-10-18 13:13:25"</f>
        <v>2018-10-18 13:13:25</v>
      </c>
    </row>
    <row r="2587" spans="1:7" x14ac:dyDescent="0.2">
      <c r="A2587" t="s">
        <v>136</v>
      </c>
      <c r="B2587" t="str">
        <f>"15041880052"</f>
        <v>15041880052</v>
      </c>
      <c r="C2587" t="str">
        <f>"210921198401015219"</f>
        <v>210921198401015219</v>
      </c>
      <c r="D2587" t="s">
        <v>1</v>
      </c>
      <c r="E2587" t="s">
        <v>1</v>
      </c>
      <c r="F2587" t="s">
        <v>0</v>
      </c>
      <c r="G2587" t="str">
        <f>"2018-11-05 10:15:16"</f>
        <v>2018-11-05 10:15:16</v>
      </c>
    </row>
    <row r="2588" spans="1:7" x14ac:dyDescent="0.2">
      <c r="A2588" t="s">
        <v>1</v>
      </c>
      <c r="B2588" t="str">
        <f>"13788408472"</f>
        <v>13788408472</v>
      </c>
      <c r="C2588" t="s">
        <v>1</v>
      </c>
      <c r="D2588" t="s">
        <v>1</v>
      </c>
      <c r="E2588" t="s">
        <v>1</v>
      </c>
      <c r="F2588" t="s">
        <v>0</v>
      </c>
      <c r="G2588" t="str">
        <f>"2018-10-18 13:12:03"</f>
        <v>2018-10-18 13:12:03</v>
      </c>
    </row>
    <row r="2589" spans="1:7" x14ac:dyDescent="0.2">
      <c r="A2589" t="s">
        <v>4136</v>
      </c>
      <c r="B2589" t="str">
        <f>"15914854200"</f>
        <v>15914854200</v>
      </c>
      <c r="C2589" t="str">
        <f>"440222199805242616"</f>
        <v>440222199805242616</v>
      </c>
      <c r="D2589" t="s">
        <v>1</v>
      </c>
      <c r="E2589" t="s">
        <v>1</v>
      </c>
      <c r="F2589" t="s">
        <v>0</v>
      </c>
      <c r="G2589" t="str">
        <f>"2018-10-18 13:29:02"</f>
        <v>2018-10-18 13:29:02</v>
      </c>
    </row>
    <row r="2590" spans="1:7" x14ac:dyDescent="0.2">
      <c r="A2590" t="s">
        <v>4137</v>
      </c>
      <c r="B2590" t="str">
        <f>"13087100101"</f>
        <v>13087100101</v>
      </c>
      <c r="C2590" t="str">
        <f>"152630198406067013"</f>
        <v>152630198406067013</v>
      </c>
      <c r="D2590" t="s">
        <v>4138</v>
      </c>
      <c r="E2590" t="s">
        <v>4139</v>
      </c>
      <c r="F2590" t="s">
        <v>0</v>
      </c>
      <c r="G2590" t="str">
        <f>"2018-10-18 13:17:36"</f>
        <v>2018-10-18 13:17:36</v>
      </c>
    </row>
    <row r="2591" spans="1:7" x14ac:dyDescent="0.2">
      <c r="A2591" t="s">
        <v>4140</v>
      </c>
      <c r="B2591" t="str">
        <f>"13511686019"</f>
        <v>13511686019</v>
      </c>
      <c r="C2591" t="str">
        <f>"321181199407315718"</f>
        <v>321181199407315718</v>
      </c>
      <c r="D2591" t="s">
        <v>1</v>
      </c>
      <c r="E2591" t="s">
        <v>1</v>
      </c>
      <c r="F2591" t="s">
        <v>0</v>
      </c>
      <c r="G2591" t="str">
        <f>"2018-10-18 13:14:21"</f>
        <v>2018-10-18 13:14:21</v>
      </c>
    </row>
    <row r="2592" spans="1:7" x14ac:dyDescent="0.2">
      <c r="A2592" t="s">
        <v>1440</v>
      </c>
      <c r="B2592" t="str">
        <f>"13817618459"</f>
        <v>13817618459</v>
      </c>
      <c r="C2592" t="str">
        <f>"360681198208256515"</f>
        <v>360681198208256515</v>
      </c>
      <c r="D2592" t="s">
        <v>1</v>
      </c>
      <c r="E2592" t="s">
        <v>1</v>
      </c>
      <c r="F2592" t="s">
        <v>0</v>
      </c>
      <c r="G2592" t="str">
        <f>"2018-10-18 13:12:29"</f>
        <v>2018-10-18 13:12:29</v>
      </c>
    </row>
    <row r="2593" spans="1:7" x14ac:dyDescent="0.2">
      <c r="A2593" t="s">
        <v>4141</v>
      </c>
      <c r="B2593" t="str">
        <f>"13588328004"</f>
        <v>13588328004</v>
      </c>
      <c r="C2593" t="str">
        <f>"330182199509173623"</f>
        <v>330182199509173623</v>
      </c>
      <c r="D2593" t="s">
        <v>1</v>
      </c>
      <c r="E2593" t="s">
        <v>1</v>
      </c>
      <c r="F2593" t="s">
        <v>0</v>
      </c>
      <c r="G2593" t="str">
        <f>"2018-10-18 13:12:02"</f>
        <v>2018-10-18 13:12:02</v>
      </c>
    </row>
    <row r="2594" spans="1:7" x14ac:dyDescent="0.2">
      <c r="A2594" t="s">
        <v>1</v>
      </c>
      <c r="B2594" t="str">
        <f>"15213012512"</f>
        <v>15213012512</v>
      </c>
      <c r="C2594" t="s">
        <v>1</v>
      </c>
      <c r="D2594" t="s">
        <v>1</v>
      </c>
      <c r="E2594" t="s">
        <v>1</v>
      </c>
      <c r="F2594" t="s">
        <v>0</v>
      </c>
      <c r="G2594" t="str">
        <f>"2018-10-18 13:10:39"</f>
        <v>2018-10-18 13:10:39</v>
      </c>
    </row>
    <row r="2595" spans="1:7" x14ac:dyDescent="0.2">
      <c r="A2595" t="s">
        <v>4142</v>
      </c>
      <c r="B2595" t="str">
        <f>"15041414120"</f>
        <v>15041414120</v>
      </c>
      <c r="C2595" t="str">
        <f>"210502196401113046"</f>
        <v>210502196401113046</v>
      </c>
      <c r="D2595" t="s">
        <v>1</v>
      </c>
      <c r="E2595" t="s">
        <v>1</v>
      </c>
      <c r="F2595" t="s">
        <v>0</v>
      </c>
      <c r="G2595" t="str">
        <f>"2018-10-18 13:09:59"</f>
        <v>2018-10-18 13:09:59</v>
      </c>
    </row>
    <row r="2596" spans="1:7" x14ac:dyDescent="0.2">
      <c r="A2596" t="s">
        <v>1</v>
      </c>
      <c r="B2596" t="str">
        <f>"15260277722"</f>
        <v>15260277722</v>
      </c>
      <c r="C2596" t="s">
        <v>1</v>
      </c>
      <c r="D2596" t="s">
        <v>1</v>
      </c>
      <c r="E2596" t="s">
        <v>1</v>
      </c>
      <c r="F2596" t="s">
        <v>0</v>
      </c>
      <c r="G2596" t="str">
        <f>"2018-10-18 13:08:10"</f>
        <v>2018-10-18 13:08:10</v>
      </c>
    </row>
    <row r="2597" spans="1:7" x14ac:dyDescent="0.2">
      <c r="A2597" t="s">
        <v>4143</v>
      </c>
      <c r="B2597" t="str">
        <f>"13614103327"</f>
        <v>13614103327</v>
      </c>
      <c r="C2597" t="str">
        <f>"211282198106182415"</f>
        <v>211282198106182415</v>
      </c>
      <c r="D2597" t="s">
        <v>1</v>
      </c>
      <c r="E2597" t="s">
        <v>1</v>
      </c>
      <c r="F2597" t="s">
        <v>0</v>
      </c>
      <c r="G2597" t="str">
        <f>"2018-10-18 13:10:41"</f>
        <v>2018-10-18 13:10:41</v>
      </c>
    </row>
    <row r="2598" spans="1:7" x14ac:dyDescent="0.2">
      <c r="A2598" t="s">
        <v>4144</v>
      </c>
      <c r="B2598" t="str">
        <f>"13822370987"</f>
        <v>13822370987</v>
      </c>
      <c r="C2598" t="str">
        <f>"44078319850224541X"</f>
        <v>44078319850224541X</v>
      </c>
      <c r="D2598" t="s">
        <v>4145</v>
      </c>
      <c r="E2598" t="s">
        <v>4146</v>
      </c>
      <c r="F2598" t="s">
        <v>0</v>
      </c>
      <c r="G2598" t="str">
        <f>"2018-10-18 13:13:39"</f>
        <v>2018-10-18 13:13:39</v>
      </c>
    </row>
    <row r="2599" spans="1:7" x14ac:dyDescent="0.2">
      <c r="A2599" t="s">
        <v>4147</v>
      </c>
      <c r="B2599" t="str">
        <f>"17718729151"</f>
        <v>17718729151</v>
      </c>
      <c r="C2599" t="str">
        <f>"620403199102031615"</f>
        <v>620403199102031615</v>
      </c>
      <c r="D2599" t="s">
        <v>1</v>
      </c>
      <c r="E2599" t="s">
        <v>1</v>
      </c>
      <c r="F2599" t="s">
        <v>0</v>
      </c>
      <c r="G2599" t="str">
        <f>"2018-10-18 13:06:46"</f>
        <v>2018-10-18 13:06:46</v>
      </c>
    </row>
    <row r="2600" spans="1:7" x14ac:dyDescent="0.2">
      <c r="A2600" t="s">
        <v>4147</v>
      </c>
      <c r="B2600" t="str">
        <f>"17718729151"</f>
        <v>17718729151</v>
      </c>
      <c r="C2600" t="str">
        <f>"620403199102031615"</f>
        <v>620403199102031615</v>
      </c>
      <c r="D2600" t="s">
        <v>1</v>
      </c>
      <c r="E2600" t="s">
        <v>1</v>
      </c>
      <c r="F2600" t="s">
        <v>0</v>
      </c>
      <c r="G2600" t="str">
        <f>"2018-10-18 13:06:46"</f>
        <v>2018-10-18 13:06:46</v>
      </c>
    </row>
    <row r="2601" spans="1:7" x14ac:dyDescent="0.2">
      <c r="A2601" t="s">
        <v>1</v>
      </c>
      <c r="B2601" t="str">
        <f>"18720380286"</f>
        <v>18720380286</v>
      </c>
      <c r="C2601" t="s">
        <v>1</v>
      </c>
      <c r="D2601" t="s">
        <v>1</v>
      </c>
      <c r="E2601" t="s">
        <v>1</v>
      </c>
      <c r="F2601" t="s">
        <v>0</v>
      </c>
      <c r="G2601" t="str">
        <f>"2018-10-18 13:06:45"</f>
        <v>2018-10-18 13:06:45</v>
      </c>
    </row>
    <row r="2602" spans="1:7" x14ac:dyDescent="0.2">
      <c r="A2602" t="s">
        <v>4148</v>
      </c>
      <c r="B2602" t="str">
        <f>"18934359008"</f>
        <v>18934359008</v>
      </c>
      <c r="C2602" t="str">
        <f>"440681198403210619"</f>
        <v>440681198403210619</v>
      </c>
      <c r="D2602" t="s">
        <v>4149</v>
      </c>
      <c r="E2602" t="s">
        <v>4150</v>
      </c>
      <c r="F2602" t="s">
        <v>0</v>
      </c>
      <c r="G2602" t="str">
        <f>"2018-10-18 13:08:03"</f>
        <v>2018-10-18 13:08:03</v>
      </c>
    </row>
    <row r="2603" spans="1:7" x14ac:dyDescent="0.2">
      <c r="A2603" t="s">
        <v>4151</v>
      </c>
      <c r="B2603" t="str">
        <f>"18180788539"</f>
        <v>18180788539</v>
      </c>
      <c r="C2603" t="str">
        <f>"420523197701140092"</f>
        <v>420523197701140092</v>
      </c>
      <c r="D2603" t="s">
        <v>1</v>
      </c>
      <c r="E2603" t="s">
        <v>1</v>
      </c>
      <c r="F2603" t="s">
        <v>0</v>
      </c>
      <c r="G2603" t="str">
        <f>"2018-10-18 13:17:46"</f>
        <v>2018-10-18 13:17:46</v>
      </c>
    </row>
    <row r="2604" spans="1:7" x14ac:dyDescent="0.2">
      <c r="A2604" t="s">
        <v>4152</v>
      </c>
      <c r="B2604" t="str">
        <f>"15942301390"</f>
        <v>15942301390</v>
      </c>
      <c r="C2604" t="str">
        <f>"210111198308051024"</f>
        <v>210111198308051024</v>
      </c>
      <c r="D2604" t="s">
        <v>1</v>
      </c>
      <c r="E2604" t="s">
        <v>1</v>
      </c>
      <c r="F2604" t="s">
        <v>0</v>
      </c>
      <c r="G2604" t="str">
        <f>"2018-10-19 19:01:39"</f>
        <v>2018-10-19 19:01:39</v>
      </c>
    </row>
    <row r="2605" spans="1:7" x14ac:dyDescent="0.2">
      <c r="A2605" t="s">
        <v>4153</v>
      </c>
      <c r="B2605" t="str">
        <f>"15006636195"</f>
        <v>15006636195</v>
      </c>
      <c r="C2605" t="str">
        <f>"371122199702156632"</f>
        <v>371122199702156632</v>
      </c>
      <c r="D2605" t="s">
        <v>1</v>
      </c>
      <c r="E2605" t="s">
        <v>1</v>
      </c>
      <c r="F2605" t="s">
        <v>0</v>
      </c>
      <c r="G2605" t="str">
        <f>"2018-10-18 13:17:57"</f>
        <v>2018-10-18 13:17:57</v>
      </c>
    </row>
    <row r="2606" spans="1:7" x14ac:dyDescent="0.2">
      <c r="A2606" t="s">
        <v>4154</v>
      </c>
      <c r="B2606" t="str">
        <f>"13793169133"</f>
        <v>13793169133</v>
      </c>
      <c r="C2606" t="str">
        <f>"370122197301245618"</f>
        <v>370122197301245618</v>
      </c>
      <c r="D2606" t="s">
        <v>4155</v>
      </c>
      <c r="E2606" t="s">
        <v>4156</v>
      </c>
      <c r="F2606" t="s">
        <v>0</v>
      </c>
      <c r="G2606" t="str">
        <f>"2018-10-29 19:04:40"</f>
        <v>2018-10-29 19:04:40</v>
      </c>
    </row>
    <row r="2607" spans="1:7" x14ac:dyDescent="0.2">
      <c r="A2607" t="s">
        <v>1</v>
      </c>
      <c r="B2607" t="str">
        <f>"13991181847"</f>
        <v>13991181847</v>
      </c>
      <c r="C2607" t="s">
        <v>1</v>
      </c>
      <c r="D2607" t="s">
        <v>1</v>
      </c>
      <c r="E2607" t="s">
        <v>1</v>
      </c>
      <c r="F2607" t="s">
        <v>0</v>
      </c>
      <c r="G2607" t="str">
        <f>"2018-10-18 13:05:36"</f>
        <v>2018-10-18 13:05:36</v>
      </c>
    </row>
    <row r="2608" spans="1:7" x14ac:dyDescent="0.2">
      <c r="A2608" t="s">
        <v>4157</v>
      </c>
      <c r="B2608" t="str">
        <f>"18315199147"</f>
        <v>18315199147</v>
      </c>
      <c r="C2608" t="str">
        <f>"500102199403211337"</f>
        <v>500102199403211337</v>
      </c>
      <c r="D2608" t="s">
        <v>4158</v>
      </c>
      <c r="E2608" t="s">
        <v>4159</v>
      </c>
      <c r="F2608" t="s">
        <v>0</v>
      </c>
      <c r="G2608" t="str">
        <f>"2018-10-26 06:37:35"</f>
        <v>2018-10-26 06:37:35</v>
      </c>
    </row>
    <row r="2609" spans="1:7" x14ac:dyDescent="0.2">
      <c r="A2609" t="s">
        <v>4160</v>
      </c>
      <c r="B2609" t="str">
        <f>"18551184424"</f>
        <v>18551184424</v>
      </c>
      <c r="C2609" t="str">
        <f>"321323198909234515"</f>
        <v>321323198909234515</v>
      </c>
      <c r="D2609" t="s">
        <v>1</v>
      </c>
      <c r="E2609" t="s">
        <v>1</v>
      </c>
      <c r="F2609" t="s">
        <v>0</v>
      </c>
      <c r="G2609" t="str">
        <f>"2018-10-18 13:09:20"</f>
        <v>2018-10-18 13:09:20</v>
      </c>
    </row>
    <row r="2610" spans="1:7" x14ac:dyDescent="0.2">
      <c r="A2610" t="s">
        <v>4161</v>
      </c>
      <c r="B2610" t="str">
        <f>"18365471519"</f>
        <v>18365471519</v>
      </c>
      <c r="C2610" t="str">
        <f>"362202198706073011"</f>
        <v>362202198706073011</v>
      </c>
      <c r="D2610" t="s">
        <v>1</v>
      </c>
      <c r="E2610" t="s">
        <v>1</v>
      </c>
      <c r="F2610" t="s">
        <v>0</v>
      </c>
      <c r="G2610" t="str">
        <f>"2018-10-18 13:04:44"</f>
        <v>2018-10-18 13:04:44</v>
      </c>
    </row>
    <row r="2611" spans="1:7" x14ac:dyDescent="0.2">
      <c r="A2611" t="s">
        <v>593</v>
      </c>
      <c r="B2611" t="str">
        <f>"18610528861"</f>
        <v>18610528861</v>
      </c>
      <c r="C2611" t="str">
        <f>"110106198902125116"</f>
        <v>110106198902125116</v>
      </c>
      <c r="D2611" t="s">
        <v>1</v>
      </c>
      <c r="E2611" t="s">
        <v>1</v>
      </c>
      <c r="F2611" t="s">
        <v>0</v>
      </c>
      <c r="G2611" t="str">
        <f>"2018-11-01 13:54:10"</f>
        <v>2018-11-01 13:54:10</v>
      </c>
    </row>
    <row r="2612" spans="1:7" x14ac:dyDescent="0.2">
      <c r="A2612" t="s">
        <v>1</v>
      </c>
      <c r="B2612" t="str">
        <f>"13809457450"</f>
        <v>13809457450</v>
      </c>
      <c r="C2612" t="s">
        <v>1</v>
      </c>
      <c r="D2612" t="s">
        <v>1</v>
      </c>
      <c r="E2612" t="s">
        <v>1</v>
      </c>
      <c r="F2612" t="s">
        <v>0</v>
      </c>
      <c r="G2612" t="str">
        <f>"2018-10-18 13:02:00"</f>
        <v>2018-10-18 13:02:00</v>
      </c>
    </row>
    <row r="2613" spans="1:7" x14ac:dyDescent="0.2">
      <c r="A2613" t="s">
        <v>4162</v>
      </c>
      <c r="B2613" t="str">
        <f>"13009508282"</f>
        <v>13009508282</v>
      </c>
      <c r="C2613" t="str">
        <f>"150121199208170713"</f>
        <v>150121199208170713</v>
      </c>
      <c r="D2613" t="s">
        <v>1</v>
      </c>
      <c r="E2613" t="s">
        <v>1</v>
      </c>
      <c r="F2613" t="s">
        <v>0</v>
      </c>
      <c r="G2613" t="str">
        <f>"2018-10-18 13:03:12"</f>
        <v>2018-10-18 13:03:12</v>
      </c>
    </row>
    <row r="2614" spans="1:7" x14ac:dyDescent="0.2">
      <c r="A2614" t="s">
        <v>4163</v>
      </c>
      <c r="B2614" t="str">
        <f>"18899491531"</f>
        <v>18899491531</v>
      </c>
      <c r="C2614" t="str">
        <f>"654221198704032224"</f>
        <v>654221198704032224</v>
      </c>
      <c r="D2614" t="s">
        <v>1</v>
      </c>
      <c r="E2614" t="s">
        <v>1</v>
      </c>
      <c r="F2614" t="s">
        <v>0</v>
      </c>
      <c r="G2614" t="str">
        <f>"2018-10-18 13:03:35"</f>
        <v>2018-10-18 13:03:35</v>
      </c>
    </row>
    <row r="2615" spans="1:7" x14ac:dyDescent="0.2">
      <c r="A2615" t="s">
        <v>1465</v>
      </c>
      <c r="B2615" t="str">
        <f>"17615859598"</f>
        <v>17615859598</v>
      </c>
      <c r="C2615" t="str">
        <f>"370102198704212510"</f>
        <v>370102198704212510</v>
      </c>
      <c r="D2615" t="s">
        <v>1</v>
      </c>
      <c r="E2615" t="s">
        <v>1</v>
      </c>
      <c r="F2615" t="s">
        <v>0</v>
      </c>
      <c r="G2615" t="str">
        <f>"2018-10-18 13:02:46"</f>
        <v>2018-10-18 13:02:46</v>
      </c>
    </row>
    <row r="2616" spans="1:7" x14ac:dyDescent="0.2">
      <c r="A2616" t="s">
        <v>4164</v>
      </c>
      <c r="B2616" t="str">
        <f>"13933615680"</f>
        <v>13933615680</v>
      </c>
      <c r="C2616" t="str">
        <f>"130302198204071113"</f>
        <v>130302198204071113</v>
      </c>
      <c r="D2616" t="s">
        <v>4165</v>
      </c>
      <c r="E2616" t="s">
        <v>4166</v>
      </c>
      <c r="F2616" t="s">
        <v>0</v>
      </c>
      <c r="G2616" t="str">
        <f>"2018-10-18 13:04:16"</f>
        <v>2018-10-18 13:04:16</v>
      </c>
    </row>
    <row r="2617" spans="1:7" x14ac:dyDescent="0.2">
      <c r="A2617" t="s">
        <v>1</v>
      </c>
      <c r="B2617" t="str">
        <f>"18835605538"</f>
        <v>18835605538</v>
      </c>
      <c r="C2617" t="s">
        <v>1</v>
      </c>
      <c r="D2617" t="s">
        <v>1</v>
      </c>
      <c r="E2617" t="s">
        <v>1</v>
      </c>
      <c r="F2617" t="s">
        <v>0</v>
      </c>
      <c r="G2617" t="str">
        <f>"2018-10-18 13:00:54"</f>
        <v>2018-10-18 13:00:54</v>
      </c>
    </row>
    <row r="2618" spans="1:7" x14ac:dyDescent="0.2">
      <c r="A2618" t="s">
        <v>1</v>
      </c>
      <c r="B2618" t="str">
        <f>"15188037407"</f>
        <v>15188037407</v>
      </c>
      <c r="C2618" t="s">
        <v>1</v>
      </c>
      <c r="D2618" t="s">
        <v>1</v>
      </c>
      <c r="E2618" t="s">
        <v>1</v>
      </c>
      <c r="F2618" t="s">
        <v>0</v>
      </c>
      <c r="G2618" t="str">
        <f>"2018-10-18 13:00:40"</f>
        <v>2018-10-18 13:00:40</v>
      </c>
    </row>
    <row r="2619" spans="1:7" x14ac:dyDescent="0.2">
      <c r="A2619" t="s">
        <v>838</v>
      </c>
      <c r="B2619" t="str">
        <f>"13149838881"</f>
        <v>13149838881</v>
      </c>
      <c r="C2619" t="str">
        <f>"210181198403302433"</f>
        <v>210181198403302433</v>
      </c>
      <c r="D2619" t="s">
        <v>1</v>
      </c>
      <c r="E2619" t="s">
        <v>1</v>
      </c>
      <c r="F2619" t="s">
        <v>0</v>
      </c>
      <c r="G2619" t="str">
        <f>"2018-10-18 13:01:45"</f>
        <v>2018-10-18 13:01:45</v>
      </c>
    </row>
    <row r="2620" spans="1:7" x14ac:dyDescent="0.2">
      <c r="A2620" t="s">
        <v>1</v>
      </c>
      <c r="B2620" t="str">
        <f>"13631509113"</f>
        <v>13631509113</v>
      </c>
      <c r="C2620" t="s">
        <v>1</v>
      </c>
      <c r="D2620" t="s">
        <v>1</v>
      </c>
      <c r="E2620" t="s">
        <v>1</v>
      </c>
      <c r="F2620" t="s">
        <v>0</v>
      </c>
      <c r="G2620" t="str">
        <f>"2018-10-18 13:03:10"</f>
        <v>2018-10-18 13:03:10</v>
      </c>
    </row>
    <row r="2621" spans="1:7" x14ac:dyDescent="0.2">
      <c r="A2621" t="s">
        <v>1</v>
      </c>
      <c r="B2621" t="str">
        <f>"15731721444"</f>
        <v>15731721444</v>
      </c>
      <c r="C2621" t="s">
        <v>1</v>
      </c>
      <c r="D2621" t="s">
        <v>1</v>
      </c>
      <c r="E2621" t="s">
        <v>1</v>
      </c>
      <c r="F2621" t="s">
        <v>0</v>
      </c>
      <c r="G2621" t="str">
        <f>"2018-10-18 13:00:10"</f>
        <v>2018-10-18 13:00:10</v>
      </c>
    </row>
    <row r="2622" spans="1:7" x14ac:dyDescent="0.2">
      <c r="A2622" t="s">
        <v>4167</v>
      </c>
      <c r="B2622" t="str">
        <f>"15012040503"</f>
        <v>15012040503</v>
      </c>
      <c r="C2622" t="str">
        <f>"533523199006270087"</f>
        <v>533523199006270087</v>
      </c>
      <c r="D2622" t="s">
        <v>1</v>
      </c>
      <c r="E2622" t="s">
        <v>1</v>
      </c>
      <c r="F2622" t="s">
        <v>0</v>
      </c>
      <c r="G2622" t="str">
        <f>"2018-10-18 13:02:18"</f>
        <v>2018-10-18 13:02:18</v>
      </c>
    </row>
    <row r="2623" spans="1:7" x14ac:dyDescent="0.2">
      <c r="A2623" t="s">
        <v>4168</v>
      </c>
      <c r="B2623" t="str">
        <f>"17819485050"</f>
        <v>17819485050</v>
      </c>
      <c r="C2623" t="str">
        <f>"441802198801061416"</f>
        <v>441802198801061416</v>
      </c>
      <c r="D2623" t="s">
        <v>1</v>
      </c>
      <c r="E2623" t="s">
        <v>1</v>
      </c>
      <c r="F2623" t="s">
        <v>0</v>
      </c>
      <c r="G2623" t="str">
        <f>"2018-10-18 13:01:16"</f>
        <v>2018-10-18 13:01:16</v>
      </c>
    </row>
    <row r="2624" spans="1:7" x14ac:dyDescent="0.2">
      <c r="A2624" t="s">
        <v>193</v>
      </c>
      <c r="B2624" t="str">
        <f>"13964900621"</f>
        <v>13964900621</v>
      </c>
      <c r="C2624" t="str">
        <f>"370826198401017514"</f>
        <v>370826198401017514</v>
      </c>
      <c r="D2624" t="s">
        <v>1</v>
      </c>
      <c r="E2624" t="s">
        <v>1</v>
      </c>
      <c r="F2624" t="s">
        <v>0</v>
      </c>
      <c r="G2624" t="str">
        <f>"2018-10-18 13:01:01"</f>
        <v>2018-10-18 13:01:01</v>
      </c>
    </row>
    <row r="2625" spans="1:7" x14ac:dyDescent="0.2">
      <c r="A2625" t="s">
        <v>4169</v>
      </c>
      <c r="B2625" t="str">
        <f>"13093213344"</f>
        <v>13093213344</v>
      </c>
      <c r="C2625" t="str">
        <f>"420802198808231911"</f>
        <v>420802198808231911</v>
      </c>
      <c r="D2625" t="s">
        <v>1</v>
      </c>
      <c r="E2625" t="s">
        <v>1</v>
      </c>
      <c r="F2625" t="s">
        <v>0</v>
      </c>
      <c r="G2625" t="str">
        <f>"2018-10-18 12:59:55"</f>
        <v>2018-10-18 12:59:55</v>
      </c>
    </row>
    <row r="2626" spans="1:7" x14ac:dyDescent="0.2">
      <c r="A2626" t="s">
        <v>1</v>
      </c>
      <c r="B2626" t="str">
        <f>"13594267661"</f>
        <v>13594267661</v>
      </c>
      <c r="C2626" t="s">
        <v>1</v>
      </c>
      <c r="D2626" t="s">
        <v>1</v>
      </c>
      <c r="E2626" t="s">
        <v>1</v>
      </c>
      <c r="F2626" t="s">
        <v>0</v>
      </c>
      <c r="G2626" t="str">
        <f>"2018-10-18 12:59:31"</f>
        <v>2018-10-18 12:59:31</v>
      </c>
    </row>
    <row r="2627" spans="1:7" x14ac:dyDescent="0.2">
      <c r="A2627" t="s">
        <v>4170</v>
      </c>
      <c r="B2627" t="str">
        <f>"15084811160"</f>
        <v>15084811160</v>
      </c>
      <c r="C2627" t="str">
        <f>"430121199202173654"</f>
        <v>430121199202173654</v>
      </c>
      <c r="D2627" t="s">
        <v>4171</v>
      </c>
      <c r="E2627" t="s">
        <v>4172</v>
      </c>
      <c r="F2627" t="s">
        <v>0</v>
      </c>
      <c r="G2627" t="str">
        <f>"2018-10-18 13:00:11"</f>
        <v>2018-10-18 13:00:11</v>
      </c>
    </row>
    <row r="2628" spans="1:7" x14ac:dyDescent="0.2">
      <c r="A2628" t="s">
        <v>4173</v>
      </c>
      <c r="B2628" t="str">
        <f>"17620834607"</f>
        <v>17620834607</v>
      </c>
      <c r="C2628" t="str">
        <f>"450924199703225332"</f>
        <v>450924199703225332</v>
      </c>
      <c r="D2628" t="s">
        <v>1</v>
      </c>
      <c r="E2628" t="s">
        <v>1</v>
      </c>
      <c r="F2628" t="s">
        <v>0</v>
      </c>
      <c r="G2628" t="str">
        <f>"2018-10-18 13:02:12"</f>
        <v>2018-10-18 13:02:12</v>
      </c>
    </row>
    <row r="2629" spans="1:7" x14ac:dyDescent="0.2">
      <c r="A2629" t="s">
        <v>4174</v>
      </c>
      <c r="B2629" t="str">
        <f>"13656022415"</f>
        <v>13656022415</v>
      </c>
      <c r="C2629" t="str">
        <f>"360781199309126111"</f>
        <v>360781199309126111</v>
      </c>
      <c r="D2629" t="s">
        <v>1</v>
      </c>
      <c r="E2629" t="s">
        <v>1</v>
      </c>
      <c r="F2629" t="s">
        <v>0</v>
      </c>
      <c r="G2629" t="str">
        <f>"2018-10-18 13:01:29"</f>
        <v>2018-10-18 13:01:29</v>
      </c>
    </row>
    <row r="2630" spans="1:7" x14ac:dyDescent="0.2">
      <c r="A2630" t="s">
        <v>1</v>
      </c>
      <c r="B2630" t="str">
        <f>"15954751119"</f>
        <v>15954751119</v>
      </c>
      <c r="C2630" t="s">
        <v>1</v>
      </c>
      <c r="D2630" t="s">
        <v>1</v>
      </c>
      <c r="E2630" t="s">
        <v>1</v>
      </c>
      <c r="F2630" t="s">
        <v>0</v>
      </c>
      <c r="G2630" t="str">
        <f>"2018-10-18 12:59:01"</f>
        <v>2018-10-18 12:59:01</v>
      </c>
    </row>
    <row r="2631" spans="1:7" x14ac:dyDescent="0.2">
      <c r="A2631" t="s">
        <v>4175</v>
      </c>
      <c r="B2631" t="str">
        <f>"18003547060"</f>
        <v>18003547060</v>
      </c>
      <c r="C2631" t="str">
        <f>"14243019930423381X"</f>
        <v>14243019930423381X</v>
      </c>
      <c r="D2631" t="s">
        <v>4176</v>
      </c>
      <c r="E2631" t="s">
        <v>4177</v>
      </c>
      <c r="F2631" t="s">
        <v>0</v>
      </c>
      <c r="G2631" t="str">
        <f>"2018-10-18 13:12:04"</f>
        <v>2018-10-18 13:12:04</v>
      </c>
    </row>
    <row r="2632" spans="1:7" x14ac:dyDescent="0.2">
      <c r="A2632" t="s">
        <v>1</v>
      </c>
      <c r="B2632" t="str">
        <f>"15858757897"</f>
        <v>15858757897</v>
      </c>
      <c r="C2632" t="s">
        <v>1</v>
      </c>
      <c r="D2632" t="s">
        <v>1</v>
      </c>
      <c r="E2632" t="s">
        <v>1</v>
      </c>
      <c r="F2632" t="s">
        <v>0</v>
      </c>
      <c r="G2632" t="str">
        <f>"2018-10-18 12:57:33"</f>
        <v>2018-10-18 12:57:33</v>
      </c>
    </row>
    <row r="2633" spans="1:7" x14ac:dyDescent="0.2">
      <c r="A2633" t="s">
        <v>4178</v>
      </c>
      <c r="B2633" t="str">
        <f>"13312885583"</f>
        <v>13312885583</v>
      </c>
      <c r="C2633" t="str">
        <f>"430381198201216010"</f>
        <v>430381198201216010</v>
      </c>
      <c r="D2633" t="s">
        <v>1</v>
      </c>
      <c r="E2633" t="s">
        <v>1</v>
      </c>
      <c r="F2633" t="s">
        <v>0</v>
      </c>
      <c r="G2633" t="str">
        <f>"2018-10-18 12:57:33"</f>
        <v>2018-10-18 12:57:33</v>
      </c>
    </row>
    <row r="2634" spans="1:7" x14ac:dyDescent="0.2">
      <c r="A2634" t="s">
        <v>4179</v>
      </c>
      <c r="B2634" t="str">
        <f>"15103672938"</f>
        <v>15103672938</v>
      </c>
      <c r="C2634" t="str">
        <f>"460004199007195288"</f>
        <v>460004199007195288</v>
      </c>
      <c r="D2634" t="s">
        <v>1</v>
      </c>
      <c r="E2634" t="s">
        <v>1</v>
      </c>
      <c r="F2634" t="s">
        <v>0</v>
      </c>
      <c r="G2634" t="str">
        <f>"2018-10-18 13:43:14"</f>
        <v>2018-10-18 13:43:14</v>
      </c>
    </row>
    <row r="2635" spans="1:7" x14ac:dyDescent="0.2">
      <c r="A2635" t="s">
        <v>1</v>
      </c>
      <c r="B2635" t="str">
        <f>"15072983849"</f>
        <v>15072983849</v>
      </c>
      <c r="C2635" t="s">
        <v>1</v>
      </c>
      <c r="D2635" t="s">
        <v>1</v>
      </c>
      <c r="E2635" t="s">
        <v>1</v>
      </c>
      <c r="F2635" t="s">
        <v>0</v>
      </c>
      <c r="G2635" t="str">
        <f>"2018-10-18 12:56:15"</f>
        <v>2018-10-18 12:56:15</v>
      </c>
    </row>
    <row r="2636" spans="1:7" x14ac:dyDescent="0.2">
      <c r="A2636" t="s">
        <v>1</v>
      </c>
      <c r="B2636" t="str">
        <f>"13612899395"</f>
        <v>13612899395</v>
      </c>
      <c r="C2636" t="s">
        <v>1</v>
      </c>
      <c r="D2636" t="s">
        <v>1</v>
      </c>
      <c r="E2636" t="s">
        <v>1</v>
      </c>
      <c r="F2636" t="s">
        <v>0</v>
      </c>
      <c r="G2636" t="str">
        <f>"2018-10-18 12:56:05"</f>
        <v>2018-10-18 12:56:05</v>
      </c>
    </row>
    <row r="2637" spans="1:7" x14ac:dyDescent="0.2">
      <c r="A2637" t="s">
        <v>1</v>
      </c>
      <c r="B2637" t="str">
        <f>"13872159224"</f>
        <v>13872159224</v>
      </c>
      <c r="C2637" t="s">
        <v>1</v>
      </c>
      <c r="D2637" t="s">
        <v>1</v>
      </c>
      <c r="E2637" t="s">
        <v>1</v>
      </c>
      <c r="F2637" t="s">
        <v>0</v>
      </c>
      <c r="G2637" t="str">
        <f>"2018-10-18 12:57:34"</f>
        <v>2018-10-18 12:57:34</v>
      </c>
    </row>
    <row r="2638" spans="1:7" x14ac:dyDescent="0.2">
      <c r="A2638" t="s">
        <v>4180</v>
      </c>
      <c r="B2638" t="str">
        <f>"15025270119"</f>
        <v>15025270119</v>
      </c>
      <c r="C2638" t="str">
        <f>"532625198312011334"</f>
        <v>532625198312011334</v>
      </c>
      <c r="D2638" t="s">
        <v>1</v>
      </c>
      <c r="E2638" t="s">
        <v>1</v>
      </c>
      <c r="F2638" t="s">
        <v>0</v>
      </c>
      <c r="G2638" t="str">
        <f>"2018-10-18 12:55:22"</f>
        <v>2018-10-18 12:55:22</v>
      </c>
    </row>
    <row r="2639" spans="1:7" x14ac:dyDescent="0.2">
      <c r="A2639" t="s">
        <v>1</v>
      </c>
      <c r="B2639" t="str">
        <f>"13866163318"</f>
        <v>13866163318</v>
      </c>
      <c r="C2639" t="s">
        <v>1</v>
      </c>
      <c r="D2639" t="s">
        <v>1</v>
      </c>
      <c r="E2639" t="s">
        <v>1</v>
      </c>
      <c r="F2639" t="s">
        <v>0</v>
      </c>
      <c r="G2639" t="str">
        <f>"2018-10-18 12:55:14"</f>
        <v>2018-10-18 12:55:14</v>
      </c>
    </row>
    <row r="2640" spans="1:7" x14ac:dyDescent="0.2">
      <c r="A2640" t="s">
        <v>1</v>
      </c>
      <c r="B2640" t="str">
        <f>"15133190692"</f>
        <v>15133190692</v>
      </c>
      <c r="C2640" t="s">
        <v>1</v>
      </c>
      <c r="D2640" t="s">
        <v>1</v>
      </c>
      <c r="E2640" t="s">
        <v>1</v>
      </c>
      <c r="F2640" t="s">
        <v>0</v>
      </c>
      <c r="G2640" t="str">
        <f>"2018-10-18 12:55:05"</f>
        <v>2018-10-18 12:55:05</v>
      </c>
    </row>
    <row r="2641" spans="1:7" x14ac:dyDescent="0.2">
      <c r="A2641" t="s">
        <v>4181</v>
      </c>
      <c r="B2641" t="str">
        <f>"15623000204"</f>
        <v>15623000204</v>
      </c>
      <c r="C2641" t="str">
        <f>"421083199205056819"</f>
        <v>421083199205056819</v>
      </c>
      <c r="D2641" t="s">
        <v>1</v>
      </c>
      <c r="E2641" t="s">
        <v>1</v>
      </c>
      <c r="F2641" t="s">
        <v>0</v>
      </c>
      <c r="G2641" t="str">
        <f>"2018-10-28 11:06:44"</f>
        <v>2018-10-28 11:06:44</v>
      </c>
    </row>
    <row r="2642" spans="1:7" x14ac:dyDescent="0.2">
      <c r="A2642" t="s">
        <v>4182</v>
      </c>
      <c r="B2642" t="str">
        <f>"13563148272"</f>
        <v>13563148272</v>
      </c>
      <c r="C2642" t="str">
        <f>"370632197407244824"</f>
        <v>370632197407244824</v>
      </c>
      <c r="D2642" t="s">
        <v>1</v>
      </c>
      <c r="E2642" t="s">
        <v>1</v>
      </c>
      <c r="F2642" t="s">
        <v>0</v>
      </c>
      <c r="G2642" t="str">
        <f>"2018-10-18 12:58:22"</f>
        <v>2018-10-18 12:58:22</v>
      </c>
    </row>
    <row r="2643" spans="1:7" x14ac:dyDescent="0.2">
      <c r="A2643" t="s">
        <v>1</v>
      </c>
      <c r="B2643" t="str">
        <f>"13267431665"</f>
        <v>13267431665</v>
      </c>
      <c r="C2643" t="s">
        <v>1</v>
      </c>
      <c r="D2643" t="s">
        <v>1</v>
      </c>
      <c r="E2643" t="s">
        <v>1</v>
      </c>
      <c r="F2643" t="s">
        <v>0</v>
      </c>
      <c r="G2643" t="str">
        <f>"2018-10-18 12:54:13"</f>
        <v>2018-10-18 12:54:13</v>
      </c>
    </row>
    <row r="2644" spans="1:7" x14ac:dyDescent="0.2">
      <c r="A2644" t="s">
        <v>4183</v>
      </c>
      <c r="B2644" t="str">
        <f>"18391286879"</f>
        <v>18391286879</v>
      </c>
      <c r="C2644" t="str">
        <f>"612701198708095532"</f>
        <v>612701198708095532</v>
      </c>
      <c r="D2644" t="s">
        <v>4184</v>
      </c>
      <c r="E2644" t="s">
        <v>4185</v>
      </c>
      <c r="F2644" t="s">
        <v>0</v>
      </c>
      <c r="G2644" t="str">
        <f>"2018-10-18 13:44:29"</f>
        <v>2018-10-18 13:44:29</v>
      </c>
    </row>
    <row r="2645" spans="1:7" x14ac:dyDescent="0.2">
      <c r="A2645" t="s">
        <v>1</v>
      </c>
      <c r="B2645" t="str">
        <f>"18264808832"</f>
        <v>18264808832</v>
      </c>
      <c r="C2645" t="s">
        <v>1</v>
      </c>
      <c r="D2645" t="s">
        <v>1</v>
      </c>
      <c r="E2645" t="s">
        <v>1</v>
      </c>
      <c r="F2645" t="s">
        <v>0</v>
      </c>
      <c r="G2645" t="str">
        <f>"2018-10-18 12:53:22"</f>
        <v>2018-10-18 12:53:22</v>
      </c>
    </row>
    <row r="2646" spans="1:7" x14ac:dyDescent="0.2">
      <c r="A2646" t="s">
        <v>1</v>
      </c>
      <c r="B2646" t="str">
        <f>"13572109422"</f>
        <v>13572109422</v>
      </c>
      <c r="C2646" t="s">
        <v>1</v>
      </c>
      <c r="D2646" t="s">
        <v>1</v>
      </c>
      <c r="E2646" t="s">
        <v>1</v>
      </c>
      <c r="F2646" t="s">
        <v>0</v>
      </c>
      <c r="G2646" t="str">
        <f>"2018-10-18 12:53:19"</f>
        <v>2018-10-18 12:53:19</v>
      </c>
    </row>
    <row r="2647" spans="1:7" x14ac:dyDescent="0.2">
      <c r="A2647" t="s">
        <v>4186</v>
      </c>
      <c r="B2647" t="str">
        <f>"18889996255"</f>
        <v>18889996255</v>
      </c>
      <c r="C2647" t="str">
        <f>"352230198201171832"</f>
        <v>352230198201171832</v>
      </c>
      <c r="D2647" t="s">
        <v>1</v>
      </c>
      <c r="E2647" t="s">
        <v>1</v>
      </c>
      <c r="F2647" t="s">
        <v>0</v>
      </c>
      <c r="G2647" t="str">
        <f>"2018-10-18 12:57:32"</f>
        <v>2018-10-18 12:57:32</v>
      </c>
    </row>
    <row r="2648" spans="1:7" x14ac:dyDescent="0.2">
      <c r="A2648" t="s">
        <v>4187</v>
      </c>
      <c r="B2648" t="str">
        <f>"18788376428"</f>
        <v>18788376428</v>
      </c>
      <c r="C2648" t="str">
        <f>"533521199612241224"</f>
        <v>533521199612241224</v>
      </c>
      <c r="D2648" t="s">
        <v>1</v>
      </c>
      <c r="E2648" t="s">
        <v>1</v>
      </c>
      <c r="F2648" t="s">
        <v>0</v>
      </c>
      <c r="G2648" t="str">
        <f>"2018-10-18 13:31:29"</f>
        <v>2018-10-18 13:31:29</v>
      </c>
    </row>
    <row r="2649" spans="1:7" x14ac:dyDescent="0.2">
      <c r="A2649" t="s">
        <v>4188</v>
      </c>
      <c r="B2649" t="str">
        <f>"18515148766"</f>
        <v>18515148766</v>
      </c>
      <c r="C2649" t="str">
        <f>"130638199210193552"</f>
        <v>130638199210193552</v>
      </c>
      <c r="D2649" t="s">
        <v>1</v>
      </c>
      <c r="E2649" t="s">
        <v>1</v>
      </c>
      <c r="F2649" t="s">
        <v>0</v>
      </c>
      <c r="G2649" t="str">
        <f>"2018-10-18 12:55:14"</f>
        <v>2018-10-18 12:55:14</v>
      </c>
    </row>
    <row r="2650" spans="1:7" x14ac:dyDescent="0.2">
      <c r="A2650" t="s">
        <v>1</v>
      </c>
      <c r="B2650" t="str">
        <f>"15935725543"</f>
        <v>15935725543</v>
      </c>
      <c r="C2650" t="s">
        <v>1</v>
      </c>
      <c r="D2650" t="s">
        <v>1</v>
      </c>
      <c r="E2650" t="s">
        <v>1</v>
      </c>
      <c r="F2650" t="s">
        <v>0</v>
      </c>
      <c r="G2650" t="str">
        <f>"2018-10-18 12:52:17"</f>
        <v>2018-10-18 12:52:17</v>
      </c>
    </row>
    <row r="2651" spans="1:7" x14ac:dyDescent="0.2">
      <c r="A2651" t="s">
        <v>4189</v>
      </c>
      <c r="B2651" t="str">
        <f>"15887780807"</f>
        <v>15887780807</v>
      </c>
      <c r="C2651" t="str">
        <f>"532331198710030021"</f>
        <v>532331198710030021</v>
      </c>
      <c r="D2651" t="s">
        <v>1</v>
      </c>
      <c r="E2651" t="s">
        <v>1</v>
      </c>
      <c r="F2651" t="s">
        <v>0</v>
      </c>
      <c r="G2651" t="str">
        <f>"2018-10-18 13:14:38"</f>
        <v>2018-10-18 13:14:38</v>
      </c>
    </row>
    <row r="2652" spans="1:7" x14ac:dyDescent="0.2">
      <c r="A2652" t="s">
        <v>4190</v>
      </c>
      <c r="B2652" t="str">
        <f>"13869408789"</f>
        <v>13869408789</v>
      </c>
      <c r="C2652" t="str">
        <f>"37048119900903742X"</f>
        <v>37048119900903742X</v>
      </c>
      <c r="D2652" t="s">
        <v>1</v>
      </c>
      <c r="E2652" t="s">
        <v>1</v>
      </c>
      <c r="F2652" t="s">
        <v>0</v>
      </c>
      <c r="G2652" t="str">
        <f>"2018-10-18 13:43:33"</f>
        <v>2018-10-18 13:43:33</v>
      </c>
    </row>
    <row r="2653" spans="1:7" x14ac:dyDescent="0.2">
      <c r="A2653" t="s">
        <v>4191</v>
      </c>
      <c r="B2653" t="str">
        <f>"15288467181"</f>
        <v>15288467181</v>
      </c>
      <c r="C2653" t="str">
        <f>"532501199411110619"</f>
        <v>532501199411110619</v>
      </c>
      <c r="D2653" t="s">
        <v>1</v>
      </c>
      <c r="E2653" t="s">
        <v>1</v>
      </c>
      <c r="F2653" t="s">
        <v>0</v>
      </c>
      <c r="G2653" t="str">
        <f>"2018-10-25 16:49:24"</f>
        <v>2018-10-25 16:49:24</v>
      </c>
    </row>
    <row r="2654" spans="1:7" x14ac:dyDescent="0.2">
      <c r="A2654" t="s">
        <v>1</v>
      </c>
      <c r="B2654" t="str">
        <f>"15717973867"</f>
        <v>15717973867</v>
      </c>
      <c r="C2654" t="s">
        <v>1</v>
      </c>
      <c r="D2654" t="s">
        <v>1</v>
      </c>
      <c r="E2654" t="s">
        <v>1</v>
      </c>
      <c r="F2654" t="s">
        <v>0</v>
      </c>
      <c r="G2654" t="str">
        <f>"2018-10-18 12:55:18"</f>
        <v>2018-10-18 12:55:18</v>
      </c>
    </row>
    <row r="2655" spans="1:7" x14ac:dyDescent="0.2">
      <c r="A2655" t="s">
        <v>1</v>
      </c>
      <c r="B2655" t="str">
        <f>"13958781362"</f>
        <v>13958781362</v>
      </c>
      <c r="C2655" t="s">
        <v>1</v>
      </c>
      <c r="D2655" t="s">
        <v>1</v>
      </c>
      <c r="E2655" t="s">
        <v>1</v>
      </c>
      <c r="F2655" t="s">
        <v>0</v>
      </c>
      <c r="G2655" t="str">
        <f>"2018-10-18 12:50:21"</f>
        <v>2018-10-18 12:50:21</v>
      </c>
    </row>
    <row r="2656" spans="1:7" x14ac:dyDescent="0.2">
      <c r="A2656" t="s">
        <v>1</v>
      </c>
      <c r="B2656" t="str">
        <f>"13509740513"</f>
        <v>13509740513</v>
      </c>
      <c r="C2656" t="s">
        <v>1</v>
      </c>
      <c r="D2656" t="s">
        <v>1</v>
      </c>
      <c r="E2656" t="s">
        <v>1</v>
      </c>
      <c r="F2656" t="s">
        <v>0</v>
      </c>
      <c r="G2656" t="str">
        <f>"2018-10-18 12:53:02"</f>
        <v>2018-10-18 12:53:02</v>
      </c>
    </row>
    <row r="2657" spans="1:7" x14ac:dyDescent="0.2">
      <c r="A2657" t="s">
        <v>1</v>
      </c>
      <c r="B2657" t="str">
        <f>"13326396246"</f>
        <v>13326396246</v>
      </c>
      <c r="C2657" t="s">
        <v>1</v>
      </c>
      <c r="D2657" t="s">
        <v>1</v>
      </c>
      <c r="E2657" t="s">
        <v>1</v>
      </c>
      <c r="F2657" t="s">
        <v>0</v>
      </c>
      <c r="G2657" t="str">
        <f>"2018-10-18 12:49:46"</f>
        <v>2018-10-18 12:49:46</v>
      </c>
    </row>
    <row r="2658" spans="1:7" x14ac:dyDescent="0.2">
      <c r="A2658" t="s">
        <v>4192</v>
      </c>
      <c r="B2658" t="str">
        <f>"13912639359"</f>
        <v>13912639359</v>
      </c>
      <c r="C2658" t="str">
        <f>"320502199303300015"</f>
        <v>320502199303300015</v>
      </c>
      <c r="D2658" t="s">
        <v>1</v>
      </c>
      <c r="E2658" t="s">
        <v>1</v>
      </c>
      <c r="F2658" t="s">
        <v>0</v>
      </c>
      <c r="G2658" t="str">
        <f>"2018-10-20 15:49:48"</f>
        <v>2018-10-20 15:49:48</v>
      </c>
    </row>
    <row r="2659" spans="1:7" x14ac:dyDescent="0.2">
      <c r="A2659" t="s">
        <v>487</v>
      </c>
      <c r="B2659" t="str">
        <f>"15893033898"</f>
        <v>15893033898</v>
      </c>
      <c r="C2659" t="str">
        <f>"410823199208280191"</f>
        <v>410823199208280191</v>
      </c>
      <c r="D2659" t="s">
        <v>1</v>
      </c>
      <c r="E2659" t="s">
        <v>1</v>
      </c>
      <c r="F2659" t="s">
        <v>0</v>
      </c>
      <c r="G2659" t="str">
        <f>"2018-10-18 12:49:59"</f>
        <v>2018-10-18 12:49:59</v>
      </c>
    </row>
    <row r="2660" spans="1:7" x14ac:dyDescent="0.2">
      <c r="A2660" t="s">
        <v>4193</v>
      </c>
      <c r="B2660" t="str">
        <f>"18378497772"</f>
        <v>18378497772</v>
      </c>
      <c r="C2660" t="str">
        <f>"452424199108201111"</f>
        <v>452424199108201111</v>
      </c>
      <c r="D2660" t="s">
        <v>1</v>
      </c>
      <c r="E2660" t="s">
        <v>1</v>
      </c>
      <c r="F2660" t="s">
        <v>0</v>
      </c>
      <c r="G2660" t="str">
        <f>"2018-10-18 13:00:30"</f>
        <v>2018-10-18 13:00:30</v>
      </c>
    </row>
    <row r="2661" spans="1:7" x14ac:dyDescent="0.2">
      <c r="A2661" t="s">
        <v>4194</v>
      </c>
      <c r="B2661" t="str">
        <f>"18733555120"</f>
        <v>18733555120</v>
      </c>
      <c r="C2661" t="str">
        <f>"130323199105046429"</f>
        <v>130323199105046429</v>
      </c>
      <c r="D2661" t="s">
        <v>1</v>
      </c>
      <c r="E2661" t="s">
        <v>1</v>
      </c>
      <c r="F2661" t="s">
        <v>0</v>
      </c>
      <c r="G2661" t="str">
        <f>"2018-10-18 12:51:09"</f>
        <v>2018-10-18 12:51:09</v>
      </c>
    </row>
    <row r="2662" spans="1:7" x14ac:dyDescent="0.2">
      <c r="A2662" t="s">
        <v>365</v>
      </c>
      <c r="B2662" t="str">
        <f>"18815962472"</f>
        <v>18815962472</v>
      </c>
      <c r="C2662" t="str">
        <f>"511321199211230464"</f>
        <v>511321199211230464</v>
      </c>
      <c r="D2662" t="s">
        <v>1</v>
      </c>
      <c r="E2662" t="s">
        <v>1</v>
      </c>
      <c r="F2662" t="s">
        <v>0</v>
      </c>
      <c r="G2662" t="str">
        <f>"2018-10-18 12:59:29"</f>
        <v>2018-10-18 12:59:29</v>
      </c>
    </row>
    <row r="2663" spans="1:7" x14ac:dyDescent="0.2">
      <c r="A2663" t="s">
        <v>1</v>
      </c>
      <c r="B2663" t="str">
        <f>"13894167893"</f>
        <v>13894167893</v>
      </c>
      <c r="C2663" t="s">
        <v>1</v>
      </c>
      <c r="D2663" t="s">
        <v>1</v>
      </c>
      <c r="E2663" t="s">
        <v>1</v>
      </c>
      <c r="F2663" t="s">
        <v>0</v>
      </c>
      <c r="G2663" t="str">
        <f>"2018-10-18 12:48:17"</f>
        <v>2018-10-18 12:48:17</v>
      </c>
    </row>
    <row r="2664" spans="1:7" x14ac:dyDescent="0.2">
      <c r="A2664" t="s">
        <v>1</v>
      </c>
      <c r="B2664" t="str">
        <f>"15282007381"</f>
        <v>15282007381</v>
      </c>
      <c r="C2664" t="s">
        <v>1</v>
      </c>
      <c r="D2664" t="s">
        <v>1</v>
      </c>
      <c r="E2664" t="s">
        <v>1</v>
      </c>
      <c r="F2664" t="s">
        <v>0</v>
      </c>
      <c r="G2664" t="str">
        <f>"2018-10-18 12:48:09"</f>
        <v>2018-10-18 12:48:09</v>
      </c>
    </row>
    <row r="2665" spans="1:7" x14ac:dyDescent="0.2">
      <c r="A2665" t="s">
        <v>1</v>
      </c>
      <c r="B2665" t="str">
        <f>"18288809134"</f>
        <v>18288809134</v>
      </c>
      <c r="C2665" t="s">
        <v>1</v>
      </c>
      <c r="D2665" t="s">
        <v>1</v>
      </c>
      <c r="E2665" t="s">
        <v>1</v>
      </c>
      <c r="F2665" t="s">
        <v>0</v>
      </c>
      <c r="G2665" t="str">
        <f>"2018-10-18 12:47:53"</f>
        <v>2018-10-18 12:47:53</v>
      </c>
    </row>
    <row r="2666" spans="1:7" x14ac:dyDescent="0.2">
      <c r="A2666" t="s">
        <v>1</v>
      </c>
      <c r="B2666" t="str">
        <f>"15264662208"</f>
        <v>15264662208</v>
      </c>
      <c r="C2666" t="s">
        <v>1</v>
      </c>
      <c r="D2666" t="s">
        <v>1</v>
      </c>
      <c r="E2666" t="s">
        <v>1</v>
      </c>
      <c r="F2666" t="s">
        <v>0</v>
      </c>
      <c r="G2666" t="str">
        <f>"2018-10-18 12:48:37"</f>
        <v>2018-10-18 12:48:37</v>
      </c>
    </row>
    <row r="2667" spans="1:7" x14ac:dyDescent="0.2">
      <c r="A2667" t="s">
        <v>1</v>
      </c>
      <c r="B2667" t="str">
        <f>"13892659674"</f>
        <v>13892659674</v>
      </c>
      <c r="C2667" t="s">
        <v>1</v>
      </c>
      <c r="D2667" t="s">
        <v>1</v>
      </c>
      <c r="E2667" t="s">
        <v>1</v>
      </c>
      <c r="F2667" t="s">
        <v>0</v>
      </c>
      <c r="G2667" t="str">
        <f>"2018-10-18 12:46:56"</f>
        <v>2018-10-18 12:46:56</v>
      </c>
    </row>
    <row r="2668" spans="1:7" x14ac:dyDescent="0.2">
      <c r="A2668" t="s">
        <v>55</v>
      </c>
      <c r="B2668" t="str">
        <f>"15998518267"</f>
        <v>15998518267</v>
      </c>
      <c r="C2668" t="str">
        <f>"210522199202141756"</f>
        <v>210522199202141756</v>
      </c>
      <c r="D2668" t="s">
        <v>1</v>
      </c>
      <c r="E2668" t="s">
        <v>1</v>
      </c>
      <c r="F2668" t="s">
        <v>0</v>
      </c>
      <c r="G2668" t="str">
        <f>"2018-10-18 12:48:01"</f>
        <v>2018-10-18 12:48:01</v>
      </c>
    </row>
    <row r="2669" spans="1:7" x14ac:dyDescent="0.2">
      <c r="A2669" t="s">
        <v>1567</v>
      </c>
      <c r="B2669" t="str">
        <f>"13610863790"</f>
        <v>13610863790</v>
      </c>
      <c r="C2669" t="str">
        <f>"23112119880310061X"</f>
        <v>23112119880310061X</v>
      </c>
      <c r="D2669" t="s">
        <v>1</v>
      </c>
      <c r="E2669" t="s">
        <v>1</v>
      </c>
      <c r="F2669" t="s">
        <v>0</v>
      </c>
      <c r="G2669" t="str">
        <f>"2018-10-18 12:50:45"</f>
        <v>2018-10-18 12:50:45</v>
      </c>
    </row>
    <row r="2670" spans="1:7" x14ac:dyDescent="0.2">
      <c r="A2670" t="s">
        <v>4195</v>
      </c>
      <c r="B2670" t="str">
        <f>"13972341281"</f>
        <v>13972341281</v>
      </c>
      <c r="C2670" t="str">
        <f>"42108719821003421X"</f>
        <v>42108719821003421X</v>
      </c>
      <c r="D2670" t="s">
        <v>4196</v>
      </c>
      <c r="E2670" t="s">
        <v>4197</v>
      </c>
      <c r="F2670" t="s">
        <v>0</v>
      </c>
      <c r="G2670" t="str">
        <f>"2018-10-18 12:47:52"</f>
        <v>2018-10-18 12:47:52</v>
      </c>
    </row>
    <row r="2671" spans="1:7" x14ac:dyDescent="0.2">
      <c r="A2671" t="s">
        <v>4198</v>
      </c>
      <c r="B2671" t="str">
        <f>"13848011556"</f>
        <v>13848011556</v>
      </c>
      <c r="C2671" t="str">
        <f>"230281198108254028"</f>
        <v>230281198108254028</v>
      </c>
      <c r="D2671" t="s">
        <v>1</v>
      </c>
      <c r="E2671" t="s">
        <v>1</v>
      </c>
      <c r="F2671" t="s">
        <v>0</v>
      </c>
      <c r="G2671" t="str">
        <f>"2018-10-22 15:47:31"</f>
        <v>2018-10-22 15:47:31</v>
      </c>
    </row>
    <row r="2672" spans="1:7" x14ac:dyDescent="0.2">
      <c r="A2672" t="s">
        <v>1</v>
      </c>
      <c r="B2672" t="str">
        <f>"13649166347"</f>
        <v>13649166347</v>
      </c>
      <c r="C2672" t="s">
        <v>1</v>
      </c>
      <c r="D2672" t="s">
        <v>1</v>
      </c>
      <c r="E2672" t="s">
        <v>1</v>
      </c>
      <c r="F2672" t="s">
        <v>0</v>
      </c>
      <c r="G2672" t="str">
        <f>"2018-10-18 12:46:40"</f>
        <v>2018-10-18 12:46:40</v>
      </c>
    </row>
    <row r="2673" spans="1:7" x14ac:dyDescent="0.2">
      <c r="A2673" t="s">
        <v>4199</v>
      </c>
      <c r="B2673" t="str">
        <f>"18342600884"</f>
        <v>18342600884</v>
      </c>
      <c r="C2673" t="str">
        <f>"372928199410082013"</f>
        <v>372928199410082013</v>
      </c>
      <c r="D2673" t="s">
        <v>1</v>
      </c>
      <c r="E2673" t="s">
        <v>1</v>
      </c>
      <c r="F2673" t="s">
        <v>0</v>
      </c>
      <c r="G2673" t="str">
        <f>"2018-10-18 12:50:57"</f>
        <v>2018-10-18 12:50:57</v>
      </c>
    </row>
    <row r="2674" spans="1:7" x14ac:dyDescent="0.2">
      <c r="A2674" t="s">
        <v>1</v>
      </c>
      <c r="B2674" t="str">
        <f>"13616781239"</f>
        <v>13616781239</v>
      </c>
      <c r="C2674" t="s">
        <v>1</v>
      </c>
      <c r="D2674" t="s">
        <v>1</v>
      </c>
      <c r="E2674" t="s">
        <v>1</v>
      </c>
      <c r="F2674" t="s">
        <v>0</v>
      </c>
      <c r="G2674" t="str">
        <f>"2018-10-18 12:46:36"</f>
        <v>2018-10-18 12:46:36</v>
      </c>
    </row>
    <row r="2675" spans="1:7" x14ac:dyDescent="0.2">
      <c r="A2675" t="s">
        <v>1</v>
      </c>
      <c r="B2675" t="str">
        <f>"15839211681"</f>
        <v>15839211681</v>
      </c>
      <c r="C2675" t="s">
        <v>1</v>
      </c>
      <c r="D2675" t="s">
        <v>1</v>
      </c>
      <c r="E2675" t="s">
        <v>1</v>
      </c>
      <c r="F2675" t="s">
        <v>0</v>
      </c>
      <c r="G2675" t="str">
        <f>"2018-10-18 12:47:55"</f>
        <v>2018-10-18 12:47:55</v>
      </c>
    </row>
    <row r="2676" spans="1:7" x14ac:dyDescent="0.2">
      <c r="A2676" t="s">
        <v>1</v>
      </c>
      <c r="B2676" t="str">
        <f>"13519547323"</f>
        <v>13519547323</v>
      </c>
      <c r="C2676" t="s">
        <v>1</v>
      </c>
      <c r="D2676" t="s">
        <v>1</v>
      </c>
      <c r="E2676" t="s">
        <v>1</v>
      </c>
      <c r="F2676" t="s">
        <v>0</v>
      </c>
      <c r="G2676" t="str">
        <f>"2018-10-18 12:46:22"</f>
        <v>2018-10-18 12:46:22</v>
      </c>
    </row>
    <row r="2677" spans="1:7" x14ac:dyDescent="0.2">
      <c r="A2677" t="s">
        <v>4200</v>
      </c>
      <c r="B2677" t="str">
        <f>"18296592601"</f>
        <v>18296592601</v>
      </c>
      <c r="C2677" t="str">
        <f>"362204199003030012"</f>
        <v>362204199003030012</v>
      </c>
      <c r="D2677" t="s">
        <v>1</v>
      </c>
      <c r="E2677" t="s">
        <v>1</v>
      </c>
      <c r="F2677" t="s">
        <v>0</v>
      </c>
      <c r="G2677" t="str">
        <f>"2018-10-18 17:43:59"</f>
        <v>2018-10-18 17:43:59</v>
      </c>
    </row>
    <row r="2678" spans="1:7" x14ac:dyDescent="0.2">
      <c r="A2678" t="s">
        <v>71</v>
      </c>
      <c r="B2678" t="str">
        <f>"15660202075"</f>
        <v>15660202075</v>
      </c>
      <c r="C2678" t="str">
        <f>"430621199607191014"</f>
        <v>430621199607191014</v>
      </c>
      <c r="D2678" t="s">
        <v>1</v>
      </c>
      <c r="E2678" t="s">
        <v>1</v>
      </c>
      <c r="F2678" t="s">
        <v>0</v>
      </c>
      <c r="G2678" t="str">
        <f>"2018-10-25 14:00:54"</f>
        <v>2018-10-25 14:00:54</v>
      </c>
    </row>
    <row r="2679" spans="1:7" x14ac:dyDescent="0.2">
      <c r="A2679" t="s">
        <v>1</v>
      </c>
      <c r="B2679" t="str">
        <f>"13633092652"</f>
        <v>13633092652</v>
      </c>
      <c r="C2679" t="s">
        <v>1</v>
      </c>
      <c r="D2679" t="s">
        <v>1</v>
      </c>
      <c r="E2679" t="s">
        <v>1</v>
      </c>
      <c r="F2679" t="s">
        <v>0</v>
      </c>
      <c r="G2679" t="str">
        <f>"2018-10-18 12:46:18"</f>
        <v>2018-10-18 12:46:18</v>
      </c>
    </row>
    <row r="2680" spans="1:7" x14ac:dyDescent="0.2">
      <c r="A2680" t="s">
        <v>134</v>
      </c>
      <c r="B2680" t="str">
        <f>"18214742920"</f>
        <v>18214742920</v>
      </c>
      <c r="C2680" t="str">
        <f>"342422199506076354"</f>
        <v>342422199506076354</v>
      </c>
      <c r="D2680" t="s">
        <v>4201</v>
      </c>
      <c r="E2680" t="s">
        <v>4202</v>
      </c>
      <c r="F2680" t="s">
        <v>0</v>
      </c>
      <c r="G2680" t="str">
        <f>"2018-10-18 12:47:02"</f>
        <v>2018-10-18 12:47:02</v>
      </c>
    </row>
    <row r="2681" spans="1:7" x14ac:dyDescent="0.2">
      <c r="A2681" t="s">
        <v>1</v>
      </c>
      <c r="B2681" t="str">
        <f>"13473662062"</f>
        <v>13473662062</v>
      </c>
      <c r="C2681" t="s">
        <v>1</v>
      </c>
      <c r="D2681" t="s">
        <v>1</v>
      </c>
      <c r="E2681" t="s">
        <v>1</v>
      </c>
      <c r="F2681" t="s">
        <v>0</v>
      </c>
      <c r="G2681" t="str">
        <f>"2018-10-18 12:46:03"</f>
        <v>2018-10-18 12:46:03</v>
      </c>
    </row>
    <row r="2682" spans="1:7" x14ac:dyDescent="0.2">
      <c r="A2682" t="s">
        <v>4203</v>
      </c>
      <c r="B2682" t="str">
        <f>"13523637379"</f>
        <v>13523637379</v>
      </c>
      <c r="C2682" t="str">
        <f>"410802197912216555"</f>
        <v>410802197912216555</v>
      </c>
      <c r="D2682" t="s">
        <v>1</v>
      </c>
      <c r="E2682" t="s">
        <v>1</v>
      </c>
      <c r="F2682" t="s">
        <v>0</v>
      </c>
      <c r="G2682" t="str">
        <f>"2018-10-18 12:46:59"</f>
        <v>2018-10-18 12:46:59</v>
      </c>
    </row>
    <row r="2683" spans="1:7" x14ac:dyDescent="0.2">
      <c r="A2683" t="s">
        <v>4204</v>
      </c>
      <c r="B2683" t="str">
        <f>"13454010446"</f>
        <v>13454010446</v>
      </c>
      <c r="C2683" t="str">
        <f>"330881198804280015"</f>
        <v>330881198804280015</v>
      </c>
      <c r="D2683" t="s">
        <v>4205</v>
      </c>
      <c r="E2683" t="s">
        <v>4206</v>
      </c>
      <c r="F2683" t="s">
        <v>0</v>
      </c>
      <c r="G2683" t="str">
        <f>"2018-10-18 12:51:14"</f>
        <v>2018-10-18 12:51:14</v>
      </c>
    </row>
    <row r="2684" spans="1:7" x14ac:dyDescent="0.2">
      <c r="A2684" t="s">
        <v>1</v>
      </c>
      <c r="B2684" t="str">
        <f>"13963177611"</f>
        <v>13963177611</v>
      </c>
      <c r="C2684" t="s">
        <v>1</v>
      </c>
      <c r="D2684" t="s">
        <v>1</v>
      </c>
      <c r="E2684" t="s">
        <v>1</v>
      </c>
      <c r="F2684" t="s">
        <v>0</v>
      </c>
      <c r="G2684" t="str">
        <f>"2018-10-18 12:45:54"</f>
        <v>2018-10-18 12:45:54</v>
      </c>
    </row>
    <row r="2685" spans="1:7" x14ac:dyDescent="0.2">
      <c r="A2685" t="s">
        <v>475</v>
      </c>
      <c r="B2685" t="str">
        <f>"18887810781"</f>
        <v>18887810781</v>
      </c>
      <c r="C2685" t="str">
        <f>"532331197508120010"</f>
        <v>532331197508120010</v>
      </c>
      <c r="D2685" t="s">
        <v>4207</v>
      </c>
      <c r="E2685" t="s">
        <v>4208</v>
      </c>
      <c r="F2685" t="s">
        <v>0</v>
      </c>
      <c r="G2685" t="str">
        <f>"2018-10-18 13:04:56"</f>
        <v>2018-10-18 13:04:56</v>
      </c>
    </row>
    <row r="2686" spans="1:7" x14ac:dyDescent="0.2">
      <c r="A2686" t="s">
        <v>1</v>
      </c>
      <c r="B2686" t="str">
        <f>"13758560713"</f>
        <v>13758560713</v>
      </c>
      <c r="C2686" t="s">
        <v>1</v>
      </c>
      <c r="D2686" t="s">
        <v>1</v>
      </c>
      <c r="E2686" t="s">
        <v>1</v>
      </c>
      <c r="F2686" t="s">
        <v>0</v>
      </c>
      <c r="G2686" t="str">
        <f>"2018-10-18 12:45:35"</f>
        <v>2018-10-18 12:45:35</v>
      </c>
    </row>
    <row r="2687" spans="1:7" x14ac:dyDescent="0.2">
      <c r="A2687" t="s">
        <v>1</v>
      </c>
      <c r="B2687" t="str">
        <f>"18834218452"</f>
        <v>18834218452</v>
      </c>
      <c r="C2687" t="s">
        <v>1</v>
      </c>
      <c r="D2687" t="s">
        <v>1</v>
      </c>
      <c r="E2687" t="s">
        <v>1</v>
      </c>
      <c r="F2687" t="s">
        <v>0</v>
      </c>
      <c r="G2687" t="str">
        <f>"2018-10-18 12:45:33"</f>
        <v>2018-10-18 12:45:33</v>
      </c>
    </row>
    <row r="2688" spans="1:7" x14ac:dyDescent="0.2">
      <c r="A2688" t="s">
        <v>1</v>
      </c>
      <c r="B2688" t="str">
        <f>"13603662796"</f>
        <v>13603662796</v>
      </c>
      <c r="C2688" t="s">
        <v>1</v>
      </c>
      <c r="D2688" t="s">
        <v>1</v>
      </c>
      <c r="E2688" t="s">
        <v>1</v>
      </c>
      <c r="F2688" t="s">
        <v>0</v>
      </c>
      <c r="G2688" t="str">
        <f>"2018-10-18 12:47:08"</f>
        <v>2018-10-18 12:47:08</v>
      </c>
    </row>
    <row r="2689" spans="1:7" x14ac:dyDescent="0.2">
      <c r="A2689" t="s">
        <v>4209</v>
      </c>
      <c r="B2689" t="str">
        <f>"13777358512"</f>
        <v>13777358512</v>
      </c>
      <c r="C2689" t="str">
        <f>"330106197511273011"</f>
        <v>330106197511273011</v>
      </c>
      <c r="D2689" t="s">
        <v>1</v>
      </c>
      <c r="E2689" t="s">
        <v>1</v>
      </c>
      <c r="F2689" t="s">
        <v>0</v>
      </c>
      <c r="G2689" t="str">
        <f>"2018-10-18 12:47:31"</f>
        <v>2018-10-18 12:47:31</v>
      </c>
    </row>
    <row r="2690" spans="1:7" x14ac:dyDescent="0.2">
      <c r="A2690" t="s">
        <v>4210</v>
      </c>
      <c r="B2690" t="str">
        <f>"18831295497"</f>
        <v>18831295497</v>
      </c>
      <c r="C2690" t="str">
        <f>"130604199202282420"</f>
        <v>130604199202282420</v>
      </c>
      <c r="D2690" t="s">
        <v>1</v>
      </c>
      <c r="E2690" t="s">
        <v>1</v>
      </c>
      <c r="F2690" t="s">
        <v>0</v>
      </c>
      <c r="G2690" t="str">
        <f>"2018-10-18 12:46:28"</f>
        <v>2018-10-18 12:46:28</v>
      </c>
    </row>
    <row r="2691" spans="1:7" x14ac:dyDescent="0.2">
      <c r="A2691" t="s">
        <v>1</v>
      </c>
      <c r="B2691" t="str">
        <f>"13519888737"</f>
        <v>13519888737</v>
      </c>
      <c r="C2691" t="s">
        <v>1</v>
      </c>
      <c r="D2691" t="s">
        <v>1</v>
      </c>
      <c r="E2691" t="s">
        <v>1</v>
      </c>
      <c r="F2691" t="s">
        <v>0</v>
      </c>
      <c r="G2691" t="str">
        <f>"2018-10-18 12:46:53"</f>
        <v>2018-10-18 12:46:53</v>
      </c>
    </row>
    <row r="2692" spans="1:7" x14ac:dyDescent="0.2">
      <c r="A2692" t="s">
        <v>1</v>
      </c>
      <c r="B2692" t="str">
        <f>"13721816699"</f>
        <v>13721816699</v>
      </c>
      <c r="C2692" t="s">
        <v>1</v>
      </c>
      <c r="D2692" t="s">
        <v>1</v>
      </c>
      <c r="E2692" t="s">
        <v>1</v>
      </c>
      <c r="F2692" t="s">
        <v>0</v>
      </c>
      <c r="G2692" t="str">
        <f>"2018-10-18 12:45:11"</f>
        <v>2018-10-18 12:45:11</v>
      </c>
    </row>
    <row r="2693" spans="1:7" x14ac:dyDescent="0.2">
      <c r="A2693" t="s">
        <v>1</v>
      </c>
      <c r="B2693" t="str">
        <f>"13067387136"</f>
        <v>13067387136</v>
      </c>
      <c r="C2693" t="s">
        <v>1</v>
      </c>
      <c r="D2693" t="s">
        <v>1</v>
      </c>
      <c r="E2693" t="s">
        <v>1</v>
      </c>
      <c r="F2693" t="s">
        <v>0</v>
      </c>
      <c r="G2693" t="str">
        <f>"2018-10-18 12:45:06"</f>
        <v>2018-10-18 12:45:06</v>
      </c>
    </row>
    <row r="2694" spans="1:7" x14ac:dyDescent="0.2">
      <c r="A2694" t="s">
        <v>4211</v>
      </c>
      <c r="B2694" t="str">
        <f>"13751673611"</f>
        <v>13751673611</v>
      </c>
      <c r="C2694" t="str">
        <f>"445281199312202813"</f>
        <v>445281199312202813</v>
      </c>
      <c r="D2694" t="s">
        <v>1</v>
      </c>
      <c r="E2694" t="s">
        <v>1</v>
      </c>
      <c r="F2694" t="s">
        <v>0</v>
      </c>
      <c r="G2694" t="str">
        <f>"2018-10-18 12:44:34"</f>
        <v>2018-10-18 12:44:34</v>
      </c>
    </row>
    <row r="2695" spans="1:7" x14ac:dyDescent="0.2">
      <c r="A2695" t="s">
        <v>4212</v>
      </c>
      <c r="B2695" t="str">
        <f>"18737137184"</f>
        <v>18737137184</v>
      </c>
      <c r="C2695" t="str">
        <f>"412722199203295378"</f>
        <v>412722199203295378</v>
      </c>
      <c r="D2695" t="s">
        <v>1</v>
      </c>
      <c r="E2695" t="s">
        <v>1</v>
      </c>
      <c r="F2695" t="s">
        <v>0</v>
      </c>
      <c r="G2695" t="str">
        <f>"2018-10-30 13:05:43"</f>
        <v>2018-10-30 13:05:43</v>
      </c>
    </row>
    <row r="2696" spans="1:7" x14ac:dyDescent="0.2">
      <c r="A2696" t="s">
        <v>4213</v>
      </c>
      <c r="B2696" t="str">
        <f>"17729992992"</f>
        <v>17729992992</v>
      </c>
      <c r="C2696" t="str">
        <f>"340223199503166411"</f>
        <v>340223199503166411</v>
      </c>
      <c r="D2696" t="s">
        <v>4214</v>
      </c>
      <c r="E2696" t="s">
        <v>4215</v>
      </c>
      <c r="F2696" t="s">
        <v>0</v>
      </c>
      <c r="G2696" t="str">
        <f>"2018-10-18 12:45:14"</f>
        <v>2018-10-18 12:45:14</v>
      </c>
    </row>
    <row r="2697" spans="1:7" x14ac:dyDescent="0.2">
      <c r="A2697" t="s">
        <v>1</v>
      </c>
      <c r="B2697" t="str">
        <f>"15577657848"</f>
        <v>15577657848</v>
      </c>
      <c r="C2697" t="s">
        <v>1</v>
      </c>
      <c r="D2697" t="s">
        <v>1</v>
      </c>
      <c r="E2697" t="s">
        <v>1</v>
      </c>
      <c r="F2697" t="s">
        <v>0</v>
      </c>
      <c r="G2697" t="str">
        <f>"2018-10-18 12:43:20"</f>
        <v>2018-10-18 12:43:20</v>
      </c>
    </row>
    <row r="2698" spans="1:7" x14ac:dyDescent="0.2">
      <c r="A2698" t="s">
        <v>4216</v>
      </c>
      <c r="B2698" t="str">
        <f>"18587320638"</f>
        <v>18587320638</v>
      </c>
      <c r="C2698" t="str">
        <f>"532927199610270557"</f>
        <v>532927199610270557</v>
      </c>
      <c r="D2698" t="s">
        <v>1</v>
      </c>
      <c r="E2698" t="s">
        <v>1</v>
      </c>
      <c r="F2698" t="s">
        <v>0</v>
      </c>
      <c r="G2698" t="str">
        <f>"2018-10-18 12:43:20"</f>
        <v>2018-10-18 12:43:20</v>
      </c>
    </row>
    <row r="2699" spans="1:7" x14ac:dyDescent="0.2">
      <c r="A2699" t="s">
        <v>4217</v>
      </c>
      <c r="B2699" t="str">
        <f>"18601997004"</f>
        <v>18601997004</v>
      </c>
      <c r="C2699" t="str">
        <f>"130730199506241810"</f>
        <v>130730199506241810</v>
      </c>
      <c r="D2699" t="s">
        <v>1</v>
      </c>
      <c r="E2699" t="s">
        <v>1</v>
      </c>
      <c r="F2699" t="s">
        <v>0</v>
      </c>
      <c r="G2699" t="str">
        <f>"2018-10-18 13:37:20"</f>
        <v>2018-10-18 13:37:20</v>
      </c>
    </row>
    <row r="2700" spans="1:7" x14ac:dyDescent="0.2">
      <c r="A2700" t="s">
        <v>209</v>
      </c>
      <c r="B2700" t="str">
        <f>"15594992505"</f>
        <v>15594992505</v>
      </c>
      <c r="C2700" t="str">
        <f>"612430199902102118"</f>
        <v>612430199902102118</v>
      </c>
      <c r="D2700" t="s">
        <v>1</v>
      </c>
      <c r="E2700" t="s">
        <v>1</v>
      </c>
      <c r="F2700" t="s">
        <v>0</v>
      </c>
      <c r="G2700" t="str">
        <f>"2018-10-18 12:44:34"</f>
        <v>2018-10-18 12:44:34</v>
      </c>
    </row>
    <row r="2701" spans="1:7" x14ac:dyDescent="0.2">
      <c r="A2701" t="s">
        <v>1</v>
      </c>
      <c r="B2701" t="str">
        <f>"13894278685"</f>
        <v>13894278685</v>
      </c>
      <c r="C2701" t="s">
        <v>1</v>
      </c>
      <c r="D2701" t="s">
        <v>1</v>
      </c>
      <c r="E2701" t="s">
        <v>1</v>
      </c>
      <c r="F2701" t="s">
        <v>0</v>
      </c>
      <c r="G2701" t="str">
        <f>"2018-10-18 12:41:24"</f>
        <v>2018-10-18 12:41:24</v>
      </c>
    </row>
    <row r="2702" spans="1:7" x14ac:dyDescent="0.2">
      <c r="A2702" t="s">
        <v>1</v>
      </c>
      <c r="B2702" t="str">
        <f>"13126051908"</f>
        <v>13126051908</v>
      </c>
      <c r="C2702" t="s">
        <v>1</v>
      </c>
      <c r="D2702" t="s">
        <v>1</v>
      </c>
      <c r="E2702" t="s">
        <v>1</v>
      </c>
      <c r="F2702" t="s">
        <v>0</v>
      </c>
      <c r="G2702" t="str">
        <f>"2018-10-18 12:40:53"</f>
        <v>2018-10-18 12:40:53</v>
      </c>
    </row>
    <row r="2703" spans="1:7" x14ac:dyDescent="0.2">
      <c r="A2703" t="s">
        <v>4218</v>
      </c>
      <c r="B2703" t="str">
        <f>"13155447250"</f>
        <v>13155447250</v>
      </c>
      <c r="C2703" t="str">
        <f>"340421199607265615"</f>
        <v>340421199607265615</v>
      </c>
      <c r="D2703" t="s">
        <v>1</v>
      </c>
      <c r="E2703" t="s">
        <v>1</v>
      </c>
      <c r="F2703" t="s">
        <v>0</v>
      </c>
      <c r="G2703" t="str">
        <f>"2018-10-18 12:41:16"</f>
        <v>2018-10-18 12:41:16</v>
      </c>
    </row>
    <row r="2704" spans="1:7" x14ac:dyDescent="0.2">
      <c r="A2704" t="s">
        <v>4219</v>
      </c>
      <c r="B2704" t="str">
        <f>"13752465787"</f>
        <v>13752465787</v>
      </c>
      <c r="C2704" t="str">
        <f>"120110198909050926"</f>
        <v>120110198909050926</v>
      </c>
      <c r="D2704" t="s">
        <v>1</v>
      </c>
      <c r="E2704" t="s">
        <v>1</v>
      </c>
      <c r="F2704" t="s">
        <v>0</v>
      </c>
      <c r="G2704" t="str">
        <f>"2018-10-18 12:41:25"</f>
        <v>2018-10-18 12:41:25</v>
      </c>
    </row>
    <row r="2705" spans="1:7" x14ac:dyDescent="0.2">
      <c r="A2705" t="s">
        <v>4220</v>
      </c>
      <c r="B2705" t="str">
        <f>"15270736094"</f>
        <v>15270736094</v>
      </c>
      <c r="C2705" t="str">
        <f>"360727199504272212"</f>
        <v>360727199504272212</v>
      </c>
      <c r="D2705" t="s">
        <v>4221</v>
      </c>
      <c r="E2705" t="s">
        <v>4222</v>
      </c>
      <c r="F2705" t="s">
        <v>0</v>
      </c>
      <c r="G2705" t="str">
        <f>"2018-10-18 12:39:35"</f>
        <v>2018-10-18 12:39:35</v>
      </c>
    </row>
    <row r="2706" spans="1:7" x14ac:dyDescent="0.2">
      <c r="A2706" t="s">
        <v>1</v>
      </c>
      <c r="B2706" t="str">
        <f>"13123011079"</f>
        <v>13123011079</v>
      </c>
      <c r="C2706" t="s">
        <v>1</v>
      </c>
      <c r="D2706" t="s">
        <v>1</v>
      </c>
      <c r="E2706" t="s">
        <v>1</v>
      </c>
      <c r="F2706" t="s">
        <v>0</v>
      </c>
      <c r="G2706" t="str">
        <f>"2018-10-18 12:37:54"</f>
        <v>2018-10-18 12:37:54</v>
      </c>
    </row>
    <row r="2707" spans="1:7" x14ac:dyDescent="0.2">
      <c r="A2707" t="s">
        <v>4223</v>
      </c>
      <c r="B2707" t="str">
        <f>"18979926789"</f>
        <v>18979926789</v>
      </c>
      <c r="C2707" t="str">
        <f>"230183199502161614"</f>
        <v>230183199502161614</v>
      </c>
      <c r="D2707" t="s">
        <v>1</v>
      </c>
      <c r="E2707" t="s">
        <v>1</v>
      </c>
      <c r="F2707" t="s">
        <v>0</v>
      </c>
      <c r="G2707" t="str">
        <f>"2018-10-18 13:15:32"</f>
        <v>2018-10-18 13:15:32</v>
      </c>
    </row>
    <row r="2708" spans="1:7" x14ac:dyDescent="0.2">
      <c r="A2708" t="s">
        <v>1</v>
      </c>
      <c r="B2708" t="str">
        <f>"13570322968"</f>
        <v>13570322968</v>
      </c>
      <c r="C2708" t="s">
        <v>1</v>
      </c>
      <c r="D2708" t="s">
        <v>1</v>
      </c>
      <c r="E2708" t="s">
        <v>1</v>
      </c>
      <c r="F2708" t="s">
        <v>0</v>
      </c>
      <c r="G2708" t="str">
        <f>"2018-10-18 12:36:21"</f>
        <v>2018-10-18 12:36:21</v>
      </c>
    </row>
    <row r="2709" spans="1:7" x14ac:dyDescent="0.2">
      <c r="A2709" t="s">
        <v>1</v>
      </c>
      <c r="B2709" t="str">
        <f>"18977597504"</f>
        <v>18977597504</v>
      </c>
      <c r="C2709" t="s">
        <v>1</v>
      </c>
      <c r="D2709" t="s">
        <v>1</v>
      </c>
      <c r="E2709" t="s">
        <v>1</v>
      </c>
      <c r="F2709" t="s">
        <v>0</v>
      </c>
      <c r="G2709" t="str">
        <f>"2018-10-18 12:36:19"</f>
        <v>2018-10-18 12:36:19</v>
      </c>
    </row>
    <row r="2710" spans="1:7" x14ac:dyDescent="0.2">
      <c r="A2710" t="s">
        <v>4224</v>
      </c>
      <c r="B2710" t="str">
        <f>"15202441727"</f>
        <v>15202441727</v>
      </c>
      <c r="C2710" t="str">
        <f>"510812198803166318"</f>
        <v>510812198803166318</v>
      </c>
      <c r="D2710" t="s">
        <v>1</v>
      </c>
      <c r="E2710" t="s">
        <v>1</v>
      </c>
      <c r="F2710" t="s">
        <v>0</v>
      </c>
      <c r="G2710" t="str">
        <f>"2018-10-18 12:40:06"</f>
        <v>2018-10-18 12:40:06</v>
      </c>
    </row>
    <row r="2711" spans="1:7" x14ac:dyDescent="0.2">
      <c r="A2711" t="s">
        <v>438</v>
      </c>
      <c r="B2711" t="str">
        <f>"13580646454"</f>
        <v>13580646454</v>
      </c>
      <c r="C2711" t="str">
        <f>"441284199801050035"</f>
        <v>441284199801050035</v>
      </c>
      <c r="D2711" t="s">
        <v>1</v>
      </c>
      <c r="E2711" t="s">
        <v>1</v>
      </c>
      <c r="F2711" t="s">
        <v>0</v>
      </c>
      <c r="G2711" t="str">
        <f>"2018-10-18 12:39:05"</f>
        <v>2018-10-18 12:39:05</v>
      </c>
    </row>
    <row r="2712" spans="1:7" x14ac:dyDescent="0.2">
      <c r="A2712" t="s">
        <v>4225</v>
      </c>
      <c r="B2712" t="str">
        <f>"13888786033"</f>
        <v>13888786033</v>
      </c>
      <c r="C2712" t="str">
        <f>"53010319640729035X"</f>
        <v>53010319640729035X</v>
      </c>
      <c r="D2712" t="s">
        <v>1</v>
      </c>
      <c r="E2712" t="s">
        <v>1</v>
      </c>
      <c r="F2712" t="s">
        <v>0</v>
      </c>
      <c r="G2712" t="str">
        <f>"2018-10-18 12:46:22"</f>
        <v>2018-10-18 12:46:22</v>
      </c>
    </row>
    <row r="2713" spans="1:7" x14ac:dyDescent="0.2">
      <c r="A2713" t="s">
        <v>4226</v>
      </c>
      <c r="B2713" t="str">
        <f>"15210170485"</f>
        <v>15210170485</v>
      </c>
      <c r="C2713" t="str">
        <f>"231026199005087319"</f>
        <v>231026199005087319</v>
      </c>
      <c r="D2713" t="s">
        <v>1</v>
      </c>
      <c r="E2713" t="s">
        <v>1</v>
      </c>
      <c r="F2713" t="s">
        <v>0</v>
      </c>
      <c r="G2713" t="str">
        <f>"2018-10-18 12:35:42"</f>
        <v>2018-10-18 12:35:42</v>
      </c>
    </row>
    <row r="2714" spans="1:7" x14ac:dyDescent="0.2">
      <c r="A2714" t="s">
        <v>4227</v>
      </c>
      <c r="B2714" t="str">
        <f>"17879835721"</f>
        <v>17879835721</v>
      </c>
      <c r="C2714" t="str">
        <f>"360481199202035045"</f>
        <v>360481199202035045</v>
      </c>
      <c r="D2714" t="s">
        <v>1</v>
      </c>
      <c r="E2714" t="s">
        <v>1</v>
      </c>
      <c r="F2714" t="s">
        <v>0</v>
      </c>
      <c r="G2714" t="str">
        <f>"2018-10-18 12:38:04"</f>
        <v>2018-10-18 12:38:04</v>
      </c>
    </row>
    <row r="2715" spans="1:7" x14ac:dyDescent="0.2">
      <c r="A2715" t="s">
        <v>4228</v>
      </c>
      <c r="B2715" t="str">
        <f>"13841081695"</f>
        <v>13841081695</v>
      </c>
      <c r="C2715" t="str">
        <f>"211223197906190814"</f>
        <v>211223197906190814</v>
      </c>
      <c r="D2715" t="s">
        <v>1</v>
      </c>
      <c r="E2715" t="s">
        <v>1</v>
      </c>
      <c r="F2715" t="s">
        <v>0</v>
      </c>
      <c r="G2715" t="str">
        <f>"2018-10-18 12:36:15"</f>
        <v>2018-10-18 12:36:15</v>
      </c>
    </row>
    <row r="2716" spans="1:7" x14ac:dyDescent="0.2">
      <c r="A2716" t="s">
        <v>1</v>
      </c>
      <c r="B2716" t="str">
        <f>"15060830086"</f>
        <v>15060830086</v>
      </c>
      <c r="C2716" t="s">
        <v>1</v>
      </c>
      <c r="D2716" t="s">
        <v>1</v>
      </c>
      <c r="E2716" t="s">
        <v>1</v>
      </c>
      <c r="F2716" t="s">
        <v>0</v>
      </c>
      <c r="G2716" t="str">
        <f>"2018-10-18 12:34:39"</f>
        <v>2018-10-18 12:34:39</v>
      </c>
    </row>
    <row r="2717" spans="1:7" x14ac:dyDescent="0.2">
      <c r="A2717" t="s">
        <v>1</v>
      </c>
      <c r="B2717" t="str">
        <f>"17305523986"</f>
        <v>17305523986</v>
      </c>
      <c r="C2717" t="s">
        <v>1</v>
      </c>
      <c r="D2717" t="s">
        <v>1</v>
      </c>
      <c r="E2717" t="s">
        <v>1</v>
      </c>
      <c r="F2717" t="s">
        <v>0</v>
      </c>
      <c r="G2717" t="str">
        <f>"2018-10-18 12:37:35"</f>
        <v>2018-10-18 12:37:35</v>
      </c>
    </row>
    <row r="2718" spans="1:7" x14ac:dyDescent="0.2">
      <c r="A2718" t="s">
        <v>4229</v>
      </c>
      <c r="B2718" t="str">
        <f>"18374354450"</f>
        <v>18374354450</v>
      </c>
      <c r="C2718" t="str">
        <f>"433127199205184616"</f>
        <v>433127199205184616</v>
      </c>
      <c r="D2718" t="s">
        <v>1</v>
      </c>
      <c r="E2718" t="s">
        <v>1</v>
      </c>
      <c r="F2718" t="s">
        <v>0</v>
      </c>
      <c r="G2718" t="str">
        <f>"2018-10-18 13:30:19"</f>
        <v>2018-10-18 13:30:19</v>
      </c>
    </row>
    <row r="2719" spans="1:7" x14ac:dyDescent="0.2">
      <c r="A2719" t="s">
        <v>148</v>
      </c>
      <c r="B2719" t="str">
        <f>"18759731400"</f>
        <v>18759731400</v>
      </c>
      <c r="C2719" t="str">
        <f>"350428198907106511"</f>
        <v>350428198907106511</v>
      </c>
      <c r="D2719" t="s">
        <v>1</v>
      </c>
      <c r="E2719" t="s">
        <v>1</v>
      </c>
      <c r="F2719" t="s">
        <v>0</v>
      </c>
      <c r="G2719" t="str">
        <f>"2018-10-18 12:34:24"</f>
        <v>2018-10-18 12:34:24</v>
      </c>
    </row>
    <row r="2720" spans="1:7" x14ac:dyDescent="0.2">
      <c r="A2720" t="s">
        <v>422</v>
      </c>
      <c r="B2720" t="str">
        <f>"15869436562"</f>
        <v>15869436562</v>
      </c>
      <c r="C2720" t="str">
        <f>"522124199001181255"</f>
        <v>522124199001181255</v>
      </c>
      <c r="D2720" t="s">
        <v>1</v>
      </c>
      <c r="E2720" t="s">
        <v>1</v>
      </c>
      <c r="F2720" t="s">
        <v>0</v>
      </c>
      <c r="G2720" t="str">
        <f>"2018-10-18 15:46:26"</f>
        <v>2018-10-18 15:46:26</v>
      </c>
    </row>
    <row r="2721" spans="1:7" x14ac:dyDescent="0.2">
      <c r="A2721" t="s">
        <v>4230</v>
      </c>
      <c r="B2721" t="str">
        <f>"13972565200"</f>
        <v>13972565200</v>
      </c>
      <c r="C2721" t="str">
        <f>"420502198709268915"</f>
        <v>420502198709268915</v>
      </c>
      <c r="D2721" t="s">
        <v>4231</v>
      </c>
      <c r="E2721" t="s">
        <v>4232</v>
      </c>
      <c r="F2721" t="s">
        <v>0</v>
      </c>
      <c r="G2721" t="str">
        <f>"2018-10-20 15:01:44"</f>
        <v>2018-10-20 15:01:44</v>
      </c>
    </row>
    <row r="2722" spans="1:7" x14ac:dyDescent="0.2">
      <c r="A2722" t="s">
        <v>4233</v>
      </c>
      <c r="B2722" t="str">
        <f>"18239111047"</f>
        <v>18239111047</v>
      </c>
      <c r="C2722" t="str">
        <f>"410821199508012532"</f>
        <v>410821199508012532</v>
      </c>
      <c r="D2722" t="s">
        <v>1</v>
      </c>
      <c r="E2722" t="s">
        <v>1</v>
      </c>
      <c r="F2722" t="s">
        <v>0</v>
      </c>
      <c r="G2722" t="str">
        <f>"2018-10-18 12:30:28"</f>
        <v>2018-10-18 12:30:28</v>
      </c>
    </row>
    <row r="2723" spans="1:7" x14ac:dyDescent="0.2">
      <c r="A2723" t="s">
        <v>4234</v>
      </c>
      <c r="B2723" t="str">
        <f>"13155787723"</f>
        <v>13155787723</v>
      </c>
      <c r="C2723" t="str">
        <f>"362334200004085313"</f>
        <v>362334200004085313</v>
      </c>
      <c r="D2723" t="s">
        <v>1</v>
      </c>
      <c r="E2723" t="s">
        <v>1</v>
      </c>
      <c r="F2723" t="s">
        <v>0</v>
      </c>
      <c r="G2723" t="str">
        <f>"2018-10-18 12:33:27"</f>
        <v>2018-10-18 12:33:27</v>
      </c>
    </row>
    <row r="2724" spans="1:7" x14ac:dyDescent="0.2">
      <c r="A2724" t="s">
        <v>1</v>
      </c>
      <c r="B2724" t="str">
        <f>"18229848825"</f>
        <v>18229848825</v>
      </c>
      <c r="C2724" t="s">
        <v>1</v>
      </c>
      <c r="D2724" t="s">
        <v>1</v>
      </c>
      <c r="E2724" t="s">
        <v>1</v>
      </c>
      <c r="F2724" t="s">
        <v>0</v>
      </c>
      <c r="G2724" t="str">
        <f>"2018-10-18 12:31:24"</f>
        <v>2018-10-18 12:31:24</v>
      </c>
    </row>
    <row r="2725" spans="1:7" x14ac:dyDescent="0.2">
      <c r="A2725" t="s">
        <v>1</v>
      </c>
      <c r="B2725" t="str">
        <f>"18253717966"</f>
        <v>18253717966</v>
      </c>
      <c r="C2725" t="s">
        <v>1</v>
      </c>
      <c r="D2725" t="s">
        <v>1</v>
      </c>
      <c r="E2725" t="s">
        <v>1</v>
      </c>
      <c r="F2725" t="s">
        <v>0</v>
      </c>
      <c r="G2725" t="str">
        <f>"2018-10-18 12:28:56"</f>
        <v>2018-10-18 12:28:56</v>
      </c>
    </row>
    <row r="2726" spans="1:7" x14ac:dyDescent="0.2">
      <c r="A2726" t="s">
        <v>4235</v>
      </c>
      <c r="B2726" t="str">
        <f>"15996809722"</f>
        <v>15996809722</v>
      </c>
      <c r="C2726" t="str">
        <f>"320882198811253423"</f>
        <v>320882198811253423</v>
      </c>
      <c r="D2726" t="s">
        <v>1</v>
      </c>
      <c r="E2726" t="s">
        <v>1</v>
      </c>
      <c r="F2726" t="s">
        <v>0</v>
      </c>
      <c r="G2726" t="str">
        <f>"2018-10-18 12:30:34"</f>
        <v>2018-10-18 12:30:34</v>
      </c>
    </row>
    <row r="2727" spans="1:7" x14ac:dyDescent="0.2">
      <c r="A2727" t="s">
        <v>740</v>
      </c>
      <c r="B2727" t="str">
        <f>"13898841606"</f>
        <v>13898841606</v>
      </c>
      <c r="C2727" t="str">
        <f>"210111198610162526"</f>
        <v>210111198610162526</v>
      </c>
      <c r="D2727" t="s">
        <v>4236</v>
      </c>
      <c r="E2727" t="s">
        <v>4237</v>
      </c>
      <c r="F2727" t="s">
        <v>0</v>
      </c>
      <c r="G2727" t="str">
        <f>"2018-10-18 12:36:59"</f>
        <v>2018-10-18 12:36:59</v>
      </c>
    </row>
    <row r="2728" spans="1:7" x14ac:dyDescent="0.2">
      <c r="A2728" t="s">
        <v>4238</v>
      </c>
      <c r="B2728" t="str">
        <f>"18079918990"</f>
        <v>18079918990</v>
      </c>
      <c r="C2728" t="str">
        <f>"360311199101142525"</f>
        <v>360311199101142525</v>
      </c>
      <c r="D2728" t="s">
        <v>1</v>
      </c>
      <c r="E2728" t="s">
        <v>1</v>
      </c>
      <c r="F2728" t="s">
        <v>0</v>
      </c>
      <c r="G2728" t="str">
        <f>"2018-10-20 12:58:57"</f>
        <v>2018-10-20 12:58:57</v>
      </c>
    </row>
    <row r="2729" spans="1:7" x14ac:dyDescent="0.2">
      <c r="A2729" t="s">
        <v>4239</v>
      </c>
      <c r="B2729" t="str">
        <f>"13938530540"</f>
        <v>13938530540</v>
      </c>
      <c r="C2729" t="str">
        <f>"411527198604040128"</f>
        <v>411527198604040128</v>
      </c>
      <c r="D2729" t="s">
        <v>1</v>
      </c>
      <c r="E2729" t="s">
        <v>1</v>
      </c>
      <c r="F2729" t="s">
        <v>0</v>
      </c>
      <c r="G2729" t="str">
        <f>"2018-10-23 17:19:28"</f>
        <v>2018-10-23 17:19:28</v>
      </c>
    </row>
    <row r="2730" spans="1:7" x14ac:dyDescent="0.2">
      <c r="A2730" t="s">
        <v>4240</v>
      </c>
      <c r="B2730" t="str">
        <f>"18786797720"</f>
        <v>18786797720</v>
      </c>
      <c r="C2730" t="str">
        <f>"522525196807194543"</f>
        <v>522525196807194543</v>
      </c>
      <c r="D2730" t="s">
        <v>1</v>
      </c>
      <c r="E2730" t="s">
        <v>1</v>
      </c>
      <c r="F2730" t="s">
        <v>0</v>
      </c>
      <c r="G2730" t="str">
        <f>"2018-10-18 12:31:39"</f>
        <v>2018-10-18 12:31:39</v>
      </c>
    </row>
    <row r="2731" spans="1:7" x14ac:dyDescent="0.2">
      <c r="A2731" t="s">
        <v>1</v>
      </c>
      <c r="B2731" t="str">
        <f>"13718889599"</f>
        <v>13718889599</v>
      </c>
      <c r="C2731" t="s">
        <v>1</v>
      </c>
      <c r="D2731" t="s">
        <v>1</v>
      </c>
      <c r="E2731" t="s">
        <v>1</v>
      </c>
      <c r="F2731" t="s">
        <v>0</v>
      </c>
      <c r="G2731" t="str">
        <f>"2018-10-18 12:26:56"</f>
        <v>2018-10-18 12:26:56</v>
      </c>
    </row>
    <row r="2732" spans="1:7" x14ac:dyDescent="0.2">
      <c r="A2732" t="s">
        <v>4241</v>
      </c>
      <c r="B2732" t="str">
        <f>"13045162088"</f>
        <v>13045162088</v>
      </c>
      <c r="C2732" t="str">
        <f>"230225198308050010"</f>
        <v>230225198308050010</v>
      </c>
      <c r="D2732" t="s">
        <v>1</v>
      </c>
      <c r="E2732" t="s">
        <v>1</v>
      </c>
      <c r="F2732" t="s">
        <v>0</v>
      </c>
      <c r="G2732" t="str">
        <f>"2018-10-18 12:27:56"</f>
        <v>2018-10-18 12:27:56</v>
      </c>
    </row>
    <row r="2733" spans="1:7" x14ac:dyDescent="0.2">
      <c r="A2733" t="s">
        <v>4242</v>
      </c>
      <c r="B2733" t="str">
        <f>"15859325550"</f>
        <v>15859325550</v>
      </c>
      <c r="C2733" t="str">
        <f>"352203198505052518"</f>
        <v>352203198505052518</v>
      </c>
      <c r="D2733" t="s">
        <v>4243</v>
      </c>
      <c r="E2733" t="s">
        <v>4244</v>
      </c>
      <c r="F2733" t="s">
        <v>0</v>
      </c>
      <c r="G2733" t="str">
        <f>"2018-10-18 12:26:44"</f>
        <v>2018-10-18 12:26:44</v>
      </c>
    </row>
    <row r="2734" spans="1:7" x14ac:dyDescent="0.2">
      <c r="A2734" t="s">
        <v>4245</v>
      </c>
      <c r="B2734" t="str">
        <f>"15077798665"</f>
        <v>15077798665</v>
      </c>
      <c r="C2734" t="str">
        <f>"450802198804293811"</f>
        <v>450802198804293811</v>
      </c>
      <c r="D2734" t="s">
        <v>1</v>
      </c>
      <c r="E2734" t="s">
        <v>1</v>
      </c>
      <c r="F2734" t="s">
        <v>0</v>
      </c>
      <c r="G2734" t="str">
        <f>"2018-10-18 12:23:35"</f>
        <v>2018-10-18 12:23:35</v>
      </c>
    </row>
    <row r="2735" spans="1:7" x14ac:dyDescent="0.2">
      <c r="A2735" t="s">
        <v>4246</v>
      </c>
      <c r="B2735" t="str">
        <f>"18868937400"</f>
        <v>18868937400</v>
      </c>
      <c r="C2735" t="str">
        <f>"420822199101246132"</f>
        <v>420822199101246132</v>
      </c>
      <c r="D2735" t="s">
        <v>1</v>
      </c>
      <c r="E2735" t="s">
        <v>1</v>
      </c>
      <c r="F2735" t="s">
        <v>0</v>
      </c>
      <c r="G2735" t="str">
        <f>"2018-10-18 12:22:37"</f>
        <v>2018-10-18 12:22:37</v>
      </c>
    </row>
    <row r="2736" spans="1:7" x14ac:dyDescent="0.2">
      <c r="A2736" t="s">
        <v>1</v>
      </c>
      <c r="B2736" t="str">
        <f>"18835808685"</f>
        <v>18835808685</v>
      </c>
      <c r="C2736" t="s">
        <v>1</v>
      </c>
      <c r="D2736" t="s">
        <v>1</v>
      </c>
      <c r="E2736" t="s">
        <v>1</v>
      </c>
      <c r="F2736" t="s">
        <v>0</v>
      </c>
      <c r="G2736" t="str">
        <f>"2018-10-18 12:20:07"</f>
        <v>2018-10-18 12:20:07</v>
      </c>
    </row>
    <row r="2737" spans="1:7" x14ac:dyDescent="0.2">
      <c r="A2737" t="s">
        <v>1</v>
      </c>
      <c r="B2737" t="str">
        <f>"13809798131"</f>
        <v>13809798131</v>
      </c>
      <c r="C2737" t="s">
        <v>1</v>
      </c>
      <c r="D2737" t="s">
        <v>1</v>
      </c>
      <c r="E2737" t="s">
        <v>1</v>
      </c>
      <c r="F2737" t="s">
        <v>0</v>
      </c>
      <c r="G2737" t="str">
        <f>"2018-10-18 12:19:30"</f>
        <v>2018-10-18 12:19:30</v>
      </c>
    </row>
    <row r="2738" spans="1:7" x14ac:dyDescent="0.2">
      <c r="A2738" t="s">
        <v>4247</v>
      </c>
      <c r="B2738" t="str">
        <f>"13921141123"</f>
        <v>13921141123</v>
      </c>
      <c r="C2738" t="str">
        <f>"320822198112043922"</f>
        <v>320822198112043922</v>
      </c>
      <c r="D2738" t="s">
        <v>1</v>
      </c>
      <c r="E2738" t="s">
        <v>1</v>
      </c>
      <c r="F2738" t="s">
        <v>0</v>
      </c>
      <c r="G2738" t="str">
        <f>"2018-10-18 14:45:23"</f>
        <v>2018-10-18 14:45:23</v>
      </c>
    </row>
    <row r="2739" spans="1:7" x14ac:dyDescent="0.2">
      <c r="A2739" t="s">
        <v>4248</v>
      </c>
      <c r="B2739" t="str">
        <f>"18792789019"</f>
        <v>18792789019</v>
      </c>
      <c r="C2739" t="str">
        <f>"612322198902202514"</f>
        <v>612322198902202514</v>
      </c>
      <c r="D2739" t="s">
        <v>4249</v>
      </c>
      <c r="E2739" t="s">
        <v>4250</v>
      </c>
      <c r="F2739" t="s">
        <v>0</v>
      </c>
      <c r="G2739" t="str">
        <f>"2018-10-18 12:21:29"</f>
        <v>2018-10-18 12:21:29</v>
      </c>
    </row>
    <row r="2740" spans="1:7" x14ac:dyDescent="0.2">
      <c r="A2740" t="s">
        <v>4251</v>
      </c>
      <c r="B2740" t="str">
        <f>"18794346910"</f>
        <v>18794346910</v>
      </c>
      <c r="C2740" t="str">
        <f>"620421199808191824"</f>
        <v>620421199808191824</v>
      </c>
      <c r="D2740" t="s">
        <v>1</v>
      </c>
      <c r="E2740" t="s">
        <v>1</v>
      </c>
      <c r="F2740" t="s">
        <v>0</v>
      </c>
      <c r="G2740" t="str">
        <f>"2018-10-18 12:22:45"</f>
        <v>2018-10-18 12:22:45</v>
      </c>
    </row>
    <row r="2741" spans="1:7" x14ac:dyDescent="0.2">
      <c r="A2741" t="s">
        <v>4252</v>
      </c>
      <c r="B2741" t="str">
        <f>"18171668168"</f>
        <v>18171668168</v>
      </c>
      <c r="C2741" t="str">
        <f>"420606198607071012"</f>
        <v>420606198607071012</v>
      </c>
      <c r="D2741" t="s">
        <v>1</v>
      </c>
      <c r="E2741" t="s">
        <v>1</v>
      </c>
      <c r="F2741" t="s">
        <v>0</v>
      </c>
      <c r="G2741" t="str">
        <f>"2018-10-18 12:19:53"</f>
        <v>2018-10-18 12:19:53</v>
      </c>
    </row>
    <row r="2742" spans="1:7" x14ac:dyDescent="0.2">
      <c r="A2742" t="s">
        <v>4253</v>
      </c>
      <c r="B2742" t="str">
        <f>"18142235850"</f>
        <v>18142235850</v>
      </c>
      <c r="C2742" t="str">
        <f>"120110198807071232"</f>
        <v>120110198807071232</v>
      </c>
      <c r="D2742" t="s">
        <v>1</v>
      </c>
      <c r="E2742" t="s">
        <v>1</v>
      </c>
      <c r="F2742" t="s">
        <v>0</v>
      </c>
      <c r="G2742" t="str">
        <f>"2018-10-18 12:23:15"</f>
        <v>2018-10-18 12:23:15</v>
      </c>
    </row>
    <row r="2743" spans="1:7" x14ac:dyDescent="0.2">
      <c r="A2743" t="s">
        <v>1610</v>
      </c>
      <c r="B2743" t="str">
        <f>"15167093376"</f>
        <v>15167093376</v>
      </c>
      <c r="C2743" t="str">
        <f>"330802199406021615"</f>
        <v>330802199406021615</v>
      </c>
      <c r="D2743" t="s">
        <v>4254</v>
      </c>
      <c r="E2743" t="s">
        <v>4255</v>
      </c>
      <c r="F2743" t="s">
        <v>0</v>
      </c>
      <c r="G2743" t="str">
        <f>"2018-10-18 12:26:24"</f>
        <v>2018-10-18 12:26:24</v>
      </c>
    </row>
    <row r="2744" spans="1:7" x14ac:dyDescent="0.2">
      <c r="A2744" t="s">
        <v>193</v>
      </c>
      <c r="B2744" t="str">
        <f>"17311888830"</f>
        <v>17311888830</v>
      </c>
      <c r="C2744" t="str">
        <f>"511602199101238294"</f>
        <v>511602199101238294</v>
      </c>
      <c r="D2744" t="s">
        <v>1</v>
      </c>
      <c r="E2744" t="s">
        <v>1</v>
      </c>
      <c r="F2744" t="s">
        <v>0</v>
      </c>
      <c r="G2744" t="str">
        <f>"2018-10-18 12:20:30"</f>
        <v>2018-10-18 12:20:30</v>
      </c>
    </row>
    <row r="2745" spans="1:7" x14ac:dyDescent="0.2">
      <c r="A2745" t="s">
        <v>4256</v>
      </c>
      <c r="B2745" t="str">
        <f>"18627968623"</f>
        <v>18627968623</v>
      </c>
      <c r="C2745" t="str">
        <f>"420322198906254218"</f>
        <v>420322198906254218</v>
      </c>
      <c r="D2745" t="s">
        <v>4257</v>
      </c>
      <c r="E2745" t="s">
        <v>4258</v>
      </c>
      <c r="F2745" t="s">
        <v>0</v>
      </c>
      <c r="G2745" t="str">
        <f>"2018-10-18 12:22:13"</f>
        <v>2018-10-18 12:22:13</v>
      </c>
    </row>
    <row r="2746" spans="1:7" x14ac:dyDescent="0.2">
      <c r="A2746" t="s">
        <v>1530</v>
      </c>
      <c r="B2746" t="str">
        <f>"15896167887"</f>
        <v>15896167887</v>
      </c>
      <c r="C2746" t="str">
        <f>"321023197005020812"</f>
        <v>321023197005020812</v>
      </c>
      <c r="D2746" t="s">
        <v>4259</v>
      </c>
      <c r="E2746" t="s">
        <v>4260</v>
      </c>
      <c r="F2746" t="s">
        <v>0</v>
      </c>
      <c r="G2746" t="str">
        <f>"2018-10-18 12:22:35"</f>
        <v>2018-10-18 12:22:35</v>
      </c>
    </row>
    <row r="2747" spans="1:7" x14ac:dyDescent="0.2">
      <c r="A2747" t="s">
        <v>4261</v>
      </c>
      <c r="B2747" t="str">
        <f>"15986669136"</f>
        <v>15986669136</v>
      </c>
      <c r="C2747" t="str">
        <f>"445121198303207536"</f>
        <v>445121198303207536</v>
      </c>
      <c r="D2747" t="s">
        <v>1</v>
      </c>
      <c r="E2747" t="s">
        <v>1</v>
      </c>
      <c r="F2747" t="s">
        <v>0</v>
      </c>
      <c r="G2747" t="str">
        <f>"2018-10-18 12:16:28"</f>
        <v>2018-10-18 12:16:28</v>
      </c>
    </row>
    <row r="2748" spans="1:7" x14ac:dyDescent="0.2">
      <c r="A2748" t="s">
        <v>4262</v>
      </c>
      <c r="B2748" t="str">
        <f>"18971712015"</f>
        <v>18971712015</v>
      </c>
      <c r="C2748" t="str">
        <f>"42112619900712601X"</f>
        <v>42112619900712601X</v>
      </c>
      <c r="D2748" t="s">
        <v>4263</v>
      </c>
      <c r="E2748" t="s">
        <v>4264</v>
      </c>
      <c r="F2748" t="s">
        <v>0</v>
      </c>
      <c r="G2748" t="str">
        <f>"2018-10-18 12:17:41"</f>
        <v>2018-10-18 12:17:41</v>
      </c>
    </row>
    <row r="2749" spans="1:7" x14ac:dyDescent="0.2">
      <c r="A2749" t="s">
        <v>4265</v>
      </c>
      <c r="B2749" t="str">
        <f>"17638922869"</f>
        <v>17638922869</v>
      </c>
      <c r="C2749" t="str">
        <f>"410825199105043516"</f>
        <v>410825199105043516</v>
      </c>
      <c r="D2749" t="s">
        <v>1</v>
      </c>
      <c r="E2749" t="s">
        <v>1</v>
      </c>
      <c r="F2749" t="s">
        <v>0</v>
      </c>
      <c r="G2749" t="str">
        <f>"2018-10-18 16:24:33"</f>
        <v>2018-10-18 16:24:33</v>
      </c>
    </row>
    <row r="2750" spans="1:7" x14ac:dyDescent="0.2">
      <c r="A2750" t="s">
        <v>4266</v>
      </c>
      <c r="B2750" t="str">
        <f>"15887226580"</f>
        <v>15887226580</v>
      </c>
      <c r="C2750" t="str">
        <f>"532128199311200340"</f>
        <v>532128199311200340</v>
      </c>
      <c r="D2750" t="s">
        <v>4267</v>
      </c>
      <c r="E2750" t="s">
        <v>4268</v>
      </c>
      <c r="F2750" t="s">
        <v>0</v>
      </c>
      <c r="G2750" t="str">
        <f>"2018-10-30 15:39:23"</f>
        <v>2018-10-30 15:39:23</v>
      </c>
    </row>
    <row r="2751" spans="1:7" x14ac:dyDescent="0.2">
      <c r="A2751" t="s">
        <v>4269</v>
      </c>
      <c r="B2751" t="str">
        <f>"13302139136"</f>
        <v>13302139136</v>
      </c>
      <c r="C2751" t="str">
        <f>"210504199003140539"</f>
        <v>210504199003140539</v>
      </c>
      <c r="D2751" t="s">
        <v>1</v>
      </c>
      <c r="E2751" t="s">
        <v>1</v>
      </c>
      <c r="F2751" t="s">
        <v>0</v>
      </c>
      <c r="G2751" t="str">
        <f>"2018-10-18 12:29:51"</f>
        <v>2018-10-18 12:29:51</v>
      </c>
    </row>
    <row r="2752" spans="1:7" x14ac:dyDescent="0.2">
      <c r="A2752" t="s">
        <v>1</v>
      </c>
      <c r="B2752" t="str">
        <f>"13065903961"</f>
        <v>13065903961</v>
      </c>
      <c r="C2752" t="s">
        <v>1</v>
      </c>
      <c r="D2752" t="s">
        <v>1</v>
      </c>
      <c r="E2752" t="s">
        <v>1</v>
      </c>
      <c r="F2752" t="s">
        <v>0</v>
      </c>
      <c r="G2752" t="str">
        <f>"2018-10-18 12:20:24"</f>
        <v>2018-10-18 12:20:24</v>
      </c>
    </row>
    <row r="2753" spans="1:7" x14ac:dyDescent="0.2">
      <c r="A2753" t="s">
        <v>4270</v>
      </c>
      <c r="B2753" t="str">
        <f>"15858692500"</f>
        <v>15858692500</v>
      </c>
      <c r="C2753" t="str">
        <f>"331021199603251280"</f>
        <v>331021199603251280</v>
      </c>
      <c r="D2753" t="s">
        <v>4271</v>
      </c>
      <c r="E2753" t="s">
        <v>4272</v>
      </c>
      <c r="F2753" t="s">
        <v>0</v>
      </c>
      <c r="G2753" t="str">
        <f>"2018-10-18 12:15:02"</f>
        <v>2018-10-18 12:15:02</v>
      </c>
    </row>
    <row r="2754" spans="1:7" x14ac:dyDescent="0.2">
      <c r="A2754" t="s">
        <v>4273</v>
      </c>
      <c r="B2754" t="str">
        <f>"18775367462"</f>
        <v>18775367462</v>
      </c>
      <c r="C2754" t="str">
        <f>"452226199103053334"</f>
        <v>452226199103053334</v>
      </c>
      <c r="D2754" t="s">
        <v>1</v>
      </c>
      <c r="E2754" t="s">
        <v>1</v>
      </c>
      <c r="F2754" t="s">
        <v>0</v>
      </c>
      <c r="G2754" t="str">
        <f>"2018-10-22 23:08:18"</f>
        <v>2018-10-22 23:08:18</v>
      </c>
    </row>
    <row r="2755" spans="1:7" x14ac:dyDescent="0.2">
      <c r="A2755" t="s">
        <v>4274</v>
      </c>
      <c r="B2755" t="str">
        <f>"13525499619"</f>
        <v>13525499619</v>
      </c>
      <c r="C2755" t="str">
        <f>"410329196802131516"</f>
        <v>410329196802131516</v>
      </c>
      <c r="D2755" t="s">
        <v>1</v>
      </c>
      <c r="E2755" t="s">
        <v>1</v>
      </c>
      <c r="F2755" t="s">
        <v>0</v>
      </c>
      <c r="G2755" t="str">
        <f>"2018-10-18 12:13:36"</f>
        <v>2018-10-18 12:13:36</v>
      </c>
    </row>
    <row r="2756" spans="1:7" x14ac:dyDescent="0.2">
      <c r="A2756" t="s">
        <v>4275</v>
      </c>
      <c r="B2756" t="str">
        <f>"13883362470"</f>
        <v>13883362470</v>
      </c>
      <c r="C2756" t="str">
        <f>"500222198902197812"</f>
        <v>500222198902197812</v>
      </c>
      <c r="D2756" t="s">
        <v>1</v>
      </c>
      <c r="E2756" t="s">
        <v>1</v>
      </c>
      <c r="F2756" t="s">
        <v>0</v>
      </c>
      <c r="G2756" t="str">
        <f>"2018-10-18 12:15:15"</f>
        <v>2018-10-18 12:15:15</v>
      </c>
    </row>
    <row r="2757" spans="1:7" x14ac:dyDescent="0.2">
      <c r="A2757" t="s">
        <v>526</v>
      </c>
      <c r="B2757" t="str">
        <f>"13302059395"</f>
        <v>13302059395</v>
      </c>
      <c r="C2757" t="str">
        <f>"120103199305063516"</f>
        <v>120103199305063516</v>
      </c>
      <c r="D2757" t="s">
        <v>1</v>
      </c>
      <c r="E2757" t="s">
        <v>1</v>
      </c>
      <c r="F2757" t="s">
        <v>0</v>
      </c>
      <c r="G2757" t="str">
        <f>"2018-10-18 12:14:47"</f>
        <v>2018-10-18 12:14:47</v>
      </c>
    </row>
    <row r="2758" spans="1:7" x14ac:dyDescent="0.2">
      <c r="A2758" t="s">
        <v>1</v>
      </c>
      <c r="B2758" t="str">
        <f>"18775102331"</f>
        <v>18775102331</v>
      </c>
      <c r="C2758" t="s">
        <v>1</v>
      </c>
      <c r="D2758" t="s">
        <v>1</v>
      </c>
      <c r="E2758" t="s">
        <v>1</v>
      </c>
      <c r="F2758" t="s">
        <v>0</v>
      </c>
      <c r="G2758" t="str">
        <f>"2018-10-18 12:13:32"</f>
        <v>2018-10-18 12:13:32</v>
      </c>
    </row>
    <row r="2759" spans="1:7" x14ac:dyDescent="0.2">
      <c r="A2759" t="s">
        <v>1</v>
      </c>
      <c r="B2759" t="str">
        <f>"18545153810"</f>
        <v>18545153810</v>
      </c>
      <c r="C2759" t="s">
        <v>1</v>
      </c>
      <c r="D2759" t="s">
        <v>1</v>
      </c>
      <c r="E2759" t="s">
        <v>1</v>
      </c>
      <c r="F2759" t="s">
        <v>0</v>
      </c>
      <c r="G2759" t="str">
        <f>"2018-10-18 12:12:59"</f>
        <v>2018-10-18 12:12:59</v>
      </c>
    </row>
    <row r="2760" spans="1:7" x14ac:dyDescent="0.2">
      <c r="A2760" t="s">
        <v>4276</v>
      </c>
      <c r="B2760" t="str">
        <f>"18926637917"</f>
        <v>18926637917</v>
      </c>
      <c r="C2760" t="str">
        <f>"431128199607296316"</f>
        <v>431128199607296316</v>
      </c>
      <c r="D2760" t="s">
        <v>1</v>
      </c>
      <c r="E2760" t="s">
        <v>1</v>
      </c>
      <c r="F2760" t="s">
        <v>0</v>
      </c>
      <c r="G2760" t="str">
        <f>"2018-10-18 12:29:31"</f>
        <v>2018-10-18 12:29:31</v>
      </c>
    </row>
    <row r="2761" spans="1:7" x14ac:dyDescent="0.2">
      <c r="A2761" t="s">
        <v>1</v>
      </c>
      <c r="B2761" t="str">
        <f>"15809891699"</f>
        <v>15809891699</v>
      </c>
      <c r="C2761" t="s">
        <v>1</v>
      </c>
      <c r="D2761" t="s">
        <v>1</v>
      </c>
      <c r="E2761" t="s">
        <v>1</v>
      </c>
      <c r="F2761" t="s">
        <v>0</v>
      </c>
      <c r="G2761" t="str">
        <f>"2018-10-18 12:13:11"</f>
        <v>2018-10-18 12:13:11</v>
      </c>
    </row>
    <row r="2762" spans="1:7" x14ac:dyDescent="0.2">
      <c r="A2762" t="s">
        <v>4277</v>
      </c>
      <c r="B2762" t="str">
        <f>"13914282904"</f>
        <v>13914282904</v>
      </c>
      <c r="C2762" t="str">
        <f>"320219196908201025"</f>
        <v>320219196908201025</v>
      </c>
      <c r="D2762" t="s">
        <v>1</v>
      </c>
      <c r="E2762" t="s">
        <v>1</v>
      </c>
      <c r="F2762" t="s">
        <v>0</v>
      </c>
      <c r="G2762" t="str">
        <f>"2018-10-18 12:13:46"</f>
        <v>2018-10-18 12:13:46</v>
      </c>
    </row>
    <row r="2763" spans="1:7" x14ac:dyDescent="0.2">
      <c r="A2763" t="s">
        <v>4278</v>
      </c>
      <c r="B2763" t="str">
        <f>"15171910559"</f>
        <v>15171910559</v>
      </c>
      <c r="C2763" t="str">
        <f>"420583199012270428"</f>
        <v>420583199012270428</v>
      </c>
      <c r="D2763" t="s">
        <v>1</v>
      </c>
      <c r="E2763" t="s">
        <v>1</v>
      </c>
      <c r="F2763" t="s">
        <v>0</v>
      </c>
      <c r="G2763" t="str">
        <f>"2018-10-25 10:29:10"</f>
        <v>2018-10-25 10:29:10</v>
      </c>
    </row>
    <row r="2764" spans="1:7" x14ac:dyDescent="0.2">
      <c r="A2764" t="s">
        <v>1</v>
      </c>
      <c r="B2764" t="str">
        <f>"13838507160"</f>
        <v>13838507160</v>
      </c>
      <c r="C2764" t="s">
        <v>1</v>
      </c>
      <c r="D2764" t="s">
        <v>1</v>
      </c>
      <c r="E2764" t="s">
        <v>1</v>
      </c>
      <c r="F2764" t="s">
        <v>0</v>
      </c>
      <c r="G2764" t="str">
        <f>"2018-10-18 12:10:38"</f>
        <v>2018-10-18 12:10:38</v>
      </c>
    </row>
    <row r="2765" spans="1:7" x14ac:dyDescent="0.2">
      <c r="A2765" t="s">
        <v>4279</v>
      </c>
      <c r="B2765" t="str">
        <f>"15893339590"</f>
        <v>15893339590</v>
      </c>
      <c r="C2765" t="str">
        <f>"150304199103203034"</f>
        <v>150304199103203034</v>
      </c>
      <c r="D2765" t="s">
        <v>1</v>
      </c>
      <c r="E2765" t="s">
        <v>1</v>
      </c>
      <c r="F2765" t="s">
        <v>0</v>
      </c>
      <c r="G2765" t="str">
        <f>"2018-10-18 12:12:01"</f>
        <v>2018-10-18 12:12:01</v>
      </c>
    </row>
    <row r="2766" spans="1:7" x14ac:dyDescent="0.2">
      <c r="A2766" t="s">
        <v>4280</v>
      </c>
      <c r="B2766" t="str">
        <f>"18947063666"</f>
        <v>18947063666</v>
      </c>
      <c r="C2766" t="str">
        <f>"150425198707141455"</f>
        <v>150425198707141455</v>
      </c>
      <c r="D2766" t="s">
        <v>4281</v>
      </c>
      <c r="E2766" t="s">
        <v>4282</v>
      </c>
      <c r="F2766" t="s">
        <v>0</v>
      </c>
      <c r="G2766" t="str">
        <f>"2018-10-25 16:35:07"</f>
        <v>2018-10-25 16:35:07</v>
      </c>
    </row>
    <row r="2767" spans="1:7" x14ac:dyDescent="0.2">
      <c r="A2767" t="s">
        <v>1</v>
      </c>
      <c r="B2767" t="str">
        <f>"13722624123"</f>
        <v>13722624123</v>
      </c>
      <c r="C2767" t="s">
        <v>1</v>
      </c>
      <c r="D2767" t="s">
        <v>1</v>
      </c>
      <c r="E2767" t="s">
        <v>1</v>
      </c>
      <c r="F2767" t="s">
        <v>0</v>
      </c>
      <c r="G2767" t="str">
        <f>"2018-10-18 12:08:59"</f>
        <v>2018-10-18 12:08:59</v>
      </c>
    </row>
    <row r="2768" spans="1:7" x14ac:dyDescent="0.2">
      <c r="A2768" t="s">
        <v>4283</v>
      </c>
      <c r="B2768" t="str">
        <f>"18888775530"</f>
        <v>18888775530</v>
      </c>
      <c r="C2768" t="str">
        <f>"330227198111200018"</f>
        <v>330227198111200018</v>
      </c>
      <c r="D2768" t="s">
        <v>1</v>
      </c>
      <c r="E2768" t="s">
        <v>1</v>
      </c>
      <c r="F2768" t="s">
        <v>0</v>
      </c>
      <c r="G2768" t="str">
        <f>"2018-10-18 12:10:07"</f>
        <v>2018-10-18 12:10:07</v>
      </c>
    </row>
    <row r="2769" spans="1:7" x14ac:dyDescent="0.2">
      <c r="A2769" t="s">
        <v>4284</v>
      </c>
      <c r="B2769" t="str">
        <f>"15089586733"</f>
        <v>15089586733</v>
      </c>
      <c r="C2769" t="str">
        <f>"44172119920501403X"</f>
        <v>44172119920501403X</v>
      </c>
      <c r="D2769" t="s">
        <v>4285</v>
      </c>
      <c r="E2769" t="s">
        <v>4286</v>
      </c>
      <c r="F2769" t="s">
        <v>0</v>
      </c>
      <c r="G2769" t="str">
        <f>"2018-10-18 12:14:26"</f>
        <v>2018-10-18 12:14:26</v>
      </c>
    </row>
    <row r="2770" spans="1:7" x14ac:dyDescent="0.2">
      <c r="A2770" t="s">
        <v>4287</v>
      </c>
      <c r="B2770" t="str">
        <f>"15500503433"</f>
        <v>15500503433</v>
      </c>
      <c r="C2770" t="str">
        <f>"630105198008040017"</f>
        <v>630105198008040017</v>
      </c>
      <c r="D2770" t="s">
        <v>1</v>
      </c>
      <c r="E2770" t="s">
        <v>1</v>
      </c>
      <c r="F2770" t="s">
        <v>0</v>
      </c>
      <c r="G2770" t="str">
        <f>"2018-10-18 12:29:00"</f>
        <v>2018-10-18 12:29:00</v>
      </c>
    </row>
    <row r="2771" spans="1:7" x14ac:dyDescent="0.2">
      <c r="A2771" t="s">
        <v>4288</v>
      </c>
      <c r="B2771" t="str">
        <f>"15922743755"</f>
        <v>15922743755</v>
      </c>
      <c r="C2771" t="str">
        <f>"510214198110310831"</f>
        <v>510214198110310831</v>
      </c>
      <c r="D2771" t="s">
        <v>1</v>
      </c>
      <c r="E2771" t="s">
        <v>1</v>
      </c>
      <c r="F2771" t="s">
        <v>0</v>
      </c>
      <c r="G2771" t="str">
        <f>"2018-10-18 12:08:01"</f>
        <v>2018-10-18 12:08:01</v>
      </c>
    </row>
    <row r="2772" spans="1:7" x14ac:dyDescent="0.2">
      <c r="A2772" t="s">
        <v>4289</v>
      </c>
      <c r="B2772" t="str">
        <f>"18913241574"</f>
        <v>18913241574</v>
      </c>
      <c r="C2772" t="str">
        <f>"320911198911252815"</f>
        <v>320911198911252815</v>
      </c>
      <c r="D2772" t="s">
        <v>1</v>
      </c>
      <c r="E2772" t="s">
        <v>1</v>
      </c>
      <c r="F2772" t="s">
        <v>0</v>
      </c>
      <c r="G2772" t="str">
        <f>"2018-10-18 12:33:12"</f>
        <v>2018-10-18 12:33:12</v>
      </c>
    </row>
    <row r="2773" spans="1:7" x14ac:dyDescent="0.2">
      <c r="A2773" t="s">
        <v>1</v>
      </c>
      <c r="B2773" t="str">
        <f>"13185467650"</f>
        <v>13185467650</v>
      </c>
      <c r="C2773" t="s">
        <v>1</v>
      </c>
      <c r="D2773" t="s">
        <v>1</v>
      </c>
      <c r="E2773" t="s">
        <v>1</v>
      </c>
      <c r="F2773" t="s">
        <v>0</v>
      </c>
      <c r="G2773" t="str">
        <f>"2018-10-18 12:07:01"</f>
        <v>2018-10-18 12:07:01</v>
      </c>
    </row>
    <row r="2774" spans="1:7" x14ac:dyDescent="0.2">
      <c r="A2774" t="s">
        <v>4290</v>
      </c>
      <c r="B2774" t="str">
        <f>"13643568306"</f>
        <v>13643568306</v>
      </c>
      <c r="C2774" t="str">
        <f>"140524198811250050"</f>
        <v>140524198811250050</v>
      </c>
      <c r="D2774" t="s">
        <v>1</v>
      </c>
      <c r="E2774" t="s">
        <v>1</v>
      </c>
      <c r="F2774" t="s">
        <v>0</v>
      </c>
      <c r="G2774" t="str">
        <f>"2018-10-18 12:08:04"</f>
        <v>2018-10-18 12:08:04</v>
      </c>
    </row>
    <row r="2775" spans="1:7" x14ac:dyDescent="0.2">
      <c r="A2775" t="s">
        <v>1</v>
      </c>
      <c r="B2775" t="str">
        <f>"13637433905"</f>
        <v>13637433905</v>
      </c>
      <c r="C2775" t="s">
        <v>1</v>
      </c>
      <c r="D2775" t="s">
        <v>1</v>
      </c>
      <c r="E2775" t="s">
        <v>1</v>
      </c>
      <c r="F2775" t="s">
        <v>0</v>
      </c>
      <c r="G2775" t="str">
        <f>"2018-10-18 12:07:18"</f>
        <v>2018-10-18 12:07:18</v>
      </c>
    </row>
    <row r="2776" spans="1:7" x14ac:dyDescent="0.2">
      <c r="A2776" t="s">
        <v>102</v>
      </c>
      <c r="B2776" t="str">
        <f>"13239364284"</f>
        <v>13239364284</v>
      </c>
      <c r="C2776" t="str">
        <f>"622224198403126018"</f>
        <v>622224198403126018</v>
      </c>
      <c r="D2776" t="s">
        <v>1</v>
      </c>
      <c r="E2776" t="s">
        <v>1</v>
      </c>
      <c r="F2776" t="s">
        <v>0</v>
      </c>
      <c r="G2776" t="str">
        <f>"2018-10-18 12:08:11"</f>
        <v>2018-10-18 12:08:11</v>
      </c>
    </row>
    <row r="2777" spans="1:7" x14ac:dyDescent="0.2">
      <c r="A2777" t="s">
        <v>4291</v>
      </c>
      <c r="B2777" t="str">
        <f>"13939164473"</f>
        <v>13939164473</v>
      </c>
      <c r="C2777" t="str">
        <f>"410822198612125547"</f>
        <v>410822198612125547</v>
      </c>
      <c r="D2777" t="s">
        <v>1</v>
      </c>
      <c r="E2777" t="s">
        <v>1</v>
      </c>
      <c r="F2777" t="s">
        <v>0</v>
      </c>
      <c r="G2777" t="str">
        <f>"2018-10-18 12:05:27"</f>
        <v>2018-10-18 12:05:27</v>
      </c>
    </row>
    <row r="2778" spans="1:7" x14ac:dyDescent="0.2">
      <c r="A2778" t="s">
        <v>1572</v>
      </c>
      <c r="B2778" t="str">
        <f>"13562372666"</f>
        <v>13562372666</v>
      </c>
      <c r="C2778" t="str">
        <f>"371122198601080056"</f>
        <v>371122198601080056</v>
      </c>
      <c r="D2778" t="s">
        <v>1</v>
      </c>
      <c r="E2778" t="s">
        <v>1</v>
      </c>
      <c r="F2778" t="s">
        <v>0</v>
      </c>
      <c r="G2778" t="str">
        <f>"2018-10-18 12:04:46"</f>
        <v>2018-10-18 12:04:46</v>
      </c>
    </row>
    <row r="2779" spans="1:7" x14ac:dyDescent="0.2">
      <c r="A2779" t="s">
        <v>4292</v>
      </c>
      <c r="B2779" t="str">
        <f>"18264440992"</f>
        <v>18264440992</v>
      </c>
      <c r="C2779" t="str">
        <f>"370782199504243477"</f>
        <v>370782199504243477</v>
      </c>
      <c r="D2779" t="s">
        <v>1</v>
      </c>
      <c r="E2779" t="s">
        <v>1</v>
      </c>
      <c r="F2779" t="s">
        <v>0</v>
      </c>
      <c r="G2779" t="str">
        <f>"2018-10-18 12:14:57"</f>
        <v>2018-10-18 12:14:57</v>
      </c>
    </row>
    <row r="2780" spans="1:7" x14ac:dyDescent="0.2">
      <c r="A2780" t="s">
        <v>1</v>
      </c>
      <c r="B2780" t="str">
        <f>"15259636546"</f>
        <v>15259636546</v>
      </c>
      <c r="C2780" t="s">
        <v>1</v>
      </c>
      <c r="D2780" t="s">
        <v>1</v>
      </c>
      <c r="E2780" t="s">
        <v>1</v>
      </c>
      <c r="F2780" t="s">
        <v>0</v>
      </c>
      <c r="G2780" t="str">
        <f>"2018-10-18 12:06:12"</f>
        <v>2018-10-18 12:06:12</v>
      </c>
    </row>
    <row r="2781" spans="1:7" x14ac:dyDescent="0.2">
      <c r="A2781" t="s">
        <v>1</v>
      </c>
      <c r="B2781" t="str">
        <f>"17604521872"</f>
        <v>17604521872</v>
      </c>
      <c r="C2781" t="s">
        <v>1</v>
      </c>
      <c r="D2781" t="s">
        <v>1</v>
      </c>
      <c r="E2781" t="s">
        <v>1</v>
      </c>
      <c r="F2781" t="s">
        <v>0</v>
      </c>
      <c r="G2781" t="str">
        <f>"2018-10-18 12:04:47"</f>
        <v>2018-10-18 12:04:47</v>
      </c>
    </row>
    <row r="2782" spans="1:7" x14ac:dyDescent="0.2">
      <c r="A2782" t="s">
        <v>1</v>
      </c>
      <c r="B2782" t="str">
        <f>"18108516520"</f>
        <v>18108516520</v>
      </c>
      <c r="C2782" t="s">
        <v>1</v>
      </c>
      <c r="D2782" t="s">
        <v>1</v>
      </c>
      <c r="E2782" t="s">
        <v>1</v>
      </c>
      <c r="F2782" t="s">
        <v>0</v>
      </c>
      <c r="G2782" t="str">
        <f>"2018-10-18 12:01:45"</f>
        <v>2018-10-18 12:01:45</v>
      </c>
    </row>
    <row r="2783" spans="1:7" x14ac:dyDescent="0.2">
      <c r="A2783" t="s">
        <v>868</v>
      </c>
      <c r="B2783" t="str">
        <f>"18213348614"</f>
        <v>18213348614</v>
      </c>
      <c r="C2783" t="str">
        <f>"532901199609281466"</f>
        <v>532901199609281466</v>
      </c>
      <c r="D2783" t="s">
        <v>1</v>
      </c>
      <c r="E2783" t="s">
        <v>1</v>
      </c>
      <c r="F2783" t="s">
        <v>0</v>
      </c>
      <c r="G2783" t="str">
        <f>"2018-10-18 12:00:22"</f>
        <v>2018-10-18 12:00:22</v>
      </c>
    </row>
    <row r="2784" spans="1:7" x14ac:dyDescent="0.2">
      <c r="A2784" t="s">
        <v>4293</v>
      </c>
      <c r="B2784" t="str">
        <f>"18778868508"</f>
        <v>18778868508</v>
      </c>
      <c r="C2784" t="str">
        <f>"452630198601082009"</f>
        <v>452630198601082009</v>
      </c>
      <c r="D2784" t="s">
        <v>1</v>
      </c>
      <c r="E2784" t="s">
        <v>1</v>
      </c>
      <c r="F2784" t="s">
        <v>0</v>
      </c>
      <c r="G2784" t="str">
        <f>"2018-10-18 12:03:01"</f>
        <v>2018-10-18 12:03:01</v>
      </c>
    </row>
    <row r="2785" spans="1:7" x14ac:dyDescent="0.2">
      <c r="A2785" t="s">
        <v>4294</v>
      </c>
      <c r="B2785" t="str">
        <f>"15384532000"</f>
        <v>15384532000</v>
      </c>
      <c r="C2785" t="str">
        <f>"610528199503193640"</f>
        <v>610528199503193640</v>
      </c>
      <c r="D2785" t="s">
        <v>1</v>
      </c>
      <c r="E2785" t="s">
        <v>1</v>
      </c>
      <c r="F2785" t="s">
        <v>0</v>
      </c>
      <c r="G2785" t="str">
        <f>"2018-10-28 09:35:14"</f>
        <v>2018-10-28 09:35:14</v>
      </c>
    </row>
    <row r="2786" spans="1:7" x14ac:dyDescent="0.2">
      <c r="A2786" t="s">
        <v>1</v>
      </c>
      <c r="B2786" t="str">
        <f>"18867037219"</f>
        <v>18867037219</v>
      </c>
      <c r="C2786" t="s">
        <v>1</v>
      </c>
      <c r="D2786" t="s">
        <v>1</v>
      </c>
      <c r="E2786" t="s">
        <v>1</v>
      </c>
      <c r="F2786" t="s">
        <v>0</v>
      </c>
      <c r="G2786" t="str">
        <f>"2018-10-18 11:59:33"</f>
        <v>2018-10-18 11:59:33</v>
      </c>
    </row>
    <row r="2787" spans="1:7" x14ac:dyDescent="0.2">
      <c r="A2787" t="s">
        <v>1</v>
      </c>
      <c r="B2787" t="str">
        <f>"15524819190"</f>
        <v>15524819190</v>
      </c>
      <c r="C2787" t="s">
        <v>1</v>
      </c>
      <c r="D2787" t="s">
        <v>1</v>
      </c>
      <c r="E2787" t="s">
        <v>1</v>
      </c>
      <c r="F2787" t="s">
        <v>0</v>
      </c>
      <c r="G2787" t="str">
        <f>"2018-10-18 11:58:59"</f>
        <v>2018-10-18 11:58:59</v>
      </c>
    </row>
    <row r="2788" spans="1:7" x14ac:dyDescent="0.2">
      <c r="A2788" t="s">
        <v>4295</v>
      </c>
      <c r="B2788" t="str">
        <f>"18627354555"</f>
        <v>18627354555</v>
      </c>
      <c r="C2788" t="str">
        <f>"431025199011230039"</f>
        <v>431025199011230039</v>
      </c>
      <c r="D2788" t="s">
        <v>4296</v>
      </c>
      <c r="E2788" t="s">
        <v>4297</v>
      </c>
      <c r="F2788" t="s">
        <v>0</v>
      </c>
      <c r="G2788" t="str">
        <f>"2018-10-18 11:59:51"</f>
        <v>2018-10-18 11:59:51</v>
      </c>
    </row>
    <row r="2789" spans="1:7" x14ac:dyDescent="0.2">
      <c r="A2789" t="s">
        <v>1465</v>
      </c>
      <c r="B2789" t="str">
        <f>"13386371885"</f>
        <v>13386371885</v>
      </c>
      <c r="C2789" t="str">
        <f>"370405197703101836"</f>
        <v>370405197703101836</v>
      </c>
      <c r="D2789" t="s">
        <v>1</v>
      </c>
      <c r="E2789" t="s">
        <v>1</v>
      </c>
      <c r="F2789" t="s">
        <v>0</v>
      </c>
      <c r="G2789" t="str">
        <f>"2018-10-18 12:00:44"</f>
        <v>2018-10-18 12:00:44</v>
      </c>
    </row>
    <row r="2790" spans="1:7" x14ac:dyDescent="0.2">
      <c r="A2790" t="s">
        <v>1</v>
      </c>
      <c r="B2790" t="str">
        <f>"17703761357"</f>
        <v>17703761357</v>
      </c>
      <c r="C2790" t="s">
        <v>1</v>
      </c>
      <c r="D2790" t="s">
        <v>1</v>
      </c>
      <c r="E2790" t="s">
        <v>1</v>
      </c>
      <c r="F2790" t="s">
        <v>0</v>
      </c>
      <c r="G2790" t="str">
        <f>"2018-10-18 12:02:15"</f>
        <v>2018-10-18 12:02:15</v>
      </c>
    </row>
    <row r="2791" spans="1:7" x14ac:dyDescent="0.2">
      <c r="A2791" t="s">
        <v>4298</v>
      </c>
      <c r="B2791" t="str">
        <f>"18365821717"</f>
        <v>18365821717</v>
      </c>
      <c r="C2791" t="str">
        <f>"371522198805097812"</f>
        <v>371522198805097812</v>
      </c>
      <c r="D2791" t="s">
        <v>1</v>
      </c>
      <c r="E2791" t="s">
        <v>1</v>
      </c>
      <c r="F2791" t="s">
        <v>0</v>
      </c>
      <c r="G2791" t="str">
        <f>"2018-10-18 12:00:19"</f>
        <v>2018-10-18 12:00:19</v>
      </c>
    </row>
    <row r="2792" spans="1:7" x14ac:dyDescent="0.2">
      <c r="A2792" t="s">
        <v>4299</v>
      </c>
      <c r="B2792" t="str">
        <f>"18323185007"</f>
        <v>18323185007</v>
      </c>
      <c r="C2792" t="str">
        <f>"500381199506180824"</f>
        <v>500381199506180824</v>
      </c>
      <c r="D2792" t="s">
        <v>1</v>
      </c>
      <c r="E2792" t="s">
        <v>1</v>
      </c>
      <c r="F2792" t="s">
        <v>0</v>
      </c>
      <c r="G2792" t="str">
        <f>"2018-10-18 11:59:08"</f>
        <v>2018-10-18 11:59:08</v>
      </c>
    </row>
    <row r="2793" spans="1:7" x14ac:dyDescent="0.2">
      <c r="A2793" t="s">
        <v>4300</v>
      </c>
      <c r="B2793" t="str">
        <f>"13131635334"</f>
        <v>13131635334</v>
      </c>
      <c r="C2793" t="str">
        <f>"131023199402060440"</f>
        <v>131023199402060440</v>
      </c>
      <c r="D2793" t="s">
        <v>1</v>
      </c>
      <c r="E2793" t="s">
        <v>1</v>
      </c>
      <c r="F2793" t="s">
        <v>0</v>
      </c>
      <c r="G2793" t="str">
        <f>"2018-10-18 11:57:35"</f>
        <v>2018-10-18 11:57:35</v>
      </c>
    </row>
    <row r="2794" spans="1:7" x14ac:dyDescent="0.2">
      <c r="A2794" t="s">
        <v>4301</v>
      </c>
      <c r="B2794" t="str">
        <f>"18666943202"</f>
        <v>18666943202</v>
      </c>
      <c r="C2794" t="str">
        <f>"522130198506296034"</f>
        <v>522130198506296034</v>
      </c>
      <c r="D2794" t="s">
        <v>1</v>
      </c>
      <c r="E2794" t="s">
        <v>1</v>
      </c>
      <c r="F2794" t="s">
        <v>0</v>
      </c>
      <c r="G2794" t="str">
        <f>"2018-10-18 12:02:46"</f>
        <v>2018-10-18 12:02:46</v>
      </c>
    </row>
    <row r="2795" spans="1:7" x14ac:dyDescent="0.2">
      <c r="A2795" t="s">
        <v>4302</v>
      </c>
      <c r="B2795" t="str">
        <f>"13071880873"</f>
        <v>13071880873</v>
      </c>
      <c r="C2795" t="str">
        <f>"341126200008103819"</f>
        <v>341126200008103819</v>
      </c>
      <c r="D2795" t="s">
        <v>4303</v>
      </c>
      <c r="E2795" t="s">
        <v>4304</v>
      </c>
      <c r="F2795" t="s">
        <v>0</v>
      </c>
      <c r="G2795" t="str">
        <f>"2018-10-18 12:12:42"</f>
        <v>2018-10-18 12:12:42</v>
      </c>
    </row>
    <row r="2796" spans="1:7" x14ac:dyDescent="0.2">
      <c r="A2796" t="s">
        <v>1</v>
      </c>
      <c r="B2796" t="str">
        <f>"13030060622"</f>
        <v>13030060622</v>
      </c>
      <c r="C2796" t="s">
        <v>1</v>
      </c>
      <c r="D2796" t="s">
        <v>1</v>
      </c>
      <c r="E2796" t="s">
        <v>1</v>
      </c>
      <c r="F2796" t="s">
        <v>0</v>
      </c>
      <c r="G2796" t="str">
        <f>"2018-10-18 11:57:38"</f>
        <v>2018-10-18 11:57:38</v>
      </c>
    </row>
    <row r="2797" spans="1:7" x14ac:dyDescent="0.2">
      <c r="A2797" t="s">
        <v>4305</v>
      </c>
      <c r="B2797" t="str">
        <f>"17671336404"</f>
        <v>17671336404</v>
      </c>
      <c r="C2797" t="str">
        <f>"420525199508060033"</f>
        <v>420525199508060033</v>
      </c>
      <c r="D2797" t="s">
        <v>4306</v>
      </c>
      <c r="E2797" t="s">
        <v>4307</v>
      </c>
      <c r="F2797" t="s">
        <v>0</v>
      </c>
      <c r="G2797" t="str">
        <f>"2018-10-18 15:09:26"</f>
        <v>2018-10-18 15:09:26</v>
      </c>
    </row>
    <row r="2798" spans="1:7" x14ac:dyDescent="0.2">
      <c r="A2798" t="s">
        <v>1</v>
      </c>
      <c r="B2798" t="str">
        <f>"13588245379"</f>
        <v>13588245379</v>
      </c>
      <c r="C2798" t="s">
        <v>1</v>
      </c>
      <c r="D2798" t="s">
        <v>1</v>
      </c>
      <c r="E2798" t="s">
        <v>1</v>
      </c>
      <c r="F2798" t="s">
        <v>0</v>
      </c>
      <c r="G2798" t="str">
        <f>"2018-10-18 11:53:25"</f>
        <v>2018-10-18 11:53:25</v>
      </c>
    </row>
    <row r="2799" spans="1:7" x14ac:dyDescent="0.2">
      <c r="A2799" t="s">
        <v>4308</v>
      </c>
      <c r="B2799" t="str">
        <f>"18329042660"</f>
        <v>18329042660</v>
      </c>
      <c r="C2799" t="str">
        <f>"330324199407314330"</f>
        <v>330324199407314330</v>
      </c>
      <c r="D2799" t="s">
        <v>1</v>
      </c>
      <c r="E2799" t="s">
        <v>1</v>
      </c>
      <c r="F2799" t="s">
        <v>0</v>
      </c>
      <c r="G2799" t="str">
        <f>"2018-10-28 16:42:31"</f>
        <v>2018-10-28 16:42:31</v>
      </c>
    </row>
    <row r="2800" spans="1:7" x14ac:dyDescent="0.2">
      <c r="A2800" t="s">
        <v>4309</v>
      </c>
      <c r="B2800" t="str">
        <f>"18330237958"</f>
        <v>18330237958</v>
      </c>
      <c r="C2800" t="str">
        <f>"13062519900414001X"</f>
        <v>13062519900414001X</v>
      </c>
      <c r="D2800" t="s">
        <v>4310</v>
      </c>
      <c r="E2800" t="s">
        <v>4311</v>
      </c>
      <c r="F2800" t="s">
        <v>0</v>
      </c>
      <c r="G2800" t="str">
        <f>"2018-10-18 11:53:30"</f>
        <v>2018-10-18 11:53:30</v>
      </c>
    </row>
    <row r="2801" spans="1:7" x14ac:dyDescent="0.2">
      <c r="A2801" t="s">
        <v>1</v>
      </c>
      <c r="B2801" t="str">
        <f>"15102710824"</f>
        <v>15102710824</v>
      </c>
      <c r="C2801" t="s">
        <v>1</v>
      </c>
      <c r="D2801" t="s">
        <v>1</v>
      </c>
      <c r="E2801" t="s">
        <v>1</v>
      </c>
      <c r="F2801" t="s">
        <v>0</v>
      </c>
      <c r="G2801" t="str">
        <f>"2018-10-18 11:51:20"</f>
        <v>2018-10-18 11:51:20</v>
      </c>
    </row>
    <row r="2802" spans="1:7" x14ac:dyDescent="0.2">
      <c r="A2802" t="s">
        <v>1</v>
      </c>
      <c r="B2802" t="str">
        <f>"15762762722"</f>
        <v>15762762722</v>
      </c>
      <c r="C2802" t="s">
        <v>1</v>
      </c>
      <c r="D2802" t="s">
        <v>1</v>
      </c>
      <c r="E2802" t="s">
        <v>1</v>
      </c>
      <c r="F2802" t="s">
        <v>0</v>
      </c>
      <c r="G2802" t="str">
        <f>"2018-10-18 11:53:13"</f>
        <v>2018-10-18 11:53:13</v>
      </c>
    </row>
    <row r="2803" spans="1:7" x14ac:dyDescent="0.2">
      <c r="A2803" t="s">
        <v>224</v>
      </c>
      <c r="B2803" t="str">
        <f>"18266067172"</f>
        <v>18266067172</v>
      </c>
      <c r="C2803" t="str">
        <f>"37048119840218427X"</f>
        <v>37048119840218427X</v>
      </c>
      <c r="D2803" t="s">
        <v>1</v>
      </c>
      <c r="E2803" t="s">
        <v>1</v>
      </c>
      <c r="F2803" t="s">
        <v>0</v>
      </c>
      <c r="G2803" t="str">
        <f>"2018-10-18 12:16:44"</f>
        <v>2018-10-18 12:16:44</v>
      </c>
    </row>
    <row r="2804" spans="1:7" x14ac:dyDescent="0.2">
      <c r="A2804" t="s">
        <v>1081</v>
      </c>
      <c r="B2804" t="str">
        <f>"13475548038"</f>
        <v>13475548038</v>
      </c>
      <c r="C2804" t="str">
        <f>"37032119860210181X"</f>
        <v>37032119860210181X</v>
      </c>
      <c r="D2804" t="s">
        <v>1</v>
      </c>
      <c r="E2804" t="s">
        <v>1</v>
      </c>
      <c r="F2804" t="s">
        <v>0</v>
      </c>
      <c r="G2804" t="str">
        <f>"2018-10-18 11:52:11"</f>
        <v>2018-10-18 11:52:11</v>
      </c>
    </row>
    <row r="2805" spans="1:7" x14ac:dyDescent="0.2">
      <c r="A2805" t="s">
        <v>466</v>
      </c>
      <c r="B2805" t="str">
        <f>"18870903636"</f>
        <v>18870903636</v>
      </c>
      <c r="C2805" t="str">
        <f>"360502197106150044"</f>
        <v>360502197106150044</v>
      </c>
      <c r="D2805" t="s">
        <v>4312</v>
      </c>
      <c r="E2805" t="s">
        <v>4313</v>
      </c>
      <c r="F2805" t="s">
        <v>0</v>
      </c>
      <c r="G2805" t="str">
        <f>"2018-11-05 09:39:32"</f>
        <v>2018-11-05 09:39:32</v>
      </c>
    </row>
    <row r="2806" spans="1:7" x14ac:dyDescent="0.2">
      <c r="A2806" t="s">
        <v>4314</v>
      </c>
      <c r="B2806" t="str">
        <f>"18740463257"</f>
        <v>18740463257</v>
      </c>
      <c r="C2806" t="str">
        <f>"622723199611271442"</f>
        <v>622723199611271442</v>
      </c>
      <c r="D2806" t="s">
        <v>1</v>
      </c>
      <c r="E2806" t="s">
        <v>1</v>
      </c>
      <c r="F2806" t="s">
        <v>0</v>
      </c>
      <c r="G2806" t="str">
        <f>"2018-10-18 11:53:44"</f>
        <v>2018-10-18 11:53:44</v>
      </c>
    </row>
    <row r="2807" spans="1:7" x14ac:dyDescent="0.2">
      <c r="A2807" t="s">
        <v>4315</v>
      </c>
      <c r="B2807" t="str">
        <f>"15738577970"</f>
        <v>15738577970</v>
      </c>
      <c r="C2807" t="str">
        <f>"410823198803140201"</f>
        <v>410823198803140201</v>
      </c>
      <c r="D2807" t="s">
        <v>1</v>
      </c>
      <c r="E2807" t="s">
        <v>1</v>
      </c>
      <c r="F2807" t="s">
        <v>0</v>
      </c>
      <c r="G2807" t="str">
        <f>"2018-10-18 11:50:55"</f>
        <v>2018-10-18 11:50:55</v>
      </c>
    </row>
    <row r="2808" spans="1:7" x14ac:dyDescent="0.2">
      <c r="A2808" t="s">
        <v>4316</v>
      </c>
      <c r="B2808" t="str">
        <f>"18205978394"</f>
        <v>18205978394</v>
      </c>
      <c r="C2808" t="str">
        <f>"350426198812183538"</f>
        <v>350426198812183538</v>
      </c>
      <c r="D2808" t="s">
        <v>4317</v>
      </c>
      <c r="E2808" t="s">
        <v>4318</v>
      </c>
      <c r="F2808" t="s">
        <v>0</v>
      </c>
      <c r="G2808" t="str">
        <f>"2018-10-18 11:50:37"</f>
        <v>2018-10-18 11:50:37</v>
      </c>
    </row>
    <row r="2809" spans="1:7" x14ac:dyDescent="0.2">
      <c r="A2809" t="s">
        <v>4319</v>
      </c>
      <c r="B2809" t="str">
        <f>"13375395387"</f>
        <v>13375395387</v>
      </c>
      <c r="C2809" t="str">
        <f>"37132719910624601X"</f>
        <v>37132719910624601X</v>
      </c>
      <c r="D2809" t="s">
        <v>1</v>
      </c>
      <c r="E2809" t="s">
        <v>1</v>
      </c>
      <c r="F2809" t="s">
        <v>0</v>
      </c>
      <c r="G2809" t="str">
        <f>"2018-10-18 11:50:11"</f>
        <v>2018-10-18 11:50:11</v>
      </c>
    </row>
    <row r="2810" spans="1:7" x14ac:dyDescent="0.2">
      <c r="A2810" t="s">
        <v>445</v>
      </c>
      <c r="B2810" t="str">
        <f>"18332555302"</f>
        <v>18332555302</v>
      </c>
      <c r="C2810" t="str">
        <f>"232302199301300731"</f>
        <v>232302199301300731</v>
      </c>
      <c r="D2810" t="s">
        <v>1</v>
      </c>
      <c r="E2810" t="s">
        <v>1</v>
      </c>
      <c r="F2810" t="s">
        <v>0</v>
      </c>
      <c r="G2810" t="str">
        <f>"2018-10-18 12:47:10"</f>
        <v>2018-10-18 12:47:10</v>
      </c>
    </row>
    <row r="2811" spans="1:7" x14ac:dyDescent="0.2">
      <c r="A2811" t="s">
        <v>4320</v>
      </c>
      <c r="B2811" t="str">
        <f>"17620788719"</f>
        <v>17620788719</v>
      </c>
      <c r="C2811" t="str">
        <f>"430223199502118719"</f>
        <v>430223199502118719</v>
      </c>
      <c r="D2811" t="s">
        <v>1</v>
      </c>
      <c r="E2811" t="s">
        <v>1</v>
      </c>
      <c r="F2811" t="s">
        <v>0</v>
      </c>
      <c r="G2811" t="str">
        <f>"2018-10-18 11:54:14"</f>
        <v>2018-10-18 11:54:14</v>
      </c>
    </row>
    <row r="2812" spans="1:7" x14ac:dyDescent="0.2">
      <c r="A2812" t="s">
        <v>1</v>
      </c>
      <c r="B2812" t="str">
        <f>"13559650997"</f>
        <v>13559650997</v>
      </c>
      <c r="C2812" t="s">
        <v>1</v>
      </c>
      <c r="D2812" t="s">
        <v>1</v>
      </c>
      <c r="E2812" t="s">
        <v>1</v>
      </c>
      <c r="F2812" t="s">
        <v>0</v>
      </c>
      <c r="G2812" t="str">
        <f>"2018-10-18 11:49:43"</f>
        <v>2018-10-18 11:49:43</v>
      </c>
    </row>
    <row r="2813" spans="1:7" x14ac:dyDescent="0.2">
      <c r="A2813" t="s">
        <v>1</v>
      </c>
      <c r="B2813" t="str">
        <f>"13914854822"</f>
        <v>13914854822</v>
      </c>
      <c r="C2813" t="s">
        <v>1</v>
      </c>
      <c r="D2813" t="s">
        <v>1</v>
      </c>
      <c r="E2813" t="s">
        <v>1</v>
      </c>
      <c r="F2813" t="s">
        <v>0</v>
      </c>
      <c r="G2813" t="str">
        <f>"2018-10-18 11:47:37"</f>
        <v>2018-10-18 11:47:37</v>
      </c>
    </row>
    <row r="2814" spans="1:7" x14ac:dyDescent="0.2">
      <c r="A2814" t="s">
        <v>4321</v>
      </c>
      <c r="B2814" t="str">
        <f>"15549799333"</f>
        <v>15549799333</v>
      </c>
      <c r="C2814" t="str">
        <f>"420822198708143717"</f>
        <v>420822198708143717</v>
      </c>
      <c r="D2814" t="s">
        <v>1</v>
      </c>
      <c r="E2814" t="s">
        <v>1</v>
      </c>
      <c r="F2814" t="s">
        <v>0</v>
      </c>
      <c r="G2814" t="str">
        <f>"2018-10-18 11:48:41"</f>
        <v>2018-10-18 11:48:41</v>
      </c>
    </row>
    <row r="2815" spans="1:7" x14ac:dyDescent="0.2">
      <c r="A2815" t="s">
        <v>4322</v>
      </c>
      <c r="B2815" t="str">
        <f>"15048100218"</f>
        <v>15048100218</v>
      </c>
      <c r="C2815" t="str">
        <f>"152125196807280344"</f>
        <v>152125196807280344</v>
      </c>
      <c r="D2815" t="s">
        <v>1</v>
      </c>
      <c r="E2815" t="s">
        <v>1</v>
      </c>
      <c r="F2815" t="s">
        <v>0</v>
      </c>
      <c r="G2815" t="str">
        <f>"2018-10-18 11:46:24"</f>
        <v>2018-10-18 11:46:24</v>
      </c>
    </row>
    <row r="2816" spans="1:7" x14ac:dyDescent="0.2">
      <c r="A2816" t="s">
        <v>4323</v>
      </c>
      <c r="B2816" t="str">
        <f>"18174323526"</f>
        <v>18174323526</v>
      </c>
      <c r="C2816" t="str">
        <f>"433130199404097118"</f>
        <v>433130199404097118</v>
      </c>
      <c r="D2816" t="s">
        <v>1</v>
      </c>
      <c r="E2816" t="s">
        <v>1</v>
      </c>
      <c r="F2816" t="s">
        <v>0</v>
      </c>
      <c r="G2816" t="str">
        <f>"2018-10-18 11:47:24"</f>
        <v>2018-10-18 11:47:24</v>
      </c>
    </row>
    <row r="2817" spans="1:7" x14ac:dyDescent="0.2">
      <c r="A2817" t="s">
        <v>4324</v>
      </c>
      <c r="B2817" t="str">
        <f>"17612438751"</f>
        <v>17612438751</v>
      </c>
      <c r="C2817" t="str">
        <f>"211481199408317476"</f>
        <v>211481199408317476</v>
      </c>
      <c r="D2817" t="s">
        <v>1</v>
      </c>
      <c r="E2817" t="s">
        <v>1</v>
      </c>
      <c r="F2817" t="s">
        <v>0</v>
      </c>
      <c r="G2817" t="str">
        <f>"2018-10-18 11:47:34"</f>
        <v>2018-10-18 11:47:34</v>
      </c>
    </row>
    <row r="2818" spans="1:7" x14ac:dyDescent="0.2">
      <c r="A2818" t="s">
        <v>4325</v>
      </c>
      <c r="B2818" t="str">
        <f>"18359352018"</f>
        <v>18359352018</v>
      </c>
      <c r="C2818" t="str">
        <f>"352202199207265126"</f>
        <v>352202199207265126</v>
      </c>
      <c r="D2818" t="s">
        <v>1</v>
      </c>
      <c r="E2818" t="s">
        <v>1</v>
      </c>
      <c r="F2818" t="s">
        <v>0</v>
      </c>
      <c r="G2818" t="str">
        <f>"2018-10-31 15:12:10"</f>
        <v>2018-10-31 15:12:10</v>
      </c>
    </row>
    <row r="2819" spans="1:7" x14ac:dyDescent="0.2">
      <c r="A2819" t="s">
        <v>437</v>
      </c>
      <c r="B2819" t="str">
        <f>"18904444419"</f>
        <v>18904444419</v>
      </c>
      <c r="C2819" t="str">
        <f>"220381198203280615"</f>
        <v>220381198203280615</v>
      </c>
      <c r="D2819" t="s">
        <v>1</v>
      </c>
      <c r="E2819" t="s">
        <v>1</v>
      </c>
      <c r="F2819" t="s">
        <v>0</v>
      </c>
      <c r="G2819" t="str">
        <f>"2018-10-18 11:44:22"</f>
        <v>2018-10-18 11:44:22</v>
      </c>
    </row>
    <row r="2820" spans="1:7" x14ac:dyDescent="0.2">
      <c r="A2820" t="s">
        <v>1</v>
      </c>
      <c r="B2820" t="str">
        <f>"18674011159"</f>
        <v>18674011159</v>
      </c>
      <c r="C2820" t="s">
        <v>1</v>
      </c>
      <c r="D2820" t="s">
        <v>1</v>
      </c>
      <c r="E2820" t="s">
        <v>1</v>
      </c>
      <c r="F2820" t="s">
        <v>0</v>
      </c>
      <c r="G2820" t="str">
        <f>"2018-10-18 11:43:56"</f>
        <v>2018-10-18 11:43:56</v>
      </c>
    </row>
    <row r="2821" spans="1:7" x14ac:dyDescent="0.2">
      <c r="A2821" t="s">
        <v>4326</v>
      </c>
      <c r="B2821" t="str">
        <f>"15851829636"</f>
        <v>15851829636</v>
      </c>
      <c r="C2821" t="str">
        <f>"512301198006270492"</f>
        <v>512301198006270492</v>
      </c>
      <c r="D2821" t="s">
        <v>1</v>
      </c>
      <c r="E2821" t="s">
        <v>1</v>
      </c>
      <c r="F2821" t="s">
        <v>0</v>
      </c>
      <c r="G2821" t="str">
        <f>"2018-10-18 11:45:37"</f>
        <v>2018-10-18 11:45:37</v>
      </c>
    </row>
    <row r="2822" spans="1:7" x14ac:dyDescent="0.2">
      <c r="A2822" t="s">
        <v>587</v>
      </c>
      <c r="B2822" t="str">
        <f>"13470312457"</f>
        <v>13470312457</v>
      </c>
      <c r="C2822" t="str">
        <f>"210911198610132013"</f>
        <v>210911198610132013</v>
      </c>
      <c r="D2822" t="s">
        <v>1</v>
      </c>
      <c r="E2822" t="s">
        <v>1</v>
      </c>
      <c r="F2822" t="s">
        <v>0</v>
      </c>
      <c r="G2822" t="str">
        <f>"2018-10-27 15:54:07"</f>
        <v>2018-10-27 15:54:07</v>
      </c>
    </row>
    <row r="2823" spans="1:7" x14ac:dyDescent="0.2">
      <c r="A2823" t="s">
        <v>4327</v>
      </c>
      <c r="B2823" t="str">
        <f>"15347155581"</f>
        <v>15347155581</v>
      </c>
      <c r="C2823" t="str">
        <f>"422801198612140028"</f>
        <v>422801198612140028</v>
      </c>
      <c r="D2823" t="s">
        <v>1</v>
      </c>
      <c r="E2823" t="s">
        <v>1</v>
      </c>
      <c r="F2823" t="s">
        <v>0</v>
      </c>
      <c r="G2823" t="str">
        <f>"2018-10-18 12:28:42"</f>
        <v>2018-10-18 12:28:42</v>
      </c>
    </row>
    <row r="2824" spans="1:7" x14ac:dyDescent="0.2">
      <c r="A2824" t="s">
        <v>4328</v>
      </c>
      <c r="B2824" t="str">
        <f>"15982776111"</f>
        <v>15982776111</v>
      </c>
      <c r="C2824" t="str">
        <f>"513701198607233016"</f>
        <v>513701198607233016</v>
      </c>
      <c r="D2824" t="s">
        <v>1</v>
      </c>
      <c r="E2824" t="s">
        <v>1</v>
      </c>
      <c r="F2824" t="s">
        <v>0</v>
      </c>
      <c r="G2824" t="str">
        <f>"2018-10-18 12:08:46"</f>
        <v>2018-10-18 12:08:46</v>
      </c>
    </row>
    <row r="2825" spans="1:7" x14ac:dyDescent="0.2">
      <c r="A2825" t="s">
        <v>4329</v>
      </c>
      <c r="B2825" t="str">
        <f>"17762410714"</f>
        <v>17762410714</v>
      </c>
      <c r="C2825" t="str">
        <f>"422822199702035017"</f>
        <v>422822199702035017</v>
      </c>
      <c r="D2825" t="s">
        <v>1</v>
      </c>
      <c r="E2825" t="s">
        <v>1</v>
      </c>
      <c r="F2825" t="s">
        <v>0</v>
      </c>
      <c r="G2825" t="str">
        <f>"2018-10-18 11:41:34"</f>
        <v>2018-10-18 11:41:34</v>
      </c>
    </row>
    <row r="2826" spans="1:7" x14ac:dyDescent="0.2">
      <c r="A2826" t="s">
        <v>4330</v>
      </c>
      <c r="B2826" t="str">
        <f>"18318293266"</f>
        <v>18318293266</v>
      </c>
      <c r="C2826" t="str">
        <f>"440902199308150852"</f>
        <v>440902199308150852</v>
      </c>
      <c r="D2826" t="s">
        <v>4331</v>
      </c>
      <c r="E2826" t="s">
        <v>4332</v>
      </c>
      <c r="F2826" t="s">
        <v>0</v>
      </c>
      <c r="G2826" t="str">
        <f>"2018-10-25 21:36:16"</f>
        <v>2018-10-25 21:36:16</v>
      </c>
    </row>
    <row r="2827" spans="1:7" x14ac:dyDescent="0.2">
      <c r="A2827" t="s">
        <v>4333</v>
      </c>
      <c r="B2827" t="str">
        <f>"13863767722"</f>
        <v>13863767722</v>
      </c>
      <c r="C2827" t="str">
        <f>"370828199303242037"</f>
        <v>370828199303242037</v>
      </c>
      <c r="D2827" t="s">
        <v>1</v>
      </c>
      <c r="E2827" t="s">
        <v>1</v>
      </c>
      <c r="F2827" t="s">
        <v>0</v>
      </c>
      <c r="G2827" t="str">
        <f>"2018-10-18 11:41:37"</f>
        <v>2018-10-18 11:41:37</v>
      </c>
    </row>
    <row r="2828" spans="1:7" x14ac:dyDescent="0.2">
      <c r="A2828" t="s">
        <v>1054</v>
      </c>
      <c r="B2828" t="str">
        <f>"15543393332"</f>
        <v>15543393332</v>
      </c>
      <c r="C2828" t="str">
        <f>"220723199010301611"</f>
        <v>220723199010301611</v>
      </c>
      <c r="D2828" t="s">
        <v>1</v>
      </c>
      <c r="E2828" t="s">
        <v>1</v>
      </c>
      <c r="F2828" t="s">
        <v>0</v>
      </c>
      <c r="G2828" t="str">
        <f>"2018-10-23 18:42:26"</f>
        <v>2018-10-23 18:42:26</v>
      </c>
    </row>
    <row r="2829" spans="1:7" x14ac:dyDescent="0.2">
      <c r="A2829" t="s">
        <v>43</v>
      </c>
      <c r="B2829" t="str">
        <f>"17600823962"</f>
        <v>17600823962</v>
      </c>
      <c r="C2829" t="str">
        <f>"211322199711071020"</f>
        <v>211322199711071020</v>
      </c>
      <c r="D2829" t="s">
        <v>1</v>
      </c>
      <c r="E2829" t="s">
        <v>1</v>
      </c>
      <c r="F2829" t="s">
        <v>0</v>
      </c>
      <c r="G2829" t="str">
        <f>"2018-10-18 13:54:16"</f>
        <v>2018-10-18 13:54:16</v>
      </c>
    </row>
    <row r="2830" spans="1:7" x14ac:dyDescent="0.2">
      <c r="A2830" t="s">
        <v>4334</v>
      </c>
      <c r="B2830" t="str">
        <f>"18778690766"</f>
        <v>18778690766</v>
      </c>
      <c r="C2830" t="str">
        <f>"232303198711065852"</f>
        <v>232303198711065852</v>
      </c>
      <c r="D2830" t="s">
        <v>1</v>
      </c>
      <c r="E2830" t="s">
        <v>1</v>
      </c>
      <c r="F2830" t="s">
        <v>0</v>
      </c>
      <c r="G2830" t="str">
        <f>"2018-10-18 11:42:01"</f>
        <v>2018-10-18 11:42:01</v>
      </c>
    </row>
    <row r="2831" spans="1:7" x14ac:dyDescent="0.2">
      <c r="A2831" t="s">
        <v>140</v>
      </c>
      <c r="B2831" t="str">
        <f>"13709020010"</f>
        <v>13709020010</v>
      </c>
      <c r="C2831" t="str">
        <f>"513722199201277795"</f>
        <v>513722199201277795</v>
      </c>
      <c r="D2831" t="s">
        <v>1</v>
      </c>
      <c r="E2831" t="s">
        <v>1</v>
      </c>
      <c r="F2831" t="s">
        <v>0</v>
      </c>
      <c r="G2831" t="str">
        <f>"2018-10-22 20:49:27"</f>
        <v>2018-10-22 20:49:27</v>
      </c>
    </row>
    <row r="2832" spans="1:7" x14ac:dyDescent="0.2">
      <c r="A2832" t="s">
        <v>1</v>
      </c>
      <c r="B2832" t="str">
        <f>"15866698322"</f>
        <v>15866698322</v>
      </c>
      <c r="C2832" t="s">
        <v>1</v>
      </c>
      <c r="D2832" t="s">
        <v>1</v>
      </c>
      <c r="E2832" t="s">
        <v>1</v>
      </c>
      <c r="F2832" t="s">
        <v>0</v>
      </c>
      <c r="G2832" t="str">
        <f>"2018-10-18 11:38:34"</f>
        <v>2018-10-18 11:38:34</v>
      </c>
    </row>
    <row r="2833" spans="1:7" x14ac:dyDescent="0.2">
      <c r="A2833" t="s">
        <v>1</v>
      </c>
      <c r="B2833" t="str">
        <f>"13515498355"</f>
        <v>13515498355</v>
      </c>
      <c r="C2833" t="s">
        <v>1</v>
      </c>
      <c r="D2833" t="s">
        <v>1</v>
      </c>
      <c r="E2833" t="s">
        <v>1</v>
      </c>
      <c r="F2833" t="s">
        <v>0</v>
      </c>
      <c r="G2833" t="str">
        <f>"2018-10-18 11:38:25"</f>
        <v>2018-10-18 11:38:25</v>
      </c>
    </row>
    <row r="2834" spans="1:7" x14ac:dyDescent="0.2">
      <c r="A2834" t="s">
        <v>1</v>
      </c>
      <c r="B2834" t="str">
        <f>"18296929262"</f>
        <v>18296929262</v>
      </c>
      <c r="C2834" t="s">
        <v>1</v>
      </c>
      <c r="D2834" t="s">
        <v>1</v>
      </c>
      <c r="E2834" t="s">
        <v>1</v>
      </c>
      <c r="F2834" t="s">
        <v>0</v>
      </c>
      <c r="G2834" t="str">
        <f>"2018-10-18 11:38:16"</f>
        <v>2018-10-18 11:38:16</v>
      </c>
    </row>
    <row r="2835" spans="1:7" x14ac:dyDescent="0.2">
      <c r="A2835" t="s">
        <v>4335</v>
      </c>
      <c r="B2835" t="str">
        <f>"18988573197"</f>
        <v>18988573197</v>
      </c>
      <c r="C2835" t="str">
        <f>"442000199011168162"</f>
        <v>442000199011168162</v>
      </c>
      <c r="D2835" t="s">
        <v>1</v>
      </c>
      <c r="E2835" t="s">
        <v>1</v>
      </c>
      <c r="F2835" t="s">
        <v>0</v>
      </c>
      <c r="G2835" t="str">
        <f>"2018-10-18 11:39:50"</f>
        <v>2018-10-18 11:39:50</v>
      </c>
    </row>
    <row r="2836" spans="1:7" x14ac:dyDescent="0.2">
      <c r="A2836" t="s">
        <v>712</v>
      </c>
      <c r="B2836" t="str">
        <f>"18881800318"</f>
        <v>18881800318</v>
      </c>
      <c r="C2836" t="str">
        <f>"500224198709280318"</f>
        <v>500224198709280318</v>
      </c>
      <c r="D2836" t="s">
        <v>1</v>
      </c>
      <c r="E2836" t="s">
        <v>1</v>
      </c>
      <c r="F2836" t="s">
        <v>0</v>
      </c>
      <c r="G2836" t="str">
        <f>"2018-10-18 11:37:50"</f>
        <v>2018-10-18 11:37:50</v>
      </c>
    </row>
    <row r="2837" spans="1:7" x14ac:dyDescent="0.2">
      <c r="A2837" t="s">
        <v>4336</v>
      </c>
      <c r="B2837" t="str">
        <f>"18759730633"</f>
        <v>18759730633</v>
      </c>
      <c r="C2837" t="str">
        <f>"350582198911182043"</f>
        <v>350582198911182043</v>
      </c>
      <c r="D2837" t="s">
        <v>1</v>
      </c>
      <c r="E2837" t="s">
        <v>1</v>
      </c>
      <c r="F2837" t="s">
        <v>0</v>
      </c>
      <c r="G2837" t="str">
        <f>"2018-10-18 11:46:16"</f>
        <v>2018-10-18 11:46:16</v>
      </c>
    </row>
    <row r="2838" spans="1:7" x14ac:dyDescent="0.2">
      <c r="A2838" t="s">
        <v>4337</v>
      </c>
      <c r="B2838" t="str">
        <f>"18060271530"</f>
        <v>18060271530</v>
      </c>
      <c r="C2838" t="str">
        <f>"350625198912022533"</f>
        <v>350625198912022533</v>
      </c>
      <c r="D2838" t="s">
        <v>1</v>
      </c>
      <c r="E2838" t="s">
        <v>1</v>
      </c>
      <c r="F2838" t="s">
        <v>0</v>
      </c>
      <c r="G2838" t="str">
        <f>"2018-10-18 11:41:15"</f>
        <v>2018-10-18 11:41:15</v>
      </c>
    </row>
    <row r="2839" spans="1:7" x14ac:dyDescent="0.2">
      <c r="A2839" t="s">
        <v>1</v>
      </c>
      <c r="B2839" t="str">
        <f>"18218229717"</f>
        <v>18218229717</v>
      </c>
      <c r="C2839" t="s">
        <v>1</v>
      </c>
      <c r="D2839" t="s">
        <v>1</v>
      </c>
      <c r="E2839" t="s">
        <v>1</v>
      </c>
      <c r="F2839" t="s">
        <v>0</v>
      </c>
      <c r="G2839" t="str">
        <f>"2018-10-18 11:37:11"</f>
        <v>2018-10-18 11:37:11</v>
      </c>
    </row>
    <row r="2840" spans="1:7" x14ac:dyDescent="0.2">
      <c r="A2840" t="s">
        <v>4338</v>
      </c>
      <c r="B2840" t="str">
        <f>"18920585277"</f>
        <v>18920585277</v>
      </c>
      <c r="C2840" t="str">
        <f>"612429198912153330"</f>
        <v>612429198912153330</v>
      </c>
      <c r="D2840" t="s">
        <v>1</v>
      </c>
      <c r="E2840" t="s">
        <v>1</v>
      </c>
      <c r="F2840" t="s">
        <v>0</v>
      </c>
      <c r="G2840" t="str">
        <f>"2018-10-18 11:39:08"</f>
        <v>2018-10-18 11:39:08</v>
      </c>
    </row>
    <row r="2841" spans="1:7" x14ac:dyDescent="0.2">
      <c r="A2841" t="s">
        <v>4339</v>
      </c>
      <c r="B2841" t="str">
        <f>"15166281107"</f>
        <v>15166281107</v>
      </c>
      <c r="C2841" t="str">
        <f>"370502198901025628"</f>
        <v>370502198901025628</v>
      </c>
      <c r="D2841" t="s">
        <v>1</v>
      </c>
      <c r="E2841" t="s">
        <v>1</v>
      </c>
      <c r="F2841" t="s">
        <v>0</v>
      </c>
      <c r="G2841" t="str">
        <f>"2018-10-18 11:36:57"</f>
        <v>2018-10-18 11:36:57</v>
      </c>
    </row>
    <row r="2842" spans="1:7" x14ac:dyDescent="0.2">
      <c r="A2842" t="s">
        <v>865</v>
      </c>
      <c r="B2842" t="str">
        <f>"13928207056"</f>
        <v>13928207056</v>
      </c>
      <c r="C2842" t="str">
        <f>"513024197809163951"</f>
        <v>513024197809163951</v>
      </c>
      <c r="D2842" t="s">
        <v>1</v>
      </c>
      <c r="E2842" t="s">
        <v>1</v>
      </c>
      <c r="F2842" t="s">
        <v>0</v>
      </c>
      <c r="G2842" t="str">
        <f>"2018-10-18 11:40:19"</f>
        <v>2018-10-18 11:40:19</v>
      </c>
    </row>
    <row r="2843" spans="1:7" x14ac:dyDescent="0.2">
      <c r="A2843" t="s">
        <v>4340</v>
      </c>
      <c r="B2843" t="str">
        <f>"18940676664"</f>
        <v>18940676664</v>
      </c>
      <c r="C2843" t="str">
        <f>"210781199010211810"</f>
        <v>210781199010211810</v>
      </c>
      <c r="D2843" t="s">
        <v>1</v>
      </c>
      <c r="E2843" t="s">
        <v>1</v>
      </c>
      <c r="F2843" t="s">
        <v>0</v>
      </c>
      <c r="G2843" t="str">
        <f>"2018-10-18 12:24:31"</f>
        <v>2018-10-18 12:24:31</v>
      </c>
    </row>
    <row r="2844" spans="1:7" x14ac:dyDescent="0.2">
      <c r="A2844" t="s">
        <v>1</v>
      </c>
      <c r="B2844" t="str">
        <f>"13676007952"</f>
        <v>13676007952</v>
      </c>
      <c r="C2844" t="s">
        <v>1</v>
      </c>
      <c r="D2844" t="s">
        <v>1</v>
      </c>
      <c r="E2844" t="s">
        <v>1</v>
      </c>
      <c r="F2844" t="s">
        <v>0</v>
      </c>
      <c r="G2844" t="str">
        <f>"2018-10-18 11:32:06"</f>
        <v>2018-10-18 11:32:06</v>
      </c>
    </row>
    <row r="2845" spans="1:7" x14ac:dyDescent="0.2">
      <c r="A2845" t="s">
        <v>4341</v>
      </c>
      <c r="B2845" t="str">
        <f>"13453710600"</f>
        <v>13453710600</v>
      </c>
      <c r="C2845" t="str">
        <f>"141031199410200070"</f>
        <v>141031199410200070</v>
      </c>
      <c r="D2845" t="s">
        <v>4342</v>
      </c>
      <c r="E2845" t="s">
        <v>4343</v>
      </c>
      <c r="F2845" t="s">
        <v>0</v>
      </c>
      <c r="G2845" t="str">
        <f>"2018-10-18 11:33:27"</f>
        <v>2018-10-18 11:33:27</v>
      </c>
    </row>
    <row r="2846" spans="1:7" x14ac:dyDescent="0.2">
      <c r="A2846" t="s">
        <v>4344</v>
      </c>
      <c r="B2846" t="str">
        <f>"18525422215"</f>
        <v>18525422215</v>
      </c>
      <c r="C2846" t="str">
        <f>"210211199910082915"</f>
        <v>210211199910082915</v>
      </c>
      <c r="D2846" t="s">
        <v>1</v>
      </c>
      <c r="E2846" t="s">
        <v>1</v>
      </c>
      <c r="F2846" t="s">
        <v>0</v>
      </c>
      <c r="G2846" t="str">
        <f>"2018-11-01 13:38:58"</f>
        <v>2018-11-01 13:38:58</v>
      </c>
    </row>
    <row r="2847" spans="1:7" x14ac:dyDescent="0.2">
      <c r="A2847" t="s">
        <v>465</v>
      </c>
      <c r="B2847" t="str">
        <f>"18375611188"</f>
        <v>18375611188</v>
      </c>
      <c r="C2847" t="str">
        <f>"500234199311040952"</f>
        <v>500234199311040952</v>
      </c>
      <c r="D2847" t="s">
        <v>1</v>
      </c>
      <c r="E2847" t="s">
        <v>1</v>
      </c>
      <c r="F2847" t="s">
        <v>0</v>
      </c>
      <c r="G2847" t="str">
        <f>"2018-10-18 11:32:08"</f>
        <v>2018-10-18 11:32:08</v>
      </c>
    </row>
    <row r="2848" spans="1:7" x14ac:dyDescent="0.2">
      <c r="A2848" t="s">
        <v>4345</v>
      </c>
      <c r="B2848" t="str">
        <f>"18359146346"</f>
        <v>18359146346</v>
      </c>
      <c r="C2848" t="str">
        <f>"350121199207260749"</f>
        <v>350121199207260749</v>
      </c>
      <c r="D2848" t="s">
        <v>1</v>
      </c>
      <c r="E2848" t="s">
        <v>1</v>
      </c>
      <c r="F2848" t="s">
        <v>0</v>
      </c>
      <c r="G2848" t="str">
        <f>"2018-10-18 11:30:39"</f>
        <v>2018-10-18 11:30:39</v>
      </c>
    </row>
    <row r="2849" spans="1:7" x14ac:dyDescent="0.2">
      <c r="A2849" t="s">
        <v>1</v>
      </c>
      <c r="B2849" t="str">
        <f>"18559452298"</f>
        <v>18559452298</v>
      </c>
      <c r="C2849" t="s">
        <v>1</v>
      </c>
      <c r="D2849" t="s">
        <v>1</v>
      </c>
      <c r="E2849" t="s">
        <v>1</v>
      </c>
      <c r="F2849" t="s">
        <v>0</v>
      </c>
      <c r="G2849" t="str">
        <f>"2018-10-18 11:28:36"</f>
        <v>2018-10-18 11:28:36</v>
      </c>
    </row>
    <row r="2850" spans="1:7" x14ac:dyDescent="0.2">
      <c r="A2850" t="s">
        <v>4346</v>
      </c>
      <c r="B2850" t="str">
        <f>"15820421774"</f>
        <v>15820421774</v>
      </c>
      <c r="C2850" t="str">
        <f>"362427199404017316"</f>
        <v>362427199404017316</v>
      </c>
      <c r="D2850" t="s">
        <v>1</v>
      </c>
      <c r="E2850" t="s">
        <v>1</v>
      </c>
      <c r="F2850" t="s">
        <v>0</v>
      </c>
      <c r="G2850" t="str">
        <f>"2018-10-18 11:30:13"</f>
        <v>2018-10-18 11:30:13</v>
      </c>
    </row>
    <row r="2851" spans="1:7" x14ac:dyDescent="0.2">
      <c r="A2851" t="s">
        <v>4347</v>
      </c>
      <c r="B2851" t="str">
        <f>"13946219471"</f>
        <v>13946219471</v>
      </c>
      <c r="C2851" t="str">
        <f>"230221200001262013"</f>
        <v>230221200001262013</v>
      </c>
      <c r="D2851" t="s">
        <v>1</v>
      </c>
      <c r="E2851" t="s">
        <v>1</v>
      </c>
      <c r="F2851" t="s">
        <v>0</v>
      </c>
      <c r="G2851" t="str">
        <f>"2018-10-18 11:27:30"</f>
        <v>2018-10-18 11:27:30</v>
      </c>
    </row>
    <row r="2852" spans="1:7" x14ac:dyDescent="0.2">
      <c r="A2852" t="s">
        <v>4348</v>
      </c>
      <c r="B2852" t="str">
        <f>"15188620086"</f>
        <v>15188620086</v>
      </c>
      <c r="C2852" t="str">
        <f>"132401197910133170"</f>
        <v>132401197910133170</v>
      </c>
      <c r="D2852" t="s">
        <v>4349</v>
      </c>
      <c r="E2852" t="s">
        <v>4350</v>
      </c>
      <c r="F2852" t="s">
        <v>0</v>
      </c>
      <c r="G2852" t="str">
        <f>"2018-10-18 11:25:46"</f>
        <v>2018-10-18 11:25:46</v>
      </c>
    </row>
    <row r="2853" spans="1:7" x14ac:dyDescent="0.2">
      <c r="A2853" t="s">
        <v>4351</v>
      </c>
      <c r="B2853" t="str">
        <f>"18255155775"</f>
        <v>18255155775</v>
      </c>
      <c r="C2853" t="str">
        <f>"342422199909065270"</f>
        <v>342422199909065270</v>
      </c>
      <c r="D2853" t="s">
        <v>4352</v>
      </c>
      <c r="E2853" t="s">
        <v>4353</v>
      </c>
      <c r="F2853" t="s">
        <v>0</v>
      </c>
      <c r="G2853" t="str">
        <f>"2018-10-18 14:40:33"</f>
        <v>2018-10-18 14:40:33</v>
      </c>
    </row>
    <row r="2854" spans="1:7" x14ac:dyDescent="0.2">
      <c r="A2854" t="s">
        <v>1</v>
      </c>
      <c r="B2854" t="str">
        <f>"18193987870"</f>
        <v>18193987870</v>
      </c>
      <c r="C2854" t="s">
        <v>1</v>
      </c>
      <c r="D2854" t="s">
        <v>1</v>
      </c>
      <c r="E2854" t="s">
        <v>1</v>
      </c>
      <c r="F2854" t="s">
        <v>0</v>
      </c>
      <c r="G2854" t="str">
        <f>"2018-10-18 11:25:43"</f>
        <v>2018-10-18 11:25:43</v>
      </c>
    </row>
    <row r="2855" spans="1:7" x14ac:dyDescent="0.2">
      <c r="A2855" t="s">
        <v>4354</v>
      </c>
      <c r="B2855" t="str">
        <f>"13798638745"</f>
        <v>13798638745</v>
      </c>
      <c r="C2855" t="str">
        <f>"510521198807030717"</f>
        <v>510521198807030717</v>
      </c>
      <c r="D2855" t="s">
        <v>4355</v>
      </c>
      <c r="E2855" t="s">
        <v>4356</v>
      </c>
      <c r="F2855" t="s">
        <v>0</v>
      </c>
      <c r="G2855" t="str">
        <f>"2018-10-18 11:30:15"</f>
        <v>2018-10-18 11:30:15</v>
      </c>
    </row>
    <row r="2856" spans="1:7" x14ac:dyDescent="0.2">
      <c r="A2856" t="s">
        <v>4357</v>
      </c>
      <c r="B2856" t="str">
        <f>"13759289384"</f>
        <v>13759289384</v>
      </c>
      <c r="C2856" t="str">
        <f>"532722198706220928"</f>
        <v>532722198706220928</v>
      </c>
      <c r="D2856" t="s">
        <v>1</v>
      </c>
      <c r="E2856" t="s">
        <v>1</v>
      </c>
      <c r="F2856" t="s">
        <v>0</v>
      </c>
      <c r="G2856" t="str">
        <f>"2018-10-18 11:25:53"</f>
        <v>2018-10-18 11:25:53</v>
      </c>
    </row>
    <row r="2857" spans="1:7" x14ac:dyDescent="0.2">
      <c r="A2857" t="s">
        <v>4358</v>
      </c>
      <c r="B2857" t="str">
        <f>"15032815287"</f>
        <v>15032815287</v>
      </c>
      <c r="C2857" t="str">
        <f>"130125198705069517"</f>
        <v>130125198705069517</v>
      </c>
      <c r="D2857" t="s">
        <v>1</v>
      </c>
      <c r="E2857" t="s">
        <v>1</v>
      </c>
      <c r="F2857" t="s">
        <v>0</v>
      </c>
      <c r="G2857" t="str">
        <f>"2018-10-18 11:28:29"</f>
        <v>2018-10-18 11:28:29</v>
      </c>
    </row>
    <row r="2858" spans="1:7" x14ac:dyDescent="0.2">
      <c r="A2858" t="s">
        <v>670</v>
      </c>
      <c r="B2858" t="str">
        <f>"15310694225"</f>
        <v>15310694225</v>
      </c>
      <c r="C2858" t="str">
        <f>"500221199111085513"</f>
        <v>500221199111085513</v>
      </c>
      <c r="D2858" t="s">
        <v>1</v>
      </c>
      <c r="E2858" t="s">
        <v>1</v>
      </c>
      <c r="F2858" t="s">
        <v>0</v>
      </c>
      <c r="G2858" t="str">
        <f>"2018-10-18 11:23:03"</f>
        <v>2018-10-18 11:23:03</v>
      </c>
    </row>
    <row r="2859" spans="1:7" x14ac:dyDescent="0.2">
      <c r="A2859" t="s">
        <v>1</v>
      </c>
      <c r="B2859" t="str">
        <f>"13543713433"</f>
        <v>13543713433</v>
      </c>
      <c r="C2859" t="s">
        <v>1</v>
      </c>
      <c r="D2859" t="s">
        <v>1</v>
      </c>
      <c r="E2859" t="s">
        <v>1</v>
      </c>
      <c r="F2859" t="s">
        <v>0</v>
      </c>
      <c r="G2859" t="str">
        <f>"2018-10-18 11:24:17"</f>
        <v>2018-10-18 11:24:17</v>
      </c>
    </row>
    <row r="2860" spans="1:7" x14ac:dyDescent="0.2">
      <c r="A2860" t="s">
        <v>4359</v>
      </c>
      <c r="B2860" t="str">
        <f>"15904793322"</f>
        <v>15904793322</v>
      </c>
      <c r="C2860" t="str">
        <f>"152526198705092016"</f>
        <v>152526198705092016</v>
      </c>
      <c r="D2860" t="s">
        <v>1</v>
      </c>
      <c r="E2860" t="s">
        <v>1</v>
      </c>
      <c r="F2860" t="s">
        <v>0</v>
      </c>
      <c r="G2860" t="str">
        <f>"2018-10-18 11:24:09"</f>
        <v>2018-10-18 11:24:09</v>
      </c>
    </row>
    <row r="2861" spans="1:7" x14ac:dyDescent="0.2">
      <c r="A2861" t="s">
        <v>4360</v>
      </c>
      <c r="B2861" t="str">
        <f>"13738421072"</f>
        <v>13738421072</v>
      </c>
      <c r="C2861" t="str">
        <f>"330282199109204270"</f>
        <v>330282199109204270</v>
      </c>
      <c r="D2861" t="s">
        <v>1</v>
      </c>
      <c r="E2861" t="s">
        <v>1</v>
      </c>
      <c r="F2861" t="s">
        <v>0</v>
      </c>
      <c r="G2861" t="str">
        <f>"2018-10-18 11:25:15"</f>
        <v>2018-10-18 11:25:15</v>
      </c>
    </row>
    <row r="2862" spans="1:7" x14ac:dyDescent="0.2">
      <c r="A2862" t="s">
        <v>1</v>
      </c>
      <c r="B2862" t="str">
        <f>"18344522299"</f>
        <v>18344522299</v>
      </c>
      <c r="C2862" t="s">
        <v>1</v>
      </c>
      <c r="D2862" t="s">
        <v>1</v>
      </c>
      <c r="E2862" t="s">
        <v>1</v>
      </c>
      <c r="F2862" t="s">
        <v>0</v>
      </c>
      <c r="G2862" t="str">
        <f>"2018-10-18 11:22:00"</f>
        <v>2018-10-18 11:22:00</v>
      </c>
    </row>
    <row r="2863" spans="1:7" x14ac:dyDescent="0.2">
      <c r="A2863" t="s">
        <v>1</v>
      </c>
      <c r="B2863" t="str">
        <f>"15389329926"</f>
        <v>15389329926</v>
      </c>
      <c r="C2863" t="s">
        <v>1</v>
      </c>
      <c r="D2863" t="s">
        <v>1</v>
      </c>
      <c r="E2863" t="s">
        <v>1</v>
      </c>
      <c r="F2863" t="s">
        <v>0</v>
      </c>
      <c r="G2863" t="str">
        <f>"2018-10-18 11:32:05"</f>
        <v>2018-10-18 11:32:05</v>
      </c>
    </row>
    <row r="2864" spans="1:7" x14ac:dyDescent="0.2">
      <c r="A2864" t="s">
        <v>4361</v>
      </c>
      <c r="B2864" t="str">
        <f>"13613558539"</f>
        <v>13613558539</v>
      </c>
      <c r="C2864" t="str">
        <f>"140430198407244822"</f>
        <v>140430198407244822</v>
      </c>
      <c r="D2864" t="s">
        <v>4362</v>
      </c>
      <c r="E2864" t="s">
        <v>4363</v>
      </c>
      <c r="F2864" t="s">
        <v>0</v>
      </c>
      <c r="G2864" t="str">
        <f>"2018-10-18 11:21:04"</f>
        <v>2018-10-18 11:21:04</v>
      </c>
    </row>
    <row r="2865" spans="1:7" x14ac:dyDescent="0.2">
      <c r="A2865" t="s">
        <v>1</v>
      </c>
      <c r="B2865" t="str">
        <f>"15044585928"</f>
        <v>15044585928</v>
      </c>
      <c r="C2865" t="s">
        <v>1</v>
      </c>
      <c r="D2865" t="s">
        <v>1</v>
      </c>
      <c r="E2865" t="s">
        <v>1</v>
      </c>
      <c r="F2865" t="s">
        <v>0</v>
      </c>
      <c r="G2865" t="str">
        <f>"2018-10-18 11:21:04"</f>
        <v>2018-10-18 11:21:04</v>
      </c>
    </row>
    <row r="2866" spans="1:7" x14ac:dyDescent="0.2">
      <c r="A2866" t="s">
        <v>4364</v>
      </c>
      <c r="B2866" t="str">
        <f>"13509875857"</f>
        <v>13509875857</v>
      </c>
      <c r="C2866" t="str">
        <f>"440521197706023814"</f>
        <v>440521197706023814</v>
      </c>
      <c r="D2866" t="s">
        <v>1</v>
      </c>
      <c r="E2866" t="s">
        <v>1</v>
      </c>
      <c r="F2866" t="s">
        <v>0</v>
      </c>
      <c r="G2866" t="str">
        <f>"2018-10-18 11:22:52"</f>
        <v>2018-10-18 11:22:52</v>
      </c>
    </row>
    <row r="2867" spans="1:7" x14ac:dyDescent="0.2">
      <c r="A2867" t="s">
        <v>4365</v>
      </c>
      <c r="B2867" t="str">
        <f>"13500054886"</f>
        <v>13500054886</v>
      </c>
      <c r="C2867" t="str">
        <f>"440921198604028311"</f>
        <v>440921198604028311</v>
      </c>
      <c r="D2867" t="s">
        <v>1</v>
      </c>
      <c r="E2867" t="s">
        <v>1</v>
      </c>
      <c r="F2867" t="s">
        <v>0</v>
      </c>
      <c r="G2867" t="str">
        <f>"2018-10-18 11:31:26"</f>
        <v>2018-10-18 11:31:26</v>
      </c>
    </row>
    <row r="2868" spans="1:7" x14ac:dyDescent="0.2">
      <c r="A2868" t="s">
        <v>242</v>
      </c>
      <c r="B2868" t="str">
        <f>"18983496831"</f>
        <v>18983496831</v>
      </c>
      <c r="C2868" t="str">
        <f>"500381199412241657"</f>
        <v>500381199412241657</v>
      </c>
      <c r="D2868" t="s">
        <v>1</v>
      </c>
      <c r="E2868" t="s">
        <v>1</v>
      </c>
      <c r="F2868" t="s">
        <v>0</v>
      </c>
      <c r="G2868" t="str">
        <f>"2018-10-18 11:19:24"</f>
        <v>2018-10-18 11:19:24</v>
      </c>
    </row>
    <row r="2869" spans="1:7" x14ac:dyDescent="0.2">
      <c r="A2869" t="s">
        <v>4366</v>
      </c>
      <c r="B2869" t="str">
        <f>"13760094753"</f>
        <v>13760094753</v>
      </c>
      <c r="C2869" t="str">
        <f>"441283199112196075"</f>
        <v>441283199112196075</v>
      </c>
      <c r="D2869" t="s">
        <v>1</v>
      </c>
      <c r="E2869" t="s">
        <v>1</v>
      </c>
      <c r="F2869" t="s">
        <v>0</v>
      </c>
      <c r="G2869" t="str">
        <f>"2018-10-18 11:24:35"</f>
        <v>2018-10-18 11:24:35</v>
      </c>
    </row>
    <row r="2870" spans="1:7" x14ac:dyDescent="0.2">
      <c r="A2870" t="s">
        <v>1</v>
      </c>
      <c r="B2870" t="str">
        <f>"15892472944"</f>
        <v>15892472944</v>
      </c>
      <c r="C2870" t="s">
        <v>1</v>
      </c>
      <c r="D2870" t="s">
        <v>1</v>
      </c>
      <c r="E2870" t="s">
        <v>1</v>
      </c>
      <c r="F2870" t="s">
        <v>0</v>
      </c>
      <c r="G2870" t="str">
        <f>"2018-10-18 11:16:51"</f>
        <v>2018-10-18 11:16:51</v>
      </c>
    </row>
    <row r="2871" spans="1:7" x14ac:dyDescent="0.2">
      <c r="A2871" t="s">
        <v>4367</v>
      </c>
      <c r="B2871" t="str">
        <f>"13871060109"</f>
        <v>13871060109</v>
      </c>
      <c r="C2871" t="str">
        <f>"420923199008160651"</f>
        <v>420923199008160651</v>
      </c>
      <c r="D2871" t="s">
        <v>1</v>
      </c>
      <c r="E2871" t="s">
        <v>1</v>
      </c>
      <c r="F2871" t="s">
        <v>0</v>
      </c>
      <c r="G2871" t="str">
        <f>"2018-10-18 12:17:15"</f>
        <v>2018-10-18 12:17:15</v>
      </c>
    </row>
    <row r="2872" spans="1:7" x14ac:dyDescent="0.2">
      <c r="A2872" t="s">
        <v>2816</v>
      </c>
      <c r="B2872" t="str">
        <f>"13961055662"</f>
        <v>13961055662</v>
      </c>
      <c r="C2872" t="str">
        <f>"321281198510257975"</f>
        <v>321281198510257975</v>
      </c>
      <c r="D2872" t="s">
        <v>4368</v>
      </c>
      <c r="E2872" t="s">
        <v>4369</v>
      </c>
      <c r="F2872" t="s">
        <v>0</v>
      </c>
      <c r="G2872" t="str">
        <f>"2018-10-18 11:17:59"</f>
        <v>2018-10-18 11:17:59</v>
      </c>
    </row>
    <row r="2873" spans="1:7" x14ac:dyDescent="0.2">
      <c r="A2873" t="s">
        <v>1</v>
      </c>
      <c r="B2873" t="str">
        <f>"15805293927"</f>
        <v>15805293927</v>
      </c>
      <c r="C2873" t="s">
        <v>1</v>
      </c>
      <c r="D2873" t="s">
        <v>1</v>
      </c>
      <c r="E2873" t="s">
        <v>1</v>
      </c>
      <c r="F2873" t="s">
        <v>0</v>
      </c>
      <c r="G2873" t="str">
        <f>"2018-10-18 11:10:52"</f>
        <v>2018-10-18 11:10:52</v>
      </c>
    </row>
    <row r="2874" spans="1:7" x14ac:dyDescent="0.2">
      <c r="A2874" t="s">
        <v>1</v>
      </c>
      <c r="B2874" t="str">
        <f>"15082842835"</f>
        <v>15082842835</v>
      </c>
      <c r="C2874" t="s">
        <v>1</v>
      </c>
      <c r="D2874" t="s">
        <v>1</v>
      </c>
      <c r="E2874" t="s">
        <v>1</v>
      </c>
      <c r="F2874" t="s">
        <v>0</v>
      </c>
      <c r="G2874" t="str">
        <f>"2018-10-18 11:10:24"</f>
        <v>2018-10-18 11:10:24</v>
      </c>
    </row>
    <row r="2875" spans="1:7" x14ac:dyDescent="0.2">
      <c r="A2875" t="s">
        <v>1</v>
      </c>
      <c r="B2875" t="str">
        <f>"13417072588"</f>
        <v>13417072588</v>
      </c>
      <c r="C2875" t="s">
        <v>1</v>
      </c>
      <c r="D2875" t="s">
        <v>1</v>
      </c>
      <c r="E2875" t="s">
        <v>1</v>
      </c>
      <c r="F2875" t="s">
        <v>0</v>
      </c>
      <c r="G2875" t="str">
        <f>"2018-10-18 11:11:38"</f>
        <v>2018-10-18 11:11:38</v>
      </c>
    </row>
    <row r="2876" spans="1:7" x14ac:dyDescent="0.2">
      <c r="A2876" t="s">
        <v>1669</v>
      </c>
      <c r="B2876" t="str">
        <f>"13586411798"</f>
        <v>13586411798</v>
      </c>
      <c r="C2876" t="str">
        <f>"362204199404052116"</f>
        <v>362204199404052116</v>
      </c>
      <c r="D2876" t="s">
        <v>1</v>
      </c>
      <c r="E2876" t="s">
        <v>1</v>
      </c>
      <c r="F2876" t="s">
        <v>0</v>
      </c>
      <c r="G2876" t="str">
        <f>"2018-10-18 11:12:06"</f>
        <v>2018-10-18 11:12:06</v>
      </c>
    </row>
    <row r="2877" spans="1:7" x14ac:dyDescent="0.2">
      <c r="A2877" t="s">
        <v>4370</v>
      </c>
      <c r="B2877" t="str">
        <f>"13500967027"</f>
        <v>13500967027</v>
      </c>
      <c r="C2877" t="str">
        <f>"21088119960516123X"</f>
        <v>21088119960516123X</v>
      </c>
      <c r="D2877" t="s">
        <v>1</v>
      </c>
      <c r="E2877" t="s">
        <v>1</v>
      </c>
      <c r="F2877" t="s">
        <v>0</v>
      </c>
      <c r="G2877" t="str">
        <f>"2018-10-18 11:12:26"</f>
        <v>2018-10-18 11:12:26</v>
      </c>
    </row>
    <row r="2878" spans="1:7" x14ac:dyDescent="0.2">
      <c r="A2878" t="s">
        <v>943</v>
      </c>
      <c r="B2878" t="str">
        <f>"15954239161"</f>
        <v>15954239161</v>
      </c>
      <c r="C2878" t="str">
        <f>"211421199303012821"</f>
        <v>211421199303012821</v>
      </c>
      <c r="D2878" t="s">
        <v>1</v>
      </c>
      <c r="E2878" t="s">
        <v>1</v>
      </c>
      <c r="F2878" t="s">
        <v>0</v>
      </c>
      <c r="G2878" t="str">
        <f>"2018-10-18 11:13:29"</f>
        <v>2018-10-18 11:13:29</v>
      </c>
    </row>
    <row r="2879" spans="1:7" x14ac:dyDescent="0.2">
      <c r="A2879" t="s">
        <v>1</v>
      </c>
      <c r="B2879" t="str">
        <f>"15832045370"</f>
        <v>15832045370</v>
      </c>
      <c r="C2879" t="s">
        <v>1</v>
      </c>
      <c r="D2879" t="s">
        <v>1</v>
      </c>
      <c r="E2879" t="s">
        <v>1</v>
      </c>
      <c r="F2879" t="s">
        <v>0</v>
      </c>
      <c r="G2879" t="str">
        <f>"2018-10-18 11:09:52"</f>
        <v>2018-10-18 11:09:52</v>
      </c>
    </row>
    <row r="2880" spans="1:7" x14ac:dyDescent="0.2">
      <c r="A2880" t="s">
        <v>1</v>
      </c>
      <c r="B2880" t="str">
        <f>"13990669264"</f>
        <v>13990669264</v>
      </c>
      <c r="C2880" t="s">
        <v>1</v>
      </c>
      <c r="D2880" t="s">
        <v>1</v>
      </c>
      <c r="E2880" t="s">
        <v>1</v>
      </c>
      <c r="F2880" t="s">
        <v>0</v>
      </c>
      <c r="G2880" t="str">
        <f>"2018-10-18 11:08:53"</f>
        <v>2018-10-18 11:08:53</v>
      </c>
    </row>
    <row r="2881" spans="1:7" x14ac:dyDescent="0.2">
      <c r="A2881" t="s">
        <v>4371</v>
      </c>
      <c r="B2881" t="str">
        <f>"15079816585"</f>
        <v>15079816585</v>
      </c>
      <c r="C2881" t="str">
        <f>"360203199407192028"</f>
        <v>360203199407192028</v>
      </c>
      <c r="D2881" t="s">
        <v>1</v>
      </c>
      <c r="E2881" t="s">
        <v>1</v>
      </c>
      <c r="F2881" t="s">
        <v>0</v>
      </c>
      <c r="G2881" t="str">
        <f>"2018-10-18 11:14:22"</f>
        <v>2018-10-18 11:14:22</v>
      </c>
    </row>
    <row r="2882" spans="1:7" x14ac:dyDescent="0.2">
      <c r="A2882" t="s">
        <v>4372</v>
      </c>
      <c r="B2882" t="str">
        <f>"18682169025"</f>
        <v>18682169025</v>
      </c>
      <c r="C2882" t="str">
        <f>"430407199512150035"</f>
        <v>430407199512150035</v>
      </c>
      <c r="D2882" t="s">
        <v>1</v>
      </c>
      <c r="E2882" t="s">
        <v>1</v>
      </c>
      <c r="F2882" t="s">
        <v>0</v>
      </c>
      <c r="G2882" t="str">
        <f>"2018-10-18 11:09:56"</f>
        <v>2018-10-18 11:09:56</v>
      </c>
    </row>
    <row r="2883" spans="1:7" x14ac:dyDescent="0.2">
      <c r="A2883" t="s">
        <v>4373</v>
      </c>
      <c r="B2883" t="str">
        <f>"13833875867"</f>
        <v>13833875867</v>
      </c>
      <c r="C2883" t="str">
        <f>"131102198404120813"</f>
        <v>131102198404120813</v>
      </c>
      <c r="D2883" t="s">
        <v>4374</v>
      </c>
      <c r="E2883" t="s">
        <v>4375</v>
      </c>
      <c r="F2883" t="s">
        <v>0</v>
      </c>
      <c r="G2883" t="str">
        <f>"2018-10-18 11:08:52"</f>
        <v>2018-10-18 11:08:52</v>
      </c>
    </row>
    <row r="2884" spans="1:7" x14ac:dyDescent="0.2">
      <c r="A2884" t="s">
        <v>4376</v>
      </c>
      <c r="B2884" t="str">
        <f>"18795926224"</f>
        <v>18795926224</v>
      </c>
      <c r="C2884" t="str">
        <f>"320124197603010439"</f>
        <v>320124197603010439</v>
      </c>
      <c r="D2884" t="s">
        <v>1</v>
      </c>
      <c r="E2884" t="s">
        <v>1</v>
      </c>
      <c r="F2884" t="s">
        <v>0</v>
      </c>
      <c r="G2884" t="str">
        <f>"2018-10-18 11:10:47"</f>
        <v>2018-10-18 11:10:47</v>
      </c>
    </row>
    <row r="2885" spans="1:7" x14ac:dyDescent="0.2">
      <c r="A2885" t="s">
        <v>4377</v>
      </c>
      <c r="B2885" t="str">
        <f>"13712632883"</f>
        <v>13712632883</v>
      </c>
      <c r="C2885" t="str">
        <f>"441900197404233366"</f>
        <v>441900197404233366</v>
      </c>
      <c r="D2885" t="s">
        <v>1</v>
      </c>
      <c r="E2885" t="s">
        <v>1</v>
      </c>
      <c r="F2885" t="s">
        <v>0</v>
      </c>
      <c r="G2885" t="str">
        <f>"2018-10-18 11:09:02"</f>
        <v>2018-10-18 11:09:02</v>
      </c>
    </row>
    <row r="2886" spans="1:7" x14ac:dyDescent="0.2">
      <c r="A2886" t="s">
        <v>4378</v>
      </c>
      <c r="B2886" t="str">
        <f>"13830490704"</f>
        <v>13830490704</v>
      </c>
      <c r="C2886" t="str">
        <f>"62050319810518161X"</f>
        <v>62050319810518161X</v>
      </c>
      <c r="D2886" t="s">
        <v>1</v>
      </c>
      <c r="E2886" t="s">
        <v>1</v>
      </c>
      <c r="F2886" t="s">
        <v>0</v>
      </c>
      <c r="G2886" t="str">
        <f>"2018-10-18 13:00:51"</f>
        <v>2018-10-18 13:00:51</v>
      </c>
    </row>
    <row r="2887" spans="1:7" x14ac:dyDescent="0.2">
      <c r="A2887" t="s">
        <v>337</v>
      </c>
      <c r="B2887" t="str">
        <f>"15872270975"</f>
        <v>15872270975</v>
      </c>
      <c r="C2887" t="str">
        <f>"429001199802084300"</f>
        <v>429001199802084300</v>
      </c>
      <c r="D2887" t="s">
        <v>1</v>
      </c>
      <c r="E2887" t="s">
        <v>1</v>
      </c>
      <c r="F2887" t="s">
        <v>0</v>
      </c>
      <c r="G2887" t="str">
        <f>"2018-10-18 11:08:18"</f>
        <v>2018-10-18 11:08:18</v>
      </c>
    </row>
    <row r="2888" spans="1:7" x14ac:dyDescent="0.2">
      <c r="A2888" t="s">
        <v>446</v>
      </c>
      <c r="B2888" t="str">
        <f>"18252657393"</f>
        <v>18252657393</v>
      </c>
      <c r="C2888" t="str">
        <f>"321283199706023430"</f>
        <v>321283199706023430</v>
      </c>
      <c r="D2888" t="s">
        <v>1</v>
      </c>
      <c r="E2888" t="s">
        <v>1</v>
      </c>
      <c r="F2888" t="s">
        <v>0</v>
      </c>
      <c r="G2888" t="str">
        <f>"2018-10-18 11:07:36"</f>
        <v>2018-10-18 11:07:36</v>
      </c>
    </row>
    <row r="2889" spans="1:7" x14ac:dyDescent="0.2">
      <c r="A2889" t="s">
        <v>1</v>
      </c>
      <c r="B2889" t="str">
        <f>"15210420976"</f>
        <v>15210420976</v>
      </c>
      <c r="C2889" t="s">
        <v>1</v>
      </c>
      <c r="D2889" t="s">
        <v>1</v>
      </c>
      <c r="E2889" t="s">
        <v>1</v>
      </c>
      <c r="F2889" t="s">
        <v>0</v>
      </c>
      <c r="G2889" t="str">
        <f>"2018-10-18 11:05:11"</f>
        <v>2018-10-18 11:05:11</v>
      </c>
    </row>
    <row r="2890" spans="1:7" x14ac:dyDescent="0.2">
      <c r="A2890" t="s">
        <v>827</v>
      </c>
      <c r="B2890" t="str">
        <f>"15298718536"</f>
        <v>15298718536</v>
      </c>
      <c r="C2890" t="str">
        <f>"320322198908281670"</f>
        <v>320322198908281670</v>
      </c>
      <c r="D2890" t="s">
        <v>4379</v>
      </c>
      <c r="E2890" t="s">
        <v>4380</v>
      </c>
      <c r="F2890" t="s">
        <v>0</v>
      </c>
      <c r="G2890" t="str">
        <f>"2018-10-18 11:04:53"</f>
        <v>2018-10-18 11:04:53</v>
      </c>
    </row>
    <row r="2891" spans="1:7" x14ac:dyDescent="0.2">
      <c r="A2891" t="s">
        <v>1</v>
      </c>
      <c r="B2891" t="str">
        <f>"18932576384"</f>
        <v>18932576384</v>
      </c>
      <c r="C2891" t="s">
        <v>1</v>
      </c>
      <c r="D2891" t="s">
        <v>1</v>
      </c>
      <c r="E2891" t="s">
        <v>1</v>
      </c>
      <c r="F2891" t="s">
        <v>0</v>
      </c>
      <c r="G2891" t="str">
        <f>"2018-10-18 11:04:10"</f>
        <v>2018-10-18 11:04:10</v>
      </c>
    </row>
    <row r="2892" spans="1:7" x14ac:dyDescent="0.2">
      <c r="A2892" t="s">
        <v>4381</v>
      </c>
      <c r="B2892" t="str">
        <f>"18344121938"</f>
        <v>18344121938</v>
      </c>
      <c r="C2892" t="str">
        <f>"445222199610122731"</f>
        <v>445222199610122731</v>
      </c>
      <c r="D2892" t="s">
        <v>1</v>
      </c>
      <c r="E2892" t="s">
        <v>1</v>
      </c>
      <c r="F2892" t="s">
        <v>0</v>
      </c>
      <c r="G2892" t="str">
        <f>"2018-10-19 10:46:53"</f>
        <v>2018-10-19 10:46:53</v>
      </c>
    </row>
    <row r="2893" spans="1:7" x14ac:dyDescent="0.2">
      <c r="A2893" t="s">
        <v>1</v>
      </c>
      <c r="B2893" t="str">
        <f>"15759292998"</f>
        <v>15759292998</v>
      </c>
      <c r="C2893" t="s">
        <v>1</v>
      </c>
      <c r="D2893" t="s">
        <v>1</v>
      </c>
      <c r="E2893" t="s">
        <v>1</v>
      </c>
      <c r="F2893" t="s">
        <v>0</v>
      </c>
      <c r="G2893" t="str">
        <f>"2018-10-18 11:04:16"</f>
        <v>2018-10-18 11:04:16</v>
      </c>
    </row>
    <row r="2894" spans="1:7" x14ac:dyDescent="0.2">
      <c r="A2894" t="s">
        <v>4382</v>
      </c>
      <c r="B2894" t="str">
        <f>"15185775003"</f>
        <v>15185775003</v>
      </c>
      <c r="C2894" t="str">
        <f>"522601199408041214"</f>
        <v>522601199408041214</v>
      </c>
      <c r="D2894" t="s">
        <v>1</v>
      </c>
      <c r="E2894" t="s">
        <v>1</v>
      </c>
      <c r="F2894" t="s">
        <v>0</v>
      </c>
      <c r="G2894" t="str">
        <f>"2018-10-18 11:06:07"</f>
        <v>2018-10-18 11:06:07</v>
      </c>
    </row>
    <row r="2895" spans="1:7" x14ac:dyDescent="0.2">
      <c r="A2895" t="s">
        <v>876</v>
      </c>
      <c r="B2895" t="str">
        <f>"13485482228"</f>
        <v>13485482228</v>
      </c>
      <c r="C2895" t="str">
        <f>"14242419870826651X"</f>
        <v>14242419870826651X</v>
      </c>
      <c r="D2895" t="s">
        <v>1</v>
      </c>
      <c r="E2895" t="s">
        <v>1</v>
      </c>
      <c r="F2895" t="s">
        <v>0</v>
      </c>
      <c r="G2895" t="str">
        <f>"2018-10-18 14:38:57"</f>
        <v>2018-10-18 14:38:57</v>
      </c>
    </row>
    <row r="2896" spans="1:7" x14ac:dyDescent="0.2">
      <c r="A2896" t="s">
        <v>4383</v>
      </c>
      <c r="B2896" t="str">
        <f>"13989162336"</f>
        <v>13989162336</v>
      </c>
      <c r="C2896" t="str">
        <f>"51302319930609001X"</f>
        <v>51302319930609001X</v>
      </c>
      <c r="D2896" t="s">
        <v>1</v>
      </c>
      <c r="E2896" t="s">
        <v>1</v>
      </c>
      <c r="F2896" t="s">
        <v>0</v>
      </c>
      <c r="G2896" t="str">
        <f>"2018-10-19 10:57:36"</f>
        <v>2018-10-19 10:57:36</v>
      </c>
    </row>
    <row r="2897" spans="1:7" x14ac:dyDescent="0.2">
      <c r="A2897" t="s">
        <v>4384</v>
      </c>
      <c r="B2897" t="str">
        <f>"13577381118"</f>
        <v>13577381118</v>
      </c>
      <c r="C2897" t="str">
        <f>"532201198302260027"</f>
        <v>532201198302260027</v>
      </c>
      <c r="D2897" t="s">
        <v>1</v>
      </c>
      <c r="E2897" t="s">
        <v>1</v>
      </c>
      <c r="F2897" t="s">
        <v>0</v>
      </c>
      <c r="G2897" t="str">
        <f>"2018-10-18 11:26:34"</f>
        <v>2018-10-18 11:26:34</v>
      </c>
    </row>
    <row r="2898" spans="1:7" x14ac:dyDescent="0.2">
      <c r="A2898" t="s">
        <v>4385</v>
      </c>
      <c r="B2898" t="str">
        <f>"13980893521"</f>
        <v>13980893521</v>
      </c>
      <c r="C2898" t="str">
        <f>"510184198704050911"</f>
        <v>510184198704050911</v>
      </c>
      <c r="D2898" t="s">
        <v>1</v>
      </c>
      <c r="E2898" t="s">
        <v>1</v>
      </c>
      <c r="F2898" t="s">
        <v>0</v>
      </c>
      <c r="G2898" t="str">
        <f>"2018-10-18 15:07:28"</f>
        <v>2018-10-18 15:07:28</v>
      </c>
    </row>
    <row r="2899" spans="1:7" x14ac:dyDescent="0.2">
      <c r="A2899" t="s">
        <v>4386</v>
      </c>
      <c r="B2899" t="str">
        <f>"15661082334"</f>
        <v>15661082334</v>
      </c>
      <c r="C2899" t="str">
        <f>"130725199604182278"</f>
        <v>130725199604182278</v>
      </c>
      <c r="D2899" t="s">
        <v>1</v>
      </c>
      <c r="E2899" t="s">
        <v>1</v>
      </c>
      <c r="F2899" t="s">
        <v>0</v>
      </c>
      <c r="G2899" t="str">
        <f>"2018-10-18 11:03:13"</f>
        <v>2018-10-18 11:03:13</v>
      </c>
    </row>
    <row r="2900" spans="1:7" x14ac:dyDescent="0.2">
      <c r="A2900" t="s">
        <v>4387</v>
      </c>
      <c r="B2900" t="str">
        <f>"15141681035"</f>
        <v>15141681035</v>
      </c>
      <c r="C2900" t="str">
        <f>"230523199208284029"</f>
        <v>230523199208284029</v>
      </c>
      <c r="D2900" t="s">
        <v>1</v>
      </c>
      <c r="E2900" t="s">
        <v>1</v>
      </c>
      <c r="F2900" t="s">
        <v>0</v>
      </c>
      <c r="G2900" t="str">
        <f>"2018-10-18 11:38:35"</f>
        <v>2018-10-18 11:38:35</v>
      </c>
    </row>
    <row r="2901" spans="1:7" x14ac:dyDescent="0.2">
      <c r="A2901" t="s">
        <v>4388</v>
      </c>
      <c r="B2901" t="str">
        <f>"15153226444"</f>
        <v>15153226444</v>
      </c>
      <c r="C2901" t="str">
        <f>"370284199508201210"</f>
        <v>370284199508201210</v>
      </c>
      <c r="D2901" t="s">
        <v>1</v>
      </c>
      <c r="E2901" t="s">
        <v>1</v>
      </c>
      <c r="F2901" t="s">
        <v>0</v>
      </c>
      <c r="G2901" t="str">
        <f>"2018-10-18 11:02:09"</f>
        <v>2018-10-18 11:02:09</v>
      </c>
    </row>
    <row r="2902" spans="1:7" x14ac:dyDescent="0.2">
      <c r="A2902" t="s">
        <v>4389</v>
      </c>
      <c r="B2902" t="str">
        <f>"15214211304"</f>
        <v>15214211304</v>
      </c>
      <c r="C2902" t="str">
        <f>"230722200008241024"</f>
        <v>230722200008241024</v>
      </c>
      <c r="D2902" t="s">
        <v>1</v>
      </c>
      <c r="E2902" t="s">
        <v>1</v>
      </c>
      <c r="F2902" t="s">
        <v>0</v>
      </c>
      <c r="G2902" t="str">
        <f>"2018-10-18 11:02:21"</f>
        <v>2018-10-18 11:02:21</v>
      </c>
    </row>
    <row r="2903" spans="1:7" x14ac:dyDescent="0.2">
      <c r="A2903" t="s">
        <v>4390</v>
      </c>
      <c r="B2903" t="str">
        <f>"18584155553"</f>
        <v>18584155553</v>
      </c>
      <c r="C2903" t="str">
        <f>"511129199401055425"</f>
        <v>511129199401055425</v>
      </c>
      <c r="D2903" t="s">
        <v>4391</v>
      </c>
      <c r="E2903" t="s">
        <v>4392</v>
      </c>
      <c r="F2903" t="s">
        <v>0</v>
      </c>
      <c r="G2903" t="str">
        <f>"2018-10-18 11:04:33"</f>
        <v>2018-10-18 11:04:33</v>
      </c>
    </row>
    <row r="2904" spans="1:7" x14ac:dyDescent="0.2">
      <c r="A2904" t="s">
        <v>1649</v>
      </c>
      <c r="B2904" t="str">
        <f>"13971450713"</f>
        <v>13971450713</v>
      </c>
      <c r="C2904" t="str">
        <f>"421125198002072015"</f>
        <v>421125198002072015</v>
      </c>
      <c r="D2904" t="s">
        <v>1</v>
      </c>
      <c r="E2904" t="s">
        <v>1</v>
      </c>
      <c r="F2904" t="s">
        <v>0</v>
      </c>
      <c r="G2904" t="str">
        <f>"2018-10-18 11:05:24"</f>
        <v>2018-10-18 11:05:24</v>
      </c>
    </row>
    <row r="2905" spans="1:7" x14ac:dyDescent="0.2">
      <c r="A2905" t="s">
        <v>4393</v>
      </c>
      <c r="B2905" t="str">
        <f>"15032151986"</f>
        <v>15032151986</v>
      </c>
      <c r="C2905" t="str">
        <f>"130102198812030023"</f>
        <v>130102198812030023</v>
      </c>
      <c r="D2905" t="s">
        <v>1</v>
      </c>
      <c r="E2905" t="s">
        <v>1</v>
      </c>
      <c r="F2905" t="s">
        <v>0</v>
      </c>
      <c r="G2905" t="str">
        <f>"2018-10-18 11:00:06"</f>
        <v>2018-10-18 11:00:06</v>
      </c>
    </row>
    <row r="2906" spans="1:7" x14ac:dyDescent="0.2">
      <c r="A2906" t="s">
        <v>4394</v>
      </c>
      <c r="B2906" t="str">
        <f>"13104663767"</f>
        <v>13104663767</v>
      </c>
      <c r="C2906" t="str">
        <f>"230121199509234266"</f>
        <v>230121199509234266</v>
      </c>
      <c r="D2906" t="s">
        <v>1</v>
      </c>
      <c r="E2906" t="s">
        <v>1</v>
      </c>
      <c r="F2906" t="s">
        <v>0</v>
      </c>
      <c r="G2906" t="str">
        <f>"2018-10-18 11:00:05"</f>
        <v>2018-10-18 11:00:05</v>
      </c>
    </row>
    <row r="2907" spans="1:7" x14ac:dyDescent="0.2">
      <c r="A2907" t="s">
        <v>4395</v>
      </c>
      <c r="B2907" t="str">
        <f>"15059771373"</f>
        <v>15059771373</v>
      </c>
      <c r="C2907" t="str">
        <f>"350525199306153030"</f>
        <v>350525199306153030</v>
      </c>
      <c r="D2907" t="s">
        <v>1</v>
      </c>
      <c r="E2907" t="s">
        <v>1</v>
      </c>
      <c r="F2907" t="s">
        <v>0</v>
      </c>
      <c r="G2907" t="str">
        <f>"2018-10-18 11:03:21"</f>
        <v>2018-10-18 11:03:21</v>
      </c>
    </row>
    <row r="2908" spans="1:7" x14ac:dyDescent="0.2">
      <c r="A2908" t="s">
        <v>1</v>
      </c>
      <c r="B2908" t="str">
        <f>"13638138678"</f>
        <v>13638138678</v>
      </c>
      <c r="C2908" t="s">
        <v>1</v>
      </c>
      <c r="D2908" t="s">
        <v>1</v>
      </c>
      <c r="E2908" t="s">
        <v>1</v>
      </c>
      <c r="F2908" t="s">
        <v>0</v>
      </c>
      <c r="G2908" t="str">
        <f>"2018-10-18 10:58:37"</f>
        <v>2018-10-18 10:58:37</v>
      </c>
    </row>
    <row r="2909" spans="1:7" x14ac:dyDescent="0.2">
      <c r="A2909" t="s">
        <v>4396</v>
      </c>
      <c r="B2909" t="str">
        <f>"13875160504"</f>
        <v>13875160504</v>
      </c>
      <c r="C2909" t="str">
        <f>"43072219950422003X"</f>
        <v>43072219950422003X</v>
      </c>
      <c r="D2909" t="s">
        <v>4397</v>
      </c>
      <c r="E2909" t="s">
        <v>4398</v>
      </c>
      <c r="F2909" t="s">
        <v>0</v>
      </c>
      <c r="G2909" t="str">
        <f>"2018-10-18 10:58:23"</f>
        <v>2018-10-18 10:58:23</v>
      </c>
    </row>
    <row r="2910" spans="1:7" x14ac:dyDescent="0.2">
      <c r="A2910" t="s">
        <v>1</v>
      </c>
      <c r="B2910" t="str">
        <f>"13459115251"</f>
        <v>13459115251</v>
      </c>
      <c r="C2910" t="s">
        <v>1</v>
      </c>
      <c r="D2910" t="s">
        <v>1</v>
      </c>
      <c r="E2910" t="s">
        <v>1</v>
      </c>
      <c r="F2910" t="s">
        <v>0</v>
      </c>
      <c r="G2910" t="str">
        <f>"2018-10-18 10:55:14"</f>
        <v>2018-10-18 10:55:14</v>
      </c>
    </row>
    <row r="2911" spans="1:7" x14ac:dyDescent="0.2">
      <c r="A2911" t="s">
        <v>1</v>
      </c>
      <c r="B2911" t="str">
        <f>"13117724519"</f>
        <v>13117724519</v>
      </c>
      <c r="C2911" t="s">
        <v>1</v>
      </c>
      <c r="D2911" t="s">
        <v>1</v>
      </c>
      <c r="E2911" t="s">
        <v>1</v>
      </c>
      <c r="F2911" t="s">
        <v>0</v>
      </c>
      <c r="G2911" t="str">
        <f>"2018-10-18 10:55:04"</f>
        <v>2018-10-18 10:55:04</v>
      </c>
    </row>
    <row r="2912" spans="1:7" x14ac:dyDescent="0.2">
      <c r="A2912" t="s">
        <v>1</v>
      </c>
      <c r="B2912" t="str">
        <f>"15838062365"</f>
        <v>15838062365</v>
      </c>
      <c r="C2912" t="s">
        <v>1</v>
      </c>
      <c r="D2912" t="s">
        <v>1</v>
      </c>
      <c r="E2912" t="s">
        <v>1</v>
      </c>
      <c r="F2912" t="s">
        <v>0</v>
      </c>
      <c r="G2912" t="str">
        <f>"2018-10-18 10:54:54"</f>
        <v>2018-10-18 10:54:54</v>
      </c>
    </row>
    <row r="2913" spans="1:7" x14ac:dyDescent="0.2">
      <c r="A2913" t="s">
        <v>4399</v>
      </c>
      <c r="B2913" t="str">
        <f>"17561936715"</f>
        <v>17561936715</v>
      </c>
      <c r="C2913" t="str">
        <f>"411421200010186011"</f>
        <v>411421200010186011</v>
      </c>
      <c r="D2913" t="s">
        <v>1</v>
      </c>
      <c r="E2913" t="s">
        <v>1</v>
      </c>
      <c r="F2913" t="s">
        <v>0</v>
      </c>
      <c r="G2913" t="str">
        <f>"2018-10-18 10:55:13"</f>
        <v>2018-10-18 10:55:13</v>
      </c>
    </row>
    <row r="2914" spans="1:7" x14ac:dyDescent="0.2">
      <c r="A2914" t="s">
        <v>4400</v>
      </c>
      <c r="B2914" t="str">
        <f>"13882501882"</f>
        <v>13882501882</v>
      </c>
      <c r="C2914" t="str">
        <f>"51090219860730902X"</f>
        <v>51090219860730902X</v>
      </c>
      <c r="D2914" t="s">
        <v>1</v>
      </c>
      <c r="E2914" t="s">
        <v>1</v>
      </c>
      <c r="F2914" t="s">
        <v>0</v>
      </c>
      <c r="G2914" t="str">
        <f>"2018-10-18 10:59:01"</f>
        <v>2018-10-18 10:59:01</v>
      </c>
    </row>
    <row r="2915" spans="1:7" x14ac:dyDescent="0.2">
      <c r="A2915" t="s">
        <v>1</v>
      </c>
      <c r="B2915" t="str">
        <f>"18301529391"</f>
        <v>18301529391</v>
      </c>
      <c r="C2915" t="s">
        <v>1</v>
      </c>
      <c r="D2915" t="s">
        <v>1</v>
      </c>
      <c r="E2915" t="s">
        <v>1</v>
      </c>
      <c r="F2915" t="s">
        <v>0</v>
      </c>
      <c r="G2915" t="str">
        <f>"2018-10-18 10:52:43"</f>
        <v>2018-10-18 10:52:43</v>
      </c>
    </row>
    <row r="2916" spans="1:7" x14ac:dyDescent="0.2">
      <c r="A2916" t="s">
        <v>4401</v>
      </c>
      <c r="B2916" t="str">
        <f>"13575805171"</f>
        <v>13575805171</v>
      </c>
      <c r="C2916" t="str">
        <f>"330124198506073311"</f>
        <v>330124198506073311</v>
      </c>
      <c r="D2916" t="s">
        <v>1</v>
      </c>
      <c r="E2916" t="s">
        <v>1</v>
      </c>
      <c r="F2916" t="s">
        <v>0</v>
      </c>
      <c r="G2916" t="str">
        <f>"2018-10-18 19:28:25"</f>
        <v>2018-10-18 19:28:25</v>
      </c>
    </row>
    <row r="2917" spans="1:7" x14ac:dyDescent="0.2">
      <c r="A2917" t="s">
        <v>4402</v>
      </c>
      <c r="B2917" t="str">
        <f>"13429410320"</f>
        <v>13429410320</v>
      </c>
      <c r="C2917" t="str">
        <f>"532124198805052325"</f>
        <v>532124198805052325</v>
      </c>
      <c r="D2917" t="s">
        <v>1</v>
      </c>
      <c r="E2917" t="s">
        <v>1</v>
      </c>
      <c r="F2917" t="s">
        <v>0</v>
      </c>
      <c r="G2917" t="str">
        <f>"2018-10-18 10:53:21"</f>
        <v>2018-10-18 10:53:21</v>
      </c>
    </row>
    <row r="2918" spans="1:7" x14ac:dyDescent="0.2">
      <c r="A2918" t="s">
        <v>4403</v>
      </c>
      <c r="B2918" t="str">
        <f>"13978544843"</f>
        <v>13978544843</v>
      </c>
      <c r="C2918" t="str">
        <f>"452502199008185836"</f>
        <v>452502199008185836</v>
      </c>
      <c r="D2918" t="s">
        <v>1</v>
      </c>
      <c r="E2918" t="s">
        <v>1</v>
      </c>
      <c r="F2918" t="s">
        <v>0</v>
      </c>
      <c r="G2918" t="str">
        <f>"2018-10-18 10:57:25"</f>
        <v>2018-10-18 10:57:25</v>
      </c>
    </row>
    <row r="2919" spans="1:7" x14ac:dyDescent="0.2">
      <c r="A2919" t="s">
        <v>4404</v>
      </c>
      <c r="B2919" t="str">
        <f>"15193634934"</f>
        <v>15193634934</v>
      </c>
      <c r="C2919" t="str">
        <f>"62280119870826046X"</f>
        <v>62280119870826046X</v>
      </c>
      <c r="D2919" t="s">
        <v>1</v>
      </c>
      <c r="E2919" t="s">
        <v>1</v>
      </c>
      <c r="F2919" t="s">
        <v>0</v>
      </c>
      <c r="G2919" t="str">
        <f>"2018-10-18 10:51:31"</f>
        <v>2018-10-18 10:51:31</v>
      </c>
    </row>
    <row r="2920" spans="1:7" x14ac:dyDescent="0.2">
      <c r="A2920" t="s">
        <v>4405</v>
      </c>
      <c r="B2920" t="str">
        <f>"18246040190"</f>
        <v>18246040190</v>
      </c>
      <c r="C2920" t="str">
        <f>"230104198611091918"</f>
        <v>230104198611091918</v>
      </c>
      <c r="D2920" t="s">
        <v>4406</v>
      </c>
      <c r="E2920" t="s">
        <v>4407</v>
      </c>
      <c r="F2920" t="s">
        <v>0</v>
      </c>
      <c r="G2920" t="str">
        <f>"2018-10-18 10:50:48"</f>
        <v>2018-10-18 10:50:48</v>
      </c>
    </row>
    <row r="2921" spans="1:7" x14ac:dyDescent="0.2">
      <c r="A2921" t="s">
        <v>4408</v>
      </c>
      <c r="B2921" t="str">
        <f>"18697212152"</f>
        <v>18697212152</v>
      </c>
      <c r="C2921" t="str">
        <f>"620121199210161026"</f>
        <v>620121199210161026</v>
      </c>
      <c r="D2921" t="s">
        <v>4409</v>
      </c>
      <c r="E2921" t="s">
        <v>4410</v>
      </c>
      <c r="F2921" t="s">
        <v>0</v>
      </c>
      <c r="G2921" t="str">
        <f>"2018-10-18 10:51:01"</f>
        <v>2018-10-18 10:51:01</v>
      </c>
    </row>
    <row r="2922" spans="1:7" x14ac:dyDescent="0.2">
      <c r="A2922" t="s">
        <v>1</v>
      </c>
      <c r="B2922" t="str">
        <f>"13132697964"</f>
        <v>13132697964</v>
      </c>
      <c r="C2922" t="s">
        <v>1</v>
      </c>
      <c r="D2922" t="s">
        <v>1</v>
      </c>
      <c r="E2922" t="s">
        <v>1</v>
      </c>
      <c r="F2922" t="s">
        <v>0</v>
      </c>
      <c r="G2922" t="str">
        <f>"2018-10-18 10:49:07"</f>
        <v>2018-10-18 10:49:07</v>
      </c>
    </row>
    <row r="2923" spans="1:7" x14ac:dyDescent="0.2">
      <c r="A2923" t="s">
        <v>1</v>
      </c>
      <c r="B2923" t="str">
        <f>"15885991400"</f>
        <v>15885991400</v>
      </c>
      <c r="C2923" t="s">
        <v>1</v>
      </c>
      <c r="D2923" t="s">
        <v>1</v>
      </c>
      <c r="E2923" t="s">
        <v>1</v>
      </c>
      <c r="F2923" t="s">
        <v>0</v>
      </c>
      <c r="G2923" t="str">
        <f>"2018-10-18 10:48:08"</f>
        <v>2018-10-18 10:48:08</v>
      </c>
    </row>
    <row r="2924" spans="1:7" x14ac:dyDescent="0.2">
      <c r="A2924" t="s">
        <v>1861</v>
      </c>
      <c r="B2924" t="str">
        <f>"18863033535"</f>
        <v>18863033535</v>
      </c>
      <c r="C2924" t="str">
        <f>"37070419970131081X"</f>
        <v>37070419970131081X</v>
      </c>
      <c r="D2924" t="s">
        <v>4411</v>
      </c>
      <c r="E2924" t="s">
        <v>4412</v>
      </c>
      <c r="F2924" t="s">
        <v>0</v>
      </c>
      <c r="G2924" t="str">
        <f>"2018-10-18 10:48:57"</f>
        <v>2018-10-18 10:48:57</v>
      </c>
    </row>
    <row r="2925" spans="1:7" x14ac:dyDescent="0.2">
      <c r="A2925" t="s">
        <v>1</v>
      </c>
      <c r="B2925" t="str">
        <f>"13737324904"</f>
        <v>13737324904</v>
      </c>
      <c r="C2925" t="s">
        <v>1</v>
      </c>
      <c r="D2925" t="s">
        <v>1</v>
      </c>
      <c r="E2925" t="s">
        <v>1</v>
      </c>
      <c r="F2925" t="s">
        <v>0</v>
      </c>
      <c r="G2925" t="str">
        <f>"2018-10-18 10:47:40"</f>
        <v>2018-10-18 10:47:40</v>
      </c>
    </row>
    <row r="2926" spans="1:7" x14ac:dyDescent="0.2">
      <c r="A2926" t="s">
        <v>4413</v>
      </c>
      <c r="B2926" t="str">
        <f>"18769728102"</f>
        <v>18769728102</v>
      </c>
      <c r="C2926" t="str">
        <f>"371327199112011217"</f>
        <v>371327199112011217</v>
      </c>
      <c r="D2926" t="s">
        <v>1</v>
      </c>
      <c r="E2926" t="s">
        <v>1</v>
      </c>
      <c r="F2926" t="s">
        <v>0</v>
      </c>
      <c r="G2926" t="str">
        <f>"2018-10-18 10:50:53"</f>
        <v>2018-10-18 10:50:53</v>
      </c>
    </row>
    <row r="2927" spans="1:7" x14ac:dyDescent="0.2">
      <c r="A2927" t="s">
        <v>4414</v>
      </c>
      <c r="B2927" t="str">
        <f>"15368627520"</f>
        <v>15368627520</v>
      </c>
      <c r="C2927" t="str">
        <f>"532723199509062140"</f>
        <v>532723199509062140</v>
      </c>
      <c r="D2927" t="s">
        <v>1</v>
      </c>
      <c r="E2927" t="s">
        <v>1</v>
      </c>
      <c r="F2927" t="s">
        <v>0</v>
      </c>
      <c r="G2927" t="str">
        <f>"2018-10-18 10:45:34"</f>
        <v>2018-10-18 10:45:34</v>
      </c>
    </row>
    <row r="2928" spans="1:7" x14ac:dyDescent="0.2">
      <c r="A2928" t="s">
        <v>4415</v>
      </c>
      <c r="B2928" t="str">
        <f>"13552132543"</f>
        <v>13552132543</v>
      </c>
      <c r="C2928" t="str">
        <f>"230102199408180714"</f>
        <v>230102199408180714</v>
      </c>
      <c r="D2928" t="s">
        <v>1</v>
      </c>
      <c r="E2928" t="s">
        <v>1</v>
      </c>
      <c r="F2928" t="s">
        <v>0</v>
      </c>
      <c r="G2928" t="str">
        <f>"2018-10-18 10:46:25"</f>
        <v>2018-10-18 10:46:25</v>
      </c>
    </row>
    <row r="2929" spans="1:7" x14ac:dyDescent="0.2">
      <c r="A2929" t="s">
        <v>4416</v>
      </c>
      <c r="B2929" t="str">
        <f>"17605632780"</f>
        <v>17605632780</v>
      </c>
      <c r="C2929" t="str">
        <f>"342501199212243210"</f>
        <v>342501199212243210</v>
      </c>
      <c r="D2929" t="s">
        <v>1</v>
      </c>
      <c r="E2929" t="s">
        <v>1</v>
      </c>
      <c r="F2929" t="s">
        <v>0</v>
      </c>
      <c r="G2929" t="str">
        <f>"2018-10-18 10:46:11"</f>
        <v>2018-10-18 10:46:11</v>
      </c>
    </row>
    <row r="2930" spans="1:7" x14ac:dyDescent="0.2">
      <c r="A2930" t="s">
        <v>1362</v>
      </c>
      <c r="B2930" t="str">
        <f>"18190162301"</f>
        <v>18190162301</v>
      </c>
      <c r="C2930" t="str">
        <f>"510922199612071845"</f>
        <v>510922199612071845</v>
      </c>
      <c r="D2930" t="s">
        <v>4417</v>
      </c>
      <c r="E2930" t="s">
        <v>4418</v>
      </c>
      <c r="F2930" t="s">
        <v>0</v>
      </c>
      <c r="G2930" t="str">
        <f>"2018-10-19 14:13:44"</f>
        <v>2018-10-19 14:13:44</v>
      </c>
    </row>
    <row r="2931" spans="1:7" x14ac:dyDescent="0.2">
      <c r="A2931" t="s">
        <v>1</v>
      </c>
      <c r="B2931" t="str">
        <f>"18689113360"</f>
        <v>18689113360</v>
      </c>
      <c r="C2931" t="s">
        <v>1</v>
      </c>
      <c r="D2931" t="s">
        <v>1</v>
      </c>
      <c r="E2931" t="s">
        <v>1</v>
      </c>
      <c r="F2931" t="s">
        <v>0</v>
      </c>
      <c r="G2931" t="str">
        <f>"2018-10-18 10:44:14"</f>
        <v>2018-10-18 10:44:14</v>
      </c>
    </row>
    <row r="2932" spans="1:7" x14ac:dyDescent="0.2">
      <c r="A2932" t="s">
        <v>1</v>
      </c>
      <c r="B2932" t="str">
        <f>"13064780951"</f>
        <v>13064780951</v>
      </c>
      <c r="C2932" t="s">
        <v>1</v>
      </c>
      <c r="D2932" t="s">
        <v>1</v>
      </c>
      <c r="E2932" t="s">
        <v>1</v>
      </c>
      <c r="F2932" t="s">
        <v>0</v>
      </c>
      <c r="G2932" t="str">
        <f>"2018-10-18 10:42:07"</f>
        <v>2018-10-18 10:42:07</v>
      </c>
    </row>
    <row r="2933" spans="1:7" x14ac:dyDescent="0.2">
      <c r="A2933" t="s">
        <v>1</v>
      </c>
      <c r="B2933" t="str">
        <f>"18392055822"</f>
        <v>18392055822</v>
      </c>
      <c r="C2933" t="s">
        <v>1</v>
      </c>
      <c r="D2933" t="s">
        <v>1</v>
      </c>
      <c r="E2933" t="s">
        <v>1</v>
      </c>
      <c r="F2933" t="s">
        <v>0</v>
      </c>
      <c r="G2933" t="str">
        <f>"2018-10-18 10:41:46"</f>
        <v>2018-10-18 10:41:46</v>
      </c>
    </row>
    <row r="2934" spans="1:7" x14ac:dyDescent="0.2">
      <c r="A2934" t="s">
        <v>4419</v>
      </c>
      <c r="B2934" t="str">
        <f>"18109496661"</f>
        <v>18109496661</v>
      </c>
      <c r="C2934" t="str">
        <f>"620403198501081236"</f>
        <v>620403198501081236</v>
      </c>
      <c r="D2934" t="s">
        <v>1</v>
      </c>
      <c r="E2934" t="s">
        <v>1</v>
      </c>
      <c r="F2934" t="s">
        <v>0</v>
      </c>
      <c r="G2934" t="str">
        <f>"2018-10-18 10:42:49"</f>
        <v>2018-10-18 10:42:49</v>
      </c>
    </row>
    <row r="2935" spans="1:7" x14ac:dyDescent="0.2">
      <c r="A2935" t="s">
        <v>4420</v>
      </c>
      <c r="B2935" t="str">
        <f>"15570436349"</f>
        <v>15570436349</v>
      </c>
      <c r="C2935" t="str">
        <f>"420602199603120015"</f>
        <v>420602199603120015</v>
      </c>
      <c r="D2935" t="s">
        <v>1</v>
      </c>
      <c r="E2935" t="s">
        <v>1</v>
      </c>
      <c r="F2935" t="s">
        <v>0</v>
      </c>
      <c r="G2935" t="str">
        <f>"2018-10-18 10:43:35"</f>
        <v>2018-10-18 10:43:35</v>
      </c>
    </row>
    <row r="2936" spans="1:7" x14ac:dyDescent="0.2">
      <c r="A2936" t="s">
        <v>4421</v>
      </c>
      <c r="B2936" t="str">
        <f>"18636462822"</f>
        <v>18636462822</v>
      </c>
      <c r="C2936" t="str">
        <f>"142332198503254026"</f>
        <v>142332198503254026</v>
      </c>
      <c r="D2936" t="s">
        <v>1</v>
      </c>
      <c r="E2936" t="s">
        <v>1</v>
      </c>
      <c r="F2936" t="s">
        <v>0</v>
      </c>
      <c r="G2936" t="str">
        <f>"2018-10-18 10:45:15"</f>
        <v>2018-10-18 10:45:15</v>
      </c>
    </row>
    <row r="2937" spans="1:7" x14ac:dyDescent="0.2">
      <c r="A2937" t="s">
        <v>4422</v>
      </c>
      <c r="B2937" t="str">
        <f>"18515329523"</f>
        <v>18515329523</v>
      </c>
      <c r="C2937" t="str">
        <f>"142603200004218818"</f>
        <v>142603200004218818</v>
      </c>
      <c r="D2937" t="s">
        <v>1</v>
      </c>
      <c r="E2937" t="s">
        <v>1</v>
      </c>
      <c r="F2937" t="s">
        <v>0</v>
      </c>
      <c r="G2937" t="str">
        <f>"2018-10-18 10:40:13"</f>
        <v>2018-10-18 10:40:13</v>
      </c>
    </row>
    <row r="2938" spans="1:7" x14ac:dyDescent="0.2">
      <c r="A2938" t="s">
        <v>4423</v>
      </c>
      <c r="B2938" t="str">
        <f>"15093052104"</f>
        <v>15093052104</v>
      </c>
      <c r="C2938" t="str">
        <f>"410181198806190517"</f>
        <v>410181198806190517</v>
      </c>
      <c r="D2938" t="s">
        <v>4424</v>
      </c>
      <c r="E2938" t="s">
        <v>4425</v>
      </c>
      <c r="F2938" t="s">
        <v>0</v>
      </c>
      <c r="G2938" t="str">
        <f>"2018-10-18 10:41:35"</f>
        <v>2018-10-18 10:41:35</v>
      </c>
    </row>
    <row r="2939" spans="1:7" x14ac:dyDescent="0.2">
      <c r="A2939" t="s">
        <v>4426</v>
      </c>
      <c r="B2939" t="str">
        <f>"18789327114"</f>
        <v>18789327114</v>
      </c>
      <c r="C2939" t="str">
        <f>"460034199102075514"</f>
        <v>460034199102075514</v>
      </c>
      <c r="D2939" t="s">
        <v>1</v>
      </c>
      <c r="E2939" t="s">
        <v>1</v>
      </c>
      <c r="F2939" t="s">
        <v>0</v>
      </c>
      <c r="G2939" t="str">
        <f>"2018-10-18 10:44:59"</f>
        <v>2018-10-18 10:44:59</v>
      </c>
    </row>
    <row r="2940" spans="1:7" x14ac:dyDescent="0.2">
      <c r="A2940" t="s">
        <v>4427</v>
      </c>
      <c r="B2940" t="str">
        <f>"15867815724"</f>
        <v>15867815724</v>
      </c>
      <c r="C2940" t="str">
        <f>"130981199109206617"</f>
        <v>130981199109206617</v>
      </c>
      <c r="D2940" t="s">
        <v>1</v>
      </c>
      <c r="E2940" t="s">
        <v>1</v>
      </c>
      <c r="F2940" t="s">
        <v>0</v>
      </c>
      <c r="G2940" t="str">
        <f>"2018-10-18 10:49:17"</f>
        <v>2018-10-18 10:49:17</v>
      </c>
    </row>
    <row r="2941" spans="1:7" x14ac:dyDescent="0.2">
      <c r="A2941" t="s">
        <v>4428</v>
      </c>
      <c r="B2941" t="str">
        <f>"13840636329"</f>
        <v>13840636329</v>
      </c>
      <c r="C2941" t="str">
        <f>"211404198301063616"</f>
        <v>211404198301063616</v>
      </c>
      <c r="D2941" t="s">
        <v>1</v>
      </c>
      <c r="E2941" t="s">
        <v>1</v>
      </c>
      <c r="F2941" t="s">
        <v>0</v>
      </c>
      <c r="G2941" t="str">
        <f>"2018-10-18 10:40:42"</f>
        <v>2018-10-18 10:40:42</v>
      </c>
    </row>
    <row r="2942" spans="1:7" x14ac:dyDescent="0.2">
      <c r="A2942" t="s">
        <v>1</v>
      </c>
      <c r="B2942" t="str">
        <f>"15962576282"</f>
        <v>15962576282</v>
      </c>
      <c r="C2942" t="s">
        <v>1</v>
      </c>
      <c r="D2942" t="s">
        <v>1</v>
      </c>
      <c r="E2942" t="s">
        <v>1</v>
      </c>
      <c r="F2942" t="s">
        <v>0</v>
      </c>
      <c r="G2942" t="str">
        <f>"2018-10-18 10:38:19"</f>
        <v>2018-10-18 10:38:19</v>
      </c>
    </row>
    <row r="2943" spans="1:7" x14ac:dyDescent="0.2">
      <c r="A2943" t="s">
        <v>4429</v>
      </c>
      <c r="B2943" t="str">
        <f>"15861968383"</f>
        <v>15861968383</v>
      </c>
      <c r="C2943" t="str">
        <f>"320924199012209019"</f>
        <v>320924199012209019</v>
      </c>
      <c r="D2943" t="s">
        <v>1</v>
      </c>
      <c r="E2943" t="s">
        <v>1</v>
      </c>
      <c r="F2943" t="s">
        <v>0</v>
      </c>
      <c r="G2943" t="str">
        <f>"2018-10-18 10:47:29"</f>
        <v>2018-10-18 10:47:29</v>
      </c>
    </row>
    <row r="2944" spans="1:7" x14ac:dyDescent="0.2">
      <c r="A2944" t="s">
        <v>1</v>
      </c>
      <c r="B2944" t="str">
        <f>"17779751515"</f>
        <v>17779751515</v>
      </c>
      <c r="C2944" t="s">
        <v>1</v>
      </c>
      <c r="D2944" t="s">
        <v>1</v>
      </c>
      <c r="E2944" t="s">
        <v>1</v>
      </c>
      <c r="F2944" t="s">
        <v>0</v>
      </c>
      <c r="G2944" t="str">
        <f>"2018-10-18 10:39:10"</f>
        <v>2018-10-18 10:39:10</v>
      </c>
    </row>
    <row r="2945" spans="1:7" x14ac:dyDescent="0.2">
      <c r="A2945" t="s">
        <v>1</v>
      </c>
      <c r="B2945" t="str">
        <f>"18555555852"</f>
        <v>18555555852</v>
      </c>
      <c r="C2945" t="s">
        <v>1</v>
      </c>
      <c r="D2945" t="s">
        <v>1</v>
      </c>
      <c r="E2945" t="s">
        <v>1</v>
      </c>
      <c r="F2945" t="s">
        <v>0</v>
      </c>
      <c r="G2945" t="str">
        <f>"2018-10-18 10:42:01"</f>
        <v>2018-10-18 10:42:01</v>
      </c>
    </row>
    <row r="2946" spans="1:7" x14ac:dyDescent="0.2">
      <c r="A2946" t="s">
        <v>1</v>
      </c>
      <c r="B2946" t="str">
        <f>"13197694364"</f>
        <v>13197694364</v>
      </c>
      <c r="C2946" t="s">
        <v>1</v>
      </c>
      <c r="D2946" t="s">
        <v>1</v>
      </c>
      <c r="E2946" t="s">
        <v>1</v>
      </c>
      <c r="F2946" t="s">
        <v>0</v>
      </c>
      <c r="G2946" t="str">
        <f>"2018-10-18 10:36:01"</f>
        <v>2018-10-18 10:36:01</v>
      </c>
    </row>
    <row r="2947" spans="1:7" x14ac:dyDescent="0.2">
      <c r="A2947" t="s">
        <v>4430</v>
      </c>
      <c r="B2947" t="str">
        <f>"18289567815"</f>
        <v>18289567815</v>
      </c>
      <c r="C2947" t="str">
        <f>"460033199402053919"</f>
        <v>460033199402053919</v>
      </c>
      <c r="D2947" t="s">
        <v>1</v>
      </c>
      <c r="E2947" t="s">
        <v>1</v>
      </c>
      <c r="F2947" t="s">
        <v>0</v>
      </c>
      <c r="G2947" t="str">
        <f>"2018-10-19 12:53:57"</f>
        <v>2018-10-19 12:53:57</v>
      </c>
    </row>
    <row r="2948" spans="1:7" x14ac:dyDescent="0.2">
      <c r="A2948" t="s">
        <v>18</v>
      </c>
      <c r="B2948" t="str">
        <f>"15568552220"</f>
        <v>15568552220</v>
      </c>
      <c r="C2948" t="str">
        <f>"220382199709221613"</f>
        <v>220382199709221613</v>
      </c>
      <c r="D2948" t="s">
        <v>1</v>
      </c>
      <c r="E2948" t="s">
        <v>1</v>
      </c>
      <c r="F2948" t="s">
        <v>0</v>
      </c>
      <c r="G2948" t="str">
        <f>"2018-10-18 10:37:09"</f>
        <v>2018-10-18 10:37:09</v>
      </c>
    </row>
    <row r="2949" spans="1:7" x14ac:dyDescent="0.2">
      <c r="A2949" t="s">
        <v>4431</v>
      </c>
      <c r="B2949" t="str">
        <f>"13793671550"</f>
        <v>13793671550</v>
      </c>
      <c r="C2949" t="str">
        <f>"37072419851006619X"</f>
        <v>37072419851006619X</v>
      </c>
      <c r="D2949" t="s">
        <v>4432</v>
      </c>
      <c r="E2949" t="s">
        <v>4433</v>
      </c>
      <c r="F2949" t="s">
        <v>0</v>
      </c>
      <c r="G2949" t="str">
        <f>"2018-10-18 10:45:13"</f>
        <v>2018-10-18 10:45:13</v>
      </c>
    </row>
    <row r="2950" spans="1:7" x14ac:dyDescent="0.2">
      <c r="A2950" t="s">
        <v>1</v>
      </c>
      <c r="B2950" t="str">
        <f>"15013269830"</f>
        <v>15013269830</v>
      </c>
      <c r="C2950" t="s">
        <v>1</v>
      </c>
      <c r="D2950" t="s">
        <v>1</v>
      </c>
      <c r="E2950" t="s">
        <v>1</v>
      </c>
      <c r="F2950" t="s">
        <v>0</v>
      </c>
      <c r="G2950" t="str">
        <f>"2018-10-18 10:35:03"</f>
        <v>2018-10-18 10:35:03</v>
      </c>
    </row>
    <row r="2951" spans="1:7" x14ac:dyDescent="0.2">
      <c r="A2951" t="s">
        <v>1</v>
      </c>
      <c r="B2951" t="str">
        <f>"15678642164"</f>
        <v>15678642164</v>
      </c>
      <c r="C2951" t="s">
        <v>1</v>
      </c>
      <c r="D2951" t="s">
        <v>1</v>
      </c>
      <c r="E2951" t="s">
        <v>1</v>
      </c>
      <c r="F2951" t="s">
        <v>0</v>
      </c>
      <c r="G2951" t="str">
        <f>"2018-10-18 10:34:57"</f>
        <v>2018-10-18 10:34:57</v>
      </c>
    </row>
    <row r="2952" spans="1:7" x14ac:dyDescent="0.2">
      <c r="A2952" t="s">
        <v>4434</v>
      </c>
      <c r="B2952" t="str">
        <f>"18337828210"</f>
        <v>18337828210</v>
      </c>
      <c r="C2952" t="str">
        <f>"410224198410191319"</f>
        <v>410224198410191319</v>
      </c>
      <c r="D2952" t="s">
        <v>1</v>
      </c>
      <c r="E2952" t="s">
        <v>1</v>
      </c>
      <c r="F2952" t="s">
        <v>0</v>
      </c>
      <c r="G2952" t="str">
        <f>"2018-10-18 11:09:05"</f>
        <v>2018-10-18 11:09:05</v>
      </c>
    </row>
    <row r="2953" spans="1:7" x14ac:dyDescent="0.2">
      <c r="A2953" t="s">
        <v>1</v>
      </c>
      <c r="B2953" t="str">
        <f>"15957187892"</f>
        <v>15957187892</v>
      </c>
      <c r="C2953" t="s">
        <v>1</v>
      </c>
      <c r="D2953" t="s">
        <v>1</v>
      </c>
      <c r="E2953" t="s">
        <v>1</v>
      </c>
      <c r="F2953" t="s">
        <v>0</v>
      </c>
      <c r="G2953" t="str">
        <f>"2018-10-18 10:41:59"</f>
        <v>2018-10-18 10:41:59</v>
      </c>
    </row>
    <row r="2954" spans="1:7" x14ac:dyDescent="0.2">
      <c r="A2954" t="s">
        <v>1</v>
      </c>
      <c r="B2954" t="str">
        <f>"18738224887"</f>
        <v>18738224887</v>
      </c>
      <c r="C2954" t="s">
        <v>1</v>
      </c>
      <c r="D2954" t="s">
        <v>1</v>
      </c>
      <c r="E2954" t="s">
        <v>1</v>
      </c>
      <c r="F2954" t="s">
        <v>0</v>
      </c>
      <c r="G2954" t="str">
        <f>"2018-10-18 10:33:13"</f>
        <v>2018-10-18 10:33:13</v>
      </c>
    </row>
    <row r="2955" spans="1:7" x14ac:dyDescent="0.2">
      <c r="A2955" t="s">
        <v>4435</v>
      </c>
      <c r="B2955" t="str">
        <f>"17751704090"</f>
        <v>17751704090</v>
      </c>
      <c r="C2955" t="str">
        <f>"32058319790113161X"</f>
        <v>32058319790113161X</v>
      </c>
      <c r="D2955" t="s">
        <v>1</v>
      </c>
      <c r="E2955" t="s">
        <v>1</v>
      </c>
      <c r="F2955" t="s">
        <v>0</v>
      </c>
      <c r="G2955" t="str">
        <f>"2018-10-18 10:33:46"</f>
        <v>2018-10-18 10:33:46</v>
      </c>
    </row>
    <row r="2956" spans="1:7" x14ac:dyDescent="0.2">
      <c r="A2956" t="s">
        <v>4436</v>
      </c>
      <c r="B2956" t="str">
        <f>"18750702181"</f>
        <v>18750702181</v>
      </c>
      <c r="C2956" t="str">
        <f>"352225199205131532"</f>
        <v>352225199205131532</v>
      </c>
      <c r="D2956" t="s">
        <v>1</v>
      </c>
      <c r="E2956" t="s">
        <v>1</v>
      </c>
      <c r="F2956" t="s">
        <v>0</v>
      </c>
      <c r="G2956" t="str">
        <f>"2018-10-18 10:53:24"</f>
        <v>2018-10-18 10:53:24</v>
      </c>
    </row>
    <row r="2957" spans="1:7" x14ac:dyDescent="0.2">
      <c r="A2957" t="s">
        <v>4437</v>
      </c>
      <c r="B2957" t="str">
        <f>"15038983224"</f>
        <v>15038983224</v>
      </c>
      <c r="C2957" t="str">
        <f>"41108219870903424X"</f>
        <v>41108219870903424X</v>
      </c>
      <c r="D2957" t="s">
        <v>1</v>
      </c>
      <c r="E2957" t="s">
        <v>1</v>
      </c>
      <c r="F2957" t="s">
        <v>0</v>
      </c>
      <c r="G2957" t="str">
        <f>"2018-10-18 10:34:01"</f>
        <v>2018-10-18 10:34:01</v>
      </c>
    </row>
    <row r="2958" spans="1:7" x14ac:dyDescent="0.2">
      <c r="A2958" t="s">
        <v>4438</v>
      </c>
      <c r="B2958" t="str">
        <f>"15294305552"</f>
        <v>15294305552</v>
      </c>
      <c r="C2958" t="str">
        <f>"622322198610062216"</f>
        <v>622322198610062216</v>
      </c>
      <c r="D2958" t="s">
        <v>1</v>
      </c>
      <c r="E2958" t="s">
        <v>1</v>
      </c>
      <c r="F2958" t="s">
        <v>0</v>
      </c>
      <c r="G2958" t="str">
        <f>"2018-10-18 10:31:11"</f>
        <v>2018-10-18 10:31:11</v>
      </c>
    </row>
    <row r="2959" spans="1:7" x14ac:dyDescent="0.2">
      <c r="A2959" t="s">
        <v>4439</v>
      </c>
      <c r="B2959" t="str">
        <f>"17605040157"</f>
        <v>17605040157</v>
      </c>
      <c r="C2959" t="str">
        <f>"350825199708120713"</f>
        <v>350825199708120713</v>
      </c>
      <c r="D2959" t="s">
        <v>4440</v>
      </c>
      <c r="E2959" t="s">
        <v>4441</v>
      </c>
      <c r="F2959" t="s">
        <v>0</v>
      </c>
      <c r="G2959" t="str">
        <f>"2018-10-18 10:41:12"</f>
        <v>2018-10-18 10:41:12</v>
      </c>
    </row>
    <row r="2960" spans="1:7" x14ac:dyDescent="0.2">
      <c r="A2960" t="s">
        <v>4442</v>
      </c>
      <c r="B2960" t="str">
        <f>"15802845442"</f>
        <v>15802845442</v>
      </c>
      <c r="C2960" t="str">
        <f>"51011319961125501X"</f>
        <v>51011319961125501X</v>
      </c>
      <c r="D2960" t="s">
        <v>1</v>
      </c>
      <c r="E2960" t="s">
        <v>1</v>
      </c>
      <c r="F2960" t="s">
        <v>0</v>
      </c>
      <c r="G2960" t="str">
        <f>"2018-10-18 10:32:09"</f>
        <v>2018-10-18 10:32:09</v>
      </c>
    </row>
    <row r="2961" spans="1:7" x14ac:dyDescent="0.2">
      <c r="A2961" t="s">
        <v>4443</v>
      </c>
      <c r="B2961" t="str">
        <f>"17639336668"</f>
        <v>17639336668</v>
      </c>
      <c r="C2961" t="str">
        <f>"410901198509251522"</f>
        <v>410901198509251522</v>
      </c>
      <c r="D2961" t="s">
        <v>1</v>
      </c>
      <c r="E2961" t="s">
        <v>1</v>
      </c>
      <c r="F2961" t="s">
        <v>0</v>
      </c>
      <c r="G2961" t="str">
        <f>"2018-10-18 10:33:14"</f>
        <v>2018-10-18 10:33:14</v>
      </c>
    </row>
    <row r="2962" spans="1:7" x14ac:dyDescent="0.2">
      <c r="A2962" t="s">
        <v>1</v>
      </c>
      <c r="B2962" t="str">
        <f>"13552304694"</f>
        <v>13552304694</v>
      </c>
      <c r="C2962" t="s">
        <v>1</v>
      </c>
      <c r="D2962" t="s">
        <v>1</v>
      </c>
      <c r="E2962" t="s">
        <v>1</v>
      </c>
      <c r="F2962" t="s">
        <v>0</v>
      </c>
      <c r="G2962" t="str">
        <f>"2018-10-18 10:30:30"</f>
        <v>2018-10-18 10:30:30</v>
      </c>
    </row>
    <row r="2963" spans="1:7" x14ac:dyDescent="0.2">
      <c r="A2963" t="s">
        <v>4444</v>
      </c>
      <c r="B2963" t="str">
        <f>"18777544530"</f>
        <v>18777544530</v>
      </c>
      <c r="C2963" t="str">
        <f>"450802199008152318"</f>
        <v>450802199008152318</v>
      </c>
      <c r="D2963" t="s">
        <v>1</v>
      </c>
      <c r="E2963" t="s">
        <v>1</v>
      </c>
      <c r="F2963" t="s">
        <v>0</v>
      </c>
      <c r="G2963" t="str">
        <f>"2018-10-19 19:55:53"</f>
        <v>2018-10-19 19:55:53</v>
      </c>
    </row>
    <row r="2964" spans="1:7" x14ac:dyDescent="0.2">
      <c r="A2964" t="s">
        <v>1062</v>
      </c>
      <c r="B2964" t="str">
        <f>"17878692994"</f>
        <v>17878692994</v>
      </c>
      <c r="C2964" t="str">
        <f>"452601198605065415"</f>
        <v>452601198605065415</v>
      </c>
      <c r="D2964" t="s">
        <v>1</v>
      </c>
      <c r="E2964" t="s">
        <v>1</v>
      </c>
      <c r="F2964" t="s">
        <v>0</v>
      </c>
      <c r="G2964" t="str">
        <f>"2018-10-18 10:30:09"</f>
        <v>2018-10-18 10:30:09</v>
      </c>
    </row>
    <row r="2965" spans="1:7" x14ac:dyDescent="0.2">
      <c r="A2965" t="s">
        <v>4445</v>
      </c>
      <c r="B2965" t="str">
        <f>"13719533575"</f>
        <v>13719533575</v>
      </c>
      <c r="C2965" t="str">
        <f>"441521199311213437"</f>
        <v>441521199311213437</v>
      </c>
      <c r="D2965" t="s">
        <v>1</v>
      </c>
      <c r="E2965" t="s">
        <v>1</v>
      </c>
      <c r="F2965" t="s">
        <v>0</v>
      </c>
      <c r="G2965" t="str">
        <f>"2018-10-18 10:30:32"</f>
        <v>2018-10-18 10:30:32</v>
      </c>
    </row>
    <row r="2966" spans="1:7" x14ac:dyDescent="0.2">
      <c r="A2966" t="s">
        <v>1</v>
      </c>
      <c r="B2966" t="str">
        <f>"18567961730"</f>
        <v>18567961730</v>
      </c>
      <c r="C2966" t="s">
        <v>1</v>
      </c>
      <c r="D2966" t="s">
        <v>1</v>
      </c>
      <c r="E2966" t="s">
        <v>1</v>
      </c>
      <c r="F2966" t="s">
        <v>0</v>
      </c>
      <c r="G2966" t="str">
        <f>"2018-10-18 10:27:29"</f>
        <v>2018-10-18 10:27:29</v>
      </c>
    </row>
    <row r="2967" spans="1:7" x14ac:dyDescent="0.2">
      <c r="A2967" t="s">
        <v>4446</v>
      </c>
      <c r="B2967" t="str">
        <f>"15661555512"</f>
        <v>15661555512</v>
      </c>
      <c r="C2967" t="str">
        <f>"211322199801262015"</f>
        <v>211322199801262015</v>
      </c>
      <c r="D2967" t="s">
        <v>1</v>
      </c>
      <c r="E2967" t="s">
        <v>1</v>
      </c>
      <c r="F2967" t="s">
        <v>0</v>
      </c>
      <c r="G2967" t="str">
        <f>"2018-10-18 10:29:09"</f>
        <v>2018-10-18 10:29:09</v>
      </c>
    </row>
    <row r="2968" spans="1:7" x14ac:dyDescent="0.2">
      <c r="A2968" t="s">
        <v>594</v>
      </c>
      <c r="B2968" t="str">
        <f>"15947554613"</f>
        <v>15947554613</v>
      </c>
      <c r="C2968" t="str">
        <f>"150403198202261066"</f>
        <v>150403198202261066</v>
      </c>
      <c r="D2968" t="s">
        <v>1</v>
      </c>
      <c r="E2968" t="s">
        <v>1</v>
      </c>
      <c r="F2968" t="s">
        <v>0</v>
      </c>
      <c r="G2968" t="str">
        <f>"2018-10-18 10:28:11"</f>
        <v>2018-10-18 10:28:11</v>
      </c>
    </row>
    <row r="2969" spans="1:7" x14ac:dyDescent="0.2">
      <c r="A2969" t="s">
        <v>1</v>
      </c>
      <c r="B2969" t="str">
        <f>"13976005853"</f>
        <v>13976005853</v>
      </c>
      <c r="C2969" t="s">
        <v>1</v>
      </c>
      <c r="D2969" t="s">
        <v>1</v>
      </c>
      <c r="E2969" t="s">
        <v>1</v>
      </c>
      <c r="F2969" t="s">
        <v>0</v>
      </c>
      <c r="G2969" t="str">
        <f>"2018-10-18 10:25:07"</f>
        <v>2018-10-18 10:25:07</v>
      </c>
    </row>
    <row r="2970" spans="1:7" x14ac:dyDescent="0.2">
      <c r="A2970" t="s">
        <v>1</v>
      </c>
      <c r="B2970" t="str">
        <f>"18600927374"</f>
        <v>18600927374</v>
      </c>
      <c r="C2970" t="s">
        <v>1</v>
      </c>
      <c r="D2970" t="s">
        <v>1</v>
      </c>
      <c r="E2970" t="s">
        <v>1</v>
      </c>
      <c r="F2970" t="s">
        <v>0</v>
      </c>
      <c r="G2970" t="str">
        <f>"2018-10-18 10:24:59"</f>
        <v>2018-10-18 10:24:59</v>
      </c>
    </row>
    <row r="2971" spans="1:7" x14ac:dyDescent="0.2">
      <c r="A2971" t="s">
        <v>4447</v>
      </c>
      <c r="B2971" t="str">
        <f>"15842567856"</f>
        <v>15842567856</v>
      </c>
      <c r="C2971" t="str">
        <f>"210682198506012758"</f>
        <v>210682198506012758</v>
      </c>
      <c r="D2971" t="s">
        <v>1</v>
      </c>
      <c r="E2971" t="s">
        <v>1</v>
      </c>
      <c r="F2971" t="s">
        <v>0</v>
      </c>
      <c r="G2971" t="str">
        <f>"2018-10-18 10:26:59"</f>
        <v>2018-10-18 10:26:59</v>
      </c>
    </row>
    <row r="2972" spans="1:7" x14ac:dyDescent="0.2">
      <c r="A2972" t="s">
        <v>4448</v>
      </c>
      <c r="B2972" t="str">
        <f>"13353831396"</f>
        <v>13353831396</v>
      </c>
      <c r="C2972" t="str">
        <f>"410224198804161614"</f>
        <v>410224198804161614</v>
      </c>
      <c r="D2972" t="s">
        <v>1</v>
      </c>
      <c r="E2972" t="s">
        <v>1</v>
      </c>
      <c r="F2972" t="s">
        <v>0</v>
      </c>
      <c r="G2972" t="str">
        <f>"2018-10-18 11:04:55"</f>
        <v>2018-10-18 11:04:55</v>
      </c>
    </row>
    <row r="2973" spans="1:7" x14ac:dyDescent="0.2">
      <c r="A2973" t="s">
        <v>4449</v>
      </c>
      <c r="B2973" t="str">
        <f>"15053317277"</f>
        <v>15053317277</v>
      </c>
      <c r="C2973" t="str">
        <f>"370305199502136534"</f>
        <v>370305199502136534</v>
      </c>
      <c r="D2973" t="s">
        <v>1</v>
      </c>
      <c r="E2973" t="s">
        <v>1</v>
      </c>
      <c r="F2973" t="s">
        <v>0</v>
      </c>
      <c r="G2973" t="str">
        <f>"2018-10-18 10:36:55"</f>
        <v>2018-10-18 10:36:55</v>
      </c>
    </row>
    <row r="2974" spans="1:7" x14ac:dyDescent="0.2">
      <c r="A2974" t="s">
        <v>4450</v>
      </c>
      <c r="B2974" t="str">
        <f>"15777950553"</f>
        <v>15777950553</v>
      </c>
      <c r="C2974" t="str">
        <f>"450521199208310926"</f>
        <v>450521199208310926</v>
      </c>
      <c r="D2974" t="s">
        <v>1</v>
      </c>
      <c r="E2974" t="s">
        <v>1</v>
      </c>
      <c r="F2974" t="s">
        <v>0</v>
      </c>
      <c r="G2974" t="str">
        <f>"2018-10-18 13:05:08"</f>
        <v>2018-10-18 13:05:08</v>
      </c>
    </row>
    <row r="2975" spans="1:7" x14ac:dyDescent="0.2">
      <c r="A2975" t="s">
        <v>1</v>
      </c>
      <c r="B2975" t="str">
        <f>"15216634704"</f>
        <v>15216634704</v>
      </c>
      <c r="C2975" t="s">
        <v>1</v>
      </c>
      <c r="D2975" t="s">
        <v>1</v>
      </c>
      <c r="E2975" t="s">
        <v>1</v>
      </c>
      <c r="F2975" t="s">
        <v>0</v>
      </c>
      <c r="G2975" t="str">
        <f>"2018-10-18 10:22:27"</f>
        <v>2018-10-18 10:22:27</v>
      </c>
    </row>
    <row r="2976" spans="1:7" x14ac:dyDescent="0.2">
      <c r="A2976" t="s">
        <v>4451</v>
      </c>
      <c r="B2976" t="str">
        <f>"13252816090"</f>
        <v>13252816090</v>
      </c>
      <c r="C2976" t="str">
        <f>"210103197904141830"</f>
        <v>210103197904141830</v>
      </c>
      <c r="D2976" t="s">
        <v>1</v>
      </c>
      <c r="E2976" t="s">
        <v>1</v>
      </c>
      <c r="F2976" t="s">
        <v>0</v>
      </c>
      <c r="G2976" t="str">
        <f>"2018-10-18 10:25:39"</f>
        <v>2018-10-18 10:25:39</v>
      </c>
    </row>
    <row r="2977" spans="1:7" x14ac:dyDescent="0.2">
      <c r="A2977" t="s">
        <v>1</v>
      </c>
      <c r="B2977" t="str">
        <f>"13110928852"</f>
        <v>13110928852</v>
      </c>
      <c r="C2977" t="s">
        <v>1</v>
      </c>
      <c r="D2977" t="s">
        <v>1</v>
      </c>
      <c r="E2977" t="s">
        <v>1</v>
      </c>
      <c r="F2977" t="s">
        <v>0</v>
      </c>
      <c r="G2977" t="str">
        <f>"2018-10-18 10:22:01"</f>
        <v>2018-10-18 10:22:01</v>
      </c>
    </row>
    <row r="2978" spans="1:7" x14ac:dyDescent="0.2">
      <c r="A2978" t="s">
        <v>4452</v>
      </c>
      <c r="B2978" t="str">
        <f>"13684918599"</f>
        <v>13684918599</v>
      </c>
      <c r="C2978" t="str">
        <f>"513723198504048158"</f>
        <v>513723198504048158</v>
      </c>
      <c r="D2978" t="s">
        <v>4453</v>
      </c>
      <c r="E2978" t="s">
        <v>4453</v>
      </c>
      <c r="F2978" t="s">
        <v>0</v>
      </c>
      <c r="G2978" t="str">
        <f>"2018-10-18 16:12:55"</f>
        <v>2018-10-18 16:12:55</v>
      </c>
    </row>
    <row r="2979" spans="1:7" x14ac:dyDescent="0.2">
      <c r="A2979" t="s">
        <v>1</v>
      </c>
      <c r="B2979" t="str">
        <f>"13006918174"</f>
        <v>13006918174</v>
      </c>
      <c r="C2979" t="s">
        <v>1</v>
      </c>
      <c r="D2979" t="s">
        <v>1</v>
      </c>
      <c r="E2979" t="s">
        <v>1</v>
      </c>
      <c r="F2979" t="s">
        <v>0</v>
      </c>
      <c r="G2979" t="str">
        <f>"2018-10-18 10:20:40"</f>
        <v>2018-10-18 10:20:40</v>
      </c>
    </row>
    <row r="2980" spans="1:7" x14ac:dyDescent="0.2">
      <c r="A2980" t="s">
        <v>4454</v>
      </c>
      <c r="B2980" t="str">
        <f>"13987455481"</f>
        <v>13987455481</v>
      </c>
      <c r="C2980" t="str">
        <f>"530322198812060012"</f>
        <v>530322198812060012</v>
      </c>
      <c r="D2980" t="s">
        <v>1</v>
      </c>
      <c r="E2980" t="s">
        <v>1</v>
      </c>
      <c r="F2980" t="s">
        <v>0</v>
      </c>
      <c r="G2980" t="str">
        <f>"2018-10-18 10:21:30"</f>
        <v>2018-10-18 10:21:30</v>
      </c>
    </row>
    <row r="2981" spans="1:7" x14ac:dyDescent="0.2">
      <c r="A2981" t="s">
        <v>4455</v>
      </c>
      <c r="B2981" t="str">
        <f>"13585134492"</f>
        <v>13585134492</v>
      </c>
      <c r="C2981" t="str">
        <f>"32012419721108149X"</f>
        <v>32012419721108149X</v>
      </c>
      <c r="D2981" t="s">
        <v>1</v>
      </c>
      <c r="E2981" t="s">
        <v>1</v>
      </c>
      <c r="F2981" t="s">
        <v>0</v>
      </c>
      <c r="G2981" t="str">
        <f>"2018-10-18 10:20:52"</f>
        <v>2018-10-18 10:20:52</v>
      </c>
    </row>
    <row r="2982" spans="1:7" x14ac:dyDescent="0.2">
      <c r="A2982" t="s">
        <v>4102</v>
      </c>
      <c r="B2982" t="str">
        <f>"13315858098"</f>
        <v>13315858098</v>
      </c>
      <c r="C2982" t="str">
        <f>"131125198209100117"</f>
        <v>131125198209100117</v>
      </c>
      <c r="D2982" t="s">
        <v>1</v>
      </c>
      <c r="E2982" t="s">
        <v>1</v>
      </c>
      <c r="F2982" t="s">
        <v>0</v>
      </c>
      <c r="G2982" t="str">
        <f>"2018-10-18 10:21:17"</f>
        <v>2018-10-18 10:21:17</v>
      </c>
    </row>
    <row r="2983" spans="1:7" x14ac:dyDescent="0.2">
      <c r="A2983" t="s">
        <v>1</v>
      </c>
      <c r="B2983" t="str">
        <f>"15283919646"</f>
        <v>15283919646</v>
      </c>
      <c r="C2983" t="s">
        <v>1</v>
      </c>
      <c r="D2983" t="s">
        <v>1</v>
      </c>
      <c r="E2983" t="s">
        <v>1</v>
      </c>
      <c r="F2983" t="s">
        <v>0</v>
      </c>
      <c r="G2983" t="str">
        <f>"2018-10-18 10:19:03"</f>
        <v>2018-10-18 10:19:03</v>
      </c>
    </row>
    <row r="2984" spans="1:7" x14ac:dyDescent="0.2">
      <c r="A2984" t="s">
        <v>4456</v>
      </c>
      <c r="B2984" t="str">
        <f>"18860010406"</f>
        <v>18860010406</v>
      </c>
      <c r="C2984" t="str">
        <f>"350627199612121510"</f>
        <v>350627199612121510</v>
      </c>
      <c r="D2984" t="s">
        <v>1</v>
      </c>
      <c r="E2984" t="s">
        <v>1</v>
      </c>
      <c r="F2984" t="s">
        <v>0</v>
      </c>
      <c r="G2984" t="str">
        <f>"2018-10-18 10:41:31"</f>
        <v>2018-10-18 10:41:31</v>
      </c>
    </row>
    <row r="2985" spans="1:7" x14ac:dyDescent="0.2">
      <c r="A2985" t="s">
        <v>4457</v>
      </c>
      <c r="B2985" t="str">
        <f>"15016343889"</f>
        <v>15016343889</v>
      </c>
      <c r="C2985" t="str">
        <f>"441723198508042423"</f>
        <v>441723198508042423</v>
      </c>
      <c r="D2985" t="s">
        <v>1</v>
      </c>
      <c r="E2985" t="s">
        <v>1</v>
      </c>
      <c r="F2985" t="s">
        <v>0</v>
      </c>
      <c r="G2985" t="str">
        <f>"2018-10-18 10:21:44"</f>
        <v>2018-10-18 10:21:44</v>
      </c>
    </row>
    <row r="2986" spans="1:7" x14ac:dyDescent="0.2">
      <c r="A2986" t="s">
        <v>1</v>
      </c>
      <c r="B2986" t="str">
        <f>"15677741426"</f>
        <v>15677741426</v>
      </c>
      <c r="C2986" t="s">
        <v>1</v>
      </c>
      <c r="D2986" t="s">
        <v>1</v>
      </c>
      <c r="E2986" t="s">
        <v>1</v>
      </c>
      <c r="F2986" t="s">
        <v>0</v>
      </c>
      <c r="G2986" t="str">
        <f>"2018-10-18 10:17:55"</f>
        <v>2018-10-18 10:17:55</v>
      </c>
    </row>
    <row r="2987" spans="1:7" x14ac:dyDescent="0.2">
      <c r="A2987" t="s">
        <v>4458</v>
      </c>
      <c r="B2987" t="str">
        <f>"15729492750"</f>
        <v>15729492750</v>
      </c>
      <c r="C2987" t="str">
        <f>"411222199606101517"</f>
        <v>411222199606101517</v>
      </c>
      <c r="D2987" t="s">
        <v>1</v>
      </c>
      <c r="E2987" t="s">
        <v>1</v>
      </c>
      <c r="F2987" t="s">
        <v>0</v>
      </c>
      <c r="G2987" t="str">
        <f>"2018-10-18 10:19:03"</f>
        <v>2018-10-18 10:19:03</v>
      </c>
    </row>
    <row r="2988" spans="1:7" x14ac:dyDescent="0.2">
      <c r="A2988" t="s">
        <v>1</v>
      </c>
      <c r="B2988" t="str">
        <f>"18821204275"</f>
        <v>18821204275</v>
      </c>
      <c r="C2988" t="s">
        <v>1</v>
      </c>
      <c r="D2988" t="s">
        <v>1</v>
      </c>
      <c r="E2988" t="s">
        <v>1</v>
      </c>
      <c r="F2988" t="s">
        <v>0</v>
      </c>
      <c r="G2988" t="str">
        <f>"2018-10-18 10:17:31"</f>
        <v>2018-10-18 10:17:31</v>
      </c>
    </row>
    <row r="2989" spans="1:7" x14ac:dyDescent="0.2">
      <c r="A2989" t="s">
        <v>4459</v>
      </c>
      <c r="B2989" t="str">
        <f>"18714710213"</f>
        <v>18714710213</v>
      </c>
      <c r="C2989" t="str">
        <f>"230227198911140654"</f>
        <v>230227198911140654</v>
      </c>
      <c r="D2989" t="s">
        <v>1</v>
      </c>
      <c r="E2989" t="s">
        <v>1</v>
      </c>
      <c r="F2989" t="s">
        <v>0</v>
      </c>
      <c r="G2989" t="str">
        <f>"2018-11-02 09:40:19"</f>
        <v>2018-11-02 09:40:19</v>
      </c>
    </row>
    <row r="2990" spans="1:7" x14ac:dyDescent="0.2">
      <c r="A2990" t="s">
        <v>4460</v>
      </c>
      <c r="B2990" t="str">
        <f>"15958568497"</f>
        <v>15958568497</v>
      </c>
      <c r="C2990" t="str">
        <f>"33068319931226121X"</f>
        <v>33068319931226121X</v>
      </c>
      <c r="D2990" t="s">
        <v>1</v>
      </c>
      <c r="E2990" t="s">
        <v>1</v>
      </c>
      <c r="F2990" t="s">
        <v>0</v>
      </c>
      <c r="G2990" t="str">
        <f>"2018-10-18 10:19:54"</f>
        <v>2018-10-18 10:19:54</v>
      </c>
    </row>
    <row r="2991" spans="1:7" x14ac:dyDescent="0.2">
      <c r="A2991" t="s">
        <v>1</v>
      </c>
      <c r="B2991" t="str">
        <f>"18873463222"</f>
        <v>18873463222</v>
      </c>
      <c r="C2991" t="s">
        <v>1</v>
      </c>
      <c r="D2991" t="s">
        <v>1</v>
      </c>
      <c r="E2991" t="s">
        <v>1</v>
      </c>
      <c r="F2991" t="s">
        <v>0</v>
      </c>
      <c r="G2991" t="str">
        <f>"2018-10-18 10:19:53"</f>
        <v>2018-10-18 10:19:53</v>
      </c>
    </row>
    <row r="2992" spans="1:7" x14ac:dyDescent="0.2">
      <c r="A2992" t="s">
        <v>4461</v>
      </c>
      <c r="B2992" t="str">
        <f>"13867114337"</f>
        <v>13867114337</v>
      </c>
      <c r="C2992" t="str">
        <f>"330724199008114552"</f>
        <v>330724199008114552</v>
      </c>
      <c r="D2992" t="s">
        <v>1</v>
      </c>
      <c r="E2992" t="s">
        <v>1</v>
      </c>
      <c r="F2992" t="s">
        <v>0</v>
      </c>
      <c r="G2992" t="str">
        <f>"2018-10-18 10:17:16"</f>
        <v>2018-10-18 10:17:16</v>
      </c>
    </row>
    <row r="2993" spans="1:7" x14ac:dyDescent="0.2">
      <c r="A2993" t="s">
        <v>4462</v>
      </c>
      <c r="B2993" t="str">
        <f>"18665126828"</f>
        <v>18665126828</v>
      </c>
      <c r="C2993" t="str">
        <f>"360828198907274113"</f>
        <v>360828198907274113</v>
      </c>
      <c r="D2993" t="s">
        <v>1</v>
      </c>
      <c r="E2993" t="s">
        <v>1</v>
      </c>
      <c r="F2993" t="s">
        <v>0</v>
      </c>
      <c r="G2993" t="str">
        <f>"2018-10-18 10:17:52"</f>
        <v>2018-10-18 10:17:52</v>
      </c>
    </row>
    <row r="2994" spans="1:7" x14ac:dyDescent="0.2">
      <c r="A2994" t="s">
        <v>4463</v>
      </c>
      <c r="B2994" t="str">
        <f>"13163595567"</f>
        <v>13163595567</v>
      </c>
      <c r="C2994" t="str">
        <f>"23233219950712302X"</f>
        <v>23233219950712302X</v>
      </c>
      <c r="D2994" t="s">
        <v>4464</v>
      </c>
      <c r="E2994" t="s">
        <v>4465</v>
      </c>
      <c r="F2994" t="s">
        <v>0</v>
      </c>
      <c r="G2994" t="str">
        <f>"2018-10-31 11:51:13"</f>
        <v>2018-10-31 11:51:13</v>
      </c>
    </row>
    <row r="2995" spans="1:7" x14ac:dyDescent="0.2">
      <c r="A2995" t="s">
        <v>4466</v>
      </c>
      <c r="B2995" t="str">
        <f>"13029123838"</f>
        <v>13029123838</v>
      </c>
      <c r="C2995" t="str">
        <f>"230624199509122025"</f>
        <v>230624199509122025</v>
      </c>
      <c r="D2995" t="s">
        <v>1</v>
      </c>
      <c r="E2995" t="s">
        <v>1</v>
      </c>
      <c r="F2995" t="s">
        <v>0</v>
      </c>
      <c r="G2995" t="str">
        <f>"2018-10-18 10:17:54"</f>
        <v>2018-10-18 10:17:54</v>
      </c>
    </row>
    <row r="2996" spans="1:7" x14ac:dyDescent="0.2">
      <c r="A2996" t="s">
        <v>4467</v>
      </c>
      <c r="B2996" t="str">
        <f>"18227764021"</f>
        <v>18227764021</v>
      </c>
      <c r="C2996" t="str">
        <f>"510321200008026067"</f>
        <v>510321200008026067</v>
      </c>
      <c r="D2996" t="s">
        <v>4468</v>
      </c>
      <c r="E2996" t="s">
        <v>4469</v>
      </c>
      <c r="F2996" t="s">
        <v>0</v>
      </c>
      <c r="G2996" t="str">
        <f>"2018-10-18 10:18:08"</f>
        <v>2018-10-18 10:18:08</v>
      </c>
    </row>
    <row r="2997" spans="1:7" x14ac:dyDescent="0.2">
      <c r="A2997" t="s">
        <v>4470</v>
      </c>
      <c r="B2997" t="str">
        <f>"17508144914"</f>
        <v>17508144914</v>
      </c>
      <c r="C2997" t="str">
        <f>"510722199509148671"</f>
        <v>510722199509148671</v>
      </c>
      <c r="D2997" t="s">
        <v>1</v>
      </c>
      <c r="E2997" t="s">
        <v>1</v>
      </c>
      <c r="F2997" t="s">
        <v>0</v>
      </c>
      <c r="G2997" t="str">
        <f>"2018-10-18 11:30:02"</f>
        <v>2018-10-18 11:30:02</v>
      </c>
    </row>
    <row r="2998" spans="1:7" x14ac:dyDescent="0.2">
      <c r="A2998" t="s">
        <v>4471</v>
      </c>
      <c r="B2998" t="str">
        <f>"15964686411"</f>
        <v>15964686411</v>
      </c>
      <c r="C2998" t="str">
        <f>"610528199406053320"</f>
        <v>610528199406053320</v>
      </c>
      <c r="D2998" t="s">
        <v>1</v>
      </c>
      <c r="E2998" t="s">
        <v>1</v>
      </c>
      <c r="F2998" t="s">
        <v>0</v>
      </c>
      <c r="G2998" t="str">
        <f>"2018-10-18 10:15:54"</f>
        <v>2018-10-18 10:15:54</v>
      </c>
    </row>
    <row r="2999" spans="1:7" x14ac:dyDescent="0.2">
      <c r="A2999" t="s">
        <v>1</v>
      </c>
      <c r="B2999" t="str">
        <f>"18832679173"</f>
        <v>18832679173</v>
      </c>
      <c r="C2999" t="s">
        <v>1</v>
      </c>
      <c r="D2999" t="s">
        <v>1</v>
      </c>
      <c r="E2999" t="s">
        <v>1</v>
      </c>
      <c r="F2999" t="s">
        <v>0</v>
      </c>
      <c r="G2999" t="str">
        <f>"2018-10-18 10:14:34"</f>
        <v>2018-10-18 10:14:34</v>
      </c>
    </row>
    <row r="3000" spans="1:7" x14ac:dyDescent="0.2">
      <c r="A3000" t="s">
        <v>4472</v>
      </c>
      <c r="B3000" t="str">
        <f>"15820162546"</f>
        <v>15820162546</v>
      </c>
      <c r="C3000" t="str">
        <f>"441625198104073036"</f>
        <v>441625198104073036</v>
      </c>
      <c r="D3000" t="s">
        <v>1</v>
      </c>
      <c r="E3000" t="s">
        <v>1</v>
      </c>
      <c r="F3000" t="s">
        <v>0</v>
      </c>
      <c r="G3000" t="str">
        <f>"2018-10-18 10:18:24"</f>
        <v>2018-10-18 10:18:24</v>
      </c>
    </row>
    <row r="3001" spans="1:7" x14ac:dyDescent="0.2">
      <c r="A3001" t="s">
        <v>4473</v>
      </c>
      <c r="B3001" t="str">
        <f>"15082851235"</f>
        <v>15082851235</v>
      </c>
      <c r="C3001" t="str">
        <f>"513002198609150220"</f>
        <v>513002198609150220</v>
      </c>
      <c r="D3001" t="s">
        <v>1</v>
      </c>
      <c r="E3001" t="s">
        <v>1</v>
      </c>
      <c r="F3001" t="s">
        <v>0</v>
      </c>
      <c r="G3001" t="str">
        <f>"2018-10-18 10:15:11"</f>
        <v>2018-10-18 10:15:11</v>
      </c>
    </row>
    <row r="3002" spans="1:7" x14ac:dyDescent="0.2">
      <c r="A3002" t="s">
        <v>746</v>
      </c>
      <c r="B3002" t="str">
        <f>"18656777323"</f>
        <v>18656777323</v>
      </c>
      <c r="C3002" t="str">
        <f>"341281199906169590"</f>
        <v>341281199906169590</v>
      </c>
      <c r="D3002" t="s">
        <v>4474</v>
      </c>
      <c r="E3002" t="s">
        <v>4475</v>
      </c>
      <c r="F3002" t="s">
        <v>0</v>
      </c>
      <c r="G3002" t="str">
        <f>"2018-10-18 10:15:11"</f>
        <v>2018-10-18 10:15:11</v>
      </c>
    </row>
    <row r="3003" spans="1:7" x14ac:dyDescent="0.2">
      <c r="A3003" t="s">
        <v>1</v>
      </c>
      <c r="B3003" t="str">
        <f>"13429113068"</f>
        <v>13429113068</v>
      </c>
      <c r="C3003" t="s">
        <v>1</v>
      </c>
      <c r="D3003" t="s">
        <v>1</v>
      </c>
      <c r="E3003" t="s">
        <v>1</v>
      </c>
      <c r="F3003" t="s">
        <v>0</v>
      </c>
      <c r="G3003" t="str">
        <f>"2018-10-18 10:12:07"</f>
        <v>2018-10-18 10:12:07</v>
      </c>
    </row>
    <row r="3004" spans="1:7" x14ac:dyDescent="0.2">
      <c r="A3004" t="s">
        <v>1</v>
      </c>
      <c r="B3004" t="str">
        <f>"13483668787"</f>
        <v>13483668787</v>
      </c>
      <c r="C3004" t="s">
        <v>1</v>
      </c>
      <c r="D3004" t="s">
        <v>1</v>
      </c>
      <c r="E3004" t="s">
        <v>1</v>
      </c>
      <c r="F3004" t="s">
        <v>0</v>
      </c>
      <c r="G3004" t="str">
        <f>"2018-10-18 10:12:02"</f>
        <v>2018-10-18 10:12:02</v>
      </c>
    </row>
    <row r="3005" spans="1:7" x14ac:dyDescent="0.2">
      <c r="A3005" t="s">
        <v>4476</v>
      </c>
      <c r="B3005" t="str">
        <f>"15030688567"</f>
        <v>15030688567</v>
      </c>
      <c r="C3005" t="str">
        <f>"132825198302250637"</f>
        <v>132825198302250637</v>
      </c>
      <c r="D3005" t="s">
        <v>1</v>
      </c>
      <c r="E3005" t="s">
        <v>1</v>
      </c>
      <c r="F3005" t="s">
        <v>0</v>
      </c>
      <c r="G3005" t="str">
        <f>"2018-10-18 10:13:35"</f>
        <v>2018-10-18 10:13:35</v>
      </c>
    </row>
    <row r="3006" spans="1:7" x14ac:dyDescent="0.2">
      <c r="A3006" t="s">
        <v>4477</v>
      </c>
      <c r="B3006" t="str">
        <f>"17739147373"</f>
        <v>17739147373</v>
      </c>
      <c r="C3006" t="str">
        <f>"410803198603270057"</f>
        <v>410803198603270057</v>
      </c>
      <c r="D3006" t="s">
        <v>1</v>
      </c>
      <c r="E3006" t="s">
        <v>1</v>
      </c>
      <c r="F3006" t="s">
        <v>0</v>
      </c>
      <c r="G3006" t="str">
        <f>"2018-10-18 10:12:19"</f>
        <v>2018-10-18 10:12:19</v>
      </c>
    </row>
    <row r="3007" spans="1:7" x14ac:dyDescent="0.2">
      <c r="A3007" t="s">
        <v>4478</v>
      </c>
      <c r="B3007" t="str">
        <f>"15009559004"</f>
        <v>15009559004</v>
      </c>
      <c r="C3007" t="str">
        <f>"642123198101190024"</f>
        <v>642123198101190024</v>
      </c>
      <c r="D3007" t="s">
        <v>1</v>
      </c>
      <c r="E3007" t="s">
        <v>1</v>
      </c>
      <c r="F3007" t="s">
        <v>0</v>
      </c>
      <c r="G3007" t="str">
        <f>"2018-10-18 10:12:32"</f>
        <v>2018-10-18 10:12:32</v>
      </c>
    </row>
    <row r="3008" spans="1:7" x14ac:dyDescent="0.2">
      <c r="A3008" t="s">
        <v>1</v>
      </c>
      <c r="B3008" t="str">
        <f>"13123118176"</f>
        <v>13123118176</v>
      </c>
      <c r="C3008" t="s">
        <v>1</v>
      </c>
      <c r="D3008" t="s">
        <v>1</v>
      </c>
      <c r="E3008" t="s">
        <v>1</v>
      </c>
      <c r="F3008" t="s">
        <v>0</v>
      </c>
      <c r="G3008" t="str">
        <f>"2018-10-18 10:10:06"</f>
        <v>2018-10-18 10:10:06</v>
      </c>
    </row>
    <row r="3009" spans="1:7" x14ac:dyDescent="0.2">
      <c r="A3009" t="s">
        <v>4479</v>
      </c>
      <c r="B3009" t="str">
        <f>"15149854506"</f>
        <v>15149854506</v>
      </c>
      <c r="C3009" t="str">
        <f>"152823199008280013"</f>
        <v>152823199008280013</v>
      </c>
      <c r="D3009" t="s">
        <v>1</v>
      </c>
      <c r="E3009" t="s">
        <v>1</v>
      </c>
      <c r="F3009" t="s">
        <v>0</v>
      </c>
      <c r="G3009" t="str">
        <f>"2018-10-18 11:22:43"</f>
        <v>2018-10-18 11:22:43</v>
      </c>
    </row>
    <row r="3010" spans="1:7" x14ac:dyDescent="0.2">
      <c r="A3010" t="s">
        <v>699</v>
      </c>
      <c r="B3010" t="str">
        <f>"15147067593"</f>
        <v>15147067593</v>
      </c>
      <c r="C3010" t="str">
        <f>"152103199405223019"</f>
        <v>152103199405223019</v>
      </c>
      <c r="D3010" t="s">
        <v>4480</v>
      </c>
      <c r="E3010" t="s">
        <v>4481</v>
      </c>
      <c r="F3010" t="s">
        <v>0</v>
      </c>
      <c r="G3010" t="str">
        <f>"2018-10-18 10:10:40"</f>
        <v>2018-10-18 10:10:40</v>
      </c>
    </row>
    <row r="3011" spans="1:7" x14ac:dyDescent="0.2">
      <c r="A3011" t="s">
        <v>4482</v>
      </c>
      <c r="B3011" t="str">
        <f>"13232364000"</f>
        <v>13232364000</v>
      </c>
      <c r="C3011" t="str">
        <f>"442000199304072957"</f>
        <v>442000199304072957</v>
      </c>
      <c r="D3011" t="s">
        <v>1</v>
      </c>
      <c r="E3011" t="s">
        <v>1</v>
      </c>
      <c r="F3011" t="s">
        <v>0</v>
      </c>
      <c r="G3011" t="str">
        <f>"2018-10-18 14:09:09"</f>
        <v>2018-10-18 14:09:09</v>
      </c>
    </row>
    <row r="3012" spans="1:7" x14ac:dyDescent="0.2">
      <c r="A3012" t="s">
        <v>1</v>
      </c>
      <c r="B3012" t="str">
        <f>"13455008543"</f>
        <v>13455008543</v>
      </c>
      <c r="C3012" t="s">
        <v>1</v>
      </c>
      <c r="D3012" t="s">
        <v>1</v>
      </c>
      <c r="E3012" t="s">
        <v>1</v>
      </c>
      <c r="F3012" t="s">
        <v>0</v>
      </c>
      <c r="G3012" t="str">
        <f>"2018-10-18 10:08:05"</f>
        <v>2018-10-18 10:08:05</v>
      </c>
    </row>
    <row r="3013" spans="1:7" x14ac:dyDescent="0.2">
      <c r="A3013" t="s">
        <v>1442</v>
      </c>
      <c r="B3013" t="str">
        <f>"15037835528"</f>
        <v>15037835528</v>
      </c>
      <c r="C3013" t="str">
        <f>"410225198312123423"</f>
        <v>410225198312123423</v>
      </c>
      <c r="D3013" t="s">
        <v>1</v>
      </c>
      <c r="E3013" t="s">
        <v>1</v>
      </c>
      <c r="F3013" t="s">
        <v>0</v>
      </c>
      <c r="G3013" t="str">
        <f>"2018-10-18 10:23:39"</f>
        <v>2018-10-18 10:23:39</v>
      </c>
    </row>
    <row r="3014" spans="1:7" x14ac:dyDescent="0.2">
      <c r="A3014" t="s">
        <v>1</v>
      </c>
      <c r="B3014" t="str">
        <f>"15844444033"</f>
        <v>15844444033</v>
      </c>
      <c r="C3014" t="s">
        <v>1</v>
      </c>
      <c r="D3014" t="s">
        <v>1</v>
      </c>
      <c r="E3014" t="s">
        <v>1</v>
      </c>
      <c r="F3014" t="s">
        <v>0</v>
      </c>
      <c r="G3014" t="str">
        <f>"2018-10-18 10:15:04"</f>
        <v>2018-10-18 10:15:04</v>
      </c>
    </row>
    <row r="3015" spans="1:7" x14ac:dyDescent="0.2">
      <c r="A3015" t="s">
        <v>4483</v>
      </c>
      <c r="B3015" t="str">
        <f>"18339359606"</f>
        <v>18339359606</v>
      </c>
      <c r="C3015" t="str">
        <f>"410928199601050912"</f>
        <v>410928199601050912</v>
      </c>
      <c r="D3015" t="s">
        <v>4484</v>
      </c>
      <c r="E3015" t="s">
        <v>4485</v>
      </c>
      <c r="F3015" t="s">
        <v>0</v>
      </c>
      <c r="G3015" t="str">
        <f>"2018-10-18 10:09:10"</f>
        <v>2018-10-18 10:09:10</v>
      </c>
    </row>
    <row r="3016" spans="1:7" x14ac:dyDescent="0.2">
      <c r="A3016" t="s">
        <v>4486</v>
      </c>
      <c r="B3016" t="str">
        <f>"17600587701"</f>
        <v>17600587701</v>
      </c>
      <c r="C3016" t="str">
        <f>"130826199303227614"</f>
        <v>130826199303227614</v>
      </c>
      <c r="D3016" t="s">
        <v>1</v>
      </c>
      <c r="E3016" t="s">
        <v>1</v>
      </c>
      <c r="F3016" t="s">
        <v>0</v>
      </c>
      <c r="G3016" t="str">
        <f>"2018-10-18 10:26:54"</f>
        <v>2018-10-18 10:26:54</v>
      </c>
    </row>
    <row r="3017" spans="1:7" x14ac:dyDescent="0.2">
      <c r="A3017" t="s">
        <v>4487</v>
      </c>
      <c r="B3017" t="str">
        <f>"18931125453"</f>
        <v>18931125453</v>
      </c>
      <c r="C3017" t="str">
        <f>"130121199205010411"</f>
        <v>130121199205010411</v>
      </c>
      <c r="D3017" t="s">
        <v>1</v>
      </c>
      <c r="E3017" t="s">
        <v>1</v>
      </c>
      <c r="F3017" t="s">
        <v>0</v>
      </c>
      <c r="G3017" t="str">
        <f>"2018-10-18 13:55:01"</f>
        <v>2018-10-18 13:55:01</v>
      </c>
    </row>
    <row r="3018" spans="1:7" x14ac:dyDescent="0.2">
      <c r="A3018" t="s">
        <v>447</v>
      </c>
      <c r="B3018" t="str">
        <f>"13107075818"</f>
        <v>13107075818</v>
      </c>
      <c r="C3018" t="str">
        <f>"430902199304227515"</f>
        <v>430902199304227515</v>
      </c>
      <c r="D3018" t="s">
        <v>1</v>
      </c>
      <c r="E3018" t="s">
        <v>1</v>
      </c>
      <c r="F3018" t="s">
        <v>0</v>
      </c>
      <c r="G3018" t="str">
        <f>"2018-10-18 11:43:49"</f>
        <v>2018-10-18 11:43:49</v>
      </c>
    </row>
    <row r="3019" spans="1:7" x14ac:dyDescent="0.2">
      <c r="A3019" t="s">
        <v>1</v>
      </c>
      <c r="B3019" t="str">
        <f>"15017806926"</f>
        <v>15017806926</v>
      </c>
      <c r="C3019" t="s">
        <v>1</v>
      </c>
      <c r="D3019" t="s">
        <v>1</v>
      </c>
      <c r="E3019" t="s">
        <v>1</v>
      </c>
      <c r="F3019" t="s">
        <v>0</v>
      </c>
      <c r="G3019" t="str">
        <f>"2018-10-18 10:04:30"</f>
        <v>2018-10-18 10:04:30</v>
      </c>
    </row>
    <row r="3020" spans="1:7" x14ac:dyDescent="0.2">
      <c r="A3020" t="s">
        <v>1</v>
      </c>
      <c r="B3020" t="str">
        <f>"15983662675"</f>
        <v>15983662675</v>
      </c>
      <c r="C3020" t="s">
        <v>1</v>
      </c>
      <c r="D3020" t="s">
        <v>1</v>
      </c>
      <c r="E3020" t="s">
        <v>1</v>
      </c>
      <c r="F3020" t="s">
        <v>0</v>
      </c>
      <c r="G3020" t="str">
        <f>"2018-10-18 10:01:59"</f>
        <v>2018-10-18 10:01:59</v>
      </c>
    </row>
    <row r="3021" spans="1:7" x14ac:dyDescent="0.2">
      <c r="A3021" t="s">
        <v>4488</v>
      </c>
      <c r="B3021" t="str">
        <f>"17512500116"</f>
        <v>17512500116</v>
      </c>
      <c r="C3021" t="str">
        <f>"513022199808275034"</f>
        <v>513022199808275034</v>
      </c>
      <c r="D3021" t="s">
        <v>1</v>
      </c>
      <c r="E3021" t="s">
        <v>1</v>
      </c>
      <c r="F3021" t="s">
        <v>0</v>
      </c>
      <c r="G3021" t="str">
        <f>"2018-10-28 11:28:50"</f>
        <v>2018-10-28 11:28:50</v>
      </c>
    </row>
    <row r="3022" spans="1:7" x14ac:dyDescent="0.2">
      <c r="A3022" t="s">
        <v>4489</v>
      </c>
      <c r="B3022" t="str">
        <f>"17363624356"</f>
        <v>17363624356</v>
      </c>
      <c r="C3022" t="str">
        <f>"430703198710096064"</f>
        <v>430703198710096064</v>
      </c>
      <c r="D3022" t="s">
        <v>1</v>
      </c>
      <c r="E3022" t="s">
        <v>1</v>
      </c>
      <c r="F3022" t="s">
        <v>0</v>
      </c>
      <c r="G3022" t="str">
        <f>"2018-10-24 10:39:48"</f>
        <v>2018-10-24 10:39:48</v>
      </c>
    </row>
    <row r="3023" spans="1:7" x14ac:dyDescent="0.2">
      <c r="A3023" t="s">
        <v>4490</v>
      </c>
      <c r="B3023" t="str">
        <f>"13695601894"</f>
        <v>13695601894</v>
      </c>
      <c r="C3023" t="str">
        <f>"511322199703128390"</f>
        <v>511322199703128390</v>
      </c>
      <c r="D3023" t="s">
        <v>1</v>
      </c>
      <c r="E3023" t="s">
        <v>1</v>
      </c>
      <c r="F3023" t="s">
        <v>0</v>
      </c>
      <c r="G3023" t="str">
        <f>"2018-10-22 14:36:20"</f>
        <v>2018-10-22 14:36:20</v>
      </c>
    </row>
    <row r="3024" spans="1:7" x14ac:dyDescent="0.2">
      <c r="A3024" t="s">
        <v>4491</v>
      </c>
      <c r="B3024" t="str">
        <f>"18824291208"</f>
        <v>18824291208</v>
      </c>
      <c r="C3024" t="str">
        <f>"512530198110102272"</f>
        <v>512530198110102272</v>
      </c>
      <c r="D3024" t="s">
        <v>1</v>
      </c>
      <c r="E3024" t="s">
        <v>1</v>
      </c>
      <c r="F3024" t="s">
        <v>0</v>
      </c>
      <c r="G3024" t="str">
        <f>"2018-10-18 10:02:07"</f>
        <v>2018-10-18 10:02:07</v>
      </c>
    </row>
    <row r="3025" spans="1:7" x14ac:dyDescent="0.2">
      <c r="A3025" t="s">
        <v>1670</v>
      </c>
      <c r="B3025" t="str">
        <f>"13864905620"</f>
        <v>13864905620</v>
      </c>
      <c r="C3025" t="str">
        <f>"222403199605097824"</f>
        <v>222403199605097824</v>
      </c>
      <c r="D3025" t="s">
        <v>4492</v>
      </c>
      <c r="E3025" t="s">
        <v>4493</v>
      </c>
      <c r="F3025" t="s">
        <v>0</v>
      </c>
      <c r="G3025" t="str">
        <f>"2018-10-18 10:01:09"</f>
        <v>2018-10-18 10:01:09</v>
      </c>
    </row>
    <row r="3026" spans="1:7" x14ac:dyDescent="0.2">
      <c r="A3026" t="s">
        <v>4494</v>
      </c>
      <c r="B3026" t="str">
        <f>"13803439997"</f>
        <v>13803439997</v>
      </c>
      <c r="C3026" t="str">
        <f>"14222319860423003X"</f>
        <v>14222319860423003X</v>
      </c>
      <c r="D3026" t="s">
        <v>1</v>
      </c>
      <c r="E3026" t="s">
        <v>1</v>
      </c>
      <c r="F3026" t="s">
        <v>0</v>
      </c>
      <c r="G3026" t="str">
        <f>"2018-10-18 09:59:02"</f>
        <v>2018-10-18 09:59:02</v>
      </c>
    </row>
    <row r="3027" spans="1:7" x14ac:dyDescent="0.2">
      <c r="A3027" t="s">
        <v>4495</v>
      </c>
      <c r="B3027" t="str">
        <f>"15573025969"</f>
        <v>15573025969</v>
      </c>
      <c r="C3027" t="str">
        <f>"43062119951005905X"</f>
        <v>43062119951005905X</v>
      </c>
      <c r="D3027" t="s">
        <v>4496</v>
      </c>
      <c r="E3027" t="s">
        <v>4497</v>
      </c>
      <c r="F3027" t="s">
        <v>0</v>
      </c>
      <c r="G3027" t="str">
        <f>"2018-10-18 20:03:26"</f>
        <v>2018-10-18 20:03:26</v>
      </c>
    </row>
    <row r="3028" spans="1:7" x14ac:dyDescent="0.2">
      <c r="A3028" t="s">
        <v>1</v>
      </c>
      <c r="B3028" t="str">
        <f>"13323432301"</f>
        <v>13323432301</v>
      </c>
      <c r="C3028" t="s">
        <v>1</v>
      </c>
      <c r="D3028" t="s">
        <v>1</v>
      </c>
      <c r="E3028" t="s">
        <v>1</v>
      </c>
      <c r="F3028" t="s">
        <v>0</v>
      </c>
      <c r="G3028" t="str">
        <f>"2018-10-18 09:58:23"</f>
        <v>2018-10-18 09:58:23</v>
      </c>
    </row>
    <row r="3029" spans="1:7" x14ac:dyDescent="0.2">
      <c r="A3029" t="s">
        <v>1</v>
      </c>
      <c r="B3029" t="str">
        <f>"18817789099"</f>
        <v>18817789099</v>
      </c>
      <c r="C3029" t="s">
        <v>1</v>
      </c>
      <c r="D3029" t="s">
        <v>1</v>
      </c>
      <c r="E3029" t="s">
        <v>1</v>
      </c>
      <c r="F3029" t="s">
        <v>0</v>
      </c>
      <c r="G3029" t="str">
        <f>"2018-10-18 09:58:18"</f>
        <v>2018-10-18 09:58:18</v>
      </c>
    </row>
    <row r="3030" spans="1:7" x14ac:dyDescent="0.2">
      <c r="A3030" t="s">
        <v>4498</v>
      </c>
      <c r="B3030" t="str">
        <f>"13808473323"</f>
        <v>13808473323</v>
      </c>
      <c r="C3030" t="str">
        <f>"430121197502111712"</f>
        <v>430121197502111712</v>
      </c>
      <c r="D3030" t="s">
        <v>4499</v>
      </c>
      <c r="E3030" t="s">
        <v>4500</v>
      </c>
      <c r="F3030" t="s">
        <v>0</v>
      </c>
      <c r="G3030" t="str">
        <f>"2018-10-18 10:00:02"</f>
        <v>2018-10-18 10:00:02</v>
      </c>
    </row>
    <row r="3031" spans="1:7" x14ac:dyDescent="0.2">
      <c r="A3031" t="s">
        <v>1</v>
      </c>
      <c r="B3031" t="str">
        <f>"18819363738"</f>
        <v>18819363738</v>
      </c>
      <c r="C3031" t="s">
        <v>1</v>
      </c>
      <c r="D3031" t="s">
        <v>1</v>
      </c>
      <c r="E3031" t="s">
        <v>1</v>
      </c>
      <c r="F3031" t="s">
        <v>0</v>
      </c>
      <c r="G3031" t="str">
        <f>"2018-10-18 09:57:15"</f>
        <v>2018-10-18 09:57:15</v>
      </c>
    </row>
    <row r="3032" spans="1:7" x14ac:dyDescent="0.2">
      <c r="A3032" t="s">
        <v>4501</v>
      </c>
      <c r="B3032" t="str">
        <f>"13692070286"</f>
        <v>13692070286</v>
      </c>
      <c r="C3032" t="str">
        <f>"440582199802126719"</f>
        <v>440582199802126719</v>
      </c>
      <c r="D3032" t="s">
        <v>4502</v>
      </c>
      <c r="E3032" t="s">
        <v>4503</v>
      </c>
      <c r="F3032" t="s">
        <v>0</v>
      </c>
      <c r="G3032" t="str">
        <f>"2018-10-18 10:00:29"</f>
        <v>2018-10-18 10:00:29</v>
      </c>
    </row>
    <row r="3033" spans="1:7" x14ac:dyDescent="0.2">
      <c r="A3033" t="s">
        <v>1</v>
      </c>
      <c r="B3033" t="str">
        <f>"15188912861"</f>
        <v>15188912861</v>
      </c>
      <c r="C3033" t="s">
        <v>1</v>
      </c>
      <c r="D3033" t="s">
        <v>1</v>
      </c>
      <c r="E3033" t="s">
        <v>1</v>
      </c>
      <c r="F3033" t="s">
        <v>0</v>
      </c>
      <c r="G3033" t="str">
        <f>"2018-10-18 09:56:52"</f>
        <v>2018-10-18 09:56:52</v>
      </c>
    </row>
    <row r="3034" spans="1:7" x14ac:dyDescent="0.2">
      <c r="A3034" t="s">
        <v>1</v>
      </c>
      <c r="B3034" t="str">
        <f>"13502338422"</f>
        <v>13502338422</v>
      </c>
      <c r="C3034" t="s">
        <v>1</v>
      </c>
      <c r="D3034" t="s">
        <v>1</v>
      </c>
      <c r="E3034" t="s">
        <v>1</v>
      </c>
      <c r="F3034" t="s">
        <v>0</v>
      </c>
      <c r="G3034" t="str">
        <f>"2018-10-18 09:56:47"</f>
        <v>2018-10-18 09:56:47</v>
      </c>
    </row>
    <row r="3035" spans="1:7" x14ac:dyDescent="0.2">
      <c r="A3035" t="s">
        <v>4504</v>
      </c>
      <c r="B3035" t="str">
        <f>"15759966593"</f>
        <v>15759966593</v>
      </c>
      <c r="C3035" t="str">
        <f>"350722198609154222"</f>
        <v>350722198609154222</v>
      </c>
      <c r="D3035" t="s">
        <v>1</v>
      </c>
      <c r="E3035" t="s">
        <v>1</v>
      </c>
      <c r="F3035" t="s">
        <v>0</v>
      </c>
      <c r="G3035" t="str">
        <f>"2018-10-18 09:59:56"</f>
        <v>2018-10-18 09:59:56</v>
      </c>
    </row>
    <row r="3036" spans="1:7" x14ac:dyDescent="0.2">
      <c r="A3036" t="s">
        <v>1</v>
      </c>
      <c r="B3036" t="str">
        <f>"13110459424"</f>
        <v>13110459424</v>
      </c>
      <c r="C3036" t="s">
        <v>1</v>
      </c>
      <c r="D3036" t="s">
        <v>1</v>
      </c>
      <c r="E3036" t="s">
        <v>1</v>
      </c>
      <c r="F3036" t="s">
        <v>0</v>
      </c>
      <c r="G3036" t="str">
        <f>"2018-10-18 09:56:36"</f>
        <v>2018-10-18 09:56:36</v>
      </c>
    </row>
    <row r="3037" spans="1:7" x14ac:dyDescent="0.2">
      <c r="A3037" t="s">
        <v>4505</v>
      </c>
      <c r="B3037" t="str">
        <f>"18637263692"</f>
        <v>18637263692</v>
      </c>
      <c r="C3037" t="str">
        <f>"410521199005234073"</f>
        <v>410521199005234073</v>
      </c>
      <c r="D3037" t="s">
        <v>1</v>
      </c>
      <c r="E3037" t="s">
        <v>1</v>
      </c>
      <c r="F3037" t="s">
        <v>0</v>
      </c>
      <c r="G3037" t="str">
        <f>"2018-10-18 09:57:20"</f>
        <v>2018-10-18 09:57:20</v>
      </c>
    </row>
    <row r="3038" spans="1:7" x14ac:dyDescent="0.2">
      <c r="A3038" t="s">
        <v>4506</v>
      </c>
      <c r="B3038" t="str">
        <f>"15000420178"</f>
        <v>15000420178</v>
      </c>
      <c r="C3038" t="str">
        <f>"310109199007123510"</f>
        <v>310109199007123510</v>
      </c>
      <c r="D3038" t="s">
        <v>1</v>
      </c>
      <c r="E3038" t="s">
        <v>1</v>
      </c>
      <c r="F3038" t="s">
        <v>0</v>
      </c>
      <c r="G3038" t="str">
        <f>"2018-10-18 10:03:36"</f>
        <v>2018-10-18 10:03:36</v>
      </c>
    </row>
    <row r="3039" spans="1:7" x14ac:dyDescent="0.2">
      <c r="A3039" t="s">
        <v>4507</v>
      </c>
      <c r="B3039" t="str">
        <f>"18239844466"</f>
        <v>18239844466</v>
      </c>
      <c r="C3039" t="str">
        <f>"411221198404193010"</f>
        <v>411221198404193010</v>
      </c>
      <c r="D3039" t="s">
        <v>1</v>
      </c>
      <c r="E3039" t="s">
        <v>1</v>
      </c>
      <c r="F3039" t="s">
        <v>0</v>
      </c>
      <c r="G3039" t="str">
        <f>"2018-10-18 09:57:32"</f>
        <v>2018-10-18 09:57:32</v>
      </c>
    </row>
    <row r="3040" spans="1:7" x14ac:dyDescent="0.2">
      <c r="A3040" t="s">
        <v>4508</v>
      </c>
      <c r="B3040" t="str">
        <f>"15935672040"</f>
        <v>15935672040</v>
      </c>
      <c r="C3040" t="str">
        <f>"140724198807240109"</f>
        <v>140724198807240109</v>
      </c>
      <c r="D3040" t="s">
        <v>1</v>
      </c>
      <c r="E3040" t="s">
        <v>1</v>
      </c>
      <c r="F3040" t="s">
        <v>0</v>
      </c>
      <c r="G3040" t="str">
        <f>"2018-10-18 09:53:36"</f>
        <v>2018-10-18 09:53:36</v>
      </c>
    </row>
    <row r="3041" spans="1:7" x14ac:dyDescent="0.2">
      <c r="A3041" t="s">
        <v>1</v>
      </c>
      <c r="B3041" t="str">
        <f>"13794048729"</f>
        <v>13794048729</v>
      </c>
      <c r="C3041" t="s">
        <v>1</v>
      </c>
      <c r="D3041" t="s">
        <v>1</v>
      </c>
      <c r="E3041" t="s">
        <v>1</v>
      </c>
      <c r="F3041" t="s">
        <v>0</v>
      </c>
      <c r="G3041" t="str">
        <f>"2018-10-18 09:52:10"</f>
        <v>2018-10-18 09:52:10</v>
      </c>
    </row>
    <row r="3042" spans="1:7" x14ac:dyDescent="0.2">
      <c r="A3042" t="s">
        <v>4509</v>
      </c>
      <c r="B3042" t="str">
        <f>"18988222052"</f>
        <v>18988222052</v>
      </c>
      <c r="C3042" t="str">
        <f>"430426198207225111"</f>
        <v>430426198207225111</v>
      </c>
      <c r="D3042" t="s">
        <v>1</v>
      </c>
      <c r="E3042" t="s">
        <v>1</v>
      </c>
      <c r="F3042" t="s">
        <v>0</v>
      </c>
      <c r="G3042" t="str">
        <f>"2018-10-18 09:53:07"</f>
        <v>2018-10-18 09:53:07</v>
      </c>
    </row>
    <row r="3043" spans="1:7" x14ac:dyDescent="0.2">
      <c r="A3043" t="s">
        <v>4510</v>
      </c>
      <c r="B3043" t="str">
        <f>"15918506134"</f>
        <v>15918506134</v>
      </c>
      <c r="C3043" t="str">
        <f>"440802198005121915"</f>
        <v>440802198005121915</v>
      </c>
      <c r="D3043" t="s">
        <v>4511</v>
      </c>
      <c r="E3043" t="s">
        <v>4512</v>
      </c>
      <c r="F3043" t="s">
        <v>0</v>
      </c>
      <c r="G3043" t="str">
        <f>"2018-10-26 15:11:39"</f>
        <v>2018-10-26 15:11:39</v>
      </c>
    </row>
    <row r="3044" spans="1:7" x14ac:dyDescent="0.2">
      <c r="A3044" t="s">
        <v>4513</v>
      </c>
      <c r="B3044" t="str">
        <f>"15848202130"</f>
        <v>15848202130</v>
      </c>
      <c r="C3044" t="str">
        <f>"150204197811121270"</f>
        <v>150204197811121270</v>
      </c>
      <c r="D3044" t="s">
        <v>1</v>
      </c>
      <c r="E3044" t="s">
        <v>1</v>
      </c>
      <c r="F3044" t="s">
        <v>0</v>
      </c>
      <c r="G3044" t="str">
        <f>"2018-10-18 09:52:12"</f>
        <v>2018-10-18 09:52:12</v>
      </c>
    </row>
    <row r="3045" spans="1:7" x14ac:dyDescent="0.2">
      <c r="A3045" t="s">
        <v>4514</v>
      </c>
      <c r="B3045" t="str">
        <f>"13595062302"</f>
        <v>13595062302</v>
      </c>
      <c r="C3045" t="str">
        <f>"522121199412204627"</f>
        <v>522121199412204627</v>
      </c>
      <c r="D3045" t="s">
        <v>1</v>
      </c>
      <c r="E3045" t="s">
        <v>1</v>
      </c>
      <c r="F3045" t="s">
        <v>0</v>
      </c>
      <c r="G3045" t="str">
        <f>"2018-10-18 10:06:08"</f>
        <v>2018-10-18 10:06:08</v>
      </c>
    </row>
    <row r="3046" spans="1:7" x14ac:dyDescent="0.2">
      <c r="A3046" t="s">
        <v>4515</v>
      </c>
      <c r="B3046" t="str">
        <f>"18346397800"</f>
        <v>18346397800</v>
      </c>
      <c r="C3046" t="str">
        <f>"23108519900119183X"</f>
        <v>23108519900119183X</v>
      </c>
      <c r="D3046" t="s">
        <v>1</v>
      </c>
      <c r="E3046" t="s">
        <v>1</v>
      </c>
      <c r="F3046" t="s">
        <v>0</v>
      </c>
      <c r="G3046" t="str">
        <f>"2018-10-18 09:54:04"</f>
        <v>2018-10-18 09:54:04</v>
      </c>
    </row>
    <row r="3047" spans="1:7" x14ac:dyDescent="0.2">
      <c r="A3047" t="s">
        <v>4516</v>
      </c>
      <c r="B3047" t="str">
        <f>"13596110076"</f>
        <v>13596110076</v>
      </c>
      <c r="C3047" t="str">
        <f>"220181199206117710"</f>
        <v>220181199206117710</v>
      </c>
      <c r="D3047" t="s">
        <v>1</v>
      </c>
      <c r="E3047" t="s">
        <v>1</v>
      </c>
      <c r="F3047" t="s">
        <v>0</v>
      </c>
      <c r="G3047" t="str">
        <f>"2018-10-18 10:34:12"</f>
        <v>2018-10-18 10:34:12</v>
      </c>
    </row>
    <row r="3048" spans="1:7" x14ac:dyDescent="0.2">
      <c r="A3048" t="s">
        <v>4517</v>
      </c>
      <c r="B3048" t="str">
        <f>"15220719264"</f>
        <v>15220719264</v>
      </c>
      <c r="C3048" t="str">
        <f>"441323199306062525"</f>
        <v>441323199306062525</v>
      </c>
      <c r="D3048" t="s">
        <v>1</v>
      </c>
      <c r="E3048" t="s">
        <v>1</v>
      </c>
      <c r="F3048" t="s">
        <v>0</v>
      </c>
      <c r="G3048" t="str">
        <f>"2018-10-18 09:49:13"</f>
        <v>2018-10-18 09:49:13</v>
      </c>
    </row>
    <row r="3049" spans="1:7" x14ac:dyDescent="0.2">
      <c r="A3049" t="s">
        <v>4518</v>
      </c>
      <c r="B3049" t="str">
        <f>"15281663410"</f>
        <v>15281663410</v>
      </c>
      <c r="C3049" t="str">
        <f>"510723199507234986"</f>
        <v>510723199507234986</v>
      </c>
      <c r="D3049" t="s">
        <v>1</v>
      </c>
      <c r="E3049" t="s">
        <v>1</v>
      </c>
      <c r="F3049" t="s">
        <v>0</v>
      </c>
      <c r="G3049" t="str">
        <f>"2018-10-18 09:46:07"</f>
        <v>2018-10-18 09:46:07</v>
      </c>
    </row>
    <row r="3050" spans="1:7" x14ac:dyDescent="0.2">
      <c r="A3050" t="s">
        <v>4519</v>
      </c>
      <c r="B3050" t="str">
        <f>"17373839961"</f>
        <v>17373839961</v>
      </c>
      <c r="C3050" t="str">
        <f>"431382199805250115"</f>
        <v>431382199805250115</v>
      </c>
      <c r="D3050" t="s">
        <v>1</v>
      </c>
      <c r="E3050" t="s">
        <v>1</v>
      </c>
      <c r="F3050" t="s">
        <v>0</v>
      </c>
      <c r="G3050" t="str">
        <f>"2018-10-18 09:46:33"</f>
        <v>2018-10-18 09:46:33</v>
      </c>
    </row>
    <row r="3051" spans="1:7" x14ac:dyDescent="0.2">
      <c r="A3051" t="s">
        <v>1</v>
      </c>
      <c r="B3051" t="str">
        <f>"13736659015"</f>
        <v>13736659015</v>
      </c>
      <c r="C3051" t="s">
        <v>1</v>
      </c>
      <c r="D3051" t="s">
        <v>1</v>
      </c>
      <c r="E3051" t="s">
        <v>1</v>
      </c>
      <c r="F3051" t="s">
        <v>0</v>
      </c>
      <c r="G3051" t="str">
        <f>"2018-10-18 09:46:15"</f>
        <v>2018-10-18 09:46:15</v>
      </c>
    </row>
    <row r="3052" spans="1:7" x14ac:dyDescent="0.2">
      <c r="A3052" t="s">
        <v>4520</v>
      </c>
      <c r="B3052" t="str">
        <f>"18748188886"</f>
        <v>18748188886</v>
      </c>
      <c r="C3052" t="str">
        <f>"152624197801013021"</f>
        <v>152624197801013021</v>
      </c>
      <c r="D3052" t="s">
        <v>1</v>
      </c>
      <c r="E3052" t="s">
        <v>1</v>
      </c>
      <c r="F3052" t="s">
        <v>0</v>
      </c>
      <c r="G3052" t="str">
        <f>"2018-10-18 09:44:27"</f>
        <v>2018-10-18 09:44:27</v>
      </c>
    </row>
    <row r="3053" spans="1:7" x14ac:dyDescent="0.2">
      <c r="A3053" t="s">
        <v>4521</v>
      </c>
      <c r="B3053" t="str">
        <f>"13705663531"</f>
        <v>13705663531</v>
      </c>
      <c r="C3053" t="str">
        <f>"342923199212070014"</f>
        <v>342923199212070014</v>
      </c>
      <c r="D3053" t="s">
        <v>1</v>
      </c>
      <c r="E3053" t="s">
        <v>1</v>
      </c>
      <c r="F3053" t="s">
        <v>0</v>
      </c>
      <c r="G3053" t="str">
        <f>"2018-11-04 11:24:55"</f>
        <v>2018-11-04 11:24:55</v>
      </c>
    </row>
    <row r="3054" spans="1:7" x14ac:dyDescent="0.2">
      <c r="A3054" t="s">
        <v>1</v>
      </c>
      <c r="B3054" t="str">
        <f>"15902373571"</f>
        <v>15902373571</v>
      </c>
      <c r="C3054" t="s">
        <v>1</v>
      </c>
      <c r="D3054" t="s">
        <v>1</v>
      </c>
      <c r="E3054" t="s">
        <v>1</v>
      </c>
      <c r="F3054" t="s">
        <v>0</v>
      </c>
      <c r="G3054" t="str">
        <f>"2018-10-18 09:41:35"</f>
        <v>2018-10-18 09:41:35</v>
      </c>
    </row>
    <row r="3055" spans="1:7" x14ac:dyDescent="0.2">
      <c r="A3055" t="s">
        <v>4522</v>
      </c>
      <c r="B3055" t="str">
        <f>"13013019011"</f>
        <v>13013019011</v>
      </c>
      <c r="C3055" t="str">
        <f>"341125198910234331"</f>
        <v>341125198910234331</v>
      </c>
      <c r="D3055" t="s">
        <v>1</v>
      </c>
      <c r="E3055" t="s">
        <v>1</v>
      </c>
      <c r="F3055" t="s">
        <v>0</v>
      </c>
      <c r="G3055" t="str">
        <f>"2018-10-18 09:37:59"</f>
        <v>2018-10-18 09:37:59</v>
      </c>
    </row>
    <row r="3056" spans="1:7" x14ac:dyDescent="0.2">
      <c r="A3056" t="s">
        <v>1</v>
      </c>
      <c r="B3056" t="str">
        <f>"13342035617"</f>
        <v>13342035617</v>
      </c>
      <c r="C3056" t="s">
        <v>1</v>
      </c>
      <c r="D3056" t="s">
        <v>1</v>
      </c>
      <c r="E3056" t="s">
        <v>1</v>
      </c>
      <c r="F3056" t="s">
        <v>0</v>
      </c>
      <c r="G3056" t="str">
        <f>"2018-10-18 09:37:42"</f>
        <v>2018-10-18 09:37:42</v>
      </c>
    </row>
    <row r="3057" spans="1:7" x14ac:dyDescent="0.2">
      <c r="A3057" t="s">
        <v>4523</v>
      </c>
      <c r="B3057" t="str">
        <f>"15269467677"</f>
        <v>15269467677</v>
      </c>
      <c r="C3057" t="str">
        <f>"371426198905010032"</f>
        <v>371426198905010032</v>
      </c>
      <c r="D3057" t="s">
        <v>1</v>
      </c>
      <c r="E3057" t="s">
        <v>1</v>
      </c>
      <c r="F3057" t="s">
        <v>0</v>
      </c>
      <c r="G3057" t="str">
        <f>"2018-10-18 10:00:59"</f>
        <v>2018-10-18 10:00:59</v>
      </c>
    </row>
    <row r="3058" spans="1:7" x14ac:dyDescent="0.2">
      <c r="A3058" t="s">
        <v>4524</v>
      </c>
      <c r="B3058" t="str">
        <f>"15531363662"</f>
        <v>15531363662</v>
      </c>
      <c r="C3058" t="str">
        <f>"130721199711161610"</f>
        <v>130721199711161610</v>
      </c>
      <c r="D3058" t="s">
        <v>1</v>
      </c>
      <c r="E3058" t="s">
        <v>1</v>
      </c>
      <c r="F3058" t="s">
        <v>0</v>
      </c>
      <c r="G3058" t="str">
        <f>"2018-10-18 09:39:15"</f>
        <v>2018-10-18 09:39:15</v>
      </c>
    </row>
    <row r="3059" spans="1:7" x14ac:dyDescent="0.2">
      <c r="A3059" t="s">
        <v>1</v>
      </c>
      <c r="B3059" t="str">
        <f>"13004265212"</f>
        <v>13004265212</v>
      </c>
      <c r="C3059" t="s">
        <v>1</v>
      </c>
      <c r="D3059" t="s">
        <v>1</v>
      </c>
      <c r="E3059" t="s">
        <v>1</v>
      </c>
      <c r="F3059" t="s">
        <v>0</v>
      </c>
      <c r="G3059" t="str">
        <f>"2018-10-18 09:37:03"</f>
        <v>2018-10-18 09:37:03</v>
      </c>
    </row>
    <row r="3060" spans="1:7" x14ac:dyDescent="0.2">
      <c r="A3060" t="s">
        <v>4525</v>
      </c>
      <c r="B3060" t="str">
        <f>"18203411449"</f>
        <v>18203411449</v>
      </c>
      <c r="C3060" t="str">
        <f>"14222819921212746X"</f>
        <v>14222819921212746X</v>
      </c>
      <c r="D3060" t="s">
        <v>1</v>
      </c>
      <c r="E3060" t="s">
        <v>1</v>
      </c>
      <c r="F3060" t="s">
        <v>0</v>
      </c>
      <c r="G3060" t="str">
        <f>"2018-10-18 09:37:28"</f>
        <v>2018-10-18 09:37:28</v>
      </c>
    </row>
    <row r="3061" spans="1:7" x14ac:dyDescent="0.2">
      <c r="A3061" t="s">
        <v>4526</v>
      </c>
      <c r="B3061" t="str">
        <f>"18338612268"</f>
        <v>18338612268</v>
      </c>
      <c r="C3061" t="str">
        <f>"411524199607026036"</f>
        <v>411524199607026036</v>
      </c>
      <c r="D3061" t="s">
        <v>4527</v>
      </c>
      <c r="E3061" t="s">
        <v>4528</v>
      </c>
      <c r="F3061" t="s">
        <v>0</v>
      </c>
      <c r="G3061" t="str">
        <f>"2018-10-18 09:36:56"</f>
        <v>2018-10-18 09:36:56</v>
      </c>
    </row>
    <row r="3062" spans="1:7" x14ac:dyDescent="0.2">
      <c r="A3062" t="s">
        <v>4529</v>
      </c>
      <c r="B3062" t="str">
        <f>"18675248618"</f>
        <v>18675248618</v>
      </c>
      <c r="C3062" t="str">
        <f>"432503199711202194"</f>
        <v>432503199711202194</v>
      </c>
      <c r="D3062" t="s">
        <v>1</v>
      </c>
      <c r="E3062" t="s">
        <v>1</v>
      </c>
      <c r="F3062" t="s">
        <v>0</v>
      </c>
      <c r="G3062" t="str">
        <f>"2018-10-18 09:36:14"</f>
        <v>2018-10-18 09:36:14</v>
      </c>
    </row>
    <row r="3063" spans="1:7" x14ac:dyDescent="0.2">
      <c r="A3063" t="s">
        <v>4530</v>
      </c>
      <c r="B3063" t="str">
        <f>"13614057218"</f>
        <v>13614057218</v>
      </c>
      <c r="C3063" t="str">
        <f>"210103198102010323"</f>
        <v>210103198102010323</v>
      </c>
      <c r="D3063" t="s">
        <v>1</v>
      </c>
      <c r="E3063" t="s">
        <v>1</v>
      </c>
      <c r="F3063" t="s">
        <v>0</v>
      </c>
      <c r="G3063" t="str">
        <f>"2018-10-18 09:36:22"</f>
        <v>2018-10-18 09:36:22</v>
      </c>
    </row>
    <row r="3064" spans="1:7" x14ac:dyDescent="0.2">
      <c r="A3064" t="s">
        <v>4531</v>
      </c>
      <c r="B3064" t="str">
        <f>"18300032174"</f>
        <v>18300032174</v>
      </c>
      <c r="C3064" t="str">
        <f>"441621199310081239"</f>
        <v>441621199310081239</v>
      </c>
      <c r="D3064" t="s">
        <v>1</v>
      </c>
      <c r="E3064" t="s">
        <v>1</v>
      </c>
      <c r="F3064" t="s">
        <v>0</v>
      </c>
      <c r="G3064" t="str">
        <f>"2018-10-25 17:09:16"</f>
        <v>2018-10-25 17:09:16</v>
      </c>
    </row>
    <row r="3065" spans="1:7" x14ac:dyDescent="0.2">
      <c r="A3065" t="s">
        <v>1</v>
      </c>
      <c r="B3065" t="str">
        <f>"18339109927"</f>
        <v>18339109927</v>
      </c>
      <c r="C3065" t="s">
        <v>1</v>
      </c>
      <c r="D3065" t="s">
        <v>1</v>
      </c>
      <c r="E3065" t="s">
        <v>1</v>
      </c>
      <c r="F3065" t="s">
        <v>0</v>
      </c>
      <c r="G3065" t="str">
        <f>"2018-10-18 09:32:40"</f>
        <v>2018-10-18 09:32:40</v>
      </c>
    </row>
    <row r="3066" spans="1:7" x14ac:dyDescent="0.2">
      <c r="A3066" t="s">
        <v>813</v>
      </c>
      <c r="B3066" t="str">
        <f>"15074388259"</f>
        <v>15074388259</v>
      </c>
      <c r="C3066" t="str">
        <f>"433126198806266034"</f>
        <v>433126198806266034</v>
      </c>
      <c r="D3066" t="s">
        <v>1</v>
      </c>
      <c r="E3066" t="s">
        <v>1</v>
      </c>
      <c r="F3066" t="s">
        <v>0</v>
      </c>
      <c r="G3066" t="str">
        <f>"2018-10-18 09:34:51"</f>
        <v>2018-10-18 09:34:51</v>
      </c>
    </row>
    <row r="3067" spans="1:7" x14ac:dyDescent="0.2">
      <c r="A3067" t="s">
        <v>4532</v>
      </c>
      <c r="B3067" t="str">
        <f>"15078215228"</f>
        <v>15078215228</v>
      </c>
      <c r="C3067" t="str">
        <f>"452623199203230943"</f>
        <v>452623199203230943</v>
      </c>
      <c r="D3067" t="s">
        <v>1</v>
      </c>
      <c r="E3067" t="s">
        <v>1</v>
      </c>
      <c r="F3067" t="s">
        <v>0</v>
      </c>
      <c r="G3067" t="str">
        <f>"2018-10-18 09:30:03"</f>
        <v>2018-10-18 09:30:03</v>
      </c>
    </row>
    <row r="3068" spans="1:7" x14ac:dyDescent="0.2">
      <c r="A3068" t="s">
        <v>1771</v>
      </c>
      <c r="B3068" t="str">
        <f>"18675153564"</f>
        <v>18675153564</v>
      </c>
      <c r="C3068" t="str">
        <f>"513030198810020677"</f>
        <v>513030198810020677</v>
      </c>
      <c r="D3068" t="s">
        <v>1</v>
      </c>
      <c r="E3068" t="s">
        <v>1</v>
      </c>
      <c r="F3068" t="s">
        <v>0</v>
      </c>
      <c r="G3068" t="str">
        <f>"2018-10-18 09:46:55"</f>
        <v>2018-10-18 09:46:55</v>
      </c>
    </row>
    <row r="3069" spans="1:7" x14ac:dyDescent="0.2">
      <c r="A3069" t="s">
        <v>4533</v>
      </c>
      <c r="B3069" t="str">
        <f>"13927711173"</f>
        <v>13927711173</v>
      </c>
      <c r="C3069" t="str">
        <f>"440682197807303215"</f>
        <v>440682197807303215</v>
      </c>
      <c r="D3069" t="s">
        <v>1</v>
      </c>
      <c r="E3069" t="s">
        <v>1</v>
      </c>
      <c r="F3069" t="s">
        <v>0</v>
      </c>
      <c r="G3069" t="str">
        <f>"2018-10-18 09:29:19"</f>
        <v>2018-10-18 09:29:19</v>
      </c>
    </row>
    <row r="3070" spans="1:7" x14ac:dyDescent="0.2">
      <c r="A3070" t="s">
        <v>4534</v>
      </c>
      <c r="B3070" t="str">
        <f>"15849656213"</f>
        <v>15849656213</v>
      </c>
      <c r="C3070" t="str">
        <f>"150404199405240311"</f>
        <v>150404199405240311</v>
      </c>
      <c r="D3070" t="s">
        <v>1</v>
      </c>
      <c r="E3070" t="s">
        <v>1</v>
      </c>
      <c r="F3070" t="s">
        <v>0</v>
      </c>
      <c r="G3070" t="str">
        <f>"2018-10-22 12:41:17"</f>
        <v>2018-10-22 12:41:17</v>
      </c>
    </row>
    <row r="3071" spans="1:7" x14ac:dyDescent="0.2">
      <c r="A3071" t="s">
        <v>4535</v>
      </c>
      <c r="B3071" t="str">
        <f>"18555077737"</f>
        <v>18555077737</v>
      </c>
      <c r="C3071" t="str">
        <f>"34220119870809043X"</f>
        <v>34220119870809043X</v>
      </c>
      <c r="D3071" t="s">
        <v>1</v>
      </c>
      <c r="E3071" t="s">
        <v>1</v>
      </c>
      <c r="F3071" t="s">
        <v>0</v>
      </c>
      <c r="G3071" t="str">
        <f>"2018-10-18 09:26:33"</f>
        <v>2018-10-18 09:26:33</v>
      </c>
    </row>
    <row r="3072" spans="1:7" x14ac:dyDescent="0.2">
      <c r="A3072" t="s">
        <v>4536</v>
      </c>
      <c r="B3072" t="str">
        <f>"13293994222"</f>
        <v>13293994222</v>
      </c>
      <c r="C3072" t="str">
        <f>"142725198706042013"</f>
        <v>142725198706042013</v>
      </c>
      <c r="D3072" t="s">
        <v>4537</v>
      </c>
      <c r="E3072" t="s">
        <v>4538</v>
      </c>
      <c r="F3072" t="s">
        <v>0</v>
      </c>
      <c r="G3072" t="str">
        <f>"2018-10-19 08:41:54"</f>
        <v>2018-10-19 08:41:54</v>
      </c>
    </row>
    <row r="3073" spans="1:7" x14ac:dyDescent="0.2">
      <c r="A3073" t="s">
        <v>77</v>
      </c>
      <c r="B3073" t="str">
        <f>"13135543781"</f>
        <v>13135543781</v>
      </c>
      <c r="C3073" t="str">
        <f>"342401199510212679"</f>
        <v>342401199510212679</v>
      </c>
      <c r="D3073" t="s">
        <v>1</v>
      </c>
      <c r="E3073" t="s">
        <v>1</v>
      </c>
      <c r="F3073" t="s">
        <v>0</v>
      </c>
      <c r="G3073" t="str">
        <f>"2018-10-29 10:35:41"</f>
        <v>2018-10-29 10:35:41</v>
      </c>
    </row>
    <row r="3074" spans="1:7" x14ac:dyDescent="0.2">
      <c r="A3074" t="s">
        <v>4539</v>
      </c>
      <c r="B3074" t="str">
        <f>"18794896578"</f>
        <v>18794896578</v>
      </c>
      <c r="C3074" t="str">
        <f>"622727199509290415"</f>
        <v>622727199509290415</v>
      </c>
      <c r="D3074" t="s">
        <v>1</v>
      </c>
      <c r="E3074" t="s">
        <v>1</v>
      </c>
      <c r="F3074" t="s">
        <v>0</v>
      </c>
      <c r="G3074" t="str">
        <f>"2018-10-18 09:37:29"</f>
        <v>2018-10-18 09:37:29</v>
      </c>
    </row>
    <row r="3075" spans="1:7" x14ac:dyDescent="0.2">
      <c r="A3075" t="s">
        <v>4540</v>
      </c>
      <c r="B3075" t="str">
        <f>"13946264225"</f>
        <v>13946264225</v>
      </c>
      <c r="C3075" t="str">
        <f>"232321197408072724"</f>
        <v>232321197408072724</v>
      </c>
      <c r="D3075" t="s">
        <v>1</v>
      </c>
      <c r="E3075" t="s">
        <v>1</v>
      </c>
      <c r="F3075" t="s">
        <v>0</v>
      </c>
      <c r="G3075" t="str">
        <f>"2018-10-18 10:19:03"</f>
        <v>2018-10-18 10:19:03</v>
      </c>
    </row>
    <row r="3076" spans="1:7" x14ac:dyDescent="0.2">
      <c r="A3076" t="s">
        <v>1</v>
      </c>
      <c r="B3076" t="str">
        <f>"15138084161"</f>
        <v>15138084161</v>
      </c>
      <c r="C3076" t="s">
        <v>1</v>
      </c>
      <c r="D3076" t="s">
        <v>1</v>
      </c>
      <c r="E3076" t="s">
        <v>1</v>
      </c>
      <c r="F3076" t="s">
        <v>0</v>
      </c>
      <c r="G3076" t="str">
        <f>"2018-10-31 15:49:37"</f>
        <v>2018-10-31 15:49:37</v>
      </c>
    </row>
    <row r="3077" spans="1:7" x14ac:dyDescent="0.2">
      <c r="A3077" t="s">
        <v>4541</v>
      </c>
      <c r="B3077" t="str">
        <f>"15087036338"</f>
        <v>15087036338</v>
      </c>
      <c r="C3077" t="str">
        <f>"532129198410180527"</f>
        <v>532129198410180527</v>
      </c>
      <c r="D3077" t="s">
        <v>4542</v>
      </c>
      <c r="E3077" t="s">
        <v>4543</v>
      </c>
      <c r="F3077" t="s">
        <v>0</v>
      </c>
      <c r="G3077" t="str">
        <f>"2018-10-18 09:22:53"</f>
        <v>2018-10-18 09:22:53</v>
      </c>
    </row>
    <row r="3078" spans="1:7" x14ac:dyDescent="0.2">
      <c r="A3078" t="s">
        <v>1</v>
      </c>
      <c r="B3078" t="str">
        <f>"13888136392"</f>
        <v>13888136392</v>
      </c>
      <c r="C3078" t="s">
        <v>1</v>
      </c>
      <c r="D3078" t="s">
        <v>1</v>
      </c>
      <c r="E3078" t="s">
        <v>1</v>
      </c>
      <c r="F3078" t="s">
        <v>0</v>
      </c>
      <c r="G3078" t="str">
        <f>"2018-10-18 10:07:10"</f>
        <v>2018-10-18 10:07:10</v>
      </c>
    </row>
    <row r="3079" spans="1:7" x14ac:dyDescent="0.2">
      <c r="A3079" t="s">
        <v>4544</v>
      </c>
      <c r="B3079" t="str">
        <f>"13069497811"</f>
        <v>13069497811</v>
      </c>
      <c r="C3079" t="str">
        <f>"410823197904097519"</f>
        <v>410823197904097519</v>
      </c>
      <c r="D3079" t="s">
        <v>4545</v>
      </c>
      <c r="E3079" t="s">
        <v>4546</v>
      </c>
      <c r="F3079" t="s">
        <v>0</v>
      </c>
      <c r="G3079" t="str">
        <f>"2018-10-19 10:03:12"</f>
        <v>2018-10-19 10:03:12</v>
      </c>
    </row>
    <row r="3080" spans="1:7" x14ac:dyDescent="0.2">
      <c r="A3080" t="s">
        <v>4547</v>
      </c>
      <c r="B3080" t="str">
        <f>"13260132110"</f>
        <v>13260132110</v>
      </c>
      <c r="C3080" t="str">
        <f>"130724199401103115"</f>
        <v>130724199401103115</v>
      </c>
      <c r="D3080" t="s">
        <v>1</v>
      </c>
      <c r="E3080" t="s">
        <v>1</v>
      </c>
      <c r="F3080" t="s">
        <v>0</v>
      </c>
      <c r="G3080" t="str">
        <f>"2018-10-18 09:22:43"</f>
        <v>2018-10-18 09:22:43</v>
      </c>
    </row>
    <row r="3081" spans="1:7" x14ac:dyDescent="0.2">
      <c r="A3081" t="s">
        <v>1</v>
      </c>
      <c r="B3081" t="str">
        <f>"15540552017"</f>
        <v>15540552017</v>
      </c>
      <c r="C3081" t="s">
        <v>1</v>
      </c>
      <c r="D3081" t="s">
        <v>1</v>
      </c>
      <c r="E3081" t="s">
        <v>1</v>
      </c>
      <c r="F3081" t="s">
        <v>0</v>
      </c>
      <c r="G3081" t="str">
        <f>"2018-10-18 09:20:26"</f>
        <v>2018-10-18 09:20:26</v>
      </c>
    </row>
    <row r="3082" spans="1:7" x14ac:dyDescent="0.2">
      <c r="A3082" t="s">
        <v>4548</v>
      </c>
      <c r="B3082" t="str">
        <f>"15227315608"</f>
        <v>15227315608</v>
      </c>
      <c r="C3082" t="str">
        <f>"130525198709204538"</f>
        <v>130525198709204538</v>
      </c>
      <c r="D3082" t="s">
        <v>1</v>
      </c>
      <c r="E3082" t="s">
        <v>1</v>
      </c>
      <c r="F3082" t="s">
        <v>0</v>
      </c>
      <c r="G3082" t="str">
        <f>"2018-10-18 09:20:15"</f>
        <v>2018-10-18 09:20:15</v>
      </c>
    </row>
    <row r="3083" spans="1:7" x14ac:dyDescent="0.2">
      <c r="A3083" t="s">
        <v>4549</v>
      </c>
      <c r="B3083" t="str">
        <f>"13888067075"</f>
        <v>13888067075</v>
      </c>
      <c r="C3083" t="str">
        <f>"532129197401122339"</f>
        <v>532129197401122339</v>
      </c>
      <c r="D3083" t="s">
        <v>1</v>
      </c>
      <c r="E3083" t="s">
        <v>1</v>
      </c>
      <c r="F3083" t="s">
        <v>0</v>
      </c>
      <c r="G3083" t="str">
        <f>"2018-10-18 09:35:26"</f>
        <v>2018-10-18 09:35:26</v>
      </c>
    </row>
    <row r="3084" spans="1:7" x14ac:dyDescent="0.2">
      <c r="A3084" t="s">
        <v>4550</v>
      </c>
      <c r="B3084" t="str">
        <f>"13398815779"</f>
        <v>13398815779</v>
      </c>
      <c r="C3084" t="str">
        <f>"532522196707301519"</f>
        <v>532522196707301519</v>
      </c>
      <c r="D3084" t="s">
        <v>1</v>
      </c>
      <c r="E3084" t="s">
        <v>1</v>
      </c>
      <c r="F3084" t="s">
        <v>0</v>
      </c>
      <c r="G3084" t="str">
        <f>"2018-10-18 09:18:49"</f>
        <v>2018-10-18 09:18:49</v>
      </c>
    </row>
    <row r="3085" spans="1:7" x14ac:dyDescent="0.2">
      <c r="A3085" t="s">
        <v>1</v>
      </c>
      <c r="B3085" t="str">
        <f>"18807910871"</f>
        <v>18807910871</v>
      </c>
      <c r="C3085" t="s">
        <v>1</v>
      </c>
      <c r="D3085" t="s">
        <v>1</v>
      </c>
      <c r="E3085" t="s">
        <v>1</v>
      </c>
      <c r="F3085" t="s">
        <v>0</v>
      </c>
      <c r="G3085" t="str">
        <f>"2018-10-18 09:16:48"</f>
        <v>2018-10-18 09:16:48</v>
      </c>
    </row>
    <row r="3086" spans="1:7" x14ac:dyDescent="0.2">
      <c r="A3086" t="s">
        <v>4551</v>
      </c>
      <c r="B3086" t="str">
        <f>"18326143419"</f>
        <v>18326143419</v>
      </c>
      <c r="C3086" t="str">
        <f>"34262519880909255X"</f>
        <v>34262519880909255X</v>
      </c>
      <c r="D3086" t="s">
        <v>1</v>
      </c>
      <c r="E3086" t="s">
        <v>1</v>
      </c>
      <c r="F3086" t="s">
        <v>0</v>
      </c>
      <c r="G3086" t="str">
        <f>"2018-10-29 10:17:55"</f>
        <v>2018-10-29 10:17:55</v>
      </c>
    </row>
    <row r="3087" spans="1:7" x14ac:dyDescent="0.2">
      <c r="A3087" t="s">
        <v>4552</v>
      </c>
      <c r="B3087" t="str">
        <f>"13812703776"</f>
        <v>13812703776</v>
      </c>
      <c r="C3087" t="str">
        <f>"320525199109240260"</f>
        <v>320525199109240260</v>
      </c>
      <c r="D3087" t="s">
        <v>1</v>
      </c>
      <c r="E3087" t="s">
        <v>1</v>
      </c>
      <c r="F3087" t="s">
        <v>0</v>
      </c>
      <c r="G3087" t="str">
        <f>"2018-10-18 09:18:08"</f>
        <v>2018-10-18 09:18:08</v>
      </c>
    </row>
    <row r="3088" spans="1:7" x14ac:dyDescent="0.2">
      <c r="A3088" t="s">
        <v>4553</v>
      </c>
      <c r="B3088" t="str">
        <f>"13858727847"</f>
        <v>13858727847</v>
      </c>
      <c r="C3088" t="str">
        <f>"330327198908287259"</f>
        <v>330327198908287259</v>
      </c>
      <c r="D3088" t="s">
        <v>1</v>
      </c>
      <c r="E3088" t="s">
        <v>1</v>
      </c>
      <c r="F3088" t="s">
        <v>0</v>
      </c>
      <c r="G3088" t="str">
        <f>"2018-10-18 09:18:18"</f>
        <v>2018-10-18 09:18:18</v>
      </c>
    </row>
    <row r="3089" spans="1:7" x14ac:dyDescent="0.2">
      <c r="A3089" t="s">
        <v>1</v>
      </c>
      <c r="B3089" t="str">
        <f>"13787780770"</f>
        <v>13787780770</v>
      </c>
      <c r="C3089" t="s">
        <v>1</v>
      </c>
      <c r="D3089" t="s">
        <v>1</v>
      </c>
      <c r="E3089" t="s">
        <v>1</v>
      </c>
      <c r="F3089" t="s">
        <v>0</v>
      </c>
      <c r="G3089" t="str">
        <f>"2018-10-24 12:04:25"</f>
        <v>2018-10-24 12:04:25</v>
      </c>
    </row>
    <row r="3090" spans="1:7" x14ac:dyDescent="0.2">
      <c r="A3090" t="s">
        <v>1728</v>
      </c>
      <c r="B3090" t="str">
        <f>"15764401203"</f>
        <v>15764401203</v>
      </c>
      <c r="C3090" t="str">
        <f>"220122200007152527"</f>
        <v>220122200007152527</v>
      </c>
      <c r="D3090" t="s">
        <v>1</v>
      </c>
      <c r="E3090" t="s">
        <v>1</v>
      </c>
      <c r="F3090" t="s">
        <v>0</v>
      </c>
      <c r="G3090" t="str">
        <f>"2018-11-01 07:29:59"</f>
        <v>2018-11-01 07:29:59</v>
      </c>
    </row>
    <row r="3091" spans="1:7" x14ac:dyDescent="0.2">
      <c r="A3091" t="s">
        <v>4554</v>
      </c>
      <c r="B3091" t="str">
        <f>"13562288018"</f>
        <v>13562288018</v>
      </c>
      <c r="C3091" t="str">
        <f>"370523199206283322"</f>
        <v>370523199206283322</v>
      </c>
      <c r="D3091" t="s">
        <v>1</v>
      </c>
      <c r="E3091" t="s">
        <v>1</v>
      </c>
      <c r="F3091" t="s">
        <v>0</v>
      </c>
      <c r="G3091" t="str">
        <f>"2018-10-18 09:13:34"</f>
        <v>2018-10-18 09:13:34</v>
      </c>
    </row>
    <row r="3092" spans="1:7" x14ac:dyDescent="0.2">
      <c r="A3092" t="s">
        <v>4555</v>
      </c>
      <c r="B3092" t="str">
        <f>"13111331135"</f>
        <v>13111331135</v>
      </c>
      <c r="C3092" t="str">
        <f>"130434198611261033"</f>
        <v>130434198611261033</v>
      </c>
      <c r="D3092" t="s">
        <v>4556</v>
      </c>
      <c r="E3092" t="s">
        <v>4557</v>
      </c>
      <c r="F3092" t="s">
        <v>0</v>
      </c>
      <c r="G3092" t="str">
        <f>"2018-10-18 09:14:18"</f>
        <v>2018-10-18 09:14:18</v>
      </c>
    </row>
    <row r="3093" spans="1:7" x14ac:dyDescent="0.2">
      <c r="A3093" t="s">
        <v>4558</v>
      </c>
      <c r="B3093" t="str">
        <f>"18356286875"</f>
        <v>18356286875</v>
      </c>
      <c r="C3093" t="str">
        <f>"340826198608281026"</f>
        <v>340826198608281026</v>
      </c>
      <c r="D3093" t="s">
        <v>4559</v>
      </c>
      <c r="E3093" t="s">
        <v>4560</v>
      </c>
      <c r="F3093" t="s">
        <v>0</v>
      </c>
      <c r="G3093" t="str">
        <f>"2018-10-18 09:14:46"</f>
        <v>2018-10-18 09:14:46</v>
      </c>
    </row>
    <row r="3094" spans="1:7" x14ac:dyDescent="0.2">
      <c r="A3094" t="s">
        <v>4561</v>
      </c>
      <c r="B3094" t="str">
        <f>"15130309413"</f>
        <v>15130309413</v>
      </c>
      <c r="C3094" t="str">
        <f>"130626198909271219"</f>
        <v>130626198909271219</v>
      </c>
      <c r="D3094" t="s">
        <v>1</v>
      </c>
      <c r="E3094" t="s">
        <v>1</v>
      </c>
      <c r="F3094" t="s">
        <v>0</v>
      </c>
      <c r="G3094" t="str">
        <f>"2018-10-18 12:05:39"</f>
        <v>2018-10-18 12:05:39</v>
      </c>
    </row>
    <row r="3095" spans="1:7" x14ac:dyDescent="0.2">
      <c r="A3095" t="s">
        <v>4562</v>
      </c>
      <c r="B3095" t="str">
        <f>"15818591155"</f>
        <v>15818591155</v>
      </c>
      <c r="C3095" t="str">
        <f>"445224198308201293"</f>
        <v>445224198308201293</v>
      </c>
      <c r="D3095" t="s">
        <v>1</v>
      </c>
      <c r="E3095" t="s">
        <v>1</v>
      </c>
      <c r="F3095" t="s">
        <v>0</v>
      </c>
      <c r="G3095" t="str">
        <f>"2018-10-18 13:36:24"</f>
        <v>2018-10-18 13:36:24</v>
      </c>
    </row>
    <row r="3096" spans="1:7" x14ac:dyDescent="0.2">
      <c r="A3096" t="s">
        <v>4563</v>
      </c>
      <c r="B3096" t="str">
        <f>"13500631059"</f>
        <v>13500631059</v>
      </c>
      <c r="C3096" t="str">
        <f>"152321199209157580"</f>
        <v>152321199209157580</v>
      </c>
      <c r="D3096" t="s">
        <v>1</v>
      </c>
      <c r="E3096" t="s">
        <v>1</v>
      </c>
      <c r="F3096" t="s">
        <v>0</v>
      </c>
      <c r="G3096" t="str">
        <f>"2018-10-18 09:10:53"</f>
        <v>2018-10-18 09:10:53</v>
      </c>
    </row>
    <row r="3097" spans="1:7" x14ac:dyDescent="0.2">
      <c r="A3097" t="s">
        <v>1</v>
      </c>
      <c r="B3097" t="str">
        <f>"15216611740"</f>
        <v>15216611740</v>
      </c>
      <c r="C3097" t="s">
        <v>1</v>
      </c>
      <c r="D3097" t="s">
        <v>1</v>
      </c>
      <c r="E3097" t="s">
        <v>1</v>
      </c>
      <c r="F3097" t="s">
        <v>0</v>
      </c>
      <c r="G3097" t="str">
        <f>"2018-10-18 09:09:01"</f>
        <v>2018-10-18 09:09:01</v>
      </c>
    </row>
    <row r="3098" spans="1:7" x14ac:dyDescent="0.2">
      <c r="A3098" t="s">
        <v>4564</v>
      </c>
      <c r="B3098" t="str">
        <f>"15285576151"</f>
        <v>15285576151</v>
      </c>
      <c r="C3098" t="str">
        <f>"52011319860910042X"</f>
        <v>52011319860910042X</v>
      </c>
      <c r="D3098" t="s">
        <v>1</v>
      </c>
      <c r="E3098" t="s">
        <v>1</v>
      </c>
      <c r="F3098" t="s">
        <v>0</v>
      </c>
      <c r="G3098" t="str">
        <f>"2018-10-18 14:19:06"</f>
        <v>2018-10-18 14:19:06</v>
      </c>
    </row>
    <row r="3099" spans="1:7" x14ac:dyDescent="0.2">
      <c r="A3099" t="s">
        <v>1</v>
      </c>
      <c r="B3099" t="str">
        <f>"17863631037"</f>
        <v>17863631037</v>
      </c>
      <c r="C3099" t="s">
        <v>1</v>
      </c>
      <c r="D3099" t="s">
        <v>1</v>
      </c>
      <c r="E3099" t="s">
        <v>1</v>
      </c>
      <c r="F3099" t="s">
        <v>0</v>
      </c>
      <c r="G3099" t="str">
        <f>"2018-10-18 09:13:07"</f>
        <v>2018-10-18 09:13:07</v>
      </c>
    </row>
    <row r="3100" spans="1:7" x14ac:dyDescent="0.2">
      <c r="A3100" t="s">
        <v>1</v>
      </c>
      <c r="B3100" t="str">
        <f>"15958461970"</f>
        <v>15958461970</v>
      </c>
      <c r="C3100" t="s">
        <v>1</v>
      </c>
      <c r="D3100" t="s">
        <v>1</v>
      </c>
      <c r="E3100" t="s">
        <v>1</v>
      </c>
      <c r="F3100" t="s">
        <v>0</v>
      </c>
      <c r="G3100" t="str">
        <f>"2018-10-18 09:08:55"</f>
        <v>2018-10-18 09:08:55</v>
      </c>
    </row>
    <row r="3101" spans="1:7" x14ac:dyDescent="0.2">
      <c r="A3101" t="s">
        <v>4565</v>
      </c>
      <c r="B3101" t="str">
        <f>"13306456524"</f>
        <v>13306456524</v>
      </c>
      <c r="C3101" t="str">
        <f>"370685198112042210"</f>
        <v>370685198112042210</v>
      </c>
      <c r="D3101" t="s">
        <v>1</v>
      </c>
      <c r="E3101" t="s">
        <v>1</v>
      </c>
      <c r="F3101" t="s">
        <v>0</v>
      </c>
      <c r="G3101" t="str">
        <f>"2018-10-18 09:08:08"</f>
        <v>2018-10-18 09:08:08</v>
      </c>
    </row>
    <row r="3102" spans="1:7" x14ac:dyDescent="0.2">
      <c r="A3102" t="s">
        <v>4566</v>
      </c>
      <c r="B3102" t="str">
        <f>"18057984819"</f>
        <v>18057984819</v>
      </c>
      <c r="C3102" t="str">
        <f>"429006199107124819"</f>
        <v>429006199107124819</v>
      </c>
      <c r="D3102" t="s">
        <v>1</v>
      </c>
      <c r="E3102" t="s">
        <v>1</v>
      </c>
      <c r="F3102" t="s">
        <v>0</v>
      </c>
      <c r="G3102" t="str">
        <f>"2018-10-18 13:19:40"</f>
        <v>2018-10-18 13:19:40</v>
      </c>
    </row>
    <row r="3103" spans="1:7" x14ac:dyDescent="0.2">
      <c r="A3103" t="s">
        <v>4567</v>
      </c>
      <c r="B3103" t="str">
        <f>"18095095048"</f>
        <v>18095095048</v>
      </c>
      <c r="C3103" t="str">
        <f>"510183199308082645"</f>
        <v>510183199308082645</v>
      </c>
      <c r="D3103" t="s">
        <v>1</v>
      </c>
      <c r="E3103" t="s">
        <v>1</v>
      </c>
      <c r="F3103" t="s">
        <v>0</v>
      </c>
      <c r="G3103" t="str">
        <f>"2018-10-18 09:07:55"</f>
        <v>2018-10-18 09:07:55</v>
      </c>
    </row>
    <row r="3104" spans="1:7" x14ac:dyDescent="0.2">
      <c r="A3104" t="s">
        <v>4568</v>
      </c>
      <c r="B3104" t="str">
        <f>"13976969682"</f>
        <v>13976969682</v>
      </c>
      <c r="C3104" t="str">
        <f>"460035198206271327"</f>
        <v>460035198206271327</v>
      </c>
      <c r="D3104" t="s">
        <v>1</v>
      </c>
      <c r="E3104" t="s">
        <v>1</v>
      </c>
      <c r="F3104" t="s">
        <v>0</v>
      </c>
      <c r="G3104" t="str">
        <f>"2018-10-18 09:06:05"</f>
        <v>2018-10-18 09:06:05</v>
      </c>
    </row>
    <row r="3105" spans="1:7" x14ac:dyDescent="0.2">
      <c r="A3105" t="s">
        <v>4569</v>
      </c>
      <c r="B3105" t="str">
        <f>"13039436320"</f>
        <v>13039436320</v>
      </c>
      <c r="C3105" t="str">
        <f>"654224199509080013"</f>
        <v>654224199509080013</v>
      </c>
      <c r="D3105" t="s">
        <v>1</v>
      </c>
      <c r="E3105" t="s">
        <v>1</v>
      </c>
      <c r="F3105" t="s">
        <v>0</v>
      </c>
      <c r="G3105" t="str">
        <f>"2018-10-18 09:05:15"</f>
        <v>2018-10-18 09:05:15</v>
      </c>
    </row>
    <row r="3106" spans="1:7" x14ac:dyDescent="0.2">
      <c r="A3106" t="s">
        <v>1</v>
      </c>
      <c r="B3106" t="str">
        <f>"18871629850"</f>
        <v>18871629850</v>
      </c>
      <c r="C3106" t="s">
        <v>1</v>
      </c>
      <c r="D3106" t="s">
        <v>1</v>
      </c>
      <c r="E3106" t="s">
        <v>1</v>
      </c>
      <c r="F3106" t="s">
        <v>0</v>
      </c>
      <c r="G3106" t="str">
        <f>"2018-10-18 09:01:39"</f>
        <v>2018-10-18 09:01:39</v>
      </c>
    </row>
    <row r="3107" spans="1:7" x14ac:dyDescent="0.2">
      <c r="A3107" t="s">
        <v>4570</v>
      </c>
      <c r="B3107" t="str">
        <f>"13830220598"</f>
        <v>13830220598</v>
      </c>
      <c r="C3107" t="str">
        <f>"622421197812082615"</f>
        <v>622421197812082615</v>
      </c>
      <c r="D3107" t="s">
        <v>1</v>
      </c>
      <c r="E3107" t="s">
        <v>1</v>
      </c>
      <c r="F3107" t="s">
        <v>0</v>
      </c>
      <c r="G3107" t="str">
        <f>"2018-10-18 09:02:08"</f>
        <v>2018-10-18 09:02:08</v>
      </c>
    </row>
    <row r="3108" spans="1:7" x14ac:dyDescent="0.2">
      <c r="A3108" t="s">
        <v>1</v>
      </c>
      <c r="B3108" t="str">
        <f>"18934372149"</f>
        <v>18934372149</v>
      </c>
      <c r="C3108" t="s">
        <v>1</v>
      </c>
      <c r="D3108" t="s">
        <v>1</v>
      </c>
      <c r="E3108" t="s">
        <v>1</v>
      </c>
      <c r="F3108" t="s">
        <v>0</v>
      </c>
      <c r="G3108" t="str">
        <f>"2018-10-18 09:00:19"</f>
        <v>2018-10-18 09:00:19</v>
      </c>
    </row>
    <row r="3109" spans="1:7" x14ac:dyDescent="0.2">
      <c r="A3109" t="s">
        <v>4571</v>
      </c>
      <c r="B3109" t="str">
        <f>"13791618922"</f>
        <v>13791618922</v>
      </c>
      <c r="C3109" t="str">
        <f>"412922197708294954"</f>
        <v>412922197708294954</v>
      </c>
      <c r="D3109" t="s">
        <v>1</v>
      </c>
      <c r="E3109" t="s">
        <v>1</v>
      </c>
      <c r="F3109" t="s">
        <v>0</v>
      </c>
      <c r="G3109" t="str">
        <f>"2018-10-20 15:43:16"</f>
        <v>2018-10-20 15:43:16</v>
      </c>
    </row>
    <row r="3110" spans="1:7" x14ac:dyDescent="0.2">
      <c r="A3110" t="s">
        <v>4572</v>
      </c>
      <c r="B3110" t="str">
        <f>"15233903737"</f>
        <v>15233903737</v>
      </c>
      <c r="C3110" t="str">
        <f>"130527199206280878"</f>
        <v>130527199206280878</v>
      </c>
      <c r="D3110" t="s">
        <v>4573</v>
      </c>
      <c r="E3110" t="s">
        <v>4574</v>
      </c>
      <c r="F3110" t="s">
        <v>0</v>
      </c>
      <c r="G3110" t="str">
        <f>"2018-10-18 14:36:45"</f>
        <v>2018-10-18 14:36:45</v>
      </c>
    </row>
    <row r="3111" spans="1:7" x14ac:dyDescent="0.2">
      <c r="A3111" t="s">
        <v>4575</v>
      </c>
      <c r="B3111" t="str">
        <f>"13724938623"</f>
        <v>13724938623</v>
      </c>
      <c r="C3111" t="str">
        <f>"440683198908040646"</f>
        <v>440683198908040646</v>
      </c>
      <c r="D3111" t="s">
        <v>1</v>
      </c>
      <c r="E3111" t="s">
        <v>1</v>
      </c>
      <c r="F3111" t="s">
        <v>0</v>
      </c>
      <c r="G3111" t="str">
        <f>"2018-10-18 15:01:23"</f>
        <v>2018-10-18 15:01:23</v>
      </c>
    </row>
    <row r="3112" spans="1:7" x14ac:dyDescent="0.2">
      <c r="A3112" t="s">
        <v>4576</v>
      </c>
      <c r="B3112" t="str">
        <f>"18641699577"</f>
        <v>18641699577</v>
      </c>
      <c r="C3112" t="str">
        <f>"210781198201060459"</f>
        <v>210781198201060459</v>
      </c>
      <c r="D3112" t="s">
        <v>1</v>
      </c>
      <c r="E3112" t="s">
        <v>1</v>
      </c>
      <c r="F3112" t="s">
        <v>0</v>
      </c>
      <c r="G3112" t="str">
        <f>"2018-10-20 17:25:08"</f>
        <v>2018-10-20 17:25:08</v>
      </c>
    </row>
    <row r="3113" spans="1:7" x14ac:dyDescent="0.2">
      <c r="A3113" t="s">
        <v>4577</v>
      </c>
      <c r="B3113" t="str">
        <f>"13578880718"</f>
        <v>13578880718</v>
      </c>
      <c r="C3113" t="str">
        <f>"220102199111240024"</f>
        <v>220102199111240024</v>
      </c>
      <c r="D3113" t="s">
        <v>1</v>
      </c>
      <c r="E3113" t="s">
        <v>1</v>
      </c>
      <c r="F3113" t="s">
        <v>0</v>
      </c>
      <c r="G3113" t="str">
        <f>"2018-10-18 08:55:05"</f>
        <v>2018-10-18 08:55:05</v>
      </c>
    </row>
    <row r="3114" spans="1:7" x14ac:dyDescent="0.2">
      <c r="A3114" t="s">
        <v>719</v>
      </c>
      <c r="B3114" t="str">
        <f>"15125959264"</f>
        <v>15125959264</v>
      </c>
      <c r="C3114" t="str">
        <f>"532301199612200951"</f>
        <v>532301199612200951</v>
      </c>
      <c r="D3114" t="s">
        <v>1</v>
      </c>
      <c r="E3114" t="s">
        <v>1</v>
      </c>
      <c r="F3114" t="s">
        <v>0</v>
      </c>
      <c r="G3114" t="str">
        <f>"2018-10-18 08:55:08"</f>
        <v>2018-10-18 08:55:08</v>
      </c>
    </row>
    <row r="3115" spans="1:7" x14ac:dyDescent="0.2">
      <c r="A3115" t="s">
        <v>1</v>
      </c>
      <c r="B3115" t="str">
        <f>"13856340137"</f>
        <v>13856340137</v>
      </c>
      <c r="C3115" t="s">
        <v>1</v>
      </c>
      <c r="D3115" t="s">
        <v>1</v>
      </c>
      <c r="E3115" t="s">
        <v>1</v>
      </c>
      <c r="F3115" t="s">
        <v>0</v>
      </c>
      <c r="G3115" t="str">
        <f>"2018-10-18 08:51:55"</f>
        <v>2018-10-18 08:51:55</v>
      </c>
    </row>
    <row r="3116" spans="1:7" x14ac:dyDescent="0.2">
      <c r="A3116" t="s">
        <v>4578</v>
      </c>
      <c r="B3116" t="str">
        <f>"18757183989"</f>
        <v>18757183989</v>
      </c>
      <c r="C3116" t="str">
        <f>"330122199506032722"</f>
        <v>330122199506032722</v>
      </c>
      <c r="D3116" t="s">
        <v>1</v>
      </c>
      <c r="E3116" t="s">
        <v>1</v>
      </c>
      <c r="F3116" t="s">
        <v>0</v>
      </c>
      <c r="G3116" t="str">
        <f>"2018-10-18 08:53:52"</f>
        <v>2018-10-18 08:53:52</v>
      </c>
    </row>
    <row r="3117" spans="1:7" x14ac:dyDescent="0.2">
      <c r="A3117" t="s">
        <v>1279</v>
      </c>
      <c r="B3117" t="str">
        <f>"13227669888"</f>
        <v>13227669888</v>
      </c>
      <c r="C3117" t="str">
        <f>"421083198812090416"</f>
        <v>421083198812090416</v>
      </c>
      <c r="D3117" t="s">
        <v>1</v>
      </c>
      <c r="E3117" t="s">
        <v>1</v>
      </c>
      <c r="F3117" t="s">
        <v>0</v>
      </c>
      <c r="G3117" t="str">
        <f>"2018-10-18 15:40:17"</f>
        <v>2018-10-18 15:40:17</v>
      </c>
    </row>
    <row r="3118" spans="1:7" x14ac:dyDescent="0.2">
      <c r="A3118" t="s">
        <v>1</v>
      </c>
      <c r="B3118" t="str">
        <f>"13298302171"</f>
        <v>13298302171</v>
      </c>
      <c r="C3118" t="s">
        <v>1</v>
      </c>
      <c r="D3118" t="s">
        <v>1</v>
      </c>
      <c r="E3118" t="s">
        <v>1</v>
      </c>
      <c r="F3118" t="s">
        <v>0</v>
      </c>
      <c r="G3118" t="str">
        <f>"2018-10-18 08:48:07"</f>
        <v>2018-10-18 08:48:07</v>
      </c>
    </row>
    <row r="3119" spans="1:7" x14ac:dyDescent="0.2">
      <c r="A3119" t="s">
        <v>4579</v>
      </c>
      <c r="B3119" t="str">
        <f>"15837116788"</f>
        <v>15837116788</v>
      </c>
      <c r="C3119" t="str">
        <f>"410181199410115048"</f>
        <v>410181199410115048</v>
      </c>
      <c r="D3119" t="s">
        <v>1</v>
      </c>
      <c r="E3119" t="s">
        <v>1</v>
      </c>
      <c r="F3119" t="s">
        <v>0</v>
      </c>
      <c r="G3119" t="str">
        <f>"2018-10-18 08:50:05"</f>
        <v>2018-10-18 08:50:05</v>
      </c>
    </row>
    <row r="3120" spans="1:7" x14ac:dyDescent="0.2">
      <c r="A3120" t="s">
        <v>1</v>
      </c>
      <c r="B3120" t="str">
        <f>"18650282907"</f>
        <v>18650282907</v>
      </c>
      <c r="C3120" t="s">
        <v>1</v>
      </c>
      <c r="D3120" t="s">
        <v>1</v>
      </c>
      <c r="E3120" t="s">
        <v>1</v>
      </c>
      <c r="F3120" t="s">
        <v>0</v>
      </c>
      <c r="G3120" t="str">
        <f>"2018-10-18 08:50:45"</f>
        <v>2018-10-18 08:50:45</v>
      </c>
    </row>
    <row r="3121" spans="1:7" x14ac:dyDescent="0.2">
      <c r="A3121" t="s">
        <v>1</v>
      </c>
      <c r="B3121" t="str">
        <f>"18178789444"</f>
        <v>18178789444</v>
      </c>
      <c r="C3121" t="s">
        <v>1</v>
      </c>
      <c r="D3121" t="s">
        <v>1</v>
      </c>
      <c r="E3121" t="s">
        <v>1</v>
      </c>
      <c r="F3121" t="s">
        <v>0</v>
      </c>
      <c r="G3121" t="str">
        <f>"2018-10-18 08:46:32"</f>
        <v>2018-10-18 08:46:32</v>
      </c>
    </row>
    <row r="3122" spans="1:7" x14ac:dyDescent="0.2">
      <c r="A3122" t="s">
        <v>4580</v>
      </c>
      <c r="B3122" t="str">
        <f>"13941755038"</f>
        <v>13941755038</v>
      </c>
      <c r="C3122" t="str">
        <f>"210881199104024368"</f>
        <v>210881199104024368</v>
      </c>
      <c r="D3122" t="s">
        <v>1</v>
      </c>
      <c r="E3122" t="s">
        <v>1</v>
      </c>
      <c r="F3122" t="s">
        <v>0</v>
      </c>
      <c r="G3122" t="str">
        <f>"2018-10-19 08:53:14"</f>
        <v>2018-10-19 08:53:14</v>
      </c>
    </row>
    <row r="3123" spans="1:7" x14ac:dyDescent="0.2">
      <c r="A3123" t="s">
        <v>1</v>
      </c>
      <c r="B3123" t="str">
        <f>"13555795881"</f>
        <v>13555795881</v>
      </c>
      <c r="C3123" t="s">
        <v>1</v>
      </c>
      <c r="D3123" t="s">
        <v>1</v>
      </c>
      <c r="E3123" t="s">
        <v>1</v>
      </c>
      <c r="F3123" t="s">
        <v>0</v>
      </c>
      <c r="G3123" t="str">
        <f>"2018-10-18 08:42:22"</f>
        <v>2018-10-18 08:42:22</v>
      </c>
    </row>
    <row r="3124" spans="1:7" x14ac:dyDescent="0.2">
      <c r="A3124" t="s">
        <v>4581</v>
      </c>
      <c r="B3124" t="str">
        <f>"15559016093"</f>
        <v>15559016093</v>
      </c>
      <c r="C3124" t="str">
        <f>"350583199411103231"</f>
        <v>350583199411103231</v>
      </c>
      <c r="D3124" t="s">
        <v>1</v>
      </c>
      <c r="E3124" t="s">
        <v>1</v>
      </c>
      <c r="F3124" t="s">
        <v>0</v>
      </c>
      <c r="G3124" t="str">
        <f>"2018-10-19 13:07:21"</f>
        <v>2018-10-19 13:07:21</v>
      </c>
    </row>
    <row r="3125" spans="1:7" x14ac:dyDescent="0.2">
      <c r="A3125" t="s">
        <v>4582</v>
      </c>
      <c r="B3125" t="str">
        <f>"15895506862"</f>
        <v>15895506862</v>
      </c>
      <c r="C3125" t="str">
        <f>"320525199003221512"</f>
        <v>320525199003221512</v>
      </c>
      <c r="D3125" t="s">
        <v>1</v>
      </c>
      <c r="E3125" t="s">
        <v>1</v>
      </c>
      <c r="F3125" t="s">
        <v>0</v>
      </c>
      <c r="G3125" t="str">
        <f>"2018-10-18 08:42:21"</f>
        <v>2018-10-18 08:42:21</v>
      </c>
    </row>
    <row r="3126" spans="1:7" x14ac:dyDescent="0.2">
      <c r="A3126" t="s">
        <v>4583</v>
      </c>
      <c r="B3126" t="str">
        <f>"13926036662"</f>
        <v>13926036662</v>
      </c>
      <c r="C3126" t="str">
        <f>"340123199108162853"</f>
        <v>340123199108162853</v>
      </c>
      <c r="D3126" t="s">
        <v>1</v>
      </c>
      <c r="E3126" t="s">
        <v>1</v>
      </c>
      <c r="F3126" t="s">
        <v>0</v>
      </c>
      <c r="G3126" t="str">
        <f>"2018-10-18 08:40:57"</f>
        <v>2018-10-18 08:40:57</v>
      </c>
    </row>
    <row r="3127" spans="1:7" x14ac:dyDescent="0.2">
      <c r="A3127" t="s">
        <v>4584</v>
      </c>
      <c r="B3127" t="str">
        <f>"13213818881"</f>
        <v>13213818881</v>
      </c>
      <c r="C3127" t="str">
        <f>"410411199001105751"</f>
        <v>410411199001105751</v>
      </c>
      <c r="D3127" t="s">
        <v>1</v>
      </c>
      <c r="E3127" t="s">
        <v>1</v>
      </c>
      <c r="F3127" t="s">
        <v>0</v>
      </c>
      <c r="G3127" t="str">
        <f>"2018-10-18 08:46:09"</f>
        <v>2018-10-18 08:46:09</v>
      </c>
    </row>
    <row r="3128" spans="1:7" x14ac:dyDescent="0.2">
      <c r="A3128" t="s">
        <v>1</v>
      </c>
      <c r="B3128" t="str">
        <f>"13685233870"</f>
        <v>13685233870</v>
      </c>
      <c r="C3128" t="s">
        <v>1</v>
      </c>
      <c r="D3128" t="s">
        <v>1</v>
      </c>
      <c r="E3128" t="s">
        <v>1</v>
      </c>
      <c r="F3128" t="s">
        <v>0</v>
      </c>
      <c r="G3128" t="str">
        <f>"2018-10-18 08:33:12"</f>
        <v>2018-10-18 08:33:12</v>
      </c>
    </row>
    <row r="3129" spans="1:7" x14ac:dyDescent="0.2">
      <c r="A3129" t="s">
        <v>4585</v>
      </c>
      <c r="B3129" t="str">
        <f>"13203833982"</f>
        <v>13203833982</v>
      </c>
      <c r="C3129" t="str">
        <f>"410101198011252014"</f>
        <v>410101198011252014</v>
      </c>
      <c r="D3129" t="s">
        <v>4586</v>
      </c>
      <c r="E3129" t="s">
        <v>4587</v>
      </c>
      <c r="F3129" t="s">
        <v>0</v>
      </c>
      <c r="G3129" t="str">
        <f>"2018-10-18 10:44:52"</f>
        <v>2018-10-18 10:44:52</v>
      </c>
    </row>
    <row r="3130" spans="1:7" x14ac:dyDescent="0.2">
      <c r="A3130" t="s">
        <v>392</v>
      </c>
      <c r="B3130" t="str">
        <f>"18825645983"</f>
        <v>18825645983</v>
      </c>
      <c r="C3130" t="str">
        <f>"44178119831027381X"</f>
        <v>44178119831027381X</v>
      </c>
      <c r="D3130" t="s">
        <v>1</v>
      </c>
      <c r="E3130" t="s">
        <v>1</v>
      </c>
      <c r="F3130" t="s">
        <v>0</v>
      </c>
      <c r="G3130" t="str">
        <f>"2018-10-27 10:27:15"</f>
        <v>2018-10-27 10:27:15</v>
      </c>
    </row>
    <row r="3131" spans="1:7" x14ac:dyDescent="0.2">
      <c r="A3131" t="s">
        <v>4588</v>
      </c>
      <c r="B3131" t="str">
        <f>"18978372701"</f>
        <v>18978372701</v>
      </c>
      <c r="C3131" t="str">
        <f>"450322199409150012"</f>
        <v>450322199409150012</v>
      </c>
      <c r="D3131" t="s">
        <v>4589</v>
      </c>
      <c r="E3131" t="s">
        <v>4590</v>
      </c>
      <c r="F3131" t="s">
        <v>0</v>
      </c>
      <c r="G3131" t="str">
        <f>"2018-10-18 08:31:27"</f>
        <v>2018-10-18 08:31:27</v>
      </c>
    </row>
    <row r="3132" spans="1:7" x14ac:dyDescent="0.2">
      <c r="A3132" t="s">
        <v>4591</v>
      </c>
      <c r="B3132" t="str">
        <f>"15944529956"</f>
        <v>15944529956</v>
      </c>
      <c r="C3132" t="str">
        <f>"22052119920826682X"</f>
        <v>22052119920826682X</v>
      </c>
      <c r="D3132" t="s">
        <v>1</v>
      </c>
      <c r="E3132" t="s">
        <v>1</v>
      </c>
      <c r="F3132" t="s">
        <v>0</v>
      </c>
      <c r="G3132" t="str">
        <f>"2018-10-18 08:30:39"</f>
        <v>2018-10-18 08:30:39</v>
      </c>
    </row>
    <row r="3133" spans="1:7" x14ac:dyDescent="0.2">
      <c r="A3133" t="s">
        <v>4592</v>
      </c>
      <c r="B3133" t="str">
        <f>"13810307344"</f>
        <v>13810307344</v>
      </c>
      <c r="C3133" t="str">
        <f>"110226199007011118"</f>
        <v>110226199007011118</v>
      </c>
      <c r="D3133" t="s">
        <v>1</v>
      </c>
      <c r="E3133" t="s">
        <v>1</v>
      </c>
      <c r="F3133" t="s">
        <v>0</v>
      </c>
      <c r="G3133" t="str">
        <f>"2018-10-18 08:50:21"</f>
        <v>2018-10-18 08:50:21</v>
      </c>
    </row>
    <row r="3134" spans="1:7" x14ac:dyDescent="0.2">
      <c r="A3134" t="s">
        <v>1</v>
      </c>
      <c r="B3134" t="str">
        <f>"18886324822"</f>
        <v>18886324822</v>
      </c>
      <c r="C3134" t="s">
        <v>1</v>
      </c>
      <c r="D3134" t="s">
        <v>1</v>
      </c>
      <c r="E3134" t="s">
        <v>1</v>
      </c>
      <c r="F3134" t="s">
        <v>0</v>
      </c>
      <c r="G3134" t="str">
        <f>"2018-10-18 08:23:45"</f>
        <v>2018-10-18 08:23:45</v>
      </c>
    </row>
    <row r="3135" spans="1:7" x14ac:dyDescent="0.2">
      <c r="A3135" t="s">
        <v>4593</v>
      </c>
      <c r="B3135" t="str">
        <f>"18159417111"</f>
        <v>18159417111</v>
      </c>
      <c r="C3135" t="str">
        <f>"350322199402021716"</f>
        <v>350322199402021716</v>
      </c>
      <c r="D3135" t="s">
        <v>1</v>
      </c>
      <c r="E3135" t="s">
        <v>1</v>
      </c>
      <c r="F3135" t="s">
        <v>0</v>
      </c>
      <c r="G3135" t="str">
        <f>"2018-10-18 08:21:54"</f>
        <v>2018-10-18 08:21:54</v>
      </c>
    </row>
    <row r="3136" spans="1:7" x14ac:dyDescent="0.2">
      <c r="A3136" t="s">
        <v>1</v>
      </c>
      <c r="B3136" t="str">
        <f>"17512090844"</f>
        <v>17512090844</v>
      </c>
      <c r="C3136" t="s">
        <v>1</v>
      </c>
      <c r="D3136" t="s">
        <v>1</v>
      </c>
      <c r="E3136" t="s">
        <v>1</v>
      </c>
      <c r="F3136" t="s">
        <v>0</v>
      </c>
      <c r="G3136" t="str">
        <f>"2018-10-18 08:20:26"</f>
        <v>2018-10-18 08:20:26</v>
      </c>
    </row>
    <row r="3137" spans="1:7" x14ac:dyDescent="0.2">
      <c r="A3137" t="s">
        <v>1</v>
      </c>
      <c r="B3137" t="str">
        <f>"18785274390"</f>
        <v>18785274390</v>
      </c>
      <c r="C3137" t="s">
        <v>1</v>
      </c>
      <c r="D3137" t="s">
        <v>1</v>
      </c>
      <c r="E3137" t="s">
        <v>1</v>
      </c>
      <c r="F3137" t="s">
        <v>0</v>
      </c>
      <c r="G3137" t="str">
        <f>"2018-10-18 08:22:25"</f>
        <v>2018-10-18 08:22:25</v>
      </c>
    </row>
    <row r="3138" spans="1:7" x14ac:dyDescent="0.2">
      <c r="A3138" t="s">
        <v>4594</v>
      </c>
      <c r="B3138" t="str">
        <f>"13959967122"</f>
        <v>13959967122</v>
      </c>
      <c r="C3138" t="str">
        <f>"350583199104199210"</f>
        <v>350583199104199210</v>
      </c>
      <c r="D3138" t="s">
        <v>1</v>
      </c>
      <c r="E3138" t="s">
        <v>1</v>
      </c>
      <c r="F3138" t="s">
        <v>0</v>
      </c>
      <c r="G3138" t="str">
        <f>"2018-10-18 08:19:09"</f>
        <v>2018-10-18 08:19:09</v>
      </c>
    </row>
    <row r="3139" spans="1:7" x14ac:dyDescent="0.2">
      <c r="A3139" t="s">
        <v>4595</v>
      </c>
      <c r="B3139" t="str">
        <f>"13653476427"</f>
        <v>13653476427</v>
      </c>
      <c r="C3139" t="str">
        <f>"140525199003010535"</f>
        <v>140525199003010535</v>
      </c>
      <c r="D3139" t="s">
        <v>1</v>
      </c>
      <c r="E3139" t="s">
        <v>1</v>
      </c>
      <c r="F3139" t="s">
        <v>0</v>
      </c>
      <c r="G3139" t="str">
        <f>"2018-10-18 12:08:03"</f>
        <v>2018-10-18 12:08:03</v>
      </c>
    </row>
    <row r="3140" spans="1:7" x14ac:dyDescent="0.2">
      <c r="A3140" t="s">
        <v>4596</v>
      </c>
      <c r="B3140" t="str">
        <f>"15093233310"</f>
        <v>15093233310</v>
      </c>
      <c r="C3140" t="str">
        <f>"410105199411140097"</f>
        <v>410105199411140097</v>
      </c>
      <c r="D3140" t="s">
        <v>1</v>
      </c>
      <c r="E3140" t="s">
        <v>1</v>
      </c>
      <c r="F3140" t="s">
        <v>0</v>
      </c>
      <c r="G3140" t="str">
        <f>"2018-10-26 10:08:23"</f>
        <v>2018-10-26 10:08:23</v>
      </c>
    </row>
    <row r="3141" spans="1:7" x14ac:dyDescent="0.2">
      <c r="A3141" t="s">
        <v>4597</v>
      </c>
      <c r="B3141" t="str">
        <f>"15815860525"</f>
        <v>15815860525</v>
      </c>
      <c r="C3141" t="str">
        <f>"440182199611171558"</f>
        <v>440182199611171558</v>
      </c>
      <c r="D3141" t="s">
        <v>1</v>
      </c>
      <c r="E3141" t="s">
        <v>1</v>
      </c>
      <c r="F3141" t="s">
        <v>0</v>
      </c>
      <c r="G3141" t="str">
        <f>"2018-10-18 08:14:48"</f>
        <v>2018-10-18 08:14:48</v>
      </c>
    </row>
    <row r="3142" spans="1:7" x14ac:dyDescent="0.2">
      <c r="A3142" t="s">
        <v>1</v>
      </c>
      <c r="B3142" t="str">
        <f>"15063879567"</f>
        <v>15063879567</v>
      </c>
      <c r="C3142" t="s">
        <v>1</v>
      </c>
      <c r="D3142" t="s">
        <v>1</v>
      </c>
      <c r="E3142" t="s">
        <v>1</v>
      </c>
      <c r="F3142" t="s">
        <v>0</v>
      </c>
      <c r="G3142" t="str">
        <f>"2018-10-18 08:12:18"</f>
        <v>2018-10-18 08:12:18</v>
      </c>
    </row>
    <row r="3143" spans="1:7" x14ac:dyDescent="0.2">
      <c r="A3143" t="s">
        <v>4598</v>
      </c>
      <c r="B3143" t="str">
        <f>"13535173955"</f>
        <v>13535173955</v>
      </c>
      <c r="C3143" t="str">
        <f>"450703198510242171"</f>
        <v>450703198510242171</v>
      </c>
      <c r="D3143" t="s">
        <v>1</v>
      </c>
      <c r="E3143" t="s">
        <v>1</v>
      </c>
      <c r="F3143" t="s">
        <v>0</v>
      </c>
      <c r="G3143" t="str">
        <f>"2018-10-25 15:08:51"</f>
        <v>2018-10-25 15:08:51</v>
      </c>
    </row>
    <row r="3144" spans="1:7" x14ac:dyDescent="0.2">
      <c r="A3144" t="s">
        <v>4599</v>
      </c>
      <c r="B3144" t="str">
        <f>"18851796478"</f>
        <v>18851796478</v>
      </c>
      <c r="C3144" t="str">
        <f>"320125197601224819"</f>
        <v>320125197601224819</v>
      </c>
      <c r="D3144" t="s">
        <v>1</v>
      </c>
      <c r="E3144" t="s">
        <v>1</v>
      </c>
      <c r="F3144" t="s">
        <v>0</v>
      </c>
      <c r="G3144" t="str">
        <f>"2018-10-18 08:12:49"</f>
        <v>2018-10-18 08:12:49</v>
      </c>
    </row>
    <row r="3145" spans="1:7" x14ac:dyDescent="0.2">
      <c r="A3145" t="s">
        <v>4600</v>
      </c>
      <c r="B3145" t="str">
        <f>"15858130366"</f>
        <v>15858130366</v>
      </c>
      <c r="C3145" t="str">
        <f>"330681199003183876"</f>
        <v>330681199003183876</v>
      </c>
      <c r="D3145" t="s">
        <v>1</v>
      </c>
      <c r="E3145" t="s">
        <v>1</v>
      </c>
      <c r="F3145" t="s">
        <v>0</v>
      </c>
      <c r="G3145" t="str">
        <f>"2018-10-18 14:18:07"</f>
        <v>2018-10-18 14:18:07</v>
      </c>
    </row>
    <row r="3146" spans="1:7" x14ac:dyDescent="0.2">
      <c r="A3146" t="s">
        <v>4601</v>
      </c>
      <c r="B3146" t="str">
        <f>"18202188392"</f>
        <v>18202188392</v>
      </c>
      <c r="C3146" t="str">
        <f>"37040619951008422X"</f>
        <v>37040619951008422X</v>
      </c>
      <c r="D3146" t="s">
        <v>1</v>
      </c>
      <c r="E3146" t="s">
        <v>1</v>
      </c>
      <c r="F3146" t="s">
        <v>0</v>
      </c>
      <c r="G3146" t="str">
        <f>"2018-10-18 07:54:12"</f>
        <v>2018-10-18 07:54:12</v>
      </c>
    </row>
    <row r="3147" spans="1:7" x14ac:dyDescent="0.2">
      <c r="A3147" t="s">
        <v>1</v>
      </c>
      <c r="B3147" t="str">
        <f>"18688679781"</f>
        <v>18688679781</v>
      </c>
      <c r="C3147" t="s">
        <v>1</v>
      </c>
      <c r="D3147" t="s">
        <v>1</v>
      </c>
      <c r="E3147" t="s">
        <v>1</v>
      </c>
      <c r="F3147" t="s">
        <v>0</v>
      </c>
      <c r="G3147" t="str">
        <f>"2018-10-18 07:43:40"</f>
        <v>2018-10-18 07:43:40</v>
      </c>
    </row>
    <row r="3148" spans="1:7" x14ac:dyDescent="0.2">
      <c r="A3148" t="s">
        <v>4602</v>
      </c>
      <c r="B3148" t="str">
        <f>"15592518666"</f>
        <v>15592518666</v>
      </c>
      <c r="C3148" t="str">
        <f>"612429199101043677"</f>
        <v>612429199101043677</v>
      </c>
      <c r="D3148" t="s">
        <v>1</v>
      </c>
      <c r="E3148" t="s">
        <v>1</v>
      </c>
      <c r="F3148" t="s">
        <v>0</v>
      </c>
      <c r="G3148" t="str">
        <f>"2018-10-18 07:44:33"</f>
        <v>2018-10-18 07:44:33</v>
      </c>
    </row>
    <row r="3149" spans="1:7" x14ac:dyDescent="0.2">
      <c r="A3149" t="s">
        <v>1</v>
      </c>
      <c r="B3149" t="str">
        <f>"18520177798"</f>
        <v>18520177798</v>
      </c>
      <c r="C3149" t="s">
        <v>1</v>
      </c>
      <c r="D3149" t="s">
        <v>1</v>
      </c>
      <c r="E3149" t="s">
        <v>1</v>
      </c>
      <c r="F3149" t="s">
        <v>0</v>
      </c>
      <c r="G3149" t="str">
        <f>"2018-10-18 07:42:02"</f>
        <v>2018-10-18 07:42:02</v>
      </c>
    </row>
    <row r="3150" spans="1:7" x14ac:dyDescent="0.2">
      <c r="A3150" t="s">
        <v>1</v>
      </c>
      <c r="B3150" t="str">
        <f>"15078331051"</f>
        <v>15078331051</v>
      </c>
      <c r="C3150" t="s">
        <v>1</v>
      </c>
      <c r="D3150" t="s">
        <v>1</v>
      </c>
      <c r="E3150" t="s">
        <v>1</v>
      </c>
      <c r="F3150" t="s">
        <v>0</v>
      </c>
      <c r="G3150" t="str">
        <f>"2018-10-18 07:41:46"</f>
        <v>2018-10-18 07:41:46</v>
      </c>
    </row>
    <row r="3151" spans="1:7" x14ac:dyDescent="0.2">
      <c r="A3151" t="s">
        <v>1</v>
      </c>
      <c r="B3151" t="str">
        <f>"18825591370"</f>
        <v>18825591370</v>
      </c>
      <c r="C3151" t="s">
        <v>1</v>
      </c>
      <c r="D3151" t="s">
        <v>1</v>
      </c>
      <c r="E3151" t="s">
        <v>1</v>
      </c>
      <c r="F3151" t="s">
        <v>0</v>
      </c>
      <c r="G3151" t="str">
        <f>"2018-10-18 07:38:50"</f>
        <v>2018-10-18 07:38:50</v>
      </c>
    </row>
    <row r="3152" spans="1:7" x14ac:dyDescent="0.2">
      <c r="A3152" t="s">
        <v>4603</v>
      </c>
      <c r="B3152" t="str">
        <f>"13452233002"</f>
        <v>13452233002</v>
      </c>
      <c r="C3152" t="str">
        <f>"513522197509030027"</f>
        <v>513522197509030027</v>
      </c>
      <c r="D3152" t="s">
        <v>4604</v>
      </c>
      <c r="E3152" t="s">
        <v>4605</v>
      </c>
      <c r="F3152" t="s">
        <v>0</v>
      </c>
      <c r="G3152" t="str">
        <f>"2018-10-18 07:38:01"</f>
        <v>2018-10-18 07:38:01</v>
      </c>
    </row>
    <row r="3153" spans="1:7" x14ac:dyDescent="0.2">
      <c r="A3153" t="s">
        <v>1</v>
      </c>
      <c r="B3153" t="str">
        <f>"18647894489"</f>
        <v>18647894489</v>
      </c>
      <c r="C3153" t="s">
        <v>1</v>
      </c>
      <c r="D3153" t="s">
        <v>1</v>
      </c>
      <c r="E3153" t="s">
        <v>1</v>
      </c>
      <c r="F3153" t="s">
        <v>0</v>
      </c>
      <c r="G3153" t="str">
        <f>"2018-10-18 07:31:00"</f>
        <v>2018-10-18 07:31:00</v>
      </c>
    </row>
    <row r="3154" spans="1:7" x14ac:dyDescent="0.2">
      <c r="A3154" t="s">
        <v>1</v>
      </c>
      <c r="B3154" t="str">
        <f>"18210052513"</f>
        <v>18210052513</v>
      </c>
      <c r="C3154" t="s">
        <v>1</v>
      </c>
      <c r="D3154" t="s">
        <v>1</v>
      </c>
      <c r="E3154" t="s">
        <v>1</v>
      </c>
      <c r="F3154" t="s">
        <v>0</v>
      </c>
      <c r="G3154" t="str">
        <f>"2018-10-18 07:30:37"</f>
        <v>2018-10-18 07:30:37</v>
      </c>
    </row>
    <row r="3155" spans="1:7" x14ac:dyDescent="0.2">
      <c r="A3155" t="s">
        <v>4606</v>
      </c>
      <c r="B3155" t="str">
        <f>"13316663648"</f>
        <v>13316663648</v>
      </c>
      <c r="C3155" t="str">
        <f>"441900197406116753"</f>
        <v>441900197406116753</v>
      </c>
      <c r="D3155" t="s">
        <v>1</v>
      </c>
      <c r="E3155" t="s">
        <v>1</v>
      </c>
      <c r="F3155" t="s">
        <v>0</v>
      </c>
      <c r="G3155" t="str">
        <f>"2018-10-21 13:19:37"</f>
        <v>2018-10-21 13:19:37</v>
      </c>
    </row>
    <row r="3156" spans="1:7" x14ac:dyDescent="0.2">
      <c r="A3156" t="s">
        <v>4607</v>
      </c>
      <c r="B3156" t="str">
        <f>"15891560492"</f>
        <v>15891560492</v>
      </c>
      <c r="C3156" t="str">
        <f>"610632198405111715"</f>
        <v>610632198405111715</v>
      </c>
      <c r="D3156" t="s">
        <v>1</v>
      </c>
      <c r="E3156" t="s">
        <v>1</v>
      </c>
      <c r="F3156" t="s">
        <v>0</v>
      </c>
      <c r="G3156" t="str">
        <f>"2018-10-18 07:17:30"</f>
        <v>2018-10-18 07:17:30</v>
      </c>
    </row>
    <row r="3157" spans="1:7" x14ac:dyDescent="0.2">
      <c r="A3157" t="s">
        <v>1</v>
      </c>
      <c r="B3157" t="str">
        <f>"18212360382"</f>
        <v>18212360382</v>
      </c>
      <c r="C3157" t="s">
        <v>1</v>
      </c>
      <c r="D3157" t="s">
        <v>1</v>
      </c>
      <c r="E3157" t="s">
        <v>1</v>
      </c>
      <c r="F3157" t="s">
        <v>0</v>
      </c>
      <c r="G3157" t="str">
        <f>"2018-10-18 07:10:44"</f>
        <v>2018-10-18 07:10:44</v>
      </c>
    </row>
    <row r="3158" spans="1:7" x14ac:dyDescent="0.2">
      <c r="A3158" t="s">
        <v>4608</v>
      </c>
      <c r="B3158" t="str">
        <f>"18815748796"</f>
        <v>18815748796</v>
      </c>
      <c r="C3158" t="str">
        <f>"340711199007172515"</f>
        <v>340711199007172515</v>
      </c>
      <c r="D3158" t="s">
        <v>1</v>
      </c>
      <c r="E3158" t="s">
        <v>1</v>
      </c>
      <c r="F3158" t="s">
        <v>0</v>
      </c>
      <c r="G3158" t="str">
        <f>"2018-10-18 06:54:18"</f>
        <v>2018-10-18 06:54:18</v>
      </c>
    </row>
    <row r="3159" spans="1:7" x14ac:dyDescent="0.2">
      <c r="A3159" t="s">
        <v>1</v>
      </c>
      <c r="B3159" t="str">
        <f>"13370326791"</f>
        <v>13370326791</v>
      </c>
      <c r="C3159" t="s">
        <v>1</v>
      </c>
      <c r="D3159" t="s">
        <v>1</v>
      </c>
      <c r="E3159" t="s">
        <v>1</v>
      </c>
      <c r="F3159" t="s">
        <v>0</v>
      </c>
      <c r="G3159" t="str">
        <f>"2018-10-18 06:52:28"</f>
        <v>2018-10-18 06:52:28</v>
      </c>
    </row>
    <row r="3160" spans="1:7" x14ac:dyDescent="0.2">
      <c r="A3160" t="s">
        <v>1</v>
      </c>
      <c r="B3160" t="str">
        <f>"15896065503"</f>
        <v>15896065503</v>
      </c>
      <c r="C3160" t="s">
        <v>1</v>
      </c>
      <c r="D3160" t="s">
        <v>1</v>
      </c>
      <c r="E3160" t="s">
        <v>1</v>
      </c>
      <c r="F3160" t="s">
        <v>0</v>
      </c>
      <c r="G3160" t="str">
        <f>"2018-10-18 06:44:24"</f>
        <v>2018-10-18 06:44:24</v>
      </c>
    </row>
    <row r="3161" spans="1:7" x14ac:dyDescent="0.2">
      <c r="A3161" t="s">
        <v>4609</v>
      </c>
      <c r="B3161" t="str">
        <f>"17634009701"</f>
        <v>17634009701</v>
      </c>
      <c r="C3161" t="str">
        <f>"142726199210161538"</f>
        <v>142726199210161538</v>
      </c>
      <c r="D3161" t="s">
        <v>4610</v>
      </c>
      <c r="E3161" t="s">
        <v>4611</v>
      </c>
      <c r="F3161" t="s">
        <v>0</v>
      </c>
      <c r="G3161" t="str">
        <f>"2018-10-18 11:08:46"</f>
        <v>2018-10-18 11:08:46</v>
      </c>
    </row>
    <row r="3162" spans="1:7" x14ac:dyDescent="0.2">
      <c r="A3162" t="s">
        <v>1</v>
      </c>
      <c r="B3162" t="str">
        <f>"18940397747"</f>
        <v>18940397747</v>
      </c>
      <c r="C3162" t="s">
        <v>1</v>
      </c>
      <c r="D3162" t="s">
        <v>1</v>
      </c>
      <c r="E3162" t="s">
        <v>1</v>
      </c>
      <c r="F3162" t="s">
        <v>0</v>
      </c>
      <c r="G3162" t="str">
        <f>"2018-10-18 06:33:50"</f>
        <v>2018-10-18 06:33:50</v>
      </c>
    </row>
    <row r="3163" spans="1:7" x14ac:dyDescent="0.2">
      <c r="A3163" t="s">
        <v>1</v>
      </c>
      <c r="B3163" t="str">
        <f>"15819493030"</f>
        <v>15819493030</v>
      </c>
      <c r="C3163" t="s">
        <v>1</v>
      </c>
      <c r="D3163" t="s">
        <v>1</v>
      </c>
      <c r="E3163" t="s">
        <v>1</v>
      </c>
      <c r="F3163" t="s">
        <v>0</v>
      </c>
      <c r="G3163" t="str">
        <f>"2018-10-18 06:30:52"</f>
        <v>2018-10-18 06:30:52</v>
      </c>
    </row>
    <row r="3164" spans="1:7" x14ac:dyDescent="0.2">
      <c r="A3164" t="s">
        <v>1</v>
      </c>
      <c r="B3164" t="str">
        <f>"17687403303"</f>
        <v>17687403303</v>
      </c>
      <c r="C3164" t="s">
        <v>1</v>
      </c>
      <c r="D3164" t="s">
        <v>1</v>
      </c>
      <c r="E3164" t="s">
        <v>1</v>
      </c>
      <c r="F3164" t="s">
        <v>0</v>
      </c>
      <c r="G3164" t="str">
        <f>"2018-10-18 06:22:56"</f>
        <v>2018-10-18 06:22:56</v>
      </c>
    </row>
    <row r="3165" spans="1:7" x14ac:dyDescent="0.2">
      <c r="A3165" t="s">
        <v>4612</v>
      </c>
      <c r="B3165" t="str">
        <f>"18304918720"</f>
        <v>18304918720</v>
      </c>
      <c r="C3165" t="str">
        <f>"150404199304026017"</f>
        <v>150404199304026017</v>
      </c>
      <c r="D3165" t="s">
        <v>4613</v>
      </c>
      <c r="E3165" t="s">
        <v>4614</v>
      </c>
      <c r="F3165" t="s">
        <v>0</v>
      </c>
      <c r="G3165" t="str">
        <f>"2018-10-18 06:09:27"</f>
        <v>2018-10-18 06:09:27</v>
      </c>
    </row>
    <row r="3166" spans="1:7" x14ac:dyDescent="0.2">
      <c r="A3166" t="s">
        <v>4615</v>
      </c>
      <c r="B3166" t="str">
        <f>"15280258523"</f>
        <v>15280258523</v>
      </c>
      <c r="C3166" t="str">
        <f>"360313199104294017"</f>
        <v>360313199104294017</v>
      </c>
      <c r="D3166" t="s">
        <v>1</v>
      </c>
      <c r="E3166" t="s">
        <v>1</v>
      </c>
      <c r="F3166" t="s">
        <v>0</v>
      </c>
      <c r="G3166" t="str">
        <f>"2018-10-18 05:46:13"</f>
        <v>2018-10-18 05:46:13</v>
      </c>
    </row>
    <row r="3167" spans="1:7" x14ac:dyDescent="0.2">
      <c r="A3167" t="s">
        <v>1</v>
      </c>
      <c r="B3167" t="str">
        <f>"15929388554"</f>
        <v>15929388554</v>
      </c>
      <c r="C3167" t="s">
        <v>1</v>
      </c>
      <c r="D3167" t="s">
        <v>1</v>
      </c>
      <c r="E3167" t="s">
        <v>1</v>
      </c>
      <c r="F3167" t="s">
        <v>0</v>
      </c>
      <c r="G3167" t="str">
        <f>"2018-10-18 05:43:36"</f>
        <v>2018-10-18 05:43:36</v>
      </c>
    </row>
    <row r="3168" spans="1:7" x14ac:dyDescent="0.2">
      <c r="A3168" t="s">
        <v>4616</v>
      </c>
      <c r="B3168" t="str">
        <f>"15842655456"</f>
        <v>15842655456</v>
      </c>
      <c r="C3168" t="str">
        <f>"22018119830324715X"</f>
        <v>22018119830324715X</v>
      </c>
      <c r="D3168" t="s">
        <v>1</v>
      </c>
      <c r="E3168" t="s">
        <v>1</v>
      </c>
      <c r="F3168" t="s">
        <v>0</v>
      </c>
      <c r="G3168" t="str">
        <f>"2018-10-18 05:33:00"</f>
        <v>2018-10-18 05:33:00</v>
      </c>
    </row>
    <row r="3169" spans="1:7" x14ac:dyDescent="0.2">
      <c r="A3169" t="s">
        <v>4617</v>
      </c>
      <c r="B3169" t="str">
        <f>"15106463777"</f>
        <v>15106463777</v>
      </c>
      <c r="C3169" t="str">
        <f>"130726198404231313"</f>
        <v>130726198404231313</v>
      </c>
      <c r="D3169" t="s">
        <v>1</v>
      </c>
      <c r="E3169" t="s">
        <v>1</v>
      </c>
      <c r="F3169" t="s">
        <v>0</v>
      </c>
      <c r="G3169" t="str">
        <f>"2018-10-18 05:14:46"</f>
        <v>2018-10-18 05:14:46</v>
      </c>
    </row>
    <row r="3170" spans="1:7" x14ac:dyDescent="0.2">
      <c r="A3170" t="s">
        <v>4618</v>
      </c>
      <c r="B3170" t="str">
        <f>"13810745529"</f>
        <v>13810745529</v>
      </c>
      <c r="C3170" t="str">
        <f>"140303198606030013"</f>
        <v>140303198606030013</v>
      </c>
      <c r="D3170" t="s">
        <v>4619</v>
      </c>
      <c r="E3170" t="s">
        <v>4620</v>
      </c>
      <c r="F3170" t="s">
        <v>0</v>
      </c>
      <c r="G3170" t="str">
        <f>"2018-10-25 08:24:05"</f>
        <v>2018-10-25 08:24:05</v>
      </c>
    </row>
    <row r="3171" spans="1:7" x14ac:dyDescent="0.2">
      <c r="A3171" t="s">
        <v>1</v>
      </c>
      <c r="B3171" t="str">
        <f>"18312178456"</f>
        <v>18312178456</v>
      </c>
      <c r="C3171" t="s">
        <v>1</v>
      </c>
      <c r="D3171" t="s">
        <v>1</v>
      </c>
      <c r="E3171" t="s">
        <v>1</v>
      </c>
      <c r="F3171" t="s">
        <v>0</v>
      </c>
      <c r="G3171" t="str">
        <f>"2018-10-18 05:05:25"</f>
        <v>2018-10-18 05:05:25</v>
      </c>
    </row>
    <row r="3172" spans="1:7" x14ac:dyDescent="0.2">
      <c r="A3172" t="s">
        <v>4621</v>
      </c>
      <c r="B3172" t="str">
        <f>"18952575234"</f>
        <v>18952575234</v>
      </c>
      <c r="C3172" t="str">
        <f>"321302198910082019"</f>
        <v>321302198910082019</v>
      </c>
      <c r="D3172" t="s">
        <v>1</v>
      </c>
      <c r="E3172" t="s">
        <v>1</v>
      </c>
      <c r="F3172" t="s">
        <v>0</v>
      </c>
      <c r="G3172" t="str">
        <f>"2018-10-19 00:22:11"</f>
        <v>2018-10-19 00:22:11</v>
      </c>
    </row>
    <row r="3173" spans="1:7" x14ac:dyDescent="0.2">
      <c r="A3173" t="s">
        <v>4622</v>
      </c>
      <c r="B3173" t="str">
        <f>"13657617627"</f>
        <v>13657617627</v>
      </c>
      <c r="C3173" t="str">
        <f>"500223199102194833"</f>
        <v>500223199102194833</v>
      </c>
      <c r="D3173" t="s">
        <v>4623</v>
      </c>
      <c r="E3173" t="s">
        <v>4624</v>
      </c>
      <c r="F3173" t="s">
        <v>0</v>
      </c>
      <c r="G3173" t="str">
        <f>"2018-10-18 04:55:21"</f>
        <v>2018-10-18 04:55:21</v>
      </c>
    </row>
    <row r="3174" spans="1:7" x14ac:dyDescent="0.2">
      <c r="A3174" t="s">
        <v>4625</v>
      </c>
      <c r="B3174" t="str">
        <f>"13545025455"</f>
        <v>13545025455</v>
      </c>
      <c r="C3174" t="str">
        <f>"420101198803258029"</f>
        <v>420101198803258029</v>
      </c>
      <c r="D3174" t="s">
        <v>1</v>
      </c>
      <c r="E3174" t="s">
        <v>1</v>
      </c>
      <c r="F3174" t="s">
        <v>0</v>
      </c>
      <c r="G3174" t="str">
        <f>"2018-10-18 05:18:02"</f>
        <v>2018-10-18 05:18:02</v>
      </c>
    </row>
    <row r="3175" spans="1:7" x14ac:dyDescent="0.2">
      <c r="A3175" t="s">
        <v>4626</v>
      </c>
      <c r="B3175" t="str">
        <f>"18270830926"</f>
        <v>18270830926</v>
      </c>
      <c r="C3175" t="str">
        <f>"360101198309266182"</f>
        <v>360101198309266182</v>
      </c>
      <c r="D3175" t="s">
        <v>1</v>
      </c>
      <c r="E3175" t="s">
        <v>1</v>
      </c>
      <c r="F3175" t="s">
        <v>0</v>
      </c>
      <c r="G3175" t="str">
        <f>"2018-10-18 04:33:52"</f>
        <v>2018-10-18 04:33:52</v>
      </c>
    </row>
    <row r="3176" spans="1:7" x14ac:dyDescent="0.2">
      <c r="A3176" t="s">
        <v>4627</v>
      </c>
      <c r="B3176" t="str">
        <f>"15182172494"</f>
        <v>15182172494</v>
      </c>
      <c r="C3176" t="str">
        <f>"513902199706123439"</f>
        <v>513902199706123439</v>
      </c>
      <c r="D3176" t="s">
        <v>1</v>
      </c>
      <c r="E3176" t="s">
        <v>1</v>
      </c>
      <c r="F3176" t="s">
        <v>0</v>
      </c>
      <c r="G3176" t="str">
        <f>"2018-10-18 14:19:40"</f>
        <v>2018-10-18 14:19:40</v>
      </c>
    </row>
    <row r="3177" spans="1:7" x14ac:dyDescent="0.2">
      <c r="A3177" t="s">
        <v>1</v>
      </c>
      <c r="B3177" t="str">
        <f>"15241145706"</f>
        <v>15241145706</v>
      </c>
      <c r="C3177" t="s">
        <v>1</v>
      </c>
      <c r="D3177" t="s">
        <v>1</v>
      </c>
      <c r="E3177" t="s">
        <v>1</v>
      </c>
      <c r="F3177" t="s">
        <v>0</v>
      </c>
      <c r="G3177" t="str">
        <f>"2018-10-18 04:06:45"</f>
        <v>2018-10-18 04:06:45</v>
      </c>
    </row>
    <row r="3178" spans="1:7" x14ac:dyDescent="0.2">
      <c r="A3178" t="s">
        <v>1</v>
      </c>
      <c r="B3178" t="str">
        <f>"18863889525"</f>
        <v>18863889525</v>
      </c>
      <c r="C3178" t="s">
        <v>1</v>
      </c>
      <c r="D3178" t="s">
        <v>1</v>
      </c>
      <c r="E3178" t="s">
        <v>1</v>
      </c>
      <c r="F3178" t="s">
        <v>0</v>
      </c>
      <c r="G3178" t="str">
        <f>"2018-10-18 03:55:28"</f>
        <v>2018-10-18 03:55:28</v>
      </c>
    </row>
    <row r="3179" spans="1:7" x14ac:dyDescent="0.2">
      <c r="A3179" t="s">
        <v>4628</v>
      </c>
      <c r="B3179" t="str">
        <f>"13871080391"</f>
        <v>13871080391</v>
      </c>
      <c r="C3179" t="str">
        <f>"420105198503090012"</f>
        <v>420105198503090012</v>
      </c>
      <c r="D3179" t="s">
        <v>1</v>
      </c>
      <c r="E3179" t="s">
        <v>1</v>
      </c>
      <c r="F3179" t="s">
        <v>0</v>
      </c>
      <c r="G3179" t="str">
        <f>"2018-10-18 03:54:46"</f>
        <v>2018-10-18 03:54:46</v>
      </c>
    </row>
    <row r="3180" spans="1:7" x14ac:dyDescent="0.2">
      <c r="A3180" t="s">
        <v>1</v>
      </c>
      <c r="B3180" t="str">
        <f>"17305453375"</f>
        <v>17305453375</v>
      </c>
      <c r="C3180" t="s">
        <v>1</v>
      </c>
      <c r="D3180" t="s">
        <v>1</v>
      </c>
      <c r="E3180" t="s">
        <v>1</v>
      </c>
      <c r="F3180" t="s">
        <v>0</v>
      </c>
      <c r="G3180" t="str">
        <f>"2018-10-18 03:59:25"</f>
        <v>2018-10-18 03:59:25</v>
      </c>
    </row>
    <row r="3181" spans="1:7" x14ac:dyDescent="0.2">
      <c r="A3181" t="s">
        <v>1</v>
      </c>
      <c r="B3181" t="str">
        <f>"17686971744"</f>
        <v>17686971744</v>
      </c>
      <c r="C3181" t="s">
        <v>1</v>
      </c>
      <c r="D3181" t="s">
        <v>1</v>
      </c>
      <c r="E3181" t="s">
        <v>1</v>
      </c>
      <c r="F3181" t="s">
        <v>0</v>
      </c>
      <c r="G3181" t="str">
        <f>"2018-10-18 03:48:05"</f>
        <v>2018-10-18 03:48:05</v>
      </c>
    </row>
    <row r="3182" spans="1:7" x14ac:dyDescent="0.2">
      <c r="A3182" t="s">
        <v>4629</v>
      </c>
      <c r="B3182" t="str">
        <f>"18728895105"</f>
        <v>18728895105</v>
      </c>
      <c r="C3182" t="str">
        <f>"511132199508180013"</f>
        <v>511132199508180013</v>
      </c>
      <c r="D3182" t="s">
        <v>4630</v>
      </c>
      <c r="E3182" t="s">
        <v>4631</v>
      </c>
      <c r="F3182" t="s">
        <v>0</v>
      </c>
      <c r="G3182" t="str">
        <f>"2018-10-18 07:21:22"</f>
        <v>2018-10-18 07:21:22</v>
      </c>
    </row>
    <row r="3183" spans="1:7" x14ac:dyDescent="0.2">
      <c r="A3183" t="s">
        <v>4632</v>
      </c>
      <c r="B3183" t="str">
        <f>"13855135015"</f>
        <v>13855135015</v>
      </c>
      <c r="C3183" t="str">
        <f>"341126198902225634"</f>
        <v>341126198902225634</v>
      </c>
      <c r="D3183" t="s">
        <v>4633</v>
      </c>
      <c r="E3183" t="s">
        <v>4634</v>
      </c>
      <c r="F3183" t="s">
        <v>0</v>
      </c>
      <c r="G3183" t="str">
        <f>"2018-10-18 03:23:30"</f>
        <v>2018-10-18 03:23:30</v>
      </c>
    </row>
    <row r="3184" spans="1:7" x14ac:dyDescent="0.2">
      <c r="A3184" t="s">
        <v>1</v>
      </c>
      <c r="B3184" t="str">
        <f>"17808561505"</f>
        <v>17808561505</v>
      </c>
      <c r="C3184" t="s">
        <v>1</v>
      </c>
      <c r="D3184" t="s">
        <v>1</v>
      </c>
      <c r="E3184" t="s">
        <v>1</v>
      </c>
      <c r="F3184" t="s">
        <v>0</v>
      </c>
      <c r="G3184" t="str">
        <f>"2018-10-18 03:18:41"</f>
        <v>2018-10-18 03:18:41</v>
      </c>
    </row>
    <row r="3185" spans="1:7" x14ac:dyDescent="0.2">
      <c r="A3185" t="s">
        <v>4635</v>
      </c>
      <c r="B3185" t="str">
        <f>"15125302264"</f>
        <v>15125302264</v>
      </c>
      <c r="C3185" t="str">
        <f>"530602199712254229"</f>
        <v>530602199712254229</v>
      </c>
      <c r="D3185" t="s">
        <v>1</v>
      </c>
      <c r="E3185" t="s">
        <v>1</v>
      </c>
      <c r="F3185" t="s">
        <v>0</v>
      </c>
      <c r="G3185" t="str">
        <f>"2018-10-18 03:13:17"</f>
        <v>2018-10-18 03:13:17</v>
      </c>
    </row>
    <row r="3186" spans="1:7" x14ac:dyDescent="0.2">
      <c r="A3186" t="s">
        <v>4636</v>
      </c>
      <c r="B3186" t="str">
        <f>"18667300702"</f>
        <v>18667300702</v>
      </c>
      <c r="C3186" t="str">
        <f>"431022199602024211"</f>
        <v>431022199602024211</v>
      </c>
      <c r="D3186" t="s">
        <v>1</v>
      </c>
      <c r="E3186" t="s">
        <v>1</v>
      </c>
      <c r="F3186" t="s">
        <v>0</v>
      </c>
      <c r="G3186" t="str">
        <f>"2018-10-18 03:05:15"</f>
        <v>2018-10-18 03:05:15</v>
      </c>
    </row>
    <row r="3187" spans="1:7" x14ac:dyDescent="0.2">
      <c r="A3187" t="s">
        <v>4637</v>
      </c>
      <c r="B3187" t="str">
        <f>"13588369668"</f>
        <v>13588369668</v>
      </c>
      <c r="C3187" t="str">
        <f>"330126197003160016"</f>
        <v>330126197003160016</v>
      </c>
      <c r="D3187" t="s">
        <v>1</v>
      </c>
      <c r="E3187" t="s">
        <v>1</v>
      </c>
      <c r="F3187" t="s">
        <v>0</v>
      </c>
      <c r="G3187" t="str">
        <f>"2018-10-18 03:02:49"</f>
        <v>2018-10-18 03:02:49</v>
      </c>
    </row>
    <row r="3188" spans="1:7" x14ac:dyDescent="0.2">
      <c r="A3188" t="s">
        <v>4638</v>
      </c>
      <c r="B3188" t="str">
        <f>"18660358218"</f>
        <v>18660358218</v>
      </c>
      <c r="C3188" t="str">
        <f>"371083199206209018"</f>
        <v>371083199206209018</v>
      </c>
      <c r="D3188" t="s">
        <v>1</v>
      </c>
      <c r="E3188" t="s">
        <v>1</v>
      </c>
      <c r="F3188" t="s">
        <v>0</v>
      </c>
      <c r="G3188" t="str">
        <f>"2018-10-18 15:27:56"</f>
        <v>2018-10-18 15:27:56</v>
      </c>
    </row>
    <row r="3189" spans="1:7" x14ac:dyDescent="0.2">
      <c r="A3189" t="s">
        <v>4639</v>
      </c>
      <c r="B3189" t="str">
        <f>"18378446046"</f>
        <v>18378446046</v>
      </c>
      <c r="C3189" t="str">
        <f>"452424198908251999"</f>
        <v>452424198908251999</v>
      </c>
      <c r="D3189" t="s">
        <v>1</v>
      </c>
      <c r="E3189" t="s">
        <v>1</v>
      </c>
      <c r="F3189" t="s">
        <v>0</v>
      </c>
      <c r="G3189" t="str">
        <f>"2018-10-18 02:55:30"</f>
        <v>2018-10-18 02:55:30</v>
      </c>
    </row>
    <row r="3190" spans="1:7" x14ac:dyDescent="0.2">
      <c r="A3190" t="s">
        <v>4640</v>
      </c>
      <c r="B3190" t="str">
        <f>"18360606772"</f>
        <v>18360606772</v>
      </c>
      <c r="C3190" t="str">
        <f>"320721199403080216"</f>
        <v>320721199403080216</v>
      </c>
      <c r="D3190" t="s">
        <v>1</v>
      </c>
      <c r="E3190" t="s">
        <v>1</v>
      </c>
      <c r="F3190" t="s">
        <v>0</v>
      </c>
      <c r="G3190" t="str">
        <f>"2018-10-18 02:51:22"</f>
        <v>2018-10-18 02:51:22</v>
      </c>
    </row>
    <row r="3191" spans="1:7" x14ac:dyDescent="0.2">
      <c r="A3191" t="s">
        <v>4641</v>
      </c>
      <c r="B3191" t="str">
        <f>"18309011142"</f>
        <v>18309011142</v>
      </c>
      <c r="C3191" t="str">
        <f>"654221199908201223"</f>
        <v>654221199908201223</v>
      </c>
      <c r="D3191" t="s">
        <v>1</v>
      </c>
      <c r="E3191" t="s">
        <v>1</v>
      </c>
      <c r="F3191" t="s">
        <v>0</v>
      </c>
      <c r="G3191" t="str">
        <f>"2018-10-18 02:49:00"</f>
        <v>2018-10-18 02:49:00</v>
      </c>
    </row>
    <row r="3192" spans="1:7" x14ac:dyDescent="0.2">
      <c r="A3192" t="s">
        <v>1320</v>
      </c>
      <c r="B3192" t="str">
        <f>"13683458836"</f>
        <v>13683458836</v>
      </c>
      <c r="C3192" t="str">
        <f>"510112198910146015"</f>
        <v>510112198910146015</v>
      </c>
      <c r="D3192" t="s">
        <v>4642</v>
      </c>
      <c r="E3192" t="s">
        <v>4643</v>
      </c>
      <c r="F3192" t="s">
        <v>0</v>
      </c>
      <c r="G3192" t="str">
        <f>"2018-10-18 03:11:29"</f>
        <v>2018-10-18 03:11:29</v>
      </c>
    </row>
    <row r="3193" spans="1:7" x14ac:dyDescent="0.2">
      <c r="A3193" t="s">
        <v>1</v>
      </c>
      <c r="B3193" t="str">
        <f>"18796597212"</f>
        <v>18796597212</v>
      </c>
      <c r="C3193" t="s">
        <v>1</v>
      </c>
      <c r="D3193" t="s">
        <v>1</v>
      </c>
      <c r="E3193" t="s">
        <v>1</v>
      </c>
      <c r="F3193" t="s">
        <v>0</v>
      </c>
      <c r="G3193" t="str">
        <f>"2018-10-18 02:37:33"</f>
        <v>2018-10-18 02:37:33</v>
      </c>
    </row>
    <row r="3194" spans="1:7" x14ac:dyDescent="0.2">
      <c r="A3194" t="s">
        <v>1</v>
      </c>
      <c r="B3194" t="str">
        <f>"13687765067"</f>
        <v>13687765067</v>
      </c>
      <c r="C3194" t="s">
        <v>1</v>
      </c>
      <c r="D3194" t="s">
        <v>1</v>
      </c>
      <c r="E3194" t="s">
        <v>1</v>
      </c>
      <c r="F3194" t="s">
        <v>0</v>
      </c>
      <c r="G3194" t="str">
        <f>"2018-10-18 02:37:10"</f>
        <v>2018-10-18 02:37:10</v>
      </c>
    </row>
    <row r="3195" spans="1:7" x14ac:dyDescent="0.2">
      <c r="A3195" t="s">
        <v>4644</v>
      </c>
      <c r="B3195" t="str">
        <f>"18971134445"</f>
        <v>18971134445</v>
      </c>
      <c r="C3195" t="str">
        <f>"420603197206160010"</f>
        <v>420603197206160010</v>
      </c>
      <c r="D3195" t="s">
        <v>4645</v>
      </c>
      <c r="E3195" t="s">
        <v>4646</v>
      </c>
      <c r="F3195" t="s">
        <v>0</v>
      </c>
      <c r="G3195" t="str">
        <f>"2018-10-19 01:32:45"</f>
        <v>2018-10-19 01:32:45</v>
      </c>
    </row>
    <row r="3196" spans="1:7" x14ac:dyDescent="0.2">
      <c r="A3196" t="s">
        <v>4647</v>
      </c>
      <c r="B3196" t="str">
        <f>"17325420101"</f>
        <v>17325420101</v>
      </c>
      <c r="C3196" t="str">
        <f>"371002198808287010"</f>
        <v>371002198808287010</v>
      </c>
      <c r="D3196" t="s">
        <v>1</v>
      </c>
      <c r="E3196" t="s">
        <v>1</v>
      </c>
      <c r="F3196" t="s">
        <v>0</v>
      </c>
      <c r="G3196" t="str">
        <f>"2018-10-18 02:33:55"</f>
        <v>2018-10-18 02:33:55</v>
      </c>
    </row>
    <row r="3197" spans="1:7" x14ac:dyDescent="0.2">
      <c r="A3197" t="s">
        <v>4648</v>
      </c>
      <c r="B3197" t="str">
        <f>"13982156235"</f>
        <v>13982156235</v>
      </c>
      <c r="C3197" t="str">
        <f>"51012119821126326X"</f>
        <v>51012119821126326X</v>
      </c>
      <c r="D3197" t="s">
        <v>4649</v>
      </c>
      <c r="E3197" t="s">
        <v>4650</v>
      </c>
      <c r="F3197" t="s">
        <v>0</v>
      </c>
      <c r="G3197" t="str">
        <f>"2018-10-18 03:07:53"</f>
        <v>2018-10-18 03:07:53</v>
      </c>
    </row>
    <row r="3198" spans="1:7" x14ac:dyDescent="0.2">
      <c r="A3198" t="s">
        <v>1411</v>
      </c>
      <c r="B3198" t="str">
        <f>"17634015099"</f>
        <v>17634015099</v>
      </c>
      <c r="C3198" t="str">
        <f>"142703199508091531"</f>
        <v>142703199508091531</v>
      </c>
      <c r="D3198" t="s">
        <v>1</v>
      </c>
      <c r="E3198" t="s">
        <v>1</v>
      </c>
      <c r="F3198" t="s">
        <v>0</v>
      </c>
      <c r="G3198" t="str">
        <f>"2018-10-18 08:53:53"</f>
        <v>2018-10-18 08:53:53</v>
      </c>
    </row>
    <row r="3199" spans="1:7" x14ac:dyDescent="0.2">
      <c r="A3199" t="s">
        <v>4651</v>
      </c>
      <c r="B3199" t="str">
        <f>"18526063690"</f>
        <v>18526063690</v>
      </c>
      <c r="C3199" t="str">
        <f>"120107196906173915"</f>
        <v>120107196906173915</v>
      </c>
      <c r="D3199" t="s">
        <v>1</v>
      </c>
      <c r="E3199" t="s">
        <v>1</v>
      </c>
      <c r="F3199" t="s">
        <v>0</v>
      </c>
      <c r="G3199" t="str">
        <f>"2018-10-18 02:29:48"</f>
        <v>2018-10-18 02:29:48</v>
      </c>
    </row>
    <row r="3200" spans="1:7" x14ac:dyDescent="0.2">
      <c r="A3200" t="s">
        <v>4652</v>
      </c>
      <c r="B3200" t="str">
        <f>"15391265010"</f>
        <v>15391265010</v>
      </c>
      <c r="C3200" t="str">
        <f>"152728199409220026"</f>
        <v>152728199409220026</v>
      </c>
      <c r="D3200" t="s">
        <v>1</v>
      </c>
      <c r="E3200" t="s">
        <v>1</v>
      </c>
      <c r="F3200" t="s">
        <v>0</v>
      </c>
      <c r="G3200" t="str">
        <f>"2018-10-18 12:48:58"</f>
        <v>2018-10-18 12:48:58</v>
      </c>
    </row>
    <row r="3201" spans="1:7" x14ac:dyDescent="0.2">
      <c r="A3201" t="s">
        <v>4653</v>
      </c>
      <c r="B3201" t="str">
        <f>"15105891234"</f>
        <v>15105891234</v>
      </c>
      <c r="C3201" t="str">
        <f>"420881198905044419"</f>
        <v>420881198905044419</v>
      </c>
      <c r="D3201" t="s">
        <v>4654</v>
      </c>
      <c r="E3201" t="s">
        <v>4655</v>
      </c>
      <c r="F3201" t="s">
        <v>0</v>
      </c>
      <c r="G3201" t="str">
        <f>"2018-10-18 02:19:04"</f>
        <v>2018-10-18 02:19:04</v>
      </c>
    </row>
    <row r="3202" spans="1:7" x14ac:dyDescent="0.2">
      <c r="A3202" t="s">
        <v>1</v>
      </c>
      <c r="B3202" t="str">
        <f>"13419021386"</f>
        <v>13419021386</v>
      </c>
      <c r="C3202" t="s">
        <v>1</v>
      </c>
      <c r="D3202" t="s">
        <v>1</v>
      </c>
      <c r="E3202" t="s">
        <v>1</v>
      </c>
      <c r="F3202" t="s">
        <v>0</v>
      </c>
      <c r="G3202" t="str">
        <f>"2018-10-18 02:18:41"</f>
        <v>2018-10-18 02:18:41</v>
      </c>
    </row>
    <row r="3203" spans="1:7" x14ac:dyDescent="0.2">
      <c r="A3203" t="s">
        <v>4656</v>
      </c>
      <c r="B3203" t="str">
        <f>"15891141956"</f>
        <v>15891141956</v>
      </c>
      <c r="C3203" t="str">
        <f>"610628198810082917"</f>
        <v>610628198810082917</v>
      </c>
      <c r="D3203" t="s">
        <v>4657</v>
      </c>
      <c r="E3203" t="s">
        <v>4657</v>
      </c>
      <c r="F3203" t="s">
        <v>0</v>
      </c>
      <c r="G3203" t="str">
        <f>"2018-10-18 02:19:58"</f>
        <v>2018-10-18 02:19:58</v>
      </c>
    </row>
    <row r="3204" spans="1:7" x14ac:dyDescent="0.2">
      <c r="A3204" t="s">
        <v>1</v>
      </c>
      <c r="B3204" t="str">
        <f>"18374838089"</f>
        <v>18374838089</v>
      </c>
      <c r="C3204" t="s">
        <v>1</v>
      </c>
      <c r="D3204" t="s">
        <v>1</v>
      </c>
      <c r="E3204" t="s">
        <v>1</v>
      </c>
      <c r="F3204" t="s">
        <v>0</v>
      </c>
      <c r="G3204" t="str">
        <f>"2018-10-18 02:12:26"</f>
        <v>2018-10-18 02:12:26</v>
      </c>
    </row>
    <row r="3205" spans="1:7" x14ac:dyDescent="0.2">
      <c r="A3205" t="s">
        <v>4658</v>
      </c>
      <c r="B3205" t="str">
        <f>"15235467846"</f>
        <v>15235467846</v>
      </c>
      <c r="C3205" t="str">
        <f>"140723199803140037"</f>
        <v>140723199803140037</v>
      </c>
      <c r="D3205" t="s">
        <v>1</v>
      </c>
      <c r="E3205" t="s">
        <v>1</v>
      </c>
      <c r="F3205" t="s">
        <v>0</v>
      </c>
      <c r="G3205" t="str">
        <f>"2018-10-18 02:05:26"</f>
        <v>2018-10-18 02:05:26</v>
      </c>
    </row>
    <row r="3206" spans="1:7" x14ac:dyDescent="0.2">
      <c r="A3206" t="s">
        <v>754</v>
      </c>
      <c r="B3206" t="str">
        <f>"15883906414"</f>
        <v>15883906414</v>
      </c>
      <c r="C3206" t="str">
        <f>"510821198308160038"</f>
        <v>510821198308160038</v>
      </c>
      <c r="D3206" t="s">
        <v>1</v>
      </c>
      <c r="E3206" t="s">
        <v>1</v>
      </c>
      <c r="F3206" t="s">
        <v>0</v>
      </c>
      <c r="G3206" t="str">
        <f>"2018-10-18 02:06:16"</f>
        <v>2018-10-18 02:06:16</v>
      </c>
    </row>
    <row r="3207" spans="1:7" x14ac:dyDescent="0.2">
      <c r="A3207" t="s">
        <v>4659</v>
      </c>
      <c r="B3207" t="str">
        <f>"17808766425"</f>
        <v>17808766425</v>
      </c>
      <c r="C3207" t="str">
        <f>"532626199105262115"</f>
        <v>532626199105262115</v>
      </c>
      <c r="D3207" t="s">
        <v>1</v>
      </c>
      <c r="E3207" t="s">
        <v>1</v>
      </c>
      <c r="F3207" t="s">
        <v>0</v>
      </c>
      <c r="G3207" t="str">
        <f>"2018-11-03 00:31:28"</f>
        <v>2018-11-03 00:31:28</v>
      </c>
    </row>
    <row r="3208" spans="1:7" x14ac:dyDescent="0.2">
      <c r="A3208" t="s">
        <v>1</v>
      </c>
      <c r="B3208" t="str">
        <f>"15875979229"</f>
        <v>15875979229</v>
      </c>
      <c r="C3208" t="s">
        <v>1</v>
      </c>
      <c r="D3208" t="s">
        <v>1</v>
      </c>
      <c r="E3208" t="s">
        <v>1</v>
      </c>
      <c r="F3208" t="s">
        <v>0</v>
      </c>
      <c r="G3208" t="str">
        <f>"2018-10-18 01:52:51"</f>
        <v>2018-10-18 01:52:51</v>
      </c>
    </row>
    <row r="3209" spans="1:7" x14ac:dyDescent="0.2">
      <c r="A3209" t="s">
        <v>1</v>
      </c>
      <c r="B3209" t="str">
        <f>"18359731552"</f>
        <v>18359731552</v>
      </c>
      <c r="C3209" t="s">
        <v>1</v>
      </c>
      <c r="D3209" t="s">
        <v>1</v>
      </c>
      <c r="E3209" t="s">
        <v>1</v>
      </c>
      <c r="F3209" t="s">
        <v>0</v>
      </c>
      <c r="G3209" t="str">
        <f>"2018-10-18 10:26:00"</f>
        <v>2018-10-18 10:26:00</v>
      </c>
    </row>
    <row r="3210" spans="1:7" x14ac:dyDescent="0.2">
      <c r="A3210" t="s">
        <v>1</v>
      </c>
      <c r="B3210" t="str">
        <f>"15512907612"</f>
        <v>15512907612</v>
      </c>
      <c r="C3210" t="s">
        <v>1</v>
      </c>
      <c r="D3210" t="s">
        <v>1</v>
      </c>
      <c r="E3210" t="s">
        <v>1</v>
      </c>
      <c r="F3210" t="s">
        <v>0</v>
      </c>
      <c r="G3210" t="str">
        <f>"2018-10-18 01:48:59"</f>
        <v>2018-10-18 01:48:59</v>
      </c>
    </row>
    <row r="3211" spans="1:7" x14ac:dyDescent="0.2">
      <c r="A3211" t="s">
        <v>4660</v>
      </c>
      <c r="B3211" t="str">
        <f>"13857654336"</f>
        <v>13857654336</v>
      </c>
      <c r="C3211" t="str">
        <f>"331082198802035837"</f>
        <v>331082198802035837</v>
      </c>
      <c r="D3211" t="s">
        <v>1</v>
      </c>
      <c r="E3211" t="s">
        <v>1</v>
      </c>
      <c r="F3211" t="s">
        <v>0</v>
      </c>
      <c r="G3211" t="str">
        <f>"2018-10-18 01:41:53"</f>
        <v>2018-10-18 01:41:53</v>
      </c>
    </row>
    <row r="3212" spans="1:7" x14ac:dyDescent="0.2">
      <c r="A3212" t="s">
        <v>1</v>
      </c>
      <c r="B3212" t="str">
        <f>"18819878132"</f>
        <v>18819878132</v>
      </c>
      <c r="C3212" t="s">
        <v>1</v>
      </c>
      <c r="D3212" t="s">
        <v>1</v>
      </c>
      <c r="E3212" t="s">
        <v>1</v>
      </c>
      <c r="F3212" t="s">
        <v>0</v>
      </c>
      <c r="G3212" t="str">
        <f>"2018-10-18 01:36:53"</f>
        <v>2018-10-18 01:36:53</v>
      </c>
    </row>
    <row r="3213" spans="1:7" x14ac:dyDescent="0.2">
      <c r="A3213" t="s">
        <v>4661</v>
      </c>
      <c r="B3213" t="str">
        <f>"18999001882"</f>
        <v>18999001882</v>
      </c>
      <c r="C3213" t="str">
        <f>"652822198705170618"</f>
        <v>652822198705170618</v>
      </c>
      <c r="D3213" t="s">
        <v>4662</v>
      </c>
      <c r="E3213" t="s">
        <v>4663</v>
      </c>
      <c r="F3213" t="s">
        <v>0</v>
      </c>
      <c r="G3213" t="str">
        <f>"2018-10-18 01:33:19"</f>
        <v>2018-10-18 01:33:19</v>
      </c>
    </row>
    <row r="3214" spans="1:7" x14ac:dyDescent="0.2">
      <c r="A3214" t="s">
        <v>1</v>
      </c>
      <c r="B3214" t="str">
        <f>"13876573561"</f>
        <v>13876573561</v>
      </c>
      <c r="C3214" t="s">
        <v>1</v>
      </c>
      <c r="D3214" t="s">
        <v>1</v>
      </c>
      <c r="E3214" t="s">
        <v>1</v>
      </c>
      <c r="F3214" t="s">
        <v>0</v>
      </c>
      <c r="G3214" t="str">
        <f>"2018-10-18 01:26:03"</f>
        <v>2018-10-18 01:26:03</v>
      </c>
    </row>
    <row r="3215" spans="1:7" x14ac:dyDescent="0.2">
      <c r="A3215" t="s">
        <v>4664</v>
      </c>
      <c r="B3215" t="str">
        <f>"15973587373"</f>
        <v>15973587373</v>
      </c>
      <c r="C3215" t="str">
        <f>"431003198005306516"</f>
        <v>431003198005306516</v>
      </c>
      <c r="D3215" t="s">
        <v>1</v>
      </c>
      <c r="E3215" t="s">
        <v>1</v>
      </c>
      <c r="F3215" t="s">
        <v>0</v>
      </c>
      <c r="G3215" t="str">
        <f>"2018-10-18 01:26:15"</f>
        <v>2018-10-18 01:26:15</v>
      </c>
    </row>
    <row r="3216" spans="1:7" x14ac:dyDescent="0.2">
      <c r="A3216" t="s">
        <v>1</v>
      </c>
      <c r="B3216" t="str">
        <f>"15170514769"</f>
        <v>15170514769</v>
      </c>
      <c r="C3216" t="s">
        <v>1</v>
      </c>
      <c r="D3216" t="s">
        <v>1</v>
      </c>
      <c r="E3216" t="s">
        <v>1</v>
      </c>
      <c r="F3216" t="s">
        <v>0</v>
      </c>
      <c r="G3216" t="str">
        <f>"2018-10-18 01:21:56"</f>
        <v>2018-10-18 01:21:56</v>
      </c>
    </row>
    <row r="3217" spans="1:7" x14ac:dyDescent="0.2">
      <c r="A3217" t="s">
        <v>4665</v>
      </c>
      <c r="B3217" t="str">
        <f>"18914430310"</f>
        <v>18914430310</v>
      </c>
      <c r="C3217" t="str">
        <f>"321281198701136519"</f>
        <v>321281198701136519</v>
      </c>
      <c r="D3217" t="s">
        <v>1</v>
      </c>
      <c r="E3217" t="s">
        <v>1</v>
      </c>
      <c r="F3217" t="s">
        <v>0</v>
      </c>
      <c r="G3217" t="str">
        <f>"2018-10-18 01:52:07"</f>
        <v>2018-10-18 01:52:07</v>
      </c>
    </row>
    <row r="3218" spans="1:7" x14ac:dyDescent="0.2">
      <c r="A3218" t="s">
        <v>1</v>
      </c>
      <c r="B3218" t="str">
        <f>"15630605079"</f>
        <v>15630605079</v>
      </c>
      <c r="C3218" t="s">
        <v>1</v>
      </c>
      <c r="D3218" t="s">
        <v>1</v>
      </c>
      <c r="E3218" t="s">
        <v>1</v>
      </c>
      <c r="F3218" t="s">
        <v>0</v>
      </c>
      <c r="G3218" t="str">
        <f>"2018-10-18 01:22:54"</f>
        <v>2018-10-18 01:22:54</v>
      </c>
    </row>
    <row r="3219" spans="1:7" x14ac:dyDescent="0.2">
      <c r="A3219" t="s">
        <v>4666</v>
      </c>
      <c r="B3219" t="str">
        <f>"15812131667"</f>
        <v>15812131667</v>
      </c>
      <c r="C3219" t="str">
        <f>"533224198101130029"</f>
        <v>533224198101130029</v>
      </c>
      <c r="D3219" t="s">
        <v>4667</v>
      </c>
      <c r="E3219" t="s">
        <v>4668</v>
      </c>
      <c r="F3219" t="s">
        <v>0</v>
      </c>
      <c r="G3219" t="str">
        <f>"2018-10-31 21:17:32"</f>
        <v>2018-10-31 21:17:32</v>
      </c>
    </row>
    <row r="3220" spans="1:7" x14ac:dyDescent="0.2">
      <c r="A3220" t="s">
        <v>4669</v>
      </c>
      <c r="B3220" t="str">
        <f>"18993875395"</f>
        <v>18993875395</v>
      </c>
      <c r="C3220" t="str">
        <f>"620502199309053132"</f>
        <v>620502199309053132</v>
      </c>
      <c r="D3220" t="s">
        <v>1</v>
      </c>
      <c r="E3220" t="s">
        <v>1</v>
      </c>
      <c r="F3220" t="s">
        <v>0</v>
      </c>
      <c r="G3220" t="str">
        <f>"2018-10-18 01:22:02"</f>
        <v>2018-10-18 01:22:02</v>
      </c>
    </row>
    <row r="3221" spans="1:7" x14ac:dyDescent="0.2">
      <c r="A3221" t="s">
        <v>1188</v>
      </c>
      <c r="B3221" t="str">
        <f>"13970045853"</f>
        <v>13970045853</v>
      </c>
      <c r="C3221" t="str">
        <f>"360781199212252031"</f>
        <v>360781199212252031</v>
      </c>
      <c r="D3221" t="s">
        <v>1</v>
      </c>
      <c r="E3221" t="s">
        <v>1</v>
      </c>
      <c r="F3221" t="s">
        <v>0</v>
      </c>
      <c r="G3221" t="str">
        <f>"2018-10-18 02:23:35"</f>
        <v>2018-10-18 02:23:35</v>
      </c>
    </row>
    <row r="3222" spans="1:7" x14ac:dyDescent="0.2">
      <c r="A3222" t="s">
        <v>4670</v>
      </c>
      <c r="B3222" t="str">
        <f>"15119249349"</f>
        <v>15119249349</v>
      </c>
      <c r="C3222" t="str">
        <f>"441624199606030819"</f>
        <v>441624199606030819</v>
      </c>
      <c r="D3222" t="s">
        <v>1</v>
      </c>
      <c r="E3222" t="s">
        <v>1</v>
      </c>
      <c r="F3222" t="s">
        <v>0</v>
      </c>
      <c r="G3222" t="str">
        <f>"2018-10-18 14:39:33"</f>
        <v>2018-10-18 14:39:33</v>
      </c>
    </row>
    <row r="3223" spans="1:7" x14ac:dyDescent="0.2">
      <c r="A3223" t="s">
        <v>4671</v>
      </c>
      <c r="B3223" t="str">
        <f>"18295834752"</f>
        <v>18295834752</v>
      </c>
      <c r="C3223" t="str">
        <f>"14222519960210503X"</f>
        <v>14222519960210503X</v>
      </c>
      <c r="D3223" t="s">
        <v>4672</v>
      </c>
      <c r="E3223" t="s">
        <v>4673</v>
      </c>
      <c r="F3223" t="s">
        <v>0</v>
      </c>
      <c r="G3223" t="str">
        <f>"2018-10-18 11:07:02"</f>
        <v>2018-10-18 11:07:02</v>
      </c>
    </row>
    <row r="3224" spans="1:7" x14ac:dyDescent="0.2">
      <c r="A3224" t="s">
        <v>362</v>
      </c>
      <c r="B3224" t="str">
        <f>"15808807709"</f>
        <v>15808807709</v>
      </c>
      <c r="C3224" t="str">
        <f>"360724199108187519"</f>
        <v>360724199108187519</v>
      </c>
      <c r="D3224" t="s">
        <v>1</v>
      </c>
      <c r="E3224" t="s">
        <v>1</v>
      </c>
      <c r="F3224" t="s">
        <v>0</v>
      </c>
      <c r="G3224" t="str">
        <f>"2018-10-18 00:55:29"</f>
        <v>2018-10-18 00:55:29</v>
      </c>
    </row>
    <row r="3225" spans="1:7" x14ac:dyDescent="0.2">
      <c r="A3225" t="s">
        <v>1</v>
      </c>
      <c r="B3225" t="str">
        <f>"13636213706"</f>
        <v>13636213706</v>
      </c>
      <c r="C3225" t="s">
        <v>1</v>
      </c>
      <c r="D3225" t="s">
        <v>1</v>
      </c>
      <c r="E3225" t="s">
        <v>1</v>
      </c>
      <c r="F3225" t="s">
        <v>0</v>
      </c>
      <c r="G3225" t="str">
        <f>"2018-10-18 00:54:43"</f>
        <v>2018-10-18 00:54:43</v>
      </c>
    </row>
    <row r="3226" spans="1:7" x14ac:dyDescent="0.2">
      <c r="A3226" t="s">
        <v>4674</v>
      </c>
      <c r="B3226" t="str">
        <f>"13421280550"</f>
        <v>13421280550</v>
      </c>
      <c r="C3226" t="str">
        <f>"441781199412104624"</f>
        <v>441781199412104624</v>
      </c>
      <c r="D3226" t="s">
        <v>1</v>
      </c>
      <c r="E3226" t="s">
        <v>1</v>
      </c>
      <c r="F3226" t="s">
        <v>0</v>
      </c>
      <c r="G3226" t="str">
        <f>"2018-10-25 18:15:08"</f>
        <v>2018-10-25 18:15:08</v>
      </c>
    </row>
    <row r="3227" spans="1:7" x14ac:dyDescent="0.2">
      <c r="A3227" t="s">
        <v>4675</v>
      </c>
      <c r="B3227" t="str">
        <f>"15548696123"</f>
        <v>15548696123</v>
      </c>
      <c r="C3227" t="str">
        <f>"152701199312233015"</f>
        <v>152701199312233015</v>
      </c>
      <c r="D3227" t="s">
        <v>1</v>
      </c>
      <c r="E3227" t="s">
        <v>1</v>
      </c>
      <c r="F3227" t="s">
        <v>0</v>
      </c>
      <c r="G3227" t="str">
        <f>"2018-10-18 00:55:48"</f>
        <v>2018-10-18 00:55:48</v>
      </c>
    </row>
    <row r="3228" spans="1:7" x14ac:dyDescent="0.2">
      <c r="A3228" t="s">
        <v>4676</v>
      </c>
      <c r="B3228" t="str">
        <f>"18214587849"</f>
        <v>18214587849</v>
      </c>
      <c r="C3228" t="str">
        <f>"530326199908280810"</f>
        <v>530326199908280810</v>
      </c>
      <c r="D3228" t="s">
        <v>1</v>
      </c>
      <c r="E3228" t="s">
        <v>1</v>
      </c>
      <c r="F3228" t="s">
        <v>0</v>
      </c>
      <c r="G3228" t="str">
        <f>"2018-10-18 00:48:47"</f>
        <v>2018-10-18 00:48:47</v>
      </c>
    </row>
    <row r="3229" spans="1:7" x14ac:dyDescent="0.2">
      <c r="A3229" t="s">
        <v>4677</v>
      </c>
      <c r="B3229" t="str">
        <f>"18380117218"</f>
        <v>18380117218</v>
      </c>
      <c r="C3229" t="str">
        <f>"510129199710102562"</f>
        <v>510129199710102562</v>
      </c>
      <c r="D3229" t="s">
        <v>1</v>
      </c>
      <c r="E3229" t="s">
        <v>1</v>
      </c>
      <c r="F3229" t="s">
        <v>0</v>
      </c>
      <c r="G3229" t="str">
        <f>"2018-10-18 08:45:08"</f>
        <v>2018-10-18 08:45:08</v>
      </c>
    </row>
    <row r="3230" spans="1:7" x14ac:dyDescent="0.2">
      <c r="A3230" t="s">
        <v>4678</v>
      </c>
      <c r="B3230" t="str">
        <f>"13559851132"</f>
        <v>13559851132</v>
      </c>
      <c r="C3230" t="str">
        <f>"350725198711032044"</f>
        <v>350725198711032044</v>
      </c>
      <c r="D3230" t="s">
        <v>1</v>
      </c>
      <c r="E3230" t="s">
        <v>1</v>
      </c>
      <c r="F3230" t="s">
        <v>0</v>
      </c>
      <c r="G3230" t="str">
        <f>"2018-10-18 00:45:08"</f>
        <v>2018-10-18 00:45:08</v>
      </c>
    </row>
    <row r="3231" spans="1:7" x14ac:dyDescent="0.2">
      <c r="A3231" t="s">
        <v>1</v>
      </c>
      <c r="B3231" t="str">
        <f>"15754900989"</f>
        <v>15754900989</v>
      </c>
      <c r="C3231" t="s">
        <v>1</v>
      </c>
      <c r="D3231" t="s">
        <v>1</v>
      </c>
      <c r="E3231" t="s">
        <v>1</v>
      </c>
      <c r="F3231" t="s">
        <v>0</v>
      </c>
      <c r="G3231" t="str">
        <f>"2018-10-18 00:41:56"</f>
        <v>2018-10-18 00:41:56</v>
      </c>
    </row>
    <row r="3232" spans="1:7" x14ac:dyDescent="0.2">
      <c r="A3232" t="s">
        <v>1</v>
      </c>
      <c r="B3232" t="str">
        <f>"18502365503"</f>
        <v>18502365503</v>
      </c>
      <c r="C3232" t="s">
        <v>1</v>
      </c>
      <c r="D3232" t="s">
        <v>1</v>
      </c>
      <c r="E3232" t="s">
        <v>1</v>
      </c>
      <c r="F3232" t="s">
        <v>0</v>
      </c>
      <c r="G3232" t="str">
        <f>"2018-10-18 00:39:13"</f>
        <v>2018-10-18 00:39:13</v>
      </c>
    </row>
    <row r="3233" spans="1:7" x14ac:dyDescent="0.2">
      <c r="A3233" t="s">
        <v>4679</v>
      </c>
      <c r="B3233" t="str">
        <f>"18561222689"</f>
        <v>18561222689</v>
      </c>
      <c r="C3233" t="str">
        <f>"371521198606260027"</f>
        <v>371521198606260027</v>
      </c>
      <c r="D3233" t="s">
        <v>1</v>
      </c>
      <c r="E3233" t="s">
        <v>1</v>
      </c>
      <c r="F3233" t="s">
        <v>0</v>
      </c>
      <c r="G3233" t="str">
        <f>"2018-10-18 00:59:00"</f>
        <v>2018-10-18 00:59:00</v>
      </c>
    </row>
    <row r="3234" spans="1:7" x14ac:dyDescent="0.2">
      <c r="A3234" t="s">
        <v>1</v>
      </c>
      <c r="B3234" t="str">
        <f>"13985058871"</f>
        <v>13985058871</v>
      </c>
      <c r="C3234" t="s">
        <v>1</v>
      </c>
      <c r="D3234" t="s">
        <v>1</v>
      </c>
      <c r="E3234" t="s">
        <v>1</v>
      </c>
      <c r="F3234" t="s">
        <v>0</v>
      </c>
      <c r="G3234" t="str">
        <f>"2018-10-18 00:36:46"</f>
        <v>2018-10-18 00:36:46</v>
      </c>
    </row>
    <row r="3235" spans="1:7" x14ac:dyDescent="0.2">
      <c r="A3235" t="s">
        <v>1</v>
      </c>
      <c r="B3235" t="str">
        <f>"13879797649"</f>
        <v>13879797649</v>
      </c>
      <c r="C3235" t="s">
        <v>1</v>
      </c>
      <c r="D3235" t="s">
        <v>1</v>
      </c>
      <c r="E3235" t="s">
        <v>1</v>
      </c>
      <c r="F3235" t="s">
        <v>0</v>
      </c>
      <c r="G3235" t="str">
        <f>"2018-10-18 00:38:04"</f>
        <v>2018-10-18 00:38:04</v>
      </c>
    </row>
    <row r="3236" spans="1:7" x14ac:dyDescent="0.2">
      <c r="A3236" t="s">
        <v>1</v>
      </c>
      <c r="B3236" t="str">
        <f>"13980553713"</f>
        <v>13980553713</v>
      </c>
      <c r="C3236" t="s">
        <v>1</v>
      </c>
      <c r="D3236" t="s">
        <v>1</v>
      </c>
      <c r="E3236" t="s">
        <v>1</v>
      </c>
      <c r="F3236" t="s">
        <v>0</v>
      </c>
      <c r="G3236" t="str">
        <f>"2018-10-18 00:36:08"</f>
        <v>2018-10-18 00:36:08</v>
      </c>
    </row>
    <row r="3237" spans="1:7" x14ac:dyDescent="0.2">
      <c r="A3237" t="s">
        <v>4680</v>
      </c>
      <c r="B3237" t="str">
        <f>"15080320206"</f>
        <v>15080320206</v>
      </c>
      <c r="C3237" t="str">
        <f>"350521199201067851"</f>
        <v>350521199201067851</v>
      </c>
      <c r="D3237" t="s">
        <v>4681</v>
      </c>
      <c r="E3237" t="s">
        <v>4681</v>
      </c>
      <c r="F3237" t="s">
        <v>0</v>
      </c>
      <c r="G3237" t="str">
        <f>"2018-11-03 09:53:52"</f>
        <v>2018-11-03 09:53:52</v>
      </c>
    </row>
    <row r="3238" spans="1:7" x14ac:dyDescent="0.2">
      <c r="A3238" t="s">
        <v>4682</v>
      </c>
      <c r="B3238" t="str">
        <f>"18274822251"</f>
        <v>18274822251</v>
      </c>
      <c r="C3238" t="str">
        <f>"43068119911201352X"</f>
        <v>43068119911201352X</v>
      </c>
      <c r="D3238" t="s">
        <v>1</v>
      </c>
      <c r="E3238" t="s">
        <v>1</v>
      </c>
      <c r="F3238" t="s">
        <v>0</v>
      </c>
      <c r="G3238" t="str">
        <f>"2018-10-18 00:34:51"</f>
        <v>2018-10-18 00:34:51</v>
      </c>
    </row>
    <row r="3239" spans="1:7" x14ac:dyDescent="0.2">
      <c r="A3239" t="s">
        <v>4683</v>
      </c>
      <c r="B3239" t="str">
        <f>"17327762303"</f>
        <v>17327762303</v>
      </c>
      <c r="C3239" t="str">
        <f>"622923199802260819"</f>
        <v>622923199802260819</v>
      </c>
      <c r="D3239" t="s">
        <v>1</v>
      </c>
      <c r="E3239" t="s">
        <v>1</v>
      </c>
      <c r="F3239" t="s">
        <v>0</v>
      </c>
      <c r="G3239" t="str">
        <f>"2018-10-18 00:29:31"</f>
        <v>2018-10-18 00:29:31</v>
      </c>
    </row>
    <row r="3240" spans="1:7" x14ac:dyDescent="0.2">
      <c r="A3240" t="s">
        <v>1</v>
      </c>
      <c r="B3240" t="str">
        <f>"15677667117"</f>
        <v>15677667117</v>
      </c>
      <c r="C3240" t="s">
        <v>1</v>
      </c>
      <c r="D3240" t="s">
        <v>1</v>
      </c>
      <c r="E3240" t="s">
        <v>1</v>
      </c>
      <c r="F3240" t="s">
        <v>0</v>
      </c>
      <c r="G3240" t="str">
        <f>"2018-10-18 00:27:43"</f>
        <v>2018-10-18 00:27:43</v>
      </c>
    </row>
    <row r="3241" spans="1:7" x14ac:dyDescent="0.2">
      <c r="A3241" t="s">
        <v>4684</v>
      </c>
      <c r="B3241" t="str">
        <f>"17623109573"</f>
        <v>17623109573</v>
      </c>
      <c r="C3241" t="str">
        <f>"44178119940703692X"</f>
        <v>44178119940703692X</v>
      </c>
      <c r="D3241" t="s">
        <v>1</v>
      </c>
      <c r="E3241" t="s">
        <v>1</v>
      </c>
      <c r="F3241" t="s">
        <v>0</v>
      </c>
      <c r="G3241" t="str">
        <f>"2018-10-19 00:32:21"</f>
        <v>2018-10-19 00:32:21</v>
      </c>
    </row>
    <row r="3242" spans="1:7" x14ac:dyDescent="0.2">
      <c r="A3242" t="s">
        <v>4685</v>
      </c>
      <c r="B3242" t="str">
        <f>"18581731390"</f>
        <v>18581731390</v>
      </c>
      <c r="C3242" t="str">
        <f>"511324198604131074"</f>
        <v>511324198604131074</v>
      </c>
      <c r="D3242" t="s">
        <v>1</v>
      </c>
      <c r="E3242" t="s">
        <v>1</v>
      </c>
      <c r="F3242" t="s">
        <v>0</v>
      </c>
      <c r="G3242" t="str">
        <f>"2018-10-18 14:25:15"</f>
        <v>2018-10-18 14:25:15</v>
      </c>
    </row>
    <row r="3243" spans="1:7" x14ac:dyDescent="0.2">
      <c r="A3243" t="s">
        <v>743</v>
      </c>
      <c r="B3243" t="str">
        <f>"18875054244"</f>
        <v>18875054244</v>
      </c>
      <c r="C3243" t="str">
        <f>"500221199512186817"</f>
        <v>500221199512186817</v>
      </c>
      <c r="D3243" t="s">
        <v>1</v>
      </c>
      <c r="E3243" t="s">
        <v>1</v>
      </c>
      <c r="F3243" t="s">
        <v>0</v>
      </c>
      <c r="G3243" t="str">
        <f>"2018-11-01 13:55:47"</f>
        <v>2018-11-01 13:55:47</v>
      </c>
    </row>
    <row r="3244" spans="1:7" x14ac:dyDescent="0.2">
      <c r="A3244" t="s">
        <v>4686</v>
      </c>
      <c r="B3244" t="str">
        <f>"15688829929"</f>
        <v>15688829929</v>
      </c>
      <c r="C3244" t="str">
        <f>"370921199111150614"</f>
        <v>370921199111150614</v>
      </c>
      <c r="D3244" t="s">
        <v>1</v>
      </c>
      <c r="E3244" t="s">
        <v>1</v>
      </c>
      <c r="F3244" t="s">
        <v>0</v>
      </c>
      <c r="G3244" t="str">
        <f>"2018-10-18 00:32:00"</f>
        <v>2018-10-18 00:32:00</v>
      </c>
    </row>
    <row r="3245" spans="1:7" x14ac:dyDescent="0.2">
      <c r="A3245" t="s">
        <v>4687</v>
      </c>
      <c r="B3245" t="str">
        <f>"15238670927"</f>
        <v>15238670927</v>
      </c>
      <c r="C3245" t="str">
        <f>"412825199906082533"</f>
        <v>412825199906082533</v>
      </c>
      <c r="D3245" t="s">
        <v>1</v>
      </c>
      <c r="E3245" t="s">
        <v>1</v>
      </c>
      <c r="F3245" t="s">
        <v>0</v>
      </c>
      <c r="G3245" t="str">
        <f>"2018-10-18 00:44:03"</f>
        <v>2018-10-18 00:44:03</v>
      </c>
    </row>
    <row r="3246" spans="1:7" x14ac:dyDescent="0.2">
      <c r="A3246" t="s">
        <v>4688</v>
      </c>
      <c r="B3246" t="str">
        <f>"15803652038"</f>
        <v>15803652038</v>
      </c>
      <c r="C3246" t="str">
        <f>"500102198804140010"</f>
        <v>500102198804140010</v>
      </c>
      <c r="D3246" t="s">
        <v>1</v>
      </c>
      <c r="E3246" t="s">
        <v>1</v>
      </c>
      <c r="F3246" t="s">
        <v>0</v>
      </c>
      <c r="G3246" t="str">
        <f>"2018-10-18 00:15:05"</f>
        <v>2018-10-18 00:15:05</v>
      </c>
    </row>
    <row r="3247" spans="1:7" x14ac:dyDescent="0.2">
      <c r="A3247" t="s">
        <v>4689</v>
      </c>
      <c r="B3247" t="str">
        <f>"18009356290"</f>
        <v>18009356290</v>
      </c>
      <c r="C3247" t="str">
        <f>"622225197110132467"</f>
        <v>622225197110132467</v>
      </c>
      <c r="D3247" t="s">
        <v>1</v>
      </c>
      <c r="E3247" t="s">
        <v>1</v>
      </c>
      <c r="F3247" t="s">
        <v>0</v>
      </c>
      <c r="G3247" t="str">
        <f>"2018-10-18 00:14:21"</f>
        <v>2018-10-18 00:14:21</v>
      </c>
    </row>
    <row r="3248" spans="1:7" x14ac:dyDescent="0.2">
      <c r="A3248" t="s">
        <v>1</v>
      </c>
      <c r="B3248" t="str">
        <f>"18334136001"</f>
        <v>18334136001</v>
      </c>
      <c r="C3248" t="s">
        <v>1</v>
      </c>
      <c r="D3248" t="s">
        <v>1</v>
      </c>
      <c r="E3248" t="s">
        <v>1</v>
      </c>
      <c r="F3248" t="s">
        <v>0</v>
      </c>
      <c r="G3248" t="str">
        <f>"2018-10-18 00:12:53"</f>
        <v>2018-10-18 00:12:53</v>
      </c>
    </row>
    <row r="3249" spans="1:7" x14ac:dyDescent="0.2">
      <c r="A3249" t="s">
        <v>1198</v>
      </c>
      <c r="B3249" t="str">
        <f>"18380305626"</f>
        <v>18380305626</v>
      </c>
      <c r="C3249" t="str">
        <f>"510113199311301141"</f>
        <v>510113199311301141</v>
      </c>
      <c r="D3249" t="s">
        <v>4690</v>
      </c>
      <c r="E3249" t="s">
        <v>4691</v>
      </c>
      <c r="F3249" t="s">
        <v>0</v>
      </c>
      <c r="G3249" t="str">
        <f>"2018-10-18 00:13:34"</f>
        <v>2018-10-18 00:13:34</v>
      </c>
    </row>
    <row r="3250" spans="1:7" x14ac:dyDescent="0.2">
      <c r="A3250" t="s">
        <v>4692</v>
      </c>
      <c r="B3250" t="str">
        <f>"18709000759"</f>
        <v>18709000759</v>
      </c>
      <c r="C3250" t="str">
        <f>"341222199207208175"</f>
        <v>341222199207208175</v>
      </c>
      <c r="D3250" t="s">
        <v>1</v>
      </c>
      <c r="E3250" t="s">
        <v>1</v>
      </c>
      <c r="F3250" t="s">
        <v>0</v>
      </c>
      <c r="G3250" t="str">
        <f>"2018-10-18 00:14:56"</f>
        <v>2018-10-18 00:14:56</v>
      </c>
    </row>
    <row r="3251" spans="1:7" x14ac:dyDescent="0.2">
      <c r="A3251" t="s">
        <v>149</v>
      </c>
      <c r="B3251" t="str">
        <f>"17688786033"</f>
        <v>17688786033</v>
      </c>
      <c r="C3251" t="str">
        <f>"421126198902176318"</f>
        <v>421126198902176318</v>
      </c>
      <c r="D3251" t="s">
        <v>1</v>
      </c>
      <c r="E3251" t="s">
        <v>1</v>
      </c>
      <c r="F3251" t="s">
        <v>0</v>
      </c>
      <c r="G3251" t="str">
        <f>"2018-10-18 00:10:32"</f>
        <v>2018-10-18 00:10:32</v>
      </c>
    </row>
    <row r="3252" spans="1:7" x14ac:dyDescent="0.2">
      <c r="A3252" t="s">
        <v>1</v>
      </c>
      <c r="B3252" t="str">
        <f>"13433512942"</f>
        <v>13433512942</v>
      </c>
      <c r="C3252" t="s">
        <v>1</v>
      </c>
      <c r="D3252" t="s">
        <v>1</v>
      </c>
      <c r="E3252" t="s">
        <v>1</v>
      </c>
      <c r="F3252" t="s">
        <v>0</v>
      </c>
      <c r="G3252" t="str">
        <f>"2018-10-18 00:08:50"</f>
        <v>2018-10-18 00:08:50</v>
      </c>
    </row>
    <row r="3253" spans="1:7" x14ac:dyDescent="0.2">
      <c r="A3253" t="s">
        <v>768</v>
      </c>
      <c r="B3253" t="str">
        <f>"13027145700"</f>
        <v>13027145700</v>
      </c>
      <c r="C3253" t="str">
        <f>"420381198802080612"</f>
        <v>420381198802080612</v>
      </c>
      <c r="D3253" t="s">
        <v>1</v>
      </c>
      <c r="E3253" t="s">
        <v>1</v>
      </c>
      <c r="F3253" t="s">
        <v>0</v>
      </c>
      <c r="G3253" t="str">
        <f>"2018-10-18 00:45:26"</f>
        <v>2018-10-18 00:45:26</v>
      </c>
    </row>
    <row r="3254" spans="1:7" x14ac:dyDescent="0.2">
      <c r="A3254" t="s">
        <v>4693</v>
      </c>
      <c r="B3254" t="str">
        <f>"13910153739"</f>
        <v>13910153739</v>
      </c>
      <c r="C3254" t="str">
        <f>"110111197509134012"</f>
        <v>110111197509134012</v>
      </c>
      <c r="D3254" t="s">
        <v>4694</v>
      </c>
      <c r="E3254" t="s">
        <v>4695</v>
      </c>
      <c r="F3254" t="s">
        <v>0</v>
      </c>
      <c r="G3254" t="str">
        <f>"2018-10-19 09:22:11"</f>
        <v>2018-10-19 09:22:11</v>
      </c>
    </row>
    <row r="3255" spans="1:7" x14ac:dyDescent="0.2">
      <c r="A3255" t="s">
        <v>4696</v>
      </c>
      <c r="B3255" t="str">
        <f>"18753332101"</f>
        <v>18753332101</v>
      </c>
      <c r="C3255" t="str">
        <f>"370305199905064758"</f>
        <v>370305199905064758</v>
      </c>
      <c r="D3255" t="s">
        <v>1</v>
      </c>
      <c r="E3255" t="s">
        <v>1</v>
      </c>
      <c r="F3255" t="s">
        <v>0</v>
      </c>
      <c r="G3255" t="str">
        <f>"2018-10-18 00:08:48"</f>
        <v>2018-10-18 00:08:48</v>
      </c>
    </row>
    <row r="3256" spans="1:7" x14ac:dyDescent="0.2">
      <c r="A3256" t="s">
        <v>1</v>
      </c>
      <c r="B3256" t="str">
        <f>"13645909737"</f>
        <v>13645909737</v>
      </c>
      <c r="C3256" t="s">
        <v>1</v>
      </c>
      <c r="D3256" t="s">
        <v>1</v>
      </c>
      <c r="E3256" t="s">
        <v>1</v>
      </c>
      <c r="F3256" t="s">
        <v>0</v>
      </c>
      <c r="G3256" t="str">
        <f>"2018-10-18 00:17:32"</f>
        <v>2018-10-18 00:17:32</v>
      </c>
    </row>
    <row r="3257" spans="1:7" x14ac:dyDescent="0.2">
      <c r="A3257" t="s">
        <v>4697</v>
      </c>
      <c r="B3257" t="str">
        <f>"18079837825"</f>
        <v>18079837825</v>
      </c>
      <c r="C3257" t="str">
        <f>"360281199011144336"</f>
        <v>360281199011144336</v>
      </c>
      <c r="D3257" t="s">
        <v>1</v>
      </c>
      <c r="E3257" t="s">
        <v>1</v>
      </c>
      <c r="F3257" t="s">
        <v>0</v>
      </c>
      <c r="G3257" t="str">
        <f>"2018-10-18 00:10:59"</f>
        <v>2018-10-18 00:10:59</v>
      </c>
    </row>
    <row r="3258" spans="1:7" x14ac:dyDescent="0.2">
      <c r="A3258" t="s">
        <v>1</v>
      </c>
      <c r="B3258" t="str">
        <f>"13187008059"</f>
        <v>13187008059</v>
      </c>
      <c r="C3258" t="s">
        <v>1</v>
      </c>
      <c r="D3258" t="s">
        <v>1</v>
      </c>
      <c r="E3258" t="s">
        <v>1</v>
      </c>
      <c r="F3258" t="s">
        <v>0</v>
      </c>
      <c r="G3258" t="str">
        <f>"2018-10-18 10:31:13"</f>
        <v>2018-10-18 10:31:13</v>
      </c>
    </row>
    <row r="3259" spans="1:7" x14ac:dyDescent="0.2">
      <c r="A3259" t="s">
        <v>1820</v>
      </c>
      <c r="B3259" t="str">
        <f>"18503908901"</f>
        <v>18503908901</v>
      </c>
      <c r="C3259" t="str">
        <f>"410823199303180295"</f>
        <v>410823199303180295</v>
      </c>
      <c r="D3259" t="s">
        <v>1</v>
      </c>
      <c r="E3259" t="s">
        <v>1</v>
      </c>
      <c r="F3259" t="s">
        <v>0</v>
      </c>
      <c r="G3259" t="str">
        <f>"2018-10-18 00:05:23"</f>
        <v>2018-10-18 00:05:23</v>
      </c>
    </row>
    <row r="3260" spans="1:7" x14ac:dyDescent="0.2">
      <c r="A3260" t="s">
        <v>4698</v>
      </c>
      <c r="B3260" t="str">
        <f>"13559260733"</f>
        <v>13559260733</v>
      </c>
      <c r="C3260" t="str">
        <f>"350423199312065530"</f>
        <v>350423199312065530</v>
      </c>
      <c r="D3260" t="s">
        <v>1</v>
      </c>
      <c r="E3260" t="s">
        <v>1</v>
      </c>
      <c r="F3260" t="s">
        <v>0</v>
      </c>
      <c r="G3260" t="str">
        <f>"2018-10-18 00:02:54"</f>
        <v>2018-10-18 00:02:54</v>
      </c>
    </row>
    <row r="3261" spans="1:7" x14ac:dyDescent="0.2">
      <c r="A3261" t="s">
        <v>1</v>
      </c>
      <c r="B3261" t="str">
        <f>"13878232327"</f>
        <v>13878232327</v>
      </c>
      <c r="C3261" t="s">
        <v>1</v>
      </c>
      <c r="D3261" t="s">
        <v>1</v>
      </c>
      <c r="E3261" t="s">
        <v>1</v>
      </c>
      <c r="F3261" t="s">
        <v>0</v>
      </c>
      <c r="G3261" t="str">
        <f>"2018-10-18 00:04:37"</f>
        <v>2018-10-18 00:04:37</v>
      </c>
    </row>
    <row r="3262" spans="1:7" x14ac:dyDescent="0.2">
      <c r="A3262" t="s">
        <v>4699</v>
      </c>
      <c r="B3262" t="str">
        <f>"15067567637"</f>
        <v>15067567637</v>
      </c>
      <c r="C3262" t="str">
        <f>"431221198706082037"</f>
        <v>431221198706082037</v>
      </c>
      <c r="D3262" t="s">
        <v>4700</v>
      </c>
      <c r="E3262" t="s">
        <v>4701</v>
      </c>
      <c r="F3262" t="s">
        <v>0</v>
      </c>
      <c r="G3262" t="str">
        <f>"2018-10-19 10:35:55"</f>
        <v>2018-10-19 10:35:55</v>
      </c>
    </row>
    <row r="3263" spans="1:7" x14ac:dyDescent="0.2">
      <c r="A3263" t="s">
        <v>4702</v>
      </c>
      <c r="B3263" t="str">
        <f>"13450565578"</f>
        <v>13450565578</v>
      </c>
      <c r="C3263" t="str">
        <f>"440681198602122339"</f>
        <v>440681198602122339</v>
      </c>
      <c r="D3263" t="s">
        <v>1</v>
      </c>
      <c r="E3263" t="s">
        <v>1</v>
      </c>
      <c r="F3263" t="s">
        <v>0</v>
      </c>
      <c r="G3263" t="str">
        <f>"2018-10-17 23:58:37"</f>
        <v>2018-10-17 23:58:37</v>
      </c>
    </row>
    <row r="3264" spans="1:7" x14ac:dyDescent="0.2">
      <c r="A3264" t="s">
        <v>1</v>
      </c>
      <c r="B3264" t="str">
        <f>"13428526890"</f>
        <v>13428526890</v>
      </c>
      <c r="C3264" t="s">
        <v>1</v>
      </c>
      <c r="D3264" t="s">
        <v>1</v>
      </c>
      <c r="E3264" t="s">
        <v>1</v>
      </c>
      <c r="F3264" t="s">
        <v>0</v>
      </c>
      <c r="G3264" t="str">
        <f>"2018-10-17 23:54:58"</f>
        <v>2018-10-17 23:54:58</v>
      </c>
    </row>
    <row r="3265" spans="1:7" x14ac:dyDescent="0.2">
      <c r="A3265" t="s">
        <v>4703</v>
      </c>
      <c r="B3265" t="str">
        <f>"18308566097"</f>
        <v>18308566097</v>
      </c>
      <c r="C3265" t="str">
        <f>"522229199706256015"</f>
        <v>522229199706256015</v>
      </c>
      <c r="D3265" t="s">
        <v>1</v>
      </c>
      <c r="E3265" t="s">
        <v>1</v>
      </c>
      <c r="F3265" t="s">
        <v>0</v>
      </c>
      <c r="G3265" t="str">
        <f>"2018-10-18 14:23:28"</f>
        <v>2018-10-18 14:23:28</v>
      </c>
    </row>
    <row r="3266" spans="1:7" x14ac:dyDescent="0.2">
      <c r="A3266" t="s">
        <v>4704</v>
      </c>
      <c r="B3266" t="str">
        <f>"13829539698"</f>
        <v>13829539698</v>
      </c>
      <c r="C3266" t="str">
        <f>"445121198202102671"</f>
        <v>445121198202102671</v>
      </c>
      <c r="D3266" t="s">
        <v>1</v>
      </c>
      <c r="E3266" t="s">
        <v>1</v>
      </c>
      <c r="F3266" t="s">
        <v>0</v>
      </c>
      <c r="G3266" t="str">
        <f>"2018-10-25 01:30:51"</f>
        <v>2018-10-25 01:30:51</v>
      </c>
    </row>
    <row r="3267" spans="1:7" x14ac:dyDescent="0.2">
      <c r="A3267" t="s">
        <v>1</v>
      </c>
      <c r="B3267" t="str">
        <f>"15190876979"</f>
        <v>15190876979</v>
      </c>
      <c r="C3267" t="s">
        <v>1</v>
      </c>
      <c r="D3267" t="s">
        <v>1</v>
      </c>
      <c r="E3267" t="s">
        <v>1</v>
      </c>
      <c r="F3267" t="s">
        <v>0</v>
      </c>
      <c r="G3267" t="str">
        <f>"2018-10-17 23:51:03"</f>
        <v>2018-10-17 23:51:03</v>
      </c>
    </row>
    <row r="3268" spans="1:7" x14ac:dyDescent="0.2">
      <c r="A3268" t="s">
        <v>1</v>
      </c>
      <c r="B3268" t="str">
        <f>"13738112349"</f>
        <v>13738112349</v>
      </c>
      <c r="C3268" t="s">
        <v>1</v>
      </c>
      <c r="D3268" t="s">
        <v>1</v>
      </c>
      <c r="E3268" t="s">
        <v>1</v>
      </c>
      <c r="F3268" t="s">
        <v>0</v>
      </c>
      <c r="G3268" t="str">
        <f>"2018-10-17 23:52:33"</f>
        <v>2018-10-17 23:52:33</v>
      </c>
    </row>
    <row r="3269" spans="1:7" x14ac:dyDescent="0.2">
      <c r="A3269" t="s">
        <v>1</v>
      </c>
      <c r="B3269" t="str">
        <f>"18594042928"</f>
        <v>18594042928</v>
      </c>
      <c r="C3269" t="s">
        <v>1</v>
      </c>
      <c r="D3269" t="s">
        <v>1</v>
      </c>
      <c r="E3269" t="s">
        <v>1</v>
      </c>
      <c r="F3269" t="s">
        <v>0</v>
      </c>
      <c r="G3269" t="str">
        <f>"2018-10-17 23:50:03"</f>
        <v>2018-10-17 23:50:03</v>
      </c>
    </row>
    <row r="3270" spans="1:7" x14ac:dyDescent="0.2">
      <c r="A3270" t="s">
        <v>1429</v>
      </c>
      <c r="B3270" t="str">
        <f>"15916601567"</f>
        <v>15916601567</v>
      </c>
      <c r="C3270" t="str">
        <f>"440582199301165891"</f>
        <v>440582199301165891</v>
      </c>
      <c r="D3270" t="s">
        <v>1</v>
      </c>
      <c r="E3270" t="s">
        <v>1</v>
      </c>
      <c r="F3270" t="s">
        <v>0</v>
      </c>
      <c r="G3270" t="str">
        <f>"2018-10-17 23:50:47"</f>
        <v>2018-10-17 23:50:47</v>
      </c>
    </row>
    <row r="3271" spans="1:7" x14ac:dyDescent="0.2">
      <c r="A3271" t="s">
        <v>4705</v>
      </c>
      <c r="B3271" t="str">
        <f>"18378569958"</f>
        <v>18378569958</v>
      </c>
      <c r="C3271" t="str">
        <f>"45080219951022847X"</f>
        <v>45080219951022847X</v>
      </c>
      <c r="D3271" t="s">
        <v>1</v>
      </c>
      <c r="E3271" t="s">
        <v>1</v>
      </c>
      <c r="F3271" t="s">
        <v>0</v>
      </c>
      <c r="G3271" t="str">
        <f>"2018-10-18 00:45:37"</f>
        <v>2018-10-18 00:45:37</v>
      </c>
    </row>
    <row r="3272" spans="1:7" x14ac:dyDescent="0.2">
      <c r="A3272" t="s">
        <v>1</v>
      </c>
      <c r="B3272" t="str">
        <f>"14723388280"</f>
        <v>14723388280</v>
      </c>
      <c r="C3272" t="s">
        <v>1</v>
      </c>
      <c r="D3272" t="s">
        <v>1</v>
      </c>
      <c r="E3272" t="s">
        <v>1</v>
      </c>
      <c r="F3272" t="s">
        <v>0</v>
      </c>
      <c r="G3272" t="str">
        <f>"2018-10-17 23:46:24"</f>
        <v>2018-10-17 23:46:24</v>
      </c>
    </row>
    <row r="3273" spans="1:7" x14ac:dyDescent="0.2">
      <c r="A3273" t="s">
        <v>4706</v>
      </c>
      <c r="B3273" t="str">
        <f>"13335144384"</f>
        <v>13335144384</v>
      </c>
      <c r="C3273" t="str">
        <f>"370105198107185613"</f>
        <v>370105198107185613</v>
      </c>
      <c r="D3273" t="s">
        <v>1</v>
      </c>
      <c r="E3273" t="s">
        <v>1</v>
      </c>
      <c r="F3273" t="s">
        <v>0</v>
      </c>
      <c r="G3273" t="str">
        <f>"2018-10-25 12:33:29"</f>
        <v>2018-10-25 12:33:29</v>
      </c>
    </row>
    <row r="3274" spans="1:7" x14ac:dyDescent="0.2">
      <c r="A3274" t="s">
        <v>4707</v>
      </c>
      <c r="B3274" t="str">
        <f>"13035507116"</f>
        <v>13035507116</v>
      </c>
      <c r="C3274" t="str">
        <f>"52210119890108462X"</f>
        <v>52210119890108462X</v>
      </c>
      <c r="D3274" t="s">
        <v>1</v>
      </c>
      <c r="E3274" t="s">
        <v>1</v>
      </c>
      <c r="F3274" t="s">
        <v>0</v>
      </c>
      <c r="G3274" t="str">
        <f>"2018-10-22 07:28:09"</f>
        <v>2018-10-22 07:28:09</v>
      </c>
    </row>
    <row r="3275" spans="1:7" x14ac:dyDescent="0.2">
      <c r="A3275" t="s">
        <v>1</v>
      </c>
      <c r="B3275" t="str">
        <f>"13408463983"</f>
        <v>13408463983</v>
      </c>
      <c r="C3275" t="s">
        <v>1</v>
      </c>
      <c r="D3275" t="s">
        <v>1</v>
      </c>
      <c r="E3275" t="s">
        <v>1</v>
      </c>
      <c r="F3275" t="s">
        <v>0</v>
      </c>
      <c r="G3275" t="str">
        <f>"2018-10-17 23:41:01"</f>
        <v>2018-10-17 23:41:01</v>
      </c>
    </row>
    <row r="3276" spans="1:7" x14ac:dyDescent="0.2">
      <c r="A3276" t="s">
        <v>486</v>
      </c>
      <c r="B3276" t="str">
        <f>"13703585587"</f>
        <v>13703585587</v>
      </c>
      <c r="C3276" t="str">
        <f>"141031199410120011"</f>
        <v>141031199410120011</v>
      </c>
      <c r="D3276" t="s">
        <v>1</v>
      </c>
      <c r="E3276" t="s">
        <v>1</v>
      </c>
      <c r="F3276" t="s">
        <v>0</v>
      </c>
      <c r="G3276" t="str">
        <f>"2018-10-17 23:37:44"</f>
        <v>2018-10-17 23:37:44</v>
      </c>
    </row>
    <row r="3277" spans="1:7" x14ac:dyDescent="0.2">
      <c r="A3277" t="s">
        <v>453</v>
      </c>
      <c r="B3277" t="str">
        <f>"13382250879"</f>
        <v>13382250879</v>
      </c>
      <c r="C3277" t="str">
        <f>"320282199202252873"</f>
        <v>320282199202252873</v>
      </c>
      <c r="D3277" t="s">
        <v>1</v>
      </c>
      <c r="E3277" t="s">
        <v>1</v>
      </c>
      <c r="F3277" t="s">
        <v>0</v>
      </c>
      <c r="G3277" t="str">
        <f>"2018-10-18 10:42:11"</f>
        <v>2018-10-18 10:42:11</v>
      </c>
    </row>
    <row r="3278" spans="1:7" x14ac:dyDescent="0.2">
      <c r="A3278" t="s">
        <v>1</v>
      </c>
      <c r="B3278" t="str">
        <f>"13246057705"</f>
        <v>13246057705</v>
      </c>
      <c r="C3278" t="s">
        <v>1</v>
      </c>
      <c r="D3278" t="s">
        <v>1</v>
      </c>
      <c r="E3278" t="s">
        <v>1</v>
      </c>
      <c r="F3278" t="s">
        <v>0</v>
      </c>
      <c r="G3278" t="str">
        <f>"2018-10-18 00:14:11"</f>
        <v>2018-10-18 00:14:11</v>
      </c>
    </row>
    <row r="3279" spans="1:7" x14ac:dyDescent="0.2">
      <c r="A3279" t="s">
        <v>1</v>
      </c>
      <c r="B3279" t="str">
        <f>"15970880768"</f>
        <v>15970880768</v>
      </c>
      <c r="C3279" t="s">
        <v>1</v>
      </c>
      <c r="D3279" t="s">
        <v>1</v>
      </c>
      <c r="E3279" t="s">
        <v>1</v>
      </c>
      <c r="F3279" t="s">
        <v>0</v>
      </c>
      <c r="G3279" t="str">
        <f>"2018-10-17 23:31:39"</f>
        <v>2018-10-17 23:31:39</v>
      </c>
    </row>
    <row r="3280" spans="1:7" x14ac:dyDescent="0.2">
      <c r="A3280" t="s">
        <v>4708</v>
      </c>
      <c r="B3280" t="str">
        <f>"18999141068"</f>
        <v>18999141068</v>
      </c>
      <c r="C3280" t="str">
        <f>"650104198904011625"</f>
        <v>650104198904011625</v>
      </c>
      <c r="D3280" t="s">
        <v>1</v>
      </c>
      <c r="E3280" t="s">
        <v>1</v>
      </c>
      <c r="F3280" t="s">
        <v>0</v>
      </c>
      <c r="G3280" t="str">
        <f>"2018-10-17 23:31:08"</f>
        <v>2018-10-17 23:31:08</v>
      </c>
    </row>
    <row r="3281" spans="1:7" x14ac:dyDescent="0.2">
      <c r="A3281" t="s">
        <v>281</v>
      </c>
      <c r="B3281" t="str">
        <f>"15857223659"</f>
        <v>15857223659</v>
      </c>
      <c r="C3281" t="str">
        <f>"330522199508072930"</f>
        <v>330522199508072930</v>
      </c>
      <c r="D3281" t="s">
        <v>1</v>
      </c>
      <c r="E3281" t="s">
        <v>1</v>
      </c>
      <c r="F3281" t="s">
        <v>0</v>
      </c>
      <c r="G3281" t="str">
        <f>"2018-10-17 23:31:35"</f>
        <v>2018-10-17 23:31:35</v>
      </c>
    </row>
    <row r="3282" spans="1:7" x14ac:dyDescent="0.2">
      <c r="A3282" t="s">
        <v>972</v>
      </c>
      <c r="B3282" t="str">
        <f>"15808844633"</f>
        <v>15808844633</v>
      </c>
      <c r="C3282" t="str">
        <f>"533221196612120019"</f>
        <v>533221196612120019</v>
      </c>
      <c r="D3282" t="s">
        <v>1</v>
      </c>
      <c r="E3282" t="s">
        <v>1</v>
      </c>
      <c r="F3282" t="s">
        <v>0</v>
      </c>
      <c r="G3282" t="str">
        <f>"2018-10-17 23:29:32"</f>
        <v>2018-10-17 23:29:32</v>
      </c>
    </row>
    <row r="3283" spans="1:7" x14ac:dyDescent="0.2">
      <c r="A3283" t="s">
        <v>4709</v>
      </c>
      <c r="B3283" t="str">
        <f>"18896850215"</f>
        <v>18896850215</v>
      </c>
      <c r="C3283" t="str">
        <f>"320623199705142141"</f>
        <v>320623199705142141</v>
      </c>
      <c r="D3283" t="s">
        <v>1</v>
      </c>
      <c r="E3283" t="s">
        <v>1</v>
      </c>
      <c r="F3283" t="s">
        <v>0</v>
      </c>
      <c r="G3283" t="str">
        <f>"2018-10-17 23:27:22"</f>
        <v>2018-10-17 23:27:22</v>
      </c>
    </row>
    <row r="3284" spans="1:7" x14ac:dyDescent="0.2">
      <c r="A3284" t="s">
        <v>166</v>
      </c>
      <c r="B3284" t="str">
        <f>"15935637747"</f>
        <v>15935637747</v>
      </c>
      <c r="C3284" t="str">
        <f>"14242319940116121X"</f>
        <v>14242319940116121X</v>
      </c>
      <c r="D3284" t="s">
        <v>4710</v>
      </c>
      <c r="E3284" t="s">
        <v>4711</v>
      </c>
      <c r="F3284" t="s">
        <v>0</v>
      </c>
      <c r="G3284" t="str">
        <f>"2018-10-18 07:45:29"</f>
        <v>2018-10-18 07:45:29</v>
      </c>
    </row>
    <row r="3285" spans="1:7" x14ac:dyDescent="0.2">
      <c r="A3285" t="s">
        <v>1</v>
      </c>
      <c r="B3285" t="str">
        <f>"18435217277"</f>
        <v>18435217277</v>
      </c>
      <c r="C3285" t="s">
        <v>1</v>
      </c>
      <c r="D3285" t="s">
        <v>1</v>
      </c>
      <c r="E3285" t="s">
        <v>1</v>
      </c>
      <c r="F3285" t="s">
        <v>0</v>
      </c>
      <c r="G3285" t="str">
        <f>"2018-10-17 23:23:01"</f>
        <v>2018-10-17 23:23:01</v>
      </c>
    </row>
    <row r="3286" spans="1:7" x14ac:dyDescent="0.2">
      <c r="A3286" t="s">
        <v>4712</v>
      </c>
      <c r="B3286" t="str">
        <f>"15261306275"</f>
        <v>15261306275</v>
      </c>
      <c r="C3286" t="str">
        <f>"320722198105075111"</f>
        <v>320722198105075111</v>
      </c>
      <c r="D3286" t="s">
        <v>1</v>
      </c>
      <c r="E3286" t="s">
        <v>1</v>
      </c>
      <c r="F3286" t="s">
        <v>0</v>
      </c>
      <c r="G3286" t="str">
        <f>"2018-10-18 11:45:29"</f>
        <v>2018-10-18 11:45:29</v>
      </c>
    </row>
    <row r="3287" spans="1:7" x14ac:dyDescent="0.2">
      <c r="A3287" t="s">
        <v>4713</v>
      </c>
      <c r="B3287" t="str">
        <f>"18316379220"</f>
        <v>18316379220</v>
      </c>
      <c r="C3287" t="str">
        <f>"430524198708153315"</f>
        <v>430524198708153315</v>
      </c>
      <c r="D3287" t="s">
        <v>1</v>
      </c>
      <c r="E3287" t="s">
        <v>1</v>
      </c>
      <c r="F3287" t="s">
        <v>0</v>
      </c>
      <c r="G3287" t="str">
        <f>"2018-10-28 22:46:18"</f>
        <v>2018-10-28 22:46:18</v>
      </c>
    </row>
    <row r="3288" spans="1:7" x14ac:dyDescent="0.2">
      <c r="A3288" t="s">
        <v>1</v>
      </c>
      <c r="B3288" t="str">
        <f>"18055615134"</f>
        <v>18055615134</v>
      </c>
      <c r="C3288" t="s">
        <v>1</v>
      </c>
      <c r="D3288" t="s">
        <v>1</v>
      </c>
      <c r="E3288" t="s">
        <v>1</v>
      </c>
      <c r="F3288" t="s">
        <v>0</v>
      </c>
      <c r="G3288" t="str">
        <f>"2018-10-17 23:22:43"</f>
        <v>2018-10-17 23:22:43</v>
      </c>
    </row>
    <row r="3289" spans="1:7" x14ac:dyDescent="0.2">
      <c r="A3289" t="s">
        <v>579</v>
      </c>
      <c r="B3289" t="str">
        <f>"13653627851"</f>
        <v>13653627851</v>
      </c>
      <c r="C3289" t="str">
        <f>"140203198704263915"</f>
        <v>140203198704263915</v>
      </c>
      <c r="D3289" t="s">
        <v>1</v>
      </c>
      <c r="E3289" t="s">
        <v>1</v>
      </c>
      <c r="F3289" t="s">
        <v>0</v>
      </c>
      <c r="G3289" t="str">
        <f>"2018-10-17 23:23:27"</f>
        <v>2018-10-17 23:23:27</v>
      </c>
    </row>
    <row r="3290" spans="1:7" x14ac:dyDescent="0.2">
      <c r="A3290" t="s">
        <v>1</v>
      </c>
      <c r="B3290" t="str">
        <f>"15988556311"</f>
        <v>15988556311</v>
      </c>
      <c r="C3290" t="s">
        <v>1</v>
      </c>
      <c r="D3290" t="s">
        <v>1</v>
      </c>
      <c r="E3290" t="s">
        <v>1</v>
      </c>
      <c r="F3290" t="s">
        <v>0</v>
      </c>
      <c r="G3290" t="str">
        <f>"2018-10-17 23:19:28"</f>
        <v>2018-10-17 23:19:28</v>
      </c>
    </row>
    <row r="3291" spans="1:7" x14ac:dyDescent="0.2">
      <c r="A3291" t="s">
        <v>4714</v>
      </c>
      <c r="B3291" t="str">
        <f>"13853110365"</f>
        <v>13853110365</v>
      </c>
      <c r="C3291" t="str">
        <f>"370181199304031745"</f>
        <v>370181199304031745</v>
      </c>
      <c r="D3291" t="s">
        <v>1</v>
      </c>
      <c r="E3291" t="s">
        <v>1</v>
      </c>
      <c r="F3291" t="s">
        <v>0</v>
      </c>
      <c r="G3291" t="str">
        <f>"2018-10-17 23:18:11"</f>
        <v>2018-10-17 23:18:11</v>
      </c>
    </row>
    <row r="3292" spans="1:7" x14ac:dyDescent="0.2">
      <c r="A3292" t="s">
        <v>720</v>
      </c>
      <c r="B3292" t="str">
        <f>"15115661580"</f>
        <v>15115661580</v>
      </c>
      <c r="C3292" t="str">
        <f>"430702198305318018"</f>
        <v>430702198305318018</v>
      </c>
      <c r="D3292" t="s">
        <v>4715</v>
      </c>
      <c r="E3292" t="s">
        <v>4716</v>
      </c>
      <c r="F3292" t="s">
        <v>0</v>
      </c>
      <c r="G3292" t="str">
        <f>"2018-10-17 23:14:12"</f>
        <v>2018-10-17 23:14:12</v>
      </c>
    </row>
    <row r="3293" spans="1:7" x14ac:dyDescent="0.2">
      <c r="A3293" t="s">
        <v>4717</v>
      </c>
      <c r="B3293" t="str">
        <f>"13400036645"</f>
        <v>13400036645</v>
      </c>
      <c r="C3293" t="str">
        <f>"320222198308295512"</f>
        <v>320222198308295512</v>
      </c>
      <c r="D3293" t="s">
        <v>1</v>
      </c>
      <c r="E3293" t="s">
        <v>1</v>
      </c>
      <c r="F3293" t="s">
        <v>0</v>
      </c>
      <c r="G3293" t="str">
        <f>"2018-10-17 23:28:21"</f>
        <v>2018-10-17 23:28:21</v>
      </c>
    </row>
    <row r="3294" spans="1:7" x14ac:dyDescent="0.2">
      <c r="A3294" t="s">
        <v>542</v>
      </c>
      <c r="B3294" t="str">
        <f>"15029631470"</f>
        <v>15029631470</v>
      </c>
      <c r="C3294" t="str">
        <f>"610582199012250522"</f>
        <v>610582199012250522</v>
      </c>
      <c r="D3294" t="s">
        <v>1</v>
      </c>
      <c r="E3294" t="s">
        <v>1</v>
      </c>
      <c r="F3294" t="s">
        <v>0</v>
      </c>
      <c r="G3294" t="str">
        <f>"2018-10-17 23:10:13"</f>
        <v>2018-10-17 23:10:13</v>
      </c>
    </row>
    <row r="3295" spans="1:7" x14ac:dyDescent="0.2">
      <c r="A3295" t="s">
        <v>734</v>
      </c>
      <c r="B3295" t="str">
        <f>"13915245169"</f>
        <v>13915245169</v>
      </c>
      <c r="C3295" t="str">
        <f>"320281199211151760"</f>
        <v>320281199211151760</v>
      </c>
      <c r="D3295" t="s">
        <v>4718</v>
      </c>
      <c r="E3295" t="s">
        <v>4719</v>
      </c>
      <c r="F3295" t="s">
        <v>0</v>
      </c>
      <c r="G3295" t="str">
        <f>"2018-10-17 23:15:00"</f>
        <v>2018-10-17 23:15:00</v>
      </c>
    </row>
    <row r="3296" spans="1:7" x14ac:dyDescent="0.2">
      <c r="A3296" t="s">
        <v>1243</v>
      </c>
      <c r="B3296" t="str">
        <f>"18919375213"</f>
        <v>18919375213</v>
      </c>
      <c r="C3296" t="str">
        <f>"62210219860225342X"</f>
        <v>62210219860225342X</v>
      </c>
      <c r="D3296" t="s">
        <v>1</v>
      </c>
      <c r="E3296" t="s">
        <v>1</v>
      </c>
      <c r="F3296" t="s">
        <v>0</v>
      </c>
      <c r="G3296" t="str">
        <f>"2018-10-17 23:07:32"</f>
        <v>2018-10-17 23:07:32</v>
      </c>
    </row>
    <row r="3297" spans="1:7" x14ac:dyDescent="0.2">
      <c r="A3297" t="s">
        <v>4720</v>
      </c>
      <c r="B3297" t="str">
        <f>"15909531770"</f>
        <v>15909531770</v>
      </c>
      <c r="C3297" t="str">
        <f>"642221197512300716"</f>
        <v>642221197512300716</v>
      </c>
      <c r="D3297" t="s">
        <v>1</v>
      </c>
      <c r="E3297" t="s">
        <v>1</v>
      </c>
      <c r="F3297" t="s">
        <v>0</v>
      </c>
      <c r="G3297" t="str">
        <f>"2018-10-17 23:02:13"</f>
        <v>2018-10-17 23:02:13</v>
      </c>
    </row>
    <row r="3298" spans="1:7" x14ac:dyDescent="0.2">
      <c r="A3298" t="s">
        <v>4721</v>
      </c>
      <c r="B3298" t="str">
        <f>"15964255280"</f>
        <v>15964255280</v>
      </c>
      <c r="C3298" t="str">
        <f>"37292219960828574X"</f>
        <v>37292219960828574X</v>
      </c>
      <c r="D3298" t="s">
        <v>1</v>
      </c>
      <c r="E3298" t="s">
        <v>1</v>
      </c>
      <c r="F3298" t="s">
        <v>0</v>
      </c>
      <c r="G3298" t="str">
        <f>"2018-10-17 23:04:49"</f>
        <v>2018-10-17 23:04:49</v>
      </c>
    </row>
    <row r="3299" spans="1:7" x14ac:dyDescent="0.2">
      <c r="A3299" t="s">
        <v>4722</v>
      </c>
      <c r="B3299" t="str">
        <f>"18582802869"</f>
        <v>18582802869</v>
      </c>
      <c r="C3299" t="str">
        <f>"511602199901117095"</f>
        <v>511602199901117095</v>
      </c>
      <c r="D3299" t="s">
        <v>1</v>
      </c>
      <c r="E3299" t="s">
        <v>1</v>
      </c>
      <c r="F3299" t="s">
        <v>0</v>
      </c>
      <c r="G3299" t="str">
        <f>"2018-10-21 13:23:04"</f>
        <v>2018-10-21 13:23:04</v>
      </c>
    </row>
    <row r="3300" spans="1:7" x14ac:dyDescent="0.2">
      <c r="A3300" t="s">
        <v>4723</v>
      </c>
      <c r="B3300" t="str">
        <f>"17703867787"</f>
        <v>17703867787</v>
      </c>
      <c r="C3300" t="str">
        <f>"411329198602041014"</f>
        <v>411329198602041014</v>
      </c>
      <c r="D3300" t="s">
        <v>1</v>
      </c>
      <c r="E3300" t="s">
        <v>1</v>
      </c>
      <c r="F3300" t="s">
        <v>0</v>
      </c>
      <c r="G3300" t="str">
        <f>"2018-10-18 14:53:21"</f>
        <v>2018-10-18 14:53:21</v>
      </c>
    </row>
    <row r="3301" spans="1:7" x14ac:dyDescent="0.2">
      <c r="A3301" t="s">
        <v>4724</v>
      </c>
      <c r="B3301" t="str">
        <f>"18717915840"</f>
        <v>18717915840</v>
      </c>
      <c r="C3301" t="str">
        <f>"31022519901018001X"</f>
        <v>31022519901018001X</v>
      </c>
      <c r="D3301" t="s">
        <v>1</v>
      </c>
      <c r="E3301" t="s">
        <v>1</v>
      </c>
      <c r="F3301" t="s">
        <v>0</v>
      </c>
      <c r="G3301" t="str">
        <f>"2018-10-17 22:58:34"</f>
        <v>2018-10-17 22:58:34</v>
      </c>
    </row>
    <row r="3302" spans="1:7" x14ac:dyDescent="0.2">
      <c r="A3302" t="s">
        <v>1558</v>
      </c>
      <c r="B3302" t="str">
        <f>"13617773466"</f>
        <v>13617773466</v>
      </c>
      <c r="C3302" t="str">
        <f>"450702199905196016"</f>
        <v>450702199905196016</v>
      </c>
      <c r="D3302" t="s">
        <v>1</v>
      </c>
      <c r="E3302" t="s">
        <v>1</v>
      </c>
      <c r="F3302" t="s">
        <v>0</v>
      </c>
      <c r="G3302" t="str">
        <f>"2018-10-17 22:58:10"</f>
        <v>2018-10-17 22:58:10</v>
      </c>
    </row>
    <row r="3303" spans="1:7" x14ac:dyDescent="0.2">
      <c r="A3303" t="s">
        <v>1</v>
      </c>
      <c r="B3303" t="str">
        <f>"18671734443"</f>
        <v>18671734443</v>
      </c>
      <c r="C3303" t="s">
        <v>1</v>
      </c>
      <c r="D3303" t="s">
        <v>1</v>
      </c>
      <c r="E3303" t="s">
        <v>1</v>
      </c>
      <c r="F3303" t="s">
        <v>0</v>
      </c>
      <c r="G3303" t="str">
        <f>"2018-10-17 22:58:02"</f>
        <v>2018-10-17 22:58:02</v>
      </c>
    </row>
    <row r="3304" spans="1:7" x14ac:dyDescent="0.2">
      <c r="A3304" t="s">
        <v>4725</v>
      </c>
      <c r="B3304" t="str">
        <f>"15393759281"</f>
        <v>15393759281</v>
      </c>
      <c r="C3304" t="str">
        <f>"411281199406224512"</f>
        <v>411281199406224512</v>
      </c>
      <c r="D3304" t="s">
        <v>1</v>
      </c>
      <c r="E3304" t="s">
        <v>1</v>
      </c>
      <c r="F3304" t="s">
        <v>0</v>
      </c>
      <c r="G3304" t="str">
        <f>"2018-10-17 22:55:19"</f>
        <v>2018-10-17 22:55:19</v>
      </c>
    </row>
    <row r="3305" spans="1:7" x14ac:dyDescent="0.2">
      <c r="A3305" t="s">
        <v>270</v>
      </c>
      <c r="B3305" t="str">
        <f>"13972093810"</f>
        <v>13972093810</v>
      </c>
      <c r="C3305" t="str">
        <f>"420683199309211854"</f>
        <v>420683199309211854</v>
      </c>
      <c r="D3305" t="s">
        <v>1</v>
      </c>
      <c r="E3305" t="s">
        <v>1</v>
      </c>
      <c r="F3305" t="s">
        <v>0</v>
      </c>
      <c r="G3305" t="str">
        <f>"2018-10-17 22:53:34"</f>
        <v>2018-10-17 22:53:34</v>
      </c>
    </row>
    <row r="3306" spans="1:7" x14ac:dyDescent="0.2">
      <c r="A3306" t="s">
        <v>1</v>
      </c>
      <c r="B3306" t="str">
        <f>"15762278430"</f>
        <v>15762278430</v>
      </c>
      <c r="C3306" t="s">
        <v>1</v>
      </c>
      <c r="D3306" t="s">
        <v>1</v>
      </c>
      <c r="E3306" t="s">
        <v>1</v>
      </c>
      <c r="F3306" t="s">
        <v>0</v>
      </c>
      <c r="G3306" t="str">
        <f>"2018-10-17 22:51:57"</f>
        <v>2018-10-17 22:51:57</v>
      </c>
    </row>
    <row r="3307" spans="1:7" x14ac:dyDescent="0.2">
      <c r="A3307" t="s">
        <v>4726</v>
      </c>
      <c r="B3307" t="str">
        <f>"18289939135"</f>
        <v>18289939135</v>
      </c>
      <c r="C3307" t="str">
        <f>"460022198708053045"</f>
        <v>460022198708053045</v>
      </c>
      <c r="D3307" t="s">
        <v>1</v>
      </c>
      <c r="E3307" t="s">
        <v>1</v>
      </c>
      <c r="F3307" t="s">
        <v>0</v>
      </c>
      <c r="G3307" t="str">
        <f>"2018-10-17 22:51:41"</f>
        <v>2018-10-17 22:51:41</v>
      </c>
    </row>
    <row r="3308" spans="1:7" x14ac:dyDescent="0.2">
      <c r="A3308" t="s">
        <v>4727</v>
      </c>
      <c r="B3308" t="str">
        <f>"13692109884"</f>
        <v>13692109884</v>
      </c>
      <c r="C3308" t="str">
        <f>"420115198110093215"</f>
        <v>420115198110093215</v>
      </c>
      <c r="D3308" t="s">
        <v>4728</v>
      </c>
      <c r="E3308" t="s">
        <v>4729</v>
      </c>
      <c r="F3308" t="s">
        <v>0</v>
      </c>
      <c r="G3308" t="str">
        <f>"2018-10-17 22:50:07"</f>
        <v>2018-10-17 22:50:07</v>
      </c>
    </row>
    <row r="3309" spans="1:7" x14ac:dyDescent="0.2">
      <c r="A3309" t="s">
        <v>1</v>
      </c>
      <c r="B3309" t="str">
        <f>"18689766388"</f>
        <v>18689766388</v>
      </c>
      <c r="C3309" t="s">
        <v>1</v>
      </c>
      <c r="D3309" t="s">
        <v>1</v>
      </c>
      <c r="E3309" t="s">
        <v>1</v>
      </c>
      <c r="F3309" t="s">
        <v>0</v>
      </c>
      <c r="G3309" t="str">
        <f>"2018-10-17 22:48:21"</f>
        <v>2018-10-17 22:48:21</v>
      </c>
    </row>
    <row r="3310" spans="1:7" x14ac:dyDescent="0.2">
      <c r="A3310" t="s">
        <v>4730</v>
      </c>
      <c r="B3310" t="str">
        <f>"13731030536"</f>
        <v>13731030536</v>
      </c>
      <c r="C3310" t="str">
        <f>"130423198607101011"</f>
        <v>130423198607101011</v>
      </c>
      <c r="D3310" t="s">
        <v>4731</v>
      </c>
      <c r="E3310" t="s">
        <v>4732</v>
      </c>
      <c r="F3310" t="s">
        <v>0</v>
      </c>
      <c r="G3310" t="str">
        <f>"2018-11-05 14:45:33"</f>
        <v>2018-11-05 14:45:33</v>
      </c>
    </row>
    <row r="3311" spans="1:7" x14ac:dyDescent="0.2">
      <c r="A3311" t="s">
        <v>1</v>
      </c>
      <c r="B3311" t="str">
        <f>"17610389297"</f>
        <v>17610389297</v>
      </c>
      <c r="C3311" t="s">
        <v>1</v>
      </c>
      <c r="D3311" t="s">
        <v>1</v>
      </c>
      <c r="E3311" t="s">
        <v>1</v>
      </c>
      <c r="F3311" t="s">
        <v>0</v>
      </c>
      <c r="G3311" t="str">
        <f>"2018-10-17 22:44:26"</f>
        <v>2018-10-17 22:44:26</v>
      </c>
    </row>
    <row r="3312" spans="1:7" x14ac:dyDescent="0.2">
      <c r="A3312" t="s">
        <v>4733</v>
      </c>
      <c r="B3312" t="str">
        <f>"18803534300"</f>
        <v>18803534300</v>
      </c>
      <c r="C3312" t="str">
        <f>"140311198907261712"</f>
        <v>140311198907261712</v>
      </c>
      <c r="D3312" t="s">
        <v>1</v>
      </c>
      <c r="E3312" t="s">
        <v>1</v>
      </c>
      <c r="F3312" t="s">
        <v>0</v>
      </c>
      <c r="G3312" t="str">
        <f>"2018-10-17 22:45:06"</f>
        <v>2018-10-17 22:45:06</v>
      </c>
    </row>
    <row r="3313" spans="1:7" x14ac:dyDescent="0.2">
      <c r="A3313" t="s">
        <v>1</v>
      </c>
      <c r="B3313" t="str">
        <f>"18675390592"</f>
        <v>18675390592</v>
      </c>
      <c r="C3313" t="s">
        <v>1</v>
      </c>
      <c r="D3313" t="s">
        <v>1</v>
      </c>
      <c r="E3313" t="s">
        <v>1</v>
      </c>
      <c r="F3313" t="s">
        <v>0</v>
      </c>
      <c r="G3313" t="str">
        <f>"2018-10-17 22:43:10"</f>
        <v>2018-10-17 22:43:10</v>
      </c>
    </row>
    <row r="3314" spans="1:7" x14ac:dyDescent="0.2">
      <c r="A3314" t="s">
        <v>4734</v>
      </c>
      <c r="B3314" t="str">
        <f>"15391421275"</f>
        <v>15391421275</v>
      </c>
      <c r="C3314" t="str">
        <f>"530322199507161911"</f>
        <v>530322199507161911</v>
      </c>
      <c r="D3314" t="s">
        <v>4735</v>
      </c>
      <c r="E3314" t="s">
        <v>4736</v>
      </c>
      <c r="F3314" t="s">
        <v>0</v>
      </c>
      <c r="G3314" t="str">
        <f>"2018-10-18 15:50:51"</f>
        <v>2018-10-18 15:50:51</v>
      </c>
    </row>
    <row r="3315" spans="1:7" x14ac:dyDescent="0.2">
      <c r="A3315" t="s">
        <v>4737</v>
      </c>
      <c r="B3315" t="str">
        <f>"13606941743"</f>
        <v>13606941743</v>
      </c>
      <c r="C3315" t="str">
        <f>"350881199001061618"</f>
        <v>350881199001061618</v>
      </c>
      <c r="D3315" t="s">
        <v>1</v>
      </c>
      <c r="E3315" t="s">
        <v>1</v>
      </c>
      <c r="F3315" t="s">
        <v>0</v>
      </c>
      <c r="G3315" t="str">
        <f>"2018-10-17 22:45:11"</f>
        <v>2018-10-17 22:45:11</v>
      </c>
    </row>
    <row r="3316" spans="1:7" x14ac:dyDescent="0.2">
      <c r="A3316" t="s">
        <v>1</v>
      </c>
      <c r="B3316" t="str">
        <f>"13626519299"</f>
        <v>13626519299</v>
      </c>
      <c r="C3316" t="s">
        <v>1</v>
      </c>
      <c r="D3316" t="s">
        <v>1</v>
      </c>
      <c r="E3316" t="s">
        <v>1</v>
      </c>
      <c r="F3316" t="s">
        <v>0</v>
      </c>
      <c r="G3316" t="str">
        <f>"2018-10-17 22:40:20"</f>
        <v>2018-10-17 22:40:20</v>
      </c>
    </row>
    <row r="3317" spans="1:7" x14ac:dyDescent="0.2">
      <c r="A3317" t="s">
        <v>4738</v>
      </c>
      <c r="B3317" t="str">
        <f>"15374333588"</f>
        <v>15374333588</v>
      </c>
      <c r="C3317" t="str">
        <f>"362329198112170813"</f>
        <v>362329198112170813</v>
      </c>
      <c r="D3317" t="s">
        <v>1</v>
      </c>
      <c r="E3317" t="s">
        <v>1</v>
      </c>
      <c r="F3317" t="s">
        <v>0</v>
      </c>
      <c r="G3317" t="str">
        <f>"2018-10-17 22:41:45"</f>
        <v>2018-10-17 22:41:45</v>
      </c>
    </row>
    <row r="3318" spans="1:7" x14ac:dyDescent="0.2">
      <c r="A3318" t="s">
        <v>1</v>
      </c>
      <c r="B3318" t="str">
        <f>"18668868519"</f>
        <v>18668868519</v>
      </c>
      <c r="C3318" t="s">
        <v>1</v>
      </c>
      <c r="D3318" t="s">
        <v>1</v>
      </c>
      <c r="E3318" t="s">
        <v>1</v>
      </c>
      <c r="F3318" t="s">
        <v>0</v>
      </c>
      <c r="G3318" t="str">
        <f>"2018-10-17 22:39:52"</f>
        <v>2018-10-17 22:39:52</v>
      </c>
    </row>
    <row r="3319" spans="1:7" x14ac:dyDescent="0.2">
      <c r="A3319" t="s">
        <v>4739</v>
      </c>
      <c r="B3319" t="str">
        <f>"15925840158"</f>
        <v>15925840158</v>
      </c>
      <c r="C3319" t="str">
        <f>"350322198710240035"</f>
        <v>350322198710240035</v>
      </c>
      <c r="D3319" t="s">
        <v>1</v>
      </c>
      <c r="E3319" t="s">
        <v>1</v>
      </c>
      <c r="F3319" t="s">
        <v>0</v>
      </c>
      <c r="G3319" t="str">
        <f>"2018-10-17 23:30:26"</f>
        <v>2018-10-17 23:30:26</v>
      </c>
    </row>
    <row r="3320" spans="1:7" x14ac:dyDescent="0.2">
      <c r="A3320" t="s">
        <v>4740</v>
      </c>
      <c r="B3320" t="str">
        <f>"18781244436"</f>
        <v>18781244436</v>
      </c>
      <c r="C3320" t="str">
        <f>"510821199807098341"</f>
        <v>510821199807098341</v>
      </c>
      <c r="D3320" t="s">
        <v>4741</v>
      </c>
      <c r="E3320" t="s">
        <v>4742</v>
      </c>
      <c r="F3320" t="s">
        <v>0</v>
      </c>
      <c r="G3320" t="str">
        <f>"2018-10-17 22:41:44"</f>
        <v>2018-10-17 22:41:44</v>
      </c>
    </row>
    <row r="3321" spans="1:7" x14ac:dyDescent="0.2">
      <c r="A3321" t="s">
        <v>4743</v>
      </c>
      <c r="B3321" t="str">
        <f>"17387223453"</f>
        <v>17387223453</v>
      </c>
      <c r="C3321" t="str">
        <f>"532922199310081314"</f>
        <v>532922199310081314</v>
      </c>
      <c r="D3321" t="s">
        <v>1</v>
      </c>
      <c r="E3321" t="s">
        <v>1</v>
      </c>
      <c r="F3321" t="s">
        <v>0</v>
      </c>
      <c r="G3321" t="str">
        <f>"2018-10-17 22:39:46"</f>
        <v>2018-10-17 22:39:46</v>
      </c>
    </row>
    <row r="3322" spans="1:7" x14ac:dyDescent="0.2">
      <c r="A3322" t="s">
        <v>69</v>
      </c>
      <c r="B3322" t="str">
        <f>"13870881048"</f>
        <v>13870881048</v>
      </c>
      <c r="C3322" t="str">
        <f>"360104196902090413"</f>
        <v>360104196902090413</v>
      </c>
      <c r="D3322" t="s">
        <v>4744</v>
      </c>
      <c r="E3322" t="s">
        <v>4745</v>
      </c>
      <c r="F3322" t="s">
        <v>0</v>
      </c>
      <c r="G3322" t="str">
        <f>"2018-10-17 22:37:06"</f>
        <v>2018-10-17 22:37:06</v>
      </c>
    </row>
    <row r="3323" spans="1:7" x14ac:dyDescent="0.2">
      <c r="A3323" t="s">
        <v>4746</v>
      </c>
      <c r="B3323" t="str">
        <f>"15923524463"</f>
        <v>15923524463</v>
      </c>
      <c r="C3323" t="str">
        <f>"500225198706106919"</f>
        <v>500225198706106919</v>
      </c>
      <c r="D3323" t="s">
        <v>1</v>
      </c>
      <c r="E3323" t="s">
        <v>1</v>
      </c>
      <c r="F3323" t="s">
        <v>0</v>
      </c>
      <c r="G3323" t="str">
        <f>"2018-10-18 07:53:16"</f>
        <v>2018-10-18 07:53:16</v>
      </c>
    </row>
    <row r="3324" spans="1:7" x14ac:dyDescent="0.2">
      <c r="A3324" t="s">
        <v>1</v>
      </c>
      <c r="B3324" t="str">
        <f>"17679351654"</f>
        <v>17679351654</v>
      </c>
      <c r="C3324" t="s">
        <v>1</v>
      </c>
      <c r="D3324" t="s">
        <v>1</v>
      </c>
      <c r="E3324" t="s">
        <v>1</v>
      </c>
      <c r="F3324" t="s">
        <v>0</v>
      </c>
      <c r="G3324" t="str">
        <f>"2018-10-17 22:34:12"</f>
        <v>2018-10-17 22:34:12</v>
      </c>
    </row>
    <row r="3325" spans="1:7" x14ac:dyDescent="0.2">
      <c r="A3325" t="s">
        <v>4747</v>
      </c>
      <c r="B3325" t="str">
        <f>"18456469775"</f>
        <v>18456469775</v>
      </c>
      <c r="C3325" t="str">
        <f>"342422198901060534"</f>
        <v>342422198901060534</v>
      </c>
      <c r="D3325" t="s">
        <v>1</v>
      </c>
      <c r="E3325" t="s">
        <v>1</v>
      </c>
      <c r="F3325" t="s">
        <v>0</v>
      </c>
      <c r="G3325" t="str">
        <f>"2018-10-17 23:13:47"</f>
        <v>2018-10-17 23:13:47</v>
      </c>
    </row>
    <row r="3326" spans="1:7" x14ac:dyDescent="0.2">
      <c r="A3326" t="s">
        <v>4748</v>
      </c>
      <c r="B3326" t="str">
        <f>"15578548257"</f>
        <v>15578548257</v>
      </c>
      <c r="C3326" t="str">
        <f>"450981200009113915"</f>
        <v>450981200009113915</v>
      </c>
      <c r="D3326" t="s">
        <v>1</v>
      </c>
      <c r="E3326" t="s">
        <v>1</v>
      </c>
      <c r="F3326" t="s">
        <v>0</v>
      </c>
      <c r="G3326" t="str">
        <f>"2018-10-23 20:27:42"</f>
        <v>2018-10-23 20:27:42</v>
      </c>
    </row>
    <row r="3327" spans="1:7" x14ac:dyDescent="0.2">
      <c r="A3327" t="s">
        <v>1</v>
      </c>
      <c r="B3327" t="str">
        <f>"15677617080"</f>
        <v>15677617080</v>
      </c>
      <c r="C3327" t="s">
        <v>1</v>
      </c>
      <c r="D3327" t="s">
        <v>1</v>
      </c>
      <c r="E3327" t="s">
        <v>1</v>
      </c>
      <c r="F3327" t="s">
        <v>0</v>
      </c>
      <c r="G3327" t="str">
        <f>"2018-10-17 22:32:32"</f>
        <v>2018-10-17 22:32:32</v>
      </c>
    </row>
    <row r="3328" spans="1:7" x14ac:dyDescent="0.2">
      <c r="A3328" t="s">
        <v>75</v>
      </c>
      <c r="B3328" t="str">
        <f>"15660008849"</f>
        <v>15660008849</v>
      </c>
      <c r="C3328" t="str">
        <f>"411330198603104510"</f>
        <v>411330198603104510</v>
      </c>
      <c r="D3328" t="s">
        <v>1</v>
      </c>
      <c r="E3328" t="s">
        <v>1</v>
      </c>
      <c r="F3328" t="s">
        <v>0</v>
      </c>
      <c r="G3328" t="str">
        <f>"2018-10-18 10:34:07"</f>
        <v>2018-10-18 10:34:07</v>
      </c>
    </row>
    <row r="3329" spans="1:7" x14ac:dyDescent="0.2">
      <c r="A3329" t="s">
        <v>4749</v>
      </c>
      <c r="B3329" t="str">
        <f>"18885904465"</f>
        <v>18885904465</v>
      </c>
      <c r="C3329" t="str">
        <f>"522323199410084418"</f>
        <v>522323199410084418</v>
      </c>
      <c r="D3329" t="s">
        <v>1</v>
      </c>
      <c r="E3329" t="s">
        <v>1</v>
      </c>
      <c r="F3329" t="s">
        <v>0</v>
      </c>
      <c r="G3329" t="str">
        <f>"2018-10-18 16:55:36"</f>
        <v>2018-10-18 16:55:36</v>
      </c>
    </row>
    <row r="3330" spans="1:7" x14ac:dyDescent="0.2">
      <c r="A3330" t="s">
        <v>4750</v>
      </c>
      <c r="B3330" t="str">
        <f>"13034063999"</f>
        <v>13034063999</v>
      </c>
      <c r="C3330" t="str">
        <f>"341226198703020359"</f>
        <v>341226198703020359</v>
      </c>
      <c r="D3330" t="s">
        <v>1</v>
      </c>
      <c r="E3330" t="s">
        <v>1</v>
      </c>
      <c r="F3330" t="s">
        <v>0</v>
      </c>
      <c r="G3330" t="str">
        <f>"2018-10-17 22:28:16"</f>
        <v>2018-10-17 22:28:16</v>
      </c>
    </row>
    <row r="3331" spans="1:7" x14ac:dyDescent="0.2">
      <c r="A3331" t="s">
        <v>364</v>
      </c>
      <c r="B3331" t="str">
        <f>"18244449142"</f>
        <v>18244449142</v>
      </c>
      <c r="C3331" t="str">
        <f>"513021199303022270"</f>
        <v>513021199303022270</v>
      </c>
      <c r="D3331" t="s">
        <v>1</v>
      </c>
      <c r="E3331" t="s">
        <v>1</v>
      </c>
      <c r="F3331" t="s">
        <v>0</v>
      </c>
      <c r="G3331" t="str">
        <f>"2018-10-22 21:00:25"</f>
        <v>2018-10-22 21:00:25</v>
      </c>
    </row>
    <row r="3332" spans="1:7" x14ac:dyDescent="0.2">
      <c r="A3332" t="s">
        <v>4751</v>
      </c>
      <c r="B3332" t="str">
        <f>"13822533850"</f>
        <v>13822533850</v>
      </c>
      <c r="C3332" t="str">
        <f>"440823199003025918"</f>
        <v>440823199003025918</v>
      </c>
      <c r="D3332" t="s">
        <v>1</v>
      </c>
      <c r="E3332" t="s">
        <v>1</v>
      </c>
      <c r="F3332" t="s">
        <v>0</v>
      </c>
      <c r="G3332" t="str">
        <f>"2018-10-17 23:24:33"</f>
        <v>2018-10-17 23:24:33</v>
      </c>
    </row>
    <row r="3333" spans="1:7" x14ac:dyDescent="0.2">
      <c r="A3333" t="s">
        <v>1</v>
      </c>
      <c r="B3333" t="str">
        <f>"18481541731"</f>
        <v>18481541731</v>
      </c>
      <c r="C3333" t="s">
        <v>1</v>
      </c>
      <c r="D3333" t="s">
        <v>1</v>
      </c>
      <c r="E3333" t="s">
        <v>1</v>
      </c>
      <c r="F3333" t="s">
        <v>0</v>
      </c>
      <c r="G3333" t="str">
        <f>"2018-10-17 22:22:04"</f>
        <v>2018-10-17 22:22:04</v>
      </c>
    </row>
    <row r="3334" spans="1:7" x14ac:dyDescent="0.2">
      <c r="A3334" t="s">
        <v>4752</v>
      </c>
      <c r="B3334" t="str">
        <f>"15921152187"</f>
        <v>15921152187</v>
      </c>
      <c r="C3334" t="str">
        <f>"341024199006139734"</f>
        <v>341024199006139734</v>
      </c>
      <c r="D3334" t="s">
        <v>1</v>
      </c>
      <c r="E3334" t="s">
        <v>1</v>
      </c>
      <c r="F3334" t="s">
        <v>0</v>
      </c>
      <c r="G3334" t="str">
        <f>"2018-10-25 16:04:18"</f>
        <v>2018-10-25 16:04:18</v>
      </c>
    </row>
    <row r="3335" spans="1:7" x14ac:dyDescent="0.2">
      <c r="A3335" t="s">
        <v>4753</v>
      </c>
      <c r="B3335" t="str">
        <f>"15758289432"</f>
        <v>15758289432</v>
      </c>
      <c r="C3335" t="str">
        <f>"532724198804200616"</f>
        <v>532724198804200616</v>
      </c>
      <c r="D3335" t="s">
        <v>1</v>
      </c>
      <c r="E3335" t="s">
        <v>1</v>
      </c>
      <c r="F3335" t="s">
        <v>0</v>
      </c>
      <c r="G3335" t="str">
        <f>"2018-10-17 23:26:20"</f>
        <v>2018-10-17 23:26:20</v>
      </c>
    </row>
    <row r="3336" spans="1:7" x14ac:dyDescent="0.2">
      <c r="A3336" t="s">
        <v>1</v>
      </c>
      <c r="B3336" t="str">
        <f>"15678584079"</f>
        <v>15678584079</v>
      </c>
      <c r="C3336" t="s">
        <v>1</v>
      </c>
      <c r="D3336" t="s">
        <v>1</v>
      </c>
      <c r="E3336" t="s">
        <v>1</v>
      </c>
      <c r="F3336" t="s">
        <v>0</v>
      </c>
      <c r="G3336" t="str">
        <f>"2018-10-17 22:16:23"</f>
        <v>2018-10-17 22:16:23</v>
      </c>
    </row>
    <row r="3337" spans="1:7" x14ac:dyDescent="0.2">
      <c r="A3337" t="s">
        <v>4754</v>
      </c>
      <c r="B3337" t="str">
        <f>"13841766046"</f>
        <v>13841766046</v>
      </c>
      <c r="C3337" t="str">
        <f>"210802198601034022"</f>
        <v>210802198601034022</v>
      </c>
      <c r="D3337" t="s">
        <v>1</v>
      </c>
      <c r="E3337" t="s">
        <v>1</v>
      </c>
      <c r="F3337" t="s">
        <v>0</v>
      </c>
      <c r="G3337" t="str">
        <f>"2018-10-17 22:20:07"</f>
        <v>2018-10-17 22:20:07</v>
      </c>
    </row>
    <row r="3338" spans="1:7" x14ac:dyDescent="0.2">
      <c r="A3338" t="s">
        <v>370</v>
      </c>
      <c r="B3338" t="str">
        <f>"18283956071"</f>
        <v>18283956071</v>
      </c>
      <c r="C3338" t="str">
        <f>"510811198508014972"</f>
        <v>510811198508014972</v>
      </c>
      <c r="D3338" t="s">
        <v>1</v>
      </c>
      <c r="E3338" t="s">
        <v>1</v>
      </c>
      <c r="F3338" t="s">
        <v>0</v>
      </c>
      <c r="G3338" t="str">
        <f>"2018-10-17 22:12:40"</f>
        <v>2018-10-17 22:12:40</v>
      </c>
    </row>
    <row r="3339" spans="1:7" x14ac:dyDescent="0.2">
      <c r="A3339" t="s">
        <v>4755</v>
      </c>
      <c r="B3339" t="str">
        <f>"13822914422"</f>
        <v>13822914422</v>
      </c>
      <c r="C3339" t="str">
        <f>"44522419980715190X"</f>
        <v>44522419980715190X</v>
      </c>
      <c r="D3339" t="s">
        <v>1</v>
      </c>
      <c r="E3339" t="s">
        <v>1</v>
      </c>
      <c r="F3339" t="s">
        <v>0</v>
      </c>
      <c r="G3339" t="str">
        <f>"2018-10-17 22:21:37"</f>
        <v>2018-10-17 22:21:37</v>
      </c>
    </row>
    <row r="3340" spans="1:7" x14ac:dyDescent="0.2">
      <c r="A3340" t="s">
        <v>4756</v>
      </c>
      <c r="B3340" t="str">
        <f>"18954060559"</f>
        <v>18954060559</v>
      </c>
      <c r="C3340" t="str">
        <f>"370830199102030814"</f>
        <v>370830199102030814</v>
      </c>
      <c r="D3340" t="s">
        <v>1</v>
      </c>
      <c r="E3340" t="s">
        <v>1</v>
      </c>
      <c r="F3340" t="s">
        <v>0</v>
      </c>
      <c r="G3340" t="str">
        <f>"2018-10-17 22:15:04"</f>
        <v>2018-10-17 22:15:04</v>
      </c>
    </row>
    <row r="3341" spans="1:7" x14ac:dyDescent="0.2">
      <c r="A3341" t="s">
        <v>4757</v>
      </c>
      <c r="B3341" t="str">
        <f>"18254964820"</f>
        <v>18254964820</v>
      </c>
      <c r="C3341" t="str">
        <f>"371329199701020018"</f>
        <v>371329199701020018</v>
      </c>
      <c r="D3341" t="s">
        <v>1</v>
      </c>
      <c r="E3341" t="s">
        <v>1</v>
      </c>
      <c r="F3341" t="s">
        <v>0</v>
      </c>
      <c r="G3341" t="str">
        <f>"2018-10-17 22:21:32"</f>
        <v>2018-10-17 22:21:32</v>
      </c>
    </row>
    <row r="3342" spans="1:7" x14ac:dyDescent="0.2">
      <c r="A3342" t="s">
        <v>1</v>
      </c>
      <c r="B3342" t="str">
        <f>"15026219233"</f>
        <v>15026219233</v>
      </c>
      <c r="C3342" t="s">
        <v>1</v>
      </c>
      <c r="D3342" t="s">
        <v>1</v>
      </c>
      <c r="E3342" t="s">
        <v>1</v>
      </c>
      <c r="F3342" t="s">
        <v>0</v>
      </c>
      <c r="G3342" t="str">
        <f>"2018-10-17 22:08:13"</f>
        <v>2018-10-17 22:08:13</v>
      </c>
    </row>
    <row r="3343" spans="1:7" x14ac:dyDescent="0.2">
      <c r="A3343" t="s">
        <v>1</v>
      </c>
      <c r="B3343" t="str">
        <f>"17600081835"</f>
        <v>17600081835</v>
      </c>
      <c r="C3343" t="s">
        <v>1</v>
      </c>
      <c r="D3343" t="s">
        <v>1</v>
      </c>
      <c r="E3343" t="s">
        <v>1</v>
      </c>
      <c r="F3343" t="s">
        <v>0</v>
      </c>
      <c r="G3343" t="str">
        <f>"2018-10-17 22:07:52"</f>
        <v>2018-10-17 22:07:52</v>
      </c>
    </row>
    <row r="3344" spans="1:7" x14ac:dyDescent="0.2">
      <c r="A3344" t="s">
        <v>4758</v>
      </c>
      <c r="B3344" t="str">
        <f>"18438080421"</f>
        <v>18438080421</v>
      </c>
      <c r="C3344" t="str">
        <f>"411627199410165416"</f>
        <v>411627199410165416</v>
      </c>
      <c r="D3344" t="s">
        <v>1</v>
      </c>
      <c r="E3344" t="s">
        <v>1</v>
      </c>
      <c r="F3344" t="s">
        <v>0</v>
      </c>
      <c r="G3344" t="str">
        <f>"2018-10-17 22:08:45"</f>
        <v>2018-10-17 22:08:45</v>
      </c>
    </row>
    <row r="3345" spans="1:7" x14ac:dyDescent="0.2">
      <c r="A3345" t="s">
        <v>4759</v>
      </c>
      <c r="B3345" t="str">
        <f>"13726346680"</f>
        <v>13726346680</v>
      </c>
      <c r="C3345" t="str">
        <f>"360321199108051514"</f>
        <v>360321199108051514</v>
      </c>
      <c r="D3345" t="s">
        <v>1</v>
      </c>
      <c r="E3345" t="s">
        <v>1</v>
      </c>
      <c r="F3345" t="s">
        <v>0</v>
      </c>
      <c r="G3345" t="str">
        <f>"2018-10-17 22:08:02"</f>
        <v>2018-10-17 22:08:02</v>
      </c>
    </row>
    <row r="3346" spans="1:7" x14ac:dyDescent="0.2">
      <c r="A3346" t="s">
        <v>1384</v>
      </c>
      <c r="B3346" t="str">
        <f>"18556943611"</f>
        <v>18556943611</v>
      </c>
      <c r="C3346" t="str">
        <f>"513401199902263611"</f>
        <v>513401199902263611</v>
      </c>
      <c r="D3346" t="s">
        <v>1</v>
      </c>
      <c r="E3346" t="s">
        <v>1</v>
      </c>
      <c r="F3346" t="s">
        <v>0</v>
      </c>
      <c r="G3346" t="str">
        <f>"2018-10-17 22:11:31"</f>
        <v>2018-10-17 22:11:31</v>
      </c>
    </row>
    <row r="3347" spans="1:7" x14ac:dyDescent="0.2">
      <c r="A3347" t="s">
        <v>1</v>
      </c>
      <c r="B3347" t="str">
        <f>"13262498450"</f>
        <v>13262498450</v>
      </c>
      <c r="C3347" t="s">
        <v>1</v>
      </c>
      <c r="D3347" t="s">
        <v>1</v>
      </c>
      <c r="E3347" t="s">
        <v>1</v>
      </c>
      <c r="F3347" t="s">
        <v>0</v>
      </c>
      <c r="G3347" t="str">
        <f>"2018-10-17 22:04:30"</f>
        <v>2018-10-17 22:04:30</v>
      </c>
    </row>
    <row r="3348" spans="1:7" x14ac:dyDescent="0.2">
      <c r="A3348" t="s">
        <v>4760</v>
      </c>
      <c r="B3348" t="str">
        <f>"13840512105"</f>
        <v>13840512105</v>
      </c>
      <c r="C3348" t="str">
        <f>"21011319880709112X"</f>
        <v>21011319880709112X</v>
      </c>
      <c r="D3348" t="s">
        <v>1</v>
      </c>
      <c r="E3348" t="s">
        <v>1</v>
      </c>
      <c r="F3348" t="s">
        <v>0</v>
      </c>
      <c r="G3348" t="str">
        <f>"2018-10-17 22:05:07"</f>
        <v>2018-10-17 22:05:07</v>
      </c>
    </row>
    <row r="3349" spans="1:7" x14ac:dyDescent="0.2">
      <c r="A3349" t="s">
        <v>4761</v>
      </c>
      <c r="B3349" t="str">
        <f>"13893375740"</f>
        <v>13893375740</v>
      </c>
      <c r="C3349" t="str">
        <f>"620102198608131114"</f>
        <v>620102198608131114</v>
      </c>
      <c r="D3349" t="s">
        <v>1</v>
      </c>
      <c r="E3349" t="s">
        <v>1</v>
      </c>
      <c r="F3349" t="s">
        <v>0</v>
      </c>
      <c r="G3349" t="str">
        <f>"2018-10-18 11:12:32"</f>
        <v>2018-10-18 11:12:32</v>
      </c>
    </row>
    <row r="3350" spans="1:7" x14ac:dyDescent="0.2">
      <c r="A3350" t="s">
        <v>4762</v>
      </c>
      <c r="B3350" t="str">
        <f>"18802516877"</f>
        <v>18802516877</v>
      </c>
      <c r="C3350" t="str">
        <f>"440982198209233174"</f>
        <v>440982198209233174</v>
      </c>
      <c r="D3350" t="s">
        <v>1</v>
      </c>
      <c r="E3350" t="s">
        <v>1</v>
      </c>
      <c r="F3350" t="s">
        <v>0</v>
      </c>
      <c r="G3350" t="str">
        <f>"2018-10-17 22:11:45"</f>
        <v>2018-10-17 22:11:45</v>
      </c>
    </row>
    <row r="3351" spans="1:7" x14ac:dyDescent="0.2">
      <c r="A3351" t="s">
        <v>1150</v>
      </c>
      <c r="B3351" t="str">
        <f>"17530405292"</f>
        <v>17530405292</v>
      </c>
      <c r="C3351" t="str">
        <f>"412826199801162816"</f>
        <v>412826199801162816</v>
      </c>
      <c r="D3351" t="s">
        <v>1</v>
      </c>
      <c r="E3351" t="s">
        <v>1</v>
      </c>
      <c r="F3351" t="s">
        <v>0</v>
      </c>
      <c r="G3351" t="str">
        <f>"2018-10-17 22:02:07"</f>
        <v>2018-10-17 22:02:07</v>
      </c>
    </row>
    <row r="3352" spans="1:7" x14ac:dyDescent="0.2">
      <c r="A3352" t="s">
        <v>4763</v>
      </c>
      <c r="B3352" t="str">
        <f>"13987335855"</f>
        <v>13987335855</v>
      </c>
      <c r="C3352" t="str">
        <f>"532524198409221213"</f>
        <v>532524198409221213</v>
      </c>
      <c r="D3352" t="s">
        <v>1</v>
      </c>
      <c r="E3352" t="s">
        <v>1</v>
      </c>
      <c r="F3352" t="s">
        <v>0</v>
      </c>
      <c r="G3352" t="str">
        <f>"2018-11-05 14:37:56"</f>
        <v>2018-11-05 14:37:56</v>
      </c>
    </row>
    <row r="3353" spans="1:7" x14ac:dyDescent="0.2">
      <c r="A3353" t="s">
        <v>4764</v>
      </c>
      <c r="B3353" t="str">
        <f>"13403587845"</f>
        <v>13403587845</v>
      </c>
      <c r="C3353" t="str">
        <f>"142322198507061579"</f>
        <v>142322198507061579</v>
      </c>
      <c r="D3353" t="s">
        <v>4765</v>
      </c>
      <c r="E3353" t="s">
        <v>4766</v>
      </c>
      <c r="F3353" t="s">
        <v>0</v>
      </c>
      <c r="G3353" t="str">
        <f>"2018-10-17 22:01:53"</f>
        <v>2018-10-17 22:01:53</v>
      </c>
    </row>
    <row r="3354" spans="1:7" x14ac:dyDescent="0.2">
      <c r="A3354" t="s">
        <v>4767</v>
      </c>
      <c r="B3354" t="str">
        <f>"13587268393"</f>
        <v>13587268393</v>
      </c>
      <c r="C3354" t="str">
        <f>"330521198509134012"</f>
        <v>330521198509134012</v>
      </c>
      <c r="D3354" t="s">
        <v>1</v>
      </c>
      <c r="E3354" t="s">
        <v>1</v>
      </c>
      <c r="F3354" t="s">
        <v>0</v>
      </c>
      <c r="G3354" t="str">
        <f>"2018-10-17 22:01:58"</f>
        <v>2018-10-17 22:01:58</v>
      </c>
    </row>
    <row r="3355" spans="1:7" x14ac:dyDescent="0.2">
      <c r="A3355" t="s">
        <v>1874</v>
      </c>
      <c r="B3355" t="str">
        <f>"15891739441"</f>
        <v>15891739441</v>
      </c>
      <c r="C3355" t="str">
        <f>"610103198907242812"</f>
        <v>610103198907242812</v>
      </c>
      <c r="D3355" t="s">
        <v>1</v>
      </c>
      <c r="E3355" t="s">
        <v>1</v>
      </c>
      <c r="F3355" t="s">
        <v>0</v>
      </c>
      <c r="G3355" t="str">
        <f>"2018-10-17 22:05:39"</f>
        <v>2018-10-17 22:05:39</v>
      </c>
    </row>
    <row r="3356" spans="1:7" x14ac:dyDescent="0.2">
      <c r="A3356" t="s">
        <v>4768</v>
      </c>
      <c r="B3356" t="str">
        <f>"15183248030"</f>
        <v>15183248030</v>
      </c>
      <c r="C3356" t="str">
        <f>"51390119950830702X"</f>
        <v>51390119950830702X</v>
      </c>
      <c r="D3356" t="s">
        <v>4769</v>
      </c>
      <c r="E3356" t="s">
        <v>4770</v>
      </c>
      <c r="F3356" t="s">
        <v>0</v>
      </c>
      <c r="G3356" t="str">
        <f>"2018-10-17 21:59:47"</f>
        <v>2018-10-17 21:59:47</v>
      </c>
    </row>
    <row r="3357" spans="1:7" x14ac:dyDescent="0.2">
      <c r="A3357" t="s">
        <v>1766</v>
      </c>
      <c r="B3357" t="str">
        <f>"17614379403"</f>
        <v>17614379403</v>
      </c>
      <c r="C3357" t="str">
        <f>"220422200002220419"</f>
        <v>220422200002220419</v>
      </c>
      <c r="D3357" t="s">
        <v>1</v>
      </c>
      <c r="E3357" t="s">
        <v>1</v>
      </c>
      <c r="F3357" t="s">
        <v>0</v>
      </c>
      <c r="G3357" t="str">
        <f>"2018-10-17 21:57:37"</f>
        <v>2018-10-17 21:57:37</v>
      </c>
    </row>
    <row r="3358" spans="1:7" x14ac:dyDescent="0.2">
      <c r="A3358" t="s">
        <v>4771</v>
      </c>
      <c r="B3358" t="str">
        <f>"15972910522"</f>
        <v>15972910522</v>
      </c>
      <c r="C3358" t="str">
        <f>"420281199207275414"</f>
        <v>420281199207275414</v>
      </c>
      <c r="D3358" t="s">
        <v>4772</v>
      </c>
      <c r="E3358" t="s">
        <v>4773</v>
      </c>
      <c r="F3358" t="s">
        <v>0</v>
      </c>
      <c r="G3358" t="str">
        <f>"2018-10-17 21:59:05"</f>
        <v>2018-10-17 21:59:05</v>
      </c>
    </row>
    <row r="3359" spans="1:7" x14ac:dyDescent="0.2">
      <c r="A3359" t="s">
        <v>4774</v>
      </c>
      <c r="B3359" t="str">
        <f>"13943589792"</f>
        <v>13943589792</v>
      </c>
      <c r="C3359" t="str">
        <f>"220403198407063993"</f>
        <v>220403198407063993</v>
      </c>
      <c r="D3359" t="s">
        <v>1</v>
      </c>
      <c r="E3359" t="s">
        <v>1</v>
      </c>
      <c r="F3359" t="s">
        <v>0</v>
      </c>
      <c r="G3359" t="str">
        <f>"2018-10-23 15:58:16"</f>
        <v>2018-10-23 15:58:16</v>
      </c>
    </row>
    <row r="3360" spans="1:7" x14ac:dyDescent="0.2">
      <c r="A3360" t="s">
        <v>4775</v>
      </c>
      <c r="B3360" t="str">
        <f>"18757437166"</f>
        <v>18757437166</v>
      </c>
      <c r="C3360" t="str">
        <f>"330226199406247057"</f>
        <v>330226199406247057</v>
      </c>
      <c r="D3360" t="s">
        <v>1</v>
      </c>
      <c r="E3360" t="s">
        <v>1</v>
      </c>
      <c r="F3360" t="s">
        <v>0</v>
      </c>
      <c r="G3360" t="str">
        <f>"2018-10-17 21:56:30"</f>
        <v>2018-10-17 21:56:30</v>
      </c>
    </row>
    <row r="3361" spans="1:7" x14ac:dyDescent="0.2">
      <c r="A3361" t="s">
        <v>414</v>
      </c>
      <c r="B3361" t="str">
        <f>"13757955516"</f>
        <v>13757955516</v>
      </c>
      <c r="C3361" t="str">
        <f>"433123199010041214"</f>
        <v>433123199010041214</v>
      </c>
      <c r="D3361" t="s">
        <v>1</v>
      </c>
      <c r="E3361" t="s">
        <v>1</v>
      </c>
      <c r="F3361" t="s">
        <v>0</v>
      </c>
      <c r="G3361" t="str">
        <f>"2018-10-17 22:03:21"</f>
        <v>2018-10-17 22:03:21</v>
      </c>
    </row>
    <row r="3362" spans="1:7" x14ac:dyDescent="0.2">
      <c r="A3362" t="s">
        <v>1609</v>
      </c>
      <c r="B3362" t="str">
        <f>"18268164365"</f>
        <v>18268164365</v>
      </c>
      <c r="C3362" t="str">
        <f>"341021198911255272"</f>
        <v>341021198911255272</v>
      </c>
      <c r="D3362" t="s">
        <v>1</v>
      </c>
      <c r="E3362" t="s">
        <v>1</v>
      </c>
      <c r="F3362" t="s">
        <v>0</v>
      </c>
      <c r="G3362" t="str">
        <f>"2018-10-17 21:54:54"</f>
        <v>2018-10-17 21:54:54</v>
      </c>
    </row>
    <row r="3363" spans="1:7" x14ac:dyDescent="0.2">
      <c r="A3363" t="s">
        <v>1</v>
      </c>
      <c r="B3363" t="str">
        <f>"15834459521"</f>
        <v>15834459521</v>
      </c>
      <c r="C3363" t="s">
        <v>1</v>
      </c>
      <c r="D3363" t="s">
        <v>1</v>
      </c>
      <c r="E3363" t="s">
        <v>1</v>
      </c>
      <c r="F3363" t="s">
        <v>0</v>
      </c>
      <c r="G3363" t="str">
        <f>"2018-10-17 21:53:14"</f>
        <v>2018-10-17 21:53:14</v>
      </c>
    </row>
    <row r="3364" spans="1:7" x14ac:dyDescent="0.2">
      <c r="A3364" t="s">
        <v>4776</v>
      </c>
      <c r="B3364" t="str">
        <f>"18296756636"</f>
        <v>18296756636</v>
      </c>
      <c r="C3364" t="str">
        <f>"360722199502153656"</f>
        <v>360722199502153656</v>
      </c>
      <c r="D3364" t="s">
        <v>1</v>
      </c>
      <c r="E3364" t="s">
        <v>1</v>
      </c>
      <c r="F3364" t="s">
        <v>0</v>
      </c>
      <c r="G3364" t="str">
        <f>"2018-10-17 21:52:53"</f>
        <v>2018-10-17 21:52:53</v>
      </c>
    </row>
    <row r="3365" spans="1:7" x14ac:dyDescent="0.2">
      <c r="A3365" t="s">
        <v>1</v>
      </c>
      <c r="B3365" t="str">
        <f>"13587585483"</f>
        <v>13587585483</v>
      </c>
      <c r="C3365" t="s">
        <v>1</v>
      </c>
      <c r="D3365" t="s">
        <v>1</v>
      </c>
      <c r="E3365" t="s">
        <v>1</v>
      </c>
      <c r="F3365" t="s">
        <v>0</v>
      </c>
      <c r="G3365" t="str">
        <f>"2018-10-17 21:52:37"</f>
        <v>2018-10-17 21:52:37</v>
      </c>
    </row>
    <row r="3366" spans="1:7" x14ac:dyDescent="0.2">
      <c r="A3366" t="s">
        <v>4777</v>
      </c>
      <c r="B3366" t="str">
        <f>"15952930341"</f>
        <v>15952930341</v>
      </c>
      <c r="C3366" t="str">
        <f>"321183199110261010"</f>
        <v>321183199110261010</v>
      </c>
      <c r="D3366" t="s">
        <v>1</v>
      </c>
      <c r="E3366" t="s">
        <v>1</v>
      </c>
      <c r="F3366" t="s">
        <v>0</v>
      </c>
      <c r="G3366" t="str">
        <f>"2018-10-17 21:56:20"</f>
        <v>2018-10-17 21:56:20</v>
      </c>
    </row>
    <row r="3367" spans="1:7" x14ac:dyDescent="0.2">
      <c r="A3367" t="s">
        <v>4778</v>
      </c>
      <c r="B3367" t="str">
        <f>"13476983366"</f>
        <v>13476983366</v>
      </c>
      <c r="C3367" t="str">
        <f>"420400197406220540"</f>
        <v>420400197406220540</v>
      </c>
      <c r="D3367" t="s">
        <v>4779</v>
      </c>
      <c r="E3367" t="s">
        <v>4780</v>
      </c>
      <c r="F3367" t="s">
        <v>0</v>
      </c>
      <c r="G3367" t="str">
        <f>"2018-10-17 21:53:02"</f>
        <v>2018-10-17 21:53:02</v>
      </c>
    </row>
    <row r="3368" spans="1:7" x14ac:dyDescent="0.2">
      <c r="A3368" t="s">
        <v>4781</v>
      </c>
      <c r="B3368" t="str">
        <f>"13008667712"</f>
        <v>13008667712</v>
      </c>
      <c r="C3368" t="str">
        <f>"530125199102022719"</f>
        <v>530125199102022719</v>
      </c>
      <c r="D3368" t="s">
        <v>1</v>
      </c>
      <c r="E3368" t="s">
        <v>1</v>
      </c>
      <c r="F3368" t="s">
        <v>0</v>
      </c>
      <c r="G3368" t="str">
        <f>"2018-10-17 21:51:35"</f>
        <v>2018-10-17 21:51:35</v>
      </c>
    </row>
    <row r="3369" spans="1:7" x14ac:dyDescent="0.2">
      <c r="A3369" t="s">
        <v>4782</v>
      </c>
      <c r="B3369" t="str">
        <f>"13610614310"</f>
        <v>13610614310</v>
      </c>
      <c r="C3369" t="str">
        <f>"142625199604214813"</f>
        <v>142625199604214813</v>
      </c>
      <c r="D3369" t="s">
        <v>1</v>
      </c>
      <c r="E3369" t="s">
        <v>1</v>
      </c>
      <c r="F3369" t="s">
        <v>0</v>
      </c>
      <c r="G3369" t="str">
        <f>"2018-10-17 22:04:08"</f>
        <v>2018-10-17 22:04:08</v>
      </c>
    </row>
    <row r="3370" spans="1:7" x14ac:dyDescent="0.2">
      <c r="A3370" t="s">
        <v>4783</v>
      </c>
      <c r="B3370" t="str">
        <f>"13468115825"</f>
        <v>13468115825</v>
      </c>
      <c r="C3370" t="str">
        <f>"371312198703276410"</f>
        <v>371312198703276410</v>
      </c>
      <c r="D3370" t="s">
        <v>1</v>
      </c>
      <c r="E3370" t="s">
        <v>1</v>
      </c>
      <c r="F3370" t="s">
        <v>0</v>
      </c>
      <c r="G3370" t="str">
        <f>"2018-10-17 21:52:27"</f>
        <v>2018-10-17 21:52:27</v>
      </c>
    </row>
    <row r="3371" spans="1:7" x14ac:dyDescent="0.2">
      <c r="A3371" t="s">
        <v>4784</v>
      </c>
      <c r="B3371" t="str">
        <f>"13570153770"</f>
        <v>13570153770</v>
      </c>
      <c r="C3371" t="str">
        <f>"441421199106050055"</f>
        <v>441421199106050055</v>
      </c>
      <c r="D3371" t="s">
        <v>1</v>
      </c>
      <c r="E3371" t="s">
        <v>1</v>
      </c>
      <c r="F3371" t="s">
        <v>0</v>
      </c>
      <c r="G3371" t="str">
        <f>"2018-10-17 21:56:02"</f>
        <v>2018-10-17 21:56:02</v>
      </c>
    </row>
    <row r="3372" spans="1:7" x14ac:dyDescent="0.2">
      <c r="A3372" t="s">
        <v>4785</v>
      </c>
      <c r="B3372" t="str">
        <f>"15959391570"</f>
        <v>15959391570</v>
      </c>
      <c r="C3372" t="str">
        <f>"350212198212094540"</f>
        <v>350212198212094540</v>
      </c>
      <c r="D3372" t="s">
        <v>1</v>
      </c>
      <c r="E3372" t="s">
        <v>1</v>
      </c>
      <c r="F3372" t="s">
        <v>0</v>
      </c>
      <c r="G3372" t="str">
        <f>"2018-10-17 21:50:41"</f>
        <v>2018-10-17 21:50:41</v>
      </c>
    </row>
    <row r="3373" spans="1:7" x14ac:dyDescent="0.2">
      <c r="A3373" t="s">
        <v>4786</v>
      </c>
      <c r="B3373" t="str">
        <f>"15958996515"</f>
        <v>15958996515</v>
      </c>
      <c r="C3373" t="str">
        <f>"33070219870226411X"</f>
        <v>33070219870226411X</v>
      </c>
      <c r="D3373" t="s">
        <v>1</v>
      </c>
      <c r="E3373" t="s">
        <v>1</v>
      </c>
      <c r="F3373" t="s">
        <v>0</v>
      </c>
      <c r="G3373" t="str">
        <f>"2018-10-17 21:49:02"</f>
        <v>2018-10-17 21:49:02</v>
      </c>
    </row>
    <row r="3374" spans="1:7" x14ac:dyDescent="0.2">
      <c r="A3374" t="s">
        <v>1</v>
      </c>
      <c r="B3374" t="str">
        <f>"13841415508"</f>
        <v>13841415508</v>
      </c>
      <c r="C3374" t="s">
        <v>1</v>
      </c>
      <c r="D3374" t="s">
        <v>1</v>
      </c>
      <c r="E3374" t="s">
        <v>1</v>
      </c>
      <c r="F3374" t="s">
        <v>0</v>
      </c>
      <c r="G3374" t="str">
        <f>"2018-10-17 21:47:25"</f>
        <v>2018-10-17 21:47:25</v>
      </c>
    </row>
    <row r="3375" spans="1:7" x14ac:dyDescent="0.2">
      <c r="A3375" t="s">
        <v>929</v>
      </c>
      <c r="B3375" t="str">
        <f>"18576671302"</f>
        <v>18576671302</v>
      </c>
      <c r="C3375" t="str">
        <f>"152301199302101017"</f>
        <v>152301199302101017</v>
      </c>
      <c r="D3375" t="s">
        <v>4787</v>
      </c>
      <c r="E3375" t="s">
        <v>4788</v>
      </c>
      <c r="F3375" t="s">
        <v>0</v>
      </c>
      <c r="G3375" t="str">
        <f>"2018-10-17 21:52:52"</f>
        <v>2018-10-17 21:52:52</v>
      </c>
    </row>
    <row r="3376" spans="1:7" x14ac:dyDescent="0.2">
      <c r="A3376" t="s">
        <v>1207</v>
      </c>
      <c r="B3376" t="str">
        <f>"18287821476"</f>
        <v>18287821476</v>
      </c>
      <c r="C3376" t="str">
        <f>"53042519980110092X"</f>
        <v>53042519980110092X</v>
      </c>
      <c r="D3376" t="s">
        <v>1</v>
      </c>
      <c r="E3376" t="s">
        <v>1</v>
      </c>
      <c r="F3376" t="s">
        <v>0</v>
      </c>
      <c r="G3376" t="str">
        <f>"2018-10-17 21:45:37"</f>
        <v>2018-10-17 21:45:37</v>
      </c>
    </row>
    <row r="3377" spans="1:7" x14ac:dyDescent="0.2">
      <c r="A3377" t="s">
        <v>4789</v>
      </c>
      <c r="B3377" t="str">
        <f>"18291168235"</f>
        <v>18291168235</v>
      </c>
      <c r="C3377" t="str">
        <f>"610525199110084348"</f>
        <v>610525199110084348</v>
      </c>
      <c r="D3377" t="s">
        <v>1</v>
      </c>
      <c r="E3377" t="s">
        <v>1</v>
      </c>
      <c r="F3377" t="s">
        <v>0</v>
      </c>
      <c r="G3377" t="str">
        <f>"2018-10-18 22:27:45"</f>
        <v>2018-10-18 22:27:45</v>
      </c>
    </row>
    <row r="3378" spans="1:7" x14ac:dyDescent="0.2">
      <c r="A3378" t="s">
        <v>4790</v>
      </c>
      <c r="B3378" t="str">
        <f>"15024535202"</f>
        <v>15024535202</v>
      </c>
      <c r="C3378" t="str">
        <f>"33072719911224441X"</f>
        <v>33072719911224441X</v>
      </c>
      <c r="D3378" t="s">
        <v>1</v>
      </c>
      <c r="E3378" t="s">
        <v>1</v>
      </c>
      <c r="F3378" t="s">
        <v>0</v>
      </c>
      <c r="G3378" t="str">
        <f>"2018-10-17 21:47:50"</f>
        <v>2018-10-17 21:47:50</v>
      </c>
    </row>
    <row r="3379" spans="1:7" x14ac:dyDescent="0.2">
      <c r="A3379" t="s">
        <v>4791</v>
      </c>
      <c r="B3379" t="str">
        <f>"15026760578"</f>
        <v>15026760578</v>
      </c>
      <c r="C3379" t="str">
        <f>"310110198901305133"</f>
        <v>310110198901305133</v>
      </c>
      <c r="D3379" t="s">
        <v>1</v>
      </c>
      <c r="E3379" t="s">
        <v>1</v>
      </c>
      <c r="F3379" t="s">
        <v>0</v>
      </c>
      <c r="G3379" t="str">
        <f>"2018-10-18 16:43:44"</f>
        <v>2018-10-18 16:43:44</v>
      </c>
    </row>
    <row r="3380" spans="1:7" x14ac:dyDescent="0.2">
      <c r="A3380" t="s">
        <v>1628</v>
      </c>
      <c r="B3380" t="str">
        <f>"15011318260"</f>
        <v>15011318260</v>
      </c>
      <c r="C3380" t="str">
        <f>"340823199008014923"</f>
        <v>340823199008014923</v>
      </c>
      <c r="D3380" t="s">
        <v>1</v>
      </c>
      <c r="E3380" t="s">
        <v>1</v>
      </c>
      <c r="F3380" t="s">
        <v>0</v>
      </c>
      <c r="G3380" t="str">
        <f>"2018-10-24 22:11:59"</f>
        <v>2018-10-24 22:11:59</v>
      </c>
    </row>
    <row r="3381" spans="1:7" x14ac:dyDescent="0.2">
      <c r="A3381" t="s">
        <v>4792</v>
      </c>
      <c r="B3381" t="str">
        <f>"13724068860"</f>
        <v>13724068860</v>
      </c>
      <c r="C3381" t="str">
        <f>"440804199001261619"</f>
        <v>440804199001261619</v>
      </c>
      <c r="D3381" t="s">
        <v>1</v>
      </c>
      <c r="E3381" t="s">
        <v>1</v>
      </c>
      <c r="F3381" t="s">
        <v>0</v>
      </c>
      <c r="G3381" t="str">
        <f>"2018-10-17 21:44:56"</f>
        <v>2018-10-17 21:44:56</v>
      </c>
    </row>
    <row r="3382" spans="1:7" x14ac:dyDescent="0.2">
      <c r="A3382" t="s">
        <v>1</v>
      </c>
      <c r="B3382" t="str">
        <f>"13652765952"</f>
        <v>13652765952</v>
      </c>
      <c r="C3382" t="s">
        <v>1</v>
      </c>
      <c r="D3382" t="s">
        <v>1</v>
      </c>
      <c r="E3382" t="s">
        <v>1</v>
      </c>
      <c r="F3382" t="s">
        <v>0</v>
      </c>
      <c r="G3382" t="str">
        <f>"2018-10-17 21:42:25"</f>
        <v>2018-10-17 21:42:25</v>
      </c>
    </row>
    <row r="3383" spans="1:7" x14ac:dyDescent="0.2">
      <c r="A3383" t="s">
        <v>1</v>
      </c>
      <c r="B3383" t="str">
        <f>"13626843933"</f>
        <v>13626843933</v>
      </c>
      <c r="C3383" t="s">
        <v>1</v>
      </c>
      <c r="D3383" t="s">
        <v>1</v>
      </c>
      <c r="E3383" t="s">
        <v>1</v>
      </c>
      <c r="F3383" t="s">
        <v>0</v>
      </c>
      <c r="G3383" t="str">
        <f>"2018-10-18 17:48:30"</f>
        <v>2018-10-18 17:48:30</v>
      </c>
    </row>
    <row r="3384" spans="1:7" x14ac:dyDescent="0.2">
      <c r="A3384" t="s">
        <v>1</v>
      </c>
      <c r="B3384" t="str">
        <f>"13299209143"</f>
        <v>13299209143</v>
      </c>
      <c r="C3384" t="s">
        <v>1</v>
      </c>
      <c r="D3384" t="s">
        <v>1</v>
      </c>
      <c r="E3384" t="s">
        <v>1</v>
      </c>
      <c r="F3384" t="s">
        <v>0</v>
      </c>
      <c r="G3384" t="str">
        <f>"2018-10-17 21:40:06"</f>
        <v>2018-10-17 21:40:06</v>
      </c>
    </row>
    <row r="3385" spans="1:7" x14ac:dyDescent="0.2">
      <c r="A3385" t="s">
        <v>1</v>
      </c>
      <c r="B3385" t="str">
        <f>"15871195762"</f>
        <v>15871195762</v>
      </c>
      <c r="C3385" t="s">
        <v>1</v>
      </c>
      <c r="D3385" t="s">
        <v>1</v>
      </c>
      <c r="E3385" t="s">
        <v>1</v>
      </c>
      <c r="F3385" t="s">
        <v>0</v>
      </c>
      <c r="G3385" t="str">
        <f>"2018-10-17 21:38:40"</f>
        <v>2018-10-17 21:38:40</v>
      </c>
    </row>
    <row r="3386" spans="1:7" x14ac:dyDescent="0.2">
      <c r="A3386" t="s">
        <v>4793</v>
      </c>
      <c r="B3386" t="str">
        <f>"13674275387"</f>
        <v>13674275387</v>
      </c>
      <c r="C3386" t="str">
        <f>"210123199201010417"</f>
        <v>210123199201010417</v>
      </c>
      <c r="D3386" t="s">
        <v>1</v>
      </c>
      <c r="E3386" t="s">
        <v>1</v>
      </c>
      <c r="F3386" t="s">
        <v>0</v>
      </c>
      <c r="G3386" t="str">
        <f>"2018-10-17 21:52:38"</f>
        <v>2018-10-17 21:52:38</v>
      </c>
    </row>
    <row r="3387" spans="1:7" x14ac:dyDescent="0.2">
      <c r="A3387" t="s">
        <v>4794</v>
      </c>
      <c r="B3387" t="str">
        <f>"13634195530"</f>
        <v>13634195530</v>
      </c>
      <c r="C3387" t="str">
        <f>"330106199410121536"</f>
        <v>330106199410121536</v>
      </c>
      <c r="D3387" t="s">
        <v>4795</v>
      </c>
      <c r="E3387" t="s">
        <v>4796</v>
      </c>
      <c r="F3387" t="s">
        <v>0</v>
      </c>
      <c r="G3387" t="str">
        <f>"2018-10-17 21:38:18"</f>
        <v>2018-10-17 21:38:18</v>
      </c>
    </row>
    <row r="3388" spans="1:7" x14ac:dyDescent="0.2">
      <c r="A3388" t="s">
        <v>4797</v>
      </c>
      <c r="B3388" t="str">
        <f>"15274917227"</f>
        <v>15274917227</v>
      </c>
      <c r="C3388" t="str">
        <f>"430181198907043915"</f>
        <v>430181198907043915</v>
      </c>
      <c r="D3388" t="s">
        <v>1</v>
      </c>
      <c r="E3388" t="s">
        <v>1</v>
      </c>
      <c r="F3388" t="s">
        <v>0</v>
      </c>
      <c r="G3388" t="str">
        <f>"2018-10-18 13:58:14"</f>
        <v>2018-10-18 13:58:14</v>
      </c>
    </row>
    <row r="3389" spans="1:7" x14ac:dyDescent="0.2">
      <c r="A3389" t="s">
        <v>1</v>
      </c>
      <c r="B3389" t="str">
        <f>"18372687692"</f>
        <v>18372687692</v>
      </c>
      <c r="C3389" t="s">
        <v>1</v>
      </c>
      <c r="D3389" t="s">
        <v>1</v>
      </c>
      <c r="E3389" t="s">
        <v>1</v>
      </c>
      <c r="F3389" t="s">
        <v>0</v>
      </c>
      <c r="G3389" t="str">
        <f>"2018-10-17 21:38:05"</f>
        <v>2018-10-17 21:38:05</v>
      </c>
    </row>
    <row r="3390" spans="1:7" x14ac:dyDescent="0.2">
      <c r="A3390" t="s">
        <v>1</v>
      </c>
      <c r="B3390" t="str">
        <f>"18697612129"</f>
        <v>18697612129</v>
      </c>
      <c r="C3390" t="s">
        <v>1</v>
      </c>
      <c r="D3390" t="s">
        <v>1</v>
      </c>
      <c r="E3390" t="s">
        <v>1</v>
      </c>
      <c r="F3390" t="s">
        <v>0</v>
      </c>
      <c r="G3390" t="str">
        <f>"2018-10-17 21:35:01"</f>
        <v>2018-10-17 21:35:01</v>
      </c>
    </row>
    <row r="3391" spans="1:7" x14ac:dyDescent="0.2">
      <c r="A3391" t="s">
        <v>1</v>
      </c>
      <c r="B3391" t="str">
        <f>"18824095888"</f>
        <v>18824095888</v>
      </c>
      <c r="C3391" t="s">
        <v>1</v>
      </c>
      <c r="D3391" t="s">
        <v>1</v>
      </c>
      <c r="E3391" t="s">
        <v>1</v>
      </c>
      <c r="F3391" t="s">
        <v>0</v>
      </c>
      <c r="G3391" t="str">
        <f>"2018-10-17 21:34:36"</f>
        <v>2018-10-17 21:34:36</v>
      </c>
    </row>
    <row r="3392" spans="1:7" x14ac:dyDescent="0.2">
      <c r="A3392" t="s">
        <v>4798</v>
      </c>
      <c r="B3392" t="str">
        <f>"15171230970"</f>
        <v>15171230970</v>
      </c>
      <c r="C3392" t="str">
        <f>"422202199703286135"</f>
        <v>422202199703286135</v>
      </c>
      <c r="D3392" t="s">
        <v>1</v>
      </c>
      <c r="E3392" t="s">
        <v>1</v>
      </c>
      <c r="F3392" t="s">
        <v>0</v>
      </c>
      <c r="G3392" t="str">
        <f>"2018-10-17 21:34:31"</f>
        <v>2018-10-17 21:34:31</v>
      </c>
    </row>
    <row r="3393" spans="1:7" x14ac:dyDescent="0.2">
      <c r="A3393" t="s">
        <v>4799</v>
      </c>
      <c r="B3393" t="str">
        <f>"18759899225"</f>
        <v>18759899225</v>
      </c>
      <c r="C3393" t="str">
        <f>"350481198203216036"</f>
        <v>350481198203216036</v>
      </c>
      <c r="D3393" t="s">
        <v>1</v>
      </c>
      <c r="E3393" t="s">
        <v>1</v>
      </c>
      <c r="F3393" t="s">
        <v>0</v>
      </c>
      <c r="G3393" t="str">
        <f>"2018-10-17 21:33:55"</f>
        <v>2018-10-17 21:33:55</v>
      </c>
    </row>
    <row r="3394" spans="1:7" x14ac:dyDescent="0.2">
      <c r="A3394" t="s">
        <v>4800</v>
      </c>
      <c r="B3394" t="str">
        <f>"18939620036"</f>
        <v>18939620036</v>
      </c>
      <c r="C3394" t="str">
        <f>"412728198903214720"</f>
        <v>412728198903214720</v>
      </c>
      <c r="D3394" t="s">
        <v>1</v>
      </c>
      <c r="E3394" t="s">
        <v>1</v>
      </c>
      <c r="F3394" t="s">
        <v>0</v>
      </c>
      <c r="G3394" t="str">
        <f>"2018-10-17 21:31:47"</f>
        <v>2018-10-17 21:31:47</v>
      </c>
    </row>
    <row r="3395" spans="1:7" x14ac:dyDescent="0.2">
      <c r="A3395" t="s">
        <v>4801</v>
      </c>
      <c r="B3395" t="str">
        <f>"15206010190"</f>
        <v>15206010190</v>
      </c>
      <c r="C3395" t="str">
        <f>"350825199209254514"</f>
        <v>350825199209254514</v>
      </c>
      <c r="D3395" t="s">
        <v>1</v>
      </c>
      <c r="E3395" t="s">
        <v>1</v>
      </c>
      <c r="F3395" t="s">
        <v>0</v>
      </c>
      <c r="G3395" t="str">
        <f>"2018-10-17 21:32:46"</f>
        <v>2018-10-17 21:32:46</v>
      </c>
    </row>
    <row r="3396" spans="1:7" x14ac:dyDescent="0.2">
      <c r="A3396" t="s">
        <v>4802</v>
      </c>
      <c r="B3396" t="str">
        <f>"13207886858"</f>
        <v>13207886858</v>
      </c>
      <c r="C3396" t="str">
        <f>"450981200002033955"</f>
        <v>450981200002033955</v>
      </c>
      <c r="D3396" t="s">
        <v>1</v>
      </c>
      <c r="E3396" t="s">
        <v>1</v>
      </c>
      <c r="F3396" t="s">
        <v>0</v>
      </c>
      <c r="G3396" t="str">
        <f>"2018-10-17 21:32:29"</f>
        <v>2018-10-17 21:32:29</v>
      </c>
    </row>
    <row r="3397" spans="1:7" x14ac:dyDescent="0.2">
      <c r="A3397" t="s">
        <v>4803</v>
      </c>
      <c r="B3397" t="str">
        <f>"18894546325"</f>
        <v>18894546325</v>
      </c>
      <c r="C3397" t="str">
        <f>"620423199610010322"</f>
        <v>620423199610010322</v>
      </c>
      <c r="D3397" t="s">
        <v>1</v>
      </c>
      <c r="E3397" t="s">
        <v>1</v>
      </c>
      <c r="F3397" t="s">
        <v>0</v>
      </c>
      <c r="G3397" t="str">
        <f>"2018-10-17 21:32:41"</f>
        <v>2018-10-17 21:32:41</v>
      </c>
    </row>
    <row r="3398" spans="1:7" x14ac:dyDescent="0.2">
      <c r="A3398" t="s">
        <v>4804</v>
      </c>
      <c r="B3398" t="str">
        <f>"13411155559"</f>
        <v>13411155559</v>
      </c>
      <c r="C3398" t="str">
        <f>"440181197912027810"</f>
        <v>440181197912027810</v>
      </c>
      <c r="D3398" t="s">
        <v>1</v>
      </c>
      <c r="E3398" t="s">
        <v>1</v>
      </c>
      <c r="F3398" t="s">
        <v>0</v>
      </c>
      <c r="G3398" t="str">
        <f>"2018-10-17 21:31:12"</f>
        <v>2018-10-17 21:31:12</v>
      </c>
    </row>
    <row r="3399" spans="1:7" x14ac:dyDescent="0.2">
      <c r="A3399" t="s">
        <v>1</v>
      </c>
      <c r="B3399" t="str">
        <f>"13058768403"</f>
        <v>13058768403</v>
      </c>
      <c r="C3399" t="s">
        <v>1</v>
      </c>
      <c r="D3399" t="s">
        <v>1</v>
      </c>
      <c r="E3399" t="s">
        <v>1</v>
      </c>
      <c r="F3399" t="s">
        <v>0</v>
      </c>
      <c r="G3399" t="str">
        <f>"2018-10-17 21:29:25"</f>
        <v>2018-10-17 21:29:25</v>
      </c>
    </row>
    <row r="3400" spans="1:7" x14ac:dyDescent="0.2">
      <c r="A3400" t="s">
        <v>4805</v>
      </c>
      <c r="B3400" t="str">
        <f>"17787252515"</f>
        <v>17787252515</v>
      </c>
      <c r="C3400" t="str">
        <f>"53233120000113221X"</f>
        <v>53233120000113221X</v>
      </c>
      <c r="D3400" t="s">
        <v>1</v>
      </c>
      <c r="E3400" t="s">
        <v>1</v>
      </c>
      <c r="F3400" t="s">
        <v>0</v>
      </c>
      <c r="G3400" t="str">
        <f>"2018-10-17 21:33:17"</f>
        <v>2018-10-17 21:33:17</v>
      </c>
    </row>
    <row r="3401" spans="1:7" x14ac:dyDescent="0.2">
      <c r="A3401" t="s">
        <v>4806</v>
      </c>
      <c r="B3401" t="str">
        <f>"15934011909"</f>
        <v>15934011909</v>
      </c>
      <c r="C3401" t="str">
        <f>"142333199506240413"</f>
        <v>142333199506240413</v>
      </c>
      <c r="D3401" t="s">
        <v>1</v>
      </c>
      <c r="E3401" t="s">
        <v>1</v>
      </c>
      <c r="F3401" t="s">
        <v>0</v>
      </c>
      <c r="G3401" t="str">
        <f>"2018-10-17 21:28:57"</f>
        <v>2018-10-17 21:28:57</v>
      </c>
    </row>
    <row r="3402" spans="1:7" x14ac:dyDescent="0.2">
      <c r="A3402" t="s">
        <v>1</v>
      </c>
      <c r="B3402" t="str">
        <f>"13297873024"</f>
        <v>13297873024</v>
      </c>
      <c r="C3402" t="s">
        <v>1</v>
      </c>
      <c r="D3402" t="s">
        <v>1</v>
      </c>
      <c r="E3402" t="s">
        <v>1</v>
      </c>
      <c r="F3402" t="s">
        <v>0</v>
      </c>
      <c r="G3402" t="str">
        <f>"2018-10-17 21:26:23"</f>
        <v>2018-10-17 21:26:23</v>
      </c>
    </row>
    <row r="3403" spans="1:7" x14ac:dyDescent="0.2">
      <c r="A3403" t="s">
        <v>4807</v>
      </c>
      <c r="B3403" t="str">
        <f>"13364195665"</f>
        <v>13364195665</v>
      </c>
      <c r="C3403" t="str">
        <f>"211002198708151226"</f>
        <v>211002198708151226</v>
      </c>
      <c r="D3403" t="s">
        <v>1</v>
      </c>
      <c r="E3403" t="s">
        <v>1</v>
      </c>
      <c r="F3403" t="s">
        <v>0</v>
      </c>
      <c r="G3403" t="str">
        <f>"2018-10-31 17:49:18"</f>
        <v>2018-10-31 17:49:18</v>
      </c>
    </row>
    <row r="3404" spans="1:7" x14ac:dyDescent="0.2">
      <c r="A3404" t="s">
        <v>52</v>
      </c>
      <c r="B3404" t="str">
        <f>"13847178760"</f>
        <v>13847178760</v>
      </c>
      <c r="C3404" t="str">
        <f>"150103198503160633"</f>
        <v>150103198503160633</v>
      </c>
      <c r="D3404" t="s">
        <v>1</v>
      </c>
      <c r="E3404" t="s">
        <v>1</v>
      </c>
      <c r="F3404" t="s">
        <v>0</v>
      </c>
      <c r="G3404" t="str">
        <f>"2018-10-29 09:38:12"</f>
        <v>2018-10-29 09:38:12</v>
      </c>
    </row>
    <row r="3405" spans="1:7" x14ac:dyDescent="0.2">
      <c r="A3405" t="s">
        <v>292</v>
      </c>
      <c r="B3405" t="str">
        <f>"18518190625"</f>
        <v>18518190625</v>
      </c>
      <c r="C3405" t="str">
        <f>"222404199906251617"</f>
        <v>222404199906251617</v>
      </c>
      <c r="D3405" t="s">
        <v>1</v>
      </c>
      <c r="E3405" t="s">
        <v>1</v>
      </c>
      <c r="F3405" t="s">
        <v>0</v>
      </c>
      <c r="G3405" t="str">
        <f>"2018-10-17 21:24:43"</f>
        <v>2018-10-17 21:24:43</v>
      </c>
    </row>
    <row r="3406" spans="1:7" x14ac:dyDescent="0.2">
      <c r="A3406" t="s">
        <v>1521</v>
      </c>
      <c r="B3406" t="str">
        <f>"18788105963"</f>
        <v>18788105963</v>
      </c>
      <c r="C3406" t="str">
        <f>"421081199305280022"</f>
        <v>421081199305280022</v>
      </c>
      <c r="D3406" t="s">
        <v>1</v>
      </c>
      <c r="E3406" t="s">
        <v>1</v>
      </c>
      <c r="F3406" t="s">
        <v>0</v>
      </c>
      <c r="G3406" t="str">
        <f>"2018-10-17 21:24:28"</f>
        <v>2018-10-17 21:24:28</v>
      </c>
    </row>
    <row r="3407" spans="1:7" x14ac:dyDescent="0.2">
      <c r="A3407" t="s">
        <v>4808</v>
      </c>
      <c r="B3407" t="str">
        <f>"18258935233"</f>
        <v>18258935233</v>
      </c>
      <c r="C3407" t="str">
        <f>"330122199611112919"</f>
        <v>330122199611112919</v>
      </c>
      <c r="D3407" t="s">
        <v>1</v>
      </c>
      <c r="E3407" t="s">
        <v>1</v>
      </c>
      <c r="F3407" t="s">
        <v>0</v>
      </c>
      <c r="G3407" t="str">
        <f>"2018-10-17 21:26:41"</f>
        <v>2018-10-17 21:26:41</v>
      </c>
    </row>
    <row r="3408" spans="1:7" x14ac:dyDescent="0.2">
      <c r="A3408" t="s">
        <v>1</v>
      </c>
      <c r="B3408" t="str">
        <f>"13041205729"</f>
        <v>13041205729</v>
      </c>
      <c r="C3408" t="s">
        <v>1</v>
      </c>
      <c r="D3408" t="s">
        <v>1</v>
      </c>
      <c r="E3408" t="s">
        <v>1</v>
      </c>
      <c r="F3408" t="s">
        <v>0</v>
      </c>
      <c r="G3408" t="str">
        <f>"2018-10-17 21:23:33"</f>
        <v>2018-10-17 21:23:33</v>
      </c>
    </row>
    <row r="3409" spans="1:7" x14ac:dyDescent="0.2">
      <c r="A3409" t="s">
        <v>111</v>
      </c>
      <c r="B3409" t="str">
        <f>"15827226446"</f>
        <v>15827226446</v>
      </c>
      <c r="C3409" t="str">
        <f>"420115198708287313"</f>
        <v>420115198708287313</v>
      </c>
      <c r="D3409" t="s">
        <v>1</v>
      </c>
      <c r="E3409" t="s">
        <v>1</v>
      </c>
      <c r="F3409" t="s">
        <v>0</v>
      </c>
      <c r="G3409" t="str">
        <f>"2018-10-17 21:34:19"</f>
        <v>2018-10-17 21:34:19</v>
      </c>
    </row>
    <row r="3410" spans="1:7" x14ac:dyDescent="0.2">
      <c r="A3410" t="s">
        <v>4809</v>
      </c>
      <c r="B3410" t="str">
        <f>"15124976084"</f>
        <v>15124976084</v>
      </c>
      <c r="C3410" t="str">
        <f>"150403198611173323"</f>
        <v>150403198611173323</v>
      </c>
      <c r="D3410" t="s">
        <v>1</v>
      </c>
      <c r="E3410" t="s">
        <v>1</v>
      </c>
      <c r="F3410" t="s">
        <v>0</v>
      </c>
      <c r="G3410" t="str">
        <f>"2018-10-17 21:24:41"</f>
        <v>2018-10-17 21:24:41</v>
      </c>
    </row>
    <row r="3411" spans="1:7" x14ac:dyDescent="0.2">
      <c r="A3411" t="s">
        <v>4810</v>
      </c>
      <c r="B3411" t="str">
        <f>"18754394970"</f>
        <v>18754394970</v>
      </c>
      <c r="C3411" t="str">
        <f>"372325198602233238"</f>
        <v>372325198602233238</v>
      </c>
      <c r="D3411" t="s">
        <v>1</v>
      </c>
      <c r="E3411" t="s">
        <v>1</v>
      </c>
      <c r="F3411" t="s">
        <v>0</v>
      </c>
      <c r="G3411" t="str">
        <f>"2018-10-17 21:25:29"</f>
        <v>2018-10-17 21:25:29</v>
      </c>
    </row>
    <row r="3412" spans="1:7" x14ac:dyDescent="0.2">
      <c r="A3412" t="s">
        <v>1</v>
      </c>
      <c r="B3412" t="str">
        <f>"17585515257"</f>
        <v>17585515257</v>
      </c>
      <c r="C3412" t="s">
        <v>1</v>
      </c>
      <c r="D3412" t="s">
        <v>1</v>
      </c>
      <c r="E3412" t="s">
        <v>1</v>
      </c>
      <c r="F3412" t="s">
        <v>0</v>
      </c>
      <c r="G3412" t="str">
        <f>"2018-10-17 21:22:53"</f>
        <v>2018-10-17 21:22:53</v>
      </c>
    </row>
    <row r="3413" spans="1:7" x14ac:dyDescent="0.2">
      <c r="A3413" t="s">
        <v>729</v>
      </c>
      <c r="B3413" t="str">
        <f>"13409922120"</f>
        <v>13409922120</v>
      </c>
      <c r="C3413" t="str">
        <f>"421125198901117336"</f>
        <v>421125198901117336</v>
      </c>
      <c r="D3413" t="s">
        <v>4811</v>
      </c>
      <c r="E3413" t="s">
        <v>4812</v>
      </c>
      <c r="F3413" t="s">
        <v>0</v>
      </c>
      <c r="G3413" t="str">
        <f>"2018-10-17 21:23:57"</f>
        <v>2018-10-17 21:23:57</v>
      </c>
    </row>
    <row r="3414" spans="1:7" x14ac:dyDescent="0.2">
      <c r="A3414" t="s">
        <v>4813</v>
      </c>
      <c r="B3414" t="str">
        <f>"18868682761"</f>
        <v>18868682761</v>
      </c>
      <c r="C3414" t="str">
        <f>"522528198706095229"</f>
        <v>522528198706095229</v>
      </c>
      <c r="D3414" t="s">
        <v>1</v>
      </c>
      <c r="E3414" t="s">
        <v>1</v>
      </c>
      <c r="F3414" t="s">
        <v>0</v>
      </c>
      <c r="G3414" t="str">
        <f>"2018-10-17 21:22:49"</f>
        <v>2018-10-17 21:22:49</v>
      </c>
    </row>
    <row r="3415" spans="1:7" x14ac:dyDescent="0.2">
      <c r="A3415" t="s">
        <v>4814</v>
      </c>
      <c r="B3415" t="str">
        <f>"15588189862"</f>
        <v>15588189862</v>
      </c>
      <c r="C3415" t="str">
        <f>"371322199104167922"</f>
        <v>371322199104167922</v>
      </c>
      <c r="D3415" t="s">
        <v>1</v>
      </c>
      <c r="E3415" t="s">
        <v>1</v>
      </c>
      <c r="F3415" t="s">
        <v>0</v>
      </c>
      <c r="G3415" t="str">
        <f>"2018-10-17 21:22:59"</f>
        <v>2018-10-17 21:22:59</v>
      </c>
    </row>
    <row r="3416" spans="1:7" x14ac:dyDescent="0.2">
      <c r="A3416" t="s">
        <v>4815</v>
      </c>
      <c r="B3416" t="str">
        <f>"13470952240"</f>
        <v>13470952240</v>
      </c>
      <c r="C3416" t="str">
        <f>"340504198909290677"</f>
        <v>340504198909290677</v>
      </c>
      <c r="D3416" t="s">
        <v>1</v>
      </c>
      <c r="E3416" t="s">
        <v>1</v>
      </c>
      <c r="F3416" t="s">
        <v>0</v>
      </c>
      <c r="G3416" t="str">
        <f>"2018-10-17 21:19:40"</f>
        <v>2018-10-17 21:19:40</v>
      </c>
    </row>
    <row r="3417" spans="1:7" x14ac:dyDescent="0.2">
      <c r="A3417" t="s">
        <v>4816</v>
      </c>
      <c r="B3417" t="str">
        <f>"15503760822"</f>
        <v>15503760822</v>
      </c>
      <c r="C3417" t="str">
        <f>"413026196211049374"</f>
        <v>413026196211049374</v>
      </c>
      <c r="D3417" t="s">
        <v>4817</v>
      </c>
      <c r="E3417" t="s">
        <v>4818</v>
      </c>
      <c r="F3417" t="s">
        <v>0</v>
      </c>
      <c r="G3417" t="str">
        <f>"2018-10-17 21:19:32"</f>
        <v>2018-10-17 21:19:32</v>
      </c>
    </row>
    <row r="3418" spans="1:7" x14ac:dyDescent="0.2">
      <c r="A3418" t="s">
        <v>1</v>
      </c>
      <c r="B3418" t="str">
        <f>"13965582249"</f>
        <v>13965582249</v>
      </c>
      <c r="C3418" t="s">
        <v>1</v>
      </c>
      <c r="D3418" t="s">
        <v>1</v>
      </c>
      <c r="E3418" t="s">
        <v>1</v>
      </c>
      <c r="F3418" t="s">
        <v>0</v>
      </c>
      <c r="G3418" t="str">
        <f>"2018-10-17 21:17:14"</f>
        <v>2018-10-17 21:17:14</v>
      </c>
    </row>
    <row r="3419" spans="1:7" x14ac:dyDescent="0.2">
      <c r="A3419" t="s">
        <v>1</v>
      </c>
      <c r="B3419" t="str">
        <f>"18475083221"</f>
        <v>18475083221</v>
      </c>
      <c r="C3419" t="s">
        <v>1</v>
      </c>
      <c r="D3419" t="s">
        <v>1</v>
      </c>
      <c r="E3419" t="s">
        <v>1</v>
      </c>
      <c r="F3419" t="s">
        <v>0</v>
      </c>
      <c r="G3419" t="str">
        <f>"2018-10-17 21:15:59"</f>
        <v>2018-10-17 21:15:59</v>
      </c>
    </row>
    <row r="3420" spans="1:7" x14ac:dyDescent="0.2">
      <c r="A3420" t="s">
        <v>1</v>
      </c>
      <c r="B3420" t="str">
        <f>"18599932450"</f>
        <v>18599932450</v>
      </c>
      <c r="C3420" t="s">
        <v>1</v>
      </c>
      <c r="D3420" t="s">
        <v>1</v>
      </c>
      <c r="E3420" t="s">
        <v>1</v>
      </c>
      <c r="F3420" t="s">
        <v>0</v>
      </c>
      <c r="G3420" t="str">
        <f>"2018-10-17 21:17:47"</f>
        <v>2018-10-17 21:17:47</v>
      </c>
    </row>
    <row r="3421" spans="1:7" x14ac:dyDescent="0.2">
      <c r="A3421" t="s">
        <v>1</v>
      </c>
      <c r="B3421" t="str">
        <f>"13787107036"</f>
        <v>13787107036</v>
      </c>
      <c r="C3421" t="s">
        <v>1</v>
      </c>
      <c r="D3421" t="s">
        <v>1</v>
      </c>
      <c r="E3421" t="s">
        <v>1</v>
      </c>
      <c r="F3421" t="s">
        <v>0</v>
      </c>
      <c r="G3421" t="str">
        <f>"2018-10-17 21:20:49"</f>
        <v>2018-10-17 21:20:49</v>
      </c>
    </row>
    <row r="3422" spans="1:7" x14ac:dyDescent="0.2">
      <c r="A3422" t="s">
        <v>1</v>
      </c>
      <c r="B3422" t="str">
        <f>"18850323179"</f>
        <v>18850323179</v>
      </c>
      <c r="C3422" t="s">
        <v>1</v>
      </c>
      <c r="D3422" t="s">
        <v>1</v>
      </c>
      <c r="E3422" t="s">
        <v>1</v>
      </c>
      <c r="F3422" t="s">
        <v>0</v>
      </c>
      <c r="G3422" t="str">
        <f>"2018-10-17 21:15:32"</f>
        <v>2018-10-17 21:15:32</v>
      </c>
    </row>
    <row r="3423" spans="1:7" x14ac:dyDescent="0.2">
      <c r="A3423" t="s">
        <v>1</v>
      </c>
      <c r="B3423" t="str">
        <f>"13219145351"</f>
        <v>13219145351</v>
      </c>
      <c r="C3423" t="s">
        <v>1</v>
      </c>
      <c r="D3423" t="s">
        <v>1</v>
      </c>
      <c r="E3423" t="s">
        <v>1</v>
      </c>
      <c r="F3423" t="s">
        <v>0</v>
      </c>
      <c r="G3423" t="str">
        <f>"2018-10-17 21:14:33"</f>
        <v>2018-10-17 21:14:33</v>
      </c>
    </row>
    <row r="3424" spans="1:7" x14ac:dyDescent="0.2">
      <c r="A3424" t="s">
        <v>4819</v>
      </c>
      <c r="B3424" t="str">
        <f>"13418263860"</f>
        <v>13418263860</v>
      </c>
      <c r="C3424" t="str">
        <f>"45213219940209391X"</f>
        <v>45213219940209391X</v>
      </c>
      <c r="D3424" t="s">
        <v>1</v>
      </c>
      <c r="E3424" t="s">
        <v>1</v>
      </c>
      <c r="F3424" t="s">
        <v>0</v>
      </c>
      <c r="G3424" t="str">
        <f>"2018-10-17 21:14:27"</f>
        <v>2018-10-17 21:14:27</v>
      </c>
    </row>
    <row r="3425" spans="1:7" x14ac:dyDescent="0.2">
      <c r="A3425" t="s">
        <v>1</v>
      </c>
      <c r="B3425" t="str">
        <f>"15676464619"</f>
        <v>15676464619</v>
      </c>
      <c r="C3425" t="s">
        <v>1</v>
      </c>
      <c r="D3425" t="s">
        <v>1</v>
      </c>
      <c r="E3425" t="s">
        <v>1</v>
      </c>
      <c r="F3425" t="s">
        <v>0</v>
      </c>
      <c r="G3425" t="str">
        <f>"2018-10-17 21:12:32"</f>
        <v>2018-10-17 21:12:32</v>
      </c>
    </row>
    <row r="3426" spans="1:7" x14ac:dyDescent="0.2">
      <c r="A3426" t="s">
        <v>1</v>
      </c>
      <c r="B3426" t="str">
        <f>"15970749188"</f>
        <v>15970749188</v>
      </c>
      <c r="C3426" t="s">
        <v>1</v>
      </c>
      <c r="D3426" t="s">
        <v>1</v>
      </c>
      <c r="E3426" t="s">
        <v>1</v>
      </c>
      <c r="F3426" t="s">
        <v>0</v>
      </c>
      <c r="G3426" t="str">
        <f>"2018-11-01 12:19:35"</f>
        <v>2018-11-01 12:19:35</v>
      </c>
    </row>
    <row r="3427" spans="1:7" x14ac:dyDescent="0.2">
      <c r="A3427" t="s">
        <v>1</v>
      </c>
      <c r="B3427" t="str">
        <f>"18142892485"</f>
        <v>18142892485</v>
      </c>
      <c r="C3427" t="s">
        <v>1</v>
      </c>
      <c r="D3427" t="s">
        <v>1</v>
      </c>
      <c r="E3427" t="s">
        <v>1</v>
      </c>
      <c r="F3427" t="s">
        <v>0</v>
      </c>
      <c r="G3427" t="str">
        <f>"2018-10-17 21:10:29"</f>
        <v>2018-10-17 21:10:29</v>
      </c>
    </row>
    <row r="3428" spans="1:7" x14ac:dyDescent="0.2">
      <c r="A3428" t="s">
        <v>4820</v>
      </c>
      <c r="B3428" t="str">
        <f>"15142493031"</f>
        <v>15142493031</v>
      </c>
      <c r="C3428" t="str">
        <f>"210281199606043021"</f>
        <v>210281199606043021</v>
      </c>
      <c r="D3428" t="s">
        <v>1</v>
      </c>
      <c r="E3428" t="s">
        <v>1</v>
      </c>
      <c r="F3428" t="s">
        <v>0</v>
      </c>
      <c r="G3428" t="str">
        <f>"2018-10-17 21:10:34"</f>
        <v>2018-10-17 21:10:34</v>
      </c>
    </row>
    <row r="3429" spans="1:7" x14ac:dyDescent="0.2">
      <c r="A3429" t="s">
        <v>4821</v>
      </c>
      <c r="B3429" t="str">
        <f>"18739369443"</f>
        <v>18739369443</v>
      </c>
      <c r="C3429" t="str">
        <f>"410901198612051553"</f>
        <v>410901198612051553</v>
      </c>
      <c r="D3429" t="s">
        <v>1</v>
      </c>
      <c r="E3429" t="s">
        <v>1</v>
      </c>
      <c r="F3429" t="s">
        <v>0</v>
      </c>
      <c r="G3429" t="str">
        <f>"2018-10-17 21:09:54"</f>
        <v>2018-10-17 21:09:54</v>
      </c>
    </row>
    <row r="3430" spans="1:7" x14ac:dyDescent="0.2">
      <c r="A3430" t="s">
        <v>4822</v>
      </c>
      <c r="B3430" t="str">
        <f>"15177326289"</f>
        <v>15177326289</v>
      </c>
      <c r="C3430" t="str">
        <f>"43052219941013931X"</f>
        <v>43052219941013931X</v>
      </c>
      <c r="D3430" t="s">
        <v>4823</v>
      </c>
      <c r="E3430" t="s">
        <v>4824</v>
      </c>
      <c r="F3430" t="s">
        <v>0</v>
      </c>
      <c r="G3430" t="str">
        <f>"2018-10-17 21:08:28"</f>
        <v>2018-10-17 21:08:28</v>
      </c>
    </row>
    <row r="3431" spans="1:7" x14ac:dyDescent="0.2">
      <c r="A3431" t="s">
        <v>1</v>
      </c>
      <c r="B3431" t="str">
        <f>"13279463485"</f>
        <v>13279463485</v>
      </c>
      <c r="C3431" t="s">
        <v>1</v>
      </c>
      <c r="D3431" t="s">
        <v>1</v>
      </c>
      <c r="E3431" t="s">
        <v>1</v>
      </c>
      <c r="F3431" t="s">
        <v>0</v>
      </c>
      <c r="G3431" t="str">
        <f>"2018-10-17 21:05:13"</f>
        <v>2018-10-17 21:05:13</v>
      </c>
    </row>
    <row r="3432" spans="1:7" x14ac:dyDescent="0.2">
      <c r="A3432" t="s">
        <v>4825</v>
      </c>
      <c r="B3432" t="str">
        <f>"17376321811"</f>
        <v>17376321811</v>
      </c>
      <c r="C3432" t="str">
        <f>"450981199005050667"</f>
        <v>450981199005050667</v>
      </c>
      <c r="D3432" t="s">
        <v>1</v>
      </c>
      <c r="E3432" t="s">
        <v>1</v>
      </c>
      <c r="F3432" t="s">
        <v>0</v>
      </c>
      <c r="G3432" t="str">
        <f>"2018-10-17 21:23:08"</f>
        <v>2018-10-17 21:23:08</v>
      </c>
    </row>
    <row r="3433" spans="1:7" x14ac:dyDescent="0.2">
      <c r="A3433" t="s">
        <v>4826</v>
      </c>
      <c r="B3433" t="str">
        <f>"15124201015"</f>
        <v>15124201015</v>
      </c>
      <c r="C3433" t="str">
        <f>"210882198909042127"</f>
        <v>210882198909042127</v>
      </c>
      <c r="D3433" t="s">
        <v>1</v>
      </c>
      <c r="E3433" t="s">
        <v>1</v>
      </c>
      <c r="F3433" t="s">
        <v>0</v>
      </c>
      <c r="G3433" t="str">
        <f>"2018-10-17 21:08:34"</f>
        <v>2018-10-17 21:08:34</v>
      </c>
    </row>
    <row r="3434" spans="1:7" x14ac:dyDescent="0.2">
      <c r="A3434" t="s">
        <v>4827</v>
      </c>
      <c r="B3434" t="str">
        <f>"18193929962"</f>
        <v>18193929962</v>
      </c>
      <c r="C3434" t="str">
        <f>"622625197109101913"</f>
        <v>622625197109101913</v>
      </c>
      <c r="D3434" t="s">
        <v>1</v>
      </c>
      <c r="E3434" t="s">
        <v>1</v>
      </c>
      <c r="F3434" t="s">
        <v>0</v>
      </c>
      <c r="G3434" t="str">
        <f>"2018-10-17 21:07:41"</f>
        <v>2018-10-17 21:07:41</v>
      </c>
    </row>
    <row r="3435" spans="1:7" x14ac:dyDescent="0.2">
      <c r="A3435" t="s">
        <v>4828</v>
      </c>
      <c r="B3435" t="str">
        <f>"13771767714"</f>
        <v>13771767714</v>
      </c>
      <c r="C3435" t="str">
        <f>"362334198608107114"</f>
        <v>362334198608107114</v>
      </c>
      <c r="D3435" t="s">
        <v>1</v>
      </c>
      <c r="E3435" t="s">
        <v>1</v>
      </c>
      <c r="F3435" t="s">
        <v>0</v>
      </c>
      <c r="G3435" t="str">
        <f>"2018-10-17 21:16:12"</f>
        <v>2018-10-17 21:16:12</v>
      </c>
    </row>
    <row r="3436" spans="1:7" x14ac:dyDescent="0.2">
      <c r="A3436" t="s">
        <v>4829</v>
      </c>
      <c r="B3436" t="str">
        <f>"15352501571"</f>
        <v>15352501571</v>
      </c>
      <c r="C3436" t="str">
        <f>"62220119891016812X"</f>
        <v>62220119891016812X</v>
      </c>
      <c r="D3436" t="s">
        <v>1</v>
      </c>
      <c r="E3436" t="s">
        <v>1</v>
      </c>
      <c r="F3436" t="s">
        <v>0</v>
      </c>
      <c r="G3436" t="str">
        <f>"2018-10-17 21:03:30"</f>
        <v>2018-10-17 21:03:30</v>
      </c>
    </row>
    <row r="3437" spans="1:7" x14ac:dyDescent="0.2">
      <c r="A3437" t="s">
        <v>4830</v>
      </c>
      <c r="B3437" t="str">
        <f>"17843007716"</f>
        <v>17843007716</v>
      </c>
      <c r="C3437" t="str">
        <f>"220122197805142513"</f>
        <v>220122197805142513</v>
      </c>
      <c r="D3437" t="s">
        <v>1</v>
      </c>
      <c r="E3437" t="s">
        <v>1</v>
      </c>
      <c r="F3437" t="s">
        <v>0</v>
      </c>
      <c r="G3437" t="str">
        <f>"2018-10-17 21:04:10"</f>
        <v>2018-10-17 21:04:10</v>
      </c>
    </row>
    <row r="3438" spans="1:7" x14ac:dyDescent="0.2">
      <c r="A3438" t="s">
        <v>4831</v>
      </c>
      <c r="B3438" t="str">
        <f>"18246319763"</f>
        <v>18246319763</v>
      </c>
      <c r="C3438" t="str">
        <f>"231084197603071717"</f>
        <v>231084197603071717</v>
      </c>
      <c r="D3438" t="s">
        <v>1</v>
      </c>
      <c r="E3438" t="s">
        <v>1</v>
      </c>
      <c r="F3438" t="s">
        <v>0</v>
      </c>
      <c r="G3438" t="str">
        <f>"2018-10-17 21:00:09"</f>
        <v>2018-10-17 21:00:09</v>
      </c>
    </row>
    <row r="3439" spans="1:7" x14ac:dyDescent="0.2">
      <c r="A3439" t="s">
        <v>4832</v>
      </c>
      <c r="B3439" t="str">
        <f>"13976691241"</f>
        <v>13976691241</v>
      </c>
      <c r="C3439" t="str">
        <f>"460004199312223812"</f>
        <v>460004199312223812</v>
      </c>
      <c r="D3439" t="s">
        <v>4833</v>
      </c>
      <c r="E3439" t="s">
        <v>4834</v>
      </c>
      <c r="F3439" t="s">
        <v>0</v>
      </c>
      <c r="G3439" t="str">
        <f>"2018-10-17 20:59:44"</f>
        <v>2018-10-17 20:59:44</v>
      </c>
    </row>
    <row r="3440" spans="1:7" x14ac:dyDescent="0.2">
      <c r="A3440" t="s">
        <v>4835</v>
      </c>
      <c r="B3440" t="str">
        <f>"17614878453"</f>
        <v>17614878453</v>
      </c>
      <c r="C3440" t="str">
        <f>"150429199111190635"</f>
        <v>150429199111190635</v>
      </c>
      <c r="D3440" t="s">
        <v>1</v>
      </c>
      <c r="E3440" t="s">
        <v>1</v>
      </c>
      <c r="F3440" t="s">
        <v>0</v>
      </c>
      <c r="G3440" t="str">
        <f>"2018-11-01 20:05:53"</f>
        <v>2018-11-01 20:05:53</v>
      </c>
    </row>
    <row r="3441" spans="1:7" x14ac:dyDescent="0.2">
      <c r="A3441" t="s">
        <v>4836</v>
      </c>
      <c r="B3441" t="str">
        <f>"15073677735"</f>
        <v>15073677735</v>
      </c>
      <c r="C3441" t="str">
        <f>"430703199509107168"</f>
        <v>430703199509107168</v>
      </c>
      <c r="D3441" t="s">
        <v>1</v>
      </c>
      <c r="E3441" t="s">
        <v>1</v>
      </c>
      <c r="F3441" t="s">
        <v>0</v>
      </c>
      <c r="G3441" t="str">
        <f>"2018-10-17 21:01:49"</f>
        <v>2018-10-17 21:01:49</v>
      </c>
    </row>
    <row r="3442" spans="1:7" x14ac:dyDescent="0.2">
      <c r="A3442" t="s">
        <v>1</v>
      </c>
      <c r="B3442" t="str">
        <f>"13221778747"</f>
        <v>13221778747</v>
      </c>
      <c r="C3442" t="s">
        <v>1</v>
      </c>
      <c r="D3442" t="s">
        <v>1</v>
      </c>
      <c r="E3442" t="s">
        <v>1</v>
      </c>
      <c r="F3442" t="s">
        <v>0</v>
      </c>
      <c r="G3442" t="str">
        <f>"2018-10-17 20:58:04"</f>
        <v>2018-10-17 20:58:04</v>
      </c>
    </row>
    <row r="3443" spans="1:7" x14ac:dyDescent="0.2">
      <c r="A3443" t="s">
        <v>4837</v>
      </c>
      <c r="B3443" t="str">
        <f>"13140978965"</f>
        <v>13140978965</v>
      </c>
      <c r="C3443" t="str">
        <f>"452701199810162716"</f>
        <v>452701199810162716</v>
      </c>
      <c r="D3443" t="s">
        <v>4838</v>
      </c>
      <c r="E3443" t="s">
        <v>4839</v>
      </c>
      <c r="F3443" t="s">
        <v>0</v>
      </c>
      <c r="G3443" t="str">
        <f>"2018-10-17 20:59:46"</f>
        <v>2018-10-17 20:59:46</v>
      </c>
    </row>
    <row r="3444" spans="1:7" x14ac:dyDescent="0.2">
      <c r="A3444" t="s">
        <v>151</v>
      </c>
      <c r="B3444" t="str">
        <f>"13660385886"</f>
        <v>13660385886</v>
      </c>
      <c r="C3444" t="str">
        <f>"362421198909233513"</f>
        <v>362421198909233513</v>
      </c>
      <c r="D3444" t="s">
        <v>1</v>
      </c>
      <c r="E3444" t="s">
        <v>1</v>
      </c>
      <c r="F3444" t="s">
        <v>0</v>
      </c>
      <c r="G3444" t="str">
        <f>"2018-10-17 21:02:30"</f>
        <v>2018-10-17 21:02:30</v>
      </c>
    </row>
    <row r="3445" spans="1:7" x14ac:dyDescent="0.2">
      <c r="A3445" t="s">
        <v>4840</v>
      </c>
      <c r="B3445" t="str">
        <f>"18257468803"</f>
        <v>18257468803</v>
      </c>
      <c r="C3445" t="str">
        <f>"522628199407076212"</f>
        <v>522628199407076212</v>
      </c>
      <c r="D3445" t="s">
        <v>4841</v>
      </c>
      <c r="E3445" t="s">
        <v>4842</v>
      </c>
      <c r="F3445" t="s">
        <v>0</v>
      </c>
      <c r="G3445" t="str">
        <f>"2018-10-17 20:56:46"</f>
        <v>2018-10-17 20:56:46</v>
      </c>
    </row>
    <row r="3446" spans="1:7" x14ac:dyDescent="0.2">
      <c r="A3446" t="s">
        <v>4843</v>
      </c>
      <c r="B3446" t="str">
        <f>"13790342223"</f>
        <v>13790342223</v>
      </c>
      <c r="C3446" t="str">
        <f>"441900198908101134"</f>
        <v>441900198908101134</v>
      </c>
      <c r="D3446" t="s">
        <v>4844</v>
      </c>
      <c r="E3446" t="s">
        <v>4845</v>
      </c>
      <c r="F3446" t="s">
        <v>0</v>
      </c>
      <c r="G3446" t="str">
        <f>"2018-10-17 21:10:56"</f>
        <v>2018-10-17 21:10:56</v>
      </c>
    </row>
    <row r="3447" spans="1:7" x14ac:dyDescent="0.2">
      <c r="A3447" t="s">
        <v>4846</v>
      </c>
      <c r="B3447" t="str">
        <f>"13144144434"</f>
        <v>13144144434</v>
      </c>
      <c r="C3447" t="str">
        <f>"440682198712133211"</f>
        <v>440682198712133211</v>
      </c>
      <c r="D3447" t="s">
        <v>1</v>
      </c>
      <c r="E3447" t="s">
        <v>1</v>
      </c>
      <c r="F3447" t="s">
        <v>0</v>
      </c>
      <c r="G3447" t="str">
        <f>"2018-10-27 22:02:50"</f>
        <v>2018-10-27 22:02:50</v>
      </c>
    </row>
    <row r="3448" spans="1:7" x14ac:dyDescent="0.2">
      <c r="A3448" t="s">
        <v>1</v>
      </c>
      <c r="B3448" t="str">
        <f>"18820593318"</f>
        <v>18820593318</v>
      </c>
      <c r="C3448" t="s">
        <v>1</v>
      </c>
      <c r="D3448" t="s">
        <v>1</v>
      </c>
      <c r="E3448" t="s">
        <v>1</v>
      </c>
      <c r="F3448" t="s">
        <v>0</v>
      </c>
      <c r="G3448" t="str">
        <f>"2018-10-17 20:56:07"</f>
        <v>2018-10-17 20:56:07</v>
      </c>
    </row>
    <row r="3449" spans="1:7" x14ac:dyDescent="0.2">
      <c r="A3449" t="s">
        <v>1</v>
      </c>
      <c r="B3449" t="str">
        <f>"18822983123"</f>
        <v>18822983123</v>
      </c>
      <c r="C3449" t="s">
        <v>1</v>
      </c>
      <c r="D3449" t="s">
        <v>1</v>
      </c>
      <c r="E3449" t="s">
        <v>1</v>
      </c>
      <c r="F3449" t="s">
        <v>0</v>
      </c>
      <c r="G3449" t="str">
        <f>"2018-10-17 20:55:18"</f>
        <v>2018-10-17 20:55:18</v>
      </c>
    </row>
    <row r="3450" spans="1:7" x14ac:dyDescent="0.2">
      <c r="A3450" t="s">
        <v>4847</v>
      </c>
      <c r="B3450" t="str">
        <f>"15281097085"</f>
        <v>15281097085</v>
      </c>
      <c r="C3450" t="str">
        <f>"50010119990323001X"</f>
        <v>50010119990323001X</v>
      </c>
      <c r="D3450" t="s">
        <v>4848</v>
      </c>
      <c r="E3450" t="s">
        <v>4849</v>
      </c>
      <c r="F3450" t="s">
        <v>0</v>
      </c>
      <c r="G3450" t="str">
        <f>"2018-10-17 20:55:36"</f>
        <v>2018-10-17 20:55:36</v>
      </c>
    </row>
    <row r="3451" spans="1:7" x14ac:dyDescent="0.2">
      <c r="A3451" t="s">
        <v>287</v>
      </c>
      <c r="B3451" t="str">
        <f>"18103218595"</f>
        <v>18103218595</v>
      </c>
      <c r="C3451" t="str">
        <f>"130126199105051832"</f>
        <v>130126199105051832</v>
      </c>
      <c r="D3451" t="s">
        <v>1</v>
      </c>
      <c r="E3451" t="s">
        <v>1</v>
      </c>
      <c r="F3451" t="s">
        <v>0</v>
      </c>
      <c r="G3451" t="str">
        <f>"2018-10-17 21:05:11"</f>
        <v>2018-10-17 21:05:11</v>
      </c>
    </row>
    <row r="3452" spans="1:7" x14ac:dyDescent="0.2">
      <c r="A3452" t="s">
        <v>1</v>
      </c>
      <c r="B3452" t="str">
        <f>"15676654794"</f>
        <v>15676654794</v>
      </c>
      <c r="C3452" t="s">
        <v>1</v>
      </c>
      <c r="D3452" t="s">
        <v>1</v>
      </c>
      <c r="E3452" t="s">
        <v>1</v>
      </c>
      <c r="F3452" t="s">
        <v>0</v>
      </c>
      <c r="G3452" t="str">
        <f>"2018-10-17 20:54:35"</f>
        <v>2018-10-17 20:54:35</v>
      </c>
    </row>
    <row r="3453" spans="1:7" x14ac:dyDescent="0.2">
      <c r="A3453" t="s">
        <v>4850</v>
      </c>
      <c r="B3453" t="str">
        <f>"18388438594"</f>
        <v>18388438594</v>
      </c>
      <c r="C3453" t="str">
        <f>"532529199409041518"</f>
        <v>532529199409041518</v>
      </c>
      <c r="D3453" t="s">
        <v>1</v>
      </c>
      <c r="E3453" t="s">
        <v>1</v>
      </c>
      <c r="F3453" t="s">
        <v>0</v>
      </c>
      <c r="G3453" t="str">
        <f>"2018-10-17 20:54:07"</f>
        <v>2018-10-17 20:54:07</v>
      </c>
    </row>
    <row r="3454" spans="1:7" x14ac:dyDescent="0.2">
      <c r="A3454" t="s">
        <v>4851</v>
      </c>
      <c r="B3454" t="str">
        <f>"15930333133"</f>
        <v>15930333133</v>
      </c>
      <c r="C3454" t="str">
        <f>"13070519850908061X"</f>
        <v>13070519850908061X</v>
      </c>
      <c r="D3454" t="s">
        <v>1</v>
      </c>
      <c r="E3454" t="s">
        <v>1</v>
      </c>
      <c r="F3454" t="s">
        <v>0</v>
      </c>
      <c r="G3454" t="str">
        <f>"2018-10-17 21:04:27"</f>
        <v>2018-10-17 21:04:27</v>
      </c>
    </row>
    <row r="3455" spans="1:7" x14ac:dyDescent="0.2">
      <c r="A3455" t="s">
        <v>4852</v>
      </c>
      <c r="B3455" t="str">
        <f>"17852765130"</f>
        <v>17852765130</v>
      </c>
      <c r="C3455" t="str">
        <f>"371326199601236410"</f>
        <v>371326199601236410</v>
      </c>
      <c r="D3455" t="s">
        <v>1</v>
      </c>
      <c r="E3455" t="s">
        <v>1</v>
      </c>
      <c r="F3455" t="s">
        <v>0</v>
      </c>
      <c r="G3455" t="str">
        <f>"2018-10-17 20:53:47"</f>
        <v>2018-10-17 20:53:47</v>
      </c>
    </row>
    <row r="3456" spans="1:7" x14ac:dyDescent="0.2">
      <c r="A3456" t="s">
        <v>4853</v>
      </c>
      <c r="B3456" t="str">
        <f>"13878938112"</f>
        <v>13878938112</v>
      </c>
      <c r="C3456" t="str">
        <f>"450521197907037819"</f>
        <v>450521197907037819</v>
      </c>
      <c r="D3456" t="s">
        <v>1</v>
      </c>
      <c r="E3456" t="s">
        <v>1</v>
      </c>
      <c r="F3456" t="s">
        <v>0</v>
      </c>
      <c r="G3456" t="str">
        <f>"2018-10-18 11:41:30"</f>
        <v>2018-10-18 11:41:30</v>
      </c>
    </row>
    <row r="3457" spans="1:7" x14ac:dyDescent="0.2">
      <c r="A3457" t="s">
        <v>1</v>
      </c>
      <c r="B3457" t="str">
        <f>"13094722407"</f>
        <v>13094722407</v>
      </c>
      <c r="C3457" t="s">
        <v>1</v>
      </c>
      <c r="D3457" t="s">
        <v>1</v>
      </c>
      <c r="E3457" t="s">
        <v>1</v>
      </c>
      <c r="F3457" t="s">
        <v>0</v>
      </c>
      <c r="G3457" t="str">
        <f>"2018-10-17 20:53:29"</f>
        <v>2018-10-17 20:53:29</v>
      </c>
    </row>
    <row r="3458" spans="1:7" x14ac:dyDescent="0.2">
      <c r="A3458" t="s">
        <v>4854</v>
      </c>
      <c r="B3458" t="str">
        <f>"15898257123"</f>
        <v>15898257123</v>
      </c>
      <c r="C3458" t="str">
        <f>"211481198708032435"</f>
        <v>211481198708032435</v>
      </c>
      <c r="D3458" t="s">
        <v>1</v>
      </c>
      <c r="E3458" t="s">
        <v>1</v>
      </c>
      <c r="F3458" t="s">
        <v>0</v>
      </c>
      <c r="G3458" t="str">
        <f>"2018-10-17 20:56:51"</f>
        <v>2018-10-17 20:56:51</v>
      </c>
    </row>
    <row r="3459" spans="1:7" x14ac:dyDescent="0.2">
      <c r="A3459" t="s">
        <v>4855</v>
      </c>
      <c r="B3459" t="str">
        <f>"15605055520"</f>
        <v>15605055520</v>
      </c>
      <c r="C3459" t="str">
        <f>"35220219920816575X"</f>
        <v>35220219920816575X</v>
      </c>
      <c r="D3459" t="s">
        <v>1</v>
      </c>
      <c r="E3459" t="s">
        <v>1</v>
      </c>
      <c r="F3459" t="s">
        <v>0</v>
      </c>
      <c r="G3459" t="str">
        <f>"2018-10-18 13:07:18"</f>
        <v>2018-10-18 13:07:18</v>
      </c>
    </row>
    <row r="3460" spans="1:7" x14ac:dyDescent="0.2">
      <c r="A3460" t="s">
        <v>4856</v>
      </c>
      <c r="B3460" t="str">
        <f>"13926636461"</f>
        <v>13926636461</v>
      </c>
      <c r="C3460" t="str">
        <f>"511621200004110648"</f>
        <v>511621200004110648</v>
      </c>
      <c r="D3460" t="s">
        <v>1</v>
      </c>
      <c r="E3460" t="s">
        <v>1</v>
      </c>
      <c r="F3460" t="s">
        <v>0</v>
      </c>
      <c r="G3460" t="str">
        <f>"2018-10-26 12:16:26"</f>
        <v>2018-10-26 12:16:26</v>
      </c>
    </row>
    <row r="3461" spans="1:7" x14ac:dyDescent="0.2">
      <c r="A3461" t="s">
        <v>1</v>
      </c>
      <c r="B3461" t="str">
        <f>"13980804967"</f>
        <v>13980804967</v>
      </c>
      <c r="C3461" t="s">
        <v>1</v>
      </c>
      <c r="D3461" t="s">
        <v>1</v>
      </c>
      <c r="E3461" t="s">
        <v>1</v>
      </c>
      <c r="F3461" t="s">
        <v>0</v>
      </c>
      <c r="G3461" t="str">
        <f>"2018-10-17 20:50:31"</f>
        <v>2018-10-17 20:50:31</v>
      </c>
    </row>
    <row r="3462" spans="1:7" x14ac:dyDescent="0.2">
      <c r="A3462" t="s">
        <v>1</v>
      </c>
      <c r="B3462" t="str">
        <f>"13325634773"</f>
        <v>13325634773</v>
      </c>
      <c r="C3462" t="s">
        <v>1</v>
      </c>
      <c r="D3462" t="s">
        <v>1</v>
      </c>
      <c r="E3462" t="s">
        <v>1</v>
      </c>
      <c r="F3462" t="s">
        <v>0</v>
      </c>
      <c r="G3462" t="str">
        <f>"2018-10-17 20:51:51"</f>
        <v>2018-10-17 20:51:51</v>
      </c>
    </row>
    <row r="3463" spans="1:7" x14ac:dyDescent="0.2">
      <c r="A3463" t="s">
        <v>4857</v>
      </c>
      <c r="B3463" t="str">
        <f>"18707549393"</f>
        <v>18707549393</v>
      </c>
      <c r="C3463" t="str">
        <f>"445224199711300624"</f>
        <v>445224199711300624</v>
      </c>
      <c r="D3463" t="s">
        <v>1</v>
      </c>
      <c r="E3463" t="s">
        <v>1</v>
      </c>
      <c r="F3463" t="s">
        <v>0</v>
      </c>
      <c r="G3463" t="str">
        <f>"2018-10-17 20:58:33"</f>
        <v>2018-10-17 20:58:33</v>
      </c>
    </row>
    <row r="3464" spans="1:7" x14ac:dyDescent="0.2">
      <c r="A3464" t="s">
        <v>4858</v>
      </c>
      <c r="B3464" t="str">
        <f>"13987966956"</f>
        <v>13987966956</v>
      </c>
      <c r="C3464" t="str">
        <f>"532701198407082420"</f>
        <v>532701198407082420</v>
      </c>
      <c r="D3464" t="s">
        <v>1</v>
      </c>
      <c r="E3464" t="s">
        <v>1</v>
      </c>
      <c r="F3464" t="s">
        <v>0</v>
      </c>
      <c r="G3464" t="str">
        <f>"2018-10-17 21:05:54"</f>
        <v>2018-10-17 21:05:54</v>
      </c>
    </row>
    <row r="3465" spans="1:7" x14ac:dyDescent="0.2">
      <c r="A3465" t="s">
        <v>856</v>
      </c>
      <c r="B3465" t="str">
        <f>"15354568993"</f>
        <v>15354568993</v>
      </c>
      <c r="C3465" t="str">
        <f>"220802199107125443"</f>
        <v>220802199107125443</v>
      </c>
      <c r="D3465" t="s">
        <v>1</v>
      </c>
      <c r="E3465" t="s">
        <v>1</v>
      </c>
      <c r="F3465" t="s">
        <v>0</v>
      </c>
      <c r="G3465" t="str">
        <f>"2018-10-17 20:49:55"</f>
        <v>2018-10-17 20:49:55</v>
      </c>
    </row>
    <row r="3466" spans="1:7" x14ac:dyDescent="0.2">
      <c r="A3466" t="s">
        <v>4859</v>
      </c>
      <c r="B3466" t="str">
        <f>"18759312412"</f>
        <v>18759312412</v>
      </c>
      <c r="C3466" t="str">
        <f>"352202199704121529"</f>
        <v>352202199704121529</v>
      </c>
      <c r="D3466" t="s">
        <v>1</v>
      </c>
      <c r="E3466" t="s">
        <v>1</v>
      </c>
      <c r="F3466" t="s">
        <v>0</v>
      </c>
      <c r="G3466" t="str">
        <f>"2018-10-17 20:51:36"</f>
        <v>2018-10-17 20:51:36</v>
      </c>
    </row>
    <row r="3467" spans="1:7" x14ac:dyDescent="0.2">
      <c r="A3467" t="s">
        <v>4860</v>
      </c>
      <c r="B3467" t="str">
        <f>"17358222228"</f>
        <v>17358222228</v>
      </c>
      <c r="C3467" t="str">
        <f>"320582198808266438"</f>
        <v>320582198808266438</v>
      </c>
      <c r="D3467" t="s">
        <v>1</v>
      </c>
      <c r="E3467" t="s">
        <v>1</v>
      </c>
      <c r="F3467" t="s">
        <v>0</v>
      </c>
      <c r="G3467" t="str">
        <f>"2018-10-17 20:49:03"</f>
        <v>2018-10-17 20:49:03</v>
      </c>
    </row>
    <row r="3468" spans="1:7" x14ac:dyDescent="0.2">
      <c r="A3468" t="s">
        <v>4861</v>
      </c>
      <c r="B3468" t="str">
        <f>"15266692996"</f>
        <v>15266692996</v>
      </c>
      <c r="C3468" t="str">
        <f>"371302199003083118"</f>
        <v>371302199003083118</v>
      </c>
      <c r="D3468" t="s">
        <v>4862</v>
      </c>
      <c r="E3468" t="s">
        <v>4863</v>
      </c>
      <c r="F3468" t="s">
        <v>0</v>
      </c>
      <c r="G3468" t="str">
        <f>"2018-10-17 20:46:07"</f>
        <v>2018-10-17 20:46:07</v>
      </c>
    </row>
    <row r="3469" spans="1:7" x14ac:dyDescent="0.2">
      <c r="A3469" t="s">
        <v>1</v>
      </c>
      <c r="B3469" t="str">
        <f>"18207725467"</f>
        <v>18207725467</v>
      </c>
      <c r="C3469" t="s">
        <v>1</v>
      </c>
      <c r="D3469" t="s">
        <v>1</v>
      </c>
      <c r="E3469" t="s">
        <v>1</v>
      </c>
      <c r="F3469" t="s">
        <v>0</v>
      </c>
      <c r="G3469" t="str">
        <f>"2018-10-17 20:45:11"</f>
        <v>2018-10-17 20:45:11</v>
      </c>
    </row>
    <row r="3470" spans="1:7" x14ac:dyDescent="0.2">
      <c r="A3470" t="s">
        <v>4864</v>
      </c>
      <c r="B3470" t="str">
        <f>"18232183875"</f>
        <v>18232183875</v>
      </c>
      <c r="C3470" t="str">
        <f>"130133199603062714"</f>
        <v>130133199603062714</v>
      </c>
      <c r="D3470" t="s">
        <v>1</v>
      </c>
      <c r="E3470" t="s">
        <v>1</v>
      </c>
      <c r="F3470" t="s">
        <v>0</v>
      </c>
      <c r="G3470" t="str">
        <f>"2018-10-17 20:41:51"</f>
        <v>2018-10-17 20:41:51</v>
      </c>
    </row>
    <row r="3471" spans="1:7" x14ac:dyDescent="0.2">
      <c r="A3471" t="s">
        <v>4865</v>
      </c>
      <c r="B3471" t="str">
        <f>"15675033588"</f>
        <v>15675033588</v>
      </c>
      <c r="C3471" t="str">
        <f>"430611199110086531"</f>
        <v>430611199110086531</v>
      </c>
      <c r="D3471" t="s">
        <v>1</v>
      </c>
      <c r="E3471" t="s">
        <v>1</v>
      </c>
      <c r="F3471" t="s">
        <v>0</v>
      </c>
      <c r="G3471" t="str">
        <f>"2018-10-18 18:52:52"</f>
        <v>2018-10-18 18:52:52</v>
      </c>
    </row>
    <row r="3472" spans="1:7" x14ac:dyDescent="0.2">
      <c r="A3472" t="s">
        <v>816</v>
      </c>
      <c r="B3472" t="str">
        <f>"18670314436"</f>
        <v>18670314436</v>
      </c>
      <c r="C3472" t="str">
        <f>"430111198910200732"</f>
        <v>430111198910200732</v>
      </c>
      <c r="D3472" t="s">
        <v>4866</v>
      </c>
      <c r="E3472" t="s">
        <v>4867</v>
      </c>
      <c r="F3472" t="s">
        <v>0</v>
      </c>
      <c r="G3472" t="str">
        <f>"2018-10-19 03:48:34"</f>
        <v>2018-10-19 03:48:34</v>
      </c>
    </row>
    <row r="3473" spans="1:7" x14ac:dyDescent="0.2">
      <c r="A3473" t="s">
        <v>4868</v>
      </c>
      <c r="B3473" t="str">
        <f>"17787061482"</f>
        <v>17787061482</v>
      </c>
      <c r="C3473" t="str">
        <f>"530424198810191244"</f>
        <v>530424198810191244</v>
      </c>
      <c r="D3473" t="s">
        <v>1</v>
      </c>
      <c r="E3473" t="s">
        <v>1</v>
      </c>
      <c r="F3473" t="s">
        <v>0</v>
      </c>
      <c r="G3473" t="str">
        <f>"2018-10-28 17:32:53"</f>
        <v>2018-10-28 17:32:53</v>
      </c>
    </row>
    <row r="3474" spans="1:7" x14ac:dyDescent="0.2">
      <c r="A3474" t="s">
        <v>4869</v>
      </c>
      <c r="B3474" t="str">
        <f>"15053405832"</f>
        <v>15053405832</v>
      </c>
      <c r="C3474" t="str">
        <f>"371426199010285224"</f>
        <v>371426199010285224</v>
      </c>
      <c r="D3474" t="s">
        <v>1</v>
      </c>
      <c r="E3474" t="s">
        <v>1</v>
      </c>
      <c r="F3474" t="s">
        <v>0</v>
      </c>
      <c r="G3474" t="str">
        <f>"2018-10-17 20:40:39"</f>
        <v>2018-10-17 20:40:39</v>
      </c>
    </row>
    <row r="3475" spans="1:7" x14ac:dyDescent="0.2">
      <c r="A3475" t="s">
        <v>4870</v>
      </c>
      <c r="B3475" t="str">
        <f>"15883920166"</f>
        <v>15883920166</v>
      </c>
      <c r="C3475" t="str">
        <f>"510821199210039111"</f>
        <v>510821199210039111</v>
      </c>
      <c r="D3475" t="s">
        <v>1</v>
      </c>
      <c r="E3475" t="s">
        <v>1</v>
      </c>
      <c r="F3475" t="s">
        <v>0</v>
      </c>
      <c r="G3475" t="str">
        <f>"2018-10-17 20:41:16"</f>
        <v>2018-10-17 20:41:16</v>
      </c>
    </row>
    <row r="3476" spans="1:7" x14ac:dyDescent="0.2">
      <c r="A3476" t="s">
        <v>1</v>
      </c>
      <c r="B3476" t="str">
        <f>"17631109200"</f>
        <v>17631109200</v>
      </c>
      <c r="C3476" t="s">
        <v>1</v>
      </c>
      <c r="D3476" t="s">
        <v>1</v>
      </c>
      <c r="E3476" t="s">
        <v>1</v>
      </c>
      <c r="F3476" t="s">
        <v>0</v>
      </c>
      <c r="G3476" t="str">
        <f>"2018-10-17 20:37:34"</f>
        <v>2018-10-17 20:37:34</v>
      </c>
    </row>
    <row r="3477" spans="1:7" x14ac:dyDescent="0.2">
      <c r="A3477" t="s">
        <v>1</v>
      </c>
      <c r="B3477" t="str">
        <f>"13184264943"</f>
        <v>13184264943</v>
      </c>
      <c r="C3477" t="s">
        <v>1</v>
      </c>
      <c r="D3477" t="s">
        <v>1</v>
      </c>
      <c r="E3477" t="s">
        <v>1</v>
      </c>
      <c r="F3477" t="s">
        <v>0</v>
      </c>
      <c r="G3477" t="str">
        <f>"2018-10-17 20:34:39"</f>
        <v>2018-10-17 20:34:39</v>
      </c>
    </row>
    <row r="3478" spans="1:7" x14ac:dyDescent="0.2">
      <c r="A3478" t="s">
        <v>1192</v>
      </c>
      <c r="B3478" t="str">
        <f>"13314525903"</f>
        <v>13314525903</v>
      </c>
      <c r="C3478" t="str">
        <f>"230281198606120233"</f>
        <v>230281198606120233</v>
      </c>
      <c r="D3478" t="s">
        <v>1</v>
      </c>
      <c r="E3478" t="s">
        <v>1</v>
      </c>
      <c r="F3478" t="s">
        <v>0</v>
      </c>
      <c r="G3478" t="str">
        <f>"2018-10-26 15:25:41"</f>
        <v>2018-10-26 15:25:41</v>
      </c>
    </row>
    <row r="3479" spans="1:7" x14ac:dyDescent="0.2">
      <c r="A3479" t="s">
        <v>1</v>
      </c>
      <c r="B3479" t="str">
        <f>"13059950714"</f>
        <v>13059950714</v>
      </c>
      <c r="C3479" t="s">
        <v>1</v>
      </c>
      <c r="D3479" t="s">
        <v>1</v>
      </c>
      <c r="E3479" t="s">
        <v>1</v>
      </c>
      <c r="F3479" t="s">
        <v>0</v>
      </c>
      <c r="G3479" t="str">
        <f>"2018-10-17 20:32:05"</f>
        <v>2018-10-17 20:32:05</v>
      </c>
    </row>
    <row r="3480" spans="1:7" x14ac:dyDescent="0.2">
      <c r="A3480" t="s">
        <v>1</v>
      </c>
      <c r="B3480" t="str">
        <f>"18771152767"</f>
        <v>18771152767</v>
      </c>
      <c r="C3480" t="s">
        <v>1</v>
      </c>
      <c r="D3480" t="s">
        <v>1</v>
      </c>
      <c r="E3480" t="s">
        <v>1</v>
      </c>
      <c r="F3480" t="s">
        <v>0</v>
      </c>
      <c r="G3480" t="str">
        <f>"2018-10-17 20:44:15"</f>
        <v>2018-10-17 20:44:15</v>
      </c>
    </row>
    <row r="3481" spans="1:7" x14ac:dyDescent="0.2">
      <c r="A3481" t="s">
        <v>4871</v>
      </c>
      <c r="B3481" t="str">
        <f>"18697123443"</f>
        <v>18697123443</v>
      </c>
      <c r="C3481" t="str">
        <f>"630121198408012816"</f>
        <v>630121198408012816</v>
      </c>
      <c r="D3481" t="s">
        <v>1</v>
      </c>
      <c r="E3481" t="s">
        <v>1</v>
      </c>
      <c r="F3481" t="s">
        <v>0</v>
      </c>
      <c r="G3481" t="str">
        <f>"2018-10-24 12:01:14"</f>
        <v>2018-10-24 12:01:14</v>
      </c>
    </row>
    <row r="3482" spans="1:7" x14ac:dyDescent="0.2">
      <c r="A3482" t="s">
        <v>1</v>
      </c>
      <c r="B3482" t="str">
        <f>"18457911123"</f>
        <v>18457911123</v>
      </c>
      <c r="C3482" t="s">
        <v>1</v>
      </c>
      <c r="D3482" t="s">
        <v>1</v>
      </c>
      <c r="E3482" t="s">
        <v>1</v>
      </c>
      <c r="F3482" t="s">
        <v>0</v>
      </c>
      <c r="G3482" t="str">
        <f>"2018-10-17 20:31:28"</f>
        <v>2018-10-17 20:31:28</v>
      </c>
    </row>
    <row r="3483" spans="1:7" x14ac:dyDescent="0.2">
      <c r="A3483" t="s">
        <v>1</v>
      </c>
      <c r="B3483" t="str">
        <f>"13006969564"</f>
        <v>13006969564</v>
      </c>
      <c r="C3483" t="s">
        <v>1</v>
      </c>
      <c r="D3483" t="s">
        <v>1</v>
      </c>
      <c r="E3483" t="s">
        <v>1</v>
      </c>
      <c r="F3483" t="s">
        <v>0</v>
      </c>
      <c r="G3483" t="str">
        <f>"2018-10-17 20:31:24"</f>
        <v>2018-10-17 20:31:24</v>
      </c>
    </row>
    <row r="3484" spans="1:7" x14ac:dyDescent="0.2">
      <c r="A3484" t="s">
        <v>63</v>
      </c>
      <c r="B3484" t="str">
        <f>"13733384338"</f>
        <v>13733384338</v>
      </c>
      <c r="C3484" t="str">
        <f>"130635198803142415"</f>
        <v>130635198803142415</v>
      </c>
      <c r="D3484" t="s">
        <v>1</v>
      </c>
      <c r="E3484" t="s">
        <v>1</v>
      </c>
      <c r="F3484" t="s">
        <v>0</v>
      </c>
      <c r="G3484" t="str">
        <f>"2018-10-17 20:36:49"</f>
        <v>2018-10-17 20:36:49</v>
      </c>
    </row>
    <row r="3485" spans="1:7" x14ac:dyDescent="0.2">
      <c r="A3485" t="s">
        <v>1</v>
      </c>
      <c r="B3485" t="str">
        <f>"13021693271"</f>
        <v>13021693271</v>
      </c>
      <c r="C3485" t="s">
        <v>1</v>
      </c>
      <c r="D3485" t="s">
        <v>1</v>
      </c>
      <c r="E3485" t="s">
        <v>1</v>
      </c>
      <c r="F3485" t="s">
        <v>0</v>
      </c>
      <c r="G3485" t="str">
        <f>"2018-10-17 20:29:51"</f>
        <v>2018-10-17 20:29:51</v>
      </c>
    </row>
    <row r="3486" spans="1:7" x14ac:dyDescent="0.2">
      <c r="A3486" t="s">
        <v>4872</v>
      </c>
      <c r="B3486" t="str">
        <f>"15021187087"</f>
        <v>15021187087</v>
      </c>
      <c r="C3486" t="str">
        <f>"500222199409246814"</f>
        <v>500222199409246814</v>
      </c>
      <c r="D3486" t="s">
        <v>4873</v>
      </c>
      <c r="E3486" t="s">
        <v>4874</v>
      </c>
      <c r="F3486" t="s">
        <v>0</v>
      </c>
      <c r="G3486" t="str">
        <f>"2018-10-17 20:50:16"</f>
        <v>2018-10-17 20:50:16</v>
      </c>
    </row>
    <row r="3487" spans="1:7" x14ac:dyDescent="0.2">
      <c r="A3487" t="s">
        <v>4875</v>
      </c>
      <c r="B3487" t="str">
        <f>"18106073690"</f>
        <v>18106073690</v>
      </c>
      <c r="C3487" t="str">
        <f>"350125198807065438"</f>
        <v>350125198807065438</v>
      </c>
      <c r="D3487" t="s">
        <v>1</v>
      </c>
      <c r="E3487" t="s">
        <v>1</v>
      </c>
      <c r="F3487" t="s">
        <v>0</v>
      </c>
      <c r="G3487" t="str">
        <f>"2018-10-17 20:28:08"</f>
        <v>2018-10-17 20:28:08</v>
      </c>
    </row>
    <row r="3488" spans="1:7" x14ac:dyDescent="0.2">
      <c r="A3488" t="s">
        <v>4876</v>
      </c>
      <c r="B3488" t="str">
        <f>"13928824505"</f>
        <v>13928824505</v>
      </c>
      <c r="C3488" t="str">
        <f>"362432198611030018"</f>
        <v>362432198611030018</v>
      </c>
      <c r="D3488" t="s">
        <v>1</v>
      </c>
      <c r="E3488" t="s">
        <v>1</v>
      </c>
      <c r="F3488" t="s">
        <v>0</v>
      </c>
      <c r="G3488" t="str">
        <f>"2018-10-17 20:51:26"</f>
        <v>2018-10-17 20:51:26</v>
      </c>
    </row>
    <row r="3489" spans="1:7" x14ac:dyDescent="0.2">
      <c r="A3489" t="s">
        <v>4877</v>
      </c>
      <c r="B3489" t="str">
        <f>"13759931376"</f>
        <v>13759931376</v>
      </c>
      <c r="C3489" t="str">
        <f>"610103198003023676"</f>
        <v>610103198003023676</v>
      </c>
      <c r="D3489" t="s">
        <v>4878</v>
      </c>
      <c r="E3489" t="s">
        <v>4879</v>
      </c>
      <c r="F3489" t="s">
        <v>0</v>
      </c>
      <c r="G3489" t="str">
        <f>"2018-10-17 21:17:09"</f>
        <v>2018-10-17 21:17:09</v>
      </c>
    </row>
    <row r="3490" spans="1:7" x14ac:dyDescent="0.2">
      <c r="A3490" t="s">
        <v>4880</v>
      </c>
      <c r="B3490" t="str">
        <f>"15106895215"</f>
        <v>15106895215</v>
      </c>
      <c r="C3490" t="str">
        <f>"371523199006212352"</f>
        <v>371523199006212352</v>
      </c>
      <c r="D3490" t="s">
        <v>1</v>
      </c>
      <c r="E3490" t="s">
        <v>1</v>
      </c>
      <c r="F3490" t="s">
        <v>0</v>
      </c>
      <c r="G3490" t="str">
        <f>"2018-10-17 20:30:07"</f>
        <v>2018-10-17 20:30:07</v>
      </c>
    </row>
    <row r="3491" spans="1:7" x14ac:dyDescent="0.2">
      <c r="A3491" t="s">
        <v>4881</v>
      </c>
      <c r="B3491" t="str">
        <f>"13614335780"</f>
        <v>13614335780</v>
      </c>
      <c r="C3491" t="str">
        <f>"222403198409094015"</f>
        <v>222403198409094015</v>
      </c>
      <c r="D3491" t="s">
        <v>1</v>
      </c>
      <c r="E3491" t="s">
        <v>1</v>
      </c>
      <c r="F3491" t="s">
        <v>0</v>
      </c>
      <c r="G3491" t="str">
        <f>"2018-10-17 20:47:18"</f>
        <v>2018-10-17 20:47:18</v>
      </c>
    </row>
    <row r="3492" spans="1:7" x14ac:dyDescent="0.2">
      <c r="A3492" t="s">
        <v>4882</v>
      </c>
      <c r="B3492" t="str">
        <f>"13606896984"</f>
        <v>13606896984</v>
      </c>
      <c r="C3492" t="str">
        <f>"612328199009033327"</f>
        <v>612328199009033327</v>
      </c>
      <c r="D3492" t="s">
        <v>1</v>
      </c>
      <c r="E3492" t="s">
        <v>1</v>
      </c>
      <c r="F3492" t="s">
        <v>0</v>
      </c>
      <c r="G3492" t="str">
        <f>"2018-10-17 20:34:27"</f>
        <v>2018-10-17 20:34:27</v>
      </c>
    </row>
    <row r="3493" spans="1:7" x14ac:dyDescent="0.2">
      <c r="A3493" t="s">
        <v>1</v>
      </c>
      <c r="B3493" t="str">
        <f>"18399864661"</f>
        <v>18399864661</v>
      </c>
      <c r="C3493" t="s">
        <v>1</v>
      </c>
      <c r="D3493" t="s">
        <v>1</v>
      </c>
      <c r="E3493" t="s">
        <v>1</v>
      </c>
      <c r="F3493" t="s">
        <v>0</v>
      </c>
      <c r="G3493" t="str">
        <f>"2018-10-17 20:25:24"</f>
        <v>2018-10-17 20:25:24</v>
      </c>
    </row>
    <row r="3494" spans="1:7" x14ac:dyDescent="0.2">
      <c r="A3494" t="s">
        <v>4883</v>
      </c>
      <c r="B3494" t="str">
        <f>"15152893310"</f>
        <v>15152893310</v>
      </c>
      <c r="C3494" t="str">
        <f>"371322199405061216"</f>
        <v>371322199405061216</v>
      </c>
      <c r="D3494" t="s">
        <v>1</v>
      </c>
      <c r="E3494" t="s">
        <v>1</v>
      </c>
      <c r="F3494" t="s">
        <v>0</v>
      </c>
      <c r="G3494" t="str">
        <f>"2018-10-17 20:27:57"</f>
        <v>2018-10-17 20:27:57</v>
      </c>
    </row>
    <row r="3495" spans="1:7" x14ac:dyDescent="0.2">
      <c r="A3495" t="s">
        <v>4884</v>
      </c>
      <c r="B3495" t="str">
        <f>"18318671664"</f>
        <v>18318671664</v>
      </c>
      <c r="C3495" t="str">
        <f>"440281199711064812"</f>
        <v>440281199711064812</v>
      </c>
      <c r="D3495" t="s">
        <v>1</v>
      </c>
      <c r="E3495" t="s">
        <v>1</v>
      </c>
      <c r="F3495" t="s">
        <v>0</v>
      </c>
      <c r="G3495" t="str">
        <f>"2018-10-17 20:24:06"</f>
        <v>2018-10-17 20:24:06</v>
      </c>
    </row>
    <row r="3496" spans="1:7" x14ac:dyDescent="0.2">
      <c r="A3496" t="s">
        <v>4885</v>
      </c>
      <c r="B3496" t="str">
        <f>"15092748989"</f>
        <v>15092748989</v>
      </c>
      <c r="C3496" t="str">
        <f>"370830198802226178"</f>
        <v>370830198802226178</v>
      </c>
      <c r="D3496" t="s">
        <v>1</v>
      </c>
      <c r="E3496" t="s">
        <v>1</v>
      </c>
      <c r="F3496" t="s">
        <v>0</v>
      </c>
      <c r="G3496" t="str">
        <f>"2018-10-17 20:21:25"</f>
        <v>2018-10-17 20:21:25</v>
      </c>
    </row>
    <row r="3497" spans="1:7" x14ac:dyDescent="0.2">
      <c r="A3497" t="s">
        <v>547</v>
      </c>
      <c r="B3497" t="str">
        <f>"18387913683"</f>
        <v>18387913683</v>
      </c>
      <c r="C3497" t="str">
        <f>"532724198808150660"</f>
        <v>532724198808150660</v>
      </c>
      <c r="D3497" t="s">
        <v>1</v>
      </c>
      <c r="E3497" t="s">
        <v>1</v>
      </c>
      <c r="F3497" t="s">
        <v>0</v>
      </c>
      <c r="G3497" t="str">
        <f>"2018-10-17 20:26:14"</f>
        <v>2018-10-17 20:26:14</v>
      </c>
    </row>
    <row r="3498" spans="1:7" x14ac:dyDescent="0.2">
      <c r="A3498" t="s">
        <v>813</v>
      </c>
      <c r="B3498" t="str">
        <f>"15517887751"</f>
        <v>15517887751</v>
      </c>
      <c r="C3498" t="str">
        <f>"411281198208143012"</f>
        <v>411281198208143012</v>
      </c>
      <c r="D3498" t="s">
        <v>1</v>
      </c>
      <c r="E3498" t="s">
        <v>1</v>
      </c>
      <c r="F3498" t="s">
        <v>0</v>
      </c>
      <c r="G3498" t="str">
        <f>"2018-10-17 20:30:46"</f>
        <v>2018-10-17 20:30:46</v>
      </c>
    </row>
    <row r="3499" spans="1:7" x14ac:dyDescent="0.2">
      <c r="A3499" t="s">
        <v>1</v>
      </c>
      <c r="B3499" t="str">
        <f>"15826039166"</f>
        <v>15826039166</v>
      </c>
      <c r="C3499" t="s">
        <v>1</v>
      </c>
      <c r="D3499" t="s">
        <v>1</v>
      </c>
      <c r="E3499" t="s">
        <v>1</v>
      </c>
      <c r="F3499" t="s">
        <v>0</v>
      </c>
      <c r="G3499" t="str">
        <f>"2018-10-17 20:20:51"</f>
        <v>2018-10-17 20:20:51</v>
      </c>
    </row>
    <row r="3500" spans="1:7" x14ac:dyDescent="0.2">
      <c r="A3500" t="s">
        <v>4886</v>
      </c>
      <c r="B3500" t="str">
        <f>"17630938525"</f>
        <v>17630938525</v>
      </c>
      <c r="C3500" t="str">
        <f>"41150219960608771X"</f>
        <v>41150219960608771X</v>
      </c>
      <c r="D3500" t="s">
        <v>1</v>
      </c>
      <c r="E3500" t="s">
        <v>1</v>
      </c>
      <c r="F3500" t="s">
        <v>0</v>
      </c>
      <c r="G3500" t="str">
        <f>"2018-10-17 20:23:32"</f>
        <v>2018-10-17 20:23:32</v>
      </c>
    </row>
    <row r="3501" spans="1:7" x14ac:dyDescent="0.2">
      <c r="A3501" t="s">
        <v>4887</v>
      </c>
      <c r="B3501" t="str">
        <f>"15005970004"</f>
        <v>15005970004</v>
      </c>
      <c r="C3501" t="str">
        <f>"350322198704202518"</f>
        <v>350322198704202518</v>
      </c>
      <c r="D3501" t="s">
        <v>1</v>
      </c>
      <c r="E3501" t="s">
        <v>1</v>
      </c>
      <c r="F3501" t="s">
        <v>0</v>
      </c>
      <c r="G3501" t="str">
        <f>"2018-10-17 20:21:11"</f>
        <v>2018-10-17 20:21:11</v>
      </c>
    </row>
    <row r="3502" spans="1:7" x14ac:dyDescent="0.2">
      <c r="A3502" t="s">
        <v>1</v>
      </c>
      <c r="B3502" t="str">
        <f>"13077739074"</f>
        <v>13077739074</v>
      </c>
      <c r="C3502" t="s">
        <v>1</v>
      </c>
      <c r="D3502" t="s">
        <v>1</v>
      </c>
      <c r="E3502" t="s">
        <v>1</v>
      </c>
      <c r="F3502" t="s">
        <v>0</v>
      </c>
      <c r="G3502" t="str">
        <f>"2018-10-17 20:19:59"</f>
        <v>2018-10-17 20:19:59</v>
      </c>
    </row>
    <row r="3503" spans="1:7" x14ac:dyDescent="0.2">
      <c r="A3503" t="s">
        <v>4888</v>
      </c>
      <c r="B3503" t="str">
        <f>"15060298904"</f>
        <v>15060298904</v>
      </c>
      <c r="C3503" t="str">
        <f>"352230200002211512"</f>
        <v>352230200002211512</v>
      </c>
      <c r="D3503" t="s">
        <v>1</v>
      </c>
      <c r="E3503" t="s">
        <v>1</v>
      </c>
      <c r="F3503" t="s">
        <v>0</v>
      </c>
      <c r="G3503" t="str">
        <f>"2018-10-17 20:22:28"</f>
        <v>2018-10-17 20:22:28</v>
      </c>
    </row>
    <row r="3504" spans="1:7" x14ac:dyDescent="0.2">
      <c r="A3504" t="s">
        <v>4889</v>
      </c>
      <c r="B3504" t="str">
        <f>"15257405715"</f>
        <v>15257405715</v>
      </c>
      <c r="C3504" t="str">
        <f>"330226199208113998"</f>
        <v>330226199208113998</v>
      </c>
      <c r="D3504" t="s">
        <v>4890</v>
      </c>
      <c r="E3504" t="s">
        <v>4891</v>
      </c>
      <c r="F3504" t="s">
        <v>0</v>
      </c>
      <c r="G3504" t="str">
        <f>"2018-10-22 23:20:17"</f>
        <v>2018-10-22 23:20:17</v>
      </c>
    </row>
    <row r="3505" spans="1:7" x14ac:dyDescent="0.2">
      <c r="A3505" t="s">
        <v>1</v>
      </c>
      <c r="B3505" t="str">
        <f>"15190231699"</f>
        <v>15190231699</v>
      </c>
      <c r="C3505" t="s">
        <v>1</v>
      </c>
      <c r="D3505" t="s">
        <v>1</v>
      </c>
      <c r="E3505" t="s">
        <v>1</v>
      </c>
      <c r="F3505" t="s">
        <v>0</v>
      </c>
      <c r="G3505" t="str">
        <f>"2018-10-17 20:19:06"</f>
        <v>2018-10-17 20:19:06</v>
      </c>
    </row>
    <row r="3506" spans="1:7" x14ac:dyDescent="0.2">
      <c r="A3506" t="s">
        <v>1</v>
      </c>
      <c r="B3506" t="str">
        <f>"13511272994"</f>
        <v>13511272994</v>
      </c>
      <c r="C3506" t="s">
        <v>1</v>
      </c>
      <c r="D3506" t="s">
        <v>1</v>
      </c>
      <c r="E3506" t="s">
        <v>1</v>
      </c>
      <c r="F3506" t="s">
        <v>0</v>
      </c>
      <c r="G3506" t="str">
        <f>"2018-10-17 20:17:48"</f>
        <v>2018-10-17 20:17:48</v>
      </c>
    </row>
    <row r="3507" spans="1:7" x14ac:dyDescent="0.2">
      <c r="A3507" t="s">
        <v>4892</v>
      </c>
      <c r="B3507" t="str">
        <f>"13728487994"</f>
        <v>13728487994</v>
      </c>
      <c r="C3507" t="str">
        <f>"440784199102172718"</f>
        <v>440784199102172718</v>
      </c>
      <c r="D3507" t="s">
        <v>1</v>
      </c>
      <c r="E3507" t="s">
        <v>1</v>
      </c>
      <c r="F3507" t="s">
        <v>0</v>
      </c>
      <c r="G3507" t="str">
        <f>"2018-10-17 21:05:35"</f>
        <v>2018-10-17 21:05:35</v>
      </c>
    </row>
    <row r="3508" spans="1:7" x14ac:dyDescent="0.2">
      <c r="A3508" t="s">
        <v>1</v>
      </c>
      <c r="B3508" t="str">
        <f>"13133516095"</f>
        <v>13133516095</v>
      </c>
      <c r="C3508" t="s">
        <v>1</v>
      </c>
      <c r="D3508" t="s">
        <v>1</v>
      </c>
      <c r="E3508" t="s">
        <v>1</v>
      </c>
      <c r="F3508" t="s">
        <v>0</v>
      </c>
      <c r="G3508" t="str">
        <f>"2018-10-17 20:17:39"</f>
        <v>2018-10-17 20:17:39</v>
      </c>
    </row>
    <row r="3509" spans="1:7" x14ac:dyDescent="0.2">
      <c r="A3509" t="s">
        <v>4893</v>
      </c>
      <c r="B3509" t="str">
        <f>"15651629687"</f>
        <v>15651629687</v>
      </c>
      <c r="C3509" t="str">
        <f>"320682199803272193"</f>
        <v>320682199803272193</v>
      </c>
      <c r="D3509" t="s">
        <v>1</v>
      </c>
      <c r="E3509" t="s">
        <v>1</v>
      </c>
      <c r="F3509" t="s">
        <v>0</v>
      </c>
      <c r="G3509" t="str">
        <f>"2018-10-19 12:01:24"</f>
        <v>2018-10-19 12:01:24</v>
      </c>
    </row>
    <row r="3510" spans="1:7" x14ac:dyDescent="0.2">
      <c r="A3510" t="s">
        <v>1505</v>
      </c>
      <c r="B3510" t="str">
        <f>"15296644880"</f>
        <v>15296644880</v>
      </c>
      <c r="C3510" t="str">
        <f>"142402199207035410"</f>
        <v>142402199207035410</v>
      </c>
      <c r="D3510" t="s">
        <v>1</v>
      </c>
      <c r="E3510" t="s">
        <v>1</v>
      </c>
      <c r="F3510" t="s">
        <v>0</v>
      </c>
      <c r="G3510" t="str">
        <f>"2018-10-17 20:18:16"</f>
        <v>2018-10-17 20:18:16</v>
      </c>
    </row>
    <row r="3511" spans="1:7" x14ac:dyDescent="0.2">
      <c r="A3511" t="s">
        <v>1</v>
      </c>
      <c r="B3511" t="str">
        <f>"18312383349"</f>
        <v>18312383349</v>
      </c>
      <c r="C3511" t="s">
        <v>1</v>
      </c>
      <c r="D3511" t="s">
        <v>1</v>
      </c>
      <c r="E3511" t="s">
        <v>1</v>
      </c>
      <c r="F3511" t="s">
        <v>0</v>
      </c>
      <c r="G3511" t="str">
        <f>"2018-10-17 20:14:56"</f>
        <v>2018-10-17 20:14:56</v>
      </c>
    </row>
    <row r="3512" spans="1:7" x14ac:dyDescent="0.2">
      <c r="A3512" t="s">
        <v>4894</v>
      </c>
      <c r="B3512" t="str">
        <f>"17715627217"</f>
        <v>17715627217</v>
      </c>
      <c r="C3512" t="str">
        <f>"320830199402171417"</f>
        <v>320830199402171417</v>
      </c>
      <c r="D3512" t="s">
        <v>1</v>
      </c>
      <c r="E3512" t="s">
        <v>1</v>
      </c>
      <c r="F3512" t="s">
        <v>0</v>
      </c>
      <c r="G3512" t="str">
        <f>"2018-10-17 20:16:03"</f>
        <v>2018-10-17 20:16:03</v>
      </c>
    </row>
    <row r="3513" spans="1:7" x14ac:dyDescent="0.2">
      <c r="A3513" t="s">
        <v>1</v>
      </c>
      <c r="B3513" t="str">
        <f>"18429014970"</f>
        <v>18429014970</v>
      </c>
      <c r="C3513" t="s">
        <v>1</v>
      </c>
      <c r="D3513" t="s">
        <v>1</v>
      </c>
      <c r="E3513" t="s">
        <v>1</v>
      </c>
      <c r="F3513" t="s">
        <v>0</v>
      </c>
      <c r="G3513" t="str">
        <f>"2018-10-17 20:14:37"</f>
        <v>2018-10-17 20:14:37</v>
      </c>
    </row>
    <row r="3514" spans="1:7" x14ac:dyDescent="0.2">
      <c r="A3514" t="s">
        <v>1160</v>
      </c>
      <c r="B3514" t="str">
        <f>"13568716890"</f>
        <v>13568716890</v>
      </c>
      <c r="C3514" t="str">
        <f>"510922199211111850"</f>
        <v>510922199211111850</v>
      </c>
      <c r="D3514" t="s">
        <v>1</v>
      </c>
      <c r="E3514" t="s">
        <v>1</v>
      </c>
      <c r="F3514" t="s">
        <v>0</v>
      </c>
      <c r="G3514" t="str">
        <f>"2018-10-17 20:15:16"</f>
        <v>2018-10-17 20:15:16</v>
      </c>
    </row>
    <row r="3515" spans="1:7" x14ac:dyDescent="0.2">
      <c r="A3515" t="s">
        <v>4895</v>
      </c>
      <c r="B3515" t="str">
        <f>"15725686588"</f>
        <v>15725686588</v>
      </c>
      <c r="C3515" t="str">
        <f>"370406199002032837"</f>
        <v>370406199002032837</v>
      </c>
      <c r="D3515" t="s">
        <v>1</v>
      </c>
      <c r="E3515" t="s">
        <v>1</v>
      </c>
      <c r="F3515" t="s">
        <v>0</v>
      </c>
      <c r="G3515" t="str">
        <f>"2018-10-17 20:15:11"</f>
        <v>2018-10-17 20:15:11</v>
      </c>
    </row>
    <row r="3516" spans="1:7" x14ac:dyDescent="0.2">
      <c r="A3516" t="s">
        <v>4896</v>
      </c>
      <c r="B3516" t="str">
        <f>"15238756560"</f>
        <v>15238756560</v>
      </c>
      <c r="C3516" t="str">
        <f>"412727199107040027"</f>
        <v>412727199107040027</v>
      </c>
      <c r="D3516" t="s">
        <v>1</v>
      </c>
      <c r="E3516" t="s">
        <v>1</v>
      </c>
      <c r="F3516" t="s">
        <v>0</v>
      </c>
      <c r="G3516" t="str">
        <f>"2018-10-17 20:13:23"</f>
        <v>2018-10-17 20:13:23</v>
      </c>
    </row>
    <row r="3517" spans="1:7" x14ac:dyDescent="0.2">
      <c r="A3517" t="s">
        <v>1</v>
      </c>
      <c r="B3517" t="str">
        <f>"17074979563"</f>
        <v>17074979563</v>
      </c>
      <c r="C3517" t="s">
        <v>1</v>
      </c>
      <c r="D3517" t="s">
        <v>1</v>
      </c>
      <c r="E3517" t="s">
        <v>1</v>
      </c>
      <c r="F3517" t="s">
        <v>0</v>
      </c>
      <c r="G3517" t="str">
        <f>"2018-10-17 20:13:21"</f>
        <v>2018-10-17 20:13:21</v>
      </c>
    </row>
    <row r="3518" spans="1:7" x14ac:dyDescent="0.2">
      <c r="A3518" t="s">
        <v>1</v>
      </c>
      <c r="B3518" t="str">
        <f>"15287613791"</f>
        <v>15287613791</v>
      </c>
      <c r="C3518" t="s">
        <v>1</v>
      </c>
      <c r="D3518" t="s">
        <v>1</v>
      </c>
      <c r="E3518" t="s">
        <v>1</v>
      </c>
      <c r="F3518" t="s">
        <v>0</v>
      </c>
      <c r="G3518" t="str">
        <f>"2018-10-17 20:13:17"</f>
        <v>2018-10-17 20:13:17</v>
      </c>
    </row>
    <row r="3519" spans="1:7" x14ac:dyDescent="0.2">
      <c r="A3519" t="s">
        <v>4897</v>
      </c>
      <c r="B3519" t="str">
        <f>"13112628105"</f>
        <v>13112628105</v>
      </c>
      <c r="C3519" t="str">
        <f>"441302199510057625"</f>
        <v>441302199510057625</v>
      </c>
      <c r="D3519" t="s">
        <v>1</v>
      </c>
      <c r="E3519" t="s">
        <v>1</v>
      </c>
      <c r="F3519" t="s">
        <v>0</v>
      </c>
      <c r="G3519" t="str">
        <f>"2018-10-17 20:14:55"</f>
        <v>2018-10-17 20:14:55</v>
      </c>
    </row>
    <row r="3520" spans="1:7" x14ac:dyDescent="0.2">
      <c r="A3520" t="s">
        <v>3576</v>
      </c>
      <c r="B3520" t="str">
        <f>"15004897776"</f>
        <v>15004897776</v>
      </c>
      <c r="C3520" t="str">
        <f>"150424199502030039"</f>
        <v>150424199502030039</v>
      </c>
      <c r="D3520" t="s">
        <v>1</v>
      </c>
      <c r="E3520" t="s">
        <v>1</v>
      </c>
      <c r="F3520" t="s">
        <v>0</v>
      </c>
      <c r="G3520" t="str">
        <f>"2018-10-19 09:58:10"</f>
        <v>2018-10-19 09:58:10</v>
      </c>
    </row>
    <row r="3521" spans="1:7" x14ac:dyDescent="0.2">
      <c r="A3521" t="s">
        <v>4898</v>
      </c>
      <c r="B3521" t="str">
        <f>"13435846288"</f>
        <v>13435846288</v>
      </c>
      <c r="C3521" t="str">
        <f>"441203199308290416"</f>
        <v>441203199308290416</v>
      </c>
      <c r="D3521" t="s">
        <v>1</v>
      </c>
      <c r="E3521" t="s">
        <v>1</v>
      </c>
      <c r="F3521" t="s">
        <v>0</v>
      </c>
      <c r="G3521" t="str">
        <f>"2018-10-17 20:40:46"</f>
        <v>2018-10-17 20:40:46</v>
      </c>
    </row>
    <row r="3522" spans="1:7" x14ac:dyDescent="0.2">
      <c r="A3522" t="s">
        <v>1</v>
      </c>
      <c r="B3522" t="str">
        <f>"18897728858"</f>
        <v>18897728858</v>
      </c>
      <c r="C3522" t="s">
        <v>1</v>
      </c>
      <c r="D3522" t="s">
        <v>1</v>
      </c>
      <c r="E3522" t="s">
        <v>1</v>
      </c>
      <c r="F3522" t="s">
        <v>0</v>
      </c>
      <c r="G3522" t="str">
        <f>"2018-10-17 20:11:55"</f>
        <v>2018-10-17 20:11:55</v>
      </c>
    </row>
    <row r="3523" spans="1:7" x14ac:dyDescent="0.2">
      <c r="A3523" t="s">
        <v>4899</v>
      </c>
      <c r="B3523" t="str">
        <f>"15252366570"</f>
        <v>15252366570</v>
      </c>
      <c r="C3523" t="str">
        <f>"320830199203031411"</f>
        <v>320830199203031411</v>
      </c>
      <c r="D3523" t="s">
        <v>1</v>
      </c>
      <c r="E3523" t="s">
        <v>1</v>
      </c>
      <c r="F3523" t="s">
        <v>0</v>
      </c>
      <c r="G3523" t="str">
        <f>"2018-10-17 20:13:08"</f>
        <v>2018-10-17 20:13:08</v>
      </c>
    </row>
    <row r="3524" spans="1:7" x14ac:dyDescent="0.2">
      <c r="A3524" t="s">
        <v>1</v>
      </c>
      <c r="B3524" t="str">
        <f>"13058946446"</f>
        <v>13058946446</v>
      </c>
      <c r="C3524" t="s">
        <v>1</v>
      </c>
      <c r="D3524" t="s">
        <v>1</v>
      </c>
      <c r="E3524" t="s">
        <v>1</v>
      </c>
      <c r="F3524" t="s">
        <v>0</v>
      </c>
      <c r="G3524" t="str">
        <f>"2018-10-17 20:11:02"</f>
        <v>2018-10-17 20:11:02</v>
      </c>
    </row>
    <row r="3525" spans="1:7" x14ac:dyDescent="0.2">
      <c r="A3525" t="s">
        <v>4900</v>
      </c>
      <c r="B3525" t="str">
        <f>"15500811745"</f>
        <v>15500811745</v>
      </c>
      <c r="C3525" t="str">
        <f>"640111198702180027"</f>
        <v>640111198702180027</v>
      </c>
      <c r="D3525" t="s">
        <v>1</v>
      </c>
      <c r="E3525" t="s">
        <v>1</v>
      </c>
      <c r="F3525" t="s">
        <v>0</v>
      </c>
      <c r="G3525" t="str">
        <f>"2018-10-18 10:16:18"</f>
        <v>2018-10-18 10:16:18</v>
      </c>
    </row>
    <row r="3526" spans="1:7" x14ac:dyDescent="0.2">
      <c r="A3526" t="s">
        <v>588</v>
      </c>
      <c r="B3526" t="str">
        <f>"15923816702"</f>
        <v>15923816702</v>
      </c>
      <c r="C3526" t="str">
        <f>"500101199511257977"</f>
        <v>500101199511257977</v>
      </c>
      <c r="D3526" t="s">
        <v>1</v>
      </c>
      <c r="E3526" t="s">
        <v>1</v>
      </c>
      <c r="F3526" t="s">
        <v>0</v>
      </c>
      <c r="G3526" t="str">
        <f>"2018-10-17 20:32:13"</f>
        <v>2018-10-17 20:32:13</v>
      </c>
    </row>
    <row r="3527" spans="1:7" x14ac:dyDescent="0.2">
      <c r="A3527" t="s">
        <v>1</v>
      </c>
      <c r="B3527" t="str">
        <f>"15114626606"</f>
        <v>15114626606</v>
      </c>
      <c r="C3527" t="s">
        <v>1</v>
      </c>
      <c r="D3527" t="s">
        <v>1</v>
      </c>
      <c r="E3527" t="s">
        <v>1</v>
      </c>
      <c r="F3527" t="s">
        <v>0</v>
      </c>
      <c r="G3527" t="str">
        <f>"2018-10-17 20:09:58"</f>
        <v>2018-10-17 20:09:58</v>
      </c>
    </row>
    <row r="3528" spans="1:7" x14ac:dyDescent="0.2">
      <c r="A3528" t="s">
        <v>595</v>
      </c>
      <c r="B3528" t="str">
        <f>"13750056482"</f>
        <v>13750056482</v>
      </c>
      <c r="C3528" t="str">
        <f>"360731200005097659"</f>
        <v>360731200005097659</v>
      </c>
      <c r="D3528" t="s">
        <v>1</v>
      </c>
      <c r="E3528" t="s">
        <v>1</v>
      </c>
      <c r="F3528" t="s">
        <v>0</v>
      </c>
      <c r="G3528" t="str">
        <f>"2018-10-17 20:17:31"</f>
        <v>2018-10-17 20:17:31</v>
      </c>
    </row>
    <row r="3529" spans="1:7" x14ac:dyDescent="0.2">
      <c r="A3529" t="s">
        <v>4901</v>
      </c>
      <c r="B3529" t="str">
        <f>"18605078958"</f>
        <v>18605078958</v>
      </c>
      <c r="C3529" t="str">
        <f>"350781198506103617"</f>
        <v>350781198506103617</v>
      </c>
      <c r="D3529" t="s">
        <v>1</v>
      </c>
      <c r="E3529" t="s">
        <v>1</v>
      </c>
      <c r="F3529" t="s">
        <v>0</v>
      </c>
      <c r="G3529" t="str">
        <f>"2018-10-17 20:09:26"</f>
        <v>2018-10-17 20:09:26</v>
      </c>
    </row>
    <row r="3530" spans="1:7" x14ac:dyDescent="0.2">
      <c r="A3530" t="s">
        <v>1</v>
      </c>
      <c r="B3530" t="str">
        <f>"18074555519"</f>
        <v>18074555519</v>
      </c>
      <c r="C3530" t="s">
        <v>1</v>
      </c>
      <c r="D3530" t="s">
        <v>1</v>
      </c>
      <c r="E3530" t="s">
        <v>1</v>
      </c>
      <c r="F3530" t="s">
        <v>0</v>
      </c>
      <c r="G3530" t="str">
        <f>"2018-10-17 21:48:26"</f>
        <v>2018-10-17 21:48:26</v>
      </c>
    </row>
    <row r="3531" spans="1:7" x14ac:dyDescent="0.2">
      <c r="A3531" t="s">
        <v>4902</v>
      </c>
      <c r="B3531" t="str">
        <f>"18783230631"</f>
        <v>18783230631</v>
      </c>
      <c r="C3531" t="str">
        <f>"511025199703103196"</f>
        <v>511025199703103196</v>
      </c>
      <c r="D3531" t="s">
        <v>4903</v>
      </c>
      <c r="E3531" t="s">
        <v>4904</v>
      </c>
      <c r="F3531" t="s">
        <v>0</v>
      </c>
      <c r="G3531" t="str">
        <f>"2018-10-17 20:10:55"</f>
        <v>2018-10-17 20:10:55</v>
      </c>
    </row>
    <row r="3532" spans="1:7" x14ac:dyDescent="0.2">
      <c r="A3532" t="s">
        <v>795</v>
      </c>
      <c r="B3532" t="str">
        <f>"15303663062"</f>
        <v>15303663062</v>
      </c>
      <c r="C3532" t="str">
        <f>"230184199705053011"</f>
        <v>230184199705053011</v>
      </c>
      <c r="D3532" t="s">
        <v>1</v>
      </c>
      <c r="E3532" t="s">
        <v>1</v>
      </c>
      <c r="F3532" t="s">
        <v>0</v>
      </c>
      <c r="G3532" t="str">
        <f>"2018-10-17 20:06:13"</f>
        <v>2018-10-17 20:06:13</v>
      </c>
    </row>
    <row r="3533" spans="1:7" x14ac:dyDescent="0.2">
      <c r="A3533" t="s">
        <v>437</v>
      </c>
      <c r="B3533" t="str">
        <f>"18872581080"</f>
        <v>18872581080</v>
      </c>
      <c r="C3533" t="str">
        <f>"420684198512285033"</f>
        <v>420684198512285033</v>
      </c>
      <c r="D3533" t="s">
        <v>1</v>
      </c>
      <c r="E3533" t="s">
        <v>1</v>
      </c>
      <c r="F3533" t="s">
        <v>0</v>
      </c>
      <c r="G3533" t="str">
        <f>"2018-10-17 20:03:45"</f>
        <v>2018-10-17 20:03:45</v>
      </c>
    </row>
    <row r="3534" spans="1:7" x14ac:dyDescent="0.2">
      <c r="A3534" t="s">
        <v>1</v>
      </c>
      <c r="B3534" t="str">
        <f>"13354467192"</f>
        <v>13354467192</v>
      </c>
      <c r="C3534" t="s">
        <v>1</v>
      </c>
      <c r="D3534" t="s">
        <v>1</v>
      </c>
      <c r="E3534" t="s">
        <v>1</v>
      </c>
      <c r="F3534" t="s">
        <v>0</v>
      </c>
      <c r="G3534" t="str">
        <f>"2018-10-17 20:03:23"</f>
        <v>2018-10-17 20:03:23</v>
      </c>
    </row>
    <row r="3535" spans="1:7" x14ac:dyDescent="0.2">
      <c r="A3535" t="s">
        <v>4905</v>
      </c>
      <c r="B3535" t="str">
        <f>"13538775153"</f>
        <v>13538775153</v>
      </c>
      <c r="C3535" t="str">
        <f>"440229199101143913"</f>
        <v>440229199101143913</v>
      </c>
      <c r="D3535" t="s">
        <v>1</v>
      </c>
      <c r="E3535" t="s">
        <v>1</v>
      </c>
      <c r="F3535" t="s">
        <v>0</v>
      </c>
      <c r="G3535" t="str">
        <f>"2018-10-17 20:05:46"</f>
        <v>2018-10-17 20:05:46</v>
      </c>
    </row>
    <row r="3536" spans="1:7" x14ac:dyDescent="0.2">
      <c r="A3536" t="s">
        <v>1</v>
      </c>
      <c r="B3536" t="str">
        <f>"13123506424"</f>
        <v>13123506424</v>
      </c>
      <c r="C3536" t="s">
        <v>1</v>
      </c>
      <c r="D3536" t="s">
        <v>1</v>
      </c>
      <c r="E3536" t="s">
        <v>1</v>
      </c>
      <c r="F3536" t="s">
        <v>0</v>
      </c>
      <c r="G3536" t="str">
        <f>"2018-10-17 20:02:06"</f>
        <v>2018-10-17 20:02:06</v>
      </c>
    </row>
    <row r="3537" spans="1:7" x14ac:dyDescent="0.2">
      <c r="A3537" t="s">
        <v>1</v>
      </c>
      <c r="B3537" t="str">
        <f>"13910791464"</f>
        <v>13910791464</v>
      </c>
      <c r="C3537" t="s">
        <v>1</v>
      </c>
      <c r="D3537" t="s">
        <v>1</v>
      </c>
      <c r="E3537" t="s">
        <v>1</v>
      </c>
      <c r="F3537" t="s">
        <v>0</v>
      </c>
      <c r="G3537" t="str">
        <f>"2018-10-17 20:01:52"</f>
        <v>2018-10-17 20:01:52</v>
      </c>
    </row>
    <row r="3538" spans="1:7" x14ac:dyDescent="0.2">
      <c r="A3538" t="s">
        <v>4906</v>
      </c>
      <c r="B3538" t="str">
        <f>"18579936884"</f>
        <v>18579936884</v>
      </c>
      <c r="C3538" t="str">
        <f>"450221199007102462"</f>
        <v>450221199007102462</v>
      </c>
      <c r="D3538" t="s">
        <v>1</v>
      </c>
      <c r="E3538" t="s">
        <v>1</v>
      </c>
      <c r="F3538" t="s">
        <v>0</v>
      </c>
      <c r="G3538" t="str">
        <f>"2018-10-17 20:02:58"</f>
        <v>2018-10-17 20:02:58</v>
      </c>
    </row>
    <row r="3539" spans="1:7" x14ac:dyDescent="0.2">
      <c r="A3539" t="s">
        <v>4907</v>
      </c>
      <c r="B3539" t="str">
        <f>"18645198897"</f>
        <v>18645198897</v>
      </c>
      <c r="C3539" t="str">
        <f>"232102197912083713"</f>
        <v>232102197912083713</v>
      </c>
      <c r="D3539" t="s">
        <v>1</v>
      </c>
      <c r="E3539" t="s">
        <v>1</v>
      </c>
      <c r="F3539" t="s">
        <v>0</v>
      </c>
      <c r="G3539" t="str">
        <f>"2018-10-17 20:01:32"</f>
        <v>2018-10-17 20:01:32</v>
      </c>
    </row>
    <row r="3540" spans="1:7" x14ac:dyDescent="0.2">
      <c r="A3540" t="s">
        <v>4908</v>
      </c>
      <c r="B3540" t="str">
        <f>"18648642849"</f>
        <v>18648642849</v>
      </c>
      <c r="C3540" t="str">
        <f>"150204198810211826"</f>
        <v>150204198810211826</v>
      </c>
      <c r="D3540" t="s">
        <v>1</v>
      </c>
      <c r="E3540" t="s">
        <v>1</v>
      </c>
      <c r="F3540" t="s">
        <v>0</v>
      </c>
      <c r="G3540" t="str">
        <f>"2018-10-17 20:00:19"</f>
        <v>2018-10-17 20:00:19</v>
      </c>
    </row>
    <row r="3541" spans="1:7" x14ac:dyDescent="0.2">
      <c r="A3541" t="s">
        <v>1</v>
      </c>
      <c r="B3541" t="str">
        <f>"13184456965"</f>
        <v>13184456965</v>
      </c>
      <c r="C3541" t="s">
        <v>1</v>
      </c>
      <c r="D3541" t="s">
        <v>1</v>
      </c>
      <c r="E3541" t="s">
        <v>1</v>
      </c>
      <c r="F3541" t="s">
        <v>0</v>
      </c>
      <c r="G3541" t="str">
        <f>"2018-10-17 19:59:07"</f>
        <v>2018-10-17 19:59:07</v>
      </c>
    </row>
    <row r="3542" spans="1:7" x14ac:dyDescent="0.2">
      <c r="A3542" t="s">
        <v>4909</v>
      </c>
      <c r="B3542" t="str">
        <f>"17600179227"</f>
        <v>17600179227</v>
      </c>
      <c r="C3542" t="str">
        <f>"110105199002271829"</f>
        <v>110105199002271829</v>
      </c>
      <c r="D3542" t="s">
        <v>1</v>
      </c>
      <c r="E3542" t="s">
        <v>1</v>
      </c>
      <c r="F3542" t="s">
        <v>0</v>
      </c>
      <c r="G3542" t="str">
        <f>"2018-10-17 20:01:22"</f>
        <v>2018-10-17 20:01:22</v>
      </c>
    </row>
    <row r="3543" spans="1:7" x14ac:dyDescent="0.2">
      <c r="A3543" t="s">
        <v>1</v>
      </c>
      <c r="B3543" t="str">
        <f>"13040734413"</f>
        <v>13040734413</v>
      </c>
      <c r="C3543" t="s">
        <v>1</v>
      </c>
      <c r="D3543" t="s">
        <v>1</v>
      </c>
      <c r="E3543" t="s">
        <v>1</v>
      </c>
      <c r="F3543" t="s">
        <v>0</v>
      </c>
      <c r="G3543" t="str">
        <f>"2018-10-17 19:57:56"</f>
        <v>2018-10-17 19:57:56</v>
      </c>
    </row>
    <row r="3544" spans="1:7" x14ac:dyDescent="0.2">
      <c r="A3544" t="s">
        <v>1</v>
      </c>
      <c r="B3544" t="str">
        <f>"13117774733"</f>
        <v>13117774733</v>
      </c>
      <c r="C3544" t="s">
        <v>1</v>
      </c>
      <c r="D3544" t="s">
        <v>1</v>
      </c>
      <c r="E3544" t="s">
        <v>1</v>
      </c>
      <c r="F3544" t="s">
        <v>0</v>
      </c>
      <c r="G3544" t="str">
        <f>"2018-10-17 19:57:25"</f>
        <v>2018-10-17 19:57:25</v>
      </c>
    </row>
    <row r="3545" spans="1:7" x14ac:dyDescent="0.2">
      <c r="A3545" t="s">
        <v>4910</v>
      </c>
      <c r="B3545" t="str">
        <f>"18173904820"</f>
        <v>18173904820</v>
      </c>
      <c r="C3545" t="str">
        <f>"430522199302104937"</f>
        <v>430522199302104937</v>
      </c>
      <c r="D3545" t="s">
        <v>1</v>
      </c>
      <c r="E3545" t="s">
        <v>1</v>
      </c>
      <c r="F3545" t="s">
        <v>0</v>
      </c>
      <c r="G3545" t="str">
        <f>"2018-10-17 19:58:41"</f>
        <v>2018-10-17 19:58:41</v>
      </c>
    </row>
    <row r="3546" spans="1:7" x14ac:dyDescent="0.2">
      <c r="A3546" t="s">
        <v>1</v>
      </c>
      <c r="B3546" t="str">
        <f>"13729226936"</f>
        <v>13729226936</v>
      </c>
      <c r="C3546" t="s">
        <v>1</v>
      </c>
      <c r="D3546" t="s">
        <v>1</v>
      </c>
      <c r="E3546" t="s">
        <v>1</v>
      </c>
      <c r="F3546" t="s">
        <v>0</v>
      </c>
      <c r="G3546" t="str">
        <f>"2018-10-17 19:56:56"</f>
        <v>2018-10-17 19:56:56</v>
      </c>
    </row>
    <row r="3547" spans="1:7" x14ac:dyDescent="0.2">
      <c r="A3547" t="s">
        <v>1</v>
      </c>
      <c r="B3547" t="str">
        <f>"13017804805"</f>
        <v>13017804805</v>
      </c>
      <c r="C3547" t="s">
        <v>1</v>
      </c>
      <c r="D3547" t="s">
        <v>1</v>
      </c>
      <c r="E3547" t="s">
        <v>1</v>
      </c>
      <c r="F3547" t="s">
        <v>0</v>
      </c>
      <c r="G3547" t="str">
        <f>"2018-10-17 19:56:15"</f>
        <v>2018-10-17 19:56:15</v>
      </c>
    </row>
    <row r="3548" spans="1:7" x14ac:dyDescent="0.2">
      <c r="A3548" t="s">
        <v>4911</v>
      </c>
      <c r="B3548" t="str">
        <f>"13615004271"</f>
        <v>13615004271</v>
      </c>
      <c r="C3548" t="str">
        <f>"421022198905045435"</f>
        <v>421022198905045435</v>
      </c>
      <c r="D3548" t="s">
        <v>4912</v>
      </c>
      <c r="E3548" t="s">
        <v>4913</v>
      </c>
      <c r="F3548" t="s">
        <v>0</v>
      </c>
      <c r="G3548" t="str">
        <f>"2018-10-17 19:56:07"</f>
        <v>2018-10-17 19:56:07</v>
      </c>
    </row>
    <row r="3549" spans="1:7" x14ac:dyDescent="0.2">
      <c r="A3549" t="s">
        <v>4914</v>
      </c>
      <c r="B3549" t="str">
        <f>"13639440583"</f>
        <v>13639440583</v>
      </c>
      <c r="C3549" t="str">
        <f>"370883198010103930"</f>
        <v>370883198010103930</v>
      </c>
      <c r="D3549" t="s">
        <v>1</v>
      </c>
      <c r="E3549" t="s">
        <v>1</v>
      </c>
      <c r="F3549" t="s">
        <v>0</v>
      </c>
      <c r="G3549" t="str">
        <f>"2018-10-18 10:12:43"</f>
        <v>2018-10-18 10:12:43</v>
      </c>
    </row>
    <row r="3550" spans="1:7" x14ac:dyDescent="0.2">
      <c r="A3550" t="s">
        <v>1</v>
      </c>
      <c r="B3550" t="str">
        <f>"15998875887"</f>
        <v>15998875887</v>
      </c>
      <c r="C3550" t="s">
        <v>1</v>
      </c>
      <c r="D3550" t="s">
        <v>1</v>
      </c>
      <c r="E3550" t="s">
        <v>1</v>
      </c>
      <c r="F3550" t="s">
        <v>0</v>
      </c>
      <c r="G3550" t="str">
        <f>"2018-10-17 19:55:18"</f>
        <v>2018-10-17 19:55:18</v>
      </c>
    </row>
    <row r="3551" spans="1:7" x14ac:dyDescent="0.2">
      <c r="A3551" t="s">
        <v>1</v>
      </c>
      <c r="B3551" t="str">
        <f>"13106274970"</f>
        <v>13106274970</v>
      </c>
      <c r="C3551" t="s">
        <v>1</v>
      </c>
      <c r="D3551" t="s">
        <v>1</v>
      </c>
      <c r="E3551" t="s">
        <v>1</v>
      </c>
      <c r="F3551" t="s">
        <v>0</v>
      </c>
      <c r="G3551" t="str">
        <f>"2018-10-17 19:55:03"</f>
        <v>2018-10-17 19:55:03</v>
      </c>
    </row>
    <row r="3552" spans="1:7" x14ac:dyDescent="0.2">
      <c r="A3552" t="s">
        <v>4915</v>
      </c>
      <c r="B3552" t="str">
        <f>"18950866716"</f>
        <v>18950866716</v>
      </c>
      <c r="C3552" t="str">
        <f>"350824198407240411"</f>
        <v>350824198407240411</v>
      </c>
      <c r="D3552" t="s">
        <v>4916</v>
      </c>
      <c r="E3552" t="s">
        <v>4917</v>
      </c>
      <c r="F3552" t="s">
        <v>0</v>
      </c>
      <c r="G3552" t="str">
        <f>"2018-11-04 21:21:47"</f>
        <v>2018-11-04 21:21:47</v>
      </c>
    </row>
    <row r="3553" spans="1:7" x14ac:dyDescent="0.2">
      <c r="A3553" t="s">
        <v>1</v>
      </c>
      <c r="B3553" t="str">
        <f>"18371534530"</f>
        <v>18371534530</v>
      </c>
      <c r="C3553" t="s">
        <v>1</v>
      </c>
      <c r="D3553" t="s">
        <v>1</v>
      </c>
      <c r="E3553" t="s">
        <v>1</v>
      </c>
      <c r="F3553" t="s">
        <v>0</v>
      </c>
      <c r="G3553" t="str">
        <f>"2018-10-17 19:51:59"</f>
        <v>2018-10-17 19:51:59</v>
      </c>
    </row>
    <row r="3554" spans="1:7" x14ac:dyDescent="0.2">
      <c r="A3554" t="s">
        <v>1</v>
      </c>
      <c r="B3554" t="str">
        <f>"15677874145"</f>
        <v>15677874145</v>
      </c>
      <c r="C3554" t="s">
        <v>1</v>
      </c>
      <c r="D3554" t="s">
        <v>1</v>
      </c>
      <c r="E3554" t="s">
        <v>1</v>
      </c>
      <c r="F3554" t="s">
        <v>0</v>
      </c>
      <c r="G3554" t="str">
        <f>"2018-10-17 19:51:47"</f>
        <v>2018-10-17 19:51:47</v>
      </c>
    </row>
    <row r="3555" spans="1:7" x14ac:dyDescent="0.2">
      <c r="A3555" t="s">
        <v>4918</v>
      </c>
      <c r="B3555" t="str">
        <f>"13995926557"</f>
        <v>13995926557</v>
      </c>
      <c r="C3555" t="str">
        <f>"422121197806263213"</f>
        <v>422121197806263213</v>
      </c>
      <c r="D3555" t="s">
        <v>1</v>
      </c>
      <c r="E3555" t="s">
        <v>1</v>
      </c>
      <c r="F3555" t="s">
        <v>0</v>
      </c>
      <c r="G3555" t="str">
        <f>"2018-10-17 19:55:35"</f>
        <v>2018-10-17 19:55:35</v>
      </c>
    </row>
    <row r="3556" spans="1:7" x14ac:dyDescent="0.2">
      <c r="A3556" t="s">
        <v>4919</v>
      </c>
      <c r="B3556" t="str">
        <f>"18877672819"</f>
        <v>18877672819</v>
      </c>
      <c r="C3556" t="str">
        <f>"452623198608041521"</f>
        <v>452623198608041521</v>
      </c>
      <c r="D3556" t="s">
        <v>1</v>
      </c>
      <c r="E3556" t="s">
        <v>1</v>
      </c>
      <c r="F3556" t="s">
        <v>0</v>
      </c>
      <c r="G3556" t="str">
        <f>"2018-10-17 19:53:46"</f>
        <v>2018-10-17 19:53:46</v>
      </c>
    </row>
    <row r="3557" spans="1:7" x14ac:dyDescent="0.2">
      <c r="A3557" t="s">
        <v>1</v>
      </c>
      <c r="B3557" t="str">
        <f>"18072883084"</f>
        <v>18072883084</v>
      </c>
      <c r="C3557" t="s">
        <v>1</v>
      </c>
      <c r="D3557" t="s">
        <v>1</v>
      </c>
      <c r="E3557" t="s">
        <v>1</v>
      </c>
      <c r="F3557" t="s">
        <v>0</v>
      </c>
      <c r="G3557" t="str">
        <f>"2018-10-17 19:51:51"</f>
        <v>2018-10-17 19:51:51</v>
      </c>
    </row>
    <row r="3558" spans="1:7" x14ac:dyDescent="0.2">
      <c r="A3558" t="s">
        <v>4920</v>
      </c>
      <c r="B3558" t="str">
        <f>"15177784394"</f>
        <v>15177784394</v>
      </c>
      <c r="C3558" t="str">
        <f>"45272519891024001X"</f>
        <v>45272519891024001X</v>
      </c>
      <c r="D3558" t="s">
        <v>4921</v>
      </c>
      <c r="E3558" t="s">
        <v>4922</v>
      </c>
      <c r="F3558" t="s">
        <v>0</v>
      </c>
      <c r="G3558" t="str">
        <f>"2018-10-17 21:15:02"</f>
        <v>2018-10-17 21:15:02</v>
      </c>
    </row>
    <row r="3559" spans="1:7" x14ac:dyDescent="0.2">
      <c r="A3559" t="s">
        <v>4923</v>
      </c>
      <c r="B3559" t="str">
        <f>"13435308081"</f>
        <v>13435308081</v>
      </c>
      <c r="C3559" t="str">
        <f>"441623199704040395"</f>
        <v>441623199704040395</v>
      </c>
      <c r="D3559" t="s">
        <v>1</v>
      </c>
      <c r="E3559" t="s">
        <v>1</v>
      </c>
      <c r="F3559" t="s">
        <v>0</v>
      </c>
      <c r="G3559" t="str">
        <f>"2018-10-17 19:52:47"</f>
        <v>2018-10-17 19:52:47</v>
      </c>
    </row>
    <row r="3560" spans="1:7" x14ac:dyDescent="0.2">
      <c r="A3560" t="s">
        <v>4924</v>
      </c>
      <c r="B3560" t="str">
        <f>"18365863335"</f>
        <v>18365863335</v>
      </c>
      <c r="C3560" t="str">
        <f>"371502199202234530"</f>
        <v>371502199202234530</v>
      </c>
      <c r="D3560" t="s">
        <v>1</v>
      </c>
      <c r="E3560" t="s">
        <v>1</v>
      </c>
      <c r="F3560" t="s">
        <v>0</v>
      </c>
      <c r="G3560" t="str">
        <f>"2018-10-17 19:54:17"</f>
        <v>2018-10-17 19:54:17</v>
      </c>
    </row>
    <row r="3561" spans="1:7" x14ac:dyDescent="0.2">
      <c r="A3561" t="s">
        <v>1</v>
      </c>
      <c r="B3561" t="str">
        <f>"18759739633"</f>
        <v>18759739633</v>
      </c>
      <c r="C3561" t="s">
        <v>1</v>
      </c>
      <c r="D3561" t="s">
        <v>1</v>
      </c>
      <c r="E3561" t="s">
        <v>1</v>
      </c>
      <c r="F3561" t="s">
        <v>0</v>
      </c>
      <c r="G3561" t="str">
        <f>"2018-10-17 19:49:46"</f>
        <v>2018-10-17 19:49:46</v>
      </c>
    </row>
    <row r="3562" spans="1:7" x14ac:dyDescent="0.2">
      <c r="A3562" t="s">
        <v>4925</v>
      </c>
      <c r="B3562" t="str">
        <f>"18144835278"</f>
        <v>18144835278</v>
      </c>
      <c r="C3562" t="str">
        <f>"450923199510083538"</f>
        <v>450923199510083538</v>
      </c>
      <c r="D3562" t="s">
        <v>1</v>
      </c>
      <c r="E3562" t="s">
        <v>1</v>
      </c>
      <c r="F3562" t="s">
        <v>0</v>
      </c>
      <c r="G3562" t="str">
        <f>"2018-10-17 19:58:37"</f>
        <v>2018-10-17 19:58:37</v>
      </c>
    </row>
    <row r="3563" spans="1:7" x14ac:dyDescent="0.2">
      <c r="A3563" t="s">
        <v>4926</v>
      </c>
      <c r="B3563" t="str">
        <f>"18253047275"</f>
        <v>18253047275</v>
      </c>
      <c r="C3563" t="str">
        <f>"522323199111264443"</f>
        <v>522323199111264443</v>
      </c>
      <c r="D3563" t="s">
        <v>1</v>
      </c>
      <c r="E3563" t="s">
        <v>1</v>
      </c>
      <c r="F3563" t="s">
        <v>0</v>
      </c>
      <c r="G3563" t="str">
        <f>"2018-10-17 19:51:33"</f>
        <v>2018-10-17 19:51:33</v>
      </c>
    </row>
    <row r="3564" spans="1:7" x14ac:dyDescent="0.2">
      <c r="A3564" t="s">
        <v>1</v>
      </c>
      <c r="B3564" t="str">
        <f>"13028943485"</f>
        <v>13028943485</v>
      </c>
      <c r="C3564" t="s">
        <v>1</v>
      </c>
      <c r="D3564" t="s">
        <v>1</v>
      </c>
      <c r="E3564" t="s">
        <v>1</v>
      </c>
      <c r="F3564" t="s">
        <v>0</v>
      </c>
      <c r="G3564" t="str">
        <f>"2018-10-17 19:49:14"</f>
        <v>2018-10-17 19:49:14</v>
      </c>
    </row>
    <row r="3565" spans="1:7" x14ac:dyDescent="0.2">
      <c r="A3565" t="s">
        <v>1</v>
      </c>
      <c r="B3565" t="str">
        <f>"18971779512"</f>
        <v>18971779512</v>
      </c>
      <c r="C3565" t="s">
        <v>1</v>
      </c>
      <c r="D3565" t="s">
        <v>1</v>
      </c>
      <c r="E3565" t="s">
        <v>1</v>
      </c>
      <c r="F3565" t="s">
        <v>0</v>
      </c>
      <c r="G3565" t="str">
        <f>"2018-10-17 19:48:49"</f>
        <v>2018-10-17 19:48:49</v>
      </c>
    </row>
    <row r="3566" spans="1:7" x14ac:dyDescent="0.2">
      <c r="A3566" t="s">
        <v>1</v>
      </c>
      <c r="B3566" t="str">
        <f>"15997121334"</f>
        <v>15997121334</v>
      </c>
      <c r="C3566" t="s">
        <v>1</v>
      </c>
      <c r="D3566" t="s">
        <v>1</v>
      </c>
      <c r="E3566" t="s">
        <v>1</v>
      </c>
      <c r="F3566" t="s">
        <v>0</v>
      </c>
      <c r="G3566" t="str">
        <f>"2018-10-17 19:48:20"</f>
        <v>2018-10-17 19:48:20</v>
      </c>
    </row>
    <row r="3567" spans="1:7" x14ac:dyDescent="0.2">
      <c r="A3567" t="s">
        <v>1244</v>
      </c>
      <c r="B3567" t="str">
        <f>"15618921554"</f>
        <v>15618921554</v>
      </c>
      <c r="C3567" t="str">
        <f>"330184198804052814"</f>
        <v>330184198804052814</v>
      </c>
      <c r="D3567" t="s">
        <v>1</v>
      </c>
      <c r="E3567" t="s">
        <v>1</v>
      </c>
      <c r="F3567" t="s">
        <v>0</v>
      </c>
      <c r="G3567" t="str">
        <f>"2018-10-17 19:49:19"</f>
        <v>2018-10-17 19:49:19</v>
      </c>
    </row>
    <row r="3568" spans="1:7" x14ac:dyDescent="0.2">
      <c r="A3568" t="s">
        <v>4927</v>
      </c>
      <c r="B3568" t="str">
        <f>"15904894886"</f>
        <v>15904894886</v>
      </c>
      <c r="C3568" t="str">
        <f>"150125197910173611"</f>
        <v>150125197910173611</v>
      </c>
      <c r="D3568" t="s">
        <v>1</v>
      </c>
      <c r="E3568" t="s">
        <v>1</v>
      </c>
      <c r="F3568" t="s">
        <v>0</v>
      </c>
      <c r="G3568" t="str">
        <f>"2018-10-17 19:58:59"</f>
        <v>2018-10-17 19:58:59</v>
      </c>
    </row>
    <row r="3569" spans="1:7" x14ac:dyDescent="0.2">
      <c r="A3569" t="s">
        <v>1</v>
      </c>
      <c r="B3569" t="str">
        <f>"15872088657"</f>
        <v>15872088657</v>
      </c>
      <c r="C3569" t="s">
        <v>1</v>
      </c>
      <c r="D3569" t="s">
        <v>1</v>
      </c>
      <c r="E3569" t="s">
        <v>1</v>
      </c>
      <c r="F3569" t="s">
        <v>0</v>
      </c>
      <c r="G3569" t="str">
        <f>"2018-10-17 19:47:46"</f>
        <v>2018-10-17 19:47:46</v>
      </c>
    </row>
    <row r="3570" spans="1:7" x14ac:dyDescent="0.2">
      <c r="A3570" t="s">
        <v>1</v>
      </c>
      <c r="B3570" t="str">
        <f>"17680496526"</f>
        <v>17680496526</v>
      </c>
      <c r="C3570" t="s">
        <v>1</v>
      </c>
      <c r="D3570" t="s">
        <v>1</v>
      </c>
      <c r="E3570" t="s">
        <v>1</v>
      </c>
      <c r="F3570" t="s">
        <v>0</v>
      </c>
      <c r="G3570" t="str">
        <f>"2018-10-17 19:50:16"</f>
        <v>2018-10-17 19:50:16</v>
      </c>
    </row>
    <row r="3571" spans="1:7" x14ac:dyDescent="0.2">
      <c r="A3571" t="s">
        <v>1</v>
      </c>
      <c r="B3571" t="str">
        <f>"13177338066"</f>
        <v>13177338066</v>
      </c>
      <c r="C3571" t="s">
        <v>1</v>
      </c>
      <c r="D3571" t="s">
        <v>1</v>
      </c>
      <c r="E3571" t="s">
        <v>1</v>
      </c>
      <c r="F3571" t="s">
        <v>0</v>
      </c>
      <c r="G3571" t="str">
        <f>"2018-10-17 19:47:32"</f>
        <v>2018-10-17 19:47:32</v>
      </c>
    </row>
    <row r="3572" spans="1:7" x14ac:dyDescent="0.2">
      <c r="A3572" t="s">
        <v>1</v>
      </c>
      <c r="B3572" t="str">
        <f>"18645037925"</f>
        <v>18645037925</v>
      </c>
      <c r="C3572" t="s">
        <v>1</v>
      </c>
      <c r="D3572" t="s">
        <v>1</v>
      </c>
      <c r="E3572" t="s">
        <v>1</v>
      </c>
      <c r="F3572" t="s">
        <v>0</v>
      </c>
      <c r="G3572" t="str">
        <f>"2018-10-17 20:03:49"</f>
        <v>2018-10-17 20:03:49</v>
      </c>
    </row>
    <row r="3573" spans="1:7" x14ac:dyDescent="0.2">
      <c r="A3573" t="s">
        <v>4928</v>
      </c>
      <c r="B3573" t="str">
        <f>"15009565484"</f>
        <v>15009565484</v>
      </c>
      <c r="C3573" t="str">
        <f>"640111199208151225"</f>
        <v>640111199208151225</v>
      </c>
      <c r="D3573" t="s">
        <v>4929</v>
      </c>
      <c r="E3573" t="s">
        <v>4930</v>
      </c>
      <c r="F3573" t="s">
        <v>0</v>
      </c>
      <c r="G3573" t="str">
        <f>"2018-10-17 19:47:38"</f>
        <v>2018-10-17 19:47:38</v>
      </c>
    </row>
    <row r="3574" spans="1:7" x14ac:dyDescent="0.2">
      <c r="A3574" t="s">
        <v>4931</v>
      </c>
      <c r="B3574" t="str">
        <f>"18511427557"</f>
        <v>18511427557</v>
      </c>
      <c r="C3574" t="str">
        <f>"130432199611211716"</f>
        <v>130432199611211716</v>
      </c>
      <c r="D3574" t="s">
        <v>1</v>
      </c>
      <c r="E3574" t="s">
        <v>1</v>
      </c>
      <c r="F3574" t="s">
        <v>0</v>
      </c>
      <c r="G3574" t="str">
        <f>"2018-10-17 19:48:10"</f>
        <v>2018-10-17 19:48:10</v>
      </c>
    </row>
    <row r="3575" spans="1:7" x14ac:dyDescent="0.2">
      <c r="A3575" t="s">
        <v>4932</v>
      </c>
      <c r="B3575" t="str">
        <f>"15830678870"</f>
        <v>15830678870</v>
      </c>
      <c r="C3575" t="str">
        <f>"130106197709162416"</f>
        <v>130106197709162416</v>
      </c>
      <c r="D3575" t="s">
        <v>1</v>
      </c>
      <c r="E3575" t="s">
        <v>1</v>
      </c>
      <c r="F3575" t="s">
        <v>0</v>
      </c>
      <c r="G3575" t="str">
        <f>"2018-10-17 19:47:12"</f>
        <v>2018-10-17 19:47:12</v>
      </c>
    </row>
    <row r="3576" spans="1:7" x14ac:dyDescent="0.2">
      <c r="A3576" t="s">
        <v>4933</v>
      </c>
      <c r="B3576" t="str">
        <f>"13460581376"</f>
        <v>13460581376</v>
      </c>
      <c r="C3576" t="str">
        <f>"41108219850428363X"</f>
        <v>41108219850428363X</v>
      </c>
      <c r="D3576" t="s">
        <v>4934</v>
      </c>
      <c r="E3576" t="s">
        <v>4935</v>
      </c>
      <c r="F3576" t="s">
        <v>0</v>
      </c>
      <c r="G3576" t="str">
        <f>"2018-10-17 19:50:01"</f>
        <v>2018-10-17 19:50:01</v>
      </c>
    </row>
    <row r="3577" spans="1:7" x14ac:dyDescent="0.2">
      <c r="A3577" t="s">
        <v>4936</v>
      </c>
      <c r="B3577" t="str">
        <f>"15948586604"</f>
        <v>15948586604</v>
      </c>
      <c r="C3577" t="str">
        <f>"220283198608125514"</f>
        <v>220283198608125514</v>
      </c>
      <c r="D3577" t="s">
        <v>1</v>
      </c>
      <c r="E3577" t="s">
        <v>1</v>
      </c>
      <c r="F3577" t="s">
        <v>0</v>
      </c>
      <c r="G3577" t="str">
        <f>"2018-10-17 19:56:16"</f>
        <v>2018-10-17 19:56:16</v>
      </c>
    </row>
    <row r="3578" spans="1:7" x14ac:dyDescent="0.2">
      <c r="A3578" t="s">
        <v>1</v>
      </c>
      <c r="B3578" t="str">
        <f>"15678918214"</f>
        <v>15678918214</v>
      </c>
      <c r="C3578" t="s">
        <v>1</v>
      </c>
      <c r="D3578" t="s">
        <v>1</v>
      </c>
      <c r="E3578" t="s">
        <v>1</v>
      </c>
      <c r="F3578" t="s">
        <v>0</v>
      </c>
      <c r="G3578" t="str">
        <f>"2018-10-17 19:40:42"</f>
        <v>2018-10-17 19:40:42</v>
      </c>
    </row>
    <row r="3579" spans="1:7" x14ac:dyDescent="0.2">
      <c r="A3579" t="s">
        <v>4937</v>
      </c>
      <c r="B3579" t="str">
        <f>"18292253379"</f>
        <v>18292253379</v>
      </c>
      <c r="C3579" t="str">
        <f>"612732198811145272"</f>
        <v>612732198811145272</v>
      </c>
      <c r="D3579" t="s">
        <v>1</v>
      </c>
      <c r="E3579" t="s">
        <v>1</v>
      </c>
      <c r="F3579" t="s">
        <v>0</v>
      </c>
      <c r="G3579" t="str">
        <f>"2018-10-19 16:09:03"</f>
        <v>2018-10-19 16:09:03</v>
      </c>
    </row>
    <row r="3580" spans="1:7" x14ac:dyDescent="0.2">
      <c r="A3580" t="s">
        <v>4938</v>
      </c>
      <c r="B3580" t="str">
        <f>"13169559232"</f>
        <v>13169559232</v>
      </c>
      <c r="C3580" t="str">
        <f>"500237199401262689"</f>
        <v>500237199401262689</v>
      </c>
      <c r="D3580" t="s">
        <v>1</v>
      </c>
      <c r="E3580" t="s">
        <v>1</v>
      </c>
      <c r="F3580" t="s">
        <v>0</v>
      </c>
      <c r="G3580" t="str">
        <f>"2018-10-17 20:10:00"</f>
        <v>2018-10-17 20:10:00</v>
      </c>
    </row>
    <row r="3581" spans="1:7" x14ac:dyDescent="0.2">
      <c r="A3581" t="s">
        <v>4939</v>
      </c>
      <c r="B3581" t="str">
        <f>"18316925725"</f>
        <v>18316925725</v>
      </c>
      <c r="C3581" t="str">
        <f>"441624199204210518"</f>
        <v>441624199204210518</v>
      </c>
      <c r="D3581" t="s">
        <v>4940</v>
      </c>
      <c r="E3581" t="s">
        <v>4941</v>
      </c>
      <c r="F3581" t="s">
        <v>0</v>
      </c>
      <c r="G3581" t="str">
        <f>"2018-10-18 00:59:47"</f>
        <v>2018-10-18 00:59:47</v>
      </c>
    </row>
    <row r="3582" spans="1:7" x14ac:dyDescent="0.2">
      <c r="A3582" t="s">
        <v>4942</v>
      </c>
      <c r="B3582" t="str">
        <f>"13579984619"</f>
        <v>13579984619</v>
      </c>
      <c r="C3582" t="str">
        <f>"622323198801026775"</f>
        <v>622323198801026775</v>
      </c>
      <c r="D3582" t="s">
        <v>1</v>
      </c>
      <c r="E3582" t="s">
        <v>1</v>
      </c>
      <c r="F3582" t="s">
        <v>0</v>
      </c>
      <c r="G3582" t="str">
        <f>"2018-10-17 19:40:10"</f>
        <v>2018-10-17 19:40:10</v>
      </c>
    </row>
    <row r="3583" spans="1:7" x14ac:dyDescent="0.2">
      <c r="A3583" t="s">
        <v>1</v>
      </c>
      <c r="B3583" t="str">
        <f>"18782119298"</f>
        <v>18782119298</v>
      </c>
      <c r="C3583" t="s">
        <v>1</v>
      </c>
      <c r="D3583" t="s">
        <v>1</v>
      </c>
      <c r="E3583" t="s">
        <v>1</v>
      </c>
      <c r="F3583" t="s">
        <v>0</v>
      </c>
      <c r="G3583" t="str">
        <f>"2018-10-17 19:39:32"</f>
        <v>2018-10-17 19:39:32</v>
      </c>
    </row>
    <row r="3584" spans="1:7" x14ac:dyDescent="0.2">
      <c r="A3584" t="s">
        <v>4943</v>
      </c>
      <c r="B3584" t="str">
        <f>"13313814493"</f>
        <v>13313814493</v>
      </c>
      <c r="C3584" t="str">
        <f>"350430198812271014"</f>
        <v>350430198812271014</v>
      </c>
      <c r="D3584" t="s">
        <v>1</v>
      </c>
      <c r="E3584" t="s">
        <v>1</v>
      </c>
      <c r="F3584" t="s">
        <v>0</v>
      </c>
      <c r="G3584" t="str">
        <f>"2018-10-17 19:40:24"</f>
        <v>2018-10-17 19:40:24</v>
      </c>
    </row>
    <row r="3585" spans="1:7" x14ac:dyDescent="0.2">
      <c r="A3585" t="s">
        <v>4944</v>
      </c>
      <c r="B3585" t="str">
        <f>"13854498289"</f>
        <v>13854498289</v>
      </c>
      <c r="C3585" t="str">
        <f>"370702196904192941"</f>
        <v>370702196904192941</v>
      </c>
      <c r="D3585" t="s">
        <v>1</v>
      </c>
      <c r="E3585" t="s">
        <v>1</v>
      </c>
      <c r="F3585" t="s">
        <v>0</v>
      </c>
      <c r="G3585" t="str">
        <f>"2018-11-03 13:21:17"</f>
        <v>2018-11-03 13:21:17</v>
      </c>
    </row>
    <row r="3586" spans="1:7" x14ac:dyDescent="0.2">
      <c r="A3586" t="s">
        <v>4945</v>
      </c>
      <c r="B3586" t="str">
        <f>"18867623586"</f>
        <v>18867623586</v>
      </c>
      <c r="C3586" t="str">
        <f>"612401199406087316"</f>
        <v>612401199406087316</v>
      </c>
      <c r="D3586" t="s">
        <v>1</v>
      </c>
      <c r="E3586" t="s">
        <v>1</v>
      </c>
      <c r="F3586" t="s">
        <v>0</v>
      </c>
      <c r="G3586" t="str">
        <f>"2018-10-17 19:39:42"</f>
        <v>2018-10-17 19:39:42</v>
      </c>
    </row>
    <row r="3587" spans="1:7" x14ac:dyDescent="0.2">
      <c r="A3587" t="s">
        <v>4946</v>
      </c>
      <c r="B3587" t="str">
        <f>"15750999529"</f>
        <v>15750999529</v>
      </c>
      <c r="C3587" t="str">
        <f>"350521199406187291"</f>
        <v>350521199406187291</v>
      </c>
      <c r="D3587" t="s">
        <v>1</v>
      </c>
      <c r="E3587" t="s">
        <v>1</v>
      </c>
      <c r="F3587" t="s">
        <v>0</v>
      </c>
      <c r="G3587" t="str">
        <f>"2018-10-17 19:37:27"</f>
        <v>2018-10-17 19:37:27</v>
      </c>
    </row>
    <row r="3588" spans="1:7" x14ac:dyDescent="0.2">
      <c r="A3588" t="s">
        <v>190</v>
      </c>
      <c r="B3588" t="str">
        <f>"13589165928"</f>
        <v>13589165928</v>
      </c>
      <c r="C3588" t="str">
        <f>"370727197911190671"</f>
        <v>370727197911190671</v>
      </c>
      <c r="D3588" t="s">
        <v>1</v>
      </c>
      <c r="E3588" t="s">
        <v>1</v>
      </c>
      <c r="F3588" t="s">
        <v>0</v>
      </c>
      <c r="G3588" t="str">
        <f>"2018-10-18 10:16:37"</f>
        <v>2018-10-18 10:16:37</v>
      </c>
    </row>
    <row r="3589" spans="1:7" x14ac:dyDescent="0.2">
      <c r="A3589" t="s">
        <v>4947</v>
      </c>
      <c r="B3589" t="str">
        <f>"18952674499"</f>
        <v>18952674499</v>
      </c>
      <c r="C3589" t="str">
        <f>"321085197912294218"</f>
        <v>321085197912294218</v>
      </c>
      <c r="D3589" t="s">
        <v>1</v>
      </c>
      <c r="E3589" t="s">
        <v>1</v>
      </c>
      <c r="F3589" t="s">
        <v>0</v>
      </c>
      <c r="G3589" t="str">
        <f>"2018-10-17 19:37:26"</f>
        <v>2018-10-17 19:37:26</v>
      </c>
    </row>
    <row r="3590" spans="1:7" x14ac:dyDescent="0.2">
      <c r="A3590" t="s">
        <v>4948</v>
      </c>
      <c r="B3590" t="str">
        <f>"13503910717"</f>
        <v>13503910717</v>
      </c>
      <c r="C3590" t="str">
        <f>"410822197905044017"</f>
        <v>410822197905044017</v>
      </c>
      <c r="D3590" t="s">
        <v>1</v>
      </c>
      <c r="E3590" t="s">
        <v>1</v>
      </c>
      <c r="F3590" t="s">
        <v>0</v>
      </c>
      <c r="G3590" t="str">
        <f>"2018-10-17 19:38:07"</f>
        <v>2018-10-17 19:38:07</v>
      </c>
    </row>
    <row r="3591" spans="1:7" x14ac:dyDescent="0.2">
      <c r="A3591" t="s">
        <v>4949</v>
      </c>
      <c r="B3591" t="str">
        <f>"15771694046"</f>
        <v>15771694046</v>
      </c>
      <c r="C3591" t="str">
        <f>"610113198304072132"</f>
        <v>610113198304072132</v>
      </c>
      <c r="D3591" t="s">
        <v>1</v>
      </c>
      <c r="E3591" t="s">
        <v>1</v>
      </c>
      <c r="F3591" t="s">
        <v>0</v>
      </c>
      <c r="G3591" t="str">
        <f>"2018-10-17 19:42:49"</f>
        <v>2018-10-17 19:42:49</v>
      </c>
    </row>
    <row r="3592" spans="1:7" x14ac:dyDescent="0.2">
      <c r="A3592" t="s">
        <v>4950</v>
      </c>
      <c r="B3592" t="str">
        <f>"15134216510"</f>
        <v>15134216510</v>
      </c>
      <c r="C3592" t="str">
        <f>"231025198606283525"</f>
        <v>231025198606283525</v>
      </c>
      <c r="D3592" t="s">
        <v>1</v>
      </c>
      <c r="E3592" t="s">
        <v>1</v>
      </c>
      <c r="F3592" t="s">
        <v>0</v>
      </c>
      <c r="G3592" t="str">
        <f>"2018-10-17 19:35:13"</f>
        <v>2018-10-17 19:35:13</v>
      </c>
    </row>
    <row r="3593" spans="1:7" x14ac:dyDescent="0.2">
      <c r="A3593" t="s">
        <v>1</v>
      </c>
      <c r="B3593" t="str">
        <f>"17199288140"</f>
        <v>17199288140</v>
      </c>
      <c r="C3593" t="s">
        <v>1</v>
      </c>
      <c r="D3593" t="s">
        <v>1</v>
      </c>
      <c r="E3593" t="s">
        <v>1</v>
      </c>
      <c r="F3593" t="s">
        <v>0</v>
      </c>
      <c r="G3593" t="str">
        <f>"2018-10-17 19:33:20"</f>
        <v>2018-10-17 19:33:20</v>
      </c>
    </row>
    <row r="3594" spans="1:7" x14ac:dyDescent="0.2">
      <c r="A3594" t="s">
        <v>4951</v>
      </c>
      <c r="B3594" t="str">
        <f>"15888988254"</f>
        <v>15888988254</v>
      </c>
      <c r="C3594" t="str">
        <f>"36068119930709363X"</f>
        <v>36068119930709363X</v>
      </c>
      <c r="D3594" t="s">
        <v>1</v>
      </c>
      <c r="E3594" t="s">
        <v>1</v>
      </c>
      <c r="F3594" t="s">
        <v>0</v>
      </c>
      <c r="G3594" t="str">
        <f>"2018-10-17 19:35:05"</f>
        <v>2018-10-17 19:35:05</v>
      </c>
    </row>
    <row r="3595" spans="1:7" x14ac:dyDescent="0.2">
      <c r="A3595" t="s">
        <v>1</v>
      </c>
      <c r="B3595" t="str">
        <f>"17199285747"</f>
        <v>17199285747</v>
      </c>
      <c r="C3595" t="s">
        <v>1</v>
      </c>
      <c r="D3595" t="s">
        <v>1</v>
      </c>
      <c r="E3595" t="s">
        <v>1</v>
      </c>
      <c r="F3595" t="s">
        <v>0</v>
      </c>
      <c r="G3595" t="str">
        <f>"2018-10-17 19:32:45"</f>
        <v>2018-10-17 19:32:45</v>
      </c>
    </row>
    <row r="3596" spans="1:7" x14ac:dyDescent="0.2">
      <c r="A3596" t="s">
        <v>1</v>
      </c>
      <c r="B3596" t="str">
        <f>"18235561220"</f>
        <v>18235561220</v>
      </c>
      <c r="C3596" t="s">
        <v>1</v>
      </c>
      <c r="D3596" t="s">
        <v>1</v>
      </c>
      <c r="E3596" t="s">
        <v>1</v>
      </c>
      <c r="F3596" t="s">
        <v>0</v>
      </c>
      <c r="G3596" t="str">
        <f>"2018-10-17 19:32:30"</f>
        <v>2018-10-17 19:32:30</v>
      </c>
    </row>
    <row r="3597" spans="1:7" x14ac:dyDescent="0.2">
      <c r="A3597" t="s">
        <v>1</v>
      </c>
      <c r="B3597" t="str">
        <f>"17311809819"</f>
        <v>17311809819</v>
      </c>
      <c r="C3597" t="s">
        <v>1</v>
      </c>
      <c r="D3597" t="s">
        <v>1</v>
      </c>
      <c r="E3597" t="s">
        <v>1</v>
      </c>
      <c r="F3597" t="s">
        <v>0</v>
      </c>
      <c r="G3597" t="str">
        <f>"2018-10-17 19:31:28"</f>
        <v>2018-10-17 19:31:28</v>
      </c>
    </row>
    <row r="3598" spans="1:7" x14ac:dyDescent="0.2">
      <c r="A3598" t="s">
        <v>1</v>
      </c>
      <c r="B3598" t="str">
        <f>"13093826426"</f>
        <v>13093826426</v>
      </c>
      <c r="C3598" t="s">
        <v>1</v>
      </c>
      <c r="D3598" t="s">
        <v>1</v>
      </c>
      <c r="E3598" t="s">
        <v>1</v>
      </c>
      <c r="F3598" t="s">
        <v>0</v>
      </c>
      <c r="G3598" t="str">
        <f>"2018-10-17 19:31:13"</f>
        <v>2018-10-17 19:31:13</v>
      </c>
    </row>
    <row r="3599" spans="1:7" x14ac:dyDescent="0.2">
      <c r="A3599" t="s">
        <v>4952</v>
      </c>
      <c r="B3599" t="str">
        <f>"15966228080"</f>
        <v>15966228080</v>
      </c>
      <c r="C3599" t="str">
        <f>"371581198704080851"</f>
        <v>371581198704080851</v>
      </c>
      <c r="D3599" t="s">
        <v>1</v>
      </c>
      <c r="E3599" t="s">
        <v>1</v>
      </c>
      <c r="F3599" t="s">
        <v>0</v>
      </c>
      <c r="G3599" t="str">
        <f>"2018-10-26 20:17:17"</f>
        <v>2018-10-26 20:17:17</v>
      </c>
    </row>
    <row r="3600" spans="1:7" x14ac:dyDescent="0.2">
      <c r="A3600" t="s">
        <v>4953</v>
      </c>
      <c r="B3600" t="str">
        <f>"15142555204"</f>
        <v>15142555204</v>
      </c>
      <c r="C3600" t="str">
        <f>"211203199501190027"</f>
        <v>211203199501190027</v>
      </c>
      <c r="D3600" t="s">
        <v>1650</v>
      </c>
      <c r="E3600" t="s">
        <v>4954</v>
      </c>
      <c r="F3600" t="s">
        <v>0</v>
      </c>
      <c r="G3600" t="str">
        <f>"2018-10-17 19:32:27"</f>
        <v>2018-10-17 19:32:27</v>
      </c>
    </row>
    <row r="3601" spans="1:7" x14ac:dyDescent="0.2">
      <c r="A3601" t="s">
        <v>1</v>
      </c>
      <c r="B3601" t="str">
        <f>"17530960676"</f>
        <v>17530960676</v>
      </c>
      <c r="C3601" t="s">
        <v>1</v>
      </c>
      <c r="D3601" t="s">
        <v>1</v>
      </c>
      <c r="E3601" t="s">
        <v>1</v>
      </c>
      <c r="F3601" t="s">
        <v>0</v>
      </c>
      <c r="G3601" t="str">
        <f>"2018-10-17 19:35:32"</f>
        <v>2018-10-17 19:35:32</v>
      </c>
    </row>
    <row r="3602" spans="1:7" x14ac:dyDescent="0.2">
      <c r="A3602" t="s">
        <v>1</v>
      </c>
      <c r="B3602" t="str">
        <f>"15015997418"</f>
        <v>15015997418</v>
      </c>
      <c r="C3602" t="s">
        <v>1</v>
      </c>
      <c r="D3602" t="s">
        <v>1</v>
      </c>
      <c r="E3602" t="s">
        <v>1</v>
      </c>
      <c r="F3602" t="s">
        <v>0</v>
      </c>
      <c r="G3602" t="str">
        <f>"2018-10-19 18:44:52"</f>
        <v>2018-10-19 18:44:52</v>
      </c>
    </row>
    <row r="3603" spans="1:7" x14ac:dyDescent="0.2">
      <c r="A3603" t="s">
        <v>1</v>
      </c>
      <c r="B3603" t="str">
        <f>"13679466042"</f>
        <v>13679466042</v>
      </c>
      <c r="C3603" t="s">
        <v>1</v>
      </c>
      <c r="D3603" t="s">
        <v>1</v>
      </c>
      <c r="E3603" t="s">
        <v>1</v>
      </c>
      <c r="F3603" t="s">
        <v>0</v>
      </c>
      <c r="G3603" t="str">
        <f>"2018-10-17 19:27:50"</f>
        <v>2018-10-17 19:27:50</v>
      </c>
    </row>
    <row r="3604" spans="1:7" x14ac:dyDescent="0.2">
      <c r="A3604" t="s">
        <v>1</v>
      </c>
      <c r="B3604" t="str">
        <f>"13110415689"</f>
        <v>13110415689</v>
      </c>
      <c r="C3604" t="s">
        <v>1</v>
      </c>
      <c r="D3604" t="s">
        <v>1</v>
      </c>
      <c r="E3604" t="s">
        <v>1</v>
      </c>
      <c r="F3604" t="s">
        <v>0</v>
      </c>
      <c r="G3604" t="str">
        <f>"2018-10-17 19:27:39"</f>
        <v>2018-10-17 19:27:39</v>
      </c>
    </row>
    <row r="3605" spans="1:7" x14ac:dyDescent="0.2">
      <c r="A3605" t="s">
        <v>4955</v>
      </c>
      <c r="B3605" t="str">
        <f>"13905035545"</f>
        <v>13905035545</v>
      </c>
      <c r="C3605" t="str">
        <f>"350781199908072416"</f>
        <v>350781199908072416</v>
      </c>
      <c r="D3605" t="s">
        <v>1</v>
      </c>
      <c r="E3605" t="s">
        <v>1</v>
      </c>
      <c r="F3605" t="s">
        <v>0</v>
      </c>
      <c r="G3605" t="str">
        <f>"2018-10-17 19:58:14"</f>
        <v>2018-10-17 19:58:14</v>
      </c>
    </row>
    <row r="3606" spans="1:7" x14ac:dyDescent="0.2">
      <c r="A3606" t="s">
        <v>4956</v>
      </c>
      <c r="B3606" t="str">
        <f>"15667248130"</f>
        <v>15667248130</v>
      </c>
      <c r="C3606" t="str">
        <f>"610481199701193437"</f>
        <v>610481199701193437</v>
      </c>
      <c r="D3606" t="s">
        <v>1</v>
      </c>
      <c r="E3606" t="s">
        <v>1</v>
      </c>
      <c r="F3606" t="s">
        <v>0</v>
      </c>
      <c r="G3606" t="str">
        <f>"2018-10-17 19:27:35"</f>
        <v>2018-10-17 19:27:35</v>
      </c>
    </row>
    <row r="3607" spans="1:7" x14ac:dyDescent="0.2">
      <c r="A3607" t="s">
        <v>4957</v>
      </c>
      <c r="B3607" t="str">
        <f>"17345977322"</f>
        <v>17345977322</v>
      </c>
      <c r="C3607" t="str">
        <f>"510106197601032514"</f>
        <v>510106197601032514</v>
      </c>
      <c r="D3607" t="s">
        <v>1</v>
      </c>
      <c r="E3607" t="s">
        <v>1</v>
      </c>
      <c r="F3607" t="s">
        <v>0</v>
      </c>
      <c r="G3607" t="str">
        <f>"2018-10-17 19:28:11"</f>
        <v>2018-10-17 19:28:11</v>
      </c>
    </row>
    <row r="3608" spans="1:7" x14ac:dyDescent="0.2">
      <c r="A3608" t="s">
        <v>4958</v>
      </c>
      <c r="B3608" t="str">
        <f>"15933698509"</f>
        <v>15933698509</v>
      </c>
      <c r="C3608" t="str">
        <f>"130533199002261218"</f>
        <v>130533199002261218</v>
      </c>
      <c r="D3608" t="s">
        <v>1</v>
      </c>
      <c r="E3608" t="s">
        <v>1</v>
      </c>
      <c r="F3608" t="s">
        <v>0</v>
      </c>
      <c r="G3608" t="str">
        <f>"2018-10-17 19:28:39"</f>
        <v>2018-10-17 19:28:39</v>
      </c>
    </row>
    <row r="3609" spans="1:7" x14ac:dyDescent="0.2">
      <c r="A3609" t="s">
        <v>1505</v>
      </c>
      <c r="B3609" t="str">
        <f>"13866712504"</f>
        <v>13866712504</v>
      </c>
      <c r="C3609" t="str">
        <f>"340122198808275030"</f>
        <v>340122198808275030</v>
      </c>
      <c r="D3609" t="s">
        <v>1</v>
      </c>
      <c r="E3609" t="s">
        <v>1</v>
      </c>
      <c r="F3609" t="s">
        <v>0</v>
      </c>
      <c r="G3609" t="str">
        <f>"2018-10-17 19:27:57"</f>
        <v>2018-10-17 19:27:57</v>
      </c>
    </row>
    <row r="3610" spans="1:7" x14ac:dyDescent="0.2">
      <c r="A3610" t="s">
        <v>4959</v>
      </c>
      <c r="B3610" t="str">
        <f>"15770991850"</f>
        <v>15770991850</v>
      </c>
      <c r="C3610" t="str">
        <f>"362233199105290036"</f>
        <v>362233199105290036</v>
      </c>
      <c r="D3610" t="s">
        <v>1</v>
      </c>
      <c r="E3610" t="s">
        <v>1</v>
      </c>
      <c r="F3610" t="s">
        <v>0</v>
      </c>
      <c r="G3610" t="str">
        <f>"2018-10-17 19:28:06"</f>
        <v>2018-10-17 19:28:06</v>
      </c>
    </row>
    <row r="3611" spans="1:7" x14ac:dyDescent="0.2">
      <c r="A3611" t="s">
        <v>1000</v>
      </c>
      <c r="B3611" t="str">
        <f>"13792819515"</f>
        <v>13792819515</v>
      </c>
      <c r="C3611" t="str">
        <f>"370283199511045611"</f>
        <v>370283199511045611</v>
      </c>
      <c r="D3611" t="s">
        <v>1</v>
      </c>
      <c r="E3611" t="s">
        <v>1</v>
      </c>
      <c r="F3611" t="s">
        <v>0</v>
      </c>
      <c r="G3611" t="str">
        <f>"2018-10-17 19:28:06"</f>
        <v>2018-10-17 19:28:06</v>
      </c>
    </row>
    <row r="3612" spans="1:7" x14ac:dyDescent="0.2">
      <c r="A3612" t="s">
        <v>1</v>
      </c>
      <c r="B3612" t="str">
        <f>"15577470334"</f>
        <v>15577470334</v>
      </c>
      <c r="C3612" t="s">
        <v>1</v>
      </c>
      <c r="D3612" t="s">
        <v>1</v>
      </c>
      <c r="E3612" t="s">
        <v>1</v>
      </c>
      <c r="F3612" t="s">
        <v>0</v>
      </c>
      <c r="G3612" t="str">
        <f>"2018-10-17 19:25:59"</f>
        <v>2018-10-17 19:25:59</v>
      </c>
    </row>
    <row r="3613" spans="1:7" x14ac:dyDescent="0.2">
      <c r="A3613" t="s">
        <v>497</v>
      </c>
      <c r="B3613" t="str">
        <f>"18559628651"</f>
        <v>18559628651</v>
      </c>
      <c r="C3613" t="str">
        <f>"510524199508151053"</f>
        <v>510524199508151053</v>
      </c>
      <c r="D3613" t="s">
        <v>1</v>
      </c>
      <c r="E3613" t="s">
        <v>1</v>
      </c>
      <c r="F3613" t="s">
        <v>0</v>
      </c>
      <c r="G3613" t="str">
        <f>"2018-10-17 19:27:06"</f>
        <v>2018-10-17 19:27:06</v>
      </c>
    </row>
    <row r="3614" spans="1:7" x14ac:dyDescent="0.2">
      <c r="A3614" t="s">
        <v>4960</v>
      </c>
      <c r="B3614" t="str">
        <f>"13695992071"</f>
        <v>13695992071</v>
      </c>
      <c r="C3614" t="str">
        <f>"350629199105240016"</f>
        <v>350629199105240016</v>
      </c>
      <c r="D3614" t="s">
        <v>4961</v>
      </c>
      <c r="E3614" t="s">
        <v>4962</v>
      </c>
      <c r="F3614" t="s">
        <v>0</v>
      </c>
      <c r="G3614" t="str">
        <f>"2018-10-18 10:12:42"</f>
        <v>2018-10-18 10:12:42</v>
      </c>
    </row>
    <row r="3615" spans="1:7" x14ac:dyDescent="0.2">
      <c r="A3615" t="s">
        <v>1</v>
      </c>
      <c r="B3615" t="str">
        <f>"18885207039"</f>
        <v>18885207039</v>
      </c>
      <c r="C3615" t="s">
        <v>1</v>
      </c>
      <c r="D3615" t="s">
        <v>1</v>
      </c>
      <c r="E3615" t="s">
        <v>1</v>
      </c>
      <c r="F3615" t="s">
        <v>0</v>
      </c>
      <c r="G3615" t="str">
        <f>"2018-10-17 19:25:54"</f>
        <v>2018-10-17 19:25:54</v>
      </c>
    </row>
    <row r="3616" spans="1:7" x14ac:dyDescent="0.2">
      <c r="A3616" t="s">
        <v>1</v>
      </c>
      <c r="B3616" t="str">
        <f>"15655500068"</f>
        <v>15655500068</v>
      </c>
      <c r="C3616" t="s">
        <v>1</v>
      </c>
      <c r="D3616" t="s">
        <v>1</v>
      </c>
      <c r="E3616" t="s">
        <v>1</v>
      </c>
      <c r="F3616" t="s">
        <v>0</v>
      </c>
      <c r="G3616" t="str">
        <f>"2018-10-17 19:23:30"</f>
        <v>2018-10-17 19:23:30</v>
      </c>
    </row>
    <row r="3617" spans="1:7" x14ac:dyDescent="0.2">
      <c r="A3617" t="s">
        <v>1</v>
      </c>
      <c r="B3617" t="str">
        <f>"15962717139"</f>
        <v>15962717139</v>
      </c>
      <c r="C3617" t="s">
        <v>1</v>
      </c>
      <c r="D3617" t="s">
        <v>1</v>
      </c>
      <c r="E3617" t="s">
        <v>1</v>
      </c>
      <c r="F3617" t="s">
        <v>0</v>
      </c>
      <c r="G3617" t="str">
        <f>"2018-10-17 19:27:53"</f>
        <v>2018-10-17 19:27:53</v>
      </c>
    </row>
    <row r="3618" spans="1:7" x14ac:dyDescent="0.2">
      <c r="A3618" t="s">
        <v>1</v>
      </c>
      <c r="B3618" t="str">
        <f>"15186560218"</f>
        <v>15186560218</v>
      </c>
      <c r="C3618" t="s">
        <v>1</v>
      </c>
      <c r="D3618" t="s">
        <v>1</v>
      </c>
      <c r="E3618" t="s">
        <v>1</v>
      </c>
      <c r="F3618" t="s">
        <v>0</v>
      </c>
      <c r="G3618" t="str">
        <f>"2018-10-30 18:27:41"</f>
        <v>2018-10-30 18:27:41</v>
      </c>
    </row>
    <row r="3619" spans="1:7" x14ac:dyDescent="0.2">
      <c r="A3619" t="s">
        <v>4963</v>
      </c>
      <c r="B3619" t="str">
        <f>"13480057131"</f>
        <v>13480057131</v>
      </c>
      <c r="C3619" t="str">
        <f>"445281199102280178"</f>
        <v>445281199102280178</v>
      </c>
      <c r="D3619" t="s">
        <v>1</v>
      </c>
      <c r="E3619" t="s">
        <v>1</v>
      </c>
      <c r="F3619" t="s">
        <v>0</v>
      </c>
      <c r="G3619" t="str">
        <f>"2018-10-17 19:23:56"</f>
        <v>2018-10-17 19:23:56</v>
      </c>
    </row>
    <row r="3620" spans="1:7" x14ac:dyDescent="0.2">
      <c r="A3620" t="s">
        <v>1</v>
      </c>
      <c r="B3620" t="str">
        <f>"15124142112"</f>
        <v>15124142112</v>
      </c>
      <c r="C3620" t="s">
        <v>1</v>
      </c>
      <c r="D3620" t="s">
        <v>1</v>
      </c>
      <c r="E3620" t="s">
        <v>1</v>
      </c>
      <c r="F3620" t="s">
        <v>0</v>
      </c>
      <c r="G3620" t="str">
        <f>"2018-10-17 19:21:38"</f>
        <v>2018-10-17 19:21:38</v>
      </c>
    </row>
    <row r="3621" spans="1:7" x14ac:dyDescent="0.2">
      <c r="A3621" t="s">
        <v>1</v>
      </c>
      <c r="B3621" t="str">
        <f>"15677201747"</f>
        <v>15677201747</v>
      </c>
      <c r="C3621" t="s">
        <v>1</v>
      </c>
      <c r="D3621" t="s">
        <v>1</v>
      </c>
      <c r="E3621" t="s">
        <v>1</v>
      </c>
      <c r="F3621" t="s">
        <v>0</v>
      </c>
      <c r="G3621" t="str">
        <f>"2018-10-17 19:21:30"</f>
        <v>2018-10-17 19:21:30</v>
      </c>
    </row>
    <row r="3622" spans="1:7" x14ac:dyDescent="0.2">
      <c r="A3622" t="s">
        <v>1</v>
      </c>
      <c r="B3622" t="str">
        <f>"15125181710"</f>
        <v>15125181710</v>
      </c>
      <c r="C3622" t="s">
        <v>1</v>
      </c>
      <c r="D3622" t="s">
        <v>1</v>
      </c>
      <c r="E3622" t="s">
        <v>1</v>
      </c>
      <c r="F3622" t="s">
        <v>0</v>
      </c>
      <c r="G3622" t="str">
        <f>"2018-10-17 19:20:58"</f>
        <v>2018-10-17 19:20:58</v>
      </c>
    </row>
    <row r="3623" spans="1:7" x14ac:dyDescent="0.2">
      <c r="A3623" t="s">
        <v>4964</v>
      </c>
      <c r="B3623" t="str">
        <f>"15288998857"</f>
        <v>15288998857</v>
      </c>
      <c r="C3623" t="str">
        <f>"370782199702036612"</f>
        <v>370782199702036612</v>
      </c>
      <c r="D3623" t="s">
        <v>4965</v>
      </c>
      <c r="E3623" t="s">
        <v>4965</v>
      </c>
      <c r="F3623" t="s">
        <v>0</v>
      </c>
      <c r="G3623" t="str">
        <f>"2018-10-17 19:21:14"</f>
        <v>2018-10-17 19:21:14</v>
      </c>
    </row>
    <row r="3624" spans="1:7" x14ac:dyDescent="0.2">
      <c r="A3624" t="s">
        <v>488</v>
      </c>
      <c r="B3624" t="str">
        <f>"15882026240"</f>
        <v>15882026240</v>
      </c>
      <c r="C3624" t="str">
        <f>"510184198808294662"</f>
        <v>510184198808294662</v>
      </c>
      <c r="D3624" t="s">
        <v>4966</v>
      </c>
      <c r="E3624" t="s">
        <v>4967</v>
      </c>
      <c r="F3624" t="s">
        <v>0</v>
      </c>
      <c r="G3624" t="str">
        <f>"2018-10-17 19:23:19"</f>
        <v>2018-10-17 19:23:19</v>
      </c>
    </row>
    <row r="3625" spans="1:7" x14ac:dyDescent="0.2">
      <c r="A3625" t="s">
        <v>1</v>
      </c>
      <c r="B3625" t="str">
        <f>"13106927437"</f>
        <v>13106927437</v>
      </c>
      <c r="C3625" t="s">
        <v>1</v>
      </c>
      <c r="D3625" t="s">
        <v>1</v>
      </c>
      <c r="E3625" t="s">
        <v>1</v>
      </c>
      <c r="F3625" t="s">
        <v>0</v>
      </c>
      <c r="G3625" t="str">
        <f>"2018-10-17 19:19:46"</f>
        <v>2018-10-17 19:19:46</v>
      </c>
    </row>
    <row r="3626" spans="1:7" x14ac:dyDescent="0.2">
      <c r="A3626" t="s">
        <v>4968</v>
      </c>
      <c r="B3626" t="str">
        <f>"13919604560"</f>
        <v>13919604560</v>
      </c>
      <c r="C3626" t="str">
        <f>"622826198302193911"</f>
        <v>622826198302193911</v>
      </c>
      <c r="D3626" t="s">
        <v>1</v>
      </c>
      <c r="E3626" t="s">
        <v>1</v>
      </c>
      <c r="F3626" t="s">
        <v>0</v>
      </c>
      <c r="G3626" t="str">
        <f>"2018-10-17 19:20:55"</f>
        <v>2018-10-17 19:20:55</v>
      </c>
    </row>
    <row r="3627" spans="1:7" x14ac:dyDescent="0.2">
      <c r="A3627" t="s">
        <v>1</v>
      </c>
      <c r="B3627" t="str">
        <f>"18381940491"</f>
        <v>18381940491</v>
      </c>
      <c r="C3627" t="s">
        <v>1</v>
      </c>
      <c r="D3627" t="s">
        <v>1</v>
      </c>
      <c r="E3627" t="s">
        <v>1</v>
      </c>
      <c r="F3627" t="s">
        <v>0</v>
      </c>
      <c r="G3627" t="str">
        <f>"2018-10-17 19:30:18"</f>
        <v>2018-10-17 19:30:18</v>
      </c>
    </row>
    <row r="3628" spans="1:7" x14ac:dyDescent="0.2">
      <c r="A3628" t="s">
        <v>4969</v>
      </c>
      <c r="B3628" t="str">
        <f>"13750351177"</f>
        <v>13750351177</v>
      </c>
      <c r="C3628" t="str">
        <f>"440711198908024519"</f>
        <v>440711198908024519</v>
      </c>
      <c r="D3628" t="s">
        <v>1</v>
      </c>
      <c r="E3628" t="s">
        <v>1</v>
      </c>
      <c r="F3628" t="s">
        <v>0</v>
      </c>
      <c r="G3628" t="str">
        <f>"2018-10-17 19:19:58"</f>
        <v>2018-10-17 19:19:58</v>
      </c>
    </row>
    <row r="3629" spans="1:7" x14ac:dyDescent="0.2">
      <c r="A3629" t="s">
        <v>1</v>
      </c>
      <c r="B3629" t="str">
        <f>"13084944929"</f>
        <v>13084944929</v>
      </c>
      <c r="C3629" t="s">
        <v>1</v>
      </c>
      <c r="D3629" t="s">
        <v>1</v>
      </c>
      <c r="E3629" t="s">
        <v>1</v>
      </c>
      <c r="F3629" t="s">
        <v>0</v>
      </c>
      <c r="G3629" t="str">
        <f>"2018-10-17 19:17:21"</f>
        <v>2018-10-17 19:17:21</v>
      </c>
    </row>
    <row r="3630" spans="1:7" x14ac:dyDescent="0.2">
      <c r="A3630" t="s">
        <v>4970</v>
      </c>
      <c r="B3630" t="str">
        <f>"15225436195"</f>
        <v>15225436195</v>
      </c>
      <c r="C3630" t="str">
        <f>"41032219960918181X"</f>
        <v>41032219960918181X</v>
      </c>
      <c r="D3630" t="s">
        <v>1</v>
      </c>
      <c r="E3630" t="s">
        <v>1</v>
      </c>
      <c r="F3630" t="s">
        <v>0</v>
      </c>
      <c r="G3630" t="str">
        <f>"2018-10-17 19:19:12"</f>
        <v>2018-10-17 19:19:12</v>
      </c>
    </row>
    <row r="3631" spans="1:7" x14ac:dyDescent="0.2">
      <c r="A3631" t="s">
        <v>4971</v>
      </c>
      <c r="B3631" t="str">
        <f>"18967399986"</f>
        <v>18967399986</v>
      </c>
      <c r="C3631" t="str">
        <f>"330481198812091239"</f>
        <v>330481198812091239</v>
      </c>
      <c r="D3631" t="s">
        <v>1</v>
      </c>
      <c r="E3631" t="s">
        <v>1</v>
      </c>
      <c r="F3631" t="s">
        <v>0</v>
      </c>
      <c r="G3631" t="str">
        <f>"2018-10-21 10:25:14"</f>
        <v>2018-10-21 10:25:14</v>
      </c>
    </row>
    <row r="3632" spans="1:7" x14ac:dyDescent="0.2">
      <c r="A3632" t="s">
        <v>4972</v>
      </c>
      <c r="B3632" t="str">
        <f>"18877294898"</f>
        <v>18877294898</v>
      </c>
      <c r="C3632" t="str">
        <f>"452226198509090042"</f>
        <v>452226198509090042</v>
      </c>
      <c r="D3632" t="s">
        <v>1</v>
      </c>
      <c r="E3632" t="s">
        <v>1</v>
      </c>
      <c r="F3632" t="s">
        <v>0</v>
      </c>
      <c r="G3632" t="str">
        <f>"2018-10-17 19:17:23"</f>
        <v>2018-10-17 19:17:23</v>
      </c>
    </row>
    <row r="3633" spans="1:7" x14ac:dyDescent="0.2">
      <c r="A3633" t="s">
        <v>4973</v>
      </c>
      <c r="B3633" t="str">
        <f>"15526789755"</f>
        <v>15526789755</v>
      </c>
      <c r="C3633" t="str">
        <f>"220602198803140983"</f>
        <v>220602198803140983</v>
      </c>
      <c r="D3633" t="s">
        <v>1</v>
      </c>
      <c r="E3633" t="s">
        <v>1</v>
      </c>
      <c r="F3633" t="s">
        <v>0</v>
      </c>
      <c r="G3633" t="str">
        <f>"2018-10-26 14:49:57"</f>
        <v>2018-10-26 14:49:57</v>
      </c>
    </row>
    <row r="3634" spans="1:7" x14ac:dyDescent="0.2">
      <c r="A3634" t="s">
        <v>4974</v>
      </c>
      <c r="B3634" t="str">
        <f>"18455147277"</f>
        <v>18455147277</v>
      </c>
      <c r="C3634" t="str">
        <f>"342921198510044319"</f>
        <v>342921198510044319</v>
      </c>
      <c r="D3634" t="s">
        <v>1</v>
      </c>
      <c r="E3634" t="s">
        <v>1</v>
      </c>
      <c r="F3634" t="s">
        <v>0</v>
      </c>
      <c r="G3634" t="str">
        <f>"2018-10-17 19:15:01"</f>
        <v>2018-10-17 19:15:01</v>
      </c>
    </row>
    <row r="3635" spans="1:7" x14ac:dyDescent="0.2">
      <c r="A3635" t="s">
        <v>4975</v>
      </c>
      <c r="B3635" t="str">
        <f>"18578550457"</f>
        <v>18578550457</v>
      </c>
      <c r="C3635" t="str">
        <f>"422825199710050654"</f>
        <v>422825199710050654</v>
      </c>
      <c r="D3635" t="s">
        <v>1</v>
      </c>
      <c r="E3635" t="s">
        <v>1</v>
      </c>
      <c r="F3635" t="s">
        <v>0</v>
      </c>
      <c r="G3635" t="str">
        <f>"2018-10-17 19:21:55"</f>
        <v>2018-10-17 19:21:55</v>
      </c>
    </row>
    <row r="3636" spans="1:7" x14ac:dyDescent="0.2">
      <c r="A3636" t="s">
        <v>1</v>
      </c>
      <c r="B3636" t="str">
        <f>"15593990399"</f>
        <v>15593990399</v>
      </c>
      <c r="C3636" t="s">
        <v>1</v>
      </c>
      <c r="D3636" t="s">
        <v>1</v>
      </c>
      <c r="E3636" t="s">
        <v>1</v>
      </c>
      <c r="F3636" t="s">
        <v>0</v>
      </c>
      <c r="G3636" t="str">
        <f>"2018-10-17 19:14:37"</f>
        <v>2018-10-17 19:14:37</v>
      </c>
    </row>
    <row r="3637" spans="1:7" x14ac:dyDescent="0.2">
      <c r="A3637" t="s">
        <v>1</v>
      </c>
      <c r="B3637" t="str">
        <f>"15057232229"</f>
        <v>15057232229</v>
      </c>
      <c r="C3637" t="s">
        <v>1</v>
      </c>
      <c r="D3637" t="s">
        <v>1</v>
      </c>
      <c r="E3637" t="s">
        <v>1</v>
      </c>
      <c r="F3637" t="s">
        <v>0</v>
      </c>
      <c r="G3637" t="str">
        <f>"2018-10-17 19:14:16"</f>
        <v>2018-10-17 19:14:16</v>
      </c>
    </row>
    <row r="3638" spans="1:7" x14ac:dyDescent="0.2">
      <c r="A3638" t="s">
        <v>4976</v>
      </c>
      <c r="B3638" t="str">
        <f>"13569708126"</f>
        <v>13569708126</v>
      </c>
      <c r="C3638" t="str">
        <f>"411523199008020437"</f>
        <v>411523199008020437</v>
      </c>
      <c r="D3638" t="s">
        <v>4977</v>
      </c>
      <c r="E3638" t="s">
        <v>4978</v>
      </c>
      <c r="F3638" t="s">
        <v>0</v>
      </c>
      <c r="G3638" t="str">
        <f>"2018-10-17 19:15:23"</f>
        <v>2018-10-17 19:15:23</v>
      </c>
    </row>
    <row r="3639" spans="1:7" x14ac:dyDescent="0.2">
      <c r="A3639" t="s">
        <v>4979</v>
      </c>
      <c r="B3639" t="str">
        <f>"17636073532"</f>
        <v>17636073532</v>
      </c>
      <c r="C3639" t="str">
        <f>"140521199808223014"</f>
        <v>140521199808223014</v>
      </c>
      <c r="D3639" t="s">
        <v>1</v>
      </c>
      <c r="E3639" t="s">
        <v>1</v>
      </c>
      <c r="F3639" t="s">
        <v>0</v>
      </c>
      <c r="G3639" t="str">
        <f>"2018-10-18 15:07:32"</f>
        <v>2018-10-18 15:07:32</v>
      </c>
    </row>
    <row r="3640" spans="1:7" x14ac:dyDescent="0.2">
      <c r="A3640" t="s">
        <v>454</v>
      </c>
      <c r="B3640" t="str">
        <f>"18271550550"</f>
        <v>18271550550</v>
      </c>
      <c r="C3640" t="str">
        <f>"421126198810038137"</f>
        <v>421126198810038137</v>
      </c>
      <c r="D3640" t="s">
        <v>4980</v>
      </c>
      <c r="E3640" t="s">
        <v>4981</v>
      </c>
      <c r="F3640" t="s">
        <v>0</v>
      </c>
      <c r="G3640" t="str">
        <f>"2018-10-17 19:16:56"</f>
        <v>2018-10-17 19:16:56</v>
      </c>
    </row>
    <row r="3641" spans="1:7" x14ac:dyDescent="0.2">
      <c r="A3641" t="s">
        <v>1</v>
      </c>
      <c r="B3641" t="str">
        <f>"18271669197"</f>
        <v>18271669197</v>
      </c>
      <c r="C3641" t="s">
        <v>1</v>
      </c>
      <c r="D3641" t="s">
        <v>1</v>
      </c>
      <c r="E3641" t="s">
        <v>1</v>
      </c>
      <c r="F3641" t="s">
        <v>0</v>
      </c>
      <c r="G3641" t="str">
        <f>"2018-10-17 19:13:10"</f>
        <v>2018-10-17 19:13:10</v>
      </c>
    </row>
    <row r="3642" spans="1:7" x14ac:dyDescent="0.2">
      <c r="A3642" t="s">
        <v>4982</v>
      </c>
      <c r="B3642" t="str">
        <f>"18189558524"</f>
        <v>18189558524</v>
      </c>
      <c r="C3642" t="str">
        <f>"620102198901275010"</f>
        <v>620102198901275010</v>
      </c>
      <c r="D3642" t="s">
        <v>1</v>
      </c>
      <c r="E3642" t="s">
        <v>1</v>
      </c>
      <c r="F3642" t="s">
        <v>0</v>
      </c>
      <c r="G3642" t="str">
        <f>"2018-10-17 19:13:32"</f>
        <v>2018-10-17 19:13:32</v>
      </c>
    </row>
    <row r="3643" spans="1:7" x14ac:dyDescent="0.2">
      <c r="A3643" t="s">
        <v>1</v>
      </c>
      <c r="B3643" t="str">
        <f>"15635131502"</f>
        <v>15635131502</v>
      </c>
      <c r="C3643" t="s">
        <v>1</v>
      </c>
      <c r="D3643" t="s">
        <v>1</v>
      </c>
      <c r="E3643" t="s">
        <v>1</v>
      </c>
      <c r="F3643" t="s">
        <v>0</v>
      </c>
      <c r="G3643" t="str">
        <f>"2018-10-17 19:12:30"</f>
        <v>2018-10-17 19:12:30</v>
      </c>
    </row>
    <row r="3644" spans="1:7" x14ac:dyDescent="0.2">
      <c r="A3644" t="s">
        <v>4983</v>
      </c>
      <c r="B3644" t="str">
        <f>"15276780857"</f>
        <v>15276780857</v>
      </c>
      <c r="C3644" t="str">
        <f>"620825199212091491"</f>
        <v>620825199212091491</v>
      </c>
      <c r="D3644" t="s">
        <v>1</v>
      </c>
      <c r="E3644" t="s">
        <v>1</v>
      </c>
      <c r="F3644" t="s">
        <v>0</v>
      </c>
      <c r="G3644" t="str">
        <f>"2018-10-17 19:16:37"</f>
        <v>2018-10-17 19:16:37</v>
      </c>
    </row>
    <row r="3645" spans="1:7" x14ac:dyDescent="0.2">
      <c r="A3645" t="s">
        <v>1</v>
      </c>
      <c r="B3645" t="str">
        <f>"17600064792"</f>
        <v>17600064792</v>
      </c>
      <c r="C3645" t="s">
        <v>1</v>
      </c>
      <c r="D3645" t="s">
        <v>1</v>
      </c>
      <c r="E3645" t="s">
        <v>1</v>
      </c>
      <c r="F3645" t="s">
        <v>0</v>
      </c>
      <c r="G3645" t="str">
        <f>"2018-10-17 19:13:39"</f>
        <v>2018-10-17 19:13:39</v>
      </c>
    </row>
    <row r="3646" spans="1:7" x14ac:dyDescent="0.2">
      <c r="A3646" t="s">
        <v>4984</v>
      </c>
      <c r="B3646" t="str">
        <f>"18729260576"</f>
        <v>18729260576</v>
      </c>
      <c r="C3646" t="str">
        <f>"610429198712134766"</f>
        <v>610429198712134766</v>
      </c>
      <c r="D3646" t="s">
        <v>4985</v>
      </c>
      <c r="E3646" t="s">
        <v>4986</v>
      </c>
      <c r="F3646" t="s">
        <v>0</v>
      </c>
      <c r="G3646" t="str">
        <f>"2018-10-17 19:13:16"</f>
        <v>2018-10-17 19:13:16</v>
      </c>
    </row>
    <row r="3647" spans="1:7" x14ac:dyDescent="0.2">
      <c r="A3647" t="s">
        <v>4987</v>
      </c>
      <c r="B3647" t="str">
        <f>"17548230585"</f>
        <v>17548230585</v>
      </c>
      <c r="C3647" t="str">
        <f>"152221199701053622"</f>
        <v>152221199701053622</v>
      </c>
      <c r="D3647" t="s">
        <v>1</v>
      </c>
      <c r="E3647" t="s">
        <v>1</v>
      </c>
      <c r="F3647" t="s">
        <v>0</v>
      </c>
      <c r="G3647" t="str">
        <f>"2018-10-17 19:12:51"</f>
        <v>2018-10-17 19:12:51</v>
      </c>
    </row>
    <row r="3648" spans="1:7" x14ac:dyDescent="0.2">
      <c r="A3648" t="s">
        <v>1</v>
      </c>
      <c r="B3648" t="str">
        <f>"13248845874"</f>
        <v>13248845874</v>
      </c>
      <c r="C3648" t="s">
        <v>1</v>
      </c>
      <c r="D3648" t="s">
        <v>1</v>
      </c>
      <c r="E3648" t="s">
        <v>1</v>
      </c>
      <c r="F3648" t="s">
        <v>0</v>
      </c>
      <c r="G3648" t="str">
        <f>"2018-10-17 19:11:23"</f>
        <v>2018-10-17 19:11:23</v>
      </c>
    </row>
    <row r="3649" spans="1:7" x14ac:dyDescent="0.2">
      <c r="A3649" t="s">
        <v>1841</v>
      </c>
      <c r="B3649" t="str">
        <f>"17603493954"</f>
        <v>17603493954</v>
      </c>
      <c r="C3649" t="str">
        <f>"140623199603209751"</f>
        <v>140623199603209751</v>
      </c>
      <c r="D3649" t="s">
        <v>1</v>
      </c>
      <c r="E3649" t="s">
        <v>1</v>
      </c>
      <c r="F3649" t="s">
        <v>0</v>
      </c>
      <c r="G3649" t="str">
        <f>"2018-10-18 16:00:39"</f>
        <v>2018-10-18 16:00:39</v>
      </c>
    </row>
    <row r="3650" spans="1:7" x14ac:dyDescent="0.2">
      <c r="A3650" t="s">
        <v>4988</v>
      </c>
      <c r="B3650" t="str">
        <f>"13885184657"</f>
        <v>13885184657</v>
      </c>
      <c r="C3650" t="str">
        <f>"520121199805073865"</f>
        <v>520121199805073865</v>
      </c>
      <c r="D3650" t="s">
        <v>1</v>
      </c>
      <c r="E3650" t="s">
        <v>1</v>
      </c>
      <c r="F3650" t="s">
        <v>0</v>
      </c>
      <c r="G3650" t="str">
        <f>"2018-10-17 19:14:15"</f>
        <v>2018-10-17 19:14:15</v>
      </c>
    </row>
    <row r="3651" spans="1:7" x14ac:dyDescent="0.2">
      <c r="A3651" t="s">
        <v>4989</v>
      </c>
      <c r="B3651" t="str">
        <f>"18245248632"</f>
        <v>18245248632</v>
      </c>
      <c r="C3651" t="str">
        <f>"230221199904281412"</f>
        <v>230221199904281412</v>
      </c>
      <c r="D3651" t="s">
        <v>1</v>
      </c>
      <c r="E3651" t="s">
        <v>1</v>
      </c>
      <c r="F3651" t="s">
        <v>0</v>
      </c>
      <c r="G3651" t="str">
        <f>"2018-10-17 19:14:34"</f>
        <v>2018-10-17 19:14:34</v>
      </c>
    </row>
    <row r="3652" spans="1:7" x14ac:dyDescent="0.2">
      <c r="A3652" t="s">
        <v>1</v>
      </c>
      <c r="B3652" t="str">
        <f>"13006909742"</f>
        <v>13006909742</v>
      </c>
      <c r="C3652" t="s">
        <v>1</v>
      </c>
      <c r="D3652" t="s">
        <v>1</v>
      </c>
      <c r="E3652" t="s">
        <v>1</v>
      </c>
      <c r="F3652" t="s">
        <v>0</v>
      </c>
      <c r="G3652" t="str">
        <f>"2018-10-17 19:10:21"</f>
        <v>2018-10-17 19:10:21</v>
      </c>
    </row>
    <row r="3653" spans="1:7" x14ac:dyDescent="0.2">
      <c r="A3653" t="s">
        <v>4990</v>
      </c>
      <c r="B3653" t="str">
        <f>"13413518741"</f>
        <v>13413518741</v>
      </c>
      <c r="C3653" t="str">
        <f>"431126199201119050"</f>
        <v>431126199201119050</v>
      </c>
      <c r="D3653" t="s">
        <v>1</v>
      </c>
      <c r="E3653" t="s">
        <v>1</v>
      </c>
      <c r="F3653" t="s">
        <v>0</v>
      </c>
      <c r="G3653" t="str">
        <f>"2018-10-17 19:10:06"</f>
        <v>2018-10-17 19:10:06</v>
      </c>
    </row>
    <row r="3654" spans="1:7" x14ac:dyDescent="0.2">
      <c r="A3654" t="s">
        <v>1</v>
      </c>
      <c r="B3654" t="str">
        <f>"18891837010"</f>
        <v>18891837010</v>
      </c>
      <c r="C3654" t="s">
        <v>1</v>
      </c>
      <c r="D3654" t="s">
        <v>1</v>
      </c>
      <c r="E3654" t="s">
        <v>1</v>
      </c>
      <c r="F3654" t="s">
        <v>0</v>
      </c>
      <c r="G3654" t="str">
        <f>"2018-10-17 19:09:27"</f>
        <v>2018-10-17 19:09:27</v>
      </c>
    </row>
    <row r="3655" spans="1:7" x14ac:dyDescent="0.2">
      <c r="A3655" t="s">
        <v>4991</v>
      </c>
      <c r="B3655" t="str">
        <f>"13218235568"</f>
        <v>13218235568</v>
      </c>
      <c r="C3655" t="str">
        <f>"320683198704107610"</f>
        <v>320683198704107610</v>
      </c>
      <c r="D3655" t="s">
        <v>1</v>
      </c>
      <c r="E3655" t="s">
        <v>1</v>
      </c>
      <c r="F3655" t="s">
        <v>0</v>
      </c>
      <c r="G3655" t="str">
        <f>"2018-10-17 19:11:03"</f>
        <v>2018-10-17 19:11:03</v>
      </c>
    </row>
    <row r="3656" spans="1:7" x14ac:dyDescent="0.2">
      <c r="A3656" t="s">
        <v>1412</v>
      </c>
      <c r="B3656" t="str">
        <f>"18071878310"</f>
        <v>18071878310</v>
      </c>
      <c r="C3656" t="str">
        <f>"421202199310180523"</f>
        <v>421202199310180523</v>
      </c>
      <c r="D3656" t="s">
        <v>1</v>
      </c>
      <c r="E3656" t="s">
        <v>1</v>
      </c>
      <c r="F3656" t="s">
        <v>0</v>
      </c>
      <c r="G3656" t="str">
        <f>"2018-10-21 12:23:00"</f>
        <v>2018-10-21 12:23:00</v>
      </c>
    </row>
    <row r="3657" spans="1:7" x14ac:dyDescent="0.2">
      <c r="A3657" t="s">
        <v>4992</v>
      </c>
      <c r="B3657" t="str">
        <f>"13308503352"</f>
        <v>13308503352</v>
      </c>
      <c r="C3657" t="str">
        <f>"520113199506020413"</f>
        <v>520113199506020413</v>
      </c>
      <c r="D3657" t="s">
        <v>1</v>
      </c>
      <c r="E3657" t="s">
        <v>1</v>
      </c>
      <c r="F3657" t="s">
        <v>0</v>
      </c>
      <c r="G3657" t="str">
        <f>"2018-10-17 19:08:00"</f>
        <v>2018-10-17 19:08:00</v>
      </c>
    </row>
    <row r="3658" spans="1:7" x14ac:dyDescent="0.2">
      <c r="A3658" t="s">
        <v>1</v>
      </c>
      <c r="B3658" t="str">
        <f>"13453289378"</f>
        <v>13453289378</v>
      </c>
      <c r="C3658" t="s">
        <v>1</v>
      </c>
      <c r="D3658" t="s">
        <v>1</v>
      </c>
      <c r="E3658" t="s">
        <v>1</v>
      </c>
      <c r="F3658" t="s">
        <v>0</v>
      </c>
      <c r="G3658" t="str">
        <f>"2018-10-17 19:07:10"</f>
        <v>2018-10-17 19:07:10</v>
      </c>
    </row>
    <row r="3659" spans="1:7" x14ac:dyDescent="0.2">
      <c r="A3659" t="s">
        <v>1</v>
      </c>
      <c r="B3659" t="str">
        <f>"17732352888"</f>
        <v>17732352888</v>
      </c>
      <c r="C3659" t="s">
        <v>1</v>
      </c>
      <c r="D3659" t="s">
        <v>1</v>
      </c>
      <c r="E3659" t="s">
        <v>1</v>
      </c>
      <c r="F3659" t="s">
        <v>0</v>
      </c>
      <c r="G3659" t="str">
        <f>"2018-10-17 19:06:50"</f>
        <v>2018-10-17 19:06:50</v>
      </c>
    </row>
    <row r="3660" spans="1:7" x14ac:dyDescent="0.2">
      <c r="A3660" t="s">
        <v>1</v>
      </c>
      <c r="B3660" t="str">
        <f>"18670775898"</f>
        <v>18670775898</v>
      </c>
      <c r="C3660" t="s">
        <v>1</v>
      </c>
      <c r="D3660" t="s">
        <v>1</v>
      </c>
      <c r="E3660" t="s">
        <v>1</v>
      </c>
      <c r="F3660" t="s">
        <v>0</v>
      </c>
      <c r="G3660" t="str">
        <f>"2018-10-17 19:06:48"</f>
        <v>2018-10-17 19:06:48</v>
      </c>
    </row>
    <row r="3661" spans="1:7" x14ac:dyDescent="0.2">
      <c r="A3661" t="s">
        <v>1</v>
      </c>
      <c r="B3661" t="str">
        <f>"13074686460"</f>
        <v>13074686460</v>
      </c>
      <c r="C3661" t="s">
        <v>1</v>
      </c>
      <c r="D3661" t="s">
        <v>1</v>
      </c>
      <c r="E3661" t="s">
        <v>1</v>
      </c>
      <c r="F3661" t="s">
        <v>0</v>
      </c>
      <c r="G3661" t="str">
        <f>"2018-10-17 19:06:38"</f>
        <v>2018-10-17 19:06:38</v>
      </c>
    </row>
    <row r="3662" spans="1:7" x14ac:dyDescent="0.2">
      <c r="A3662" t="s">
        <v>4993</v>
      </c>
      <c r="B3662" t="str">
        <f>"13682227750"</f>
        <v>13682227750</v>
      </c>
      <c r="C3662" t="str">
        <f>"44128319900918237X"</f>
        <v>44128319900918237X</v>
      </c>
      <c r="D3662" t="s">
        <v>1</v>
      </c>
      <c r="E3662" t="s">
        <v>1</v>
      </c>
      <c r="F3662" t="s">
        <v>0</v>
      </c>
      <c r="G3662" t="str">
        <f>"2018-10-17 19:09:28"</f>
        <v>2018-10-17 19:09:28</v>
      </c>
    </row>
    <row r="3663" spans="1:7" x14ac:dyDescent="0.2">
      <c r="A3663" t="s">
        <v>4994</v>
      </c>
      <c r="B3663" t="str">
        <f>"17602951387"</f>
        <v>17602951387</v>
      </c>
      <c r="C3663" t="str">
        <f>"642221200005200395"</f>
        <v>642221200005200395</v>
      </c>
      <c r="D3663" t="s">
        <v>1</v>
      </c>
      <c r="E3663" t="s">
        <v>1</v>
      </c>
      <c r="F3663" t="s">
        <v>0</v>
      </c>
      <c r="G3663" t="str">
        <f>"2018-10-17 19:07:20"</f>
        <v>2018-10-17 19:07:20</v>
      </c>
    </row>
    <row r="3664" spans="1:7" x14ac:dyDescent="0.2">
      <c r="A3664" t="s">
        <v>4995</v>
      </c>
      <c r="B3664" t="str">
        <f>"18002065808"</f>
        <v>18002065808</v>
      </c>
      <c r="C3664" t="str">
        <f>"120105197601232728"</f>
        <v>120105197601232728</v>
      </c>
      <c r="D3664" t="s">
        <v>1</v>
      </c>
      <c r="E3664" t="s">
        <v>1</v>
      </c>
      <c r="F3664" t="s">
        <v>0</v>
      </c>
      <c r="G3664" t="str">
        <f>"2018-10-17 19:06:45"</f>
        <v>2018-10-17 19:06:45</v>
      </c>
    </row>
    <row r="3665" spans="1:7" x14ac:dyDescent="0.2">
      <c r="A3665" t="s">
        <v>1</v>
      </c>
      <c r="B3665" t="str">
        <f>"18615267546"</f>
        <v>18615267546</v>
      </c>
      <c r="C3665" t="s">
        <v>1</v>
      </c>
      <c r="D3665" t="s">
        <v>1</v>
      </c>
      <c r="E3665" t="s">
        <v>1</v>
      </c>
      <c r="F3665" t="s">
        <v>0</v>
      </c>
      <c r="G3665" t="str">
        <f>"2018-10-17 19:04:44"</f>
        <v>2018-10-17 19:04:44</v>
      </c>
    </row>
    <row r="3666" spans="1:7" x14ac:dyDescent="0.2">
      <c r="A3666" t="s">
        <v>4996</v>
      </c>
      <c r="B3666" t="str">
        <f>"15200878950"</f>
        <v>15200878950</v>
      </c>
      <c r="C3666" t="str">
        <f>"430121198905202816"</f>
        <v>430121198905202816</v>
      </c>
      <c r="D3666" t="s">
        <v>1</v>
      </c>
      <c r="E3666" t="s">
        <v>1</v>
      </c>
      <c r="F3666" t="s">
        <v>0</v>
      </c>
      <c r="G3666" t="str">
        <f>"2018-10-17 19:04:39"</f>
        <v>2018-10-17 19:04:39</v>
      </c>
    </row>
    <row r="3667" spans="1:7" x14ac:dyDescent="0.2">
      <c r="A3667" t="s">
        <v>1</v>
      </c>
      <c r="B3667" t="str">
        <f>"15577641411"</f>
        <v>15577641411</v>
      </c>
      <c r="C3667" t="s">
        <v>1</v>
      </c>
      <c r="D3667" t="s">
        <v>1</v>
      </c>
      <c r="E3667" t="s">
        <v>1</v>
      </c>
      <c r="F3667" t="s">
        <v>0</v>
      </c>
      <c r="G3667" t="str">
        <f>"2018-10-17 19:03:04"</f>
        <v>2018-10-17 19:03:04</v>
      </c>
    </row>
    <row r="3668" spans="1:7" x14ac:dyDescent="0.2">
      <c r="A3668" t="s">
        <v>4997</v>
      </c>
      <c r="B3668" t="str">
        <f>"13142600601"</f>
        <v>13142600601</v>
      </c>
      <c r="C3668" t="str">
        <f>"321181198409184913"</f>
        <v>321181198409184913</v>
      </c>
      <c r="D3668" t="s">
        <v>1</v>
      </c>
      <c r="E3668" t="s">
        <v>1</v>
      </c>
      <c r="F3668" t="s">
        <v>0</v>
      </c>
      <c r="G3668" t="str">
        <f>"2018-10-17 19:03:55"</f>
        <v>2018-10-17 19:03:55</v>
      </c>
    </row>
    <row r="3669" spans="1:7" x14ac:dyDescent="0.2">
      <c r="A3669" t="s">
        <v>1</v>
      </c>
      <c r="B3669" t="str">
        <f>"18379377300"</f>
        <v>18379377300</v>
      </c>
      <c r="C3669" t="s">
        <v>1</v>
      </c>
      <c r="D3669" t="s">
        <v>1</v>
      </c>
      <c r="E3669" t="s">
        <v>1</v>
      </c>
      <c r="F3669" t="s">
        <v>0</v>
      </c>
      <c r="G3669" t="str">
        <f>"2018-10-17 19:02:53"</f>
        <v>2018-10-17 19:02:53</v>
      </c>
    </row>
    <row r="3670" spans="1:7" x14ac:dyDescent="0.2">
      <c r="A3670" t="s">
        <v>1</v>
      </c>
      <c r="B3670" t="str">
        <f>"13071532446"</f>
        <v>13071532446</v>
      </c>
      <c r="C3670" t="s">
        <v>1</v>
      </c>
      <c r="D3670" t="s">
        <v>1</v>
      </c>
      <c r="E3670" t="s">
        <v>1</v>
      </c>
      <c r="F3670" t="s">
        <v>0</v>
      </c>
      <c r="G3670" t="str">
        <f>"2018-10-17 19:02:50"</f>
        <v>2018-10-17 19:02:50</v>
      </c>
    </row>
    <row r="3671" spans="1:7" x14ac:dyDescent="0.2">
      <c r="A3671" t="s">
        <v>4998</v>
      </c>
      <c r="B3671" t="str">
        <f>"13349868559"</f>
        <v>13349868559</v>
      </c>
      <c r="C3671" t="str">
        <f>"431124199401154026"</f>
        <v>431124199401154026</v>
      </c>
      <c r="D3671" t="s">
        <v>1</v>
      </c>
      <c r="E3671" t="s">
        <v>1</v>
      </c>
      <c r="F3671" t="s">
        <v>0</v>
      </c>
      <c r="G3671" t="str">
        <f>"2018-10-17 19:12:11"</f>
        <v>2018-10-17 19:12:11</v>
      </c>
    </row>
    <row r="3672" spans="1:7" x14ac:dyDescent="0.2">
      <c r="A3672" t="s">
        <v>4999</v>
      </c>
      <c r="B3672" t="str">
        <f>"15715140417"</f>
        <v>15715140417</v>
      </c>
      <c r="C3672" t="str">
        <f>"342623199411142512"</f>
        <v>342623199411142512</v>
      </c>
      <c r="D3672" t="s">
        <v>1</v>
      </c>
      <c r="E3672" t="s">
        <v>1</v>
      </c>
      <c r="F3672" t="s">
        <v>0</v>
      </c>
      <c r="G3672" t="str">
        <f>"2018-10-17 19:03:38"</f>
        <v>2018-10-17 19:03:38</v>
      </c>
    </row>
    <row r="3673" spans="1:7" x14ac:dyDescent="0.2">
      <c r="A3673" t="s">
        <v>5000</v>
      </c>
      <c r="B3673" t="str">
        <f>"13813367529"</f>
        <v>13813367529</v>
      </c>
      <c r="C3673" t="str">
        <f>"320924199105032515"</f>
        <v>320924199105032515</v>
      </c>
      <c r="D3673" t="s">
        <v>1</v>
      </c>
      <c r="E3673" t="s">
        <v>1</v>
      </c>
      <c r="F3673" t="s">
        <v>0</v>
      </c>
      <c r="G3673" t="str">
        <f>"2018-10-17 19:58:32"</f>
        <v>2018-10-17 19:58:32</v>
      </c>
    </row>
    <row r="3674" spans="1:7" x14ac:dyDescent="0.2">
      <c r="A3674" t="s">
        <v>478</v>
      </c>
      <c r="B3674" t="str">
        <f>"15945042015"</f>
        <v>15945042015</v>
      </c>
      <c r="C3674" t="str">
        <f>"232103199501281411"</f>
        <v>232103199501281411</v>
      </c>
      <c r="D3674" t="s">
        <v>1</v>
      </c>
      <c r="E3674" t="s">
        <v>1</v>
      </c>
      <c r="F3674" t="s">
        <v>0</v>
      </c>
      <c r="G3674" t="str">
        <f>"2018-10-17 19:02:27"</f>
        <v>2018-10-17 19:02:27</v>
      </c>
    </row>
    <row r="3675" spans="1:7" x14ac:dyDescent="0.2">
      <c r="A3675" t="s">
        <v>5001</v>
      </c>
      <c r="B3675" t="str">
        <f>"18507156664"</f>
        <v>18507156664</v>
      </c>
      <c r="C3675" t="str">
        <f>"420116198812182032"</f>
        <v>420116198812182032</v>
      </c>
      <c r="D3675" t="s">
        <v>5002</v>
      </c>
      <c r="E3675" t="s">
        <v>5003</v>
      </c>
      <c r="F3675" t="s">
        <v>0</v>
      </c>
      <c r="G3675" t="str">
        <f>"2018-10-17 19:00:32"</f>
        <v>2018-10-17 19:00:32</v>
      </c>
    </row>
    <row r="3676" spans="1:7" x14ac:dyDescent="0.2">
      <c r="A3676" t="s">
        <v>630</v>
      </c>
      <c r="B3676" t="str">
        <f>"15871885301"</f>
        <v>15871885301</v>
      </c>
      <c r="C3676" t="str">
        <f>"429004198805142187"</f>
        <v>429004198805142187</v>
      </c>
      <c r="D3676" t="s">
        <v>1</v>
      </c>
      <c r="E3676" t="s">
        <v>1</v>
      </c>
      <c r="F3676" t="s">
        <v>0</v>
      </c>
      <c r="G3676" t="str">
        <f>"2018-10-17 19:02:37"</f>
        <v>2018-10-17 19:02:37</v>
      </c>
    </row>
    <row r="3677" spans="1:7" x14ac:dyDescent="0.2">
      <c r="A3677" t="s">
        <v>5004</v>
      </c>
      <c r="B3677" t="str">
        <f>"18907977630"</f>
        <v>18907977630</v>
      </c>
      <c r="C3677" t="str">
        <f>"362101197701250035"</f>
        <v>362101197701250035</v>
      </c>
      <c r="D3677" t="s">
        <v>1</v>
      </c>
      <c r="E3677" t="s">
        <v>1</v>
      </c>
      <c r="F3677" t="s">
        <v>0</v>
      </c>
      <c r="G3677" t="str">
        <f>"2018-10-17 19:01:12"</f>
        <v>2018-10-17 19:01:12</v>
      </c>
    </row>
    <row r="3678" spans="1:7" x14ac:dyDescent="0.2">
      <c r="A3678" t="s">
        <v>5005</v>
      </c>
      <c r="B3678" t="str">
        <f>"18378777707"</f>
        <v>18378777707</v>
      </c>
      <c r="C3678" t="str">
        <f>"450981199603310019"</f>
        <v>450981199603310019</v>
      </c>
      <c r="D3678" t="s">
        <v>5006</v>
      </c>
      <c r="E3678" t="s">
        <v>5007</v>
      </c>
      <c r="F3678" t="s">
        <v>0</v>
      </c>
      <c r="G3678" t="str">
        <f>"2018-10-17 19:05:32"</f>
        <v>2018-10-17 19:05:32</v>
      </c>
    </row>
    <row r="3679" spans="1:7" x14ac:dyDescent="0.2">
      <c r="A3679" t="s">
        <v>1769</v>
      </c>
      <c r="B3679" t="str">
        <f>"18299918880"</f>
        <v>18299918880</v>
      </c>
      <c r="C3679" t="str">
        <f>"622301199205048114"</f>
        <v>622301199205048114</v>
      </c>
      <c r="D3679" t="s">
        <v>1</v>
      </c>
      <c r="E3679" t="s">
        <v>1</v>
      </c>
      <c r="F3679" t="s">
        <v>0</v>
      </c>
      <c r="G3679" t="str">
        <f>"2018-10-17 20:23:56"</f>
        <v>2018-10-17 20:23:56</v>
      </c>
    </row>
    <row r="3680" spans="1:7" x14ac:dyDescent="0.2">
      <c r="A3680" t="s">
        <v>5008</v>
      </c>
      <c r="B3680" t="str">
        <f>"15603171091"</f>
        <v>15603171091</v>
      </c>
      <c r="C3680" t="str">
        <f>"130984199606150035"</f>
        <v>130984199606150035</v>
      </c>
      <c r="D3680" t="s">
        <v>1</v>
      </c>
      <c r="E3680" t="s">
        <v>1</v>
      </c>
      <c r="F3680" t="s">
        <v>0</v>
      </c>
      <c r="G3680" t="str">
        <f>"2018-10-17 19:10:28"</f>
        <v>2018-10-17 19:10:28</v>
      </c>
    </row>
    <row r="3681" spans="1:7" x14ac:dyDescent="0.2">
      <c r="A3681" t="s">
        <v>5009</v>
      </c>
      <c r="B3681" t="str">
        <f>"17693427568"</f>
        <v>17693427568</v>
      </c>
      <c r="C3681" t="str">
        <f>"640122197902212112"</f>
        <v>640122197902212112</v>
      </c>
      <c r="D3681" t="s">
        <v>5010</v>
      </c>
      <c r="E3681" t="s">
        <v>5011</v>
      </c>
      <c r="F3681" t="s">
        <v>0</v>
      </c>
      <c r="G3681" t="str">
        <f>"2018-10-17 19:00:01"</f>
        <v>2018-10-17 19:00:01</v>
      </c>
    </row>
    <row r="3682" spans="1:7" x14ac:dyDescent="0.2">
      <c r="A3682" t="s">
        <v>5012</v>
      </c>
      <c r="B3682" t="str">
        <f>"15293795104"</f>
        <v>15293795104</v>
      </c>
      <c r="C3682" t="str">
        <f>"620423199302044125"</f>
        <v>620423199302044125</v>
      </c>
      <c r="D3682" t="s">
        <v>1</v>
      </c>
      <c r="E3682" t="s">
        <v>1</v>
      </c>
      <c r="F3682" t="s">
        <v>0</v>
      </c>
      <c r="G3682" t="str">
        <f>"2018-10-17 18:58:27"</f>
        <v>2018-10-17 18:58:27</v>
      </c>
    </row>
    <row r="3683" spans="1:7" x14ac:dyDescent="0.2">
      <c r="A3683" t="s">
        <v>5013</v>
      </c>
      <c r="B3683" t="str">
        <f>"15970348837"</f>
        <v>15970348837</v>
      </c>
      <c r="C3683" t="str">
        <f>"362330199010034896"</f>
        <v>362330199010034896</v>
      </c>
      <c r="D3683" t="s">
        <v>5014</v>
      </c>
      <c r="E3683" t="s">
        <v>5015</v>
      </c>
      <c r="F3683" t="s">
        <v>0</v>
      </c>
      <c r="G3683" t="str">
        <f>"2018-10-17 19:03:06"</f>
        <v>2018-10-17 19:03:06</v>
      </c>
    </row>
    <row r="3684" spans="1:7" x14ac:dyDescent="0.2">
      <c r="A3684" t="s">
        <v>428</v>
      </c>
      <c r="B3684" t="str">
        <f>"14795276534"</f>
        <v>14795276534</v>
      </c>
      <c r="C3684" t="str">
        <f>"450881199607273213"</f>
        <v>450881199607273213</v>
      </c>
      <c r="D3684" t="s">
        <v>1</v>
      </c>
      <c r="E3684" t="s">
        <v>1</v>
      </c>
      <c r="F3684" t="s">
        <v>0</v>
      </c>
      <c r="G3684" t="str">
        <f>"2018-10-17 19:01:03"</f>
        <v>2018-10-17 19:01:03</v>
      </c>
    </row>
    <row r="3685" spans="1:7" x14ac:dyDescent="0.2">
      <c r="A3685" t="s">
        <v>1</v>
      </c>
      <c r="B3685" t="str">
        <f>"13603908510"</f>
        <v>13603908510</v>
      </c>
      <c r="C3685" t="s">
        <v>1</v>
      </c>
      <c r="D3685" t="s">
        <v>1</v>
      </c>
      <c r="E3685" t="s">
        <v>1</v>
      </c>
      <c r="F3685" t="s">
        <v>0</v>
      </c>
      <c r="G3685" t="str">
        <f>"2018-10-17 18:55:48"</f>
        <v>2018-10-17 18:55:48</v>
      </c>
    </row>
    <row r="3686" spans="1:7" x14ac:dyDescent="0.2">
      <c r="A3686" t="s">
        <v>1</v>
      </c>
      <c r="B3686" t="str">
        <f>"13277701419"</f>
        <v>13277701419</v>
      </c>
      <c r="C3686" t="s">
        <v>1</v>
      </c>
      <c r="D3686" t="s">
        <v>1</v>
      </c>
      <c r="E3686" t="s">
        <v>1</v>
      </c>
      <c r="F3686" t="s">
        <v>0</v>
      </c>
      <c r="G3686" t="str">
        <f>"2018-10-17 18:55:30"</f>
        <v>2018-10-17 18:55:30</v>
      </c>
    </row>
    <row r="3687" spans="1:7" x14ac:dyDescent="0.2">
      <c r="A3687" t="s">
        <v>5016</v>
      </c>
      <c r="B3687" t="str">
        <f>"13663542606"</f>
        <v>13663542606</v>
      </c>
      <c r="C3687" t="str">
        <f>"142431199104140092"</f>
        <v>142431199104140092</v>
      </c>
      <c r="D3687" t="s">
        <v>1</v>
      </c>
      <c r="E3687" t="s">
        <v>1</v>
      </c>
      <c r="F3687" t="s">
        <v>0</v>
      </c>
      <c r="G3687" t="str">
        <f>"2018-10-17 18:55:17"</f>
        <v>2018-10-17 18:55:17</v>
      </c>
    </row>
    <row r="3688" spans="1:7" x14ac:dyDescent="0.2">
      <c r="A3688" t="s">
        <v>5017</v>
      </c>
      <c r="B3688" t="str">
        <f>"15984063192"</f>
        <v>15984063192</v>
      </c>
      <c r="C3688" t="str">
        <f>"510802199410202922"</f>
        <v>510802199410202922</v>
      </c>
      <c r="D3688" t="s">
        <v>1</v>
      </c>
      <c r="E3688" t="s">
        <v>1</v>
      </c>
      <c r="F3688" t="s">
        <v>0</v>
      </c>
      <c r="G3688" t="str">
        <f>"2018-10-17 18:55:05"</f>
        <v>2018-10-17 18:55:05</v>
      </c>
    </row>
    <row r="3689" spans="1:7" x14ac:dyDescent="0.2">
      <c r="A3689" t="s">
        <v>1</v>
      </c>
      <c r="B3689" t="str">
        <f>"15912038177"</f>
        <v>15912038177</v>
      </c>
      <c r="C3689" t="s">
        <v>1</v>
      </c>
      <c r="D3689" t="s">
        <v>1</v>
      </c>
      <c r="E3689" t="s">
        <v>1</v>
      </c>
      <c r="F3689" t="s">
        <v>0</v>
      </c>
      <c r="G3689" t="str">
        <f>"2018-10-17 18:53:28"</f>
        <v>2018-10-17 18:53:28</v>
      </c>
    </row>
    <row r="3690" spans="1:7" x14ac:dyDescent="0.2">
      <c r="A3690" t="s">
        <v>1</v>
      </c>
      <c r="B3690" t="str">
        <f>"18650453869"</f>
        <v>18650453869</v>
      </c>
      <c r="C3690" t="s">
        <v>1</v>
      </c>
      <c r="D3690" t="s">
        <v>1</v>
      </c>
      <c r="E3690" t="s">
        <v>1</v>
      </c>
      <c r="F3690" t="s">
        <v>0</v>
      </c>
      <c r="G3690" t="str">
        <f>"2018-10-17 18:53:26"</f>
        <v>2018-10-17 18:53:26</v>
      </c>
    </row>
    <row r="3691" spans="1:7" x14ac:dyDescent="0.2">
      <c r="A3691" t="s">
        <v>5018</v>
      </c>
      <c r="B3691" t="str">
        <f>"15708207892"</f>
        <v>15708207892</v>
      </c>
      <c r="C3691" t="str">
        <f>"532128198911050361"</f>
        <v>532128198911050361</v>
      </c>
      <c r="D3691" t="s">
        <v>1</v>
      </c>
      <c r="E3691" t="s">
        <v>1</v>
      </c>
      <c r="F3691" t="s">
        <v>0</v>
      </c>
      <c r="G3691" t="str">
        <f>"2018-10-17 18:54:31"</f>
        <v>2018-10-17 18:54:31</v>
      </c>
    </row>
    <row r="3692" spans="1:7" x14ac:dyDescent="0.2">
      <c r="A3692" t="s">
        <v>1</v>
      </c>
      <c r="B3692" t="str">
        <f>"13417009888"</f>
        <v>13417009888</v>
      </c>
      <c r="C3692" t="s">
        <v>1</v>
      </c>
      <c r="D3692" t="s">
        <v>1</v>
      </c>
      <c r="E3692" t="s">
        <v>1</v>
      </c>
      <c r="F3692" t="s">
        <v>0</v>
      </c>
      <c r="G3692" t="str">
        <f>"2018-10-17 18:52:48"</f>
        <v>2018-10-17 18:52:48</v>
      </c>
    </row>
    <row r="3693" spans="1:7" x14ac:dyDescent="0.2">
      <c r="A3693" t="s">
        <v>5019</v>
      </c>
      <c r="B3693" t="str">
        <f>"18865100795"</f>
        <v>18865100795</v>
      </c>
      <c r="C3693" t="str">
        <f>"371524199205293040"</f>
        <v>371524199205293040</v>
      </c>
      <c r="D3693" t="s">
        <v>1</v>
      </c>
      <c r="E3693" t="s">
        <v>1</v>
      </c>
      <c r="F3693" t="s">
        <v>0</v>
      </c>
      <c r="G3693" t="str">
        <f>"2018-10-30 15:09:46"</f>
        <v>2018-10-30 15:09:46</v>
      </c>
    </row>
    <row r="3694" spans="1:7" x14ac:dyDescent="0.2">
      <c r="A3694" t="s">
        <v>5020</v>
      </c>
      <c r="B3694" t="str">
        <f>"18777535706"</f>
        <v>18777535706</v>
      </c>
      <c r="C3694" t="str">
        <f>"450821199504180616"</f>
        <v>450821199504180616</v>
      </c>
      <c r="D3694" t="s">
        <v>1</v>
      </c>
      <c r="E3694" t="s">
        <v>1</v>
      </c>
      <c r="F3694" t="s">
        <v>0</v>
      </c>
      <c r="G3694" t="str">
        <f>"2018-10-17 18:54:47"</f>
        <v>2018-10-17 18:54:47</v>
      </c>
    </row>
    <row r="3695" spans="1:7" x14ac:dyDescent="0.2">
      <c r="A3695" t="s">
        <v>5021</v>
      </c>
      <c r="B3695" t="str">
        <f>"18651840705"</f>
        <v>18651840705</v>
      </c>
      <c r="C3695" t="str">
        <f>"320103199307090574"</f>
        <v>320103199307090574</v>
      </c>
      <c r="D3695" t="s">
        <v>5022</v>
      </c>
      <c r="E3695" t="s">
        <v>5023</v>
      </c>
      <c r="F3695" t="s">
        <v>0</v>
      </c>
      <c r="G3695" t="str">
        <f>"2018-10-17 19:18:49"</f>
        <v>2018-10-17 19:18:49</v>
      </c>
    </row>
    <row r="3696" spans="1:7" x14ac:dyDescent="0.2">
      <c r="A3696" t="s">
        <v>124</v>
      </c>
      <c r="B3696" t="str">
        <f>"18332558396"</f>
        <v>18332558396</v>
      </c>
      <c r="C3696" t="str">
        <f>"13050220000108154X"</f>
        <v>13050220000108154X</v>
      </c>
      <c r="D3696" t="s">
        <v>1</v>
      </c>
      <c r="E3696" t="s">
        <v>1</v>
      </c>
      <c r="F3696" t="s">
        <v>0</v>
      </c>
      <c r="G3696" t="str">
        <f>"2018-10-17 18:58:22"</f>
        <v>2018-10-17 18:58:22</v>
      </c>
    </row>
    <row r="3697" spans="1:7" x14ac:dyDescent="0.2">
      <c r="A3697" t="s">
        <v>5024</v>
      </c>
      <c r="B3697" t="str">
        <f>"15762257965"</f>
        <v>15762257965</v>
      </c>
      <c r="C3697" t="str">
        <f>"370285199903153534"</f>
        <v>370285199903153534</v>
      </c>
      <c r="D3697" t="s">
        <v>1</v>
      </c>
      <c r="E3697" t="s">
        <v>1</v>
      </c>
      <c r="F3697" t="s">
        <v>0</v>
      </c>
      <c r="G3697" t="str">
        <f>"2018-10-17 18:53:11"</f>
        <v>2018-10-17 18:53:11</v>
      </c>
    </row>
    <row r="3698" spans="1:7" x14ac:dyDescent="0.2">
      <c r="A3698" t="s">
        <v>5025</v>
      </c>
      <c r="B3698" t="str">
        <f>"18581501853"</f>
        <v>18581501853</v>
      </c>
      <c r="C3698" t="str">
        <f>"130528199612304819"</f>
        <v>130528199612304819</v>
      </c>
      <c r="D3698" t="s">
        <v>1</v>
      </c>
      <c r="E3698" t="s">
        <v>1</v>
      </c>
      <c r="F3698" t="s">
        <v>0</v>
      </c>
      <c r="G3698" t="str">
        <f>"2018-10-17 18:50:12"</f>
        <v>2018-10-17 18:50:12</v>
      </c>
    </row>
    <row r="3699" spans="1:7" x14ac:dyDescent="0.2">
      <c r="A3699" t="s">
        <v>5026</v>
      </c>
      <c r="B3699" t="str">
        <f>"15360023089"</f>
        <v>15360023089</v>
      </c>
      <c r="C3699" t="str">
        <f>"440781200006051111"</f>
        <v>440781200006051111</v>
      </c>
      <c r="D3699" t="s">
        <v>1</v>
      </c>
      <c r="E3699" t="s">
        <v>1</v>
      </c>
      <c r="F3699" t="s">
        <v>0</v>
      </c>
      <c r="G3699" t="str">
        <f>"2018-10-17 18:59:19"</f>
        <v>2018-10-17 18:59:19</v>
      </c>
    </row>
    <row r="3700" spans="1:7" x14ac:dyDescent="0.2">
      <c r="A3700" t="s">
        <v>5027</v>
      </c>
      <c r="B3700" t="str">
        <f>"15509176664"</f>
        <v>15509176664</v>
      </c>
      <c r="C3700" t="str">
        <f>"610322199305210316"</f>
        <v>610322199305210316</v>
      </c>
      <c r="D3700" t="s">
        <v>1</v>
      </c>
      <c r="E3700" t="s">
        <v>1</v>
      </c>
      <c r="F3700" t="s">
        <v>0</v>
      </c>
      <c r="G3700" t="str">
        <f>"2018-10-17 18:48:52"</f>
        <v>2018-10-17 18:48:52</v>
      </c>
    </row>
    <row r="3701" spans="1:7" x14ac:dyDescent="0.2">
      <c r="A3701" t="s">
        <v>1</v>
      </c>
      <c r="B3701" t="str">
        <f>"13462448884"</f>
        <v>13462448884</v>
      </c>
      <c r="C3701" t="s">
        <v>1</v>
      </c>
      <c r="D3701" t="s">
        <v>1</v>
      </c>
      <c r="E3701" t="s">
        <v>1</v>
      </c>
      <c r="F3701" t="s">
        <v>0</v>
      </c>
      <c r="G3701" t="str">
        <f>"2018-10-17 18:47:28"</f>
        <v>2018-10-17 18:47:28</v>
      </c>
    </row>
    <row r="3702" spans="1:7" x14ac:dyDescent="0.2">
      <c r="A3702" t="s">
        <v>5028</v>
      </c>
      <c r="B3702" t="str">
        <f>"13879057563"</f>
        <v>13879057563</v>
      </c>
      <c r="C3702" t="str">
        <f>"36220319800707613X"</f>
        <v>36220319800707613X</v>
      </c>
      <c r="D3702" t="s">
        <v>1</v>
      </c>
      <c r="E3702" t="s">
        <v>1</v>
      </c>
      <c r="F3702" t="s">
        <v>0</v>
      </c>
      <c r="G3702" t="str">
        <f>"2018-10-28 14:47:23"</f>
        <v>2018-10-28 14:47:23</v>
      </c>
    </row>
    <row r="3703" spans="1:7" x14ac:dyDescent="0.2">
      <c r="A3703" t="s">
        <v>5029</v>
      </c>
      <c r="B3703" t="str">
        <f>"15518020303"</f>
        <v>15518020303</v>
      </c>
      <c r="C3703" t="str">
        <f>"412722198808108411"</f>
        <v>412722198808108411</v>
      </c>
      <c r="D3703" t="s">
        <v>5030</v>
      </c>
      <c r="E3703" t="s">
        <v>5031</v>
      </c>
      <c r="F3703" t="s">
        <v>0</v>
      </c>
      <c r="G3703" t="str">
        <f>"2018-10-19 13:09:12"</f>
        <v>2018-10-19 13:09:12</v>
      </c>
    </row>
    <row r="3704" spans="1:7" x14ac:dyDescent="0.2">
      <c r="A3704" t="s">
        <v>1</v>
      </c>
      <c r="B3704" t="str">
        <f>"13119177496"</f>
        <v>13119177496</v>
      </c>
      <c r="C3704" t="s">
        <v>1</v>
      </c>
      <c r="D3704" t="s">
        <v>1</v>
      </c>
      <c r="E3704" t="s">
        <v>1</v>
      </c>
      <c r="F3704" t="s">
        <v>0</v>
      </c>
      <c r="G3704" t="str">
        <f>"2018-10-17 18:46:20"</f>
        <v>2018-10-17 18:46:20</v>
      </c>
    </row>
    <row r="3705" spans="1:7" x14ac:dyDescent="0.2">
      <c r="A3705" t="s">
        <v>1</v>
      </c>
      <c r="B3705" t="str">
        <f>"13732317038"</f>
        <v>13732317038</v>
      </c>
      <c r="C3705" t="s">
        <v>1</v>
      </c>
      <c r="D3705" t="s">
        <v>1</v>
      </c>
      <c r="E3705" t="s">
        <v>1</v>
      </c>
      <c r="F3705" t="s">
        <v>0</v>
      </c>
      <c r="G3705" t="str">
        <f>"2018-10-17 18:46:06"</f>
        <v>2018-10-17 18:46:06</v>
      </c>
    </row>
    <row r="3706" spans="1:7" x14ac:dyDescent="0.2">
      <c r="A3706" t="s">
        <v>5032</v>
      </c>
      <c r="B3706" t="str">
        <f>"15242521320"</f>
        <v>15242521320</v>
      </c>
      <c r="C3706" t="str">
        <f>"210211199804197823"</f>
        <v>210211199804197823</v>
      </c>
      <c r="D3706" t="s">
        <v>1</v>
      </c>
      <c r="E3706" t="s">
        <v>1</v>
      </c>
      <c r="F3706" t="s">
        <v>0</v>
      </c>
      <c r="G3706" t="str">
        <f>"2018-10-17 18:46:16"</f>
        <v>2018-10-17 18:46:16</v>
      </c>
    </row>
    <row r="3707" spans="1:7" x14ac:dyDescent="0.2">
      <c r="A3707" t="s">
        <v>1</v>
      </c>
      <c r="B3707" t="str">
        <f>"17724729576"</f>
        <v>17724729576</v>
      </c>
      <c r="C3707" t="s">
        <v>1</v>
      </c>
      <c r="D3707" t="s">
        <v>1</v>
      </c>
      <c r="E3707" t="s">
        <v>1</v>
      </c>
      <c r="F3707" t="s">
        <v>0</v>
      </c>
      <c r="G3707" t="str">
        <f>"2018-10-17 18:44:00"</f>
        <v>2018-10-17 18:44:00</v>
      </c>
    </row>
    <row r="3708" spans="1:7" x14ac:dyDescent="0.2">
      <c r="A3708" t="s">
        <v>5033</v>
      </c>
      <c r="B3708" t="str">
        <f>"18750146693"</f>
        <v>18750146693</v>
      </c>
      <c r="C3708" t="str">
        <f>"350181198306043290"</f>
        <v>350181198306043290</v>
      </c>
      <c r="D3708" t="s">
        <v>5034</v>
      </c>
      <c r="E3708" t="s">
        <v>5035</v>
      </c>
      <c r="F3708" t="s">
        <v>0</v>
      </c>
      <c r="G3708" t="str">
        <f>"2018-10-17 18:54:26"</f>
        <v>2018-10-17 18:54:26</v>
      </c>
    </row>
    <row r="3709" spans="1:7" x14ac:dyDescent="0.2">
      <c r="A3709" t="s">
        <v>5036</v>
      </c>
      <c r="B3709" t="str">
        <f>"18778387886"</f>
        <v>18778387886</v>
      </c>
      <c r="C3709" t="str">
        <f>"450327198401241216"</f>
        <v>450327198401241216</v>
      </c>
      <c r="D3709" t="s">
        <v>1</v>
      </c>
      <c r="E3709" t="s">
        <v>1</v>
      </c>
      <c r="F3709" t="s">
        <v>0</v>
      </c>
      <c r="G3709" t="str">
        <f>"2018-10-17 18:47:29"</f>
        <v>2018-10-17 18:47:29</v>
      </c>
    </row>
    <row r="3710" spans="1:7" x14ac:dyDescent="0.2">
      <c r="A3710" t="s">
        <v>1</v>
      </c>
      <c r="B3710" t="str">
        <f>"13538417428"</f>
        <v>13538417428</v>
      </c>
      <c r="C3710" t="s">
        <v>1</v>
      </c>
      <c r="D3710" t="s">
        <v>1</v>
      </c>
      <c r="E3710" t="s">
        <v>1</v>
      </c>
      <c r="F3710" t="s">
        <v>0</v>
      </c>
      <c r="G3710" t="str">
        <f>"2018-10-17 18:42:14"</f>
        <v>2018-10-17 18:42:14</v>
      </c>
    </row>
    <row r="3711" spans="1:7" x14ac:dyDescent="0.2">
      <c r="A3711" t="s">
        <v>1</v>
      </c>
      <c r="B3711" t="str">
        <f>"15334361446"</f>
        <v>15334361446</v>
      </c>
      <c r="C3711" t="s">
        <v>1</v>
      </c>
      <c r="D3711" t="s">
        <v>1</v>
      </c>
      <c r="E3711" t="s">
        <v>1</v>
      </c>
      <c r="F3711" t="s">
        <v>0</v>
      </c>
      <c r="G3711" t="str">
        <f>"2018-10-17 18:44:23"</f>
        <v>2018-10-17 18:44:23</v>
      </c>
    </row>
    <row r="3712" spans="1:7" x14ac:dyDescent="0.2">
      <c r="A3712" t="s">
        <v>1</v>
      </c>
      <c r="B3712" t="str">
        <f>"13106384265"</f>
        <v>13106384265</v>
      </c>
      <c r="C3712" t="s">
        <v>1</v>
      </c>
      <c r="D3712" t="s">
        <v>1</v>
      </c>
      <c r="E3712" t="s">
        <v>1</v>
      </c>
      <c r="F3712" t="s">
        <v>0</v>
      </c>
      <c r="G3712" t="str">
        <f>"2018-10-17 18:41:31"</f>
        <v>2018-10-17 18:41:31</v>
      </c>
    </row>
    <row r="3713" spans="1:7" x14ac:dyDescent="0.2">
      <c r="A3713" t="s">
        <v>5037</v>
      </c>
      <c r="B3713" t="str">
        <f>"18276933806"</f>
        <v>18276933806</v>
      </c>
      <c r="C3713" t="str">
        <f>"452231199008022020"</f>
        <v>452231199008022020</v>
      </c>
      <c r="D3713" t="s">
        <v>1</v>
      </c>
      <c r="E3713" t="s">
        <v>1</v>
      </c>
      <c r="F3713" t="s">
        <v>0</v>
      </c>
      <c r="G3713" t="str">
        <f>"2018-10-17 18:42:54"</f>
        <v>2018-10-17 18:42:54</v>
      </c>
    </row>
    <row r="3714" spans="1:7" x14ac:dyDescent="0.2">
      <c r="A3714" t="s">
        <v>5038</v>
      </c>
      <c r="B3714" t="str">
        <f>"17799720401"</f>
        <v>17799720401</v>
      </c>
      <c r="C3714" t="str">
        <f>"500237198912095312"</f>
        <v>500237198912095312</v>
      </c>
      <c r="D3714" t="s">
        <v>1</v>
      </c>
      <c r="E3714" t="s">
        <v>1</v>
      </c>
      <c r="F3714" t="s">
        <v>0</v>
      </c>
      <c r="G3714" t="str">
        <f>"2018-10-17 18:43:44"</f>
        <v>2018-10-17 18:43:44</v>
      </c>
    </row>
    <row r="3715" spans="1:7" x14ac:dyDescent="0.2">
      <c r="A3715" t="s">
        <v>1</v>
      </c>
      <c r="B3715" t="str">
        <f>"18388078096"</f>
        <v>18388078096</v>
      </c>
      <c r="C3715" t="s">
        <v>1</v>
      </c>
      <c r="D3715" t="s">
        <v>1</v>
      </c>
      <c r="E3715" t="s">
        <v>1</v>
      </c>
      <c r="F3715" t="s">
        <v>0</v>
      </c>
      <c r="G3715" t="str">
        <f>"2018-10-17 18:41:10"</f>
        <v>2018-10-17 18:41:10</v>
      </c>
    </row>
    <row r="3716" spans="1:7" x14ac:dyDescent="0.2">
      <c r="A3716" t="s">
        <v>5039</v>
      </c>
      <c r="B3716" t="str">
        <f>"15940083465"</f>
        <v>15940083465</v>
      </c>
      <c r="C3716" t="str">
        <f>"210181198805026822"</f>
        <v>210181198805026822</v>
      </c>
      <c r="D3716" t="s">
        <v>1</v>
      </c>
      <c r="E3716" t="s">
        <v>1</v>
      </c>
      <c r="F3716" t="s">
        <v>0</v>
      </c>
      <c r="G3716" t="str">
        <f>"2018-10-17 18:43:34"</f>
        <v>2018-10-17 18:43:34</v>
      </c>
    </row>
    <row r="3717" spans="1:7" x14ac:dyDescent="0.2">
      <c r="A3717" t="s">
        <v>5040</v>
      </c>
      <c r="B3717" t="str">
        <f>"13571827327"</f>
        <v>13571827327</v>
      </c>
      <c r="C3717" t="str">
        <f>"370302198609193658"</f>
        <v>370302198609193658</v>
      </c>
      <c r="D3717" t="s">
        <v>1</v>
      </c>
      <c r="E3717" t="s">
        <v>1</v>
      </c>
      <c r="F3717" t="s">
        <v>0</v>
      </c>
      <c r="G3717" t="str">
        <f>"2018-10-17 18:42:45"</f>
        <v>2018-10-17 18:42:45</v>
      </c>
    </row>
    <row r="3718" spans="1:7" x14ac:dyDescent="0.2">
      <c r="A3718" t="s">
        <v>1</v>
      </c>
      <c r="B3718" t="str">
        <f>"15586920703"</f>
        <v>15586920703</v>
      </c>
      <c r="C3718" t="s">
        <v>1</v>
      </c>
      <c r="D3718" t="s">
        <v>1</v>
      </c>
      <c r="E3718" t="s">
        <v>1</v>
      </c>
      <c r="F3718" t="s">
        <v>0</v>
      </c>
      <c r="G3718" t="str">
        <f>"2018-10-17 18:41:13"</f>
        <v>2018-10-17 18:41:13</v>
      </c>
    </row>
    <row r="3719" spans="1:7" x14ac:dyDescent="0.2">
      <c r="A3719" t="s">
        <v>1797</v>
      </c>
      <c r="B3719" t="str">
        <f>"15946662660"</f>
        <v>15946662660</v>
      </c>
      <c r="C3719" t="str">
        <f>"231026199802110630"</f>
        <v>231026199802110630</v>
      </c>
      <c r="D3719" t="s">
        <v>1</v>
      </c>
      <c r="E3719" t="s">
        <v>1</v>
      </c>
      <c r="F3719" t="s">
        <v>0</v>
      </c>
      <c r="G3719" t="str">
        <f>"2018-10-17 20:49:53"</f>
        <v>2018-10-17 20:49:53</v>
      </c>
    </row>
    <row r="3720" spans="1:7" x14ac:dyDescent="0.2">
      <c r="A3720" t="s">
        <v>5041</v>
      </c>
      <c r="B3720" t="str">
        <f>"18296009577"</f>
        <v>18296009577</v>
      </c>
      <c r="C3720" t="str">
        <f>"522321198310157328"</f>
        <v>522321198310157328</v>
      </c>
      <c r="D3720" t="s">
        <v>5042</v>
      </c>
      <c r="E3720" t="s">
        <v>5043</v>
      </c>
      <c r="F3720" t="s">
        <v>0</v>
      </c>
      <c r="G3720" t="str">
        <f>"2018-10-17 18:43:01"</f>
        <v>2018-10-17 18:43:01</v>
      </c>
    </row>
    <row r="3721" spans="1:7" x14ac:dyDescent="0.2">
      <c r="A3721" t="s">
        <v>1</v>
      </c>
      <c r="B3721" t="str">
        <f>"13354788986"</f>
        <v>13354788986</v>
      </c>
      <c r="C3721" t="s">
        <v>1</v>
      </c>
      <c r="D3721" t="s">
        <v>1</v>
      </c>
      <c r="E3721" t="s">
        <v>1</v>
      </c>
      <c r="F3721" t="s">
        <v>0</v>
      </c>
      <c r="G3721" t="str">
        <f>"2018-10-17 18:39:25"</f>
        <v>2018-10-17 18:39:25</v>
      </c>
    </row>
    <row r="3722" spans="1:7" x14ac:dyDescent="0.2">
      <c r="A3722" t="s">
        <v>5044</v>
      </c>
      <c r="B3722" t="str">
        <f>"15840182116"</f>
        <v>15840182116</v>
      </c>
      <c r="C3722" t="str">
        <f>"210123199105070102"</f>
        <v>210123199105070102</v>
      </c>
      <c r="D3722" t="s">
        <v>1</v>
      </c>
      <c r="E3722" t="s">
        <v>1</v>
      </c>
      <c r="F3722" t="s">
        <v>0</v>
      </c>
      <c r="G3722" t="str">
        <f>"2018-10-17 18:37:22"</f>
        <v>2018-10-17 18:37:22</v>
      </c>
    </row>
    <row r="3723" spans="1:7" x14ac:dyDescent="0.2">
      <c r="A3723" t="s">
        <v>5045</v>
      </c>
      <c r="B3723" t="str">
        <f>"15358011622"</f>
        <v>15358011622</v>
      </c>
      <c r="C3723" t="str">
        <f>"320203198008280627"</f>
        <v>320203198008280627</v>
      </c>
      <c r="D3723" t="s">
        <v>5046</v>
      </c>
      <c r="E3723" t="s">
        <v>5047</v>
      </c>
      <c r="F3723" t="s">
        <v>0</v>
      </c>
      <c r="G3723" t="str">
        <f>"2018-10-18 10:45:25"</f>
        <v>2018-10-18 10:45:25</v>
      </c>
    </row>
    <row r="3724" spans="1:7" x14ac:dyDescent="0.2">
      <c r="A3724" t="s">
        <v>5048</v>
      </c>
      <c r="B3724" t="str">
        <f>"18084990126"</f>
        <v>18084990126</v>
      </c>
      <c r="C3724" t="str">
        <f>"513021199508010038"</f>
        <v>513021199508010038</v>
      </c>
      <c r="D3724" t="s">
        <v>1</v>
      </c>
      <c r="E3724" t="s">
        <v>1</v>
      </c>
      <c r="F3724" t="s">
        <v>0</v>
      </c>
      <c r="G3724" t="str">
        <f>"2018-10-17 20:09:41"</f>
        <v>2018-10-17 20:09:41</v>
      </c>
    </row>
    <row r="3725" spans="1:7" x14ac:dyDescent="0.2">
      <c r="A3725" t="s">
        <v>5049</v>
      </c>
      <c r="B3725" t="str">
        <f>"15889765994"</f>
        <v>15889765994</v>
      </c>
      <c r="C3725" t="str">
        <f>"422828199012180012"</f>
        <v>422828199012180012</v>
      </c>
      <c r="D3725" t="s">
        <v>1</v>
      </c>
      <c r="E3725" t="s">
        <v>1</v>
      </c>
      <c r="F3725" t="s">
        <v>0</v>
      </c>
      <c r="G3725" t="str">
        <f>"2018-10-17 18:40:22"</f>
        <v>2018-10-17 18:40:22</v>
      </c>
    </row>
    <row r="3726" spans="1:7" x14ac:dyDescent="0.2">
      <c r="A3726" t="s">
        <v>5050</v>
      </c>
      <c r="B3726" t="str">
        <f>"13980066759"</f>
        <v>13980066759</v>
      </c>
      <c r="C3726" t="str">
        <f>"513922199706054256"</f>
        <v>513922199706054256</v>
      </c>
      <c r="D3726" t="s">
        <v>1</v>
      </c>
      <c r="E3726" t="s">
        <v>1</v>
      </c>
      <c r="F3726" t="s">
        <v>0</v>
      </c>
      <c r="G3726" t="str">
        <f>"2018-10-17 18:36:54"</f>
        <v>2018-10-17 18:36:54</v>
      </c>
    </row>
    <row r="3727" spans="1:7" x14ac:dyDescent="0.2">
      <c r="A3727" t="s">
        <v>376</v>
      </c>
      <c r="B3727" t="str">
        <f>"18361221239"</f>
        <v>18361221239</v>
      </c>
      <c r="C3727" t="str">
        <f>"622425199710198013"</f>
        <v>622425199710198013</v>
      </c>
      <c r="D3727" t="s">
        <v>1</v>
      </c>
      <c r="E3727" t="s">
        <v>1</v>
      </c>
      <c r="F3727" t="s">
        <v>0</v>
      </c>
      <c r="G3727" t="str">
        <f>"2018-10-17 18:34:52"</f>
        <v>2018-10-17 18:34:52</v>
      </c>
    </row>
    <row r="3728" spans="1:7" x14ac:dyDescent="0.2">
      <c r="A3728" t="s">
        <v>5051</v>
      </c>
      <c r="B3728" t="str">
        <f>"15235754323"</f>
        <v>15235754323</v>
      </c>
      <c r="C3728" t="str">
        <f>"142635198603231329"</f>
        <v>142635198603231329</v>
      </c>
      <c r="D3728" t="s">
        <v>1</v>
      </c>
      <c r="E3728" t="s">
        <v>1</v>
      </c>
      <c r="F3728" t="s">
        <v>0</v>
      </c>
      <c r="G3728" t="str">
        <f>"2018-10-31 20:55:00"</f>
        <v>2018-10-31 20:55:00</v>
      </c>
    </row>
    <row r="3729" spans="1:7" x14ac:dyDescent="0.2">
      <c r="A3729" t="s">
        <v>5052</v>
      </c>
      <c r="B3729" t="str">
        <f>"18193602189"</f>
        <v>18193602189</v>
      </c>
      <c r="C3729" t="str">
        <f>"622201198909163014"</f>
        <v>622201198909163014</v>
      </c>
      <c r="D3729" t="s">
        <v>1</v>
      </c>
      <c r="E3729" t="s">
        <v>1</v>
      </c>
      <c r="F3729" t="s">
        <v>0</v>
      </c>
      <c r="G3729" t="str">
        <f>"2018-10-17 18:37:12"</f>
        <v>2018-10-17 18:37:12</v>
      </c>
    </row>
    <row r="3730" spans="1:7" x14ac:dyDescent="0.2">
      <c r="A3730" t="s">
        <v>5053</v>
      </c>
      <c r="B3730" t="str">
        <f>"18677068401"</f>
        <v>18677068401</v>
      </c>
      <c r="C3730" t="str">
        <f>"450106198908080017"</f>
        <v>450106198908080017</v>
      </c>
      <c r="D3730" t="s">
        <v>1</v>
      </c>
      <c r="E3730" t="s">
        <v>1</v>
      </c>
      <c r="F3730" t="s">
        <v>0</v>
      </c>
      <c r="G3730" t="str">
        <f>"2018-10-17 18:33:50"</f>
        <v>2018-10-17 18:33:50</v>
      </c>
    </row>
    <row r="3731" spans="1:7" x14ac:dyDescent="0.2">
      <c r="A3731" t="s">
        <v>5054</v>
      </c>
      <c r="B3731" t="str">
        <f>"13509954647"</f>
        <v>13509954647</v>
      </c>
      <c r="C3731" t="str">
        <f>"430482199603073717"</f>
        <v>430482199603073717</v>
      </c>
      <c r="D3731" t="s">
        <v>1</v>
      </c>
      <c r="E3731" t="s">
        <v>1</v>
      </c>
      <c r="F3731" t="s">
        <v>0</v>
      </c>
      <c r="G3731" t="str">
        <f>"2018-10-17 18:32:05"</f>
        <v>2018-10-17 18:32:05</v>
      </c>
    </row>
    <row r="3732" spans="1:7" x14ac:dyDescent="0.2">
      <c r="A3732" t="s">
        <v>5055</v>
      </c>
      <c r="B3732" t="str">
        <f>"13413594104"</f>
        <v>13413594104</v>
      </c>
      <c r="C3732" t="str">
        <f>"441827200002044318"</f>
        <v>441827200002044318</v>
      </c>
      <c r="D3732" t="s">
        <v>1</v>
      </c>
      <c r="E3732" t="s">
        <v>1</v>
      </c>
      <c r="F3732" t="s">
        <v>0</v>
      </c>
      <c r="G3732" t="str">
        <f>"2018-10-17 18:32:13"</f>
        <v>2018-10-17 18:32:13</v>
      </c>
    </row>
    <row r="3733" spans="1:7" x14ac:dyDescent="0.2">
      <c r="A3733" t="s">
        <v>5056</v>
      </c>
      <c r="B3733" t="str">
        <f>"18890598585"</f>
        <v>18890598585</v>
      </c>
      <c r="C3733" t="str">
        <f>"432503198312225693"</f>
        <v>432503198312225693</v>
      </c>
      <c r="D3733" t="s">
        <v>1</v>
      </c>
      <c r="E3733" t="s">
        <v>1</v>
      </c>
      <c r="F3733" t="s">
        <v>0</v>
      </c>
      <c r="G3733" t="str">
        <f>"2018-10-17 18:31:35"</f>
        <v>2018-10-17 18:31:35</v>
      </c>
    </row>
    <row r="3734" spans="1:7" x14ac:dyDescent="0.2">
      <c r="A3734" t="s">
        <v>5057</v>
      </c>
      <c r="B3734" t="str">
        <f>"15267213456"</f>
        <v>15267213456</v>
      </c>
      <c r="C3734" t="str">
        <f>"350582198905128550"</f>
        <v>350582198905128550</v>
      </c>
      <c r="D3734" t="s">
        <v>1</v>
      </c>
      <c r="E3734" t="s">
        <v>1</v>
      </c>
      <c r="F3734" t="s">
        <v>0</v>
      </c>
      <c r="G3734" t="str">
        <f>"2018-10-17 18:28:53"</f>
        <v>2018-10-17 18:28:53</v>
      </c>
    </row>
    <row r="3735" spans="1:7" x14ac:dyDescent="0.2">
      <c r="A3735" t="s">
        <v>980</v>
      </c>
      <c r="B3735" t="str">
        <f>"15205096845"</f>
        <v>15205096845</v>
      </c>
      <c r="C3735" t="str">
        <f>"350182199202221540"</f>
        <v>350182199202221540</v>
      </c>
      <c r="D3735" t="s">
        <v>1</v>
      </c>
      <c r="E3735" t="s">
        <v>1</v>
      </c>
      <c r="F3735" t="s">
        <v>0</v>
      </c>
      <c r="G3735" t="str">
        <f>"2018-10-17 18:28:37"</f>
        <v>2018-10-17 18:28:37</v>
      </c>
    </row>
    <row r="3736" spans="1:7" x14ac:dyDescent="0.2">
      <c r="A3736" t="s">
        <v>5058</v>
      </c>
      <c r="B3736" t="str">
        <f>"18232976300"</f>
        <v>18232976300</v>
      </c>
      <c r="C3736" t="str">
        <f>"131121199506240246"</f>
        <v>131121199506240246</v>
      </c>
      <c r="D3736" t="s">
        <v>1</v>
      </c>
      <c r="E3736" t="s">
        <v>1</v>
      </c>
      <c r="F3736" t="s">
        <v>0</v>
      </c>
      <c r="G3736" t="str">
        <f>"2018-10-17 18:29:40"</f>
        <v>2018-10-17 18:29:40</v>
      </c>
    </row>
    <row r="3737" spans="1:7" x14ac:dyDescent="0.2">
      <c r="A3737" t="s">
        <v>5059</v>
      </c>
      <c r="B3737" t="str">
        <f>"13474526869"</f>
        <v>13474526869</v>
      </c>
      <c r="C3737" t="str">
        <f>"41302619970810511X"</f>
        <v>41302619970810511X</v>
      </c>
      <c r="D3737" t="s">
        <v>1</v>
      </c>
      <c r="E3737" t="s">
        <v>1</v>
      </c>
      <c r="F3737" t="s">
        <v>0</v>
      </c>
      <c r="G3737" t="str">
        <f>"2018-10-17 18:53:47"</f>
        <v>2018-10-17 18:53:47</v>
      </c>
    </row>
    <row r="3738" spans="1:7" x14ac:dyDescent="0.2">
      <c r="A3738" t="s">
        <v>5060</v>
      </c>
      <c r="B3738" t="str">
        <f>"18206989330"</f>
        <v>18206989330</v>
      </c>
      <c r="C3738" t="str">
        <f>"53292719930805073X"</f>
        <v>53292719930805073X</v>
      </c>
      <c r="D3738" t="s">
        <v>1</v>
      </c>
      <c r="E3738" t="s">
        <v>1</v>
      </c>
      <c r="F3738" t="s">
        <v>0</v>
      </c>
      <c r="G3738" t="str">
        <f>"2018-10-18 15:40:17"</f>
        <v>2018-10-18 15:40:17</v>
      </c>
    </row>
    <row r="3739" spans="1:7" x14ac:dyDescent="0.2">
      <c r="A3739" t="s">
        <v>1</v>
      </c>
      <c r="B3739" t="str">
        <f>"17621565334"</f>
        <v>17621565334</v>
      </c>
      <c r="C3739" t="s">
        <v>1</v>
      </c>
      <c r="D3739" t="s">
        <v>1</v>
      </c>
      <c r="E3739" t="s">
        <v>1</v>
      </c>
      <c r="F3739" t="s">
        <v>0</v>
      </c>
      <c r="G3739" t="str">
        <f>"2018-10-17 18:30:52"</f>
        <v>2018-10-17 18:30:52</v>
      </c>
    </row>
    <row r="3740" spans="1:7" x14ac:dyDescent="0.2">
      <c r="A3740" t="s">
        <v>5061</v>
      </c>
      <c r="B3740" t="str">
        <f>"13987942024"</f>
        <v>13987942024</v>
      </c>
      <c r="C3740" t="str">
        <f>"532701199602100625"</f>
        <v>532701199602100625</v>
      </c>
      <c r="D3740" t="s">
        <v>5062</v>
      </c>
      <c r="E3740" t="s">
        <v>5063</v>
      </c>
      <c r="F3740" t="s">
        <v>0</v>
      </c>
      <c r="G3740" t="str">
        <f>"2018-10-18 10:58:45"</f>
        <v>2018-10-18 10:58:45</v>
      </c>
    </row>
    <row r="3741" spans="1:7" x14ac:dyDescent="0.2">
      <c r="A3741" t="s">
        <v>1365</v>
      </c>
      <c r="B3741" t="str">
        <f>"15524845661"</f>
        <v>15524845661</v>
      </c>
      <c r="C3741" t="str">
        <f>"210282199212243115"</f>
        <v>210282199212243115</v>
      </c>
      <c r="D3741" t="s">
        <v>1</v>
      </c>
      <c r="E3741" t="s">
        <v>1</v>
      </c>
      <c r="F3741" t="s">
        <v>0</v>
      </c>
      <c r="G3741" t="str">
        <f>"2018-10-17 18:28:19"</f>
        <v>2018-10-17 18:28:19</v>
      </c>
    </row>
    <row r="3742" spans="1:7" x14ac:dyDescent="0.2">
      <c r="A3742" t="s">
        <v>5064</v>
      </c>
      <c r="B3742" t="str">
        <f>"13804277937"</f>
        <v>13804277937</v>
      </c>
      <c r="C3742" t="str">
        <f>"211021198909092233"</f>
        <v>211021198909092233</v>
      </c>
      <c r="D3742" t="s">
        <v>1</v>
      </c>
      <c r="E3742" t="s">
        <v>1</v>
      </c>
      <c r="F3742" t="s">
        <v>0</v>
      </c>
      <c r="G3742" t="str">
        <f>"2018-10-17 18:26:02"</f>
        <v>2018-10-17 18:26:02</v>
      </c>
    </row>
    <row r="3743" spans="1:7" x14ac:dyDescent="0.2">
      <c r="A3743" t="s">
        <v>5065</v>
      </c>
      <c r="B3743" t="str">
        <f>"13482986878"</f>
        <v>13482986878</v>
      </c>
      <c r="C3743" t="str">
        <f>"130323199701244210"</f>
        <v>130323199701244210</v>
      </c>
      <c r="D3743" t="s">
        <v>1</v>
      </c>
      <c r="E3743" t="s">
        <v>1</v>
      </c>
      <c r="F3743" t="s">
        <v>0</v>
      </c>
      <c r="G3743" t="str">
        <f>"2018-10-17 18:25:42"</f>
        <v>2018-10-17 18:25:42</v>
      </c>
    </row>
    <row r="3744" spans="1:7" x14ac:dyDescent="0.2">
      <c r="A3744" t="s">
        <v>5066</v>
      </c>
      <c r="B3744" t="str">
        <f>"15986932539"</f>
        <v>15986932539</v>
      </c>
      <c r="C3744" t="str">
        <f>"441224198312217630"</f>
        <v>441224198312217630</v>
      </c>
      <c r="D3744" t="s">
        <v>5067</v>
      </c>
      <c r="E3744" t="s">
        <v>5068</v>
      </c>
      <c r="F3744" t="s">
        <v>0</v>
      </c>
      <c r="G3744" t="str">
        <f>"2018-10-17 18:33:35"</f>
        <v>2018-10-17 18:33:35</v>
      </c>
    </row>
    <row r="3745" spans="1:7" x14ac:dyDescent="0.2">
      <c r="A3745" t="s">
        <v>1</v>
      </c>
      <c r="B3745" t="str">
        <f>"13930145134"</f>
        <v>13930145134</v>
      </c>
      <c r="C3745" t="s">
        <v>1</v>
      </c>
      <c r="D3745" t="s">
        <v>1</v>
      </c>
      <c r="E3745" t="s">
        <v>1</v>
      </c>
      <c r="F3745" t="s">
        <v>0</v>
      </c>
      <c r="G3745" t="str">
        <f>"2018-10-17 18:24:29"</f>
        <v>2018-10-17 18:24:29</v>
      </c>
    </row>
    <row r="3746" spans="1:7" x14ac:dyDescent="0.2">
      <c r="A3746" t="s">
        <v>5069</v>
      </c>
      <c r="B3746" t="str">
        <f>"13769908224"</f>
        <v>13769908224</v>
      </c>
      <c r="C3746" t="str">
        <f>"532722198701230027"</f>
        <v>532722198701230027</v>
      </c>
      <c r="D3746" t="s">
        <v>1</v>
      </c>
      <c r="E3746" t="s">
        <v>1</v>
      </c>
      <c r="F3746" t="s">
        <v>0</v>
      </c>
      <c r="G3746" t="str">
        <f>"2018-10-17 18:29:01"</f>
        <v>2018-10-17 18:29:01</v>
      </c>
    </row>
    <row r="3747" spans="1:7" x14ac:dyDescent="0.2">
      <c r="A3747" t="s">
        <v>63</v>
      </c>
      <c r="B3747" t="str">
        <f>"18839585555"</f>
        <v>18839585555</v>
      </c>
      <c r="C3747" t="str">
        <f>"411102198601010151"</f>
        <v>411102198601010151</v>
      </c>
      <c r="D3747" t="s">
        <v>1</v>
      </c>
      <c r="E3747" t="s">
        <v>1</v>
      </c>
      <c r="F3747" t="s">
        <v>0</v>
      </c>
      <c r="G3747" t="str">
        <f>"2018-10-17 18:25:26"</f>
        <v>2018-10-17 18:25:26</v>
      </c>
    </row>
    <row r="3748" spans="1:7" x14ac:dyDescent="0.2">
      <c r="A3748" t="s">
        <v>5070</v>
      </c>
      <c r="B3748" t="str">
        <f>"15808067926"</f>
        <v>15808067926</v>
      </c>
      <c r="C3748" t="str">
        <f>"510223197603292012"</f>
        <v>510223197603292012</v>
      </c>
      <c r="D3748" t="s">
        <v>5071</v>
      </c>
      <c r="E3748" t="s">
        <v>5072</v>
      </c>
      <c r="F3748" t="s">
        <v>0</v>
      </c>
      <c r="G3748" t="str">
        <f>"2018-10-17 18:28:01"</f>
        <v>2018-10-17 18:28:01</v>
      </c>
    </row>
    <row r="3749" spans="1:7" x14ac:dyDescent="0.2">
      <c r="A3749" t="s">
        <v>5073</v>
      </c>
      <c r="B3749" t="str">
        <f>"13013842097"</f>
        <v>13013842097</v>
      </c>
      <c r="C3749" t="str">
        <f>"612425199411150018"</f>
        <v>612425199411150018</v>
      </c>
      <c r="D3749" t="s">
        <v>1</v>
      </c>
      <c r="E3749" t="s">
        <v>1</v>
      </c>
      <c r="F3749" t="s">
        <v>0</v>
      </c>
      <c r="G3749" t="str">
        <f>"2018-10-17 18:26:37"</f>
        <v>2018-10-17 18:26:37</v>
      </c>
    </row>
    <row r="3750" spans="1:7" x14ac:dyDescent="0.2">
      <c r="A3750" t="s">
        <v>732</v>
      </c>
      <c r="B3750" t="str">
        <f>"15751189088"</f>
        <v>15751189088</v>
      </c>
      <c r="C3750" t="str">
        <f>"321323198605295917"</f>
        <v>321323198605295917</v>
      </c>
      <c r="D3750" t="s">
        <v>1</v>
      </c>
      <c r="E3750" t="s">
        <v>1</v>
      </c>
      <c r="F3750" t="s">
        <v>0</v>
      </c>
      <c r="G3750" t="str">
        <f>"2018-10-17 18:41:30"</f>
        <v>2018-10-17 18:41:30</v>
      </c>
    </row>
    <row r="3751" spans="1:7" x14ac:dyDescent="0.2">
      <c r="A3751" t="s">
        <v>5074</v>
      </c>
      <c r="B3751" t="str">
        <f>"15983773088"</f>
        <v>15983773088</v>
      </c>
      <c r="C3751" t="str">
        <f>"512902197312160368"</f>
        <v>512902197312160368</v>
      </c>
      <c r="D3751" t="s">
        <v>1</v>
      </c>
      <c r="E3751" t="s">
        <v>1</v>
      </c>
      <c r="F3751" t="s">
        <v>0</v>
      </c>
      <c r="G3751" t="str">
        <f>"2018-10-17 18:54:54"</f>
        <v>2018-10-17 18:54:54</v>
      </c>
    </row>
    <row r="3752" spans="1:7" x14ac:dyDescent="0.2">
      <c r="A3752" t="s">
        <v>5075</v>
      </c>
      <c r="B3752" t="str">
        <f>"18910128057"</f>
        <v>18910128057</v>
      </c>
      <c r="C3752" t="str">
        <f>"341102198010206410"</f>
        <v>341102198010206410</v>
      </c>
      <c r="D3752" t="s">
        <v>1</v>
      </c>
      <c r="E3752" t="s">
        <v>1</v>
      </c>
      <c r="F3752" t="s">
        <v>0</v>
      </c>
      <c r="G3752" t="str">
        <f>"2018-10-17 18:26:12"</f>
        <v>2018-10-17 18:26:12</v>
      </c>
    </row>
    <row r="3753" spans="1:7" x14ac:dyDescent="0.2">
      <c r="A3753" t="s">
        <v>1</v>
      </c>
      <c r="B3753" t="str">
        <f>"15833719378"</f>
        <v>15833719378</v>
      </c>
      <c r="C3753" t="s">
        <v>1</v>
      </c>
      <c r="D3753" t="s">
        <v>1</v>
      </c>
      <c r="E3753" t="s">
        <v>1</v>
      </c>
      <c r="F3753" t="s">
        <v>0</v>
      </c>
      <c r="G3753" t="str">
        <f>"2018-10-17 18:23:09"</f>
        <v>2018-10-17 18:23:09</v>
      </c>
    </row>
    <row r="3754" spans="1:7" x14ac:dyDescent="0.2">
      <c r="A3754" t="s">
        <v>1</v>
      </c>
      <c r="B3754" t="str">
        <f>"17788112736"</f>
        <v>17788112736</v>
      </c>
      <c r="C3754" t="s">
        <v>1</v>
      </c>
      <c r="D3754" t="s">
        <v>1</v>
      </c>
      <c r="E3754" t="s">
        <v>1</v>
      </c>
      <c r="F3754" t="s">
        <v>0</v>
      </c>
      <c r="G3754" t="str">
        <f>"2018-10-17 18:22:55"</f>
        <v>2018-10-17 18:22:55</v>
      </c>
    </row>
    <row r="3755" spans="1:7" x14ac:dyDescent="0.2">
      <c r="A3755" t="s">
        <v>1</v>
      </c>
      <c r="B3755" t="str">
        <f>"13804823041"</f>
        <v>13804823041</v>
      </c>
      <c r="C3755" t="s">
        <v>1</v>
      </c>
      <c r="D3755" t="s">
        <v>1</v>
      </c>
      <c r="E3755" t="s">
        <v>1</v>
      </c>
      <c r="F3755" t="s">
        <v>0</v>
      </c>
      <c r="G3755" t="str">
        <f>"2018-10-17 18:22:52"</f>
        <v>2018-10-17 18:22:52</v>
      </c>
    </row>
    <row r="3756" spans="1:7" x14ac:dyDescent="0.2">
      <c r="A3756" t="s">
        <v>327</v>
      </c>
      <c r="B3756" t="str">
        <f>"15803624695"</f>
        <v>15803624695</v>
      </c>
      <c r="C3756" t="str">
        <f>"512301197408242887"</f>
        <v>512301197408242887</v>
      </c>
      <c r="D3756" t="s">
        <v>1</v>
      </c>
      <c r="E3756" t="s">
        <v>1</v>
      </c>
      <c r="F3756" t="s">
        <v>0</v>
      </c>
      <c r="G3756" t="str">
        <f>"2018-10-17 18:22:50"</f>
        <v>2018-10-17 18:22:50</v>
      </c>
    </row>
    <row r="3757" spans="1:7" x14ac:dyDescent="0.2">
      <c r="A3757" t="s">
        <v>5076</v>
      </c>
      <c r="B3757" t="str">
        <f>"13708890270"</f>
        <v>13708890270</v>
      </c>
      <c r="C3757" t="str">
        <f>"511121197212299092"</f>
        <v>511121197212299092</v>
      </c>
      <c r="D3757" t="s">
        <v>1</v>
      </c>
      <c r="E3757" t="s">
        <v>1</v>
      </c>
      <c r="F3757" t="s">
        <v>0</v>
      </c>
      <c r="G3757" t="str">
        <f>"2018-10-18 10:10:46"</f>
        <v>2018-10-18 10:10:46</v>
      </c>
    </row>
    <row r="3758" spans="1:7" x14ac:dyDescent="0.2">
      <c r="A3758" t="s">
        <v>245</v>
      </c>
      <c r="B3758" t="str">
        <f>"15999681126"</f>
        <v>15999681126</v>
      </c>
      <c r="C3758" t="str">
        <f>"360521198909254836"</f>
        <v>360521198909254836</v>
      </c>
      <c r="D3758" t="s">
        <v>1</v>
      </c>
      <c r="E3758" t="s">
        <v>1</v>
      </c>
      <c r="F3758" t="s">
        <v>0</v>
      </c>
      <c r="G3758" t="str">
        <f>"2018-10-17 18:24:31"</f>
        <v>2018-10-17 18:24:31</v>
      </c>
    </row>
    <row r="3759" spans="1:7" x14ac:dyDescent="0.2">
      <c r="A3759" t="s">
        <v>1</v>
      </c>
      <c r="B3759" t="str">
        <f>"13042327096"</f>
        <v>13042327096</v>
      </c>
      <c r="C3759" t="s">
        <v>1</v>
      </c>
      <c r="D3759" t="s">
        <v>1</v>
      </c>
      <c r="E3759" t="s">
        <v>1</v>
      </c>
      <c r="F3759" t="s">
        <v>0</v>
      </c>
      <c r="G3759" t="str">
        <f>"2018-10-17 18:21:49"</f>
        <v>2018-10-17 18:21:49</v>
      </c>
    </row>
    <row r="3760" spans="1:7" x14ac:dyDescent="0.2">
      <c r="A3760" t="s">
        <v>1</v>
      </c>
      <c r="B3760" t="str">
        <f>"13368389683"</f>
        <v>13368389683</v>
      </c>
      <c r="C3760" t="s">
        <v>1</v>
      </c>
      <c r="D3760" t="s">
        <v>1</v>
      </c>
      <c r="E3760" t="s">
        <v>1</v>
      </c>
      <c r="F3760" t="s">
        <v>0</v>
      </c>
      <c r="G3760" t="str">
        <f>"2018-10-17 18:21:17"</f>
        <v>2018-10-17 18:21:17</v>
      </c>
    </row>
    <row r="3761" spans="1:7" x14ac:dyDescent="0.2">
      <c r="A3761" t="s">
        <v>1</v>
      </c>
      <c r="B3761" t="str">
        <f>"13551070944"</f>
        <v>13551070944</v>
      </c>
      <c r="C3761" t="s">
        <v>1</v>
      </c>
      <c r="D3761" t="s">
        <v>1</v>
      </c>
      <c r="E3761" t="s">
        <v>1</v>
      </c>
      <c r="F3761" t="s">
        <v>0</v>
      </c>
      <c r="G3761" t="str">
        <f>"2018-10-17 18:21:22"</f>
        <v>2018-10-17 18:21:22</v>
      </c>
    </row>
    <row r="3762" spans="1:7" x14ac:dyDescent="0.2">
      <c r="A3762" t="s">
        <v>1511</v>
      </c>
      <c r="B3762" t="str">
        <f>"13861649986"</f>
        <v>13861649986</v>
      </c>
      <c r="C3762" t="str">
        <f>"320219198503188538"</f>
        <v>320219198503188538</v>
      </c>
      <c r="D3762" t="s">
        <v>1</v>
      </c>
      <c r="E3762" t="s">
        <v>1</v>
      </c>
      <c r="F3762" t="s">
        <v>0</v>
      </c>
      <c r="G3762" t="str">
        <f>"2018-10-17 18:21:36"</f>
        <v>2018-10-17 18:21:36</v>
      </c>
    </row>
    <row r="3763" spans="1:7" x14ac:dyDescent="0.2">
      <c r="A3763" t="s">
        <v>5077</v>
      </c>
      <c r="B3763" t="str">
        <f>"13027066511"</f>
        <v>13027066511</v>
      </c>
      <c r="C3763" t="str">
        <f>"142401198612316231"</f>
        <v>142401198612316231</v>
      </c>
      <c r="D3763" t="s">
        <v>5078</v>
      </c>
      <c r="E3763" t="s">
        <v>5079</v>
      </c>
      <c r="F3763" t="s">
        <v>0</v>
      </c>
      <c r="G3763" t="str">
        <f>"2018-10-23 16:06:41"</f>
        <v>2018-10-23 16:06:41</v>
      </c>
    </row>
    <row r="3764" spans="1:7" x14ac:dyDescent="0.2">
      <c r="A3764" t="s">
        <v>1565</v>
      </c>
      <c r="B3764" t="str">
        <f>"18698561167"</f>
        <v>18698561167</v>
      </c>
      <c r="C3764" t="str">
        <f>"410482198910135561"</f>
        <v>410482198910135561</v>
      </c>
      <c r="D3764" t="s">
        <v>1</v>
      </c>
      <c r="E3764" t="s">
        <v>1</v>
      </c>
      <c r="F3764" t="s">
        <v>0</v>
      </c>
      <c r="G3764" t="str">
        <f>"2018-10-17 18:20:04"</f>
        <v>2018-10-17 18:20:04</v>
      </c>
    </row>
    <row r="3765" spans="1:7" x14ac:dyDescent="0.2">
      <c r="A3765" t="s">
        <v>1</v>
      </c>
      <c r="B3765" t="str">
        <f>"15675295165"</f>
        <v>15675295165</v>
      </c>
      <c r="C3765" t="s">
        <v>1</v>
      </c>
      <c r="D3765" t="s">
        <v>1</v>
      </c>
      <c r="E3765" t="s">
        <v>1</v>
      </c>
      <c r="F3765" t="s">
        <v>0</v>
      </c>
      <c r="G3765" t="str">
        <f>"2018-10-17 18:21:47"</f>
        <v>2018-10-17 18:21:47</v>
      </c>
    </row>
    <row r="3766" spans="1:7" x14ac:dyDescent="0.2">
      <c r="A3766" t="s">
        <v>5080</v>
      </c>
      <c r="B3766" t="str">
        <f>"18733331664"</f>
        <v>18733331664</v>
      </c>
      <c r="C3766" t="str">
        <f>"130229199009031035"</f>
        <v>130229199009031035</v>
      </c>
      <c r="D3766" t="s">
        <v>1</v>
      </c>
      <c r="E3766" t="s">
        <v>1</v>
      </c>
      <c r="F3766" t="s">
        <v>0</v>
      </c>
      <c r="G3766" t="str">
        <f>"2018-10-17 18:17:52"</f>
        <v>2018-10-17 18:17:52</v>
      </c>
    </row>
    <row r="3767" spans="1:7" x14ac:dyDescent="0.2">
      <c r="A3767" t="s">
        <v>716</v>
      </c>
      <c r="B3767" t="str">
        <f>"15708436067"</f>
        <v>15708436067</v>
      </c>
      <c r="C3767" t="str">
        <f>"510921199509025684"</f>
        <v>510921199509025684</v>
      </c>
      <c r="D3767" t="s">
        <v>1</v>
      </c>
      <c r="E3767" t="s">
        <v>1</v>
      </c>
      <c r="F3767" t="s">
        <v>0</v>
      </c>
      <c r="G3767" t="str">
        <f>"2018-10-17 18:17:28"</f>
        <v>2018-10-17 18:17:28</v>
      </c>
    </row>
    <row r="3768" spans="1:7" x14ac:dyDescent="0.2">
      <c r="A3768" t="s">
        <v>5081</v>
      </c>
      <c r="B3768" t="str">
        <f>"17722608820"</f>
        <v>17722608820</v>
      </c>
      <c r="C3768" t="str">
        <f>"410422198808108114"</f>
        <v>410422198808108114</v>
      </c>
      <c r="D3768" t="s">
        <v>1</v>
      </c>
      <c r="E3768" t="s">
        <v>1</v>
      </c>
      <c r="F3768" t="s">
        <v>0</v>
      </c>
      <c r="G3768" t="str">
        <f>"2018-11-03 13:41:51"</f>
        <v>2018-11-03 13:41:51</v>
      </c>
    </row>
    <row r="3769" spans="1:7" x14ac:dyDescent="0.2">
      <c r="A3769" t="s">
        <v>426</v>
      </c>
      <c r="B3769" t="str">
        <f>"15140255345"</f>
        <v>15140255345</v>
      </c>
      <c r="C3769" t="str">
        <f>"210122198910302112"</f>
        <v>210122198910302112</v>
      </c>
      <c r="D3769" t="s">
        <v>1</v>
      </c>
      <c r="E3769" t="s">
        <v>1</v>
      </c>
      <c r="F3769" t="s">
        <v>0</v>
      </c>
      <c r="G3769" t="str">
        <f>"2018-10-30 11:00:47"</f>
        <v>2018-10-30 11:00:47</v>
      </c>
    </row>
    <row r="3770" spans="1:7" x14ac:dyDescent="0.2">
      <c r="A3770" t="s">
        <v>5082</v>
      </c>
      <c r="B3770" t="str">
        <f>"18623829228"</f>
        <v>18623829228</v>
      </c>
      <c r="C3770" t="str">
        <f>"410521197304100017"</f>
        <v>410521197304100017</v>
      </c>
      <c r="D3770" t="s">
        <v>1</v>
      </c>
      <c r="E3770" t="s">
        <v>1</v>
      </c>
      <c r="F3770" t="s">
        <v>0</v>
      </c>
      <c r="G3770" t="str">
        <f>"2018-10-17 18:15:09"</f>
        <v>2018-10-17 18:15:09</v>
      </c>
    </row>
    <row r="3771" spans="1:7" x14ac:dyDescent="0.2">
      <c r="A3771" t="s">
        <v>5083</v>
      </c>
      <c r="B3771" t="str">
        <f>"15059860059"</f>
        <v>15059860059</v>
      </c>
      <c r="C3771" t="str">
        <f>"513522198304232025"</f>
        <v>513522198304232025</v>
      </c>
      <c r="D3771" t="s">
        <v>1</v>
      </c>
      <c r="E3771" t="s">
        <v>1</v>
      </c>
      <c r="F3771" t="s">
        <v>0</v>
      </c>
      <c r="G3771" t="str">
        <f>"2018-10-17 18:15:30"</f>
        <v>2018-10-17 18:15:30</v>
      </c>
    </row>
    <row r="3772" spans="1:7" x14ac:dyDescent="0.2">
      <c r="A3772" t="s">
        <v>272</v>
      </c>
      <c r="B3772" t="str">
        <f>"13330803779"</f>
        <v>13330803779</v>
      </c>
      <c r="C3772" t="str">
        <f>"510322199409088139"</f>
        <v>510322199409088139</v>
      </c>
      <c r="D3772" t="s">
        <v>5084</v>
      </c>
      <c r="E3772" t="s">
        <v>5085</v>
      </c>
      <c r="F3772" t="s">
        <v>0</v>
      </c>
      <c r="G3772" t="str">
        <f>"2018-10-17 18:14:07"</f>
        <v>2018-10-17 18:14:07</v>
      </c>
    </row>
    <row r="3773" spans="1:7" x14ac:dyDescent="0.2">
      <c r="A3773" t="s">
        <v>1</v>
      </c>
      <c r="B3773" t="str">
        <f>"15632236415"</f>
        <v>15632236415</v>
      </c>
      <c r="C3773" t="s">
        <v>1</v>
      </c>
      <c r="D3773" t="s">
        <v>1</v>
      </c>
      <c r="E3773" t="s">
        <v>1</v>
      </c>
      <c r="F3773" t="s">
        <v>0</v>
      </c>
      <c r="G3773" t="str">
        <f>"2018-10-17 18:10:42"</f>
        <v>2018-10-17 18:10:42</v>
      </c>
    </row>
    <row r="3774" spans="1:7" x14ac:dyDescent="0.2">
      <c r="A3774" t="s">
        <v>5086</v>
      </c>
      <c r="B3774" t="str">
        <f>"18074696110"</f>
        <v>18074696110</v>
      </c>
      <c r="C3774" t="str">
        <f>"431129198909036626"</f>
        <v>431129198909036626</v>
      </c>
      <c r="D3774" t="s">
        <v>1</v>
      </c>
      <c r="E3774" t="s">
        <v>1</v>
      </c>
      <c r="F3774" t="s">
        <v>0</v>
      </c>
      <c r="G3774" t="str">
        <f>"2018-10-17 18:15:17"</f>
        <v>2018-10-17 18:15:17</v>
      </c>
    </row>
    <row r="3775" spans="1:7" x14ac:dyDescent="0.2">
      <c r="A3775" t="s">
        <v>328</v>
      </c>
      <c r="B3775" t="str">
        <f>"18240458822"</f>
        <v>18240458822</v>
      </c>
      <c r="C3775" t="str">
        <f>"232321199108027517"</f>
        <v>232321199108027517</v>
      </c>
      <c r="D3775" t="s">
        <v>1</v>
      </c>
      <c r="E3775" t="s">
        <v>1</v>
      </c>
      <c r="F3775" t="s">
        <v>0</v>
      </c>
      <c r="G3775" t="str">
        <f>"2018-10-17 18:11:01"</f>
        <v>2018-10-17 18:11:01</v>
      </c>
    </row>
    <row r="3776" spans="1:7" x14ac:dyDescent="0.2">
      <c r="A3776" t="s">
        <v>369</v>
      </c>
      <c r="B3776" t="str">
        <f>"13530912010"</f>
        <v>13530912010</v>
      </c>
      <c r="C3776" t="str">
        <f>"43028119901226723X"</f>
        <v>43028119901226723X</v>
      </c>
      <c r="D3776" t="s">
        <v>1</v>
      </c>
      <c r="E3776" t="s">
        <v>1</v>
      </c>
      <c r="F3776" t="s">
        <v>0</v>
      </c>
      <c r="G3776" t="str">
        <f>"2018-10-17 18:10:44"</f>
        <v>2018-10-17 18:10:44</v>
      </c>
    </row>
    <row r="3777" spans="1:7" x14ac:dyDescent="0.2">
      <c r="A3777" t="s">
        <v>1</v>
      </c>
      <c r="B3777" t="str">
        <f>"13735830953"</f>
        <v>13735830953</v>
      </c>
      <c r="C3777" t="s">
        <v>1</v>
      </c>
      <c r="D3777" t="s">
        <v>1</v>
      </c>
      <c r="E3777" t="s">
        <v>1</v>
      </c>
      <c r="F3777" t="s">
        <v>0</v>
      </c>
      <c r="G3777" t="str">
        <f>"2018-10-17 18:09:07"</f>
        <v>2018-10-17 18:09:07</v>
      </c>
    </row>
    <row r="3778" spans="1:7" x14ac:dyDescent="0.2">
      <c r="A3778" t="s">
        <v>5087</v>
      </c>
      <c r="B3778" t="str">
        <f>"18591920838"</f>
        <v>18591920838</v>
      </c>
      <c r="C3778" t="str">
        <f>"610528199112088915"</f>
        <v>610528199112088915</v>
      </c>
      <c r="D3778" t="s">
        <v>1</v>
      </c>
      <c r="E3778" t="s">
        <v>1</v>
      </c>
      <c r="F3778" t="s">
        <v>0</v>
      </c>
      <c r="G3778" t="str">
        <f>"2018-10-17 18:15:49"</f>
        <v>2018-10-17 18:15:49</v>
      </c>
    </row>
    <row r="3779" spans="1:7" x14ac:dyDescent="0.2">
      <c r="A3779" t="s">
        <v>1</v>
      </c>
      <c r="B3779" t="str">
        <f>"13913577552"</f>
        <v>13913577552</v>
      </c>
      <c r="C3779" t="s">
        <v>1</v>
      </c>
      <c r="D3779" t="s">
        <v>1</v>
      </c>
      <c r="E3779" t="s">
        <v>1</v>
      </c>
      <c r="F3779" t="s">
        <v>0</v>
      </c>
      <c r="G3779" t="str">
        <f>"2018-10-17 18:10:09"</f>
        <v>2018-10-17 18:10:09</v>
      </c>
    </row>
    <row r="3780" spans="1:7" x14ac:dyDescent="0.2">
      <c r="A3780" t="s">
        <v>5088</v>
      </c>
      <c r="B3780" t="str">
        <f>"18070455002"</f>
        <v>18070455002</v>
      </c>
      <c r="C3780" t="str">
        <f>"362204199308136133"</f>
        <v>362204199308136133</v>
      </c>
      <c r="D3780" t="s">
        <v>1</v>
      </c>
      <c r="E3780" t="s">
        <v>1</v>
      </c>
      <c r="F3780" t="s">
        <v>0</v>
      </c>
      <c r="G3780" t="str">
        <f>"2018-10-17 18:17:09"</f>
        <v>2018-10-17 18:17:09</v>
      </c>
    </row>
    <row r="3781" spans="1:7" x14ac:dyDescent="0.2">
      <c r="A3781" t="s">
        <v>1</v>
      </c>
      <c r="B3781" t="str">
        <f>"13870545386"</f>
        <v>13870545386</v>
      </c>
      <c r="C3781" t="s">
        <v>1</v>
      </c>
      <c r="D3781" t="s">
        <v>1</v>
      </c>
      <c r="E3781" t="s">
        <v>1</v>
      </c>
      <c r="F3781" t="s">
        <v>0</v>
      </c>
      <c r="G3781" t="str">
        <f>"2018-10-17 18:09:05"</f>
        <v>2018-10-17 18:09:05</v>
      </c>
    </row>
    <row r="3782" spans="1:7" x14ac:dyDescent="0.2">
      <c r="A3782" t="s">
        <v>5089</v>
      </c>
      <c r="B3782" t="str">
        <f>"18355533815"</f>
        <v>18355533815</v>
      </c>
      <c r="C3782" t="str">
        <f>"342625199512140738"</f>
        <v>342625199512140738</v>
      </c>
      <c r="D3782" t="s">
        <v>1</v>
      </c>
      <c r="E3782" t="s">
        <v>1</v>
      </c>
      <c r="F3782" t="s">
        <v>0</v>
      </c>
      <c r="G3782" t="str">
        <f>"2018-10-17 18:14:49"</f>
        <v>2018-10-17 18:14:49</v>
      </c>
    </row>
    <row r="3783" spans="1:7" x14ac:dyDescent="0.2">
      <c r="A3783" t="s">
        <v>1</v>
      </c>
      <c r="B3783" t="str">
        <f>"13856155320"</f>
        <v>13856155320</v>
      </c>
      <c r="C3783" t="s">
        <v>1</v>
      </c>
      <c r="D3783" t="s">
        <v>1</v>
      </c>
      <c r="E3783" t="s">
        <v>1</v>
      </c>
      <c r="F3783" t="s">
        <v>0</v>
      </c>
      <c r="G3783" t="str">
        <f>"2018-10-17 18:05:30"</f>
        <v>2018-10-17 18:05:30</v>
      </c>
    </row>
    <row r="3784" spans="1:7" x14ac:dyDescent="0.2">
      <c r="A3784" t="s">
        <v>5090</v>
      </c>
      <c r="B3784" t="str">
        <f>"13529269761"</f>
        <v>13529269761</v>
      </c>
      <c r="C3784" t="str">
        <f>"530102199512041520"</f>
        <v>530102199512041520</v>
      </c>
      <c r="D3784" t="s">
        <v>1</v>
      </c>
      <c r="E3784" t="s">
        <v>1</v>
      </c>
      <c r="F3784" t="s">
        <v>0</v>
      </c>
      <c r="G3784" t="str">
        <f>"2018-10-17 18:06:44"</f>
        <v>2018-10-17 18:06:44</v>
      </c>
    </row>
    <row r="3785" spans="1:7" x14ac:dyDescent="0.2">
      <c r="A3785" t="s">
        <v>1</v>
      </c>
      <c r="B3785" t="str">
        <f>"13217799448"</f>
        <v>13217799448</v>
      </c>
      <c r="C3785" t="s">
        <v>1</v>
      </c>
      <c r="D3785" t="s">
        <v>1</v>
      </c>
      <c r="E3785" t="s">
        <v>1</v>
      </c>
      <c r="F3785" t="s">
        <v>0</v>
      </c>
      <c r="G3785" t="str">
        <f>"2018-10-17 18:05:11"</f>
        <v>2018-10-17 18:05:11</v>
      </c>
    </row>
    <row r="3786" spans="1:7" x14ac:dyDescent="0.2">
      <c r="A3786" t="s">
        <v>5091</v>
      </c>
      <c r="B3786" t="str">
        <f>"17681274913"</f>
        <v>17681274913</v>
      </c>
      <c r="C3786" t="str">
        <f>"340825199812164335"</f>
        <v>340825199812164335</v>
      </c>
      <c r="D3786" t="s">
        <v>5092</v>
      </c>
      <c r="E3786" t="s">
        <v>5093</v>
      </c>
      <c r="F3786" t="s">
        <v>0</v>
      </c>
      <c r="G3786" t="str">
        <f>"2018-10-19 09:59:22"</f>
        <v>2018-10-19 09:59:22</v>
      </c>
    </row>
    <row r="3787" spans="1:7" x14ac:dyDescent="0.2">
      <c r="A3787" t="s">
        <v>1</v>
      </c>
      <c r="B3787" t="str">
        <f>"15676132124"</f>
        <v>15676132124</v>
      </c>
      <c r="C3787" t="s">
        <v>1</v>
      </c>
      <c r="D3787" t="s">
        <v>1</v>
      </c>
      <c r="E3787" t="s">
        <v>1</v>
      </c>
      <c r="F3787" t="s">
        <v>0</v>
      </c>
      <c r="G3787" t="str">
        <f>"2018-10-17 18:04:33"</f>
        <v>2018-10-17 18:04:33</v>
      </c>
    </row>
    <row r="3788" spans="1:7" x14ac:dyDescent="0.2">
      <c r="A3788" t="s">
        <v>5094</v>
      </c>
      <c r="B3788" t="str">
        <f>"18202663278"</f>
        <v>18202663278</v>
      </c>
      <c r="C3788" t="str">
        <f>"120221199305250715"</f>
        <v>120221199305250715</v>
      </c>
      <c r="D3788" t="s">
        <v>1</v>
      </c>
      <c r="E3788" t="s">
        <v>1</v>
      </c>
      <c r="F3788" t="s">
        <v>0</v>
      </c>
      <c r="G3788" t="str">
        <f>"2018-10-17 18:06:17"</f>
        <v>2018-10-17 18:06:17</v>
      </c>
    </row>
    <row r="3789" spans="1:7" x14ac:dyDescent="0.2">
      <c r="A3789" t="s">
        <v>1</v>
      </c>
      <c r="B3789" t="str">
        <f>"15559213064"</f>
        <v>15559213064</v>
      </c>
      <c r="C3789" t="s">
        <v>1</v>
      </c>
      <c r="D3789" t="s">
        <v>1</v>
      </c>
      <c r="E3789" t="s">
        <v>1</v>
      </c>
      <c r="F3789" t="s">
        <v>0</v>
      </c>
      <c r="G3789" t="str">
        <f>"2018-10-17 18:07:44"</f>
        <v>2018-10-17 18:07:44</v>
      </c>
    </row>
    <row r="3790" spans="1:7" x14ac:dyDescent="0.2">
      <c r="A3790" t="s">
        <v>652</v>
      </c>
      <c r="B3790" t="str">
        <f>"13879222151"</f>
        <v>13879222151</v>
      </c>
      <c r="C3790" t="str">
        <f>"360429198909111232"</f>
        <v>360429198909111232</v>
      </c>
      <c r="D3790" t="s">
        <v>1</v>
      </c>
      <c r="E3790" t="s">
        <v>1</v>
      </c>
      <c r="F3790" t="s">
        <v>0</v>
      </c>
      <c r="G3790" t="str">
        <f>"2018-10-18 08:01:49"</f>
        <v>2018-10-18 08:01:49</v>
      </c>
    </row>
    <row r="3791" spans="1:7" x14ac:dyDescent="0.2">
      <c r="A3791" t="s">
        <v>5095</v>
      </c>
      <c r="B3791" t="str">
        <f>"13954940526"</f>
        <v>13954940526</v>
      </c>
      <c r="C3791" t="str">
        <f>"130623198905264418"</f>
        <v>130623198905264418</v>
      </c>
      <c r="D3791" t="s">
        <v>1</v>
      </c>
      <c r="E3791" t="s">
        <v>1</v>
      </c>
      <c r="F3791" t="s">
        <v>0</v>
      </c>
      <c r="G3791" t="str">
        <f>"2018-10-19 07:52:59"</f>
        <v>2018-10-19 07:52:59</v>
      </c>
    </row>
    <row r="3792" spans="1:7" x14ac:dyDescent="0.2">
      <c r="A3792" t="s">
        <v>1</v>
      </c>
      <c r="B3792" t="str">
        <f>"13523621136"</f>
        <v>13523621136</v>
      </c>
      <c r="C3792" t="s">
        <v>1</v>
      </c>
      <c r="D3792" t="s">
        <v>1</v>
      </c>
      <c r="E3792" t="s">
        <v>1</v>
      </c>
      <c r="F3792" t="s">
        <v>0</v>
      </c>
      <c r="G3792" t="str">
        <f>"2018-10-17 18:02:38"</f>
        <v>2018-10-17 18:02:38</v>
      </c>
    </row>
    <row r="3793" spans="1:7" x14ac:dyDescent="0.2">
      <c r="A3793" t="s">
        <v>5096</v>
      </c>
      <c r="B3793" t="str">
        <f>"13880886724"</f>
        <v>13880886724</v>
      </c>
      <c r="C3793" t="str">
        <f>"511602198503167906"</f>
        <v>511602198503167906</v>
      </c>
      <c r="D3793" t="s">
        <v>1</v>
      </c>
      <c r="E3793" t="s">
        <v>1</v>
      </c>
      <c r="F3793" t="s">
        <v>0</v>
      </c>
      <c r="G3793" t="str">
        <f>"2018-10-17 18:03:31"</f>
        <v>2018-10-17 18:03:31</v>
      </c>
    </row>
    <row r="3794" spans="1:7" x14ac:dyDescent="0.2">
      <c r="A3794" t="s">
        <v>1060</v>
      </c>
      <c r="B3794" t="str">
        <f>"13932518520"</f>
        <v>13932518520</v>
      </c>
      <c r="C3794" t="str">
        <f>"130282199203134523"</f>
        <v>130282199203134523</v>
      </c>
      <c r="D3794" t="s">
        <v>1</v>
      </c>
      <c r="E3794" t="s">
        <v>1</v>
      </c>
      <c r="F3794" t="s">
        <v>0</v>
      </c>
      <c r="G3794" t="str">
        <f>"2018-10-17 20:14:06"</f>
        <v>2018-10-17 20:14:06</v>
      </c>
    </row>
    <row r="3795" spans="1:7" x14ac:dyDescent="0.2">
      <c r="A3795" t="s">
        <v>1419</v>
      </c>
      <c r="B3795" t="str">
        <f>"18718307334"</f>
        <v>18718307334</v>
      </c>
      <c r="C3795" t="str">
        <f>"44022119950502272X"</f>
        <v>44022119950502272X</v>
      </c>
      <c r="D3795" t="s">
        <v>1</v>
      </c>
      <c r="E3795" t="s">
        <v>1</v>
      </c>
      <c r="F3795" t="s">
        <v>0</v>
      </c>
      <c r="G3795" t="str">
        <f>"2018-10-17 18:08:18"</f>
        <v>2018-10-17 18:08:18</v>
      </c>
    </row>
    <row r="3796" spans="1:7" x14ac:dyDescent="0.2">
      <c r="A3796" t="s">
        <v>1101</v>
      </c>
      <c r="B3796" t="str">
        <f>"18010807145"</f>
        <v>18010807145</v>
      </c>
      <c r="C3796" t="str">
        <f>"341002199603311055"</f>
        <v>341002199603311055</v>
      </c>
      <c r="D3796" t="s">
        <v>1</v>
      </c>
      <c r="E3796" t="s">
        <v>1</v>
      </c>
      <c r="F3796" t="s">
        <v>0</v>
      </c>
      <c r="G3796" t="str">
        <f>"2018-10-18 16:50:15"</f>
        <v>2018-10-18 16:50:15</v>
      </c>
    </row>
    <row r="3797" spans="1:7" x14ac:dyDescent="0.2">
      <c r="A3797" t="s">
        <v>5097</v>
      </c>
      <c r="B3797" t="str">
        <f>"13306810680"</f>
        <v>13306810680</v>
      </c>
      <c r="C3797" t="str">
        <f>"330724198602131318"</f>
        <v>330724198602131318</v>
      </c>
      <c r="D3797" t="s">
        <v>1</v>
      </c>
      <c r="E3797" t="s">
        <v>1</v>
      </c>
      <c r="F3797" t="s">
        <v>0</v>
      </c>
      <c r="G3797" t="str">
        <f>"2018-10-18 18:48:22"</f>
        <v>2018-10-18 18:48:22</v>
      </c>
    </row>
    <row r="3798" spans="1:7" x14ac:dyDescent="0.2">
      <c r="A3798" t="s">
        <v>1</v>
      </c>
      <c r="B3798" t="str">
        <f>"15244632301"</f>
        <v>15244632301</v>
      </c>
      <c r="C3798" t="s">
        <v>1</v>
      </c>
      <c r="D3798" t="s">
        <v>1</v>
      </c>
      <c r="E3798" t="s">
        <v>1</v>
      </c>
      <c r="F3798" t="s">
        <v>0</v>
      </c>
      <c r="G3798" t="str">
        <f>"2018-10-17 17:58:45"</f>
        <v>2018-10-17 17:58:45</v>
      </c>
    </row>
    <row r="3799" spans="1:7" x14ac:dyDescent="0.2">
      <c r="A3799" t="s">
        <v>5098</v>
      </c>
      <c r="B3799" t="str">
        <f>"18388320780"</f>
        <v>18388320780</v>
      </c>
      <c r="C3799" t="str">
        <f>"220222196810017419"</f>
        <v>220222196810017419</v>
      </c>
      <c r="D3799" t="s">
        <v>1</v>
      </c>
      <c r="E3799" t="s">
        <v>1</v>
      </c>
      <c r="F3799" t="s">
        <v>0</v>
      </c>
      <c r="G3799" t="str">
        <f>"2018-10-17 18:22:37"</f>
        <v>2018-10-17 18:22:37</v>
      </c>
    </row>
    <row r="3800" spans="1:7" x14ac:dyDescent="0.2">
      <c r="A3800" t="s">
        <v>1</v>
      </c>
      <c r="B3800" t="str">
        <f>"13888252990"</f>
        <v>13888252990</v>
      </c>
      <c r="C3800" t="s">
        <v>1</v>
      </c>
      <c r="D3800" t="s">
        <v>1</v>
      </c>
      <c r="E3800" t="s">
        <v>1</v>
      </c>
      <c r="F3800" t="s">
        <v>0</v>
      </c>
      <c r="G3800" t="str">
        <f>"2018-10-17 17:59:03"</f>
        <v>2018-10-17 17:59:03</v>
      </c>
    </row>
    <row r="3801" spans="1:7" x14ac:dyDescent="0.2">
      <c r="A3801" t="s">
        <v>5099</v>
      </c>
      <c r="B3801" t="str">
        <f>"14795830190"</f>
        <v>14795830190</v>
      </c>
      <c r="C3801" t="str">
        <f>"452130197905190015"</f>
        <v>452130197905190015</v>
      </c>
      <c r="D3801" t="s">
        <v>1</v>
      </c>
      <c r="E3801" t="s">
        <v>1</v>
      </c>
      <c r="F3801" t="s">
        <v>0</v>
      </c>
      <c r="G3801" t="str">
        <f>"2018-10-17 18:03:14"</f>
        <v>2018-10-17 18:03:14</v>
      </c>
    </row>
    <row r="3802" spans="1:7" x14ac:dyDescent="0.2">
      <c r="A3802" t="s">
        <v>1</v>
      </c>
      <c r="B3802" t="str">
        <f>"13235859140"</f>
        <v>13235859140</v>
      </c>
      <c r="C3802" t="s">
        <v>1</v>
      </c>
      <c r="D3802" t="s">
        <v>1</v>
      </c>
      <c r="E3802" t="s">
        <v>1</v>
      </c>
      <c r="F3802" t="s">
        <v>0</v>
      </c>
      <c r="G3802" t="str">
        <f>"2018-10-17 17:56:33"</f>
        <v>2018-10-17 17:56:33</v>
      </c>
    </row>
    <row r="3803" spans="1:7" x14ac:dyDescent="0.2">
      <c r="A3803" t="s">
        <v>1</v>
      </c>
      <c r="B3803" t="str">
        <f>"18827431323"</f>
        <v>18827431323</v>
      </c>
      <c r="C3803" t="s">
        <v>1</v>
      </c>
      <c r="D3803" t="s">
        <v>1</v>
      </c>
      <c r="E3803" t="s">
        <v>1</v>
      </c>
      <c r="F3803" t="s">
        <v>0</v>
      </c>
      <c r="G3803" t="str">
        <f>"2018-10-17 17:56:13"</f>
        <v>2018-10-17 17:56:13</v>
      </c>
    </row>
    <row r="3804" spans="1:7" x14ac:dyDescent="0.2">
      <c r="A3804" t="s">
        <v>5100</v>
      </c>
      <c r="B3804" t="str">
        <f>"15029124932"</f>
        <v>15029124932</v>
      </c>
      <c r="C3804" t="str">
        <f>"612727199009276754"</f>
        <v>612727199009276754</v>
      </c>
      <c r="D3804" t="s">
        <v>1</v>
      </c>
      <c r="E3804" t="s">
        <v>1</v>
      </c>
      <c r="F3804" t="s">
        <v>0</v>
      </c>
      <c r="G3804" t="str">
        <f>"2018-10-17 17:57:45"</f>
        <v>2018-10-17 17:57:45</v>
      </c>
    </row>
    <row r="3805" spans="1:7" x14ac:dyDescent="0.2">
      <c r="A3805" t="s">
        <v>5101</v>
      </c>
      <c r="B3805" t="str">
        <f>"17561661810"</f>
        <v>17561661810</v>
      </c>
      <c r="C3805" t="str">
        <f>"371326199911253152"</f>
        <v>371326199911253152</v>
      </c>
      <c r="D3805" t="s">
        <v>1</v>
      </c>
      <c r="E3805" t="s">
        <v>1</v>
      </c>
      <c r="F3805" t="s">
        <v>0</v>
      </c>
      <c r="G3805" t="str">
        <f>"2018-10-17 17:56:05"</f>
        <v>2018-10-17 17:56:05</v>
      </c>
    </row>
    <row r="3806" spans="1:7" x14ac:dyDescent="0.2">
      <c r="A3806" t="s">
        <v>5102</v>
      </c>
      <c r="B3806" t="str">
        <f>"13722234424"</f>
        <v>13722234424</v>
      </c>
      <c r="C3806" t="str">
        <f>"230716199008110216"</f>
        <v>230716199008110216</v>
      </c>
      <c r="D3806" t="s">
        <v>5103</v>
      </c>
      <c r="E3806" t="s">
        <v>5104</v>
      </c>
      <c r="F3806" t="s">
        <v>0</v>
      </c>
      <c r="G3806" t="str">
        <f>"2018-10-17 17:54:59"</f>
        <v>2018-10-17 17:54:59</v>
      </c>
    </row>
    <row r="3807" spans="1:7" x14ac:dyDescent="0.2">
      <c r="A3807" t="s">
        <v>1</v>
      </c>
      <c r="B3807" t="str">
        <f>"18953150629"</f>
        <v>18953150629</v>
      </c>
      <c r="C3807" t="s">
        <v>1</v>
      </c>
      <c r="D3807" t="s">
        <v>1</v>
      </c>
      <c r="E3807" t="s">
        <v>1</v>
      </c>
      <c r="F3807" t="s">
        <v>0</v>
      </c>
      <c r="G3807" t="str">
        <f>"2018-10-17 19:25:26"</f>
        <v>2018-10-17 19:25:26</v>
      </c>
    </row>
    <row r="3808" spans="1:7" x14ac:dyDescent="0.2">
      <c r="A3808" t="s">
        <v>611</v>
      </c>
      <c r="B3808" t="str">
        <f>"13620723222"</f>
        <v>13620723222</v>
      </c>
      <c r="C3808" t="str">
        <f>"220221198708088619"</f>
        <v>220221198708088619</v>
      </c>
      <c r="D3808" t="s">
        <v>5105</v>
      </c>
      <c r="E3808" t="s">
        <v>5106</v>
      </c>
      <c r="F3808" t="s">
        <v>0</v>
      </c>
      <c r="G3808" t="str">
        <f>"2018-10-17 19:42:18"</f>
        <v>2018-10-17 19:42:18</v>
      </c>
    </row>
    <row r="3809" spans="1:7" x14ac:dyDescent="0.2">
      <c r="A3809" t="s">
        <v>5107</v>
      </c>
      <c r="B3809" t="str">
        <f>"17777857170"</f>
        <v>17777857170</v>
      </c>
      <c r="C3809" t="str">
        <f>"231084198712291510"</f>
        <v>231084198712291510</v>
      </c>
      <c r="D3809" t="s">
        <v>1</v>
      </c>
      <c r="E3809" t="s">
        <v>1</v>
      </c>
      <c r="F3809" t="s">
        <v>0</v>
      </c>
      <c r="G3809" t="str">
        <f>"2018-10-17 17:54:40"</f>
        <v>2018-10-17 17:54:40</v>
      </c>
    </row>
    <row r="3810" spans="1:7" x14ac:dyDescent="0.2">
      <c r="A3810" t="s">
        <v>1</v>
      </c>
      <c r="B3810" t="str">
        <f>"15578044436"</f>
        <v>15578044436</v>
      </c>
      <c r="C3810" t="s">
        <v>1</v>
      </c>
      <c r="D3810" t="s">
        <v>1</v>
      </c>
      <c r="E3810" t="s">
        <v>1</v>
      </c>
      <c r="F3810" t="s">
        <v>0</v>
      </c>
      <c r="G3810" t="str">
        <f>"2018-10-17 17:53:05"</f>
        <v>2018-10-17 17:53:05</v>
      </c>
    </row>
    <row r="3811" spans="1:7" x14ac:dyDescent="0.2">
      <c r="A3811" t="s">
        <v>5108</v>
      </c>
      <c r="B3811" t="str">
        <f>"13878259002"</f>
        <v>13878259002</v>
      </c>
      <c r="C3811" t="str">
        <f>"452226198211151818"</f>
        <v>452226198211151818</v>
      </c>
      <c r="D3811" t="s">
        <v>1</v>
      </c>
      <c r="E3811" t="s">
        <v>1</v>
      </c>
      <c r="F3811" t="s">
        <v>0</v>
      </c>
      <c r="G3811" t="str">
        <f>"2018-10-17 17:54:20"</f>
        <v>2018-10-17 17:54:20</v>
      </c>
    </row>
    <row r="3812" spans="1:7" x14ac:dyDescent="0.2">
      <c r="A3812" t="s">
        <v>5109</v>
      </c>
      <c r="B3812" t="str">
        <f>"18576081915"</f>
        <v>18576081915</v>
      </c>
      <c r="C3812" t="str">
        <f>"450881199712053837"</f>
        <v>450881199712053837</v>
      </c>
      <c r="D3812" t="s">
        <v>5110</v>
      </c>
      <c r="E3812" t="s">
        <v>5111</v>
      </c>
      <c r="F3812" t="s">
        <v>0</v>
      </c>
      <c r="G3812" t="str">
        <f>"2018-10-19 08:33:12"</f>
        <v>2018-10-19 08:33:12</v>
      </c>
    </row>
    <row r="3813" spans="1:7" x14ac:dyDescent="0.2">
      <c r="A3813" t="s">
        <v>5112</v>
      </c>
      <c r="B3813" t="str">
        <f>"13874595699"</f>
        <v>13874595699</v>
      </c>
      <c r="C3813" t="str">
        <f>"431230199001293636"</f>
        <v>431230199001293636</v>
      </c>
      <c r="D3813" t="s">
        <v>1</v>
      </c>
      <c r="E3813" t="s">
        <v>1</v>
      </c>
      <c r="F3813" t="s">
        <v>0</v>
      </c>
      <c r="G3813" t="str">
        <f>"2018-10-17 17:56:47"</f>
        <v>2018-10-17 17:56:47</v>
      </c>
    </row>
    <row r="3814" spans="1:7" x14ac:dyDescent="0.2">
      <c r="A3814" t="s">
        <v>1</v>
      </c>
      <c r="B3814" t="str">
        <f>"13403863989"</f>
        <v>13403863989</v>
      </c>
      <c r="C3814" t="s">
        <v>1</v>
      </c>
      <c r="D3814" t="s">
        <v>1</v>
      </c>
      <c r="E3814" t="s">
        <v>1</v>
      </c>
      <c r="F3814" t="s">
        <v>0</v>
      </c>
      <c r="G3814" t="str">
        <f>"2018-10-19 05:00:51"</f>
        <v>2018-10-19 05:00:51</v>
      </c>
    </row>
    <row r="3815" spans="1:7" x14ac:dyDescent="0.2">
      <c r="A3815" t="s">
        <v>1</v>
      </c>
      <c r="B3815" t="str">
        <f>"13662238164"</f>
        <v>13662238164</v>
      </c>
      <c r="C3815" t="s">
        <v>1</v>
      </c>
      <c r="D3815" t="s">
        <v>1</v>
      </c>
      <c r="E3815" t="s">
        <v>1</v>
      </c>
      <c r="F3815" t="s">
        <v>0</v>
      </c>
      <c r="G3815" t="str">
        <f>"2018-10-18 08:45:21"</f>
        <v>2018-10-18 08:45:21</v>
      </c>
    </row>
    <row r="3816" spans="1:7" x14ac:dyDescent="0.2">
      <c r="A3816" t="s">
        <v>5113</v>
      </c>
      <c r="B3816" t="str">
        <f>"13979799564"</f>
        <v>13979799564</v>
      </c>
      <c r="C3816" t="str">
        <f>"362121198303021616"</f>
        <v>362121198303021616</v>
      </c>
      <c r="D3816" t="s">
        <v>5114</v>
      </c>
      <c r="E3816" t="s">
        <v>5115</v>
      </c>
      <c r="F3816" t="s">
        <v>0</v>
      </c>
      <c r="G3816" t="str">
        <f>"2018-10-17 17:55:56"</f>
        <v>2018-10-17 17:55:56</v>
      </c>
    </row>
    <row r="3817" spans="1:7" x14ac:dyDescent="0.2">
      <c r="A3817" t="s">
        <v>5116</v>
      </c>
      <c r="B3817" t="str">
        <f>"18843777212"</f>
        <v>18843777212</v>
      </c>
      <c r="C3817" t="str">
        <f>"220322199112303521"</f>
        <v>220322199112303521</v>
      </c>
      <c r="D3817" t="s">
        <v>1</v>
      </c>
      <c r="E3817" t="s">
        <v>1</v>
      </c>
      <c r="F3817" t="s">
        <v>0</v>
      </c>
      <c r="G3817" t="str">
        <f>"2018-10-17 17:52:38"</f>
        <v>2018-10-17 17:52:38</v>
      </c>
    </row>
    <row r="3818" spans="1:7" x14ac:dyDescent="0.2">
      <c r="A3818" t="s">
        <v>1</v>
      </c>
      <c r="B3818" t="str">
        <f>"15678018484"</f>
        <v>15678018484</v>
      </c>
      <c r="C3818" t="s">
        <v>1</v>
      </c>
      <c r="D3818" t="s">
        <v>1</v>
      </c>
      <c r="E3818" t="s">
        <v>1</v>
      </c>
      <c r="F3818" t="s">
        <v>0</v>
      </c>
      <c r="G3818" t="str">
        <f>"2018-10-17 17:51:28"</f>
        <v>2018-10-17 17:51:28</v>
      </c>
    </row>
    <row r="3819" spans="1:7" x14ac:dyDescent="0.2">
      <c r="A3819" t="s">
        <v>711</v>
      </c>
      <c r="B3819" t="str">
        <f>"15541341314"</f>
        <v>15541341314</v>
      </c>
      <c r="C3819" t="str">
        <f>"211122198601130012"</f>
        <v>211122198601130012</v>
      </c>
      <c r="D3819" t="s">
        <v>1</v>
      </c>
      <c r="E3819" t="s">
        <v>1</v>
      </c>
      <c r="F3819" t="s">
        <v>0</v>
      </c>
      <c r="G3819" t="str">
        <f>"2018-10-17 17:52:30"</f>
        <v>2018-10-17 17:52:30</v>
      </c>
    </row>
    <row r="3820" spans="1:7" x14ac:dyDescent="0.2">
      <c r="A3820" t="s">
        <v>5117</v>
      </c>
      <c r="B3820" t="str">
        <f>"15901759056"</f>
        <v>15901759056</v>
      </c>
      <c r="C3820" t="str">
        <f>"341225199503173949"</f>
        <v>341225199503173949</v>
      </c>
      <c r="D3820" t="s">
        <v>1</v>
      </c>
      <c r="E3820" t="s">
        <v>1</v>
      </c>
      <c r="F3820" t="s">
        <v>0</v>
      </c>
      <c r="G3820" t="str">
        <f>"2018-10-17 17:51:26"</f>
        <v>2018-10-17 17:51:26</v>
      </c>
    </row>
    <row r="3821" spans="1:7" x14ac:dyDescent="0.2">
      <c r="A3821" t="s">
        <v>1</v>
      </c>
      <c r="B3821" t="str">
        <f>"15158944061"</f>
        <v>15158944061</v>
      </c>
      <c r="C3821" t="s">
        <v>1</v>
      </c>
      <c r="D3821" t="s">
        <v>1</v>
      </c>
      <c r="E3821" t="s">
        <v>1</v>
      </c>
      <c r="F3821" t="s">
        <v>0</v>
      </c>
      <c r="G3821" t="str">
        <f>"2018-10-17 17:48:59"</f>
        <v>2018-10-17 17:48:59</v>
      </c>
    </row>
    <row r="3822" spans="1:7" x14ac:dyDescent="0.2">
      <c r="A3822" t="s">
        <v>5118</v>
      </c>
      <c r="B3822" t="str">
        <f>"15775911564"</f>
        <v>15775911564</v>
      </c>
      <c r="C3822" t="str">
        <f>"511521199101260225"</f>
        <v>511521199101260225</v>
      </c>
      <c r="D3822" t="s">
        <v>1</v>
      </c>
      <c r="E3822" t="s">
        <v>1</v>
      </c>
      <c r="F3822" t="s">
        <v>0</v>
      </c>
      <c r="G3822" t="str">
        <f>"2018-10-17 18:01:12"</f>
        <v>2018-10-17 18:01:12</v>
      </c>
    </row>
    <row r="3823" spans="1:7" x14ac:dyDescent="0.2">
      <c r="A3823" t="s">
        <v>1</v>
      </c>
      <c r="B3823" t="str">
        <f>"15676849394"</f>
        <v>15676849394</v>
      </c>
      <c r="C3823" t="s">
        <v>1</v>
      </c>
      <c r="D3823" t="s">
        <v>1</v>
      </c>
      <c r="E3823" t="s">
        <v>1</v>
      </c>
      <c r="F3823" t="s">
        <v>0</v>
      </c>
      <c r="G3823" t="str">
        <f>"2018-10-17 17:48:16"</f>
        <v>2018-10-17 17:48:16</v>
      </c>
    </row>
    <row r="3824" spans="1:7" x14ac:dyDescent="0.2">
      <c r="A3824" t="s">
        <v>5119</v>
      </c>
      <c r="B3824" t="str">
        <f>"15205685201"</f>
        <v>15205685201</v>
      </c>
      <c r="C3824" t="str">
        <f>"341226199002052352"</f>
        <v>341226199002052352</v>
      </c>
      <c r="D3824" t="s">
        <v>1</v>
      </c>
      <c r="E3824" t="s">
        <v>1</v>
      </c>
      <c r="F3824" t="s">
        <v>0</v>
      </c>
      <c r="G3824" t="str">
        <f>"2018-10-17 17:48:02"</f>
        <v>2018-10-17 17:48:02</v>
      </c>
    </row>
    <row r="3825" spans="1:7" x14ac:dyDescent="0.2">
      <c r="A3825" t="s">
        <v>5120</v>
      </c>
      <c r="B3825" t="str">
        <f>"15854625214"</f>
        <v>15854625214</v>
      </c>
      <c r="C3825" t="str">
        <f>"370811199511215538"</f>
        <v>370811199511215538</v>
      </c>
      <c r="D3825" t="s">
        <v>1</v>
      </c>
      <c r="E3825" t="s">
        <v>1</v>
      </c>
      <c r="F3825" t="s">
        <v>0</v>
      </c>
      <c r="G3825" t="str">
        <f>"2018-10-24 14:50:45"</f>
        <v>2018-10-24 14:50:45</v>
      </c>
    </row>
    <row r="3826" spans="1:7" x14ac:dyDescent="0.2">
      <c r="A3826" t="s">
        <v>1394</v>
      </c>
      <c r="B3826" t="str">
        <f>"18772238178"</f>
        <v>18772238178</v>
      </c>
      <c r="C3826" t="str">
        <f>"420321199407092574"</f>
        <v>420321199407092574</v>
      </c>
      <c r="D3826" t="s">
        <v>1</v>
      </c>
      <c r="E3826" t="s">
        <v>1</v>
      </c>
      <c r="F3826" t="s">
        <v>0</v>
      </c>
      <c r="G3826" t="str">
        <f>"2018-10-17 17:45:03"</f>
        <v>2018-10-17 17:45:03</v>
      </c>
    </row>
    <row r="3827" spans="1:7" x14ac:dyDescent="0.2">
      <c r="A3827" t="s">
        <v>1</v>
      </c>
      <c r="B3827" t="str">
        <f>"18868943758"</f>
        <v>18868943758</v>
      </c>
      <c r="C3827" t="s">
        <v>1</v>
      </c>
      <c r="D3827" t="s">
        <v>1</v>
      </c>
      <c r="E3827" t="s">
        <v>1</v>
      </c>
      <c r="F3827" t="s">
        <v>0</v>
      </c>
      <c r="G3827" t="str">
        <f>"2018-10-17 17:44:40"</f>
        <v>2018-10-17 17:44:40</v>
      </c>
    </row>
    <row r="3828" spans="1:7" x14ac:dyDescent="0.2">
      <c r="A3828" t="s">
        <v>1</v>
      </c>
      <c r="B3828" t="str">
        <f>"13127156518"</f>
        <v>13127156518</v>
      </c>
      <c r="C3828" t="s">
        <v>1</v>
      </c>
      <c r="D3828" t="s">
        <v>1</v>
      </c>
      <c r="E3828" t="s">
        <v>1</v>
      </c>
      <c r="F3828" t="s">
        <v>0</v>
      </c>
      <c r="G3828" t="str">
        <f>"2018-10-17 17:44:00"</f>
        <v>2018-10-17 17:44:00</v>
      </c>
    </row>
    <row r="3829" spans="1:7" x14ac:dyDescent="0.2">
      <c r="A3829" t="s">
        <v>133</v>
      </c>
      <c r="B3829" t="str">
        <f>"15303514644"</f>
        <v>15303514644</v>
      </c>
      <c r="C3829" t="str">
        <f>"14242419870929001X"</f>
        <v>14242419870929001X</v>
      </c>
      <c r="D3829" t="s">
        <v>1</v>
      </c>
      <c r="E3829" t="s">
        <v>1</v>
      </c>
      <c r="F3829" t="s">
        <v>0</v>
      </c>
      <c r="G3829" t="str">
        <f>"2018-10-17 17:43:52"</f>
        <v>2018-10-17 17:43:52</v>
      </c>
    </row>
    <row r="3830" spans="1:7" x14ac:dyDescent="0.2">
      <c r="A3830" t="s">
        <v>1</v>
      </c>
      <c r="B3830" t="str">
        <f>"15976782386"</f>
        <v>15976782386</v>
      </c>
      <c r="C3830" t="s">
        <v>1</v>
      </c>
      <c r="D3830" t="s">
        <v>1</v>
      </c>
      <c r="E3830" t="s">
        <v>1</v>
      </c>
      <c r="F3830" t="s">
        <v>0</v>
      </c>
      <c r="G3830" t="str">
        <f>"2018-10-17 17:42:39"</f>
        <v>2018-10-17 17:42:39</v>
      </c>
    </row>
    <row r="3831" spans="1:7" x14ac:dyDescent="0.2">
      <c r="A3831" t="s">
        <v>5121</v>
      </c>
      <c r="B3831" t="str">
        <f>"18672070186"</f>
        <v>18672070186</v>
      </c>
      <c r="C3831" t="str">
        <f>"422801198801151228"</f>
        <v>422801198801151228</v>
      </c>
      <c r="D3831" t="s">
        <v>5122</v>
      </c>
      <c r="E3831" t="s">
        <v>5123</v>
      </c>
      <c r="F3831" t="s">
        <v>0</v>
      </c>
      <c r="G3831" t="str">
        <f>"2018-10-17 18:27:56"</f>
        <v>2018-10-17 18:27:56</v>
      </c>
    </row>
    <row r="3832" spans="1:7" x14ac:dyDescent="0.2">
      <c r="A3832" t="s">
        <v>5124</v>
      </c>
      <c r="B3832" t="str">
        <f>"15808000687"</f>
        <v>15808000687</v>
      </c>
      <c r="C3832" t="str">
        <f>"510214198111035114"</f>
        <v>510214198111035114</v>
      </c>
      <c r="D3832" t="s">
        <v>1</v>
      </c>
      <c r="E3832" t="s">
        <v>1</v>
      </c>
      <c r="F3832" t="s">
        <v>0</v>
      </c>
      <c r="G3832" t="str">
        <f>"2018-10-17 17:44:22"</f>
        <v>2018-10-17 17:44:22</v>
      </c>
    </row>
    <row r="3833" spans="1:7" x14ac:dyDescent="0.2">
      <c r="A3833" t="s">
        <v>5125</v>
      </c>
      <c r="B3833" t="str">
        <f>"18739636375"</f>
        <v>18739636375</v>
      </c>
      <c r="C3833" t="str">
        <f>"412825199706043396"</f>
        <v>412825199706043396</v>
      </c>
      <c r="D3833" t="s">
        <v>1</v>
      </c>
      <c r="E3833" t="s">
        <v>1</v>
      </c>
      <c r="F3833" t="s">
        <v>0</v>
      </c>
      <c r="G3833" t="str">
        <f>"2018-10-17 17:57:09"</f>
        <v>2018-10-17 17:57:09</v>
      </c>
    </row>
    <row r="3834" spans="1:7" x14ac:dyDescent="0.2">
      <c r="A3834" t="s">
        <v>5126</v>
      </c>
      <c r="B3834" t="str">
        <f>"18085097160"</f>
        <v>18085097160</v>
      </c>
      <c r="C3834" t="str">
        <f>"520103198209162813"</f>
        <v>520103198209162813</v>
      </c>
      <c r="D3834" t="s">
        <v>1</v>
      </c>
      <c r="E3834" t="s">
        <v>1</v>
      </c>
      <c r="F3834" t="s">
        <v>0</v>
      </c>
      <c r="G3834" t="str">
        <f>"2018-10-17 17:45:26"</f>
        <v>2018-10-17 17:45:26</v>
      </c>
    </row>
    <row r="3835" spans="1:7" x14ac:dyDescent="0.2">
      <c r="A3835" t="s">
        <v>5127</v>
      </c>
      <c r="B3835" t="str">
        <f>"18655111359"</f>
        <v>18655111359</v>
      </c>
      <c r="C3835" t="str">
        <f>"340123199106202890"</f>
        <v>340123199106202890</v>
      </c>
      <c r="D3835" t="s">
        <v>1</v>
      </c>
      <c r="E3835" t="s">
        <v>1</v>
      </c>
      <c r="F3835" t="s">
        <v>0</v>
      </c>
      <c r="G3835" t="str">
        <f>"2018-10-18 10:00:26"</f>
        <v>2018-10-18 10:00:26</v>
      </c>
    </row>
    <row r="3836" spans="1:7" x14ac:dyDescent="0.2">
      <c r="A3836" t="s">
        <v>1</v>
      </c>
      <c r="B3836" t="str">
        <f>"13178053216"</f>
        <v>13178053216</v>
      </c>
      <c r="C3836" t="s">
        <v>1</v>
      </c>
      <c r="D3836" t="s">
        <v>1</v>
      </c>
      <c r="E3836" t="s">
        <v>1</v>
      </c>
      <c r="F3836" t="s">
        <v>0</v>
      </c>
      <c r="G3836" t="str">
        <f>"2018-10-17 17:40:00"</f>
        <v>2018-10-17 17:40:00</v>
      </c>
    </row>
    <row r="3837" spans="1:7" x14ac:dyDescent="0.2">
      <c r="A3837" t="s">
        <v>1</v>
      </c>
      <c r="B3837" t="str">
        <f>"18607861710"</f>
        <v>18607861710</v>
      </c>
      <c r="C3837" t="s">
        <v>1</v>
      </c>
      <c r="D3837" t="s">
        <v>1</v>
      </c>
      <c r="E3837" t="s">
        <v>1</v>
      </c>
      <c r="F3837" t="s">
        <v>0</v>
      </c>
      <c r="G3837" t="str">
        <f>"2018-10-17 17:39:48"</f>
        <v>2018-10-17 17:39:48</v>
      </c>
    </row>
    <row r="3838" spans="1:7" x14ac:dyDescent="0.2">
      <c r="A3838" t="s">
        <v>5128</v>
      </c>
      <c r="B3838" t="str">
        <f>"13988092632"</f>
        <v>13988092632</v>
      </c>
      <c r="C3838" t="str">
        <f>"53253019710905222X"</f>
        <v>53253019710905222X</v>
      </c>
      <c r="D3838" t="s">
        <v>1</v>
      </c>
      <c r="E3838" t="s">
        <v>1</v>
      </c>
      <c r="F3838" t="s">
        <v>0</v>
      </c>
      <c r="G3838" t="str">
        <f>"2018-10-17 17:41:28"</f>
        <v>2018-10-17 17:41:28</v>
      </c>
    </row>
    <row r="3839" spans="1:7" x14ac:dyDescent="0.2">
      <c r="A3839" t="s">
        <v>5129</v>
      </c>
      <c r="B3839" t="str">
        <f>"18233988187"</f>
        <v>18233988187</v>
      </c>
      <c r="C3839" t="str">
        <f>"130582199910164816"</f>
        <v>130582199910164816</v>
      </c>
      <c r="D3839" t="s">
        <v>1</v>
      </c>
      <c r="E3839" t="s">
        <v>1</v>
      </c>
      <c r="F3839" t="s">
        <v>0</v>
      </c>
      <c r="G3839" t="str">
        <f>"2018-10-17 17:42:20"</f>
        <v>2018-10-17 17:42:20</v>
      </c>
    </row>
    <row r="3840" spans="1:7" x14ac:dyDescent="0.2">
      <c r="A3840" t="s">
        <v>5130</v>
      </c>
      <c r="B3840" t="str">
        <f>"15896868004"</f>
        <v>15896868004</v>
      </c>
      <c r="C3840" t="str">
        <f>"410522199005272463"</f>
        <v>410522199005272463</v>
      </c>
      <c r="D3840" t="s">
        <v>1</v>
      </c>
      <c r="E3840" t="s">
        <v>1</v>
      </c>
      <c r="F3840" t="s">
        <v>0</v>
      </c>
      <c r="G3840" t="str">
        <f>"2018-10-17 17:41:32"</f>
        <v>2018-10-17 17:41:32</v>
      </c>
    </row>
    <row r="3841" spans="1:7" x14ac:dyDescent="0.2">
      <c r="A3841" t="s">
        <v>1</v>
      </c>
      <c r="B3841" t="str">
        <f>"18680923222"</f>
        <v>18680923222</v>
      </c>
      <c r="C3841" t="s">
        <v>1</v>
      </c>
      <c r="D3841" t="s">
        <v>1</v>
      </c>
      <c r="E3841" t="s">
        <v>1</v>
      </c>
      <c r="F3841" t="s">
        <v>0</v>
      </c>
      <c r="G3841" t="str">
        <f>"2018-10-17 17:37:46"</f>
        <v>2018-10-17 17:37:46</v>
      </c>
    </row>
    <row r="3842" spans="1:7" x14ac:dyDescent="0.2">
      <c r="A3842" t="s">
        <v>5131</v>
      </c>
      <c r="B3842" t="str">
        <f>"15659067337"</f>
        <v>15659067337</v>
      </c>
      <c r="C3842" t="str">
        <f>"350723199906081710"</f>
        <v>350723199906081710</v>
      </c>
      <c r="D3842" t="s">
        <v>1</v>
      </c>
      <c r="E3842" t="s">
        <v>1</v>
      </c>
      <c r="F3842" t="s">
        <v>0</v>
      </c>
      <c r="G3842" t="str">
        <f>"2018-10-17 17:39:38"</f>
        <v>2018-10-17 17:39:38</v>
      </c>
    </row>
    <row r="3843" spans="1:7" x14ac:dyDescent="0.2">
      <c r="A3843" t="s">
        <v>5132</v>
      </c>
      <c r="B3843" t="str">
        <f>"13905152581"</f>
        <v>13905152581</v>
      </c>
      <c r="C3843" t="str">
        <f>"371324198504034035"</f>
        <v>371324198504034035</v>
      </c>
      <c r="D3843" t="s">
        <v>1</v>
      </c>
      <c r="E3843" t="s">
        <v>1</v>
      </c>
      <c r="F3843" t="s">
        <v>0</v>
      </c>
      <c r="G3843" t="str">
        <f>"2018-10-17 17:55:29"</f>
        <v>2018-10-17 17:55:29</v>
      </c>
    </row>
    <row r="3844" spans="1:7" x14ac:dyDescent="0.2">
      <c r="A3844" t="s">
        <v>5133</v>
      </c>
      <c r="B3844" t="str">
        <f>"13178505545"</f>
        <v>13178505545</v>
      </c>
      <c r="C3844" t="str">
        <f>"450702199310013655"</f>
        <v>450702199310013655</v>
      </c>
      <c r="D3844" t="s">
        <v>1</v>
      </c>
      <c r="E3844" t="s">
        <v>1</v>
      </c>
      <c r="F3844" t="s">
        <v>0</v>
      </c>
      <c r="G3844" t="str">
        <f>"2018-10-17 20:22:26"</f>
        <v>2018-10-17 20:22:26</v>
      </c>
    </row>
    <row r="3845" spans="1:7" x14ac:dyDescent="0.2">
      <c r="A3845" t="s">
        <v>1</v>
      </c>
      <c r="B3845" t="str">
        <f>"17796845663"</f>
        <v>17796845663</v>
      </c>
      <c r="C3845" t="s">
        <v>1</v>
      </c>
      <c r="D3845" t="s">
        <v>1</v>
      </c>
      <c r="E3845" t="s">
        <v>1</v>
      </c>
      <c r="F3845" t="s">
        <v>0</v>
      </c>
      <c r="G3845" t="str">
        <f>"2018-10-17 17:36:33"</f>
        <v>2018-10-17 17:36:33</v>
      </c>
    </row>
    <row r="3846" spans="1:7" x14ac:dyDescent="0.2">
      <c r="A3846" t="s">
        <v>5134</v>
      </c>
      <c r="B3846" t="str">
        <f>"13788724505"</f>
        <v>13788724505</v>
      </c>
      <c r="C3846" t="str">
        <f>"45222519870301213X"</f>
        <v>45222519870301213X</v>
      </c>
      <c r="D3846" t="s">
        <v>1</v>
      </c>
      <c r="E3846" t="s">
        <v>1</v>
      </c>
      <c r="F3846" t="s">
        <v>0</v>
      </c>
      <c r="G3846" t="str">
        <f>"2018-10-17 17:36:44"</f>
        <v>2018-10-17 17:36:44</v>
      </c>
    </row>
    <row r="3847" spans="1:7" x14ac:dyDescent="0.2">
      <c r="A3847" t="s">
        <v>3617</v>
      </c>
      <c r="B3847" t="str">
        <f>"18827092791"</f>
        <v>18827092791</v>
      </c>
      <c r="C3847" t="str">
        <f>"421381199502086014"</f>
        <v>421381199502086014</v>
      </c>
      <c r="D3847" t="s">
        <v>1</v>
      </c>
      <c r="E3847" t="s">
        <v>1</v>
      </c>
      <c r="F3847" t="s">
        <v>0</v>
      </c>
      <c r="G3847" t="str">
        <f>"2018-10-17 23:32:12"</f>
        <v>2018-10-17 23:32:12</v>
      </c>
    </row>
    <row r="3848" spans="1:7" x14ac:dyDescent="0.2">
      <c r="A3848" t="s">
        <v>1</v>
      </c>
      <c r="B3848" t="str">
        <f>"15733443888"</f>
        <v>15733443888</v>
      </c>
      <c r="C3848" t="s">
        <v>1</v>
      </c>
      <c r="D3848" t="s">
        <v>1</v>
      </c>
      <c r="E3848" t="s">
        <v>1</v>
      </c>
      <c r="F3848" t="s">
        <v>0</v>
      </c>
      <c r="G3848" t="str">
        <f>"2018-10-17 17:35:45"</f>
        <v>2018-10-17 17:35:45</v>
      </c>
    </row>
    <row r="3849" spans="1:7" x14ac:dyDescent="0.2">
      <c r="A3849" t="s">
        <v>1</v>
      </c>
      <c r="B3849" t="str">
        <f>"13078044686"</f>
        <v>13078044686</v>
      </c>
      <c r="C3849" t="s">
        <v>1</v>
      </c>
      <c r="D3849" t="s">
        <v>1</v>
      </c>
      <c r="E3849" t="s">
        <v>1</v>
      </c>
      <c r="F3849" t="s">
        <v>0</v>
      </c>
      <c r="G3849" t="str">
        <f>"2018-10-17 17:34:11"</f>
        <v>2018-10-17 17:34:11</v>
      </c>
    </row>
    <row r="3850" spans="1:7" x14ac:dyDescent="0.2">
      <c r="A3850" t="s">
        <v>1</v>
      </c>
      <c r="B3850" t="str">
        <f>"18277892458"</f>
        <v>18277892458</v>
      </c>
      <c r="C3850" t="s">
        <v>1</v>
      </c>
      <c r="D3850" t="s">
        <v>1</v>
      </c>
      <c r="E3850" t="s">
        <v>1</v>
      </c>
      <c r="F3850" t="s">
        <v>0</v>
      </c>
      <c r="G3850" t="str">
        <f>"2018-10-17 17:33:17"</f>
        <v>2018-10-17 17:33:17</v>
      </c>
    </row>
    <row r="3851" spans="1:7" x14ac:dyDescent="0.2">
      <c r="A3851" t="s">
        <v>5135</v>
      </c>
      <c r="B3851" t="str">
        <f>"13382683320"</f>
        <v>13382683320</v>
      </c>
      <c r="C3851" t="str">
        <f>"320323198709272639"</f>
        <v>320323198709272639</v>
      </c>
      <c r="D3851" t="s">
        <v>1</v>
      </c>
      <c r="E3851" t="s">
        <v>1</v>
      </c>
      <c r="F3851" t="s">
        <v>0</v>
      </c>
      <c r="G3851" t="str">
        <f>"2018-10-17 17:33:58"</f>
        <v>2018-10-17 17:33:58</v>
      </c>
    </row>
    <row r="3852" spans="1:7" x14ac:dyDescent="0.2">
      <c r="A3852" t="s">
        <v>1</v>
      </c>
      <c r="B3852" t="str">
        <f>"17735006020"</f>
        <v>17735006020</v>
      </c>
      <c r="C3852" t="s">
        <v>1</v>
      </c>
      <c r="D3852" t="s">
        <v>1</v>
      </c>
      <c r="E3852" t="s">
        <v>1</v>
      </c>
      <c r="F3852" t="s">
        <v>0</v>
      </c>
      <c r="G3852" t="str">
        <f>"2018-10-17 17:32:38"</f>
        <v>2018-10-17 17:32:38</v>
      </c>
    </row>
    <row r="3853" spans="1:7" x14ac:dyDescent="0.2">
      <c r="A3853" t="s">
        <v>5136</v>
      </c>
      <c r="B3853" t="str">
        <f>"17606923383"</f>
        <v>17606923383</v>
      </c>
      <c r="C3853" t="str">
        <f>"510521199309211050"</f>
        <v>510521199309211050</v>
      </c>
      <c r="D3853" t="s">
        <v>1</v>
      </c>
      <c r="E3853" t="s">
        <v>1</v>
      </c>
      <c r="F3853" t="s">
        <v>0</v>
      </c>
      <c r="G3853" t="str">
        <f>"2018-10-17 17:34:00"</f>
        <v>2018-10-17 17:34:00</v>
      </c>
    </row>
    <row r="3854" spans="1:7" x14ac:dyDescent="0.2">
      <c r="A3854" t="s">
        <v>5137</v>
      </c>
      <c r="B3854" t="str">
        <f>"15870231715"</f>
        <v>15870231715</v>
      </c>
      <c r="C3854" t="str">
        <f>"522622199001230058"</f>
        <v>522622199001230058</v>
      </c>
      <c r="D3854" t="s">
        <v>5138</v>
      </c>
      <c r="E3854" t="s">
        <v>5139</v>
      </c>
      <c r="F3854" t="s">
        <v>0</v>
      </c>
      <c r="G3854" t="str">
        <f>"2018-10-17 17:33:20"</f>
        <v>2018-10-17 17:33:20</v>
      </c>
    </row>
    <row r="3855" spans="1:7" x14ac:dyDescent="0.2">
      <c r="A3855" t="s">
        <v>5140</v>
      </c>
      <c r="B3855" t="str">
        <f>"15059007405"</f>
        <v>15059007405</v>
      </c>
      <c r="C3855" t="str">
        <f>"350881199206081874"</f>
        <v>350881199206081874</v>
      </c>
      <c r="D3855" t="s">
        <v>1</v>
      </c>
      <c r="E3855" t="s">
        <v>1</v>
      </c>
      <c r="F3855" t="s">
        <v>0</v>
      </c>
      <c r="G3855" t="str">
        <f>"2018-10-17 17:33:46"</f>
        <v>2018-10-17 17:33:46</v>
      </c>
    </row>
    <row r="3856" spans="1:7" x14ac:dyDescent="0.2">
      <c r="A3856" t="s">
        <v>1</v>
      </c>
      <c r="B3856" t="str">
        <f>"13595381978"</f>
        <v>13595381978</v>
      </c>
      <c r="C3856" t="s">
        <v>1</v>
      </c>
      <c r="D3856" t="s">
        <v>1</v>
      </c>
      <c r="E3856" t="s">
        <v>1</v>
      </c>
      <c r="F3856" t="s">
        <v>0</v>
      </c>
      <c r="G3856" t="str">
        <f>"2018-10-17 17:31:17"</f>
        <v>2018-10-17 17:31:17</v>
      </c>
    </row>
    <row r="3857" spans="1:7" x14ac:dyDescent="0.2">
      <c r="A3857" t="s">
        <v>1189</v>
      </c>
      <c r="B3857" t="str">
        <f>"13261496558"</f>
        <v>13261496558</v>
      </c>
      <c r="C3857" t="str">
        <f>"210421198312292428"</f>
        <v>210421198312292428</v>
      </c>
      <c r="D3857" t="s">
        <v>1</v>
      </c>
      <c r="E3857" t="s">
        <v>1</v>
      </c>
      <c r="F3857" t="s">
        <v>0</v>
      </c>
      <c r="G3857" t="str">
        <f>"2018-10-19 21:46:33"</f>
        <v>2018-10-19 21:46:33</v>
      </c>
    </row>
    <row r="3858" spans="1:7" x14ac:dyDescent="0.2">
      <c r="A3858" t="s">
        <v>1</v>
      </c>
      <c r="B3858" t="str">
        <f>"15314123122"</f>
        <v>15314123122</v>
      </c>
      <c r="C3858" t="s">
        <v>1</v>
      </c>
      <c r="D3858" t="s">
        <v>1</v>
      </c>
      <c r="E3858" t="s">
        <v>1</v>
      </c>
      <c r="F3858" t="s">
        <v>0</v>
      </c>
      <c r="G3858" t="str">
        <f>"2018-10-17 18:01:06"</f>
        <v>2018-10-17 18:01:06</v>
      </c>
    </row>
    <row r="3859" spans="1:7" x14ac:dyDescent="0.2">
      <c r="A3859" t="s">
        <v>5141</v>
      </c>
      <c r="B3859" t="str">
        <f>"18666923514"</f>
        <v>18666923514</v>
      </c>
      <c r="C3859" t="str">
        <f>"450702199409144217"</f>
        <v>450702199409144217</v>
      </c>
      <c r="D3859" t="s">
        <v>1</v>
      </c>
      <c r="E3859" t="s">
        <v>1</v>
      </c>
      <c r="F3859" t="s">
        <v>0</v>
      </c>
      <c r="G3859" t="str">
        <f>"2018-10-17 17:32:41"</f>
        <v>2018-10-17 17:32:41</v>
      </c>
    </row>
    <row r="3860" spans="1:7" x14ac:dyDescent="0.2">
      <c r="A3860" t="s">
        <v>5142</v>
      </c>
      <c r="B3860" t="str">
        <f>"17797988877"</f>
        <v>17797988877</v>
      </c>
      <c r="C3860" t="str">
        <f>"622226198909102518"</f>
        <v>622226198909102518</v>
      </c>
      <c r="D3860" t="s">
        <v>5143</v>
      </c>
      <c r="E3860" t="s">
        <v>5144</v>
      </c>
      <c r="F3860" t="s">
        <v>0</v>
      </c>
      <c r="G3860" t="str">
        <f>"2018-10-17 17:34:59"</f>
        <v>2018-10-17 17:34:59</v>
      </c>
    </row>
    <row r="3861" spans="1:7" x14ac:dyDescent="0.2">
      <c r="A3861" t="s">
        <v>5145</v>
      </c>
      <c r="B3861" t="str">
        <f>"18219760805"</f>
        <v>18219760805</v>
      </c>
      <c r="C3861" t="str">
        <f>"620421198711212313"</f>
        <v>620421198711212313</v>
      </c>
      <c r="D3861" t="s">
        <v>1</v>
      </c>
      <c r="E3861" t="s">
        <v>1</v>
      </c>
      <c r="F3861" t="s">
        <v>0</v>
      </c>
      <c r="G3861" t="str">
        <f>"2018-10-25 17:06:46"</f>
        <v>2018-10-25 17:06:46</v>
      </c>
    </row>
    <row r="3862" spans="1:7" x14ac:dyDescent="0.2">
      <c r="A3862" t="s">
        <v>5146</v>
      </c>
      <c r="B3862" t="str">
        <f>"13424135674"</f>
        <v>13424135674</v>
      </c>
      <c r="C3862" t="str">
        <f>"440782199906292819"</f>
        <v>440782199906292819</v>
      </c>
      <c r="D3862" t="s">
        <v>1</v>
      </c>
      <c r="E3862" t="s">
        <v>1</v>
      </c>
      <c r="F3862" t="s">
        <v>0</v>
      </c>
      <c r="G3862" t="str">
        <f>"2018-10-18 16:00:25"</f>
        <v>2018-10-18 16:00:25</v>
      </c>
    </row>
    <row r="3863" spans="1:7" x14ac:dyDescent="0.2">
      <c r="A3863" t="s">
        <v>5147</v>
      </c>
      <c r="B3863" t="str">
        <f>"13888164529"</f>
        <v>13888164529</v>
      </c>
      <c r="C3863" t="str">
        <f>"530128199109232443"</f>
        <v>530128199109232443</v>
      </c>
      <c r="D3863" t="s">
        <v>1</v>
      </c>
      <c r="E3863" t="s">
        <v>1</v>
      </c>
      <c r="F3863" t="s">
        <v>0</v>
      </c>
      <c r="G3863" t="str">
        <f>"2018-10-24 16:46:27"</f>
        <v>2018-10-24 16:46:27</v>
      </c>
    </row>
    <row r="3864" spans="1:7" x14ac:dyDescent="0.2">
      <c r="A3864" t="s">
        <v>1530</v>
      </c>
      <c r="B3864" t="str">
        <f>"13936686546"</f>
        <v>13936686546</v>
      </c>
      <c r="C3864" t="str">
        <f>"230102198304041619"</f>
        <v>230102198304041619</v>
      </c>
      <c r="D3864" t="s">
        <v>1</v>
      </c>
      <c r="E3864" t="s">
        <v>1</v>
      </c>
      <c r="F3864" t="s">
        <v>0</v>
      </c>
      <c r="G3864" t="str">
        <f>"2018-10-17 17:29:26"</f>
        <v>2018-10-17 17:29:26</v>
      </c>
    </row>
    <row r="3865" spans="1:7" x14ac:dyDescent="0.2">
      <c r="A3865" t="s">
        <v>1</v>
      </c>
      <c r="B3865" t="str">
        <f>"15227399068"</f>
        <v>15227399068</v>
      </c>
      <c r="C3865" t="s">
        <v>1</v>
      </c>
      <c r="D3865" t="s">
        <v>1</v>
      </c>
      <c r="E3865" t="s">
        <v>1</v>
      </c>
      <c r="F3865" t="s">
        <v>0</v>
      </c>
      <c r="G3865" t="str">
        <f>"2018-10-17 17:30:18"</f>
        <v>2018-10-17 17:30:18</v>
      </c>
    </row>
    <row r="3866" spans="1:7" x14ac:dyDescent="0.2">
      <c r="A3866" t="s">
        <v>5148</v>
      </c>
      <c r="B3866" t="str">
        <f>"13306369431"</f>
        <v>13306369431</v>
      </c>
      <c r="C3866" t="str">
        <f>"370784199604045518"</f>
        <v>370784199604045518</v>
      </c>
      <c r="D3866" t="s">
        <v>1</v>
      </c>
      <c r="E3866" t="s">
        <v>1</v>
      </c>
      <c r="F3866" t="s">
        <v>0</v>
      </c>
      <c r="G3866" t="str">
        <f>"2018-10-17 17:30:14"</f>
        <v>2018-10-17 17:30:14</v>
      </c>
    </row>
    <row r="3867" spans="1:7" x14ac:dyDescent="0.2">
      <c r="A3867" t="s">
        <v>1</v>
      </c>
      <c r="B3867" t="str">
        <f>"13058765425"</f>
        <v>13058765425</v>
      </c>
      <c r="C3867" t="s">
        <v>1</v>
      </c>
      <c r="D3867" t="s">
        <v>1</v>
      </c>
      <c r="E3867" t="s">
        <v>1</v>
      </c>
      <c r="F3867" t="s">
        <v>0</v>
      </c>
      <c r="G3867" t="str">
        <f>"2018-10-17 17:29:10"</f>
        <v>2018-10-17 17:29:10</v>
      </c>
    </row>
    <row r="3868" spans="1:7" x14ac:dyDescent="0.2">
      <c r="A3868" t="s">
        <v>5149</v>
      </c>
      <c r="B3868" t="str">
        <f>"13805958911"</f>
        <v>13805958911</v>
      </c>
      <c r="C3868" t="str">
        <f>"350521197802081051"</f>
        <v>350521197802081051</v>
      </c>
      <c r="D3868" t="s">
        <v>1</v>
      </c>
      <c r="E3868" t="s">
        <v>1</v>
      </c>
      <c r="F3868" t="s">
        <v>0</v>
      </c>
      <c r="G3868" t="str">
        <f>"2018-10-18 12:27:05"</f>
        <v>2018-10-18 12:27:05</v>
      </c>
    </row>
    <row r="3869" spans="1:7" x14ac:dyDescent="0.2">
      <c r="A3869" t="s">
        <v>5150</v>
      </c>
      <c r="B3869" t="str">
        <f>"17717671714"</f>
        <v>17717671714</v>
      </c>
      <c r="C3869" t="str">
        <f>"513721199509183692"</f>
        <v>513721199509183692</v>
      </c>
      <c r="D3869" t="s">
        <v>1</v>
      </c>
      <c r="E3869" t="s">
        <v>1</v>
      </c>
      <c r="F3869" t="s">
        <v>0</v>
      </c>
      <c r="G3869" t="str">
        <f>"2018-10-17 17:30:18"</f>
        <v>2018-10-17 17:30:18</v>
      </c>
    </row>
    <row r="3870" spans="1:7" x14ac:dyDescent="0.2">
      <c r="A3870" t="s">
        <v>5151</v>
      </c>
      <c r="B3870" t="str">
        <f>"15027370649"</f>
        <v>15027370649</v>
      </c>
      <c r="C3870" t="str">
        <f>"421222198906250060"</f>
        <v>421222198906250060</v>
      </c>
      <c r="D3870" t="s">
        <v>1</v>
      </c>
      <c r="E3870" t="s">
        <v>1</v>
      </c>
      <c r="F3870" t="s">
        <v>0</v>
      </c>
      <c r="G3870" t="str">
        <f>"2018-10-24 20:34:10"</f>
        <v>2018-10-24 20:34:10</v>
      </c>
    </row>
    <row r="3871" spans="1:7" x14ac:dyDescent="0.2">
      <c r="A3871" t="s">
        <v>5152</v>
      </c>
      <c r="B3871" t="str">
        <f>"17610056606"</f>
        <v>17610056606</v>
      </c>
      <c r="C3871" t="str">
        <f>"370481198707083226"</f>
        <v>370481198707083226</v>
      </c>
      <c r="D3871" t="s">
        <v>1</v>
      </c>
      <c r="E3871" t="s">
        <v>1</v>
      </c>
      <c r="F3871" t="s">
        <v>0</v>
      </c>
      <c r="G3871" t="str">
        <f>"2018-10-17 17:28:46"</f>
        <v>2018-10-17 17:28:46</v>
      </c>
    </row>
    <row r="3872" spans="1:7" x14ac:dyDescent="0.2">
      <c r="A3872" t="s">
        <v>5153</v>
      </c>
      <c r="B3872" t="str">
        <f>"18963052143"</f>
        <v>18963052143</v>
      </c>
      <c r="C3872" t="str">
        <f>"372924200102253626"</f>
        <v>372924200102253626</v>
      </c>
      <c r="D3872" t="s">
        <v>1</v>
      </c>
      <c r="E3872" t="s">
        <v>1</v>
      </c>
      <c r="F3872" t="s">
        <v>0</v>
      </c>
      <c r="G3872" t="str">
        <f>"2018-10-17 17:31:27"</f>
        <v>2018-10-17 17:31:27</v>
      </c>
    </row>
    <row r="3873" spans="1:7" x14ac:dyDescent="0.2">
      <c r="A3873" t="s">
        <v>163</v>
      </c>
      <c r="B3873" t="str">
        <f>"13654677762"</f>
        <v>13654677762</v>
      </c>
      <c r="C3873" t="str">
        <f>"230119197503180171"</f>
        <v>230119197503180171</v>
      </c>
      <c r="D3873" t="s">
        <v>5154</v>
      </c>
      <c r="E3873" t="s">
        <v>5155</v>
      </c>
      <c r="F3873" t="s">
        <v>0</v>
      </c>
      <c r="G3873" t="str">
        <f>"2018-10-17 17:30:23"</f>
        <v>2018-10-17 17:30:23</v>
      </c>
    </row>
    <row r="3874" spans="1:7" x14ac:dyDescent="0.2">
      <c r="A3874" t="s">
        <v>1</v>
      </c>
      <c r="B3874" t="str">
        <f>"18706493343"</f>
        <v>18706493343</v>
      </c>
      <c r="C3874" t="s">
        <v>1</v>
      </c>
      <c r="D3874" t="s">
        <v>1</v>
      </c>
      <c r="E3874" t="s">
        <v>1</v>
      </c>
      <c r="F3874" t="s">
        <v>0</v>
      </c>
      <c r="G3874" t="str">
        <f>"2018-10-17 17:28:05"</f>
        <v>2018-10-17 17:28:05</v>
      </c>
    </row>
    <row r="3875" spans="1:7" x14ac:dyDescent="0.2">
      <c r="A3875" t="s">
        <v>5156</v>
      </c>
      <c r="B3875" t="str">
        <f>"18284586919"</f>
        <v>18284586919</v>
      </c>
      <c r="C3875" t="str">
        <f>"513030199310125610"</f>
        <v>513030199310125610</v>
      </c>
      <c r="D3875" t="s">
        <v>1</v>
      </c>
      <c r="E3875" t="s">
        <v>1</v>
      </c>
      <c r="F3875" t="s">
        <v>0</v>
      </c>
      <c r="G3875" t="str">
        <f>"2018-10-17 17:27:24"</f>
        <v>2018-10-17 17:27:24</v>
      </c>
    </row>
    <row r="3876" spans="1:7" x14ac:dyDescent="0.2">
      <c r="A3876" t="s">
        <v>1</v>
      </c>
      <c r="B3876" t="str">
        <f>"18378313979"</f>
        <v>18378313979</v>
      </c>
      <c r="C3876" t="s">
        <v>1</v>
      </c>
      <c r="D3876" t="s">
        <v>1</v>
      </c>
      <c r="E3876" t="s">
        <v>1</v>
      </c>
      <c r="F3876" t="s">
        <v>0</v>
      </c>
      <c r="G3876" t="str">
        <f>"2018-10-17 17:25:43"</f>
        <v>2018-10-17 17:25:43</v>
      </c>
    </row>
    <row r="3877" spans="1:7" x14ac:dyDescent="0.2">
      <c r="A3877" t="s">
        <v>5157</v>
      </c>
      <c r="B3877" t="str">
        <f>"18720894323"</f>
        <v>18720894323</v>
      </c>
      <c r="C3877" t="str">
        <f>"360782198908100871"</f>
        <v>360782198908100871</v>
      </c>
      <c r="D3877" t="s">
        <v>1</v>
      </c>
      <c r="E3877" t="s">
        <v>1</v>
      </c>
      <c r="F3877" t="s">
        <v>0</v>
      </c>
      <c r="G3877" t="str">
        <f>"2018-10-17 17:32:07"</f>
        <v>2018-10-17 17:32:07</v>
      </c>
    </row>
    <row r="3878" spans="1:7" x14ac:dyDescent="0.2">
      <c r="A3878" t="s">
        <v>1</v>
      </c>
      <c r="B3878" t="str">
        <f>"13628747465"</f>
        <v>13628747465</v>
      </c>
      <c r="C3878" t="s">
        <v>1</v>
      </c>
      <c r="D3878" t="s">
        <v>1</v>
      </c>
      <c r="E3878" t="s">
        <v>1</v>
      </c>
      <c r="F3878" t="s">
        <v>0</v>
      </c>
      <c r="G3878" t="str">
        <f>"2018-10-17 17:25:25"</f>
        <v>2018-10-17 17:25:25</v>
      </c>
    </row>
    <row r="3879" spans="1:7" x14ac:dyDescent="0.2">
      <c r="A3879" t="s">
        <v>5158</v>
      </c>
      <c r="B3879" t="str">
        <f>"13677324665"</f>
        <v>13677324665</v>
      </c>
      <c r="C3879" t="str">
        <f>"430181198112174225"</f>
        <v>430181198112174225</v>
      </c>
      <c r="D3879" t="s">
        <v>1</v>
      </c>
      <c r="E3879" t="s">
        <v>1</v>
      </c>
      <c r="F3879" t="s">
        <v>0</v>
      </c>
      <c r="G3879" t="str">
        <f>"2018-10-17 17:28:00"</f>
        <v>2018-10-17 17:28:00</v>
      </c>
    </row>
    <row r="3880" spans="1:7" x14ac:dyDescent="0.2">
      <c r="A3880" t="s">
        <v>5159</v>
      </c>
      <c r="B3880" t="str">
        <f>"13976737816"</f>
        <v>13976737816</v>
      </c>
      <c r="C3880" t="str">
        <f>"460003198907015413"</f>
        <v>460003198907015413</v>
      </c>
      <c r="D3880" t="s">
        <v>5160</v>
      </c>
      <c r="E3880" t="s">
        <v>5161</v>
      </c>
      <c r="F3880" t="s">
        <v>0</v>
      </c>
      <c r="G3880" t="str">
        <f>"2018-10-17 17:30:56"</f>
        <v>2018-10-17 17:30:56</v>
      </c>
    </row>
    <row r="3881" spans="1:7" x14ac:dyDescent="0.2">
      <c r="A3881" t="s">
        <v>1</v>
      </c>
      <c r="B3881" t="str">
        <f>"17074975810"</f>
        <v>17074975810</v>
      </c>
      <c r="C3881" t="s">
        <v>1</v>
      </c>
      <c r="D3881" t="s">
        <v>1</v>
      </c>
      <c r="E3881" t="s">
        <v>1</v>
      </c>
      <c r="F3881" t="s">
        <v>0</v>
      </c>
      <c r="G3881" t="str">
        <f>"2018-10-17 17:24:44"</f>
        <v>2018-10-17 17:24:44</v>
      </c>
    </row>
    <row r="3882" spans="1:7" x14ac:dyDescent="0.2">
      <c r="A3882" t="s">
        <v>5162</v>
      </c>
      <c r="B3882" t="str">
        <f>"13433970934"</f>
        <v>13433970934</v>
      </c>
      <c r="C3882" t="str">
        <f>"510202198111267016"</f>
        <v>510202198111267016</v>
      </c>
      <c r="D3882" t="s">
        <v>1</v>
      </c>
      <c r="E3882" t="s">
        <v>1</v>
      </c>
      <c r="F3882" t="s">
        <v>0</v>
      </c>
      <c r="G3882" t="str">
        <f>"2018-10-17 17:26:23"</f>
        <v>2018-10-17 17:26:23</v>
      </c>
    </row>
    <row r="3883" spans="1:7" x14ac:dyDescent="0.2">
      <c r="A3883" t="s">
        <v>5163</v>
      </c>
      <c r="B3883" t="str">
        <f>"13025554872"</f>
        <v>13025554872</v>
      </c>
      <c r="C3883" t="str">
        <f>"522122199708124016"</f>
        <v>522122199708124016</v>
      </c>
      <c r="D3883" t="s">
        <v>1</v>
      </c>
      <c r="E3883" t="s">
        <v>1</v>
      </c>
      <c r="F3883" t="s">
        <v>0</v>
      </c>
      <c r="G3883" t="str">
        <f>"2018-10-17 17:25:34"</f>
        <v>2018-10-17 17:25:34</v>
      </c>
    </row>
    <row r="3884" spans="1:7" x14ac:dyDescent="0.2">
      <c r="A3884" t="s">
        <v>1</v>
      </c>
      <c r="B3884" t="str">
        <f>"13559939915"</f>
        <v>13559939915</v>
      </c>
      <c r="C3884" t="s">
        <v>1</v>
      </c>
      <c r="D3884" t="s">
        <v>1</v>
      </c>
      <c r="E3884" t="s">
        <v>1</v>
      </c>
      <c r="F3884" t="s">
        <v>0</v>
      </c>
      <c r="G3884" t="str">
        <f>"2018-10-17 17:23:59"</f>
        <v>2018-10-17 17:23:59</v>
      </c>
    </row>
    <row r="3885" spans="1:7" x14ac:dyDescent="0.2">
      <c r="A3885" t="s">
        <v>5164</v>
      </c>
      <c r="B3885" t="str">
        <f>"13914323636"</f>
        <v>13914323636</v>
      </c>
      <c r="C3885" t="str">
        <f>"320483198503063913"</f>
        <v>320483198503063913</v>
      </c>
      <c r="D3885" t="s">
        <v>1</v>
      </c>
      <c r="E3885" t="s">
        <v>1</v>
      </c>
      <c r="F3885" t="s">
        <v>0</v>
      </c>
      <c r="G3885" t="str">
        <f>"2018-10-17 17:49:42"</f>
        <v>2018-10-17 17:49:42</v>
      </c>
    </row>
    <row r="3886" spans="1:7" x14ac:dyDescent="0.2">
      <c r="A3886" t="s">
        <v>809</v>
      </c>
      <c r="B3886" t="str">
        <f>"13411110190"</f>
        <v>13411110190</v>
      </c>
      <c r="C3886" t="str">
        <f>"440232198903110017"</f>
        <v>440232198903110017</v>
      </c>
      <c r="D3886" t="s">
        <v>1</v>
      </c>
      <c r="E3886" t="s">
        <v>1</v>
      </c>
      <c r="F3886" t="s">
        <v>0</v>
      </c>
      <c r="G3886" t="str">
        <f>"2018-10-17 17:23:55"</f>
        <v>2018-10-17 17:23:55</v>
      </c>
    </row>
    <row r="3887" spans="1:7" x14ac:dyDescent="0.2">
      <c r="A3887" t="s">
        <v>937</v>
      </c>
      <c r="B3887" t="str">
        <f>"15389004980"</f>
        <v>15389004980</v>
      </c>
      <c r="C3887" t="str">
        <f>"610114199311112519"</f>
        <v>610114199311112519</v>
      </c>
      <c r="D3887" t="s">
        <v>1</v>
      </c>
      <c r="E3887" t="s">
        <v>1</v>
      </c>
      <c r="F3887" t="s">
        <v>0</v>
      </c>
      <c r="G3887" t="str">
        <f>"2018-10-18 15:32:36"</f>
        <v>2018-10-18 15:32:36</v>
      </c>
    </row>
    <row r="3888" spans="1:7" x14ac:dyDescent="0.2">
      <c r="A3888" t="s">
        <v>1</v>
      </c>
      <c r="B3888" t="str">
        <f>"15578099954"</f>
        <v>15578099954</v>
      </c>
      <c r="C3888" t="s">
        <v>1</v>
      </c>
      <c r="D3888" t="s">
        <v>1</v>
      </c>
      <c r="E3888" t="s">
        <v>1</v>
      </c>
      <c r="F3888" t="s">
        <v>0</v>
      </c>
      <c r="G3888" t="str">
        <f>"2018-10-17 17:21:39"</f>
        <v>2018-10-17 17:21:39</v>
      </c>
    </row>
    <row r="3889" spans="1:7" x14ac:dyDescent="0.2">
      <c r="A3889" t="s">
        <v>5165</v>
      </c>
      <c r="B3889" t="str">
        <f>"15280116047"</f>
        <v>15280116047</v>
      </c>
      <c r="C3889" t="str">
        <f>"350122199109054112"</f>
        <v>350122199109054112</v>
      </c>
      <c r="D3889" t="s">
        <v>1</v>
      </c>
      <c r="E3889" t="s">
        <v>1</v>
      </c>
      <c r="F3889" t="s">
        <v>0</v>
      </c>
      <c r="G3889" t="str">
        <f>"2018-10-17 17:21:08"</f>
        <v>2018-10-17 17:21:08</v>
      </c>
    </row>
    <row r="3890" spans="1:7" x14ac:dyDescent="0.2">
      <c r="A3890" t="s">
        <v>1100</v>
      </c>
      <c r="B3890" t="str">
        <f>"18267755393"</f>
        <v>18267755393</v>
      </c>
      <c r="C3890" t="str">
        <f>"42280219891115213X"</f>
        <v>42280219891115213X</v>
      </c>
      <c r="D3890" t="s">
        <v>5166</v>
      </c>
      <c r="E3890" t="s">
        <v>5167</v>
      </c>
      <c r="F3890" t="s">
        <v>0</v>
      </c>
      <c r="G3890" t="str">
        <f>"2018-10-17 17:23:13"</f>
        <v>2018-10-17 17:23:13</v>
      </c>
    </row>
    <row r="3891" spans="1:7" x14ac:dyDescent="0.2">
      <c r="A3891" t="s">
        <v>5168</v>
      </c>
      <c r="B3891" t="str">
        <f>"13869587122"</f>
        <v>13869587122</v>
      </c>
      <c r="C3891" t="str">
        <f>"372524198208225971"</f>
        <v>372524198208225971</v>
      </c>
      <c r="D3891" t="s">
        <v>5169</v>
      </c>
      <c r="E3891" t="s">
        <v>5170</v>
      </c>
      <c r="F3891" t="s">
        <v>0</v>
      </c>
      <c r="G3891" t="str">
        <f>"2018-10-17 17:25:48"</f>
        <v>2018-10-17 17:25:48</v>
      </c>
    </row>
    <row r="3892" spans="1:7" x14ac:dyDescent="0.2">
      <c r="A3892" t="s">
        <v>5171</v>
      </c>
      <c r="B3892" t="str">
        <f>"15026876224"</f>
        <v>15026876224</v>
      </c>
      <c r="C3892" t="str">
        <f>"31010819800612481X"</f>
        <v>31010819800612481X</v>
      </c>
      <c r="D3892" t="s">
        <v>5172</v>
      </c>
      <c r="E3892" t="s">
        <v>5173</v>
      </c>
      <c r="F3892" t="s">
        <v>0</v>
      </c>
      <c r="G3892" t="str">
        <f>"2018-10-17 17:27:01"</f>
        <v>2018-10-17 17:27:01</v>
      </c>
    </row>
    <row r="3893" spans="1:7" x14ac:dyDescent="0.2">
      <c r="A3893" t="s">
        <v>5174</v>
      </c>
      <c r="B3893" t="str">
        <f>"18701360906"</f>
        <v>18701360906</v>
      </c>
      <c r="C3893" t="str">
        <f>"110102199103193031"</f>
        <v>110102199103193031</v>
      </c>
      <c r="D3893" t="s">
        <v>5175</v>
      </c>
      <c r="E3893" t="s">
        <v>5176</v>
      </c>
      <c r="F3893" t="s">
        <v>0</v>
      </c>
      <c r="G3893" t="str">
        <f>"2018-10-18 14:41:00"</f>
        <v>2018-10-18 14:41:00</v>
      </c>
    </row>
    <row r="3894" spans="1:7" x14ac:dyDescent="0.2">
      <c r="A3894" t="s">
        <v>1</v>
      </c>
      <c r="B3894" t="str">
        <f>"15078878102"</f>
        <v>15078878102</v>
      </c>
      <c r="C3894" t="s">
        <v>1</v>
      </c>
      <c r="D3894" t="s">
        <v>1</v>
      </c>
      <c r="E3894" t="s">
        <v>1</v>
      </c>
      <c r="F3894" t="s">
        <v>0</v>
      </c>
      <c r="G3894" t="str">
        <f>"2018-10-17 17:20:23"</f>
        <v>2018-10-17 17:20:23</v>
      </c>
    </row>
    <row r="3895" spans="1:7" x14ac:dyDescent="0.2">
      <c r="A3895" t="s">
        <v>5177</v>
      </c>
      <c r="B3895" t="str">
        <f>"13423001256"</f>
        <v>13423001256</v>
      </c>
      <c r="C3895" t="str">
        <f>"430726199502161019"</f>
        <v>430726199502161019</v>
      </c>
      <c r="D3895" t="s">
        <v>5178</v>
      </c>
      <c r="E3895" t="s">
        <v>5178</v>
      </c>
      <c r="F3895" t="s">
        <v>0</v>
      </c>
      <c r="G3895" t="str">
        <f>"2018-10-17 17:22:24"</f>
        <v>2018-10-17 17:22:24</v>
      </c>
    </row>
    <row r="3896" spans="1:7" x14ac:dyDescent="0.2">
      <c r="A3896" t="s">
        <v>5179</v>
      </c>
      <c r="B3896" t="str">
        <f>"17709839309"</f>
        <v>17709839309</v>
      </c>
      <c r="C3896" t="str">
        <f>"230321198903225006"</f>
        <v>230321198903225006</v>
      </c>
      <c r="D3896" t="s">
        <v>1</v>
      </c>
      <c r="E3896" t="s">
        <v>1</v>
      </c>
      <c r="F3896" t="s">
        <v>0</v>
      </c>
      <c r="G3896" t="str">
        <f>"2018-10-21 19:52:09"</f>
        <v>2018-10-21 19:52:09</v>
      </c>
    </row>
    <row r="3897" spans="1:7" x14ac:dyDescent="0.2">
      <c r="A3897" t="s">
        <v>5180</v>
      </c>
      <c r="B3897" t="str">
        <f>"18391753357"</f>
        <v>18391753357</v>
      </c>
      <c r="C3897" t="str">
        <f>"610302199403042533"</f>
        <v>610302199403042533</v>
      </c>
      <c r="D3897" t="s">
        <v>1</v>
      </c>
      <c r="E3897" t="s">
        <v>1</v>
      </c>
      <c r="F3897" t="s">
        <v>0</v>
      </c>
      <c r="G3897" t="str">
        <f>"2018-10-17 17:16:32"</f>
        <v>2018-10-17 17:16:32</v>
      </c>
    </row>
    <row r="3898" spans="1:7" x14ac:dyDescent="0.2">
      <c r="A3898" t="s">
        <v>5181</v>
      </c>
      <c r="B3898" t="str">
        <f>"18842822357"</f>
        <v>18842822357</v>
      </c>
      <c r="C3898" t="str">
        <f>"51132419900404625X"</f>
        <v>51132419900404625X</v>
      </c>
      <c r="D3898" t="s">
        <v>5182</v>
      </c>
      <c r="E3898" t="s">
        <v>5183</v>
      </c>
      <c r="F3898" t="s">
        <v>0</v>
      </c>
      <c r="G3898" t="str">
        <f>"2018-10-18 11:48:14"</f>
        <v>2018-10-18 11:48:14</v>
      </c>
    </row>
    <row r="3899" spans="1:7" x14ac:dyDescent="0.2">
      <c r="A3899" t="s">
        <v>5184</v>
      </c>
      <c r="B3899" t="str">
        <f>"13755559488"</f>
        <v>13755559488</v>
      </c>
      <c r="C3899" t="str">
        <f>"360521198404167016"</f>
        <v>360521198404167016</v>
      </c>
      <c r="D3899" t="s">
        <v>1</v>
      </c>
      <c r="E3899" t="s">
        <v>1</v>
      </c>
      <c r="F3899" t="s">
        <v>0</v>
      </c>
      <c r="G3899" t="str">
        <f>"2018-10-17 17:17:27"</f>
        <v>2018-10-17 17:17:27</v>
      </c>
    </row>
    <row r="3900" spans="1:7" x14ac:dyDescent="0.2">
      <c r="A3900" t="s">
        <v>5185</v>
      </c>
      <c r="B3900" t="str">
        <f>"13617052530"</f>
        <v>13617052530</v>
      </c>
      <c r="C3900" t="str">
        <f>"362201198502282018"</f>
        <v>362201198502282018</v>
      </c>
      <c r="D3900" t="s">
        <v>5186</v>
      </c>
      <c r="E3900" t="s">
        <v>5187</v>
      </c>
      <c r="F3900" t="s">
        <v>0</v>
      </c>
      <c r="G3900" t="str">
        <f>"2018-10-19 19:35:53"</f>
        <v>2018-10-19 19:35:53</v>
      </c>
    </row>
    <row r="3901" spans="1:7" x14ac:dyDescent="0.2">
      <c r="A3901" t="s">
        <v>1</v>
      </c>
      <c r="B3901" t="str">
        <f>"15520079337"</f>
        <v>15520079337</v>
      </c>
      <c r="C3901" t="s">
        <v>1</v>
      </c>
      <c r="D3901" t="s">
        <v>1</v>
      </c>
      <c r="E3901" t="s">
        <v>1</v>
      </c>
      <c r="F3901" t="s">
        <v>0</v>
      </c>
      <c r="G3901" t="str">
        <f>"2018-10-17 17:15:27"</f>
        <v>2018-10-17 17:15:27</v>
      </c>
    </row>
    <row r="3902" spans="1:7" x14ac:dyDescent="0.2">
      <c r="A3902" t="s">
        <v>5188</v>
      </c>
      <c r="B3902" t="str">
        <f>"17339380813"</f>
        <v>17339380813</v>
      </c>
      <c r="C3902" t="str">
        <f>"410928199510013913"</f>
        <v>410928199510013913</v>
      </c>
      <c r="D3902" t="s">
        <v>1</v>
      </c>
      <c r="E3902" t="s">
        <v>1</v>
      </c>
      <c r="F3902" t="s">
        <v>0</v>
      </c>
      <c r="G3902" t="str">
        <f>"2018-10-19 20:34:51"</f>
        <v>2018-10-19 20:34:51</v>
      </c>
    </row>
    <row r="3903" spans="1:7" x14ac:dyDescent="0.2">
      <c r="A3903" t="s">
        <v>5189</v>
      </c>
      <c r="B3903" t="str">
        <f>"18257366892"</f>
        <v>18257366892</v>
      </c>
      <c r="C3903" t="str">
        <f>"350628199607033539"</f>
        <v>350628199607033539</v>
      </c>
      <c r="D3903" t="s">
        <v>1</v>
      </c>
      <c r="E3903" t="s">
        <v>1</v>
      </c>
      <c r="F3903" t="s">
        <v>0</v>
      </c>
      <c r="G3903" t="str">
        <f>"2018-10-17 17:16:45"</f>
        <v>2018-10-17 17:16:45</v>
      </c>
    </row>
    <row r="3904" spans="1:7" x14ac:dyDescent="0.2">
      <c r="A3904" t="s">
        <v>1</v>
      </c>
      <c r="B3904" t="str">
        <f>"13798790242"</f>
        <v>13798790242</v>
      </c>
      <c r="C3904" t="s">
        <v>1</v>
      </c>
      <c r="D3904" t="s">
        <v>1</v>
      </c>
      <c r="E3904" t="s">
        <v>1</v>
      </c>
      <c r="F3904" t="s">
        <v>0</v>
      </c>
      <c r="G3904" t="str">
        <f>"2018-10-17 18:13:58"</f>
        <v>2018-10-17 18:13:58</v>
      </c>
    </row>
    <row r="3905" spans="1:7" x14ac:dyDescent="0.2">
      <c r="A3905" t="s">
        <v>1</v>
      </c>
      <c r="B3905" t="str">
        <f>"15024166071"</f>
        <v>15024166071</v>
      </c>
      <c r="C3905" t="s">
        <v>1</v>
      </c>
      <c r="D3905" t="s">
        <v>1</v>
      </c>
      <c r="E3905" t="s">
        <v>1</v>
      </c>
      <c r="F3905" t="s">
        <v>0</v>
      </c>
      <c r="G3905" t="str">
        <f>"2018-10-17 17:21:25"</f>
        <v>2018-10-17 17:21:25</v>
      </c>
    </row>
    <row r="3906" spans="1:7" x14ac:dyDescent="0.2">
      <c r="A3906" t="s">
        <v>1</v>
      </c>
      <c r="B3906" t="str">
        <f>"18591083385"</f>
        <v>18591083385</v>
      </c>
      <c r="C3906" t="s">
        <v>1</v>
      </c>
      <c r="D3906" t="s">
        <v>1</v>
      </c>
      <c r="E3906" t="s">
        <v>1</v>
      </c>
      <c r="F3906" t="s">
        <v>0</v>
      </c>
      <c r="G3906" t="str">
        <f>"2018-10-17 17:14:58"</f>
        <v>2018-10-17 17:14:58</v>
      </c>
    </row>
    <row r="3907" spans="1:7" x14ac:dyDescent="0.2">
      <c r="A3907" t="s">
        <v>3794</v>
      </c>
      <c r="B3907" t="str">
        <f>"15072142045"</f>
        <v>15072142045</v>
      </c>
      <c r="C3907" t="str">
        <f>"420921198909233419"</f>
        <v>420921198909233419</v>
      </c>
      <c r="D3907" t="s">
        <v>1</v>
      </c>
      <c r="E3907" t="s">
        <v>1</v>
      </c>
      <c r="F3907" t="s">
        <v>0</v>
      </c>
      <c r="G3907" t="str">
        <f>"2018-10-17 17:16:25"</f>
        <v>2018-10-17 17:16:25</v>
      </c>
    </row>
    <row r="3908" spans="1:7" x14ac:dyDescent="0.2">
      <c r="A3908" t="s">
        <v>1</v>
      </c>
      <c r="B3908" t="str">
        <f>"15015024207"</f>
        <v>15015024207</v>
      </c>
      <c r="C3908" t="s">
        <v>1</v>
      </c>
      <c r="D3908" t="s">
        <v>1</v>
      </c>
      <c r="E3908" t="s">
        <v>1</v>
      </c>
      <c r="F3908" t="s">
        <v>0</v>
      </c>
      <c r="G3908" t="str">
        <f>"2018-10-17 17:13:04"</f>
        <v>2018-10-17 17:13:04</v>
      </c>
    </row>
    <row r="3909" spans="1:7" x14ac:dyDescent="0.2">
      <c r="A3909" t="s">
        <v>5190</v>
      </c>
      <c r="B3909" t="str">
        <f>"15203061693"</f>
        <v>15203061693</v>
      </c>
      <c r="C3909" t="str">
        <f>"460033199701094470"</f>
        <v>460033199701094470</v>
      </c>
      <c r="D3909" t="s">
        <v>5191</v>
      </c>
      <c r="E3909" t="s">
        <v>5192</v>
      </c>
      <c r="F3909" t="s">
        <v>0</v>
      </c>
      <c r="G3909" t="str">
        <f>"2018-10-21 18:37:35"</f>
        <v>2018-10-21 18:37:35</v>
      </c>
    </row>
    <row r="3910" spans="1:7" x14ac:dyDescent="0.2">
      <c r="A3910" t="s">
        <v>1</v>
      </c>
      <c r="B3910" t="str">
        <f>"15577806747"</f>
        <v>15577806747</v>
      </c>
      <c r="C3910" t="s">
        <v>1</v>
      </c>
      <c r="D3910" t="s">
        <v>1</v>
      </c>
      <c r="E3910" t="s">
        <v>1</v>
      </c>
      <c r="F3910" t="s">
        <v>0</v>
      </c>
      <c r="G3910" t="str">
        <f>"2018-10-17 17:12:41"</f>
        <v>2018-10-17 17:12:41</v>
      </c>
    </row>
    <row r="3911" spans="1:7" x14ac:dyDescent="0.2">
      <c r="A3911" t="s">
        <v>501</v>
      </c>
      <c r="B3911" t="str">
        <f>"15108227048"</f>
        <v>15108227048</v>
      </c>
      <c r="C3911" t="str">
        <f>"51018319910704735X"</f>
        <v>51018319910704735X</v>
      </c>
      <c r="D3911" t="s">
        <v>1</v>
      </c>
      <c r="E3911" t="s">
        <v>1</v>
      </c>
      <c r="F3911" t="s">
        <v>0</v>
      </c>
      <c r="G3911" t="str">
        <f>"2018-10-17 17:16:46"</f>
        <v>2018-10-17 17:16:46</v>
      </c>
    </row>
    <row r="3912" spans="1:7" x14ac:dyDescent="0.2">
      <c r="A3912" t="s">
        <v>5193</v>
      </c>
      <c r="B3912" t="str">
        <f>"18663950451"</f>
        <v>18663950451</v>
      </c>
      <c r="C3912" t="str">
        <f>"370103198311185554"</f>
        <v>370103198311185554</v>
      </c>
      <c r="D3912" t="s">
        <v>1</v>
      </c>
      <c r="E3912" t="s">
        <v>1</v>
      </c>
      <c r="F3912" t="s">
        <v>0</v>
      </c>
      <c r="G3912" t="str">
        <f>"2018-10-17 17:14:08"</f>
        <v>2018-10-17 17:14:08</v>
      </c>
    </row>
    <row r="3913" spans="1:7" x14ac:dyDescent="0.2">
      <c r="A3913" t="s">
        <v>762</v>
      </c>
      <c r="B3913" t="str">
        <f>"18875389376"</f>
        <v>18875389376</v>
      </c>
      <c r="C3913" t="str">
        <f>"500237199411223130"</f>
        <v>500237199411223130</v>
      </c>
      <c r="D3913" t="s">
        <v>1</v>
      </c>
      <c r="E3913" t="s">
        <v>1</v>
      </c>
      <c r="F3913" t="s">
        <v>0</v>
      </c>
      <c r="G3913" t="str">
        <f>"2018-10-17 17:13:53"</f>
        <v>2018-10-17 17:13:53</v>
      </c>
    </row>
    <row r="3914" spans="1:7" x14ac:dyDescent="0.2">
      <c r="A3914" t="s">
        <v>5194</v>
      </c>
      <c r="B3914" t="str">
        <f>"13831929822"</f>
        <v>13831929822</v>
      </c>
      <c r="C3914" t="str">
        <f>"132229197704245177"</f>
        <v>132229197704245177</v>
      </c>
      <c r="D3914" t="s">
        <v>1</v>
      </c>
      <c r="E3914" t="s">
        <v>1</v>
      </c>
      <c r="F3914" t="s">
        <v>0</v>
      </c>
      <c r="G3914" t="str">
        <f>"2018-10-17 17:13:10"</f>
        <v>2018-10-17 17:13:10</v>
      </c>
    </row>
    <row r="3915" spans="1:7" x14ac:dyDescent="0.2">
      <c r="A3915" t="s">
        <v>5195</v>
      </c>
      <c r="B3915" t="str">
        <f>"15091055759"</f>
        <v>15091055759</v>
      </c>
      <c r="C3915" t="str">
        <f>"610631199409020018"</f>
        <v>610631199409020018</v>
      </c>
      <c r="D3915" t="s">
        <v>1</v>
      </c>
      <c r="E3915" t="s">
        <v>1</v>
      </c>
      <c r="F3915" t="s">
        <v>0</v>
      </c>
      <c r="G3915" t="str">
        <f>"2018-10-17 18:49:29"</f>
        <v>2018-10-17 18:49:29</v>
      </c>
    </row>
    <row r="3916" spans="1:7" x14ac:dyDescent="0.2">
      <c r="A3916" t="s">
        <v>5196</v>
      </c>
      <c r="B3916" t="str">
        <f>"13729923082"</f>
        <v>13729923082</v>
      </c>
      <c r="C3916" t="str">
        <f>"441881198201165911"</f>
        <v>441881198201165911</v>
      </c>
      <c r="D3916" t="s">
        <v>1</v>
      </c>
      <c r="E3916" t="s">
        <v>1</v>
      </c>
      <c r="F3916" t="s">
        <v>0</v>
      </c>
      <c r="G3916" t="str">
        <f>"2018-10-18 08:17:23"</f>
        <v>2018-10-18 08:17:23</v>
      </c>
    </row>
    <row r="3917" spans="1:7" x14ac:dyDescent="0.2">
      <c r="A3917" t="s">
        <v>1</v>
      </c>
      <c r="B3917" t="str">
        <f>"13845770591"</f>
        <v>13845770591</v>
      </c>
      <c r="C3917" t="s">
        <v>1</v>
      </c>
      <c r="D3917" t="s">
        <v>1</v>
      </c>
      <c r="E3917" t="s">
        <v>1</v>
      </c>
      <c r="F3917" t="s">
        <v>0</v>
      </c>
      <c r="G3917" t="str">
        <f>"2018-10-17 17:08:59"</f>
        <v>2018-10-17 17:08:59</v>
      </c>
    </row>
    <row r="3918" spans="1:7" x14ac:dyDescent="0.2">
      <c r="A3918" t="s">
        <v>5197</v>
      </c>
      <c r="B3918" t="str">
        <f>"13712126057"</f>
        <v>13712126057</v>
      </c>
      <c r="C3918" t="str">
        <f>"441900199410073353"</f>
        <v>441900199410073353</v>
      </c>
      <c r="D3918" t="s">
        <v>1</v>
      </c>
      <c r="E3918" t="s">
        <v>1</v>
      </c>
      <c r="F3918" t="s">
        <v>0</v>
      </c>
      <c r="G3918" t="str">
        <f>"2018-10-17 17:09:32"</f>
        <v>2018-10-17 17:09:32</v>
      </c>
    </row>
    <row r="3919" spans="1:7" x14ac:dyDescent="0.2">
      <c r="A3919" t="s">
        <v>5198</v>
      </c>
      <c r="B3919" t="str">
        <f>"13898133040"</f>
        <v>13898133040</v>
      </c>
      <c r="C3919" t="str">
        <f>"210106199401152114"</f>
        <v>210106199401152114</v>
      </c>
      <c r="D3919" t="s">
        <v>1</v>
      </c>
      <c r="E3919" t="s">
        <v>1</v>
      </c>
      <c r="F3919" t="s">
        <v>0</v>
      </c>
      <c r="G3919" t="str">
        <f>"2018-10-17 19:41:19"</f>
        <v>2018-10-17 19:41:19</v>
      </c>
    </row>
    <row r="3920" spans="1:7" x14ac:dyDescent="0.2">
      <c r="A3920" t="s">
        <v>5075</v>
      </c>
      <c r="B3920" t="str">
        <f>"13035376631"</f>
        <v>13035376631</v>
      </c>
      <c r="C3920" t="str">
        <f>"42900519790104065X"</f>
        <v>42900519790104065X</v>
      </c>
      <c r="D3920" t="s">
        <v>5199</v>
      </c>
      <c r="E3920" t="s">
        <v>5200</v>
      </c>
      <c r="F3920" t="s">
        <v>0</v>
      </c>
      <c r="G3920" t="str">
        <f>"2018-10-17 17:06:35"</f>
        <v>2018-10-17 17:06:35</v>
      </c>
    </row>
    <row r="3921" spans="1:7" x14ac:dyDescent="0.2">
      <c r="A3921" t="s">
        <v>5201</v>
      </c>
      <c r="B3921" t="str">
        <f>"18388842565"</f>
        <v>18388842565</v>
      </c>
      <c r="C3921" t="str">
        <f>"43022519760302001X"</f>
        <v>43022519760302001X</v>
      </c>
      <c r="D3921" t="s">
        <v>1</v>
      </c>
      <c r="E3921" t="s">
        <v>1</v>
      </c>
      <c r="F3921" t="s">
        <v>0</v>
      </c>
      <c r="G3921" t="str">
        <f>"2018-10-17 22:49:04"</f>
        <v>2018-10-17 22:49:04</v>
      </c>
    </row>
    <row r="3922" spans="1:7" x14ac:dyDescent="0.2">
      <c r="A3922" t="s">
        <v>1</v>
      </c>
      <c r="B3922" t="str">
        <f>"15288160853"</f>
        <v>15288160853</v>
      </c>
      <c r="C3922" t="s">
        <v>1</v>
      </c>
      <c r="D3922" t="s">
        <v>1</v>
      </c>
      <c r="E3922" t="s">
        <v>1</v>
      </c>
      <c r="F3922" t="s">
        <v>0</v>
      </c>
      <c r="G3922" t="str">
        <f>"2018-10-19 14:31:56"</f>
        <v>2018-10-19 14:31:56</v>
      </c>
    </row>
    <row r="3923" spans="1:7" x14ac:dyDescent="0.2">
      <c r="A3923" t="s">
        <v>1</v>
      </c>
      <c r="B3923" t="str">
        <f>"18776469952"</f>
        <v>18776469952</v>
      </c>
      <c r="C3923" t="s">
        <v>1</v>
      </c>
      <c r="D3923" t="s">
        <v>1</v>
      </c>
      <c r="E3923" t="s">
        <v>1</v>
      </c>
      <c r="F3923" t="s">
        <v>0</v>
      </c>
      <c r="G3923" t="str">
        <f>"2018-10-17 17:06:30"</f>
        <v>2018-10-17 17:06:30</v>
      </c>
    </row>
    <row r="3924" spans="1:7" x14ac:dyDescent="0.2">
      <c r="A3924" t="s">
        <v>5202</v>
      </c>
      <c r="B3924" t="str">
        <f>"13926252833"</f>
        <v>13926252833</v>
      </c>
      <c r="C3924" t="str">
        <f>"440111198209050950"</f>
        <v>440111198209050950</v>
      </c>
      <c r="D3924" t="s">
        <v>1</v>
      </c>
      <c r="E3924" t="s">
        <v>1</v>
      </c>
      <c r="F3924" t="s">
        <v>0</v>
      </c>
      <c r="G3924" t="str">
        <f>"2018-10-17 17:10:59"</f>
        <v>2018-10-17 17:10:59</v>
      </c>
    </row>
    <row r="3925" spans="1:7" x14ac:dyDescent="0.2">
      <c r="A3925" t="s">
        <v>5203</v>
      </c>
      <c r="B3925" t="str">
        <f>"13574383086"</f>
        <v>13574383086</v>
      </c>
      <c r="C3925" t="str">
        <f>"433127198411223239"</f>
        <v>433127198411223239</v>
      </c>
      <c r="D3925" t="s">
        <v>1</v>
      </c>
      <c r="E3925" t="s">
        <v>1</v>
      </c>
      <c r="F3925" t="s">
        <v>0</v>
      </c>
      <c r="G3925" t="str">
        <f>"2018-10-17 17:15:29"</f>
        <v>2018-10-17 17:15:29</v>
      </c>
    </row>
    <row r="3926" spans="1:7" x14ac:dyDescent="0.2">
      <c r="A3926" t="s">
        <v>5204</v>
      </c>
      <c r="B3926" t="str">
        <f>"15867983311"</f>
        <v>15867983311</v>
      </c>
      <c r="C3926" t="str">
        <f>"330782199606200438"</f>
        <v>330782199606200438</v>
      </c>
      <c r="D3926" t="s">
        <v>5205</v>
      </c>
      <c r="E3926" t="s">
        <v>5206</v>
      </c>
      <c r="F3926" t="s">
        <v>0</v>
      </c>
      <c r="G3926" t="str">
        <f>"2018-10-17 17:08:43"</f>
        <v>2018-10-17 17:08:43</v>
      </c>
    </row>
    <row r="3927" spans="1:7" x14ac:dyDescent="0.2">
      <c r="A3927" t="s">
        <v>5207</v>
      </c>
      <c r="B3927" t="str">
        <f>"17666059640"</f>
        <v>17666059640</v>
      </c>
      <c r="C3927" t="str">
        <f>"500230199907031576"</f>
        <v>500230199907031576</v>
      </c>
      <c r="D3927" t="s">
        <v>1</v>
      </c>
      <c r="E3927" t="s">
        <v>1</v>
      </c>
      <c r="F3927" t="s">
        <v>0</v>
      </c>
      <c r="G3927" t="str">
        <f>"2018-10-17 17:06:51"</f>
        <v>2018-10-17 17:06:51</v>
      </c>
    </row>
    <row r="3928" spans="1:7" x14ac:dyDescent="0.2">
      <c r="A3928" t="s">
        <v>5208</v>
      </c>
      <c r="B3928" t="str">
        <f>"17621452057"</f>
        <v>17621452057</v>
      </c>
      <c r="C3928" t="str">
        <f>"41133019991105293X"</f>
        <v>41133019991105293X</v>
      </c>
      <c r="D3928" t="s">
        <v>5209</v>
      </c>
      <c r="E3928" t="s">
        <v>5210</v>
      </c>
      <c r="F3928" t="s">
        <v>0</v>
      </c>
      <c r="G3928" t="str">
        <f>"2018-10-17 17:13:45"</f>
        <v>2018-10-17 17:13:45</v>
      </c>
    </row>
    <row r="3929" spans="1:7" x14ac:dyDescent="0.2">
      <c r="A3929" t="s">
        <v>96</v>
      </c>
      <c r="B3929" t="str">
        <f>"17397919327"</f>
        <v>17397919327</v>
      </c>
      <c r="C3929" t="str">
        <f>"513433199606120035"</f>
        <v>513433199606120035</v>
      </c>
      <c r="D3929" t="s">
        <v>5211</v>
      </c>
      <c r="E3929" t="s">
        <v>5212</v>
      </c>
      <c r="F3929" t="s">
        <v>0</v>
      </c>
      <c r="G3929" t="str">
        <f>"2018-10-17 17:04:45"</f>
        <v>2018-10-17 17:04:45</v>
      </c>
    </row>
    <row r="3930" spans="1:7" x14ac:dyDescent="0.2">
      <c r="A3930" t="s">
        <v>5213</v>
      </c>
      <c r="B3930" t="str">
        <f>"15043465744"</f>
        <v>15043465744</v>
      </c>
      <c r="C3930" t="str">
        <f>"220503197304061531"</f>
        <v>220503197304061531</v>
      </c>
      <c r="D3930" t="s">
        <v>1</v>
      </c>
      <c r="E3930" t="s">
        <v>1</v>
      </c>
      <c r="F3930" t="s">
        <v>0</v>
      </c>
      <c r="G3930" t="str">
        <f>"2018-10-17 17:07:53"</f>
        <v>2018-10-17 17:07:53</v>
      </c>
    </row>
    <row r="3931" spans="1:7" x14ac:dyDescent="0.2">
      <c r="A3931" t="s">
        <v>1</v>
      </c>
      <c r="B3931" t="str">
        <f>"15217700611"</f>
        <v>15217700611</v>
      </c>
      <c r="C3931" t="s">
        <v>1</v>
      </c>
      <c r="D3931" t="s">
        <v>1</v>
      </c>
      <c r="E3931" t="s">
        <v>1</v>
      </c>
      <c r="F3931" t="s">
        <v>0</v>
      </c>
      <c r="G3931" t="str">
        <f>"2018-10-17 17:04:24"</f>
        <v>2018-10-17 17:04:24</v>
      </c>
    </row>
    <row r="3932" spans="1:7" x14ac:dyDescent="0.2">
      <c r="A3932" t="s">
        <v>1369</v>
      </c>
      <c r="B3932" t="str">
        <f>"13980570873"</f>
        <v>13980570873</v>
      </c>
      <c r="C3932" t="str">
        <f>"511321198602237378"</f>
        <v>511321198602237378</v>
      </c>
      <c r="D3932" t="s">
        <v>5214</v>
      </c>
      <c r="E3932" t="s">
        <v>5215</v>
      </c>
      <c r="F3932" t="s">
        <v>0</v>
      </c>
      <c r="G3932" t="str">
        <f>"2018-10-17 17:05:57"</f>
        <v>2018-10-17 17:05:57</v>
      </c>
    </row>
    <row r="3933" spans="1:7" x14ac:dyDescent="0.2">
      <c r="A3933" t="s">
        <v>5216</v>
      </c>
      <c r="B3933" t="str">
        <f>"15652111609"</f>
        <v>15652111609</v>
      </c>
      <c r="C3933" t="str">
        <f>"230804197307081321"</f>
        <v>230804197307081321</v>
      </c>
      <c r="D3933" t="s">
        <v>1</v>
      </c>
      <c r="E3933" t="s">
        <v>1</v>
      </c>
      <c r="F3933" t="s">
        <v>0</v>
      </c>
      <c r="G3933" t="str">
        <f>"2018-10-18 13:17:08"</f>
        <v>2018-10-18 13:17:08</v>
      </c>
    </row>
    <row r="3934" spans="1:7" x14ac:dyDescent="0.2">
      <c r="A3934" t="s">
        <v>5217</v>
      </c>
      <c r="B3934" t="str">
        <f>"15570078379"</f>
        <v>15570078379</v>
      </c>
      <c r="C3934" t="str">
        <f>"360721200008010077"</f>
        <v>360721200008010077</v>
      </c>
      <c r="D3934" t="s">
        <v>1</v>
      </c>
      <c r="E3934" t="s">
        <v>1</v>
      </c>
      <c r="F3934" t="s">
        <v>0</v>
      </c>
      <c r="G3934" t="str">
        <f>"2018-10-17 17:08:37"</f>
        <v>2018-10-17 17:08:37</v>
      </c>
    </row>
    <row r="3935" spans="1:7" x14ac:dyDescent="0.2">
      <c r="A3935" t="s">
        <v>5218</v>
      </c>
      <c r="B3935" t="str">
        <f>"13511778825"</f>
        <v>13511778825</v>
      </c>
      <c r="C3935" t="str">
        <f>"321322198805140024"</f>
        <v>321322198805140024</v>
      </c>
      <c r="D3935" t="s">
        <v>1</v>
      </c>
      <c r="E3935" t="s">
        <v>1</v>
      </c>
      <c r="F3935" t="s">
        <v>0</v>
      </c>
      <c r="G3935" t="str">
        <f>"2018-10-17 17:04:52"</f>
        <v>2018-10-17 17:04:52</v>
      </c>
    </row>
    <row r="3936" spans="1:7" x14ac:dyDescent="0.2">
      <c r="A3936" t="s">
        <v>5219</v>
      </c>
      <c r="B3936" t="str">
        <f>"13027650084"</f>
        <v>13027650084</v>
      </c>
      <c r="C3936" t="str">
        <f>"412727198611073536"</f>
        <v>412727198611073536</v>
      </c>
      <c r="D3936" t="s">
        <v>1</v>
      </c>
      <c r="E3936" t="s">
        <v>1</v>
      </c>
      <c r="F3936" t="s">
        <v>0</v>
      </c>
      <c r="G3936" t="str">
        <f>"2018-10-17 17:07:41"</f>
        <v>2018-10-17 17:07:41</v>
      </c>
    </row>
    <row r="3937" spans="1:7" x14ac:dyDescent="0.2">
      <c r="A3937" t="s">
        <v>664</v>
      </c>
      <c r="B3937" t="str">
        <f>"18658121166"</f>
        <v>18658121166</v>
      </c>
      <c r="C3937" t="str">
        <f>"330104198309301914"</f>
        <v>330104198309301914</v>
      </c>
      <c r="D3937" t="s">
        <v>1</v>
      </c>
      <c r="E3937" t="s">
        <v>1</v>
      </c>
      <c r="F3937" t="s">
        <v>0</v>
      </c>
      <c r="G3937" t="str">
        <f>"2018-10-17 17:15:02"</f>
        <v>2018-10-17 17:15:02</v>
      </c>
    </row>
    <row r="3938" spans="1:7" x14ac:dyDescent="0.2">
      <c r="A3938" t="s">
        <v>5220</v>
      </c>
      <c r="B3938" t="str">
        <f>"18819270014"</f>
        <v>18819270014</v>
      </c>
      <c r="C3938" t="str">
        <f>"445122199403021713"</f>
        <v>445122199403021713</v>
      </c>
      <c r="D3938" t="s">
        <v>1</v>
      </c>
      <c r="E3938" t="s">
        <v>1</v>
      </c>
      <c r="F3938" t="s">
        <v>0</v>
      </c>
      <c r="G3938" t="str">
        <f>"2018-10-17 17:05:00"</f>
        <v>2018-10-17 17:05:00</v>
      </c>
    </row>
    <row r="3939" spans="1:7" x14ac:dyDescent="0.2">
      <c r="A3939" t="s">
        <v>5221</v>
      </c>
      <c r="B3939" t="str">
        <f>"13649294823"</f>
        <v>13649294823</v>
      </c>
      <c r="C3939" t="str">
        <f>"432424197105182231"</f>
        <v>432424197105182231</v>
      </c>
      <c r="D3939" t="s">
        <v>1</v>
      </c>
      <c r="E3939" t="s">
        <v>1</v>
      </c>
      <c r="F3939" t="s">
        <v>0</v>
      </c>
      <c r="G3939" t="str">
        <f>"2018-10-21 17:00:28"</f>
        <v>2018-10-21 17:00:28</v>
      </c>
    </row>
    <row r="3940" spans="1:7" x14ac:dyDescent="0.2">
      <c r="A3940" t="s">
        <v>5222</v>
      </c>
      <c r="B3940" t="str">
        <f>"15076611662"</f>
        <v>15076611662</v>
      </c>
      <c r="C3940" t="str">
        <f>"13102519940503155X"</f>
        <v>13102519940503155X</v>
      </c>
      <c r="D3940" t="s">
        <v>1</v>
      </c>
      <c r="E3940" t="s">
        <v>1</v>
      </c>
      <c r="F3940" t="s">
        <v>0</v>
      </c>
      <c r="G3940" t="str">
        <f>"2018-10-17 17:00:09"</f>
        <v>2018-10-17 17:00:09</v>
      </c>
    </row>
    <row r="3941" spans="1:7" x14ac:dyDescent="0.2">
      <c r="A3941" t="s">
        <v>5223</v>
      </c>
      <c r="B3941" t="str">
        <f>"13467861699"</f>
        <v>13467861699</v>
      </c>
      <c r="C3941" t="str">
        <f>"431026198208203036"</f>
        <v>431026198208203036</v>
      </c>
      <c r="D3941" t="s">
        <v>1</v>
      </c>
      <c r="E3941" t="s">
        <v>1</v>
      </c>
      <c r="F3941" t="s">
        <v>0</v>
      </c>
      <c r="G3941" t="str">
        <f>"2018-10-17 17:01:00"</f>
        <v>2018-10-17 17:01:00</v>
      </c>
    </row>
    <row r="3942" spans="1:7" x14ac:dyDescent="0.2">
      <c r="A3942" t="s">
        <v>5224</v>
      </c>
      <c r="B3942" t="str">
        <f>"15919269340"</f>
        <v>15919269340</v>
      </c>
      <c r="C3942" t="str">
        <f>"37292319980929442X"</f>
        <v>37292319980929442X</v>
      </c>
      <c r="D3942" t="s">
        <v>1</v>
      </c>
      <c r="E3942" t="s">
        <v>1</v>
      </c>
      <c r="F3942" t="s">
        <v>0</v>
      </c>
      <c r="G3942" t="str">
        <f>"2018-10-17 17:05:55"</f>
        <v>2018-10-17 17:05:55</v>
      </c>
    </row>
    <row r="3943" spans="1:7" x14ac:dyDescent="0.2">
      <c r="A3943" t="s">
        <v>1</v>
      </c>
      <c r="B3943" t="str">
        <f>"13592103737"</f>
        <v>13592103737</v>
      </c>
      <c r="C3943" t="s">
        <v>1</v>
      </c>
      <c r="D3943" t="s">
        <v>1</v>
      </c>
      <c r="E3943" t="s">
        <v>1</v>
      </c>
      <c r="F3943" t="s">
        <v>0</v>
      </c>
      <c r="G3943" t="str">
        <f>"2018-10-17 16:59:19"</f>
        <v>2018-10-17 16:59:19</v>
      </c>
    </row>
    <row r="3944" spans="1:7" x14ac:dyDescent="0.2">
      <c r="A3944" t="s">
        <v>5225</v>
      </c>
      <c r="B3944" t="str">
        <f>"18276627500"</f>
        <v>18276627500</v>
      </c>
      <c r="C3944" t="str">
        <f>"450721198510215352"</f>
        <v>450721198510215352</v>
      </c>
      <c r="D3944" t="s">
        <v>1</v>
      </c>
      <c r="E3944" t="s">
        <v>1</v>
      </c>
      <c r="F3944" t="s">
        <v>0</v>
      </c>
      <c r="G3944" t="str">
        <f>"2018-10-17 17:00:03"</f>
        <v>2018-10-17 17:00:03</v>
      </c>
    </row>
    <row r="3945" spans="1:7" x14ac:dyDescent="0.2">
      <c r="A3945" t="s">
        <v>5226</v>
      </c>
      <c r="B3945" t="str">
        <f>"18545724987"</f>
        <v>18545724987</v>
      </c>
      <c r="C3945" t="str">
        <f>"230623199103210838"</f>
        <v>230623199103210838</v>
      </c>
      <c r="D3945" t="s">
        <v>1</v>
      </c>
      <c r="E3945" t="s">
        <v>1</v>
      </c>
      <c r="F3945" t="s">
        <v>0</v>
      </c>
      <c r="G3945" t="str">
        <f>"2018-10-19 06:22:07"</f>
        <v>2018-10-19 06:22:07</v>
      </c>
    </row>
    <row r="3946" spans="1:7" x14ac:dyDescent="0.2">
      <c r="A3946" t="s">
        <v>1</v>
      </c>
      <c r="B3946" t="str">
        <f>"13299400264"</f>
        <v>13299400264</v>
      </c>
      <c r="C3946" t="s">
        <v>1</v>
      </c>
      <c r="D3946" t="s">
        <v>1</v>
      </c>
      <c r="E3946" t="s">
        <v>1</v>
      </c>
      <c r="F3946" t="s">
        <v>0</v>
      </c>
      <c r="G3946" t="str">
        <f>"2018-10-17 16:58:46"</f>
        <v>2018-10-17 16:58:46</v>
      </c>
    </row>
    <row r="3947" spans="1:7" x14ac:dyDescent="0.2">
      <c r="A3947" t="s">
        <v>5227</v>
      </c>
      <c r="B3947" t="str">
        <f>"15829628747"</f>
        <v>15829628747</v>
      </c>
      <c r="C3947" t="str">
        <f>"522425197712080067"</f>
        <v>522425197712080067</v>
      </c>
      <c r="D3947" t="s">
        <v>1</v>
      </c>
      <c r="E3947" t="s">
        <v>1</v>
      </c>
      <c r="F3947" t="s">
        <v>0</v>
      </c>
      <c r="G3947" t="str">
        <f>"2018-10-17 16:59:52"</f>
        <v>2018-10-17 16:59:52</v>
      </c>
    </row>
    <row r="3948" spans="1:7" x14ac:dyDescent="0.2">
      <c r="A3948" t="s">
        <v>5228</v>
      </c>
      <c r="B3948" t="str">
        <f>"15136396093"</f>
        <v>15136396093</v>
      </c>
      <c r="C3948" t="str">
        <f>"410325199009234534"</f>
        <v>410325199009234534</v>
      </c>
      <c r="D3948" t="s">
        <v>1</v>
      </c>
      <c r="E3948" t="s">
        <v>1</v>
      </c>
      <c r="F3948" t="s">
        <v>0</v>
      </c>
      <c r="G3948" t="str">
        <f>"2018-10-17 16:59:48"</f>
        <v>2018-10-17 16:59:48</v>
      </c>
    </row>
    <row r="3949" spans="1:7" x14ac:dyDescent="0.2">
      <c r="A3949" t="s">
        <v>5229</v>
      </c>
      <c r="B3949" t="str">
        <f>"13299107018"</f>
        <v>13299107018</v>
      </c>
      <c r="C3949" t="str">
        <f>"61032719821114153X"</f>
        <v>61032719821114153X</v>
      </c>
      <c r="D3949" t="s">
        <v>1</v>
      </c>
      <c r="E3949" t="s">
        <v>1</v>
      </c>
      <c r="F3949" t="s">
        <v>0</v>
      </c>
      <c r="G3949" t="str">
        <f>"2018-10-17 16:59:40"</f>
        <v>2018-10-17 16:59:40</v>
      </c>
    </row>
    <row r="3950" spans="1:7" x14ac:dyDescent="0.2">
      <c r="A3950" t="s">
        <v>5230</v>
      </c>
      <c r="B3950" t="str">
        <f>"15143111137"</f>
        <v>15143111137</v>
      </c>
      <c r="C3950" t="str">
        <f>"22018119960409311X"</f>
        <v>22018119960409311X</v>
      </c>
      <c r="D3950" t="s">
        <v>5231</v>
      </c>
      <c r="E3950" t="s">
        <v>5232</v>
      </c>
      <c r="F3950" t="s">
        <v>0</v>
      </c>
      <c r="G3950" t="str">
        <f>"2018-10-17 16:57:48"</f>
        <v>2018-10-17 16:57:48</v>
      </c>
    </row>
    <row r="3951" spans="1:7" x14ac:dyDescent="0.2">
      <c r="A3951" t="s">
        <v>5233</v>
      </c>
      <c r="B3951" t="str">
        <f>"13878617112"</f>
        <v>13878617112</v>
      </c>
      <c r="C3951" t="str">
        <f>"452122198105055119"</f>
        <v>452122198105055119</v>
      </c>
      <c r="D3951" t="s">
        <v>1</v>
      </c>
      <c r="E3951" t="s">
        <v>1</v>
      </c>
      <c r="F3951" t="s">
        <v>0</v>
      </c>
      <c r="G3951" t="str">
        <f>"2018-10-18 14:06:04"</f>
        <v>2018-10-18 14:06:04</v>
      </c>
    </row>
    <row r="3952" spans="1:7" x14ac:dyDescent="0.2">
      <c r="A3952" t="s">
        <v>1</v>
      </c>
      <c r="B3952" t="str">
        <f>"13989989561"</f>
        <v>13989989561</v>
      </c>
      <c r="C3952" t="s">
        <v>1</v>
      </c>
      <c r="D3952" t="s">
        <v>1</v>
      </c>
      <c r="E3952" t="s">
        <v>1</v>
      </c>
      <c r="F3952" t="s">
        <v>0</v>
      </c>
      <c r="G3952" t="str">
        <f>"2018-10-17 16:56:40"</f>
        <v>2018-10-17 16:56:40</v>
      </c>
    </row>
    <row r="3953" spans="1:7" x14ac:dyDescent="0.2">
      <c r="A3953" t="s">
        <v>5234</v>
      </c>
      <c r="B3953" t="str">
        <f>"17620867724"</f>
        <v>17620867724</v>
      </c>
      <c r="C3953" t="str">
        <f>"430422199512019436"</f>
        <v>430422199512019436</v>
      </c>
      <c r="D3953" t="s">
        <v>1</v>
      </c>
      <c r="E3953" t="s">
        <v>1</v>
      </c>
      <c r="F3953" t="s">
        <v>0</v>
      </c>
      <c r="G3953" t="str">
        <f>"2018-10-17 16:58:32"</f>
        <v>2018-10-17 16:58:32</v>
      </c>
    </row>
    <row r="3954" spans="1:7" x14ac:dyDescent="0.2">
      <c r="A3954" t="s">
        <v>5235</v>
      </c>
      <c r="B3954" t="str">
        <f>"15038800765"</f>
        <v>15038800765</v>
      </c>
      <c r="C3954" t="str">
        <f>"410481199102052010"</f>
        <v>410481199102052010</v>
      </c>
      <c r="D3954" t="s">
        <v>1</v>
      </c>
      <c r="E3954" t="s">
        <v>1</v>
      </c>
      <c r="F3954" t="s">
        <v>0</v>
      </c>
      <c r="G3954" t="str">
        <f>"2018-10-25 12:30:34"</f>
        <v>2018-10-25 12:30:34</v>
      </c>
    </row>
    <row r="3955" spans="1:7" x14ac:dyDescent="0.2">
      <c r="A3955" t="s">
        <v>5236</v>
      </c>
      <c r="B3955" t="str">
        <f>"18508472119"</f>
        <v>18508472119</v>
      </c>
      <c r="C3955" t="str">
        <f>"430423199306045816"</f>
        <v>430423199306045816</v>
      </c>
      <c r="D3955" t="s">
        <v>1</v>
      </c>
      <c r="E3955" t="s">
        <v>1</v>
      </c>
      <c r="F3955" t="s">
        <v>0</v>
      </c>
      <c r="G3955" t="str">
        <f>"2018-10-17 16:55:31"</f>
        <v>2018-10-17 16:55:31</v>
      </c>
    </row>
    <row r="3956" spans="1:7" x14ac:dyDescent="0.2">
      <c r="A3956" t="s">
        <v>1</v>
      </c>
      <c r="B3956" t="str">
        <f>"18317803956"</f>
        <v>18317803956</v>
      </c>
      <c r="C3956" t="s">
        <v>1</v>
      </c>
      <c r="D3956" t="s">
        <v>1</v>
      </c>
      <c r="E3956" t="s">
        <v>1</v>
      </c>
      <c r="F3956" t="s">
        <v>0</v>
      </c>
      <c r="G3956" t="str">
        <f>"2018-10-17 16:54:39"</f>
        <v>2018-10-17 16:54:39</v>
      </c>
    </row>
    <row r="3957" spans="1:7" x14ac:dyDescent="0.2">
      <c r="A3957" t="s">
        <v>5237</v>
      </c>
      <c r="B3957" t="str">
        <f>"18349222441"</f>
        <v>18349222441</v>
      </c>
      <c r="C3957" t="str">
        <f>"510602198201043579"</f>
        <v>510602198201043579</v>
      </c>
      <c r="D3957" t="s">
        <v>1</v>
      </c>
      <c r="E3957" t="s">
        <v>1</v>
      </c>
      <c r="F3957" t="s">
        <v>0</v>
      </c>
      <c r="G3957" t="str">
        <f>"2018-10-17 16:57:16"</f>
        <v>2018-10-17 16:57:16</v>
      </c>
    </row>
    <row r="3958" spans="1:7" x14ac:dyDescent="0.2">
      <c r="A3958" t="s">
        <v>1</v>
      </c>
      <c r="B3958" t="str">
        <f>"13617540110"</f>
        <v>13617540110</v>
      </c>
      <c r="C3958" t="s">
        <v>1</v>
      </c>
      <c r="D3958" t="s">
        <v>1</v>
      </c>
      <c r="E3958" t="s">
        <v>1</v>
      </c>
      <c r="F3958" t="s">
        <v>0</v>
      </c>
      <c r="G3958" t="str">
        <f>"2018-10-17 16:54:33"</f>
        <v>2018-10-17 16:54:33</v>
      </c>
    </row>
    <row r="3959" spans="1:7" x14ac:dyDescent="0.2">
      <c r="A3959" t="s">
        <v>5238</v>
      </c>
      <c r="B3959" t="str">
        <f>"18608710220"</f>
        <v>18608710220</v>
      </c>
      <c r="C3959" t="str">
        <f>"532923198907142337"</f>
        <v>532923198907142337</v>
      </c>
      <c r="D3959" t="s">
        <v>1</v>
      </c>
      <c r="E3959" t="s">
        <v>1</v>
      </c>
      <c r="F3959" t="s">
        <v>0</v>
      </c>
      <c r="G3959" t="str">
        <f>"2018-10-17 16:55:22"</f>
        <v>2018-10-17 16:55:22</v>
      </c>
    </row>
    <row r="3960" spans="1:7" x14ac:dyDescent="0.2">
      <c r="A3960" t="s">
        <v>5239</v>
      </c>
      <c r="B3960" t="str">
        <f>"18151121324"</f>
        <v>18151121324</v>
      </c>
      <c r="C3960" t="str">
        <f>"420684198903091519"</f>
        <v>420684198903091519</v>
      </c>
      <c r="D3960" t="s">
        <v>1</v>
      </c>
      <c r="E3960" t="s">
        <v>1</v>
      </c>
      <c r="F3960" t="s">
        <v>0</v>
      </c>
      <c r="G3960" t="str">
        <f>"2018-10-17 16:55:51"</f>
        <v>2018-10-17 16:55:51</v>
      </c>
    </row>
    <row r="3961" spans="1:7" x14ac:dyDescent="0.2">
      <c r="A3961" t="s">
        <v>5240</v>
      </c>
      <c r="B3961" t="str">
        <f>"13889575317"</f>
        <v>13889575317</v>
      </c>
      <c r="C3961" t="str">
        <f>"210213198806055616"</f>
        <v>210213198806055616</v>
      </c>
      <c r="D3961" t="s">
        <v>1</v>
      </c>
      <c r="E3961" t="s">
        <v>1</v>
      </c>
      <c r="F3961" t="s">
        <v>0</v>
      </c>
      <c r="G3961" t="str">
        <f>"2018-10-17 16:58:02"</f>
        <v>2018-10-17 16:58:02</v>
      </c>
    </row>
    <row r="3962" spans="1:7" x14ac:dyDescent="0.2">
      <c r="A3962" t="s">
        <v>5241</v>
      </c>
      <c r="B3962" t="str">
        <f>"13616187676"</f>
        <v>13616187676</v>
      </c>
      <c r="C3962" t="str">
        <f>"320882199110276432"</f>
        <v>320882199110276432</v>
      </c>
      <c r="D3962" t="s">
        <v>1</v>
      </c>
      <c r="E3962" t="s">
        <v>1</v>
      </c>
      <c r="F3962" t="s">
        <v>0</v>
      </c>
      <c r="G3962" t="str">
        <f>"2018-10-17 16:56:21"</f>
        <v>2018-10-17 16:56:21</v>
      </c>
    </row>
    <row r="3963" spans="1:7" x14ac:dyDescent="0.2">
      <c r="A3963" t="s">
        <v>5242</v>
      </c>
      <c r="B3963" t="str">
        <f>"15263693344"</f>
        <v>15263693344</v>
      </c>
      <c r="C3963" t="str">
        <f>"370783199905062913"</f>
        <v>370783199905062913</v>
      </c>
      <c r="D3963" t="s">
        <v>5243</v>
      </c>
      <c r="E3963" t="s">
        <v>5244</v>
      </c>
      <c r="F3963" t="s">
        <v>0</v>
      </c>
      <c r="G3963" t="str">
        <f>"2018-10-17 16:53:19"</f>
        <v>2018-10-17 16:53:19</v>
      </c>
    </row>
    <row r="3964" spans="1:7" x14ac:dyDescent="0.2">
      <c r="A3964" t="s">
        <v>1</v>
      </c>
      <c r="B3964" t="str">
        <f>"13178854138"</f>
        <v>13178854138</v>
      </c>
      <c r="C3964" t="s">
        <v>1</v>
      </c>
      <c r="D3964" t="s">
        <v>1</v>
      </c>
      <c r="E3964" t="s">
        <v>1</v>
      </c>
      <c r="F3964" t="s">
        <v>0</v>
      </c>
      <c r="G3964" t="str">
        <f>"2018-10-17 17:16:18"</f>
        <v>2018-10-17 17:16:18</v>
      </c>
    </row>
    <row r="3965" spans="1:7" x14ac:dyDescent="0.2">
      <c r="A3965" t="s">
        <v>5245</v>
      </c>
      <c r="B3965" t="str">
        <f>"18699637740"</f>
        <v>18699637740</v>
      </c>
      <c r="C3965" t="str">
        <f>"652826199612150829"</f>
        <v>652826199612150829</v>
      </c>
      <c r="D3965" t="s">
        <v>1</v>
      </c>
      <c r="E3965" t="s">
        <v>1</v>
      </c>
      <c r="F3965" t="s">
        <v>0</v>
      </c>
      <c r="G3965" t="str">
        <f>"2018-10-17 16:55:27"</f>
        <v>2018-10-17 16:55:27</v>
      </c>
    </row>
    <row r="3966" spans="1:7" x14ac:dyDescent="0.2">
      <c r="A3966" t="s">
        <v>5246</v>
      </c>
      <c r="B3966" t="str">
        <f>"13771714609"</f>
        <v>13771714609</v>
      </c>
      <c r="C3966" t="str">
        <f>"412721198309064219"</f>
        <v>412721198309064219</v>
      </c>
      <c r="D3966" t="s">
        <v>1</v>
      </c>
      <c r="E3966" t="s">
        <v>1</v>
      </c>
      <c r="F3966" t="s">
        <v>0</v>
      </c>
      <c r="G3966" t="str">
        <f>"2018-10-17 16:54:10"</f>
        <v>2018-10-17 16:54:10</v>
      </c>
    </row>
    <row r="3967" spans="1:7" x14ac:dyDescent="0.2">
      <c r="A3967" t="s">
        <v>5247</v>
      </c>
      <c r="B3967" t="str">
        <f>"15825777668"</f>
        <v>15825777668</v>
      </c>
      <c r="C3967" t="str">
        <f>"330724198106290010"</f>
        <v>330724198106290010</v>
      </c>
      <c r="D3967" t="s">
        <v>1</v>
      </c>
      <c r="E3967" t="s">
        <v>1</v>
      </c>
      <c r="F3967" t="s">
        <v>0</v>
      </c>
      <c r="G3967" t="str">
        <f>"2018-11-05 10:59:00"</f>
        <v>2018-11-05 10:59:00</v>
      </c>
    </row>
    <row r="3968" spans="1:7" x14ac:dyDescent="0.2">
      <c r="A3968" t="s">
        <v>5248</v>
      </c>
      <c r="B3968" t="str">
        <f>"18359975373"</f>
        <v>18359975373</v>
      </c>
      <c r="C3968" t="str">
        <f>"350722199611020025"</f>
        <v>350722199611020025</v>
      </c>
      <c r="D3968" t="s">
        <v>1</v>
      </c>
      <c r="E3968" t="s">
        <v>1</v>
      </c>
      <c r="F3968" t="s">
        <v>0</v>
      </c>
      <c r="G3968" t="str">
        <f>"2018-10-17 16:53:00"</f>
        <v>2018-10-17 16:53:00</v>
      </c>
    </row>
    <row r="3969" spans="1:7" x14ac:dyDescent="0.2">
      <c r="A3969" t="s">
        <v>1</v>
      </c>
      <c r="B3969" t="str">
        <f>"15054427883"</f>
        <v>15054427883</v>
      </c>
      <c r="C3969" t="s">
        <v>1</v>
      </c>
      <c r="D3969" t="s">
        <v>1</v>
      </c>
      <c r="E3969" t="s">
        <v>1</v>
      </c>
      <c r="F3969" t="s">
        <v>0</v>
      </c>
      <c r="G3969" t="str">
        <f>"2018-10-17 16:51:42"</f>
        <v>2018-10-17 16:51:42</v>
      </c>
    </row>
    <row r="3970" spans="1:7" x14ac:dyDescent="0.2">
      <c r="A3970" t="s">
        <v>5249</v>
      </c>
      <c r="B3970" t="str">
        <f>"13411263781"</f>
        <v>13411263781</v>
      </c>
      <c r="C3970" t="str">
        <f>"441402199101111315"</f>
        <v>441402199101111315</v>
      </c>
      <c r="D3970" t="s">
        <v>1</v>
      </c>
      <c r="E3970" t="s">
        <v>1</v>
      </c>
      <c r="F3970" t="s">
        <v>0</v>
      </c>
      <c r="G3970" t="str">
        <f>"2018-10-17 16:52:13"</f>
        <v>2018-10-17 16:52:13</v>
      </c>
    </row>
    <row r="3971" spans="1:7" x14ac:dyDescent="0.2">
      <c r="A3971" t="s">
        <v>1</v>
      </c>
      <c r="B3971" t="str">
        <f>"18210531358"</f>
        <v>18210531358</v>
      </c>
      <c r="C3971" t="s">
        <v>1</v>
      </c>
      <c r="D3971" t="s">
        <v>1</v>
      </c>
      <c r="E3971" t="s">
        <v>1</v>
      </c>
      <c r="F3971" t="s">
        <v>0</v>
      </c>
      <c r="G3971" t="str">
        <f>"2018-10-17 16:50:53"</f>
        <v>2018-10-17 16:50:53</v>
      </c>
    </row>
    <row r="3972" spans="1:7" x14ac:dyDescent="0.2">
      <c r="A3972" t="s">
        <v>5250</v>
      </c>
      <c r="B3972" t="str">
        <f>"18178614021"</f>
        <v>18178614021</v>
      </c>
      <c r="C3972" t="str">
        <f>"450326199704212728"</f>
        <v>450326199704212728</v>
      </c>
      <c r="D3972" t="s">
        <v>1</v>
      </c>
      <c r="E3972" t="s">
        <v>1</v>
      </c>
      <c r="F3972" t="s">
        <v>0</v>
      </c>
      <c r="G3972" t="str">
        <f>"2018-10-17 16:51:44"</f>
        <v>2018-10-17 16:51:44</v>
      </c>
    </row>
    <row r="3973" spans="1:7" x14ac:dyDescent="0.2">
      <c r="A3973" t="s">
        <v>5251</v>
      </c>
      <c r="B3973" t="str">
        <f>"15311779388"</f>
        <v>15311779388</v>
      </c>
      <c r="C3973" t="str">
        <f>"14220219790410141X"</f>
        <v>14220219790410141X</v>
      </c>
      <c r="D3973" t="s">
        <v>1</v>
      </c>
      <c r="E3973" t="s">
        <v>1</v>
      </c>
      <c r="F3973" t="s">
        <v>0</v>
      </c>
      <c r="G3973" t="str">
        <f>"2018-10-17 16:53:08"</f>
        <v>2018-10-17 16:53:08</v>
      </c>
    </row>
    <row r="3974" spans="1:7" x14ac:dyDescent="0.2">
      <c r="A3974" t="s">
        <v>1</v>
      </c>
      <c r="B3974" t="str">
        <f>"15881380487"</f>
        <v>15881380487</v>
      </c>
      <c r="C3974" t="s">
        <v>1</v>
      </c>
      <c r="D3974" t="s">
        <v>1</v>
      </c>
      <c r="E3974" t="s">
        <v>1</v>
      </c>
      <c r="F3974" t="s">
        <v>0</v>
      </c>
      <c r="G3974" t="str">
        <f>"2018-10-26 14:00:12"</f>
        <v>2018-10-26 14:00:12</v>
      </c>
    </row>
    <row r="3975" spans="1:7" x14ac:dyDescent="0.2">
      <c r="A3975" t="s">
        <v>5252</v>
      </c>
      <c r="B3975" t="str">
        <f>"18714553434"</f>
        <v>18714553434</v>
      </c>
      <c r="C3975" t="str">
        <f>"232330199004153267"</f>
        <v>232330199004153267</v>
      </c>
      <c r="D3975" t="s">
        <v>1</v>
      </c>
      <c r="E3975" t="s">
        <v>1</v>
      </c>
      <c r="F3975" t="s">
        <v>0</v>
      </c>
      <c r="G3975" t="str">
        <f>"2018-10-17 16:49:52"</f>
        <v>2018-10-17 16:49:52</v>
      </c>
    </row>
    <row r="3976" spans="1:7" x14ac:dyDescent="0.2">
      <c r="A3976" t="s">
        <v>5253</v>
      </c>
      <c r="B3976" t="str">
        <f>"15648632532"</f>
        <v>15648632532</v>
      </c>
      <c r="C3976" t="str">
        <f>"150429199311265320"</f>
        <v>150429199311265320</v>
      </c>
      <c r="D3976" t="s">
        <v>1</v>
      </c>
      <c r="E3976" t="s">
        <v>1</v>
      </c>
      <c r="F3976" t="s">
        <v>0</v>
      </c>
      <c r="G3976" t="str">
        <f>"2018-10-17 16:51:16"</f>
        <v>2018-10-17 16:51:16</v>
      </c>
    </row>
    <row r="3977" spans="1:7" x14ac:dyDescent="0.2">
      <c r="A3977" t="s">
        <v>5254</v>
      </c>
      <c r="B3977" t="str">
        <f>"13566266955"</f>
        <v>13566266955</v>
      </c>
      <c r="C3977" t="str">
        <f>"330304199610136319"</f>
        <v>330304199610136319</v>
      </c>
      <c r="D3977" t="s">
        <v>1</v>
      </c>
      <c r="E3977" t="s">
        <v>1</v>
      </c>
      <c r="F3977" t="s">
        <v>0</v>
      </c>
      <c r="G3977" t="str">
        <f>"2018-10-17 16:50:52"</f>
        <v>2018-10-17 16:50:52</v>
      </c>
    </row>
    <row r="3978" spans="1:7" x14ac:dyDescent="0.2">
      <c r="A3978" t="s">
        <v>5255</v>
      </c>
      <c r="B3978" t="str">
        <f>"15933623380"</f>
        <v>15933623380</v>
      </c>
      <c r="C3978" t="str">
        <f>"130124199402241226"</f>
        <v>130124199402241226</v>
      </c>
      <c r="D3978" t="s">
        <v>1</v>
      </c>
      <c r="E3978" t="s">
        <v>1</v>
      </c>
      <c r="F3978" t="s">
        <v>0</v>
      </c>
      <c r="G3978" t="str">
        <f>"2018-10-17 17:41:53"</f>
        <v>2018-10-17 17:41:53</v>
      </c>
    </row>
    <row r="3979" spans="1:7" x14ac:dyDescent="0.2">
      <c r="A3979" t="s">
        <v>5256</v>
      </c>
      <c r="B3979" t="str">
        <f>"18759953955"</f>
        <v>18759953955</v>
      </c>
      <c r="C3979" t="str">
        <f>"350425198602201412"</f>
        <v>350425198602201412</v>
      </c>
      <c r="D3979" t="s">
        <v>1</v>
      </c>
      <c r="E3979" t="s">
        <v>1</v>
      </c>
      <c r="F3979" t="s">
        <v>0</v>
      </c>
      <c r="G3979" t="str">
        <f>"2018-10-17 16:49:39"</f>
        <v>2018-10-17 16:49:39</v>
      </c>
    </row>
    <row r="3980" spans="1:7" x14ac:dyDescent="0.2">
      <c r="A3980" t="s">
        <v>1</v>
      </c>
      <c r="B3980" t="str">
        <f>"13472735302"</f>
        <v>13472735302</v>
      </c>
      <c r="C3980" t="s">
        <v>1</v>
      </c>
      <c r="D3980" t="s">
        <v>1</v>
      </c>
      <c r="E3980" t="s">
        <v>1</v>
      </c>
      <c r="F3980" t="s">
        <v>0</v>
      </c>
      <c r="G3980" t="str">
        <f>"2018-10-17 17:06:23"</f>
        <v>2018-10-17 17:06:23</v>
      </c>
    </row>
    <row r="3981" spans="1:7" x14ac:dyDescent="0.2">
      <c r="A3981" t="s">
        <v>1</v>
      </c>
      <c r="B3981" t="str">
        <f>"13197514424"</f>
        <v>13197514424</v>
      </c>
      <c r="C3981" t="s">
        <v>1</v>
      </c>
      <c r="D3981" t="s">
        <v>1</v>
      </c>
      <c r="E3981" t="s">
        <v>1</v>
      </c>
      <c r="F3981" t="s">
        <v>0</v>
      </c>
      <c r="G3981" t="str">
        <f>"2018-10-17 16:49:33"</f>
        <v>2018-10-17 16:49:33</v>
      </c>
    </row>
    <row r="3982" spans="1:7" x14ac:dyDescent="0.2">
      <c r="A3982" t="s">
        <v>198</v>
      </c>
      <c r="B3982" t="str">
        <f>"13601533836"</f>
        <v>13601533836</v>
      </c>
      <c r="C3982" t="str">
        <f>"320223198104306474"</f>
        <v>320223198104306474</v>
      </c>
      <c r="D3982" t="s">
        <v>1</v>
      </c>
      <c r="E3982" t="s">
        <v>1</v>
      </c>
      <c r="F3982" t="s">
        <v>0</v>
      </c>
      <c r="G3982" t="str">
        <f>"2018-10-17 16:49:38"</f>
        <v>2018-10-17 16:49:38</v>
      </c>
    </row>
    <row r="3983" spans="1:7" x14ac:dyDescent="0.2">
      <c r="A3983" t="s">
        <v>5257</v>
      </c>
      <c r="B3983" t="str">
        <f>"13790294577"</f>
        <v>13790294577</v>
      </c>
      <c r="C3983" t="str">
        <f>"350301199901142828"</f>
        <v>350301199901142828</v>
      </c>
      <c r="D3983" t="s">
        <v>1</v>
      </c>
      <c r="E3983" t="s">
        <v>1</v>
      </c>
      <c r="F3983" t="s">
        <v>0</v>
      </c>
      <c r="G3983" t="str">
        <f>"2018-10-17 20:45:53"</f>
        <v>2018-10-17 20:45:53</v>
      </c>
    </row>
    <row r="3984" spans="1:7" x14ac:dyDescent="0.2">
      <c r="A3984" t="s">
        <v>1</v>
      </c>
      <c r="B3984" t="str">
        <f>"13559353678"</f>
        <v>13559353678</v>
      </c>
      <c r="C3984" t="s">
        <v>1</v>
      </c>
      <c r="D3984" t="s">
        <v>1</v>
      </c>
      <c r="E3984" t="s">
        <v>1</v>
      </c>
      <c r="F3984" t="s">
        <v>0</v>
      </c>
      <c r="G3984" t="str">
        <f>"2018-10-17 16:46:31"</f>
        <v>2018-10-17 16:46:31</v>
      </c>
    </row>
    <row r="3985" spans="1:7" x14ac:dyDescent="0.2">
      <c r="A3985" t="s">
        <v>1</v>
      </c>
      <c r="B3985" t="str">
        <f>"13265811147"</f>
        <v>13265811147</v>
      </c>
      <c r="C3985" t="s">
        <v>1</v>
      </c>
      <c r="D3985" t="s">
        <v>1</v>
      </c>
      <c r="E3985" t="s">
        <v>1</v>
      </c>
      <c r="F3985" t="s">
        <v>0</v>
      </c>
      <c r="G3985" t="str">
        <f>"2018-10-17 16:46:31"</f>
        <v>2018-10-17 16:46:31</v>
      </c>
    </row>
    <row r="3986" spans="1:7" x14ac:dyDescent="0.2">
      <c r="A3986" t="s">
        <v>5258</v>
      </c>
      <c r="B3986" t="str">
        <f>"18767011542"</f>
        <v>18767011542</v>
      </c>
      <c r="C3986" t="str">
        <f>"33080319930906402X"</f>
        <v>33080319930906402X</v>
      </c>
      <c r="D3986" t="s">
        <v>1</v>
      </c>
      <c r="E3986" t="s">
        <v>1</v>
      </c>
      <c r="F3986" t="s">
        <v>0</v>
      </c>
      <c r="G3986" t="str">
        <f>"2018-10-24 10:24:30"</f>
        <v>2018-10-24 10:24:30</v>
      </c>
    </row>
    <row r="3987" spans="1:7" x14ac:dyDescent="0.2">
      <c r="A3987" t="s">
        <v>5259</v>
      </c>
      <c r="B3987" t="str">
        <f>"18783512600"</f>
        <v>18783512600</v>
      </c>
      <c r="C3987" t="str">
        <f>"51310119980818008X"</f>
        <v>51310119980818008X</v>
      </c>
      <c r="D3987" t="s">
        <v>1</v>
      </c>
      <c r="E3987" t="s">
        <v>1</v>
      </c>
      <c r="F3987" t="s">
        <v>0</v>
      </c>
      <c r="G3987" t="str">
        <f>"2018-10-17 16:48:11"</f>
        <v>2018-10-17 16:48:11</v>
      </c>
    </row>
    <row r="3988" spans="1:7" x14ac:dyDescent="0.2">
      <c r="A3988" t="s">
        <v>1</v>
      </c>
      <c r="B3988" t="str">
        <f>"18752883951"</f>
        <v>18752883951</v>
      </c>
      <c r="C3988" t="s">
        <v>1</v>
      </c>
      <c r="D3988" t="s">
        <v>1</v>
      </c>
      <c r="E3988" t="s">
        <v>1</v>
      </c>
      <c r="F3988" t="s">
        <v>0</v>
      </c>
      <c r="G3988" t="str">
        <f>"2018-10-17 16:46:00"</f>
        <v>2018-10-17 16:46:00</v>
      </c>
    </row>
    <row r="3989" spans="1:7" x14ac:dyDescent="0.2">
      <c r="A3989" t="s">
        <v>1</v>
      </c>
      <c r="B3989" t="str">
        <f>"15678998461"</f>
        <v>15678998461</v>
      </c>
      <c r="C3989" t="s">
        <v>1</v>
      </c>
      <c r="D3989" t="s">
        <v>1</v>
      </c>
      <c r="E3989" t="s">
        <v>1</v>
      </c>
      <c r="F3989" t="s">
        <v>0</v>
      </c>
      <c r="G3989" t="str">
        <f>"2018-10-17 16:44:33"</f>
        <v>2018-10-17 16:44:33</v>
      </c>
    </row>
    <row r="3990" spans="1:7" x14ac:dyDescent="0.2">
      <c r="A3990" t="s">
        <v>5260</v>
      </c>
      <c r="B3990" t="str">
        <f>"13639296385"</f>
        <v>13639296385</v>
      </c>
      <c r="C3990" t="str">
        <f>"522128199707131538"</f>
        <v>522128199707131538</v>
      </c>
      <c r="D3990" t="s">
        <v>1</v>
      </c>
      <c r="E3990" t="s">
        <v>1</v>
      </c>
      <c r="F3990" t="s">
        <v>0</v>
      </c>
      <c r="G3990" t="str">
        <f>"2018-10-17 17:35:21"</f>
        <v>2018-10-17 17:35:21</v>
      </c>
    </row>
    <row r="3991" spans="1:7" x14ac:dyDescent="0.2">
      <c r="A3991" t="s">
        <v>5261</v>
      </c>
      <c r="B3991" t="str">
        <f>"18074669885"</f>
        <v>18074669885</v>
      </c>
      <c r="C3991" t="str">
        <f>"430528197809148225"</f>
        <v>430528197809148225</v>
      </c>
      <c r="D3991" t="s">
        <v>1</v>
      </c>
      <c r="E3991" t="s">
        <v>1</v>
      </c>
      <c r="F3991" t="s">
        <v>0</v>
      </c>
      <c r="G3991" t="str">
        <f>"2018-10-17 16:45:39"</f>
        <v>2018-10-17 16:45:39</v>
      </c>
    </row>
    <row r="3992" spans="1:7" x14ac:dyDescent="0.2">
      <c r="A3992" t="s">
        <v>5262</v>
      </c>
      <c r="B3992" t="str">
        <f>"18769632127"</f>
        <v>18769632127</v>
      </c>
      <c r="C3992" t="str">
        <f>"370125199108285624"</f>
        <v>370125199108285624</v>
      </c>
      <c r="D3992" t="s">
        <v>1</v>
      </c>
      <c r="E3992" t="s">
        <v>1</v>
      </c>
      <c r="F3992" t="s">
        <v>0</v>
      </c>
      <c r="G3992" t="str">
        <f>"2018-10-17 16:46:00"</f>
        <v>2018-10-17 16:46:00</v>
      </c>
    </row>
    <row r="3993" spans="1:7" x14ac:dyDescent="0.2">
      <c r="A3993" t="s">
        <v>5263</v>
      </c>
      <c r="B3993" t="str">
        <f>"18896746057"</f>
        <v>18896746057</v>
      </c>
      <c r="C3993" t="str">
        <f>"62042219941115321X"</f>
        <v>62042219941115321X</v>
      </c>
      <c r="D3993" t="s">
        <v>1</v>
      </c>
      <c r="E3993" t="s">
        <v>1</v>
      </c>
      <c r="F3993" t="s">
        <v>0</v>
      </c>
      <c r="G3993" t="str">
        <f>"2018-10-17 16:55:20"</f>
        <v>2018-10-17 16:55:20</v>
      </c>
    </row>
    <row r="3994" spans="1:7" x14ac:dyDescent="0.2">
      <c r="A3994" t="s">
        <v>1</v>
      </c>
      <c r="B3994" t="str">
        <f>"13315944119"</f>
        <v>13315944119</v>
      </c>
      <c r="C3994" t="s">
        <v>1</v>
      </c>
      <c r="D3994" t="s">
        <v>1</v>
      </c>
      <c r="E3994" t="s">
        <v>1</v>
      </c>
      <c r="F3994" t="s">
        <v>0</v>
      </c>
      <c r="G3994" t="str">
        <f>"2018-10-17 16:44:00"</f>
        <v>2018-10-17 16:44:00</v>
      </c>
    </row>
    <row r="3995" spans="1:7" x14ac:dyDescent="0.2">
      <c r="A3995" t="s">
        <v>5264</v>
      </c>
      <c r="B3995" t="str">
        <f>"15177482077"</f>
        <v>15177482077</v>
      </c>
      <c r="C3995" t="str">
        <f>"452501199105080212"</f>
        <v>452501199105080212</v>
      </c>
      <c r="D3995" t="s">
        <v>1</v>
      </c>
      <c r="E3995" t="s">
        <v>1</v>
      </c>
      <c r="F3995" t="s">
        <v>0</v>
      </c>
      <c r="G3995" t="str">
        <f>"2018-10-21 01:28:33"</f>
        <v>2018-10-21 01:28:33</v>
      </c>
    </row>
    <row r="3996" spans="1:7" x14ac:dyDescent="0.2">
      <c r="A3996" t="s">
        <v>5265</v>
      </c>
      <c r="B3996" t="str">
        <f>"18388555153"</f>
        <v>18388555153</v>
      </c>
      <c r="C3996" t="str">
        <f>"530322199502011949"</f>
        <v>530322199502011949</v>
      </c>
      <c r="D3996" t="s">
        <v>1</v>
      </c>
      <c r="E3996" t="s">
        <v>1</v>
      </c>
      <c r="F3996" t="s">
        <v>0</v>
      </c>
      <c r="G3996" t="str">
        <f>"2018-10-17 16:43:00"</f>
        <v>2018-10-17 16:43:00</v>
      </c>
    </row>
    <row r="3997" spans="1:7" x14ac:dyDescent="0.2">
      <c r="A3997" t="s">
        <v>1</v>
      </c>
      <c r="B3997" t="str">
        <f>"18842674393"</f>
        <v>18842674393</v>
      </c>
      <c r="C3997" t="s">
        <v>1</v>
      </c>
      <c r="D3997" t="s">
        <v>1</v>
      </c>
      <c r="E3997" t="s">
        <v>1</v>
      </c>
      <c r="F3997" t="s">
        <v>0</v>
      </c>
      <c r="G3997" t="str">
        <f>"2018-10-17 16:54:35"</f>
        <v>2018-10-17 16:54:35</v>
      </c>
    </row>
    <row r="3998" spans="1:7" x14ac:dyDescent="0.2">
      <c r="A3998" t="s">
        <v>349</v>
      </c>
      <c r="B3998" t="str">
        <f>"18287749994"</f>
        <v>18287749994</v>
      </c>
      <c r="C3998" t="str">
        <f>"530426199301142118"</f>
        <v>530426199301142118</v>
      </c>
      <c r="D3998" t="s">
        <v>1</v>
      </c>
      <c r="E3998" t="s">
        <v>1</v>
      </c>
      <c r="F3998" t="s">
        <v>0</v>
      </c>
      <c r="G3998" t="str">
        <f>"2018-11-04 06:30:29"</f>
        <v>2018-11-04 06:30:29</v>
      </c>
    </row>
    <row r="3999" spans="1:7" x14ac:dyDescent="0.2">
      <c r="A3999" t="s">
        <v>1</v>
      </c>
      <c r="B3999" t="str">
        <f>"13175473163"</f>
        <v>13175473163</v>
      </c>
      <c r="C3999" t="s">
        <v>1</v>
      </c>
      <c r="D3999" t="s">
        <v>1</v>
      </c>
      <c r="E3999" t="s">
        <v>1</v>
      </c>
      <c r="F3999" t="s">
        <v>0</v>
      </c>
      <c r="G3999" t="str">
        <f>"2018-10-17 16:42:48"</f>
        <v>2018-10-17 16:42:48</v>
      </c>
    </row>
    <row r="4000" spans="1:7" x14ac:dyDescent="0.2">
      <c r="A4000" t="s">
        <v>5266</v>
      </c>
      <c r="B4000" t="str">
        <f>"13860993323"</f>
        <v>13860993323</v>
      </c>
      <c r="C4000" t="str">
        <f>"350303197209200335"</f>
        <v>350303197209200335</v>
      </c>
      <c r="D4000" t="s">
        <v>1</v>
      </c>
      <c r="E4000" t="s">
        <v>1</v>
      </c>
      <c r="F4000" t="s">
        <v>0</v>
      </c>
      <c r="G4000" t="str">
        <f>"2018-10-17 16:43:23"</f>
        <v>2018-10-17 16:43:23</v>
      </c>
    </row>
    <row r="4001" spans="1:7" x14ac:dyDescent="0.2">
      <c r="A4001" t="s">
        <v>1</v>
      </c>
      <c r="B4001" t="str">
        <f>"15607867954"</f>
        <v>15607867954</v>
      </c>
      <c r="C4001" t="s">
        <v>1</v>
      </c>
      <c r="D4001" t="s">
        <v>1</v>
      </c>
      <c r="E4001" t="s">
        <v>1</v>
      </c>
      <c r="F4001" t="s">
        <v>0</v>
      </c>
      <c r="G4001" t="str">
        <f>"2018-10-17 16:42:08"</f>
        <v>2018-10-17 16:42:08</v>
      </c>
    </row>
    <row r="4002" spans="1:7" x14ac:dyDescent="0.2">
      <c r="A4002" t="s">
        <v>28</v>
      </c>
      <c r="B4002" t="str">
        <f>"13791246099"</f>
        <v>13791246099</v>
      </c>
      <c r="C4002" t="str">
        <f>"370602198011081615"</f>
        <v>370602198011081615</v>
      </c>
      <c r="D4002" t="s">
        <v>1</v>
      </c>
      <c r="E4002" t="s">
        <v>1</v>
      </c>
      <c r="F4002" t="s">
        <v>0</v>
      </c>
      <c r="G4002" t="str">
        <f>"2018-10-17 16:43:50"</f>
        <v>2018-10-17 16:43:50</v>
      </c>
    </row>
    <row r="4003" spans="1:7" x14ac:dyDescent="0.2">
      <c r="A4003" t="s">
        <v>5267</v>
      </c>
      <c r="B4003" t="str">
        <f>"15759503807"</f>
        <v>15759503807</v>
      </c>
      <c r="C4003" t="str">
        <f>"500241199508013134"</f>
        <v>500241199508013134</v>
      </c>
      <c r="D4003" t="s">
        <v>5268</v>
      </c>
      <c r="E4003" t="s">
        <v>5269</v>
      </c>
      <c r="F4003" t="s">
        <v>0</v>
      </c>
      <c r="G4003" t="str">
        <f>"2018-10-17 16:47:48"</f>
        <v>2018-10-17 16:47:48</v>
      </c>
    </row>
    <row r="4004" spans="1:7" x14ac:dyDescent="0.2">
      <c r="A4004" t="s">
        <v>1</v>
      </c>
      <c r="B4004" t="str">
        <f>"18543118713"</f>
        <v>18543118713</v>
      </c>
      <c r="C4004" t="s">
        <v>1</v>
      </c>
      <c r="D4004" t="s">
        <v>1</v>
      </c>
      <c r="E4004" t="s">
        <v>1</v>
      </c>
      <c r="F4004" t="s">
        <v>0</v>
      </c>
      <c r="G4004" t="str">
        <f>"2018-10-17 16:41:24"</f>
        <v>2018-10-17 16:41:24</v>
      </c>
    </row>
    <row r="4005" spans="1:7" x14ac:dyDescent="0.2">
      <c r="A4005" t="s">
        <v>1401</v>
      </c>
      <c r="B4005" t="str">
        <f>"18772878957"</f>
        <v>18772878957</v>
      </c>
      <c r="C4005" t="str">
        <f>"420321198905070015"</f>
        <v>420321198905070015</v>
      </c>
      <c r="D4005" t="s">
        <v>1</v>
      </c>
      <c r="E4005" t="s">
        <v>1</v>
      </c>
      <c r="F4005" t="s">
        <v>0</v>
      </c>
      <c r="G4005" t="str">
        <f>"2018-10-18 10:26:53"</f>
        <v>2018-10-18 10:26:53</v>
      </c>
    </row>
    <row r="4006" spans="1:7" x14ac:dyDescent="0.2">
      <c r="A4006" t="s">
        <v>1</v>
      </c>
      <c r="B4006" t="str">
        <f>"18787745313"</f>
        <v>18787745313</v>
      </c>
      <c r="C4006" t="s">
        <v>1</v>
      </c>
      <c r="D4006" t="s">
        <v>1</v>
      </c>
      <c r="E4006" t="s">
        <v>1</v>
      </c>
      <c r="F4006" t="s">
        <v>0</v>
      </c>
      <c r="G4006" t="str">
        <f>"2018-10-17 16:40:56"</f>
        <v>2018-10-17 16:40:56</v>
      </c>
    </row>
    <row r="4007" spans="1:7" x14ac:dyDescent="0.2">
      <c r="A4007" t="s">
        <v>1</v>
      </c>
      <c r="B4007" t="str">
        <f>"15140878031"</f>
        <v>15140878031</v>
      </c>
      <c r="C4007" t="s">
        <v>1</v>
      </c>
      <c r="D4007" t="s">
        <v>1</v>
      </c>
      <c r="E4007" t="s">
        <v>1</v>
      </c>
      <c r="F4007" t="s">
        <v>0</v>
      </c>
      <c r="G4007" t="str">
        <f>"2018-10-17 16:44:25"</f>
        <v>2018-10-17 16:44:25</v>
      </c>
    </row>
    <row r="4008" spans="1:7" x14ac:dyDescent="0.2">
      <c r="A4008" t="s">
        <v>5270</v>
      </c>
      <c r="B4008" t="str">
        <f>"17693637354"</f>
        <v>17693637354</v>
      </c>
      <c r="C4008" t="str">
        <f>"622624200002190379"</f>
        <v>622624200002190379</v>
      </c>
      <c r="D4008" t="s">
        <v>1</v>
      </c>
      <c r="E4008" t="s">
        <v>1</v>
      </c>
      <c r="F4008" t="s">
        <v>0</v>
      </c>
      <c r="G4008" t="str">
        <f>"2018-10-17 18:51:50"</f>
        <v>2018-10-17 18:51:50</v>
      </c>
    </row>
    <row r="4009" spans="1:7" x14ac:dyDescent="0.2">
      <c r="A4009" t="s">
        <v>5271</v>
      </c>
      <c r="B4009" t="str">
        <f>"18373477705"</f>
        <v>18373477705</v>
      </c>
      <c r="C4009" t="str">
        <f>"430422199004024431"</f>
        <v>430422199004024431</v>
      </c>
      <c r="D4009" t="s">
        <v>1</v>
      </c>
      <c r="E4009" t="s">
        <v>1</v>
      </c>
      <c r="F4009" t="s">
        <v>0</v>
      </c>
      <c r="G4009" t="str">
        <f>"2018-10-17 16:42:51"</f>
        <v>2018-10-17 16:42:51</v>
      </c>
    </row>
    <row r="4010" spans="1:7" x14ac:dyDescent="0.2">
      <c r="A4010" t="s">
        <v>5272</v>
      </c>
      <c r="B4010" t="str">
        <f>"17363931571"</f>
        <v>17363931571</v>
      </c>
      <c r="C4010" t="str">
        <f>"430521199911126617"</f>
        <v>430521199911126617</v>
      </c>
      <c r="D4010" t="s">
        <v>5273</v>
      </c>
      <c r="E4010" t="s">
        <v>5274</v>
      </c>
      <c r="F4010" t="s">
        <v>0</v>
      </c>
      <c r="G4010" t="str">
        <f>"2018-10-17 16:41:32"</f>
        <v>2018-10-17 16:41:32</v>
      </c>
    </row>
    <row r="4011" spans="1:7" x14ac:dyDescent="0.2">
      <c r="A4011" t="s">
        <v>5275</v>
      </c>
      <c r="B4011" t="str">
        <f>"15211898209"</f>
        <v>15211898209</v>
      </c>
      <c r="C4011" t="str">
        <f>"430405197009220014"</f>
        <v>430405197009220014</v>
      </c>
      <c r="D4011" t="s">
        <v>1</v>
      </c>
      <c r="E4011" t="s">
        <v>1</v>
      </c>
      <c r="F4011" t="s">
        <v>0</v>
      </c>
      <c r="G4011" t="str">
        <f>"2018-10-29 21:52:32"</f>
        <v>2018-10-29 21:52:32</v>
      </c>
    </row>
    <row r="4012" spans="1:7" x14ac:dyDescent="0.2">
      <c r="A4012" t="s">
        <v>909</v>
      </c>
      <c r="B4012" t="str">
        <f>"13109296353"</f>
        <v>13109296353</v>
      </c>
      <c r="C4012" t="str">
        <f>"612426199511140016"</f>
        <v>612426199511140016</v>
      </c>
      <c r="D4012" t="s">
        <v>1</v>
      </c>
      <c r="E4012" t="s">
        <v>1</v>
      </c>
      <c r="F4012" t="s">
        <v>0</v>
      </c>
      <c r="G4012" t="str">
        <f>"2018-10-17 16:40:12"</f>
        <v>2018-10-17 16:40:12</v>
      </c>
    </row>
    <row r="4013" spans="1:7" x14ac:dyDescent="0.2">
      <c r="A4013" t="s">
        <v>5276</v>
      </c>
      <c r="B4013" t="str">
        <f>"18758437426"</f>
        <v>18758437426</v>
      </c>
      <c r="C4013" t="str">
        <f>"330281199111127132"</f>
        <v>330281199111127132</v>
      </c>
      <c r="D4013" t="s">
        <v>1</v>
      </c>
      <c r="E4013" t="s">
        <v>1</v>
      </c>
      <c r="F4013" t="s">
        <v>0</v>
      </c>
      <c r="G4013" t="str">
        <f>"2018-10-17 16:40:09"</f>
        <v>2018-10-17 16:40:09</v>
      </c>
    </row>
    <row r="4014" spans="1:7" x14ac:dyDescent="0.2">
      <c r="A4014" t="s">
        <v>5277</v>
      </c>
      <c r="B4014" t="str">
        <f>"13670346884"</f>
        <v>13670346884</v>
      </c>
      <c r="C4014" t="str">
        <f>"360726198908165228"</f>
        <v>360726198908165228</v>
      </c>
      <c r="D4014" t="s">
        <v>1</v>
      </c>
      <c r="E4014" t="s">
        <v>1</v>
      </c>
      <c r="F4014" t="s">
        <v>0</v>
      </c>
      <c r="G4014" t="str">
        <f>"2018-10-17 16:42:40"</f>
        <v>2018-10-17 16:42:40</v>
      </c>
    </row>
    <row r="4015" spans="1:7" x14ac:dyDescent="0.2">
      <c r="A4015" t="s">
        <v>671</v>
      </c>
      <c r="B4015" t="str">
        <f>"18897952125"</f>
        <v>18897952125</v>
      </c>
      <c r="C4015" t="str">
        <f>"362203199702087919"</f>
        <v>362203199702087919</v>
      </c>
      <c r="D4015" t="s">
        <v>1</v>
      </c>
      <c r="E4015" t="s">
        <v>1</v>
      </c>
      <c r="F4015" t="s">
        <v>0</v>
      </c>
      <c r="G4015" t="str">
        <f>"2018-10-17 16:40:43"</f>
        <v>2018-10-17 16:40:43</v>
      </c>
    </row>
    <row r="4016" spans="1:7" x14ac:dyDescent="0.2">
      <c r="A4016" t="s">
        <v>1</v>
      </c>
      <c r="B4016" t="str">
        <f>"18306681884"</f>
        <v>18306681884</v>
      </c>
      <c r="C4016" t="s">
        <v>1</v>
      </c>
      <c r="D4016" t="s">
        <v>1</v>
      </c>
      <c r="E4016" t="s">
        <v>1</v>
      </c>
      <c r="F4016" t="s">
        <v>0</v>
      </c>
      <c r="G4016" t="str">
        <f>"2018-10-17 16:38:44"</f>
        <v>2018-10-17 16:38:44</v>
      </c>
    </row>
    <row r="4017" spans="1:7" x14ac:dyDescent="0.2">
      <c r="A4017" t="s">
        <v>5278</v>
      </c>
      <c r="B4017" t="str">
        <f>"15915217771"</f>
        <v>15915217771</v>
      </c>
      <c r="C4017" t="str">
        <f>"440681199111073135"</f>
        <v>440681199111073135</v>
      </c>
      <c r="D4017" t="s">
        <v>1</v>
      </c>
      <c r="E4017" t="s">
        <v>1</v>
      </c>
      <c r="F4017" t="s">
        <v>0</v>
      </c>
      <c r="G4017" t="str">
        <f>"2018-10-18 10:39:42"</f>
        <v>2018-10-18 10:39:42</v>
      </c>
    </row>
    <row r="4018" spans="1:7" x14ac:dyDescent="0.2">
      <c r="A4018" t="s">
        <v>1</v>
      </c>
      <c r="B4018" t="str">
        <f>"13175477223"</f>
        <v>13175477223</v>
      </c>
      <c r="C4018" t="s">
        <v>1</v>
      </c>
      <c r="D4018" t="s">
        <v>1</v>
      </c>
      <c r="E4018" t="s">
        <v>1</v>
      </c>
      <c r="F4018" t="s">
        <v>0</v>
      </c>
      <c r="G4018" t="str">
        <f>"2018-10-17 16:38:09"</f>
        <v>2018-10-17 16:38:09</v>
      </c>
    </row>
    <row r="4019" spans="1:7" x14ac:dyDescent="0.2">
      <c r="A4019" t="s">
        <v>5279</v>
      </c>
      <c r="B4019" t="str">
        <f>"15555966699"</f>
        <v>15555966699</v>
      </c>
      <c r="C4019" t="str">
        <f>"341221199705238995"</f>
        <v>341221199705238995</v>
      </c>
      <c r="D4019" t="s">
        <v>1</v>
      </c>
      <c r="E4019" t="s">
        <v>1</v>
      </c>
      <c r="F4019" t="s">
        <v>0</v>
      </c>
      <c r="G4019" t="str">
        <f>"2018-10-17 16:40:42"</f>
        <v>2018-10-17 16:40:42</v>
      </c>
    </row>
    <row r="4020" spans="1:7" x14ac:dyDescent="0.2">
      <c r="A4020" t="s">
        <v>1</v>
      </c>
      <c r="B4020" t="str">
        <f>"15291816770"</f>
        <v>15291816770</v>
      </c>
      <c r="C4020" t="s">
        <v>1</v>
      </c>
      <c r="D4020" t="s">
        <v>1</v>
      </c>
      <c r="E4020" t="s">
        <v>1</v>
      </c>
      <c r="F4020" t="s">
        <v>0</v>
      </c>
      <c r="G4020" t="str">
        <f>"2018-10-17 16:37:46"</f>
        <v>2018-10-17 16:37:46</v>
      </c>
    </row>
    <row r="4021" spans="1:7" x14ac:dyDescent="0.2">
      <c r="A4021" t="s">
        <v>92</v>
      </c>
      <c r="B4021" t="str">
        <f>"15016365734"</f>
        <v>15016365734</v>
      </c>
      <c r="C4021" t="str">
        <f>"441283198801144970"</f>
        <v>441283198801144970</v>
      </c>
      <c r="D4021" t="s">
        <v>5280</v>
      </c>
      <c r="E4021" t="s">
        <v>5281</v>
      </c>
      <c r="F4021" t="s">
        <v>0</v>
      </c>
      <c r="G4021" t="str">
        <f>"2018-10-17 16:37:44"</f>
        <v>2018-10-17 16:37:44</v>
      </c>
    </row>
    <row r="4022" spans="1:7" x14ac:dyDescent="0.2">
      <c r="A4022" t="s">
        <v>5282</v>
      </c>
      <c r="B4022" t="str">
        <f>"18371878885"</f>
        <v>18371878885</v>
      </c>
      <c r="C4022" t="str">
        <f>"421302199005180856"</f>
        <v>421302199005180856</v>
      </c>
      <c r="D4022" t="s">
        <v>1</v>
      </c>
      <c r="E4022" t="s">
        <v>1</v>
      </c>
      <c r="F4022" t="s">
        <v>0</v>
      </c>
      <c r="G4022" t="str">
        <f>"2018-10-17 16:36:39"</f>
        <v>2018-10-17 16:36:39</v>
      </c>
    </row>
    <row r="4023" spans="1:7" x14ac:dyDescent="0.2">
      <c r="A4023" t="s">
        <v>1</v>
      </c>
      <c r="B4023" t="str">
        <f>"15860019393"</f>
        <v>15860019393</v>
      </c>
      <c r="C4023" t="s">
        <v>1</v>
      </c>
      <c r="D4023" t="s">
        <v>1</v>
      </c>
      <c r="E4023" t="s">
        <v>1</v>
      </c>
      <c r="F4023" t="s">
        <v>0</v>
      </c>
      <c r="G4023" t="str">
        <f>"2018-10-17 16:42:53"</f>
        <v>2018-10-17 16:42:53</v>
      </c>
    </row>
    <row r="4024" spans="1:7" x14ac:dyDescent="0.2">
      <c r="A4024" t="s">
        <v>5283</v>
      </c>
      <c r="B4024" t="str">
        <f>"15688773765"</f>
        <v>15688773765</v>
      </c>
      <c r="C4024" t="str">
        <f>"371203199012223515"</f>
        <v>371203199012223515</v>
      </c>
      <c r="D4024" t="s">
        <v>1</v>
      </c>
      <c r="E4024" t="s">
        <v>1</v>
      </c>
      <c r="F4024" t="s">
        <v>0</v>
      </c>
      <c r="G4024" t="str">
        <f>"2018-10-17 16:36:10"</f>
        <v>2018-10-17 16:36:10</v>
      </c>
    </row>
    <row r="4025" spans="1:7" x14ac:dyDescent="0.2">
      <c r="A4025" t="s">
        <v>5284</v>
      </c>
      <c r="B4025" t="str">
        <f>"15689774789"</f>
        <v>15689774789</v>
      </c>
      <c r="C4025" t="str">
        <f>"370881198407045852"</f>
        <v>370881198407045852</v>
      </c>
      <c r="D4025" t="s">
        <v>1</v>
      </c>
      <c r="E4025" t="s">
        <v>1</v>
      </c>
      <c r="F4025" t="s">
        <v>0</v>
      </c>
      <c r="G4025" t="str">
        <f>"2018-10-17 17:11:29"</f>
        <v>2018-10-17 17:11:29</v>
      </c>
    </row>
    <row r="4026" spans="1:7" x14ac:dyDescent="0.2">
      <c r="A4026" t="s">
        <v>5285</v>
      </c>
      <c r="B4026" t="str">
        <f>"15187190065"</f>
        <v>15187190065</v>
      </c>
      <c r="C4026" t="str">
        <f>"532621199212071929"</f>
        <v>532621199212071929</v>
      </c>
      <c r="D4026" t="s">
        <v>1</v>
      </c>
      <c r="E4026" t="s">
        <v>1</v>
      </c>
      <c r="F4026" t="s">
        <v>0</v>
      </c>
      <c r="G4026" t="str">
        <f>"2018-10-17 16:38:23"</f>
        <v>2018-10-17 16:38:23</v>
      </c>
    </row>
    <row r="4027" spans="1:7" x14ac:dyDescent="0.2">
      <c r="A4027" t="s">
        <v>5286</v>
      </c>
      <c r="B4027" t="str">
        <f>"18608642410"</f>
        <v>18608642410</v>
      </c>
      <c r="C4027" t="str">
        <f>"429006198910184250"</f>
        <v>429006198910184250</v>
      </c>
      <c r="D4027" t="s">
        <v>1</v>
      </c>
      <c r="E4027" t="s">
        <v>1</v>
      </c>
      <c r="F4027" t="s">
        <v>0</v>
      </c>
      <c r="G4027" t="str">
        <f>"2018-10-17 16:34:47"</f>
        <v>2018-10-17 16:34:47</v>
      </c>
    </row>
    <row r="4028" spans="1:7" x14ac:dyDescent="0.2">
      <c r="A4028" t="s">
        <v>1</v>
      </c>
      <c r="B4028" t="str">
        <f>"13533967372"</f>
        <v>13533967372</v>
      </c>
      <c r="C4028" t="s">
        <v>1</v>
      </c>
      <c r="D4028" t="s">
        <v>1</v>
      </c>
      <c r="E4028" t="s">
        <v>1</v>
      </c>
      <c r="F4028" t="s">
        <v>0</v>
      </c>
      <c r="G4028" t="str">
        <f>"2018-10-17 16:32:28"</f>
        <v>2018-10-17 16:32:28</v>
      </c>
    </row>
    <row r="4029" spans="1:7" x14ac:dyDescent="0.2">
      <c r="A4029" t="s">
        <v>3876</v>
      </c>
      <c r="B4029" t="str">
        <f>"13872796201"</f>
        <v>13872796201</v>
      </c>
      <c r="C4029" t="str">
        <f>"420322198812191519"</f>
        <v>420322198812191519</v>
      </c>
      <c r="D4029" t="s">
        <v>1</v>
      </c>
      <c r="E4029" t="s">
        <v>1</v>
      </c>
      <c r="F4029" t="s">
        <v>0</v>
      </c>
      <c r="G4029" t="str">
        <f>"2018-10-17 16:32:47"</f>
        <v>2018-10-17 16:32:47</v>
      </c>
    </row>
    <row r="4030" spans="1:7" x14ac:dyDescent="0.2">
      <c r="A4030" t="s">
        <v>208</v>
      </c>
      <c r="B4030" t="str">
        <f>"15546622109"</f>
        <v>15546622109</v>
      </c>
      <c r="C4030" t="str">
        <f>"230882199803090962"</f>
        <v>230882199803090962</v>
      </c>
      <c r="D4030" t="s">
        <v>1</v>
      </c>
      <c r="E4030" t="s">
        <v>1</v>
      </c>
      <c r="F4030" t="s">
        <v>0</v>
      </c>
      <c r="G4030" t="str">
        <f>"2018-10-17 16:32:02"</f>
        <v>2018-10-17 16:32:02</v>
      </c>
    </row>
    <row r="4031" spans="1:7" x14ac:dyDescent="0.2">
      <c r="A4031" t="s">
        <v>5287</v>
      </c>
      <c r="B4031" t="str">
        <f>"15293631956"</f>
        <v>15293631956</v>
      </c>
      <c r="C4031" t="str">
        <f>"622225198603010323"</f>
        <v>622225198603010323</v>
      </c>
      <c r="D4031" t="s">
        <v>1</v>
      </c>
      <c r="E4031" t="s">
        <v>1</v>
      </c>
      <c r="F4031" t="s">
        <v>0</v>
      </c>
      <c r="G4031" t="str">
        <f>"2018-10-17 16:32:11"</f>
        <v>2018-10-17 16:32:11</v>
      </c>
    </row>
    <row r="4032" spans="1:7" x14ac:dyDescent="0.2">
      <c r="A4032" t="s">
        <v>5288</v>
      </c>
      <c r="B4032" t="str">
        <f>"13597700310"</f>
        <v>13597700310</v>
      </c>
      <c r="C4032" t="str">
        <f>"420205197504125724"</f>
        <v>420205197504125724</v>
      </c>
      <c r="D4032" t="s">
        <v>1</v>
      </c>
      <c r="E4032" t="s">
        <v>1</v>
      </c>
      <c r="F4032" t="s">
        <v>0</v>
      </c>
      <c r="G4032" t="str">
        <f>"2018-10-17 16:31:37"</f>
        <v>2018-10-17 16:31:37</v>
      </c>
    </row>
    <row r="4033" spans="1:7" x14ac:dyDescent="0.2">
      <c r="A4033" t="s">
        <v>5289</v>
      </c>
      <c r="B4033" t="str">
        <f>"18628351661"</f>
        <v>18628351661</v>
      </c>
      <c r="C4033" t="str">
        <f>"510104199009164872"</f>
        <v>510104199009164872</v>
      </c>
      <c r="D4033" t="s">
        <v>1</v>
      </c>
      <c r="E4033" t="s">
        <v>1</v>
      </c>
      <c r="F4033" t="s">
        <v>0</v>
      </c>
      <c r="G4033" t="str">
        <f>"2018-10-17 16:31:47"</f>
        <v>2018-10-17 16:31:47</v>
      </c>
    </row>
    <row r="4034" spans="1:7" x14ac:dyDescent="0.2">
      <c r="A4034" t="s">
        <v>5290</v>
      </c>
      <c r="B4034" t="str">
        <f>"18224568886"</f>
        <v>18224568886</v>
      </c>
      <c r="C4034" t="str">
        <f>"410728198908207018"</f>
        <v>410728198908207018</v>
      </c>
      <c r="D4034" t="s">
        <v>1</v>
      </c>
      <c r="E4034" t="s">
        <v>1</v>
      </c>
      <c r="F4034" t="s">
        <v>0</v>
      </c>
      <c r="G4034" t="str">
        <f>"2018-10-17 16:32:12"</f>
        <v>2018-10-17 16:32:12</v>
      </c>
    </row>
    <row r="4035" spans="1:7" x14ac:dyDescent="0.2">
      <c r="A4035" t="s">
        <v>5291</v>
      </c>
      <c r="B4035" t="str">
        <f>"13951052170"</f>
        <v>13951052170</v>
      </c>
      <c r="C4035" t="str">
        <f>"32101119861118121X"</f>
        <v>32101119861118121X</v>
      </c>
      <c r="D4035" t="s">
        <v>1</v>
      </c>
      <c r="E4035" t="s">
        <v>1</v>
      </c>
      <c r="F4035" t="s">
        <v>0</v>
      </c>
      <c r="G4035" t="str">
        <f>"2018-10-17 16:31:05"</f>
        <v>2018-10-17 16:31:05</v>
      </c>
    </row>
    <row r="4036" spans="1:7" x14ac:dyDescent="0.2">
      <c r="A4036" t="s">
        <v>5292</v>
      </c>
      <c r="B4036" t="str">
        <f>"15737737573"</f>
        <v>15737737573</v>
      </c>
      <c r="C4036" t="str">
        <f>"411324199610211119"</f>
        <v>411324199610211119</v>
      </c>
      <c r="D4036" t="s">
        <v>1</v>
      </c>
      <c r="E4036" t="s">
        <v>1</v>
      </c>
      <c r="F4036" t="s">
        <v>0</v>
      </c>
      <c r="G4036" t="str">
        <f>"2018-10-17 16:30:17"</f>
        <v>2018-10-17 16:30:17</v>
      </c>
    </row>
    <row r="4037" spans="1:7" x14ac:dyDescent="0.2">
      <c r="A4037" t="s">
        <v>1</v>
      </c>
      <c r="B4037" t="str">
        <f>"13185704193"</f>
        <v>13185704193</v>
      </c>
      <c r="C4037" t="s">
        <v>1</v>
      </c>
      <c r="D4037" t="s">
        <v>1</v>
      </c>
      <c r="E4037" t="s">
        <v>1</v>
      </c>
      <c r="F4037" t="s">
        <v>0</v>
      </c>
      <c r="G4037" t="str">
        <f>"2018-10-17 16:28:11"</f>
        <v>2018-10-17 16:28:11</v>
      </c>
    </row>
    <row r="4038" spans="1:7" x14ac:dyDescent="0.2">
      <c r="A4038" t="s">
        <v>1</v>
      </c>
      <c r="B4038" t="str">
        <f>"15096109988"</f>
        <v>15096109988</v>
      </c>
      <c r="C4038" t="s">
        <v>1</v>
      </c>
      <c r="D4038" t="s">
        <v>1</v>
      </c>
      <c r="E4038" t="s">
        <v>1</v>
      </c>
      <c r="F4038" t="s">
        <v>0</v>
      </c>
      <c r="G4038" t="str">
        <f>"2018-10-17 16:28:05"</f>
        <v>2018-10-17 16:28:05</v>
      </c>
    </row>
    <row r="4039" spans="1:7" x14ac:dyDescent="0.2">
      <c r="A4039" t="s">
        <v>5293</v>
      </c>
      <c r="B4039" t="str">
        <f>"15245475531"</f>
        <v>15245475531</v>
      </c>
      <c r="C4039" t="str">
        <f>"230822199012280317"</f>
        <v>230822199012280317</v>
      </c>
      <c r="D4039" t="s">
        <v>1</v>
      </c>
      <c r="E4039" t="s">
        <v>1</v>
      </c>
      <c r="F4039" t="s">
        <v>0</v>
      </c>
      <c r="G4039" t="str">
        <f>"2018-10-17 17:13:53"</f>
        <v>2018-10-17 17:13:53</v>
      </c>
    </row>
    <row r="4040" spans="1:7" x14ac:dyDescent="0.2">
      <c r="A4040" t="s">
        <v>1</v>
      </c>
      <c r="B4040" t="str">
        <f>"13221734945"</f>
        <v>13221734945</v>
      </c>
      <c r="C4040" t="s">
        <v>1</v>
      </c>
      <c r="D4040" t="s">
        <v>1</v>
      </c>
      <c r="E4040" t="s">
        <v>1</v>
      </c>
      <c r="F4040" t="s">
        <v>0</v>
      </c>
      <c r="G4040" t="str">
        <f>"2018-10-17 16:27:30"</f>
        <v>2018-10-17 16:27:30</v>
      </c>
    </row>
    <row r="4041" spans="1:7" x14ac:dyDescent="0.2">
      <c r="A4041" t="s">
        <v>1736</v>
      </c>
      <c r="B4041" t="str">
        <f>"15514081520"</f>
        <v>15514081520</v>
      </c>
      <c r="C4041" t="str">
        <f>"341221199102048092"</f>
        <v>341221199102048092</v>
      </c>
      <c r="D4041" t="s">
        <v>1</v>
      </c>
      <c r="E4041" t="s">
        <v>1</v>
      </c>
      <c r="F4041" t="s">
        <v>0</v>
      </c>
      <c r="G4041" t="str">
        <f>"2018-10-29 11:13:32"</f>
        <v>2018-10-29 11:13:32</v>
      </c>
    </row>
    <row r="4042" spans="1:7" x14ac:dyDescent="0.2">
      <c r="A4042" t="s">
        <v>5294</v>
      </c>
      <c r="B4042" t="str">
        <f>"18177695704"</f>
        <v>18177695704</v>
      </c>
      <c r="C4042" t="str">
        <f>"532924199410100036"</f>
        <v>532924199410100036</v>
      </c>
      <c r="D4042" t="s">
        <v>1</v>
      </c>
      <c r="E4042" t="s">
        <v>1</v>
      </c>
      <c r="F4042" t="s">
        <v>0</v>
      </c>
      <c r="G4042" t="str">
        <f>"2018-10-17 17:09:08"</f>
        <v>2018-10-17 17:09:08</v>
      </c>
    </row>
    <row r="4043" spans="1:7" x14ac:dyDescent="0.2">
      <c r="A4043" t="s">
        <v>5295</v>
      </c>
      <c r="B4043" t="str">
        <f>"18960618385"</f>
        <v>18960618385</v>
      </c>
      <c r="C4043" t="str">
        <f>"350784198112231025"</f>
        <v>350784198112231025</v>
      </c>
      <c r="D4043" t="s">
        <v>1</v>
      </c>
      <c r="E4043" t="s">
        <v>1</v>
      </c>
      <c r="F4043" t="s">
        <v>0</v>
      </c>
      <c r="G4043" t="str">
        <f>"2018-10-17 16:28:29"</f>
        <v>2018-10-17 16:28:29</v>
      </c>
    </row>
    <row r="4044" spans="1:7" x14ac:dyDescent="0.2">
      <c r="A4044" t="s">
        <v>5296</v>
      </c>
      <c r="B4044" t="str">
        <f>"18393066005"</f>
        <v>18393066005</v>
      </c>
      <c r="C4044" t="str">
        <f>"622901199012030519"</f>
        <v>622901199012030519</v>
      </c>
      <c r="D4044" t="s">
        <v>1</v>
      </c>
      <c r="E4044" t="s">
        <v>1</v>
      </c>
      <c r="F4044" t="s">
        <v>0</v>
      </c>
      <c r="G4044" t="str">
        <f>"2018-10-17 16:26:28"</f>
        <v>2018-10-17 16:26:28</v>
      </c>
    </row>
    <row r="4045" spans="1:7" x14ac:dyDescent="0.2">
      <c r="A4045" t="s">
        <v>5297</v>
      </c>
      <c r="B4045" t="str">
        <f>"15965281957"</f>
        <v>15965281957</v>
      </c>
      <c r="C4045" t="str">
        <f>"370523198710305514"</f>
        <v>370523198710305514</v>
      </c>
      <c r="D4045" t="s">
        <v>1</v>
      </c>
      <c r="E4045" t="s">
        <v>1</v>
      </c>
      <c r="F4045" t="s">
        <v>0</v>
      </c>
      <c r="G4045" t="str">
        <f>"2018-10-18 09:31:22"</f>
        <v>2018-10-18 09:31:22</v>
      </c>
    </row>
    <row r="4046" spans="1:7" x14ac:dyDescent="0.2">
      <c r="A4046" t="s">
        <v>5298</v>
      </c>
      <c r="B4046" t="str">
        <f>"13850285141"</f>
        <v>13850285141</v>
      </c>
      <c r="C4046" t="str">
        <f>"350301198910160169"</f>
        <v>350301198910160169</v>
      </c>
      <c r="D4046" t="s">
        <v>1</v>
      </c>
      <c r="E4046" t="s">
        <v>1</v>
      </c>
      <c r="F4046" t="s">
        <v>0</v>
      </c>
      <c r="G4046" t="str">
        <f>"2018-10-18 14:06:56"</f>
        <v>2018-10-18 14:06:56</v>
      </c>
    </row>
    <row r="4047" spans="1:7" x14ac:dyDescent="0.2">
      <c r="A4047" t="s">
        <v>5299</v>
      </c>
      <c r="B4047" t="str">
        <f>"15138956694"</f>
        <v>15138956694</v>
      </c>
      <c r="C4047" t="str">
        <f>"412722199202046513"</f>
        <v>412722199202046513</v>
      </c>
      <c r="D4047" t="s">
        <v>1</v>
      </c>
      <c r="E4047" t="s">
        <v>1</v>
      </c>
      <c r="F4047" t="s">
        <v>0</v>
      </c>
      <c r="G4047" t="str">
        <f>"2018-10-19 13:20:12"</f>
        <v>2018-10-19 13:20:12</v>
      </c>
    </row>
    <row r="4048" spans="1:7" x14ac:dyDescent="0.2">
      <c r="A4048" t="s">
        <v>5300</v>
      </c>
      <c r="B4048" t="str">
        <f>"18853188513"</f>
        <v>18853188513</v>
      </c>
      <c r="C4048" t="str">
        <f>"371426199205174030"</f>
        <v>371426199205174030</v>
      </c>
      <c r="D4048" t="s">
        <v>1</v>
      </c>
      <c r="E4048" t="s">
        <v>1</v>
      </c>
      <c r="F4048" t="s">
        <v>0</v>
      </c>
      <c r="G4048" t="str">
        <f>"2018-10-17 16:36:55"</f>
        <v>2018-10-17 16:36:55</v>
      </c>
    </row>
    <row r="4049" spans="1:7" x14ac:dyDescent="0.2">
      <c r="A4049" t="s">
        <v>642</v>
      </c>
      <c r="B4049" t="str">
        <f>"18795017164"</f>
        <v>18795017164</v>
      </c>
      <c r="C4049" t="str">
        <f>"640381199002161815"</f>
        <v>640381199002161815</v>
      </c>
      <c r="D4049" t="s">
        <v>1</v>
      </c>
      <c r="E4049" t="s">
        <v>1</v>
      </c>
      <c r="F4049" t="s">
        <v>0</v>
      </c>
      <c r="G4049" t="str">
        <f>"2018-10-17 16:26:50"</f>
        <v>2018-10-17 16:26:50</v>
      </c>
    </row>
    <row r="4050" spans="1:7" x14ac:dyDescent="0.2">
      <c r="A4050" t="s">
        <v>968</v>
      </c>
      <c r="B4050" t="str">
        <f>"13869988745"</f>
        <v>13869988745</v>
      </c>
      <c r="C4050" t="str">
        <f>"370982199001085279"</f>
        <v>370982199001085279</v>
      </c>
      <c r="D4050" t="s">
        <v>1</v>
      </c>
      <c r="E4050" t="s">
        <v>1</v>
      </c>
      <c r="F4050" t="s">
        <v>0</v>
      </c>
      <c r="G4050" t="str">
        <f>"2018-10-17 16:26:30"</f>
        <v>2018-10-17 16:26:30</v>
      </c>
    </row>
    <row r="4051" spans="1:7" x14ac:dyDescent="0.2">
      <c r="A4051" t="s">
        <v>5301</v>
      </c>
      <c r="B4051" t="str">
        <f>"15979739397"</f>
        <v>15979739397</v>
      </c>
      <c r="C4051" t="str">
        <f>"360723200002220324"</f>
        <v>360723200002220324</v>
      </c>
      <c r="D4051" t="s">
        <v>1</v>
      </c>
      <c r="E4051" t="s">
        <v>1</v>
      </c>
      <c r="F4051" t="s">
        <v>0</v>
      </c>
      <c r="G4051" t="str">
        <f>"2018-10-17 16:26:20"</f>
        <v>2018-10-17 16:26:20</v>
      </c>
    </row>
    <row r="4052" spans="1:7" x14ac:dyDescent="0.2">
      <c r="A4052" t="s">
        <v>5302</v>
      </c>
      <c r="B4052" t="str">
        <f>"13997749338"</f>
        <v>13997749338</v>
      </c>
      <c r="C4052" t="str">
        <f>"422823198611132577"</f>
        <v>422823198611132577</v>
      </c>
      <c r="D4052" t="s">
        <v>1</v>
      </c>
      <c r="E4052" t="s">
        <v>1</v>
      </c>
      <c r="F4052" t="s">
        <v>0</v>
      </c>
      <c r="G4052" t="str">
        <f>"2018-10-17 16:24:57"</f>
        <v>2018-10-17 16:24:57</v>
      </c>
    </row>
    <row r="4053" spans="1:7" x14ac:dyDescent="0.2">
      <c r="A4053" t="s">
        <v>1579</v>
      </c>
      <c r="B4053" t="str">
        <f>"18739313330"</f>
        <v>18739313330</v>
      </c>
      <c r="C4053" t="str">
        <f>"410928199302100035"</f>
        <v>410928199302100035</v>
      </c>
      <c r="D4053" t="s">
        <v>1</v>
      </c>
      <c r="E4053" t="s">
        <v>1</v>
      </c>
      <c r="F4053" t="s">
        <v>0</v>
      </c>
      <c r="G4053" t="str">
        <f>"2018-10-17 16:23:32"</f>
        <v>2018-10-17 16:23:32</v>
      </c>
    </row>
    <row r="4054" spans="1:7" x14ac:dyDescent="0.2">
      <c r="A4054" t="s">
        <v>87</v>
      </c>
      <c r="B4054" t="str">
        <f>"15220055667"</f>
        <v>15220055667</v>
      </c>
      <c r="C4054" t="str">
        <f>"420682199304133010"</f>
        <v>420682199304133010</v>
      </c>
      <c r="D4054" t="s">
        <v>1</v>
      </c>
      <c r="E4054" t="s">
        <v>1</v>
      </c>
      <c r="F4054" t="s">
        <v>0</v>
      </c>
      <c r="G4054" t="str">
        <f>"2018-10-17 16:31:06"</f>
        <v>2018-10-17 16:31:06</v>
      </c>
    </row>
    <row r="4055" spans="1:7" x14ac:dyDescent="0.2">
      <c r="A4055" t="s">
        <v>5303</v>
      </c>
      <c r="B4055" t="str">
        <f>"13456368877"</f>
        <v>13456368877</v>
      </c>
      <c r="C4055" t="str">
        <f>"330424199210020035"</f>
        <v>330424199210020035</v>
      </c>
      <c r="D4055" t="s">
        <v>1</v>
      </c>
      <c r="E4055" t="s">
        <v>1</v>
      </c>
      <c r="F4055" t="s">
        <v>0</v>
      </c>
      <c r="G4055" t="str">
        <f>"2018-10-17 16:24:53"</f>
        <v>2018-10-17 16:24:53</v>
      </c>
    </row>
    <row r="4056" spans="1:7" x14ac:dyDescent="0.2">
      <c r="A4056" t="s">
        <v>5304</v>
      </c>
      <c r="B4056" t="str">
        <f>"15931153070"</f>
        <v>15931153070</v>
      </c>
      <c r="C4056" t="str">
        <f>"130528198802017234"</f>
        <v>130528198802017234</v>
      </c>
      <c r="D4056" t="s">
        <v>5305</v>
      </c>
      <c r="E4056" t="s">
        <v>5306</v>
      </c>
      <c r="F4056" t="s">
        <v>0</v>
      </c>
      <c r="G4056" t="str">
        <f>"2018-10-17 16:27:41"</f>
        <v>2018-10-17 16:27:41</v>
      </c>
    </row>
    <row r="4057" spans="1:7" x14ac:dyDescent="0.2">
      <c r="A4057" t="s">
        <v>5307</v>
      </c>
      <c r="B4057" t="str">
        <f>"13893590170"</f>
        <v>13893590170</v>
      </c>
      <c r="C4057" t="str">
        <f>"622301198110181313"</f>
        <v>622301198110181313</v>
      </c>
      <c r="D4057" t="s">
        <v>1</v>
      </c>
      <c r="E4057" t="s">
        <v>1</v>
      </c>
      <c r="F4057" t="s">
        <v>0</v>
      </c>
      <c r="G4057" t="str">
        <f>"2018-10-17 16:23:44"</f>
        <v>2018-10-17 16:23:44</v>
      </c>
    </row>
    <row r="4058" spans="1:7" x14ac:dyDescent="0.2">
      <c r="A4058" t="s">
        <v>140</v>
      </c>
      <c r="B4058" t="str">
        <f>"18291939178"</f>
        <v>18291939178</v>
      </c>
      <c r="C4058" t="str">
        <f>"610123198102170511"</f>
        <v>610123198102170511</v>
      </c>
      <c r="D4058" t="s">
        <v>1</v>
      </c>
      <c r="E4058" t="s">
        <v>1</v>
      </c>
      <c r="F4058" t="s">
        <v>0</v>
      </c>
      <c r="G4058" t="str">
        <f>"2018-10-17 16:24:08"</f>
        <v>2018-10-17 16:24:08</v>
      </c>
    </row>
    <row r="4059" spans="1:7" x14ac:dyDescent="0.2">
      <c r="A4059" t="s">
        <v>5308</v>
      </c>
      <c r="B4059" t="str">
        <f>"17864201023"</f>
        <v>17864201023</v>
      </c>
      <c r="C4059" t="str">
        <f>"370921199601300638"</f>
        <v>370921199601300638</v>
      </c>
      <c r="D4059" t="s">
        <v>1</v>
      </c>
      <c r="E4059" t="s">
        <v>1</v>
      </c>
      <c r="F4059" t="s">
        <v>0</v>
      </c>
      <c r="G4059" t="str">
        <f>"2018-10-29 15:52:42"</f>
        <v>2018-10-29 15:52:42</v>
      </c>
    </row>
    <row r="4060" spans="1:7" x14ac:dyDescent="0.2">
      <c r="A4060" t="s">
        <v>5309</v>
      </c>
      <c r="B4060" t="str">
        <f>"18377411380"</f>
        <v>18377411380</v>
      </c>
      <c r="C4060" t="str">
        <f>"450422198811272115"</f>
        <v>450422198811272115</v>
      </c>
      <c r="D4060" t="s">
        <v>1</v>
      </c>
      <c r="E4060" t="s">
        <v>1</v>
      </c>
      <c r="F4060" t="s">
        <v>0</v>
      </c>
      <c r="G4060" t="str">
        <f>"2018-10-17 16:21:46"</f>
        <v>2018-10-17 16:21:46</v>
      </c>
    </row>
    <row r="4061" spans="1:7" x14ac:dyDescent="0.2">
      <c r="A4061" t="s">
        <v>5310</v>
      </c>
      <c r="B4061" t="str">
        <f>"15187083470"</f>
        <v>15187083470</v>
      </c>
      <c r="C4061" t="str">
        <f>"532128199509140347"</f>
        <v>532128199509140347</v>
      </c>
      <c r="D4061" t="s">
        <v>1</v>
      </c>
      <c r="E4061" t="s">
        <v>1</v>
      </c>
      <c r="F4061" t="s">
        <v>0</v>
      </c>
      <c r="G4061" t="str">
        <f>"2018-10-17 16:22:29"</f>
        <v>2018-10-17 16:22:29</v>
      </c>
    </row>
    <row r="4062" spans="1:7" x14ac:dyDescent="0.2">
      <c r="A4062" t="s">
        <v>5311</v>
      </c>
      <c r="B4062" t="str">
        <f>"18977807739"</f>
        <v>18977807739</v>
      </c>
      <c r="C4062" t="str">
        <f>"450122198902240518"</f>
        <v>450122198902240518</v>
      </c>
      <c r="D4062" t="s">
        <v>1</v>
      </c>
      <c r="E4062" t="s">
        <v>1</v>
      </c>
      <c r="F4062" t="s">
        <v>0</v>
      </c>
      <c r="G4062" t="str">
        <f>"2018-10-17 16:48:17"</f>
        <v>2018-10-17 16:48:17</v>
      </c>
    </row>
    <row r="4063" spans="1:7" x14ac:dyDescent="0.2">
      <c r="A4063" t="s">
        <v>268</v>
      </c>
      <c r="B4063" t="str">
        <f>"15589270234"</f>
        <v>15589270234</v>
      </c>
      <c r="C4063" t="str">
        <f>"370404198704190015"</f>
        <v>370404198704190015</v>
      </c>
      <c r="D4063" t="s">
        <v>1</v>
      </c>
      <c r="E4063" t="s">
        <v>1</v>
      </c>
      <c r="F4063" t="s">
        <v>0</v>
      </c>
      <c r="G4063" t="str">
        <f>"2018-10-17 16:24:01"</f>
        <v>2018-10-17 16:24:01</v>
      </c>
    </row>
    <row r="4064" spans="1:7" x14ac:dyDescent="0.2">
      <c r="A4064" t="s">
        <v>5312</v>
      </c>
      <c r="B4064" t="str">
        <f>"15073826033"</f>
        <v>15073826033</v>
      </c>
      <c r="C4064" t="str">
        <f>"432503199609270350"</f>
        <v>432503199609270350</v>
      </c>
      <c r="D4064" t="s">
        <v>1</v>
      </c>
      <c r="E4064" t="s">
        <v>1</v>
      </c>
      <c r="F4064" t="s">
        <v>0</v>
      </c>
      <c r="G4064" t="str">
        <f>"2018-10-18 13:38:01"</f>
        <v>2018-10-18 13:38:01</v>
      </c>
    </row>
    <row r="4065" spans="1:7" x14ac:dyDescent="0.2">
      <c r="A4065" t="s">
        <v>1</v>
      </c>
      <c r="B4065" t="str">
        <f>"13968433022"</f>
        <v>13968433022</v>
      </c>
      <c r="C4065" t="s">
        <v>1</v>
      </c>
      <c r="D4065" t="s">
        <v>1</v>
      </c>
      <c r="E4065" t="s">
        <v>1</v>
      </c>
      <c r="F4065" t="s">
        <v>0</v>
      </c>
      <c r="G4065" t="str">
        <f>"2018-10-17 16:20:56"</f>
        <v>2018-10-17 16:20:56</v>
      </c>
    </row>
    <row r="4066" spans="1:7" x14ac:dyDescent="0.2">
      <c r="A4066" t="s">
        <v>5313</v>
      </c>
      <c r="B4066" t="str">
        <f>"15681959620"</f>
        <v>15681959620</v>
      </c>
      <c r="C4066" t="str">
        <f>"510781199311019321"</f>
        <v>510781199311019321</v>
      </c>
      <c r="D4066" t="s">
        <v>1</v>
      </c>
      <c r="E4066" t="s">
        <v>1</v>
      </c>
      <c r="F4066" t="s">
        <v>0</v>
      </c>
      <c r="G4066" t="str">
        <f>"2018-10-17 16:29:25"</f>
        <v>2018-10-17 16:29:25</v>
      </c>
    </row>
    <row r="4067" spans="1:7" x14ac:dyDescent="0.2">
      <c r="A4067" t="s">
        <v>5314</v>
      </c>
      <c r="B4067" t="str">
        <f>"15971621280"</f>
        <v>15971621280</v>
      </c>
      <c r="C4067" t="str">
        <f>"420526198508060238"</f>
        <v>420526198508060238</v>
      </c>
      <c r="D4067" t="s">
        <v>1</v>
      </c>
      <c r="E4067" t="s">
        <v>1</v>
      </c>
      <c r="F4067" t="s">
        <v>0</v>
      </c>
      <c r="G4067" t="str">
        <f>"2018-10-17 16:33:37"</f>
        <v>2018-10-17 16:33:37</v>
      </c>
    </row>
    <row r="4068" spans="1:7" x14ac:dyDescent="0.2">
      <c r="A4068" t="s">
        <v>5315</v>
      </c>
      <c r="B4068" t="str">
        <f>"18767732171"</f>
        <v>18767732171</v>
      </c>
      <c r="C4068" t="str">
        <f>"522132199807264316"</f>
        <v>522132199807264316</v>
      </c>
      <c r="D4068" t="s">
        <v>5316</v>
      </c>
      <c r="E4068" t="s">
        <v>5317</v>
      </c>
      <c r="F4068" t="s">
        <v>0</v>
      </c>
      <c r="G4068" t="str">
        <f>"2018-10-17 16:24:05"</f>
        <v>2018-10-17 16:24:05</v>
      </c>
    </row>
    <row r="4069" spans="1:7" x14ac:dyDescent="0.2">
      <c r="A4069" t="s">
        <v>5318</v>
      </c>
      <c r="B4069" t="str">
        <f>"18210589676"</f>
        <v>18210589676</v>
      </c>
      <c r="C4069" t="str">
        <f>"341024197903045317"</f>
        <v>341024197903045317</v>
      </c>
      <c r="D4069" t="s">
        <v>1</v>
      </c>
      <c r="E4069" t="s">
        <v>1</v>
      </c>
      <c r="F4069" t="s">
        <v>0</v>
      </c>
      <c r="G4069" t="str">
        <f>"2018-10-17 16:20:32"</f>
        <v>2018-10-17 16:20:32</v>
      </c>
    </row>
    <row r="4070" spans="1:7" x14ac:dyDescent="0.2">
      <c r="A4070" t="s">
        <v>5319</v>
      </c>
      <c r="B4070" t="str">
        <f>"18085055980"</f>
        <v>18085055980</v>
      </c>
      <c r="C4070" t="str">
        <f>"522633199803201012"</f>
        <v>522633199803201012</v>
      </c>
      <c r="D4070" t="s">
        <v>1</v>
      </c>
      <c r="E4070" t="s">
        <v>1</v>
      </c>
      <c r="F4070" t="s">
        <v>0</v>
      </c>
      <c r="G4070" t="str">
        <f>"2018-10-17 16:25:49"</f>
        <v>2018-10-17 16:25:49</v>
      </c>
    </row>
    <row r="4071" spans="1:7" x14ac:dyDescent="0.2">
      <c r="A4071" t="s">
        <v>1</v>
      </c>
      <c r="B4071" t="str">
        <f>"13887415220"</f>
        <v>13887415220</v>
      </c>
      <c r="C4071" t="s">
        <v>1</v>
      </c>
      <c r="D4071" t="s">
        <v>1</v>
      </c>
      <c r="E4071" t="s">
        <v>1</v>
      </c>
      <c r="F4071" t="s">
        <v>0</v>
      </c>
      <c r="G4071" t="str">
        <f>"2018-10-17 16:17:37"</f>
        <v>2018-10-17 16:17:37</v>
      </c>
    </row>
    <row r="4072" spans="1:7" x14ac:dyDescent="0.2">
      <c r="A4072" t="s">
        <v>828</v>
      </c>
      <c r="B4072" t="str">
        <f>"14702897808"</f>
        <v>14702897808</v>
      </c>
      <c r="C4072" t="str">
        <f>"532127198603040712"</f>
        <v>532127198603040712</v>
      </c>
      <c r="D4072" t="s">
        <v>1</v>
      </c>
      <c r="E4072" t="s">
        <v>1</v>
      </c>
      <c r="F4072" t="s">
        <v>0</v>
      </c>
      <c r="G4072" t="str">
        <f>"2018-10-17 16:19:32"</f>
        <v>2018-10-17 16:19:32</v>
      </c>
    </row>
    <row r="4073" spans="1:7" x14ac:dyDescent="0.2">
      <c r="A4073" t="s">
        <v>5320</v>
      </c>
      <c r="B4073" t="str">
        <f>"15153928305"</f>
        <v>15153928305</v>
      </c>
      <c r="C4073" t="str">
        <f>"371324198710051944"</f>
        <v>371324198710051944</v>
      </c>
      <c r="D4073" t="s">
        <v>1</v>
      </c>
      <c r="E4073" t="s">
        <v>1</v>
      </c>
      <c r="F4073" t="s">
        <v>0</v>
      </c>
      <c r="G4073" t="str">
        <f>"2018-10-17 16:18:29"</f>
        <v>2018-10-17 16:18:29</v>
      </c>
    </row>
    <row r="4074" spans="1:7" x14ac:dyDescent="0.2">
      <c r="A4074" t="s">
        <v>202</v>
      </c>
      <c r="B4074" t="str">
        <f>"18073671131"</f>
        <v>18073671131</v>
      </c>
      <c r="C4074" t="str">
        <f>"430722199209157357"</f>
        <v>430722199209157357</v>
      </c>
      <c r="D4074" t="s">
        <v>1</v>
      </c>
      <c r="E4074" t="s">
        <v>1</v>
      </c>
      <c r="F4074" t="s">
        <v>0</v>
      </c>
      <c r="G4074" t="str">
        <f>"2018-10-17 16:17:19"</f>
        <v>2018-10-17 16:17:19</v>
      </c>
    </row>
    <row r="4075" spans="1:7" x14ac:dyDescent="0.2">
      <c r="A4075" t="s">
        <v>5321</v>
      </c>
      <c r="B4075" t="str">
        <f>"18948830956"</f>
        <v>18948830956</v>
      </c>
      <c r="C4075" t="str">
        <f>"440224198101022891"</f>
        <v>440224198101022891</v>
      </c>
      <c r="D4075" t="s">
        <v>1</v>
      </c>
      <c r="E4075" t="s">
        <v>1</v>
      </c>
      <c r="F4075" t="s">
        <v>0</v>
      </c>
      <c r="G4075" t="str">
        <f>"2018-10-17 16:16:44"</f>
        <v>2018-10-17 16:16:44</v>
      </c>
    </row>
    <row r="4076" spans="1:7" x14ac:dyDescent="0.2">
      <c r="A4076" t="s">
        <v>5322</v>
      </c>
      <c r="B4076" t="str">
        <f>"13882668268"</f>
        <v>13882668268</v>
      </c>
      <c r="C4076" t="str">
        <f>"511602199303263228"</f>
        <v>511602199303263228</v>
      </c>
      <c r="D4076" t="s">
        <v>1</v>
      </c>
      <c r="E4076" t="s">
        <v>1</v>
      </c>
      <c r="F4076" t="s">
        <v>0</v>
      </c>
      <c r="G4076" t="str">
        <f>"2018-10-17 16:18:06"</f>
        <v>2018-10-17 16:18:06</v>
      </c>
    </row>
    <row r="4077" spans="1:7" x14ac:dyDescent="0.2">
      <c r="A4077" t="s">
        <v>5323</v>
      </c>
      <c r="B4077" t="str">
        <f>"15941773665"</f>
        <v>15941773665</v>
      </c>
      <c r="C4077" t="str">
        <f>"210802198905290519"</f>
        <v>210802198905290519</v>
      </c>
      <c r="D4077" t="s">
        <v>1</v>
      </c>
      <c r="E4077" t="s">
        <v>1</v>
      </c>
      <c r="F4077" t="s">
        <v>0</v>
      </c>
      <c r="G4077" t="str">
        <f>"2018-10-17 17:41:18"</f>
        <v>2018-10-17 17:41:18</v>
      </c>
    </row>
    <row r="4078" spans="1:7" x14ac:dyDescent="0.2">
      <c r="A4078" t="s">
        <v>5324</v>
      </c>
      <c r="B4078" t="str">
        <f>"18668792045"</f>
        <v>18668792045</v>
      </c>
      <c r="C4078" t="str">
        <f>"362334198412072116"</f>
        <v>362334198412072116</v>
      </c>
      <c r="D4078" t="s">
        <v>5325</v>
      </c>
      <c r="E4078" t="s">
        <v>5326</v>
      </c>
      <c r="F4078" t="s">
        <v>0</v>
      </c>
      <c r="G4078" t="str">
        <f>"2018-10-17 16:18:45"</f>
        <v>2018-10-17 16:18:45</v>
      </c>
    </row>
    <row r="4079" spans="1:7" x14ac:dyDescent="0.2">
      <c r="A4079" t="s">
        <v>1</v>
      </c>
      <c r="B4079" t="str">
        <f>"18792781076"</f>
        <v>18792781076</v>
      </c>
      <c r="C4079" t="s">
        <v>1</v>
      </c>
      <c r="D4079" t="s">
        <v>1</v>
      </c>
      <c r="E4079" t="s">
        <v>1</v>
      </c>
      <c r="F4079" t="s">
        <v>0</v>
      </c>
      <c r="G4079" t="str">
        <f>"2018-10-17 16:18:22"</f>
        <v>2018-10-17 16:18:22</v>
      </c>
    </row>
    <row r="4080" spans="1:7" x14ac:dyDescent="0.2">
      <c r="A4080" t="s">
        <v>5327</v>
      </c>
      <c r="B4080" t="str">
        <f>"15365376929"</f>
        <v>15365376929</v>
      </c>
      <c r="C4080" t="str">
        <f>"530323199911290017"</f>
        <v>530323199911290017</v>
      </c>
      <c r="D4080" t="s">
        <v>1</v>
      </c>
      <c r="E4080" t="s">
        <v>1</v>
      </c>
      <c r="F4080" t="s">
        <v>0</v>
      </c>
      <c r="G4080" t="str">
        <f>"2018-10-17 16:15:14"</f>
        <v>2018-10-17 16:15:14</v>
      </c>
    </row>
    <row r="4081" spans="1:7" x14ac:dyDescent="0.2">
      <c r="A4081" t="s">
        <v>5328</v>
      </c>
      <c r="B4081" t="str">
        <f>"13642948366"</f>
        <v>13642948366</v>
      </c>
      <c r="C4081" t="str">
        <f>"440582199607071556"</f>
        <v>440582199607071556</v>
      </c>
      <c r="D4081" t="s">
        <v>1</v>
      </c>
      <c r="E4081" t="s">
        <v>1</v>
      </c>
      <c r="F4081" t="s">
        <v>0</v>
      </c>
      <c r="G4081" t="str">
        <f>"2018-10-17 16:17:47"</f>
        <v>2018-10-17 16:17:47</v>
      </c>
    </row>
    <row r="4082" spans="1:7" x14ac:dyDescent="0.2">
      <c r="A4082" t="s">
        <v>5329</v>
      </c>
      <c r="B4082" t="str">
        <f>"18988695966"</f>
        <v>18988695966</v>
      </c>
      <c r="C4082" t="str">
        <f>"340802198706210618"</f>
        <v>340802198706210618</v>
      </c>
      <c r="D4082" t="s">
        <v>1</v>
      </c>
      <c r="E4082" t="s">
        <v>1</v>
      </c>
      <c r="F4082" t="s">
        <v>0</v>
      </c>
      <c r="G4082" t="str">
        <f>"2018-10-25 13:43:12"</f>
        <v>2018-10-25 13:43:12</v>
      </c>
    </row>
    <row r="4083" spans="1:7" x14ac:dyDescent="0.2">
      <c r="A4083" t="s">
        <v>5330</v>
      </c>
      <c r="B4083" t="str">
        <f>"18579063302"</f>
        <v>18579063302</v>
      </c>
      <c r="C4083" t="str">
        <f>"360122198906022428"</f>
        <v>360122198906022428</v>
      </c>
      <c r="D4083" t="s">
        <v>1</v>
      </c>
      <c r="E4083" t="s">
        <v>1</v>
      </c>
      <c r="F4083" t="s">
        <v>0</v>
      </c>
      <c r="G4083" t="str">
        <f>"2018-10-17 19:44:59"</f>
        <v>2018-10-17 19:44:59</v>
      </c>
    </row>
    <row r="4084" spans="1:7" x14ac:dyDescent="0.2">
      <c r="A4084" t="s">
        <v>1</v>
      </c>
      <c r="B4084" t="str">
        <f>"13429582025"</f>
        <v>13429582025</v>
      </c>
      <c r="C4084" t="s">
        <v>1</v>
      </c>
      <c r="D4084" t="s">
        <v>1</v>
      </c>
      <c r="E4084" t="s">
        <v>1</v>
      </c>
      <c r="F4084" t="s">
        <v>0</v>
      </c>
      <c r="G4084" t="str">
        <f>"2018-10-17 16:16:53"</f>
        <v>2018-10-17 16:16:53</v>
      </c>
    </row>
    <row r="4085" spans="1:7" x14ac:dyDescent="0.2">
      <c r="A4085" t="s">
        <v>1</v>
      </c>
      <c r="B4085" t="str">
        <f>"18078601741"</f>
        <v>18078601741</v>
      </c>
      <c r="C4085" t="s">
        <v>1</v>
      </c>
      <c r="D4085" t="s">
        <v>1</v>
      </c>
      <c r="E4085" t="s">
        <v>1</v>
      </c>
      <c r="F4085" t="s">
        <v>0</v>
      </c>
      <c r="G4085" t="str">
        <f>"2018-10-17 16:15:52"</f>
        <v>2018-10-17 16:15:52</v>
      </c>
    </row>
    <row r="4086" spans="1:7" x14ac:dyDescent="0.2">
      <c r="A4086" t="s">
        <v>5331</v>
      </c>
      <c r="B4086" t="str">
        <f>"15068910711"</f>
        <v>15068910711</v>
      </c>
      <c r="C4086" t="str">
        <f>"330823197303110714"</f>
        <v>330823197303110714</v>
      </c>
      <c r="D4086" t="s">
        <v>1</v>
      </c>
      <c r="E4086" t="s">
        <v>1</v>
      </c>
      <c r="F4086" t="s">
        <v>0</v>
      </c>
      <c r="G4086" t="str">
        <f>"2018-10-17 16:14:48"</f>
        <v>2018-10-17 16:14:48</v>
      </c>
    </row>
    <row r="4087" spans="1:7" x14ac:dyDescent="0.2">
      <c r="A4087" t="s">
        <v>132</v>
      </c>
      <c r="B4087" t="str">
        <f>"18322784050"</f>
        <v>18322784050</v>
      </c>
      <c r="C4087" t="str">
        <f>"360311199611200027"</f>
        <v>360311199611200027</v>
      </c>
      <c r="D4087" t="s">
        <v>1</v>
      </c>
      <c r="E4087" t="s">
        <v>1</v>
      </c>
      <c r="F4087" t="s">
        <v>0</v>
      </c>
      <c r="G4087" t="str">
        <f>"2018-10-17 17:47:59"</f>
        <v>2018-10-17 17:47:59</v>
      </c>
    </row>
    <row r="4088" spans="1:7" x14ac:dyDescent="0.2">
      <c r="A4088" t="s">
        <v>5332</v>
      </c>
      <c r="B4088" t="str">
        <f>"13889299202"</f>
        <v>13889299202</v>
      </c>
      <c r="C4088" t="str">
        <f>"210181199703232718"</f>
        <v>210181199703232718</v>
      </c>
      <c r="D4088" t="s">
        <v>1</v>
      </c>
      <c r="E4088" t="s">
        <v>1</v>
      </c>
      <c r="F4088" t="s">
        <v>0</v>
      </c>
      <c r="G4088" t="str">
        <f>"2018-10-17 16:12:22"</f>
        <v>2018-10-17 16:12:22</v>
      </c>
    </row>
    <row r="4089" spans="1:7" x14ac:dyDescent="0.2">
      <c r="A4089" t="s">
        <v>5333</v>
      </c>
      <c r="B4089" t="str">
        <f>"13055545333"</f>
        <v>13055545333</v>
      </c>
      <c r="C4089" t="str">
        <f>"35042619830128701X"</f>
        <v>35042619830128701X</v>
      </c>
      <c r="D4089" t="s">
        <v>5334</v>
      </c>
      <c r="E4089" t="s">
        <v>5335</v>
      </c>
      <c r="F4089" t="s">
        <v>0</v>
      </c>
      <c r="G4089" t="str">
        <f>"2018-10-17 16:14:33"</f>
        <v>2018-10-17 16:14:33</v>
      </c>
    </row>
    <row r="4090" spans="1:7" x14ac:dyDescent="0.2">
      <c r="A4090" t="s">
        <v>5336</v>
      </c>
      <c r="B4090" t="str">
        <f>"15770300306"</f>
        <v>15770300306</v>
      </c>
      <c r="C4090" t="str">
        <f>"360727199512112219"</f>
        <v>360727199512112219</v>
      </c>
      <c r="D4090" t="s">
        <v>1</v>
      </c>
      <c r="E4090" t="s">
        <v>1</v>
      </c>
      <c r="F4090" t="s">
        <v>0</v>
      </c>
      <c r="G4090" t="str">
        <f>"2018-10-17 16:24:38"</f>
        <v>2018-10-17 16:24:38</v>
      </c>
    </row>
    <row r="4091" spans="1:7" x14ac:dyDescent="0.2">
      <c r="A4091" t="s">
        <v>5337</v>
      </c>
      <c r="B4091" t="str">
        <f>"18238006657"</f>
        <v>18238006657</v>
      </c>
      <c r="C4091" t="str">
        <f>"411424199409067157"</f>
        <v>411424199409067157</v>
      </c>
      <c r="D4091" t="s">
        <v>1</v>
      </c>
      <c r="E4091" t="s">
        <v>1</v>
      </c>
      <c r="F4091" t="s">
        <v>0</v>
      </c>
      <c r="G4091" t="str">
        <f>"2018-10-17 16:15:29"</f>
        <v>2018-10-17 16:15:29</v>
      </c>
    </row>
    <row r="4092" spans="1:7" x14ac:dyDescent="0.2">
      <c r="A4092" t="s">
        <v>5338</v>
      </c>
      <c r="B4092" t="str">
        <f>"13676329881"</f>
        <v>13676329881</v>
      </c>
      <c r="C4092" t="str">
        <f>"370404199301110046"</f>
        <v>370404199301110046</v>
      </c>
      <c r="D4092" t="s">
        <v>1</v>
      </c>
      <c r="E4092" t="s">
        <v>1</v>
      </c>
      <c r="F4092" t="s">
        <v>0</v>
      </c>
      <c r="G4092" t="str">
        <f>"2018-10-17 16:14:27"</f>
        <v>2018-10-17 16:14:27</v>
      </c>
    </row>
    <row r="4093" spans="1:7" x14ac:dyDescent="0.2">
      <c r="A4093" t="s">
        <v>813</v>
      </c>
      <c r="B4093" t="str">
        <f>"15250334526"</f>
        <v>15250334526</v>
      </c>
      <c r="C4093" t="str">
        <f>"320520197906010117"</f>
        <v>320520197906010117</v>
      </c>
      <c r="D4093" t="s">
        <v>1</v>
      </c>
      <c r="E4093" t="s">
        <v>1</v>
      </c>
      <c r="F4093" t="s">
        <v>0</v>
      </c>
      <c r="G4093" t="str">
        <f>"2018-10-17 16:12:01"</f>
        <v>2018-10-17 16:12:01</v>
      </c>
    </row>
    <row r="4094" spans="1:7" x14ac:dyDescent="0.2">
      <c r="A4094" t="s">
        <v>5339</v>
      </c>
      <c r="B4094" t="str">
        <f>"15221423243"</f>
        <v>15221423243</v>
      </c>
      <c r="C4094" t="str">
        <f>"350628199609224515"</f>
        <v>350628199609224515</v>
      </c>
      <c r="D4094" t="s">
        <v>1</v>
      </c>
      <c r="E4094" t="s">
        <v>1</v>
      </c>
      <c r="F4094" t="s">
        <v>0</v>
      </c>
      <c r="G4094" t="str">
        <f>"2018-10-17 16:15:56"</f>
        <v>2018-10-17 16:15:56</v>
      </c>
    </row>
    <row r="4095" spans="1:7" x14ac:dyDescent="0.2">
      <c r="A4095" t="s">
        <v>871</v>
      </c>
      <c r="B4095" t="str">
        <f>"17612193281"</f>
        <v>17612193281</v>
      </c>
      <c r="C4095" t="str">
        <f>"361002199803053621"</f>
        <v>361002199803053621</v>
      </c>
      <c r="D4095" t="s">
        <v>1</v>
      </c>
      <c r="E4095" t="s">
        <v>1</v>
      </c>
      <c r="F4095" t="s">
        <v>0</v>
      </c>
      <c r="G4095" t="str">
        <f>"2018-10-17 19:27:37"</f>
        <v>2018-10-17 19:27:37</v>
      </c>
    </row>
    <row r="4096" spans="1:7" x14ac:dyDescent="0.2">
      <c r="A4096" t="s">
        <v>5340</v>
      </c>
      <c r="B4096" t="str">
        <f>"18340911733"</f>
        <v>18340911733</v>
      </c>
      <c r="C4096" t="str">
        <f>"152224199009057028"</f>
        <v>152224199009057028</v>
      </c>
      <c r="D4096" t="s">
        <v>1</v>
      </c>
      <c r="E4096" t="s">
        <v>1</v>
      </c>
      <c r="F4096" t="s">
        <v>0</v>
      </c>
      <c r="G4096" t="str">
        <f>"2018-10-17 16:11:22"</f>
        <v>2018-10-17 16:11:22</v>
      </c>
    </row>
    <row r="4097" spans="1:7" x14ac:dyDescent="0.2">
      <c r="A4097" t="s">
        <v>5341</v>
      </c>
      <c r="B4097" t="str">
        <f>"15814671289"</f>
        <v>15814671289</v>
      </c>
      <c r="C4097" t="str">
        <f>"445221198602131952"</f>
        <v>445221198602131952</v>
      </c>
      <c r="D4097" t="s">
        <v>1</v>
      </c>
      <c r="E4097" t="s">
        <v>1</v>
      </c>
      <c r="F4097" t="s">
        <v>0</v>
      </c>
      <c r="G4097" t="str">
        <f>"2018-10-17 16:11:36"</f>
        <v>2018-10-17 16:11:36</v>
      </c>
    </row>
    <row r="4098" spans="1:7" x14ac:dyDescent="0.2">
      <c r="A4098" t="s">
        <v>5342</v>
      </c>
      <c r="B4098" t="str">
        <f>"13998728065"</f>
        <v>13998728065</v>
      </c>
      <c r="C4098" t="str">
        <f>"211121199210042638"</f>
        <v>211121199210042638</v>
      </c>
      <c r="D4098" t="s">
        <v>1</v>
      </c>
      <c r="E4098" t="s">
        <v>1</v>
      </c>
      <c r="F4098" t="s">
        <v>0</v>
      </c>
      <c r="G4098" t="str">
        <f>"2018-10-17 16:12:38"</f>
        <v>2018-10-17 16:12:38</v>
      </c>
    </row>
    <row r="4099" spans="1:7" x14ac:dyDescent="0.2">
      <c r="A4099" t="s">
        <v>5343</v>
      </c>
      <c r="B4099" t="str">
        <f>"18205662691"</f>
        <v>18205662691</v>
      </c>
      <c r="C4099" t="str">
        <f>"342921199407082741"</f>
        <v>342921199407082741</v>
      </c>
      <c r="D4099" t="s">
        <v>1</v>
      </c>
      <c r="E4099" t="s">
        <v>1</v>
      </c>
      <c r="F4099" t="s">
        <v>0</v>
      </c>
      <c r="G4099" t="str">
        <f>"2018-10-24 09:52:52"</f>
        <v>2018-10-24 09:52:52</v>
      </c>
    </row>
    <row r="4100" spans="1:7" x14ac:dyDescent="0.2">
      <c r="A4100" t="s">
        <v>169</v>
      </c>
      <c r="B4100" t="str">
        <f>"15830345354"</f>
        <v>15830345354</v>
      </c>
      <c r="C4100" t="str">
        <f>"130728198806087038"</f>
        <v>130728198806087038</v>
      </c>
      <c r="D4100" t="s">
        <v>1</v>
      </c>
      <c r="E4100" t="s">
        <v>1</v>
      </c>
      <c r="F4100" t="s">
        <v>0</v>
      </c>
      <c r="G4100" t="str">
        <f>"2018-10-17 16:11:22"</f>
        <v>2018-10-17 16:11:22</v>
      </c>
    </row>
    <row r="4101" spans="1:7" x14ac:dyDescent="0.2">
      <c r="A4101" t="s">
        <v>5344</v>
      </c>
      <c r="B4101" t="str">
        <f>"15190904903"</f>
        <v>15190904903</v>
      </c>
      <c r="C4101" t="str">
        <f>"320681199409163814"</f>
        <v>320681199409163814</v>
      </c>
      <c r="D4101" t="s">
        <v>1</v>
      </c>
      <c r="E4101" t="s">
        <v>1</v>
      </c>
      <c r="F4101" t="s">
        <v>0</v>
      </c>
      <c r="G4101" t="str">
        <f>"2018-10-17 16:13:29"</f>
        <v>2018-10-17 16:13:29</v>
      </c>
    </row>
    <row r="4102" spans="1:7" x14ac:dyDescent="0.2">
      <c r="A4102" t="s">
        <v>413</v>
      </c>
      <c r="B4102" t="str">
        <f>"13626222998"</f>
        <v>13626222998</v>
      </c>
      <c r="C4102" t="str">
        <f>"320902197411011539"</f>
        <v>320902197411011539</v>
      </c>
      <c r="D4102" t="s">
        <v>1</v>
      </c>
      <c r="E4102" t="s">
        <v>1</v>
      </c>
      <c r="F4102" t="s">
        <v>0</v>
      </c>
      <c r="G4102" t="str">
        <f>"2018-10-17 16:20:30"</f>
        <v>2018-10-17 16:20:30</v>
      </c>
    </row>
    <row r="4103" spans="1:7" x14ac:dyDescent="0.2">
      <c r="A4103" t="s">
        <v>5345</v>
      </c>
      <c r="B4103" t="str">
        <f>"18223343728"</f>
        <v>18223343728</v>
      </c>
      <c r="C4103" t="str">
        <f>"500235199202058172"</f>
        <v>500235199202058172</v>
      </c>
      <c r="D4103" t="s">
        <v>5346</v>
      </c>
      <c r="E4103" t="s">
        <v>5347</v>
      </c>
      <c r="F4103" t="s">
        <v>0</v>
      </c>
      <c r="G4103" t="str">
        <f>"2018-10-17 16:15:19"</f>
        <v>2018-10-17 16:15:19</v>
      </c>
    </row>
    <row r="4104" spans="1:7" x14ac:dyDescent="0.2">
      <c r="A4104" t="s">
        <v>5348</v>
      </c>
      <c r="B4104" t="str">
        <f>"13629924575"</f>
        <v>13629924575</v>
      </c>
      <c r="C4104" t="str">
        <f>"653126199509153610"</f>
        <v>653126199509153610</v>
      </c>
      <c r="D4104" t="s">
        <v>1</v>
      </c>
      <c r="E4104" t="s">
        <v>1</v>
      </c>
      <c r="F4104" t="s">
        <v>0</v>
      </c>
      <c r="G4104" t="str">
        <f>"2018-10-17 16:38:11"</f>
        <v>2018-10-17 16:38:11</v>
      </c>
    </row>
    <row r="4105" spans="1:7" x14ac:dyDescent="0.2">
      <c r="A4105" t="s">
        <v>5349</v>
      </c>
      <c r="B4105" t="str">
        <f>"18665991218"</f>
        <v>18665991218</v>
      </c>
      <c r="C4105" t="str">
        <f>"410811199504260077"</f>
        <v>410811199504260077</v>
      </c>
      <c r="D4105" t="s">
        <v>1</v>
      </c>
      <c r="E4105" t="s">
        <v>1</v>
      </c>
      <c r="F4105" t="s">
        <v>0</v>
      </c>
      <c r="G4105" t="str">
        <f>"2018-10-17 16:10:53"</f>
        <v>2018-10-17 16:10:53</v>
      </c>
    </row>
    <row r="4106" spans="1:7" x14ac:dyDescent="0.2">
      <c r="A4106" t="s">
        <v>5350</v>
      </c>
      <c r="B4106" t="str">
        <f>"13078851509"</f>
        <v>13078851509</v>
      </c>
      <c r="C4106" t="str">
        <f>"452123199802171052"</f>
        <v>452123199802171052</v>
      </c>
      <c r="D4106" t="s">
        <v>1</v>
      </c>
      <c r="E4106" t="s">
        <v>1</v>
      </c>
      <c r="F4106" t="s">
        <v>0</v>
      </c>
      <c r="G4106" t="str">
        <f>"2018-10-17 16:13:14"</f>
        <v>2018-10-17 16:13:14</v>
      </c>
    </row>
    <row r="4107" spans="1:7" x14ac:dyDescent="0.2">
      <c r="A4107" t="s">
        <v>29</v>
      </c>
      <c r="B4107" t="str">
        <f>"13538265155"</f>
        <v>13538265155</v>
      </c>
      <c r="C4107" t="str">
        <f>"610502198410070811"</f>
        <v>610502198410070811</v>
      </c>
      <c r="D4107" t="s">
        <v>1</v>
      </c>
      <c r="E4107" t="s">
        <v>1</v>
      </c>
      <c r="F4107" t="s">
        <v>0</v>
      </c>
      <c r="G4107" t="str">
        <f>"2018-10-17 16:11:23"</f>
        <v>2018-10-17 16:11:23</v>
      </c>
    </row>
    <row r="4108" spans="1:7" x14ac:dyDescent="0.2">
      <c r="A4108" t="s">
        <v>5351</v>
      </c>
      <c r="B4108" t="str">
        <f>"15526290257"</f>
        <v>15526290257</v>
      </c>
      <c r="C4108" t="str">
        <f>"431024199707262753"</f>
        <v>431024199707262753</v>
      </c>
      <c r="D4108" t="s">
        <v>1</v>
      </c>
      <c r="E4108" t="s">
        <v>1</v>
      </c>
      <c r="F4108" t="s">
        <v>0</v>
      </c>
      <c r="G4108" t="str">
        <f>"2018-10-17 16:10:17"</f>
        <v>2018-10-17 16:10:17</v>
      </c>
    </row>
    <row r="4109" spans="1:7" x14ac:dyDescent="0.2">
      <c r="A4109" t="s">
        <v>1</v>
      </c>
      <c r="B4109" t="str">
        <f>"13512800043"</f>
        <v>13512800043</v>
      </c>
      <c r="C4109" t="s">
        <v>1</v>
      </c>
      <c r="D4109" t="s">
        <v>1</v>
      </c>
      <c r="E4109" t="s">
        <v>1</v>
      </c>
      <c r="F4109" t="s">
        <v>0</v>
      </c>
      <c r="G4109" t="str">
        <f>"2018-10-17 16:10:29"</f>
        <v>2018-10-17 16:10:29</v>
      </c>
    </row>
    <row r="4110" spans="1:7" x14ac:dyDescent="0.2">
      <c r="A4110" t="s">
        <v>1</v>
      </c>
      <c r="B4110" t="str">
        <f>"13655444088"</f>
        <v>13655444088</v>
      </c>
      <c r="C4110" t="s">
        <v>1</v>
      </c>
      <c r="D4110" t="s">
        <v>1</v>
      </c>
      <c r="E4110" t="s">
        <v>1</v>
      </c>
      <c r="F4110" t="s">
        <v>0</v>
      </c>
      <c r="G4110" t="str">
        <f>"2018-10-17 16:09:48"</f>
        <v>2018-10-17 16:09:48</v>
      </c>
    </row>
    <row r="4111" spans="1:7" x14ac:dyDescent="0.2">
      <c r="A4111" t="s">
        <v>1040</v>
      </c>
      <c r="B4111" t="str">
        <f>"13988309724"</f>
        <v>13988309724</v>
      </c>
      <c r="C4111" t="str">
        <f>"533522198104111652"</f>
        <v>533522198104111652</v>
      </c>
      <c r="D4111" t="s">
        <v>1</v>
      </c>
      <c r="E4111" t="s">
        <v>1</v>
      </c>
      <c r="F4111" t="s">
        <v>0</v>
      </c>
      <c r="G4111" t="str">
        <f>"2018-10-17 16:09:05"</f>
        <v>2018-10-17 16:09:05</v>
      </c>
    </row>
    <row r="4112" spans="1:7" x14ac:dyDescent="0.2">
      <c r="A4112" t="s">
        <v>5352</v>
      </c>
      <c r="B4112" t="str">
        <f>"13201394664"</f>
        <v>13201394664</v>
      </c>
      <c r="C4112" t="str">
        <f>"650101200007020012"</f>
        <v>650101200007020012</v>
      </c>
      <c r="D4112" t="s">
        <v>5353</v>
      </c>
      <c r="E4112" t="s">
        <v>5354</v>
      </c>
      <c r="F4112" t="s">
        <v>0</v>
      </c>
      <c r="G4112" t="str">
        <f>"2018-10-17 16:08:35"</f>
        <v>2018-10-17 16:08:35</v>
      </c>
    </row>
    <row r="4113" spans="1:7" x14ac:dyDescent="0.2">
      <c r="A4113" t="s">
        <v>5355</v>
      </c>
      <c r="B4113" t="str">
        <f>"18550860675"</f>
        <v>18550860675</v>
      </c>
      <c r="C4113" t="str">
        <f>"412723199702085910"</f>
        <v>412723199702085910</v>
      </c>
      <c r="D4113" t="s">
        <v>1</v>
      </c>
      <c r="E4113" t="s">
        <v>1</v>
      </c>
      <c r="F4113" t="s">
        <v>0</v>
      </c>
      <c r="G4113" t="str">
        <f>"2018-10-17 16:13:46"</f>
        <v>2018-10-17 16:13:46</v>
      </c>
    </row>
    <row r="4114" spans="1:7" x14ac:dyDescent="0.2">
      <c r="A4114" t="s">
        <v>953</v>
      </c>
      <c r="B4114" t="str">
        <f>"18234480484"</f>
        <v>18234480484</v>
      </c>
      <c r="C4114" t="str">
        <f>"14242219800813031X"</f>
        <v>14242219800813031X</v>
      </c>
      <c r="D4114" t="s">
        <v>1</v>
      </c>
      <c r="E4114" t="s">
        <v>1</v>
      </c>
      <c r="F4114" t="s">
        <v>0</v>
      </c>
      <c r="G4114" t="str">
        <f>"2018-10-17 16:09:12"</f>
        <v>2018-10-17 16:09:12</v>
      </c>
    </row>
    <row r="4115" spans="1:7" x14ac:dyDescent="0.2">
      <c r="A4115" t="s">
        <v>5356</v>
      </c>
      <c r="B4115" t="str">
        <f>"13721363959"</f>
        <v>13721363959</v>
      </c>
      <c r="C4115" t="str">
        <f>"411123199112056059"</f>
        <v>411123199112056059</v>
      </c>
      <c r="D4115" t="s">
        <v>1</v>
      </c>
      <c r="E4115" t="s">
        <v>1</v>
      </c>
      <c r="F4115" t="s">
        <v>0</v>
      </c>
      <c r="G4115" t="str">
        <f>"2018-10-17 17:52:11"</f>
        <v>2018-10-17 17:52:11</v>
      </c>
    </row>
    <row r="4116" spans="1:7" x14ac:dyDescent="0.2">
      <c r="A4116" t="s">
        <v>5357</v>
      </c>
      <c r="B4116" t="str">
        <f>"17865328308"</f>
        <v>17865328308</v>
      </c>
      <c r="C4116" t="str">
        <f>"370681199704222222"</f>
        <v>370681199704222222</v>
      </c>
      <c r="D4116" t="s">
        <v>1</v>
      </c>
      <c r="E4116" t="s">
        <v>1</v>
      </c>
      <c r="F4116" t="s">
        <v>0</v>
      </c>
      <c r="G4116" t="str">
        <f>"2018-10-17 16:06:29"</f>
        <v>2018-10-17 16:06:29</v>
      </c>
    </row>
    <row r="4117" spans="1:7" x14ac:dyDescent="0.2">
      <c r="A4117" t="s">
        <v>5358</v>
      </c>
      <c r="B4117" t="str">
        <f>"15034679295"</f>
        <v>15034679295</v>
      </c>
      <c r="C4117" t="str">
        <f>"142423198602051231"</f>
        <v>142423198602051231</v>
      </c>
      <c r="D4117" t="s">
        <v>1</v>
      </c>
      <c r="E4117" t="s">
        <v>1</v>
      </c>
      <c r="F4117" t="s">
        <v>0</v>
      </c>
      <c r="G4117" t="str">
        <f>"2018-11-01 02:04:08"</f>
        <v>2018-11-01 02:04:08</v>
      </c>
    </row>
    <row r="4118" spans="1:7" x14ac:dyDescent="0.2">
      <c r="A4118" t="s">
        <v>5359</v>
      </c>
      <c r="B4118" t="str">
        <f>"13582712551"</f>
        <v>13582712551</v>
      </c>
      <c r="C4118" t="str">
        <f>"132903197504107313"</f>
        <v>132903197504107313</v>
      </c>
      <c r="D4118" t="s">
        <v>1</v>
      </c>
      <c r="E4118" t="s">
        <v>1</v>
      </c>
      <c r="F4118" t="s">
        <v>0</v>
      </c>
      <c r="G4118" t="str">
        <f>"2018-10-24 20:11:28"</f>
        <v>2018-10-24 20:11:28</v>
      </c>
    </row>
    <row r="4119" spans="1:7" x14ac:dyDescent="0.2">
      <c r="A4119" t="s">
        <v>791</v>
      </c>
      <c r="B4119" t="str">
        <f>"15932612352"</f>
        <v>15932612352</v>
      </c>
      <c r="C4119" t="str">
        <f>"341223197906260519"</f>
        <v>341223197906260519</v>
      </c>
      <c r="D4119" t="s">
        <v>1</v>
      </c>
      <c r="E4119" t="s">
        <v>1</v>
      </c>
      <c r="F4119" t="s">
        <v>0</v>
      </c>
      <c r="G4119" t="str">
        <f>"2018-10-17 16:07:26"</f>
        <v>2018-10-17 16:07:26</v>
      </c>
    </row>
    <row r="4120" spans="1:7" x14ac:dyDescent="0.2">
      <c r="A4120" t="s">
        <v>1</v>
      </c>
      <c r="B4120" t="str">
        <f>"13851973251"</f>
        <v>13851973251</v>
      </c>
      <c r="C4120" t="s">
        <v>1</v>
      </c>
      <c r="D4120" t="s">
        <v>1</v>
      </c>
      <c r="E4120" t="s">
        <v>1</v>
      </c>
      <c r="F4120" t="s">
        <v>0</v>
      </c>
      <c r="G4120" t="str">
        <f>"2018-10-17 16:03:36"</f>
        <v>2018-10-17 16:03:36</v>
      </c>
    </row>
    <row r="4121" spans="1:7" x14ac:dyDescent="0.2">
      <c r="A4121" t="s">
        <v>5360</v>
      </c>
      <c r="B4121" t="str">
        <f>"15019300948"</f>
        <v>15019300948</v>
      </c>
      <c r="C4121" t="str">
        <f>"441802198002040213"</f>
        <v>441802198002040213</v>
      </c>
      <c r="D4121" t="s">
        <v>1</v>
      </c>
      <c r="E4121" t="s">
        <v>1</v>
      </c>
      <c r="F4121" t="s">
        <v>0</v>
      </c>
      <c r="G4121" t="str">
        <f>"2018-10-17 16:08:47"</f>
        <v>2018-10-17 16:08:47</v>
      </c>
    </row>
    <row r="4122" spans="1:7" x14ac:dyDescent="0.2">
      <c r="A4122" t="s">
        <v>5361</v>
      </c>
      <c r="B4122" t="str">
        <f>"18547568301"</f>
        <v>18547568301</v>
      </c>
      <c r="C4122" t="str">
        <f>"152321198401223758"</f>
        <v>152321198401223758</v>
      </c>
      <c r="D4122" t="s">
        <v>1</v>
      </c>
      <c r="E4122" t="s">
        <v>1</v>
      </c>
      <c r="F4122" t="s">
        <v>0</v>
      </c>
      <c r="G4122" t="str">
        <f>"2018-10-17 16:04:13"</f>
        <v>2018-10-17 16:04:13</v>
      </c>
    </row>
    <row r="4123" spans="1:7" x14ac:dyDescent="0.2">
      <c r="A4123" t="s">
        <v>5362</v>
      </c>
      <c r="B4123" t="str">
        <f>"15103333609"</f>
        <v>15103333609</v>
      </c>
      <c r="C4123" t="str">
        <f>"13072419870918341X"</f>
        <v>13072419870918341X</v>
      </c>
      <c r="D4123" t="s">
        <v>1</v>
      </c>
      <c r="E4123" t="s">
        <v>1</v>
      </c>
      <c r="F4123" t="s">
        <v>0</v>
      </c>
      <c r="G4123" t="str">
        <f>"2018-10-17 16:11:55"</f>
        <v>2018-10-17 16:11:55</v>
      </c>
    </row>
    <row r="4124" spans="1:7" x14ac:dyDescent="0.2">
      <c r="A4124" t="s">
        <v>5363</v>
      </c>
      <c r="B4124" t="str">
        <f>"13924364730"</f>
        <v>13924364730</v>
      </c>
      <c r="C4124" t="str">
        <f>"500383198502121972"</f>
        <v>500383198502121972</v>
      </c>
      <c r="D4124" t="s">
        <v>1</v>
      </c>
      <c r="E4124" t="s">
        <v>1</v>
      </c>
      <c r="F4124" t="s">
        <v>0</v>
      </c>
      <c r="G4124" t="str">
        <f>"2018-10-17 16:02:11"</f>
        <v>2018-10-17 16:02:11</v>
      </c>
    </row>
    <row r="4125" spans="1:7" x14ac:dyDescent="0.2">
      <c r="A4125" t="s">
        <v>1</v>
      </c>
      <c r="B4125" t="str">
        <f>"13522919019"</f>
        <v>13522919019</v>
      </c>
      <c r="C4125" t="s">
        <v>1</v>
      </c>
      <c r="D4125" t="s">
        <v>1</v>
      </c>
      <c r="E4125" t="s">
        <v>1</v>
      </c>
      <c r="F4125" t="s">
        <v>0</v>
      </c>
      <c r="G4125" t="str">
        <f>"2018-10-17 16:02:08"</f>
        <v>2018-10-17 16:02:08</v>
      </c>
    </row>
    <row r="4126" spans="1:7" x14ac:dyDescent="0.2">
      <c r="A4126" t="s">
        <v>5364</v>
      </c>
      <c r="B4126" t="str">
        <f>"13456263325"</f>
        <v>13456263325</v>
      </c>
      <c r="C4126" t="str">
        <f>"330481199407250819"</f>
        <v>330481199407250819</v>
      </c>
      <c r="D4126" t="s">
        <v>1</v>
      </c>
      <c r="E4126" t="s">
        <v>1</v>
      </c>
      <c r="F4126" t="s">
        <v>0</v>
      </c>
      <c r="G4126" t="str">
        <f>"2018-10-17 16:04:30"</f>
        <v>2018-10-17 16:04:30</v>
      </c>
    </row>
    <row r="4127" spans="1:7" x14ac:dyDescent="0.2">
      <c r="A4127" t="s">
        <v>5365</v>
      </c>
      <c r="B4127" t="str">
        <f>"15976854986"</f>
        <v>15976854986</v>
      </c>
      <c r="C4127" t="str">
        <f>"450324198709074910"</f>
        <v>450324198709074910</v>
      </c>
      <c r="D4127" t="s">
        <v>1</v>
      </c>
      <c r="E4127" t="s">
        <v>1</v>
      </c>
      <c r="F4127" t="s">
        <v>0</v>
      </c>
      <c r="G4127" t="str">
        <f>"2018-10-17 16:03:41"</f>
        <v>2018-10-17 16:03:41</v>
      </c>
    </row>
    <row r="4128" spans="1:7" x14ac:dyDescent="0.2">
      <c r="A4128" t="s">
        <v>5366</v>
      </c>
      <c r="B4128" t="str">
        <f>"15277158695"</f>
        <v>15277158695</v>
      </c>
      <c r="C4128" t="str">
        <f>"450621199204282951"</f>
        <v>450621199204282951</v>
      </c>
      <c r="D4128" t="s">
        <v>1</v>
      </c>
      <c r="E4128" t="s">
        <v>1</v>
      </c>
      <c r="F4128" t="s">
        <v>0</v>
      </c>
      <c r="G4128" t="str">
        <f>"2018-10-17 16:08:01"</f>
        <v>2018-10-17 16:08:01</v>
      </c>
    </row>
    <row r="4129" spans="1:7" x14ac:dyDescent="0.2">
      <c r="A4129" t="s">
        <v>5367</v>
      </c>
      <c r="B4129" t="str">
        <f>"15535396015"</f>
        <v>15535396015</v>
      </c>
      <c r="C4129" t="str">
        <f>"142234198910116015"</f>
        <v>142234198910116015</v>
      </c>
      <c r="D4129" t="s">
        <v>1</v>
      </c>
      <c r="E4129" t="s">
        <v>1</v>
      </c>
      <c r="F4129" t="s">
        <v>0</v>
      </c>
      <c r="G4129" t="str">
        <f>"2018-10-17 16:03:05"</f>
        <v>2018-10-17 16:03:05</v>
      </c>
    </row>
    <row r="4130" spans="1:7" x14ac:dyDescent="0.2">
      <c r="A4130" t="s">
        <v>1</v>
      </c>
      <c r="B4130" t="str">
        <f>"15832080735"</f>
        <v>15832080735</v>
      </c>
      <c r="C4130" t="s">
        <v>1</v>
      </c>
      <c r="D4130" t="s">
        <v>1</v>
      </c>
      <c r="E4130" t="s">
        <v>1</v>
      </c>
      <c r="F4130" t="s">
        <v>0</v>
      </c>
      <c r="G4130" t="str">
        <f>"2018-10-17 16:01:03"</f>
        <v>2018-10-17 16:01:03</v>
      </c>
    </row>
    <row r="4131" spans="1:7" x14ac:dyDescent="0.2">
      <c r="A4131" t="s">
        <v>5368</v>
      </c>
      <c r="B4131" t="str">
        <f>"15313240936"</f>
        <v>15313240936</v>
      </c>
      <c r="C4131" t="str">
        <f>"652801197410295513"</f>
        <v>652801197410295513</v>
      </c>
      <c r="D4131" t="s">
        <v>1</v>
      </c>
      <c r="E4131" t="s">
        <v>1</v>
      </c>
      <c r="F4131" t="s">
        <v>0</v>
      </c>
      <c r="G4131" t="str">
        <f>"2018-10-17 16:02:57"</f>
        <v>2018-10-17 16:02:57</v>
      </c>
    </row>
    <row r="4132" spans="1:7" x14ac:dyDescent="0.2">
      <c r="A4132" t="s">
        <v>1</v>
      </c>
      <c r="B4132" t="str">
        <f>"15731869669"</f>
        <v>15731869669</v>
      </c>
      <c r="C4132" t="s">
        <v>1</v>
      </c>
      <c r="D4132" t="s">
        <v>1</v>
      </c>
      <c r="E4132" t="s">
        <v>1</v>
      </c>
      <c r="F4132" t="s">
        <v>0</v>
      </c>
      <c r="G4132" t="str">
        <f>"2018-10-17 16:00:24"</f>
        <v>2018-10-17 16:00:24</v>
      </c>
    </row>
    <row r="4133" spans="1:7" x14ac:dyDescent="0.2">
      <c r="A4133" t="s">
        <v>5369</v>
      </c>
      <c r="B4133" t="str">
        <f>"18771809364"</f>
        <v>18771809364</v>
      </c>
      <c r="C4133" t="str">
        <f>"420528199401293557"</f>
        <v>420528199401293557</v>
      </c>
      <c r="D4133" t="s">
        <v>1</v>
      </c>
      <c r="E4133" t="s">
        <v>1</v>
      </c>
      <c r="F4133" t="s">
        <v>0</v>
      </c>
      <c r="G4133" t="str">
        <f>"2018-10-17 16:00:11"</f>
        <v>2018-10-17 16:00:11</v>
      </c>
    </row>
    <row r="4134" spans="1:7" x14ac:dyDescent="0.2">
      <c r="A4134" t="s">
        <v>5370</v>
      </c>
      <c r="B4134" t="str">
        <f>"18293653041"</f>
        <v>18293653041</v>
      </c>
      <c r="C4134" t="str">
        <f>"622201198908227821"</f>
        <v>622201198908227821</v>
      </c>
      <c r="D4134" t="s">
        <v>5371</v>
      </c>
      <c r="E4134" t="s">
        <v>5372</v>
      </c>
      <c r="F4134" t="s">
        <v>0</v>
      </c>
      <c r="G4134" t="str">
        <f>"2018-10-17 16:00:10"</f>
        <v>2018-10-17 16:00:10</v>
      </c>
    </row>
    <row r="4135" spans="1:7" x14ac:dyDescent="0.2">
      <c r="A4135" t="s">
        <v>5373</v>
      </c>
      <c r="B4135" t="str">
        <f>"18221501506"</f>
        <v>18221501506</v>
      </c>
      <c r="C4135" t="str">
        <f>"510623199306265932"</f>
        <v>510623199306265932</v>
      </c>
      <c r="D4135" t="s">
        <v>1</v>
      </c>
      <c r="E4135" t="s">
        <v>1</v>
      </c>
      <c r="F4135" t="s">
        <v>0</v>
      </c>
      <c r="G4135" t="str">
        <f>"2018-10-17 16:15:21"</f>
        <v>2018-10-17 16:15:21</v>
      </c>
    </row>
    <row r="4136" spans="1:7" x14ac:dyDescent="0.2">
      <c r="A4136" t="s">
        <v>5374</v>
      </c>
      <c r="B4136" t="str">
        <f>"18222894233"</f>
        <v>18222894233</v>
      </c>
      <c r="C4136" t="str">
        <f>"120111199711262019"</f>
        <v>120111199711262019</v>
      </c>
      <c r="D4136" t="s">
        <v>1</v>
      </c>
      <c r="E4136" t="s">
        <v>1</v>
      </c>
      <c r="F4136" t="s">
        <v>0</v>
      </c>
      <c r="G4136" t="str">
        <f>"2018-10-17 16:01:53"</f>
        <v>2018-10-17 16:01:53</v>
      </c>
    </row>
    <row r="4137" spans="1:7" x14ac:dyDescent="0.2">
      <c r="A4137" t="s">
        <v>5375</v>
      </c>
      <c r="B4137" t="str">
        <f>"13964679850"</f>
        <v>13964679850</v>
      </c>
      <c r="C4137" t="str">
        <f>"37078219920922111X"</f>
        <v>37078219920922111X</v>
      </c>
      <c r="D4137" t="s">
        <v>1</v>
      </c>
      <c r="E4137" t="s">
        <v>1</v>
      </c>
      <c r="F4137" t="s">
        <v>0</v>
      </c>
      <c r="G4137" t="str">
        <f>"2018-10-18 00:22:42"</f>
        <v>2018-10-18 00:22:42</v>
      </c>
    </row>
    <row r="4138" spans="1:7" x14ac:dyDescent="0.2">
      <c r="A4138" t="s">
        <v>1049</v>
      </c>
      <c r="B4138" t="str">
        <f>"18037336573"</f>
        <v>18037336573</v>
      </c>
      <c r="C4138" t="str">
        <f>"411323199408095816"</f>
        <v>411323199408095816</v>
      </c>
      <c r="D4138" t="s">
        <v>1</v>
      </c>
      <c r="E4138" t="s">
        <v>1</v>
      </c>
      <c r="F4138" t="s">
        <v>0</v>
      </c>
      <c r="G4138" t="str">
        <f>"2018-10-17 15:58:44"</f>
        <v>2018-10-17 15:58:44</v>
      </c>
    </row>
    <row r="4139" spans="1:7" x14ac:dyDescent="0.2">
      <c r="A4139" t="s">
        <v>1</v>
      </c>
      <c r="B4139" t="str">
        <f>"18317288533"</f>
        <v>18317288533</v>
      </c>
      <c r="C4139" t="s">
        <v>1</v>
      </c>
      <c r="D4139" t="s">
        <v>1</v>
      </c>
      <c r="E4139" t="s">
        <v>1</v>
      </c>
      <c r="F4139" t="s">
        <v>0</v>
      </c>
      <c r="G4139" t="str">
        <f>"2018-10-17 15:58:33"</f>
        <v>2018-10-17 15:58:33</v>
      </c>
    </row>
    <row r="4140" spans="1:7" x14ac:dyDescent="0.2">
      <c r="A4140" t="s">
        <v>5376</v>
      </c>
      <c r="B4140" t="str">
        <f>"13880960132"</f>
        <v>13880960132</v>
      </c>
      <c r="C4140" t="str">
        <f>"510182198201020056"</f>
        <v>510182198201020056</v>
      </c>
      <c r="D4140" t="s">
        <v>5377</v>
      </c>
      <c r="E4140" t="s">
        <v>5378</v>
      </c>
      <c r="F4140" t="s">
        <v>0</v>
      </c>
      <c r="G4140" t="str">
        <f>"2018-10-18 17:29:14"</f>
        <v>2018-10-18 17:29:14</v>
      </c>
    </row>
    <row r="4141" spans="1:7" x14ac:dyDescent="0.2">
      <c r="A4141" t="s">
        <v>5379</v>
      </c>
      <c r="B4141" t="str">
        <f>"13580354001"</f>
        <v>13580354001</v>
      </c>
      <c r="C4141" t="str">
        <f>"440883199006142956"</f>
        <v>440883199006142956</v>
      </c>
      <c r="D4141" t="s">
        <v>1</v>
      </c>
      <c r="E4141" t="s">
        <v>1</v>
      </c>
      <c r="F4141" t="s">
        <v>0</v>
      </c>
      <c r="G4141" t="str">
        <f>"2018-10-17 15:58:10"</f>
        <v>2018-10-17 15:58:10</v>
      </c>
    </row>
    <row r="4142" spans="1:7" x14ac:dyDescent="0.2">
      <c r="A4142" t="s">
        <v>5380</v>
      </c>
      <c r="B4142" t="str">
        <f>"13041441300"</f>
        <v>13041441300</v>
      </c>
      <c r="C4142" t="str">
        <f>"320525199310160510"</f>
        <v>320525199310160510</v>
      </c>
      <c r="D4142" t="s">
        <v>1</v>
      </c>
      <c r="E4142" t="s">
        <v>1</v>
      </c>
      <c r="F4142" t="s">
        <v>0</v>
      </c>
      <c r="G4142" t="str">
        <f>"2018-10-17 15:58:46"</f>
        <v>2018-10-17 15:58:46</v>
      </c>
    </row>
    <row r="4143" spans="1:7" x14ac:dyDescent="0.2">
      <c r="A4143" t="s">
        <v>1</v>
      </c>
      <c r="B4143" t="str">
        <f>"13202396428"</f>
        <v>13202396428</v>
      </c>
      <c r="C4143" t="s">
        <v>1</v>
      </c>
      <c r="D4143" t="s">
        <v>1</v>
      </c>
      <c r="E4143" t="s">
        <v>1</v>
      </c>
      <c r="F4143" t="s">
        <v>0</v>
      </c>
      <c r="G4143" t="str">
        <f>"2018-10-17 15:59:31"</f>
        <v>2018-10-17 15:59:31</v>
      </c>
    </row>
    <row r="4144" spans="1:7" x14ac:dyDescent="0.2">
      <c r="A4144" t="s">
        <v>5381</v>
      </c>
      <c r="B4144" t="str">
        <f>"13409600189"</f>
        <v>13409600189</v>
      </c>
      <c r="C4144" t="str">
        <f>"420821200002156034"</f>
        <v>420821200002156034</v>
      </c>
      <c r="D4144" t="s">
        <v>5382</v>
      </c>
      <c r="E4144" t="s">
        <v>5383</v>
      </c>
      <c r="F4144" t="s">
        <v>0</v>
      </c>
      <c r="G4144" t="str">
        <f>"2018-10-17 16:20:14"</f>
        <v>2018-10-17 16:20:14</v>
      </c>
    </row>
    <row r="4145" spans="1:7" x14ac:dyDescent="0.2">
      <c r="A4145" t="s">
        <v>1</v>
      </c>
      <c r="B4145" t="str">
        <f>"18360706511"</f>
        <v>18360706511</v>
      </c>
      <c r="C4145" t="s">
        <v>1</v>
      </c>
      <c r="D4145" t="s">
        <v>1</v>
      </c>
      <c r="E4145" t="s">
        <v>1</v>
      </c>
      <c r="F4145" t="s">
        <v>0</v>
      </c>
      <c r="G4145" t="str">
        <f>"2018-10-17 15:57:24"</f>
        <v>2018-10-17 15:57:24</v>
      </c>
    </row>
    <row r="4146" spans="1:7" x14ac:dyDescent="0.2">
      <c r="A4146" t="s">
        <v>5384</v>
      </c>
      <c r="B4146" t="str">
        <f>"13678507687"</f>
        <v>13678507687</v>
      </c>
      <c r="C4146" t="str">
        <f>"522522197906160029"</f>
        <v>522522197906160029</v>
      </c>
      <c r="D4146" t="s">
        <v>1</v>
      </c>
      <c r="E4146" t="s">
        <v>1</v>
      </c>
      <c r="F4146" t="s">
        <v>0</v>
      </c>
      <c r="G4146" t="str">
        <f>"2018-10-17 16:05:44"</f>
        <v>2018-10-17 16:05:44</v>
      </c>
    </row>
    <row r="4147" spans="1:7" x14ac:dyDescent="0.2">
      <c r="A4147" t="s">
        <v>5385</v>
      </c>
      <c r="B4147" t="str">
        <f>"13644626460"</f>
        <v>13644626460</v>
      </c>
      <c r="C4147" t="str">
        <f>"230227199408160134"</f>
        <v>230227199408160134</v>
      </c>
      <c r="D4147" t="s">
        <v>1</v>
      </c>
      <c r="E4147" t="s">
        <v>1</v>
      </c>
      <c r="F4147" t="s">
        <v>0</v>
      </c>
      <c r="G4147" t="str">
        <f>"2018-10-18 09:47:32"</f>
        <v>2018-10-18 09:47:32</v>
      </c>
    </row>
    <row r="4148" spans="1:7" x14ac:dyDescent="0.2">
      <c r="A4148" t="s">
        <v>414</v>
      </c>
      <c r="B4148" t="str">
        <f>"13783815816"</f>
        <v>13783815816</v>
      </c>
      <c r="C4148" t="str">
        <f>"410581199002229099"</f>
        <v>410581199002229099</v>
      </c>
      <c r="D4148" t="s">
        <v>1</v>
      </c>
      <c r="E4148" t="s">
        <v>1</v>
      </c>
      <c r="F4148" t="s">
        <v>0</v>
      </c>
      <c r="G4148" t="str">
        <f>"2018-10-17 16:19:09"</f>
        <v>2018-10-17 16:19:09</v>
      </c>
    </row>
    <row r="4149" spans="1:7" x14ac:dyDescent="0.2">
      <c r="A4149" t="s">
        <v>430</v>
      </c>
      <c r="B4149" t="str">
        <f>"18907078042"</f>
        <v>18907078042</v>
      </c>
      <c r="C4149" t="str">
        <f>"360782198809196417"</f>
        <v>360782198809196417</v>
      </c>
      <c r="D4149" t="s">
        <v>1</v>
      </c>
      <c r="E4149" t="s">
        <v>1</v>
      </c>
      <c r="F4149" t="s">
        <v>0</v>
      </c>
      <c r="G4149" t="str">
        <f>"2018-10-17 16:39:08"</f>
        <v>2018-10-17 16:39:08</v>
      </c>
    </row>
    <row r="4150" spans="1:7" x14ac:dyDescent="0.2">
      <c r="A4150" t="s">
        <v>1</v>
      </c>
      <c r="B4150" t="str">
        <f>"15767557883"</f>
        <v>15767557883</v>
      </c>
      <c r="C4150" t="s">
        <v>1</v>
      </c>
      <c r="D4150" t="s">
        <v>1</v>
      </c>
      <c r="E4150" t="s">
        <v>1</v>
      </c>
      <c r="F4150" t="s">
        <v>0</v>
      </c>
      <c r="G4150" t="str">
        <f>"2018-10-17 15:56:15"</f>
        <v>2018-10-17 15:56:15</v>
      </c>
    </row>
    <row r="4151" spans="1:7" x14ac:dyDescent="0.2">
      <c r="A4151" t="s">
        <v>5386</v>
      </c>
      <c r="B4151" t="str">
        <f>"13378095339"</f>
        <v>13378095339</v>
      </c>
      <c r="C4151" t="str">
        <f>"430524198605266632"</f>
        <v>430524198605266632</v>
      </c>
      <c r="D4151" t="s">
        <v>1</v>
      </c>
      <c r="E4151" t="s">
        <v>1</v>
      </c>
      <c r="F4151" t="s">
        <v>0</v>
      </c>
      <c r="G4151" t="str">
        <f>"2018-10-17 15:58:11"</f>
        <v>2018-10-17 15:58:11</v>
      </c>
    </row>
    <row r="4152" spans="1:7" x14ac:dyDescent="0.2">
      <c r="A4152" t="s">
        <v>5387</v>
      </c>
      <c r="B4152" t="str">
        <f>"18210222554"</f>
        <v>18210222554</v>
      </c>
      <c r="C4152" t="str">
        <f>"130823199409194559"</f>
        <v>130823199409194559</v>
      </c>
      <c r="D4152" t="s">
        <v>1</v>
      </c>
      <c r="E4152" t="s">
        <v>1</v>
      </c>
      <c r="F4152" t="s">
        <v>0</v>
      </c>
      <c r="G4152" t="str">
        <f>"2018-10-20 13:19:29"</f>
        <v>2018-10-20 13:19:29</v>
      </c>
    </row>
    <row r="4153" spans="1:7" x14ac:dyDescent="0.2">
      <c r="A4153" t="s">
        <v>1</v>
      </c>
      <c r="B4153" t="str">
        <f>"13166993340"</f>
        <v>13166993340</v>
      </c>
      <c r="C4153" t="s">
        <v>1</v>
      </c>
      <c r="D4153" t="s">
        <v>1</v>
      </c>
      <c r="E4153" t="s">
        <v>1</v>
      </c>
      <c r="F4153" t="s">
        <v>0</v>
      </c>
      <c r="G4153" t="str">
        <f>"2018-10-17 15:57:47"</f>
        <v>2018-10-17 15:57:47</v>
      </c>
    </row>
    <row r="4154" spans="1:7" x14ac:dyDescent="0.2">
      <c r="A4154" t="s">
        <v>5388</v>
      </c>
      <c r="B4154" t="str">
        <f>"13217599019"</f>
        <v>13217599019</v>
      </c>
      <c r="C4154" t="str">
        <f>"440881198011302216"</f>
        <v>440881198011302216</v>
      </c>
      <c r="D4154" t="s">
        <v>1</v>
      </c>
      <c r="E4154" t="s">
        <v>1</v>
      </c>
      <c r="F4154" t="s">
        <v>0</v>
      </c>
      <c r="G4154" t="str">
        <f>"2018-10-17 15:58:28"</f>
        <v>2018-10-17 15:58:28</v>
      </c>
    </row>
    <row r="4155" spans="1:7" x14ac:dyDescent="0.2">
      <c r="A4155" t="s">
        <v>1</v>
      </c>
      <c r="B4155" t="str">
        <f>"13890151902"</f>
        <v>13890151902</v>
      </c>
      <c r="C4155" t="s">
        <v>1</v>
      </c>
      <c r="D4155" t="s">
        <v>1</v>
      </c>
      <c r="E4155" t="s">
        <v>1</v>
      </c>
      <c r="F4155" t="s">
        <v>0</v>
      </c>
      <c r="G4155" t="str">
        <f>"2018-10-17 15:55:26"</f>
        <v>2018-10-17 15:55:26</v>
      </c>
    </row>
    <row r="4156" spans="1:7" x14ac:dyDescent="0.2">
      <c r="A4156" t="s">
        <v>1</v>
      </c>
      <c r="B4156" t="str">
        <f>"15845447332"</f>
        <v>15845447332</v>
      </c>
      <c r="C4156" t="s">
        <v>1</v>
      </c>
      <c r="D4156" t="s">
        <v>1</v>
      </c>
      <c r="E4156" t="s">
        <v>1</v>
      </c>
      <c r="F4156" t="s">
        <v>0</v>
      </c>
      <c r="G4156" t="str">
        <f>"2018-10-17 15:55:26"</f>
        <v>2018-10-17 15:55:26</v>
      </c>
    </row>
    <row r="4157" spans="1:7" x14ac:dyDescent="0.2">
      <c r="A4157" t="s">
        <v>5389</v>
      </c>
      <c r="B4157" t="str">
        <f>"15266663878"</f>
        <v>15266663878</v>
      </c>
      <c r="C4157" t="str">
        <f>"371302198903102834"</f>
        <v>371302198903102834</v>
      </c>
      <c r="D4157" t="s">
        <v>1</v>
      </c>
      <c r="E4157" t="s">
        <v>1</v>
      </c>
      <c r="F4157" t="s">
        <v>0</v>
      </c>
      <c r="G4157" t="str">
        <f>"2018-10-17 15:58:34"</f>
        <v>2018-10-17 15:58:34</v>
      </c>
    </row>
    <row r="4158" spans="1:7" x14ac:dyDescent="0.2">
      <c r="A4158" t="s">
        <v>5390</v>
      </c>
      <c r="B4158" t="str">
        <f>"18106711501"</f>
        <v>18106711501</v>
      </c>
      <c r="C4158" t="str">
        <f>"330382198608080939"</f>
        <v>330382198608080939</v>
      </c>
      <c r="D4158" t="s">
        <v>5391</v>
      </c>
      <c r="E4158" t="s">
        <v>5392</v>
      </c>
      <c r="F4158" t="s">
        <v>0</v>
      </c>
      <c r="G4158" t="str">
        <f>"2018-10-17 15:55:04"</f>
        <v>2018-10-17 15:55:04</v>
      </c>
    </row>
    <row r="4159" spans="1:7" x14ac:dyDescent="0.2">
      <c r="A4159" t="s">
        <v>1</v>
      </c>
      <c r="B4159" t="str">
        <f>"15223785952"</f>
        <v>15223785952</v>
      </c>
      <c r="C4159" t="s">
        <v>1</v>
      </c>
      <c r="D4159" t="s">
        <v>1</v>
      </c>
      <c r="E4159" t="s">
        <v>1</v>
      </c>
      <c r="F4159" t="s">
        <v>0</v>
      </c>
      <c r="G4159" t="str">
        <f>"2018-10-17 15:57:46"</f>
        <v>2018-10-17 15:57:46</v>
      </c>
    </row>
    <row r="4160" spans="1:7" x14ac:dyDescent="0.2">
      <c r="A4160" t="s">
        <v>5393</v>
      </c>
      <c r="B4160" t="str">
        <f>"15267195012"</f>
        <v>15267195012</v>
      </c>
      <c r="C4160" t="str">
        <f>"332527199110103518"</f>
        <v>332527199110103518</v>
      </c>
      <c r="D4160" t="s">
        <v>1</v>
      </c>
      <c r="E4160" t="s">
        <v>1</v>
      </c>
      <c r="F4160" t="s">
        <v>0</v>
      </c>
      <c r="G4160" t="str">
        <f>"2018-10-17 15:54:20"</f>
        <v>2018-10-17 15:54:20</v>
      </c>
    </row>
    <row r="4161" spans="1:7" x14ac:dyDescent="0.2">
      <c r="A4161" t="s">
        <v>270</v>
      </c>
      <c r="B4161" t="str">
        <f>"15885296333"</f>
        <v>15885296333</v>
      </c>
      <c r="C4161" t="str">
        <f>"52242319870916291X"</f>
        <v>52242319870916291X</v>
      </c>
      <c r="D4161" t="s">
        <v>1</v>
      </c>
      <c r="E4161" t="s">
        <v>1</v>
      </c>
      <c r="F4161" t="s">
        <v>0</v>
      </c>
      <c r="G4161" t="str">
        <f>"2018-10-17 16:00:04"</f>
        <v>2018-10-17 16:00:04</v>
      </c>
    </row>
    <row r="4162" spans="1:7" x14ac:dyDescent="0.2">
      <c r="A4162" t="s">
        <v>1</v>
      </c>
      <c r="B4162" t="str">
        <f>"18281049214"</f>
        <v>18281049214</v>
      </c>
      <c r="C4162" t="s">
        <v>1</v>
      </c>
      <c r="D4162" t="s">
        <v>1</v>
      </c>
      <c r="E4162" t="s">
        <v>1</v>
      </c>
      <c r="F4162" t="s">
        <v>0</v>
      </c>
      <c r="G4162" t="str">
        <f>"2018-10-17 15:54:28"</f>
        <v>2018-10-17 15:54:28</v>
      </c>
    </row>
    <row r="4163" spans="1:7" x14ac:dyDescent="0.2">
      <c r="A4163" t="s">
        <v>763</v>
      </c>
      <c r="B4163" t="str">
        <f>"13831279205"</f>
        <v>13831279205</v>
      </c>
      <c r="C4163" t="str">
        <f>"130626199609014936"</f>
        <v>130626199609014936</v>
      </c>
      <c r="D4163" t="s">
        <v>1</v>
      </c>
      <c r="E4163" t="s">
        <v>1</v>
      </c>
      <c r="F4163" t="s">
        <v>0</v>
      </c>
      <c r="G4163" t="str">
        <f>"2018-10-17 15:56:29"</f>
        <v>2018-10-17 15:56:29</v>
      </c>
    </row>
    <row r="4164" spans="1:7" x14ac:dyDescent="0.2">
      <c r="A4164" t="s">
        <v>1</v>
      </c>
      <c r="B4164" t="str">
        <f>"13832762931"</f>
        <v>13832762931</v>
      </c>
      <c r="C4164" t="s">
        <v>1</v>
      </c>
      <c r="D4164" t="s">
        <v>1</v>
      </c>
      <c r="E4164" t="s">
        <v>1</v>
      </c>
      <c r="F4164" t="s">
        <v>0</v>
      </c>
      <c r="G4164" t="str">
        <f>"2018-10-17 15:54:56"</f>
        <v>2018-10-17 15:54:56</v>
      </c>
    </row>
    <row r="4165" spans="1:7" x14ac:dyDescent="0.2">
      <c r="A4165" t="s">
        <v>5394</v>
      </c>
      <c r="B4165" t="str">
        <f>"13920491094"</f>
        <v>13920491094</v>
      </c>
      <c r="C4165" t="str">
        <f>"341022197702071735"</f>
        <v>341022197702071735</v>
      </c>
      <c r="D4165" t="s">
        <v>1</v>
      </c>
      <c r="E4165" t="s">
        <v>1</v>
      </c>
      <c r="F4165" t="s">
        <v>0</v>
      </c>
      <c r="G4165" t="str">
        <f>"2018-10-17 17:05:12"</f>
        <v>2018-10-17 17:05:12</v>
      </c>
    </row>
    <row r="4166" spans="1:7" x14ac:dyDescent="0.2">
      <c r="A4166" t="s">
        <v>1</v>
      </c>
      <c r="B4166" t="str">
        <f>"13117720854"</f>
        <v>13117720854</v>
      </c>
      <c r="C4166" t="s">
        <v>1</v>
      </c>
      <c r="D4166" t="s">
        <v>1</v>
      </c>
      <c r="E4166" t="s">
        <v>1</v>
      </c>
      <c r="F4166" t="s">
        <v>0</v>
      </c>
      <c r="G4166" t="str">
        <f>"2018-10-17 15:52:46"</f>
        <v>2018-10-17 15:52:46</v>
      </c>
    </row>
    <row r="4167" spans="1:7" x14ac:dyDescent="0.2">
      <c r="A4167" t="s">
        <v>1</v>
      </c>
      <c r="B4167" t="str">
        <f>"18254435720"</f>
        <v>18254435720</v>
      </c>
      <c r="C4167" t="s">
        <v>1</v>
      </c>
      <c r="D4167" t="s">
        <v>1</v>
      </c>
      <c r="E4167" t="s">
        <v>1</v>
      </c>
      <c r="F4167" t="s">
        <v>0</v>
      </c>
      <c r="G4167" t="str">
        <f>"2018-10-17 15:54:27"</f>
        <v>2018-10-17 15:54:27</v>
      </c>
    </row>
    <row r="4168" spans="1:7" x14ac:dyDescent="0.2">
      <c r="A4168" t="s">
        <v>89</v>
      </c>
      <c r="B4168" t="str">
        <f>"15904086237"</f>
        <v>15904086237</v>
      </c>
      <c r="C4168" t="str">
        <f>"211282197804172615"</f>
        <v>211282197804172615</v>
      </c>
      <c r="D4168" t="s">
        <v>1</v>
      </c>
      <c r="E4168" t="s">
        <v>1</v>
      </c>
      <c r="F4168" t="s">
        <v>0</v>
      </c>
      <c r="G4168" t="str">
        <f>"2018-10-17 15:52:52"</f>
        <v>2018-10-17 15:52:52</v>
      </c>
    </row>
    <row r="4169" spans="1:7" x14ac:dyDescent="0.2">
      <c r="A4169" t="s">
        <v>1373</v>
      </c>
      <c r="B4169" t="str">
        <f>"15002533897"</f>
        <v>15002533897</v>
      </c>
      <c r="C4169" t="str">
        <f>"620123199801121715"</f>
        <v>620123199801121715</v>
      </c>
      <c r="D4169" t="s">
        <v>1</v>
      </c>
      <c r="E4169" t="s">
        <v>1</v>
      </c>
      <c r="F4169" t="s">
        <v>0</v>
      </c>
      <c r="G4169" t="str">
        <f>"2018-10-17 15:52:22"</f>
        <v>2018-10-17 15:52:22</v>
      </c>
    </row>
    <row r="4170" spans="1:7" x14ac:dyDescent="0.2">
      <c r="A4170" t="s">
        <v>5395</v>
      </c>
      <c r="B4170" t="str">
        <f>"18257718123"</f>
        <v>18257718123</v>
      </c>
      <c r="C4170" t="str">
        <f>"330327197410047237"</f>
        <v>330327197410047237</v>
      </c>
      <c r="D4170" t="s">
        <v>5396</v>
      </c>
      <c r="E4170" t="s">
        <v>5397</v>
      </c>
      <c r="F4170" t="s">
        <v>0</v>
      </c>
      <c r="G4170" t="str">
        <f>"2018-10-17 15:52:36"</f>
        <v>2018-10-17 15:52:36</v>
      </c>
    </row>
    <row r="4171" spans="1:7" x14ac:dyDescent="0.2">
      <c r="A4171" t="s">
        <v>5398</v>
      </c>
      <c r="B4171" t="str">
        <f>"13579546387"</f>
        <v>13579546387</v>
      </c>
      <c r="C4171" t="str">
        <f>"652123197905130016"</f>
        <v>652123197905130016</v>
      </c>
      <c r="D4171" t="s">
        <v>5399</v>
      </c>
      <c r="E4171" t="s">
        <v>5400</v>
      </c>
      <c r="F4171" t="s">
        <v>0</v>
      </c>
      <c r="G4171" t="str">
        <f>"2018-10-17 15:54:46"</f>
        <v>2018-10-17 15:54:46</v>
      </c>
    </row>
    <row r="4172" spans="1:7" x14ac:dyDescent="0.2">
      <c r="A4172" t="s">
        <v>1</v>
      </c>
      <c r="B4172" t="str">
        <f>"15137713156"</f>
        <v>15137713156</v>
      </c>
      <c r="C4172" t="s">
        <v>1</v>
      </c>
      <c r="D4172" t="s">
        <v>1</v>
      </c>
      <c r="E4172" t="s">
        <v>1</v>
      </c>
      <c r="F4172" t="s">
        <v>0</v>
      </c>
      <c r="G4172" t="str">
        <f>"2018-10-17 15:51:52"</f>
        <v>2018-10-17 15:51:52</v>
      </c>
    </row>
    <row r="4173" spans="1:7" x14ac:dyDescent="0.2">
      <c r="A4173" t="s">
        <v>5401</v>
      </c>
      <c r="B4173" t="str">
        <f>"18868158112"</f>
        <v>18868158112</v>
      </c>
      <c r="C4173" t="str">
        <f>"340881199303025637"</f>
        <v>340881199303025637</v>
      </c>
      <c r="D4173" t="s">
        <v>1</v>
      </c>
      <c r="E4173" t="s">
        <v>1</v>
      </c>
      <c r="F4173" t="s">
        <v>0</v>
      </c>
      <c r="G4173" t="str">
        <f>"2018-10-17 15:55:28"</f>
        <v>2018-10-17 15:55:28</v>
      </c>
    </row>
    <row r="4174" spans="1:7" x14ac:dyDescent="0.2">
      <c r="A4174" t="s">
        <v>1</v>
      </c>
      <c r="B4174" t="str">
        <f>"15083785183"</f>
        <v>15083785183</v>
      </c>
      <c r="C4174" t="s">
        <v>1</v>
      </c>
      <c r="D4174" t="s">
        <v>1</v>
      </c>
      <c r="E4174" t="s">
        <v>1</v>
      </c>
      <c r="F4174" t="s">
        <v>0</v>
      </c>
      <c r="G4174" t="str">
        <f>"2018-10-17 15:52:04"</f>
        <v>2018-10-17 15:52:04</v>
      </c>
    </row>
    <row r="4175" spans="1:7" x14ac:dyDescent="0.2">
      <c r="A4175" t="s">
        <v>5402</v>
      </c>
      <c r="B4175" t="str">
        <f>"15627204783"</f>
        <v>15627204783</v>
      </c>
      <c r="C4175" t="str">
        <f>"522629200104111625"</f>
        <v>522629200104111625</v>
      </c>
      <c r="D4175" t="s">
        <v>1</v>
      </c>
      <c r="E4175" t="s">
        <v>1</v>
      </c>
      <c r="F4175" t="s">
        <v>0</v>
      </c>
      <c r="G4175" t="str">
        <f>"2018-10-17 15:51:37"</f>
        <v>2018-10-17 15:51:37</v>
      </c>
    </row>
    <row r="4176" spans="1:7" x14ac:dyDescent="0.2">
      <c r="A4176" t="s">
        <v>5403</v>
      </c>
      <c r="B4176" t="str">
        <f>"15063081836"</f>
        <v>15063081836</v>
      </c>
      <c r="C4176" t="str">
        <f>"379014197410313117"</f>
        <v>379014197410313117</v>
      </c>
      <c r="D4176" t="s">
        <v>5404</v>
      </c>
      <c r="E4176" t="s">
        <v>5404</v>
      </c>
      <c r="F4176" t="s">
        <v>0</v>
      </c>
      <c r="G4176" t="str">
        <f>"2018-10-26 12:23:56"</f>
        <v>2018-10-26 12:23:56</v>
      </c>
    </row>
    <row r="4177" spans="1:7" x14ac:dyDescent="0.2">
      <c r="A4177" t="s">
        <v>1</v>
      </c>
      <c r="B4177" t="str">
        <f>"15089335955"</f>
        <v>15089335955</v>
      </c>
      <c r="C4177" t="s">
        <v>1</v>
      </c>
      <c r="D4177" t="s">
        <v>1</v>
      </c>
      <c r="E4177" t="s">
        <v>1</v>
      </c>
      <c r="F4177" t="s">
        <v>0</v>
      </c>
      <c r="G4177" t="str">
        <f>"2018-10-17 15:53:06"</f>
        <v>2018-10-17 15:53:06</v>
      </c>
    </row>
    <row r="4178" spans="1:7" x14ac:dyDescent="0.2">
      <c r="A4178" t="s">
        <v>1</v>
      </c>
      <c r="B4178" t="str">
        <f>"13529316314"</f>
        <v>13529316314</v>
      </c>
      <c r="C4178" t="s">
        <v>1</v>
      </c>
      <c r="D4178" t="s">
        <v>1</v>
      </c>
      <c r="E4178" t="s">
        <v>1</v>
      </c>
      <c r="F4178" t="s">
        <v>0</v>
      </c>
      <c r="G4178" t="str">
        <f>"2018-10-17 15:49:36"</f>
        <v>2018-10-17 15:49:36</v>
      </c>
    </row>
    <row r="4179" spans="1:7" x14ac:dyDescent="0.2">
      <c r="A4179" t="s">
        <v>813</v>
      </c>
      <c r="B4179" t="str">
        <f>"15238707758"</f>
        <v>15238707758</v>
      </c>
      <c r="C4179" t="str">
        <f>"410881198109157576"</f>
        <v>410881198109157576</v>
      </c>
      <c r="D4179" t="s">
        <v>1</v>
      </c>
      <c r="E4179" t="s">
        <v>1</v>
      </c>
      <c r="F4179" t="s">
        <v>0</v>
      </c>
      <c r="G4179" t="str">
        <f>"2018-10-17 15:50:21"</f>
        <v>2018-10-17 15:50:21</v>
      </c>
    </row>
    <row r="4180" spans="1:7" x14ac:dyDescent="0.2">
      <c r="A4180" t="s">
        <v>25</v>
      </c>
      <c r="B4180" t="str">
        <f>"15829780077"</f>
        <v>15829780077</v>
      </c>
      <c r="C4180" t="str">
        <f>"610121198412106117"</f>
        <v>610121198412106117</v>
      </c>
      <c r="D4180" t="s">
        <v>1</v>
      </c>
      <c r="E4180" t="s">
        <v>1</v>
      </c>
      <c r="F4180" t="s">
        <v>0</v>
      </c>
      <c r="G4180" t="str">
        <f>"2018-10-17 15:52:58"</f>
        <v>2018-10-17 15:52:58</v>
      </c>
    </row>
    <row r="4181" spans="1:7" x14ac:dyDescent="0.2">
      <c r="A4181" t="s">
        <v>1</v>
      </c>
      <c r="B4181" t="str">
        <f>"18006242092"</f>
        <v>18006242092</v>
      </c>
      <c r="C4181" t="s">
        <v>1</v>
      </c>
      <c r="D4181" t="s">
        <v>1</v>
      </c>
      <c r="E4181" t="s">
        <v>1</v>
      </c>
      <c r="F4181" t="s">
        <v>0</v>
      </c>
      <c r="G4181" t="str">
        <f>"2018-10-17 15:49:14"</f>
        <v>2018-10-17 15:49:14</v>
      </c>
    </row>
    <row r="4182" spans="1:7" x14ac:dyDescent="0.2">
      <c r="A4182" t="s">
        <v>5405</v>
      </c>
      <c r="B4182" t="str">
        <f>"13876626112"</f>
        <v>13876626112</v>
      </c>
      <c r="C4182" t="str">
        <f>"460027199407175619"</f>
        <v>460027199407175619</v>
      </c>
      <c r="D4182" t="s">
        <v>1</v>
      </c>
      <c r="E4182" t="s">
        <v>1</v>
      </c>
      <c r="F4182" t="s">
        <v>0</v>
      </c>
      <c r="G4182" t="str">
        <f>"2018-10-17 15:51:23"</f>
        <v>2018-10-17 15:51:23</v>
      </c>
    </row>
    <row r="4183" spans="1:7" x14ac:dyDescent="0.2">
      <c r="A4183" t="s">
        <v>5406</v>
      </c>
      <c r="B4183" t="str">
        <f>"15224892611"</f>
        <v>15224892611</v>
      </c>
      <c r="C4183" t="str">
        <f>"411327199008261518"</f>
        <v>411327199008261518</v>
      </c>
      <c r="D4183" t="s">
        <v>1</v>
      </c>
      <c r="E4183" t="s">
        <v>1</v>
      </c>
      <c r="F4183" t="s">
        <v>0</v>
      </c>
      <c r="G4183" t="str">
        <f>"2018-10-17 15:56:57"</f>
        <v>2018-10-17 15:56:57</v>
      </c>
    </row>
    <row r="4184" spans="1:7" x14ac:dyDescent="0.2">
      <c r="A4184" t="s">
        <v>5407</v>
      </c>
      <c r="B4184" t="str">
        <f>"18043699229"</f>
        <v>18043699229</v>
      </c>
      <c r="C4184" t="str">
        <f>"371102198807245017"</f>
        <v>371102198807245017</v>
      </c>
      <c r="D4184" t="s">
        <v>1</v>
      </c>
      <c r="E4184" t="s">
        <v>1</v>
      </c>
      <c r="F4184" t="s">
        <v>0</v>
      </c>
      <c r="G4184" t="str">
        <f>"2018-10-17 15:50:18"</f>
        <v>2018-10-17 15:50:18</v>
      </c>
    </row>
    <row r="4185" spans="1:7" x14ac:dyDescent="0.2">
      <c r="A4185" t="s">
        <v>1</v>
      </c>
      <c r="B4185" t="str">
        <f>"13308020883"</f>
        <v>13308020883</v>
      </c>
      <c r="C4185" t="s">
        <v>1</v>
      </c>
      <c r="D4185" t="s">
        <v>1</v>
      </c>
      <c r="E4185" t="s">
        <v>1</v>
      </c>
      <c r="F4185" t="s">
        <v>0</v>
      </c>
      <c r="G4185" t="str">
        <f>"2018-10-17 15:47:34"</f>
        <v>2018-10-17 15:47:34</v>
      </c>
    </row>
    <row r="4186" spans="1:7" x14ac:dyDescent="0.2">
      <c r="A4186" t="s">
        <v>5408</v>
      </c>
      <c r="B4186" t="str">
        <f>"15915574773"</f>
        <v>15915574773</v>
      </c>
      <c r="C4186" t="str">
        <f>"440524197305203450"</f>
        <v>440524197305203450</v>
      </c>
      <c r="D4186" t="s">
        <v>1</v>
      </c>
      <c r="E4186" t="s">
        <v>1</v>
      </c>
      <c r="F4186" t="s">
        <v>0</v>
      </c>
      <c r="G4186" t="str">
        <f>"2018-10-17 15:49:20"</f>
        <v>2018-10-17 15:49:20</v>
      </c>
    </row>
    <row r="4187" spans="1:7" x14ac:dyDescent="0.2">
      <c r="A4187" t="s">
        <v>5409</v>
      </c>
      <c r="B4187" t="str">
        <f>"18293666616"</f>
        <v>18293666616</v>
      </c>
      <c r="C4187" t="str">
        <f>"62220119800127243X"</f>
        <v>62220119800127243X</v>
      </c>
      <c r="D4187" t="s">
        <v>1</v>
      </c>
      <c r="E4187" t="s">
        <v>1</v>
      </c>
      <c r="F4187" t="s">
        <v>0</v>
      </c>
      <c r="G4187" t="str">
        <f>"2018-10-17 15:50:17"</f>
        <v>2018-10-17 15:50:17</v>
      </c>
    </row>
    <row r="4188" spans="1:7" x14ac:dyDescent="0.2">
      <c r="A4188" t="s">
        <v>5410</v>
      </c>
      <c r="B4188" t="str">
        <f>"18270287365"</f>
        <v>18270287365</v>
      </c>
      <c r="C4188" t="str">
        <f>"360430199411160643"</f>
        <v>360430199411160643</v>
      </c>
      <c r="D4188" t="s">
        <v>1</v>
      </c>
      <c r="E4188" t="s">
        <v>1</v>
      </c>
      <c r="F4188" t="s">
        <v>0</v>
      </c>
      <c r="G4188" t="str">
        <f>"2018-10-17 15:53:01"</f>
        <v>2018-10-17 15:53:01</v>
      </c>
    </row>
    <row r="4189" spans="1:7" x14ac:dyDescent="0.2">
      <c r="A4189" t="s">
        <v>1</v>
      </c>
      <c r="B4189" t="str">
        <f>"15876707036"</f>
        <v>15876707036</v>
      </c>
      <c r="C4189" t="s">
        <v>1</v>
      </c>
      <c r="D4189" t="s">
        <v>1</v>
      </c>
      <c r="E4189" t="s">
        <v>1</v>
      </c>
      <c r="F4189" t="s">
        <v>0</v>
      </c>
      <c r="G4189" t="str">
        <f>"2018-10-17 15:46:46"</f>
        <v>2018-10-17 15:46:46</v>
      </c>
    </row>
    <row r="4190" spans="1:7" x14ac:dyDescent="0.2">
      <c r="A4190" t="s">
        <v>5411</v>
      </c>
      <c r="B4190" t="str">
        <f>"13332207272"</f>
        <v>13332207272</v>
      </c>
      <c r="C4190" t="str">
        <f>"230224200006122238"</f>
        <v>230224200006122238</v>
      </c>
      <c r="D4190" t="s">
        <v>1</v>
      </c>
      <c r="E4190" t="s">
        <v>1</v>
      </c>
      <c r="F4190" t="s">
        <v>0</v>
      </c>
      <c r="G4190" t="str">
        <f>"2018-10-18 10:37:33"</f>
        <v>2018-10-18 10:37:33</v>
      </c>
    </row>
    <row r="4191" spans="1:7" x14ac:dyDescent="0.2">
      <c r="A4191" t="s">
        <v>5412</v>
      </c>
      <c r="B4191" t="str">
        <f>"13367779991"</f>
        <v>13367779991</v>
      </c>
      <c r="C4191" t="str">
        <f>"450703199003101854"</f>
        <v>450703199003101854</v>
      </c>
      <c r="D4191" t="s">
        <v>1</v>
      </c>
      <c r="E4191" t="s">
        <v>1</v>
      </c>
      <c r="F4191" t="s">
        <v>0</v>
      </c>
      <c r="G4191" t="str">
        <f>"2018-10-17 15:48:27"</f>
        <v>2018-10-17 15:48:27</v>
      </c>
    </row>
    <row r="4192" spans="1:7" x14ac:dyDescent="0.2">
      <c r="A4192" t="s">
        <v>1</v>
      </c>
      <c r="B4192" t="str">
        <f>"18031401001"</f>
        <v>18031401001</v>
      </c>
      <c r="C4192" t="s">
        <v>1</v>
      </c>
      <c r="D4192" t="s">
        <v>1</v>
      </c>
      <c r="E4192" t="s">
        <v>1</v>
      </c>
      <c r="F4192" t="s">
        <v>0</v>
      </c>
      <c r="G4192" t="str">
        <f>"2018-10-17 15:46:07"</f>
        <v>2018-10-17 15:46:07</v>
      </c>
    </row>
    <row r="4193" spans="1:7" x14ac:dyDescent="0.2">
      <c r="A4193" t="s">
        <v>1</v>
      </c>
      <c r="B4193" t="str">
        <f>"18434369618"</f>
        <v>18434369618</v>
      </c>
      <c r="C4193" t="s">
        <v>1</v>
      </c>
      <c r="D4193" t="s">
        <v>1</v>
      </c>
      <c r="E4193" t="s">
        <v>1</v>
      </c>
      <c r="F4193" t="s">
        <v>0</v>
      </c>
      <c r="G4193" t="str">
        <f>"2018-10-17 15:45:52"</f>
        <v>2018-10-17 15:45:52</v>
      </c>
    </row>
    <row r="4194" spans="1:7" x14ac:dyDescent="0.2">
      <c r="A4194" t="s">
        <v>1</v>
      </c>
      <c r="B4194" t="str">
        <f>"15983068224"</f>
        <v>15983068224</v>
      </c>
      <c r="C4194" t="s">
        <v>1</v>
      </c>
      <c r="D4194" t="s">
        <v>1</v>
      </c>
      <c r="E4194" t="s">
        <v>1</v>
      </c>
      <c r="F4194" t="s">
        <v>0</v>
      </c>
      <c r="G4194" t="str">
        <f>"2018-10-17 15:45:44"</f>
        <v>2018-10-17 15:45:44</v>
      </c>
    </row>
    <row r="4195" spans="1:7" x14ac:dyDescent="0.2">
      <c r="A4195" t="s">
        <v>5413</v>
      </c>
      <c r="B4195" t="str">
        <f>"18960263096"</f>
        <v>18960263096</v>
      </c>
      <c r="C4195" t="str">
        <f>"350583199603090076"</f>
        <v>350583199603090076</v>
      </c>
      <c r="D4195" t="s">
        <v>1</v>
      </c>
      <c r="E4195" t="s">
        <v>1</v>
      </c>
      <c r="F4195" t="s">
        <v>0</v>
      </c>
      <c r="G4195" t="str">
        <f>"2018-10-17 15:47:58"</f>
        <v>2018-10-17 15:47:58</v>
      </c>
    </row>
    <row r="4196" spans="1:7" x14ac:dyDescent="0.2">
      <c r="A4196" t="s">
        <v>1</v>
      </c>
      <c r="B4196" t="str">
        <f>"15676709843"</f>
        <v>15676709843</v>
      </c>
      <c r="C4196" t="s">
        <v>1</v>
      </c>
      <c r="D4196" t="s">
        <v>1</v>
      </c>
      <c r="E4196" t="s">
        <v>1</v>
      </c>
      <c r="F4196" t="s">
        <v>0</v>
      </c>
      <c r="G4196" t="str">
        <f>"2018-10-17 15:44:39"</f>
        <v>2018-10-17 15:44:39</v>
      </c>
    </row>
    <row r="4197" spans="1:7" x14ac:dyDescent="0.2">
      <c r="A4197" t="s">
        <v>1</v>
      </c>
      <c r="B4197" t="str">
        <f>"15858569753"</f>
        <v>15858569753</v>
      </c>
      <c r="C4197" t="s">
        <v>1</v>
      </c>
      <c r="D4197" t="s">
        <v>1</v>
      </c>
      <c r="E4197" t="s">
        <v>1</v>
      </c>
      <c r="F4197" t="s">
        <v>0</v>
      </c>
      <c r="G4197" t="str">
        <f>"2018-10-17 15:44:36"</f>
        <v>2018-10-17 15:44:36</v>
      </c>
    </row>
    <row r="4198" spans="1:7" x14ac:dyDescent="0.2">
      <c r="A4198" t="s">
        <v>1286</v>
      </c>
      <c r="B4198" t="str">
        <f>"13320715533"</f>
        <v>13320715533</v>
      </c>
      <c r="C4198" t="str">
        <f>"510411198106108413"</f>
        <v>510411198106108413</v>
      </c>
      <c r="D4198" t="s">
        <v>1</v>
      </c>
      <c r="E4198" t="s">
        <v>1</v>
      </c>
      <c r="F4198" t="s">
        <v>0</v>
      </c>
      <c r="G4198" t="str">
        <f>"2018-10-17 15:44:14"</f>
        <v>2018-10-17 15:44:14</v>
      </c>
    </row>
    <row r="4199" spans="1:7" x14ac:dyDescent="0.2">
      <c r="A4199" t="s">
        <v>1</v>
      </c>
      <c r="B4199" t="str">
        <f>"15130706699"</f>
        <v>15130706699</v>
      </c>
      <c r="C4199" t="s">
        <v>1</v>
      </c>
      <c r="D4199" t="s">
        <v>1</v>
      </c>
      <c r="E4199" t="s">
        <v>1</v>
      </c>
      <c r="F4199" t="s">
        <v>0</v>
      </c>
      <c r="G4199" t="str">
        <f>"2018-10-17 15:47:47"</f>
        <v>2018-10-17 15:47:47</v>
      </c>
    </row>
    <row r="4200" spans="1:7" x14ac:dyDescent="0.2">
      <c r="A4200" t="s">
        <v>5414</v>
      </c>
      <c r="B4200" t="str">
        <f>"15167838921"</f>
        <v>15167838921</v>
      </c>
      <c r="C4200" t="str">
        <f>"330327199208267286"</f>
        <v>330327199208267286</v>
      </c>
      <c r="D4200" t="s">
        <v>1</v>
      </c>
      <c r="E4200" t="s">
        <v>1</v>
      </c>
      <c r="F4200" t="s">
        <v>0</v>
      </c>
      <c r="G4200" t="str">
        <f>"2018-10-30 16:16:09"</f>
        <v>2018-10-30 16:16:09</v>
      </c>
    </row>
    <row r="4201" spans="1:7" x14ac:dyDescent="0.2">
      <c r="A4201" t="s">
        <v>5415</v>
      </c>
      <c r="B4201" t="str">
        <f>"17380121926"</f>
        <v>17380121926</v>
      </c>
      <c r="C4201" t="str">
        <f>"513424198808100023"</f>
        <v>513424198808100023</v>
      </c>
      <c r="D4201" t="s">
        <v>1</v>
      </c>
      <c r="E4201" t="s">
        <v>1</v>
      </c>
      <c r="F4201" t="s">
        <v>0</v>
      </c>
      <c r="G4201" t="str">
        <f>"2018-10-17 15:45:31"</f>
        <v>2018-10-17 15:45:31</v>
      </c>
    </row>
    <row r="4202" spans="1:7" x14ac:dyDescent="0.2">
      <c r="A4202" t="s">
        <v>1</v>
      </c>
      <c r="B4202" t="str">
        <f>"18658159582"</f>
        <v>18658159582</v>
      </c>
      <c r="C4202" t="s">
        <v>1</v>
      </c>
      <c r="D4202" t="s">
        <v>1</v>
      </c>
      <c r="E4202" t="s">
        <v>1</v>
      </c>
      <c r="F4202" t="s">
        <v>0</v>
      </c>
      <c r="G4202" t="str">
        <f>"2018-10-17 15:43:46"</f>
        <v>2018-10-17 15:43:46</v>
      </c>
    </row>
    <row r="4203" spans="1:7" x14ac:dyDescent="0.2">
      <c r="A4203" t="s">
        <v>1</v>
      </c>
      <c r="B4203" t="str">
        <f>"18248529117"</f>
        <v>18248529117</v>
      </c>
      <c r="C4203" t="s">
        <v>1</v>
      </c>
      <c r="D4203" t="s">
        <v>1</v>
      </c>
      <c r="E4203" t="s">
        <v>1</v>
      </c>
      <c r="F4203" t="s">
        <v>0</v>
      </c>
      <c r="G4203" t="str">
        <f>"2018-10-17 15:55:01"</f>
        <v>2018-10-17 15:55:01</v>
      </c>
    </row>
    <row r="4204" spans="1:7" x14ac:dyDescent="0.2">
      <c r="A4204" t="s">
        <v>1</v>
      </c>
      <c r="B4204" t="str">
        <f>"13110481503"</f>
        <v>13110481503</v>
      </c>
      <c r="C4204" t="s">
        <v>1</v>
      </c>
      <c r="D4204" t="s">
        <v>1</v>
      </c>
      <c r="E4204" t="s">
        <v>1</v>
      </c>
      <c r="F4204" t="s">
        <v>0</v>
      </c>
      <c r="G4204" t="str">
        <f>"2018-10-17 15:43:29"</f>
        <v>2018-10-17 15:43:29</v>
      </c>
    </row>
    <row r="4205" spans="1:7" x14ac:dyDescent="0.2">
      <c r="A4205" t="s">
        <v>1</v>
      </c>
      <c r="B4205" t="str">
        <f>"15192670109"</f>
        <v>15192670109</v>
      </c>
      <c r="C4205" t="s">
        <v>1</v>
      </c>
      <c r="D4205" t="s">
        <v>1</v>
      </c>
      <c r="E4205" t="s">
        <v>1</v>
      </c>
      <c r="F4205" t="s">
        <v>0</v>
      </c>
      <c r="G4205" t="str">
        <f>"2018-10-17 15:44:22"</f>
        <v>2018-10-17 15:44:22</v>
      </c>
    </row>
    <row r="4206" spans="1:7" x14ac:dyDescent="0.2">
      <c r="A4206" t="s">
        <v>5416</v>
      </c>
      <c r="B4206" t="str">
        <f>"13531701929"</f>
        <v>13531701929</v>
      </c>
      <c r="C4206" t="str">
        <f>"441323199103264039"</f>
        <v>441323199103264039</v>
      </c>
      <c r="D4206" t="s">
        <v>1</v>
      </c>
      <c r="E4206" t="s">
        <v>1</v>
      </c>
      <c r="F4206" t="s">
        <v>0</v>
      </c>
      <c r="G4206" t="str">
        <f>"2018-10-17 15:44:07"</f>
        <v>2018-10-17 15:44:07</v>
      </c>
    </row>
    <row r="4207" spans="1:7" x14ac:dyDescent="0.2">
      <c r="A4207" t="s">
        <v>5417</v>
      </c>
      <c r="B4207" t="str">
        <f>"13665600063"</f>
        <v>13665600063</v>
      </c>
      <c r="C4207" t="str">
        <f>"340121199012063137"</f>
        <v>340121199012063137</v>
      </c>
      <c r="D4207" t="s">
        <v>1</v>
      </c>
      <c r="E4207" t="s">
        <v>1</v>
      </c>
      <c r="F4207" t="s">
        <v>0</v>
      </c>
      <c r="G4207" t="str">
        <f>"2018-10-17 15:42:27"</f>
        <v>2018-10-17 15:42:27</v>
      </c>
    </row>
    <row r="4208" spans="1:7" x14ac:dyDescent="0.2">
      <c r="A4208" t="s">
        <v>5418</v>
      </c>
      <c r="B4208" t="str">
        <f>"13932868162"</f>
        <v>13932868162</v>
      </c>
      <c r="C4208" t="str">
        <f>"51072319740209069X"</f>
        <v>51072319740209069X</v>
      </c>
      <c r="D4208" t="s">
        <v>1</v>
      </c>
      <c r="E4208" t="s">
        <v>1</v>
      </c>
      <c r="F4208" t="s">
        <v>0</v>
      </c>
      <c r="G4208" t="str">
        <f>"2018-10-17 20:05:04"</f>
        <v>2018-10-17 20:05:04</v>
      </c>
    </row>
    <row r="4209" spans="1:7" x14ac:dyDescent="0.2">
      <c r="A4209" t="s">
        <v>1</v>
      </c>
      <c r="B4209" t="str">
        <f>"15597671527"</f>
        <v>15597671527</v>
      </c>
      <c r="C4209" t="s">
        <v>1</v>
      </c>
      <c r="D4209" t="s">
        <v>1</v>
      </c>
      <c r="E4209" t="s">
        <v>1</v>
      </c>
      <c r="F4209" t="s">
        <v>0</v>
      </c>
      <c r="G4209" t="str">
        <f>"2018-10-17 15:42:04"</f>
        <v>2018-10-17 15:42:04</v>
      </c>
    </row>
    <row r="4210" spans="1:7" x14ac:dyDescent="0.2">
      <c r="A4210" t="s">
        <v>5419</v>
      </c>
      <c r="B4210" t="str">
        <f>"15267113422"</f>
        <v>15267113422</v>
      </c>
      <c r="C4210" t="str">
        <f>"33018219901214072X"</f>
        <v>33018219901214072X</v>
      </c>
      <c r="D4210" t="s">
        <v>1</v>
      </c>
      <c r="E4210" t="s">
        <v>1</v>
      </c>
      <c r="F4210" t="s">
        <v>0</v>
      </c>
      <c r="G4210" t="str">
        <f>"2018-10-17 15:44:45"</f>
        <v>2018-10-17 15:44:45</v>
      </c>
    </row>
    <row r="4211" spans="1:7" x14ac:dyDescent="0.2">
      <c r="A4211" t="s">
        <v>5420</v>
      </c>
      <c r="B4211" t="str">
        <f>"15919546505"</f>
        <v>15919546505</v>
      </c>
      <c r="C4211" t="str">
        <f>"445121198301304244"</f>
        <v>445121198301304244</v>
      </c>
      <c r="D4211" t="s">
        <v>1</v>
      </c>
      <c r="E4211" t="s">
        <v>1</v>
      </c>
      <c r="F4211" t="s">
        <v>0</v>
      </c>
      <c r="G4211" t="str">
        <f>"2018-10-17 15:44:58"</f>
        <v>2018-10-17 15:44:58</v>
      </c>
    </row>
    <row r="4212" spans="1:7" x14ac:dyDescent="0.2">
      <c r="A4212" t="s">
        <v>5421</v>
      </c>
      <c r="B4212" t="str">
        <f>"18716380476"</f>
        <v>18716380476</v>
      </c>
      <c r="C4212" t="str">
        <f>"500102198809158690"</f>
        <v>500102198809158690</v>
      </c>
      <c r="D4212" t="s">
        <v>1</v>
      </c>
      <c r="E4212" t="s">
        <v>1</v>
      </c>
      <c r="F4212" t="s">
        <v>0</v>
      </c>
      <c r="G4212" t="str">
        <f>"2018-10-17 15:42:57"</f>
        <v>2018-10-17 15:42:57</v>
      </c>
    </row>
    <row r="4213" spans="1:7" x14ac:dyDescent="0.2">
      <c r="A4213" t="s">
        <v>854</v>
      </c>
      <c r="B4213" t="str">
        <f>"15004663346"</f>
        <v>15004663346</v>
      </c>
      <c r="C4213" t="str">
        <f>"23010219950520532X"</f>
        <v>23010219950520532X</v>
      </c>
      <c r="D4213" t="s">
        <v>5422</v>
      </c>
      <c r="E4213" t="s">
        <v>5423</v>
      </c>
      <c r="F4213" t="s">
        <v>0</v>
      </c>
      <c r="G4213" t="str">
        <f>"2018-10-17 15:45:20"</f>
        <v>2018-10-17 15:45:20</v>
      </c>
    </row>
    <row r="4214" spans="1:7" x14ac:dyDescent="0.2">
      <c r="A4214" t="s">
        <v>5424</v>
      </c>
      <c r="B4214" t="str">
        <f>"17606867176"</f>
        <v>17606867176</v>
      </c>
      <c r="C4214" t="str">
        <f>"411422199805024834"</f>
        <v>411422199805024834</v>
      </c>
      <c r="D4214" t="s">
        <v>1</v>
      </c>
      <c r="E4214" t="s">
        <v>1</v>
      </c>
      <c r="F4214" t="s">
        <v>0</v>
      </c>
      <c r="G4214" t="str">
        <f>"2018-10-17 15:41:33"</f>
        <v>2018-10-17 15:41:33</v>
      </c>
    </row>
    <row r="4215" spans="1:7" x14ac:dyDescent="0.2">
      <c r="A4215" t="s">
        <v>5425</v>
      </c>
      <c r="B4215" t="str">
        <f>"15523333251"</f>
        <v>15523333251</v>
      </c>
      <c r="C4215" t="str">
        <f>"500383199611031890"</f>
        <v>500383199611031890</v>
      </c>
      <c r="D4215" t="s">
        <v>1</v>
      </c>
      <c r="E4215" t="s">
        <v>1</v>
      </c>
      <c r="F4215" t="s">
        <v>0</v>
      </c>
      <c r="G4215" t="str">
        <f>"2018-10-17 15:42:36"</f>
        <v>2018-10-17 15:42:36</v>
      </c>
    </row>
    <row r="4216" spans="1:7" x14ac:dyDescent="0.2">
      <c r="A4216" t="s">
        <v>5426</v>
      </c>
      <c r="B4216" t="str">
        <f>"18677023544"</f>
        <v>18677023544</v>
      </c>
      <c r="C4216" t="str">
        <f>"140321199005081816"</f>
        <v>140321199005081816</v>
      </c>
      <c r="D4216" t="s">
        <v>1</v>
      </c>
      <c r="E4216" t="s">
        <v>1</v>
      </c>
      <c r="F4216" t="s">
        <v>0</v>
      </c>
      <c r="G4216" t="str">
        <f>"2018-10-20 11:07:38"</f>
        <v>2018-10-20 11:07:38</v>
      </c>
    </row>
    <row r="4217" spans="1:7" x14ac:dyDescent="0.2">
      <c r="A4217" t="s">
        <v>5427</v>
      </c>
      <c r="B4217" t="str">
        <f>"18673578968"</f>
        <v>18673578968</v>
      </c>
      <c r="C4217" t="str">
        <f>"431081198204090817"</f>
        <v>431081198204090817</v>
      </c>
      <c r="D4217" t="s">
        <v>1</v>
      </c>
      <c r="E4217" t="s">
        <v>1</v>
      </c>
      <c r="F4217" t="s">
        <v>0</v>
      </c>
      <c r="G4217" t="str">
        <f>"2018-10-17 15:40:57"</f>
        <v>2018-10-17 15:40:57</v>
      </c>
    </row>
    <row r="4218" spans="1:7" x14ac:dyDescent="0.2">
      <c r="A4218" t="s">
        <v>5428</v>
      </c>
      <c r="B4218" t="str">
        <f>"17635720523"</f>
        <v>17635720523</v>
      </c>
      <c r="C4218" t="str">
        <f>"142228199505230057"</f>
        <v>142228199505230057</v>
      </c>
      <c r="D4218" t="s">
        <v>1</v>
      </c>
      <c r="E4218" t="s">
        <v>1</v>
      </c>
      <c r="F4218" t="s">
        <v>0</v>
      </c>
      <c r="G4218" t="str">
        <f>"2018-10-17 15:39:54"</f>
        <v>2018-10-17 15:39:54</v>
      </c>
    </row>
    <row r="4219" spans="1:7" x14ac:dyDescent="0.2">
      <c r="A4219" t="s">
        <v>1</v>
      </c>
      <c r="B4219" t="str">
        <f>"13451913872"</f>
        <v>13451913872</v>
      </c>
      <c r="C4219" t="s">
        <v>1</v>
      </c>
      <c r="D4219" t="s">
        <v>1</v>
      </c>
      <c r="E4219" t="s">
        <v>1</v>
      </c>
      <c r="F4219" t="s">
        <v>0</v>
      </c>
      <c r="G4219" t="str">
        <f>"2018-10-17 15:39:35"</f>
        <v>2018-10-17 15:39:35</v>
      </c>
    </row>
    <row r="4220" spans="1:7" x14ac:dyDescent="0.2">
      <c r="A4220" t="s">
        <v>5429</v>
      </c>
      <c r="B4220" t="str">
        <f>"13202570138"</f>
        <v>13202570138</v>
      </c>
      <c r="C4220" t="str">
        <f>"445281199201257096"</f>
        <v>445281199201257096</v>
      </c>
      <c r="D4220" t="s">
        <v>1</v>
      </c>
      <c r="E4220" t="s">
        <v>1</v>
      </c>
      <c r="F4220" t="s">
        <v>0</v>
      </c>
      <c r="G4220" t="str">
        <f>"2018-10-17 15:41:15"</f>
        <v>2018-10-17 15:41:15</v>
      </c>
    </row>
    <row r="4221" spans="1:7" x14ac:dyDescent="0.2">
      <c r="A4221" t="s">
        <v>5430</v>
      </c>
      <c r="B4221" t="str">
        <f>"13876554340"</f>
        <v>13876554340</v>
      </c>
      <c r="C4221" t="str">
        <f>"460034198305100455"</f>
        <v>460034198305100455</v>
      </c>
      <c r="D4221" t="s">
        <v>1</v>
      </c>
      <c r="E4221" t="s">
        <v>1</v>
      </c>
      <c r="F4221" t="s">
        <v>0</v>
      </c>
      <c r="G4221" t="str">
        <f>"2018-10-17 15:40:22"</f>
        <v>2018-10-17 15:40:22</v>
      </c>
    </row>
    <row r="4222" spans="1:7" x14ac:dyDescent="0.2">
      <c r="A4222" t="s">
        <v>1350</v>
      </c>
      <c r="B4222" t="str">
        <f>"15850972921"</f>
        <v>15850972921</v>
      </c>
      <c r="C4222" t="str">
        <f>"32132219880409381X"</f>
        <v>32132219880409381X</v>
      </c>
      <c r="D4222" t="s">
        <v>1</v>
      </c>
      <c r="E4222" t="s">
        <v>1</v>
      </c>
      <c r="F4222" t="s">
        <v>0</v>
      </c>
      <c r="G4222" t="str">
        <f>"2018-10-17 15:39:59"</f>
        <v>2018-10-17 15:39:59</v>
      </c>
    </row>
    <row r="4223" spans="1:7" x14ac:dyDescent="0.2">
      <c r="A4223" t="s">
        <v>5431</v>
      </c>
      <c r="B4223" t="str">
        <f>"18279264337"</f>
        <v>18279264337</v>
      </c>
      <c r="C4223" t="str">
        <f>"360428197906116037"</f>
        <v>360428197906116037</v>
      </c>
      <c r="D4223" t="s">
        <v>5432</v>
      </c>
      <c r="E4223" t="s">
        <v>5433</v>
      </c>
      <c r="F4223" t="s">
        <v>0</v>
      </c>
      <c r="G4223" t="str">
        <f>"2018-10-17 15:40:12"</f>
        <v>2018-10-17 15:40:12</v>
      </c>
    </row>
    <row r="4224" spans="1:7" x14ac:dyDescent="0.2">
      <c r="A4224" t="s">
        <v>5434</v>
      </c>
      <c r="B4224" t="str">
        <f>"18458142803"</f>
        <v>18458142803</v>
      </c>
      <c r="C4224" t="str">
        <f>"330183199503012526"</f>
        <v>330183199503012526</v>
      </c>
      <c r="D4224" t="s">
        <v>1</v>
      </c>
      <c r="E4224" t="s">
        <v>1</v>
      </c>
      <c r="F4224" t="s">
        <v>0</v>
      </c>
      <c r="G4224" t="str">
        <f>"2018-11-01 06:17:39"</f>
        <v>2018-11-01 06:17:39</v>
      </c>
    </row>
    <row r="4225" spans="1:7" x14ac:dyDescent="0.2">
      <c r="A4225" t="s">
        <v>1</v>
      </c>
      <c r="B4225" t="str">
        <f>"13875323500"</f>
        <v>13875323500</v>
      </c>
      <c r="C4225" t="s">
        <v>1</v>
      </c>
      <c r="D4225" t="s">
        <v>1</v>
      </c>
      <c r="E4225" t="s">
        <v>1</v>
      </c>
      <c r="F4225" t="s">
        <v>0</v>
      </c>
      <c r="G4225" t="str">
        <f>"2018-10-17 15:37:13"</f>
        <v>2018-10-17 15:37:13</v>
      </c>
    </row>
    <row r="4226" spans="1:7" x14ac:dyDescent="0.2">
      <c r="A4226" t="s">
        <v>5435</v>
      </c>
      <c r="B4226" t="str">
        <f>"15218844487"</f>
        <v>15218844487</v>
      </c>
      <c r="C4226" t="str">
        <f>"440182198506200332"</f>
        <v>440182198506200332</v>
      </c>
      <c r="D4226" t="s">
        <v>1</v>
      </c>
      <c r="E4226" t="s">
        <v>1</v>
      </c>
      <c r="F4226" t="s">
        <v>0</v>
      </c>
      <c r="G4226" t="str">
        <f>"2018-10-17 15:38:29"</f>
        <v>2018-10-17 15:38:29</v>
      </c>
    </row>
    <row r="4227" spans="1:7" x14ac:dyDescent="0.2">
      <c r="A4227" t="s">
        <v>5436</v>
      </c>
      <c r="B4227" t="str">
        <f>"15352868833"</f>
        <v>15352868833</v>
      </c>
      <c r="C4227" t="str">
        <f>"152632199201152414"</f>
        <v>152632199201152414</v>
      </c>
      <c r="D4227" t="s">
        <v>1</v>
      </c>
      <c r="E4227" t="s">
        <v>1</v>
      </c>
      <c r="F4227" t="s">
        <v>0</v>
      </c>
      <c r="G4227" t="str">
        <f>"2018-10-17 15:36:58"</f>
        <v>2018-10-17 15:36:58</v>
      </c>
    </row>
    <row r="4228" spans="1:7" x14ac:dyDescent="0.2">
      <c r="A4228" t="s">
        <v>1</v>
      </c>
      <c r="B4228" t="str">
        <f>"18575410216"</f>
        <v>18575410216</v>
      </c>
      <c r="C4228" t="s">
        <v>1</v>
      </c>
      <c r="D4228" t="s">
        <v>1</v>
      </c>
      <c r="E4228" t="s">
        <v>1</v>
      </c>
      <c r="F4228" t="s">
        <v>0</v>
      </c>
      <c r="G4228" t="str">
        <f>"2018-10-17 15:36:53"</f>
        <v>2018-10-17 15:36:53</v>
      </c>
    </row>
    <row r="4229" spans="1:7" x14ac:dyDescent="0.2">
      <c r="A4229" t="s">
        <v>1</v>
      </c>
      <c r="B4229" t="str">
        <f>"13157747624"</f>
        <v>13157747624</v>
      </c>
      <c r="C4229" t="s">
        <v>1</v>
      </c>
      <c r="D4229" t="s">
        <v>1</v>
      </c>
      <c r="E4229" t="s">
        <v>1</v>
      </c>
      <c r="F4229" t="s">
        <v>0</v>
      </c>
      <c r="G4229" t="str">
        <f>"2018-10-17 15:36:42"</f>
        <v>2018-10-17 15:36:42</v>
      </c>
    </row>
    <row r="4230" spans="1:7" x14ac:dyDescent="0.2">
      <c r="A4230" t="s">
        <v>1</v>
      </c>
      <c r="B4230" t="str">
        <f>"15168380345"</f>
        <v>15168380345</v>
      </c>
      <c r="C4230" t="s">
        <v>1</v>
      </c>
      <c r="D4230" t="s">
        <v>1</v>
      </c>
      <c r="E4230" t="s">
        <v>1</v>
      </c>
      <c r="F4230" t="s">
        <v>0</v>
      </c>
      <c r="G4230" t="str">
        <f>"2018-10-17 15:35:57"</f>
        <v>2018-10-17 15:35:57</v>
      </c>
    </row>
    <row r="4231" spans="1:7" x14ac:dyDescent="0.2">
      <c r="A4231" t="s">
        <v>5437</v>
      </c>
      <c r="B4231" t="str">
        <f>"15717916237"</f>
        <v>15717916237</v>
      </c>
      <c r="C4231" t="str">
        <f>"360103199509304435"</f>
        <v>360103199509304435</v>
      </c>
      <c r="D4231" t="s">
        <v>1</v>
      </c>
      <c r="E4231" t="s">
        <v>1</v>
      </c>
      <c r="F4231" t="s">
        <v>0</v>
      </c>
      <c r="G4231" t="str">
        <f>"2018-10-17 15:35:34"</f>
        <v>2018-10-17 15:35:34</v>
      </c>
    </row>
    <row r="4232" spans="1:7" x14ac:dyDescent="0.2">
      <c r="A4232" t="s">
        <v>1737</v>
      </c>
      <c r="B4232" t="str">
        <f>"13928500196"</f>
        <v>13928500196</v>
      </c>
      <c r="C4232" t="str">
        <f>"441284199202130033"</f>
        <v>441284199202130033</v>
      </c>
      <c r="D4232" t="s">
        <v>5438</v>
      </c>
      <c r="E4232" t="s">
        <v>5439</v>
      </c>
      <c r="F4232" t="s">
        <v>0</v>
      </c>
      <c r="G4232" t="str">
        <f>"2018-10-17 15:36:58"</f>
        <v>2018-10-17 15:36:58</v>
      </c>
    </row>
    <row r="4233" spans="1:7" x14ac:dyDescent="0.2">
      <c r="A4233" t="s">
        <v>1</v>
      </c>
      <c r="B4233" t="str">
        <f>"13543566996"</f>
        <v>13543566996</v>
      </c>
      <c r="C4233" t="s">
        <v>1</v>
      </c>
      <c r="D4233" t="s">
        <v>1</v>
      </c>
      <c r="E4233" t="s">
        <v>1</v>
      </c>
      <c r="F4233" t="s">
        <v>0</v>
      </c>
      <c r="G4233" t="str">
        <f>"2018-10-17 18:13:48"</f>
        <v>2018-10-17 18:13:48</v>
      </c>
    </row>
    <row r="4234" spans="1:7" x14ac:dyDescent="0.2">
      <c r="A4234" t="s">
        <v>1</v>
      </c>
      <c r="B4234" t="str">
        <f>"15019634383"</f>
        <v>15019634383</v>
      </c>
      <c r="C4234" t="s">
        <v>1</v>
      </c>
      <c r="D4234" t="s">
        <v>1</v>
      </c>
      <c r="E4234" t="s">
        <v>1</v>
      </c>
      <c r="F4234" t="s">
        <v>0</v>
      </c>
      <c r="G4234" t="str">
        <f>"2018-10-17 15:34:39"</f>
        <v>2018-10-17 15:34:39</v>
      </c>
    </row>
    <row r="4235" spans="1:7" x14ac:dyDescent="0.2">
      <c r="A4235" t="s">
        <v>5440</v>
      </c>
      <c r="B4235" t="str">
        <f>"15255567943"</f>
        <v>15255567943</v>
      </c>
      <c r="C4235" t="str">
        <f>"342425199306196916"</f>
        <v>342425199306196916</v>
      </c>
      <c r="D4235" t="s">
        <v>1</v>
      </c>
      <c r="E4235" t="s">
        <v>1</v>
      </c>
      <c r="F4235" t="s">
        <v>0</v>
      </c>
      <c r="G4235" t="str">
        <f>"2018-10-17 15:35:49"</f>
        <v>2018-10-17 15:35:49</v>
      </c>
    </row>
    <row r="4236" spans="1:7" x14ac:dyDescent="0.2">
      <c r="A4236" t="s">
        <v>1</v>
      </c>
      <c r="B4236" t="str">
        <f>"15873629547"</f>
        <v>15873629547</v>
      </c>
      <c r="C4236" t="s">
        <v>1</v>
      </c>
      <c r="D4236" t="s">
        <v>1</v>
      </c>
      <c r="E4236" t="s">
        <v>1</v>
      </c>
      <c r="F4236" t="s">
        <v>0</v>
      </c>
      <c r="G4236" t="str">
        <f>"2018-10-17 15:34:14"</f>
        <v>2018-10-17 15:34:14</v>
      </c>
    </row>
    <row r="4237" spans="1:7" x14ac:dyDescent="0.2">
      <c r="A4237" t="s">
        <v>1</v>
      </c>
      <c r="B4237" t="str">
        <f>"17041861869"</f>
        <v>17041861869</v>
      </c>
      <c r="C4237" t="s">
        <v>1</v>
      </c>
      <c r="D4237" t="s">
        <v>1</v>
      </c>
      <c r="E4237" t="s">
        <v>1</v>
      </c>
      <c r="F4237" t="s">
        <v>0</v>
      </c>
      <c r="G4237" t="str">
        <f>"2018-10-17 15:34:02"</f>
        <v>2018-10-17 15:34:02</v>
      </c>
    </row>
    <row r="4238" spans="1:7" x14ac:dyDescent="0.2">
      <c r="A4238" t="s">
        <v>1</v>
      </c>
      <c r="B4238" t="str">
        <f>"15578649845"</f>
        <v>15578649845</v>
      </c>
      <c r="C4238" t="s">
        <v>1</v>
      </c>
      <c r="D4238" t="s">
        <v>1</v>
      </c>
      <c r="E4238" t="s">
        <v>1</v>
      </c>
      <c r="F4238" t="s">
        <v>0</v>
      </c>
      <c r="G4238" t="str">
        <f>"2018-10-17 15:33:59"</f>
        <v>2018-10-17 15:33:59</v>
      </c>
    </row>
    <row r="4239" spans="1:7" x14ac:dyDescent="0.2">
      <c r="A4239" t="s">
        <v>5441</v>
      </c>
      <c r="B4239" t="str">
        <f>"15053989466"</f>
        <v>15053989466</v>
      </c>
      <c r="C4239" t="str">
        <f>"371302199612280846"</f>
        <v>371302199612280846</v>
      </c>
      <c r="D4239" t="s">
        <v>1</v>
      </c>
      <c r="E4239" t="s">
        <v>1</v>
      </c>
      <c r="F4239" t="s">
        <v>0</v>
      </c>
      <c r="G4239" t="str">
        <f>"2018-10-17 15:36:56"</f>
        <v>2018-10-17 15:36:56</v>
      </c>
    </row>
    <row r="4240" spans="1:7" x14ac:dyDescent="0.2">
      <c r="A4240" t="s">
        <v>5442</v>
      </c>
      <c r="B4240" t="str">
        <f>"15868455900"</f>
        <v>15868455900</v>
      </c>
      <c r="C4240" t="str">
        <f>"330122198001180610"</f>
        <v>330122198001180610</v>
      </c>
      <c r="D4240" t="s">
        <v>1</v>
      </c>
      <c r="E4240" t="s">
        <v>1</v>
      </c>
      <c r="F4240" t="s">
        <v>0</v>
      </c>
      <c r="G4240" t="str">
        <f>"2018-10-17 15:40:25"</f>
        <v>2018-10-17 15:40:25</v>
      </c>
    </row>
    <row r="4241" spans="1:7" x14ac:dyDescent="0.2">
      <c r="A4241" t="s">
        <v>1</v>
      </c>
      <c r="B4241" t="str">
        <f>"13621291887"</f>
        <v>13621291887</v>
      </c>
      <c r="C4241" t="s">
        <v>1</v>
      </c>
      <c r="D4241" t="s">
        <v>1</v>
      </c>
      <c r="E4241" t="s">
        <v>1</v>
      </c>
      <c r="F4241" t="s">
        <v>0</v>
      </c>
      <c r="G4241" t="str">
        <f>"2018-10-17 15:33:02"</f>
        <v>2018-10-17 15:33:02</v>
      </c>
    </row>
    <row r="4242" spans="1:7" x14ac:dyDescent="0.2">
      <c r="A4242" t="s">
        <v>5443</v>
      </c>
      <c r="B4242" t="str">
        <f>"13433584797"</f>
        <v>13433584797</v>
      </c>
      <c r="C4242" t="str">
        <f>"445322198912253412"</f>
        <v>445322198912253412</v>
      </c>
      <c r="D4242" t="s">
        <v>1</v>
      </c>
      <c r="E4242" t="s">
        <v>1</v>
      </c>
      <c r="F4242" t="s">
        <v>0</v>
      </c>
      <c r="G4242" t="str">
        <f>"2018-10-17 15:38:17"</f>
        <v>2018-10-17 15:38:17</v>
      </c>
    </row>
    <row r="4243" spans="1:7" x14ac:dyDescent="0.2">
      <c r="A4243" t="s">
        <v>1</v>
      </c>
      <c r="B4243" t="str">
        <f>"15268725660"</f>
        <v>15268725660</v>
      </c>
      <c r="C4243" t="s">
        <v>1</v>
      </c>
      <c r="D4243" t="s">
        <v>1</v>
      </c>
      <c r="E4243" t="s">
        <v>1</v>
      </c>
      <c r="F4243" t="s">
        <v>0</v>
      </c>
      <c r="G4243" t="str">
        <f>"2018-10-17 15:32:32"</f>
        <v>2018-10-17 15:32:32</v>
      </c>
    </row>
    <row r="4244" spans="1:7" x14ac:dyDescent="0.2">
      <c r="A4244" t="s">
        <v>1</v>
      </c>
      <c r="B4244" t="str">
        <f>"18270939892"</f>
        <v>18270939892</v>
      </c>
      <c r="C4244" t="s">
        <v>1</v>
      </c>
      <c r="D4244" t="s">
        <v>1</v>
      </c>
      <c r="E4244" t="s">
        <v>1</v>
      </c>
      <c r="F4244" t="s">
        <v>0</v>
      </c>
      <c r="G4244" t="str">
        <f>"2018-10-17 15:32:32"</f>
        <v>2018-10-17 15:32:32</v>
      </c>
    </row>
    <row r="4245" spans="1:7" x14ac:dyDescent="0.2">
      <c r="A4245" t="s">
        <v>366</v>
      </c>
      <c r="B4245" t="str">
        <f>"18133455556"</f>
        <v>18133455556</v>
      </c>
      <c r="C4245" t="str">
        <f>"34112219921023001X"</f>
        <v>34112219921023001X</v>
      </c>
      <c r="D4245" t="s">
        <v>1</v>
      </c>
      <c r="E4245" t="s">
        <v>1</v>
      </c>
      <c r="F4245" t="s">
        <v>0</v>
      </c>
      <c r="G4245" t="str">
        <f>"2018-10-17 15:33:57"</f>
        <v>2018-10-17 15:33:57</v>
      </c>
    </row>
    <row r="4246" spans="1:7" x14ac:dyDescent="0.2">
      <c r="A4246" t="s">
        <v>5444</v>
      </c>
      <c r="B4246" t="str">
        <f>"15371216226"</f>
        <v>15371216226</v>
      </c>
      <c r="C4246" t="str">
        <f>"320924199212204378"</f>
        <v>320924199212204378</v>
      </c>
      <c r="D4246" t="s">
        <v>1</v>
      </c>
      <c r="E4246" t="s">
        <v>1</v>
      </c>
      <c r="F4246" t="s">
        <v>0</v>
      </c>
      <c r="G4246" t="str">
        <f>"2018-10-17 15:39:02"</f>
        <v>2018-10-17 15:39:02</v>
      </c>
    </row>
    <row r="4247" spans="1:7" x14ac:dyDescent="0.2">
      <c r="A4247" t="s">
        <v>5445</v>
      </c>
      <c r="B4247" t="str">
        <f>"15233823136"</f>
        <v>15233823136</v>
      </c>
      <c r="C4247" t="str">
        <f>"130402199609272714"</f>
        <v>130402199609272714</v>
      </c>
      <c r="D4247" t="s">
        <v>1</v>
      </c>
      <c r="E4247" t="s">
        <v>1</v>
      </c>
      <c r="F4247" t="s">
        <v>0</v>
      </c>
      <c r="G4247" t="str">
        <f>"2018-10-17 15:32:17"</f>
        <v>2018-10-17 15:32:17</v>
      </c>
    </row>
    <row r="4248" spans="1:7" x14ac:dyDescent="0.2">
      <c r="A4248" t="s">
        <v>1</v>
      </c>
      <c r="B4248" t="str">
        <f>"13413746658"</f>
        <v>13413746658</v>
      </c>
      <c r="C4248" t="s">
        <v>1</v>
      </c>
      <c r="D4248" t="s">
        <v>1</v>
      </c>
      <c r="E4248" t="s">
        <v>1</v>
      </c>
      <c r="F4248" t="s">
        <v>0</v>
      </c>
      <c r="G4248" t="str">
        <f>"2018-10-17 15:31:15"</f>
        <v>2018-10-17 15:31:15</v>
      </c>
    </row>
    <row r="4249" spans="1:7" x14ac:dyDescent="0.2">
      <c r="A4249" t="s">
        <v>146</v>
      </c>
      <c r="B4249" t="str">
        <f>"13895028569"</f>
        <v>13895028569</v>
      </c>
      <c r="C4249" t="str">
        <f>"640223198411234014"</f>
        <v>640223198411234014</v>
      </c>
      <c r="D4249" t="s">
        <v>1</v>
      </c>
      <c r="E4249" t="s">
        <v>1</v>
      </c>
      <c r="F4249" t="s">
        <v>0</v>
      </c>
      <c r="G4249" t="str">
        <f>"2018-10-17 15:33:06"</f>
        <v>2018-10-17 15:33:06</v>
      </c>
    </row>
    <row r="4250" spans="1:7" x14ac:dyDescent="0.2">
      <c r="A4250" t="s">
        <v>1</v>
      </c>
      <c r="B4250" t="str">
        <f>"13552838912"</f>
        <v>13552838912</v>
      </c>
      <c r="C4250" t="s">
        <v>1</v>
      </c>
      <c r="D4250" t="s">
        <v>1</v>
      </c>
      <c r="E4250" t="s">
        <v>1</v>
      </c>
      <c r="F4250" t="s">
        <v>0</v>
      </c>
      <c r="G4250" t="str">
        <f>"2018-10-17 15:30:51"</f>
        <v>2018-10-17 15:30:51</v>
      </c>
    </row>
    <row r="4251" spans="1:7" x14ac:dyDescent="0.2">
      <c r="A4251" t="s">
        <v>1</v>
      </c>
      <c r="B4251" t="str">
        <f>"13593571958"</f>
        <v>13593571958</v>
      </c>
      <c r="C4251" t="s">
        <v>1</v>
      </c>
      <c r="D4251" t="s">
        <v>1</v>
      </c>
      <c r="E4251" t="s">
        <v>1</v>
      </c>
      <c r="F4251" t="s">
        <v>0</v>
      </c>
      <c r="G4251" t="str">
        <f>"2018-10-18 19:26:35"</f>
        <v>2018-10-18 19:26:35</v>
      </c>
    </row>
    <row r="4252" spans="1:7" x14ac:dyDescent="0.2">
      <c r="A4252" t="s">
        <v>1799</v>
      </c>
      <c r="B4252" t="str">
        <f>"15084426230"</f>
        <v>15084426230</v>
      </c>
      <c r="C4252" t="str">
        <f>"500101199207145110"</f>
        <v>500101199207145110</v>
      </c>
      <c r="D4252" t="s">
        <v>5446</v>
      </c>
      <c r="E4252" t="s">
        <v>5447</v>
      </c>
      <c r="F4252" t="s">
        <v>0</v>
      </c>
      <c r="G4252" t="str">
        <f>"2018-11-05 13:15:41"</f>
        <v>2018-11-05 13:15:41</v>
      </c>
    </row>
    <row r="4253" spans="1:7" x14ac:dyDescent="0.2">
      <c r="A4253" t="s">
        <v>5448</v>
      </c>
      <c r="B4253" t="str">
        <f>"17521214784"</f>
        <v>17521214784</v>
      </c>
      <c r="C4253" t="str">
        <f>"411526199212031917"</f>
        <v>411526199212031917</v>
      </c>
      <c r="D4253" t="s">
        <v>1</v>
      </c>
      <c r="E4253" t="s">
        <v>1</v>
      </c>
      <c r="F4253" t="s">
        <v>0</v>
      </c>
      <c r="G4253" t="str">
        <f>"2018-10-17 15:32:29"</f>
        <v>2018-10-17 15:32:29</v>
      </c>
    </row>
    <row r="4254" spans="1:7" x14ac:dyDescent="0.2">
      <c r="A4254" t="s">
        <v>1</v>
      </c>
      <c r="B4254" t="str">
        <f>"17677313417"</f>
        <v>17677313417</v>
      </c>
      <c r="C4254" t="s">
        <v>1</v>
      </c>
      <c r="D4254" t="s">
        <v>1</v>
      </c>
      <c r="E4254" t="s">
        <v>1</v>
      </c>
      <c r="F4254" t="s">
        <v>0</v>
      </c>
      <c r="G4254" t="str">
        <f>"2018-10-17 15:37:21"</f>
        <v>2018-10-17 15:37:21</v>
      </c>
    </row>
    <row r="4255" spans="1:7" x14ac:dyDescent="0.2">
      <c r="A4255" t="s">
        <v>5449</v>
      </c>
      <c r="B4255" t="str">
        <f>"15908620874"</f>
        <v>15908620874</v>
      </c>
      <c r="C4255" t="str">
        <f>"429005199703244298"</f>
        <v>429005199703244298</v>
      </c>
      <c r="D4255" t="s">
        <v>1</v>
      </c>
      <c r="E4255" t="s">
        <v>1</v>
      </c>
      <c r="F4255" t="s">
        <v>0</v>
      </c>
      <c r="G4255" t="str">
        <f>"2018-10-28 15:31:44"</f>
        <v>2018-10-28 15:31:44</v>
      </c>
    </row>
    <row r="4256" spans="1:7" x14ac:dyDescent="0.2">
      <c r="A4256" t="s">
        <v>5450</v>
      </c>
      <c r="B4256" t="str">
        <f>"13537660766"</f>
        <v>13537660766</v>
      </c>
      <c r="C4256" t="str">
        <f>"360734199504096830"</f>
        <v>360734199504096830</v>
      </c>
      <c r="D4256" t="s">
        <v>5451</v>
      </c>
      <c r="E4256" t="s">
        <v>5452</v>
      </c>
      <c r="F4256" t="s">
        <v>0</v>
      </c>
      <c r="G4256" t="str">
        <f>"2018-10-28 13:18:27"</f>
        <v>2018-10-28 13:18:27</v>
      </c>
    </row>
    <row r="4257" spans="1:7" x14ac:dyDescent="0.2">
      <c r="A4257" t="s">
        <v>1</v>
      </c>
      <c r="B4257" t="str">
        <f>"13425824184"</f>
        <v>13425824184</v>
      </c>
      <c r="C4257" t="s">
        <v>1</v>
      </c>
      <c r="D4257" t="s">
        <v>1</v>
      </c>
      <c r="E4257" t="s">
        <v>1</v>
      </c>
      <c r="F4257" t="s">
        <v>0</v>
      </c>
      <c r="G4257" t="str">
        <f>"2018-10-17 15:28:40"</f>
        <v>2018-10-17 15:28:40</v>
      </c>
    </row>
    <row r="4258" spans="1:7" x14ac:dyDescent="0.2">
      <c r="A4258" t="s">
        <v>5453</v>
      </c>
      <c r="B4258" t="str">
        <f>"15995387758"</f>
        <v>15995387758</v>
      </c>
      <c r="C4258" t="str">
        <f>"320223197105210218"</f>
        <v>320223197105210218</v>
      </c>
      <c r="D4258" t="s">
        <v>1</v>
      </c>
      <c r="E4258" t="s">
        <v>1</v>
      </c>
      <c r="F4258" t="s">
        <v>0</v>
      </c>
      <c r="G4258" t="str">
        <f>"2018-10-17 15:30:33"</f>
        <v>2018-10-17 15:30:33</v>
      </c>
    </row>
    <row r="4259" spans="1:7" x14ac:dyDescent="0.2">
      <c r="A4259" t="s">
        <v>5454</v>
      </c>
      <c r="B4259" t="str">
        <f>"15775976712"</f>
        <v>15775976712</v>
      </c>
      <c r="C4259" t="str">
        <f>"513001199508252410"</f>
        <v>513001199508252410</v>
      </c>
      <c r="D4259" t="s">
        <v>5455</v>
      </c>
      <c r="E4259" t="s">
        <v>5456</v>
      </c>
      <c r="F4259" t="s">
        <v>0</v>
      </c>
      <c r="G4259" t="str">
        <f>"2018-10-17 16:40:12"</f>
        <v>2018-10-17 16:40:12</v>
      </c>
    </row>
    <row r="4260" spans="1:7" x14ac:dyDescent="0.2">
      <c r="A4260" t="s">
        <v>5457</v>
      </c>
      <c r="B4260" t="str">
        <f>"18635828424"</f>
        <v>18635828424</v>
      </c>
      <c r="C4260" t="str">
        <f>"142328198706300518"</f>
        <v>142328198706300518</v>
      </c>
      <c r="D4260" t="s">
        <v>1</v>
      </c>
      <c r="E4260" t="s">
        <v>1</v>
      </c>
      <c r="F4260" t="s">
        <v>0</v>
      </c>
      <c r="G4260" t="str">
        <f>"2018-10-17 15:30:48"</f>
        <v>2018-10-17 15:30:48</v>
      </c>
    </row>
    <row r="4261" spans="1:7" x14ac:dyDescent="0.2">
      <c r="A4261" t="s">
        <v>5458</v>
      </c>
      <c r="B4261" t="str">
        <f>"15305391582"</f>
        <v>15305391582</v>
      </c>
      <c r="C4261" t="str">
        <f>"232321197904050823"</f>
        <v>232321197904050823</v>
      </c>
      <c r="D4261" t="s">
        <v>1</v>
      </c>
      <c r="E4261" t="s">
        <v>1</v>
      </c>
      <c r="F4261" t="s">
        <v>0</v>
      </c>
      <c r="G4261" t="str">
        <f>"2018-10-17 15:30:34"</f>
        <v>2018-10-17 15:30:34</v>
      </c>
    </row>
    <row r="4262" spans="1:7" x14ac:dyDescent="0.2">
      <c r="A4262" t="s">
        <v>1</v>
      </c>
      <c r="B4262" t="str">
        <f>"13279758555"</f>
        <v>13279758555</v>
      </c>
      <c r="C4262" t="s">
        <v>1</v>
      </c>
      <c r="D4262" t="s">
        <v>1</v>
      </c>
      <c r="E4262" t="s">
        <v>1</v>
      </c>
      <c r="F4262" t="s">
        <v>0</v>
      </c>
      <c r="G4262" t="str">
        <f>"2018-10-17 15:27:38"</f>
        <v>2018-10-17 15:27:38</v>
      </c>
    </row>
    <row r="4263" spans="1:7" x14ac:dyDescent="0.2">
      <c r="A4263" t="s">
        <v>5459</v>
      </c>
      <c r="B4263" t="str">
        <f>"18099093457"</f>
        <v>18099093457</v>
      </c>
      <c r="C4263" t="str">
        <f>"652701197308232537"</f>
        <v>652701197308232537</v>
      </c>
      <c r="D4263" t="s">
        <v>1</v>
      </c>
      <c r="E4263" t="s">
        <v>1</v>
      </c>
      <c r="F4263" t="s">
        <v>0</v>
      </c>
      <c r="G4263" t="str">
        <f>"2018-10-17 15:31:29"</f>
        <v>2018-10-17 15:31:29</v>
      </c>
    </row>
    <row r="4264" spans="1:7" x14ac:dyDescent="0.2">
      <c r="A4264" t="s">
        <v>5460</v>
      </c>
      <c r="B4264" t="str">
        <f>"15829767065"</f>
        <v>15829767065</v>
      </c>
      <c r="C4264" t="str">
        <f>"620503198903083926"</f>
        <v>620503198903083926</v>
      </c>
      <c r="D4264" t="s">
        <v>5461</v>
      </c>
      <c r="E4264" t="s">
        <v>5462</v>
      </c>
      <c r="F4264" t="s">
        <v>0</v>
      </c>
      <c r="G4264" t="str">
        <f>"2018-10-17 15:28:28"</f>
        <v>2018-10-17 15:28:28</v>
      </c>
    </row>
    <row r="4265" spans="1:7" x14ac:dyDescent="0.2">
      <c r="A4265" t="s">
        <v>25</v>
      </c>
      <c r="B4265" t="str">
        <f>"13613712585"</f>
        <v>13613712585</v>
      </c>
      <c r="C4265" t="str">
        <f>"410182199703044139"</f>
        <v>410182199703044139</v>
      </c>
      <c r="D4265" t="s">
        <v>1</v>
      </c>
      <c r="E4265" t="s">
        <v>1</v>
      </c>
      <c r="F4265" t="s">
        <v>0</v>
      </c>
      <c r="G4265" t="str">
        <f>"2018-10-17 15:29:00"</f>
        <v>2018-10-17 15:29:00</v>
      </c>
    </row>
    <row r="4266" spans="1:7" x14ac:dyDescent="0.2">
      <c r="A4266" t="s">
        <v>5463</v>
      </c>
      <c r="B4266" t="str">
        <f>"15007154361"</f>
        <v>15007154361</v>
      </c>
      <c r="C4266" t="str">
        <f>"420107198108162015"</f>
        <v>420107198108162015</v>
      </c>
      <c r="D4266" t="s">
        <v>1</v>
      </c>
      <c r="E4266" t="s">
        <v>1</v>
      </c>
      <c r="F4266" t="s">
        <v>0</v>
      </c>
      <c r="G4266" t="str">
        <f>"2018-10-18 16:07:19"</f>
        <v>2018-10-18 16:07:19</v>
      </c>
    </row>
    <row r="4267" spans="1:7" x14ac:dyDescent="0.2">
      <c r="A4267" t="s">
        <v>5464</v>
      </c>
      <c r="B4267" t="str">
        <f>"15882721851"</f>
        <v>15882721851</v>
      </c>
      <c r="C4267" t="str">
        <f>"513025197310290050"</f>
        <v>513025197310290050</v>
      </c>
      <c r="D4267" t="s">
        <v>1</v>
      </c>
      <c r="E4267" t="s">
        <v>1</v>
      </c>
      <c r="F4267" t="s">
        <v>0</v>
      </c>
      <c r="G4267" t="str">
        <f>"2018-10-17 15:26:44"</f>
        <v>2018-10-17 15:26:44</v>
      </c>
    </row>
    <row r="4268" spans="1:7" x14ac:dyDescent="0.2">
      <c r="A4268" t="s">
        <v>1</v>
      </c>
      <c r="B4268" t="str">
        <f>"13255827143"</f>
        <v>13255827143</v>
      </c>
      <c r="C4268" t="s">
        <v>1</v>
      </c>
      <c r="D4268" t="s">
        <v>1</v>
      </c>
      <c r="E4268" t="s">
        <v>1</v>
      </c>
      <c r="F4268" t="s">
        <v>0</v>
      </c>
      <c r="G4268" t="str">
        <f>"2018-10-17 15:26:27"</f>
        <v>2018-10-17 15:26:27</v>
      </c>
    </row>
    <row r="4269" spans="1:7" x14ac:dyDescent="0.2">
      <c r="A4269" t="s">
        <v>5465</v>
      </c>
      <c r="B4269" t="str">
        <f>"13976018765"</f>
        <v>13976018765</v>
      </c>
      <c r="C4269" t="str">
        <f>"46000719950616467X"</f>
        <v>46000719950616467X</v>
      </c>
      <c r="D4269" t="s">
        <v>1</v>
      </c>
      <c r="E4269" t="s">
        <v>1</v>
      </c>
      <c r="F4269" t="s">
        <v>0</v>
      </c>
      <c r="G4269" t="str">
        <f>"2018-10-17 15:28:00"</f>
        <v>2018-10-17 15:28:00</v>
      </c>
    </row>
    <row r="4270" spans="1:7" x14ac:dyDescent="0.2">
      <c r="A4270" t="s">
        <v>1</v>
      </c>
      <c r="B4270" t="str">
        <f>"13097968744"</f>
        <v>13097968744</v>
      </c>
      <c r="C4270" t="s">
        <v>1</v>
      </c>
      <c r="D4270" t="s">
        <v>1</v>
      </c>
      <c r="E4270" t="s">
        <v>1</v>
      </c>
      <c r="F4270" t="s">
        <v>0</v>
      </c>
      <c r="G4270" t="str">
        <f>"2018-10-17 15:25:45"</f>
        <v>2018-10-17 15:25:45</v>
      </c>
    </row>
    <row r="4271" spans="1:7" x14ac:dyDescent="0.2">
      <c r="A4271" t="s">
        <v>5466</v>
      </c>
      <c r="B4271" t="str">
        <f>"18755582996"</f>
        <v>18755582996</v>
      </c>
      <c r="C4271" t="str">
        <f>"342222199311284822"</f>
        <v>342222199311284822</v>
      </c>
      <c r="D4271" t="s">
        <v>1</v>
      </c>
      <c r="E4271" t="s">
        <v>1</v>
      </c>
      <c r="F4271" t="s">
        <v>0</v>
      </c>
      <c r="G4271" t="str">
        <f>"2018-10-17 15:26:56"</f>
        <v>2018-10-17 15:26:56</v>
      </c>
    </row>
    <row r="4272" spans="1:7" x14ac:dyDescent="0.2">
      <c r="A4272" t="s">
        <v>5467</v>
      </c>
      <c r="B4272" t="str">
        <f>"13403025624"</f>
        <v>13403025624</v>
      </c>
      <c r="C4272" t="str">
        <f>"422823199608294465"</f>
        <v>422823199608294465</v>
      </c>
      <c r="D4272" t="s">
        <v>1</v>
      </c>
      <c r="E4272" t="s">
        <v>1</v>
      </c>
      <c r="F4272" t="s">
        <v>0</v>
      </c>
      <c r="G4272" t="str">
        <f>"2018-10-17 15:25:35"</f>
        <v>2018-10-17 15:25:35</v>
      </c>
    </row>
    <row r="4273" spans="1:7" x14ac:dyDescent="0.2">
      <c r="A4273" t="s">
        <v>5468</v>
      </c>
      <c r="B4273" t="str">
        <f>"18867856015"</f>
        <v>18867856015</v>
      </c>
      <c r="C4273" t="str">
        <f>"340822198903276216"</f>
        <v>340822198903276216</v>
      </c>
      <c r="D4273" t="s">
        <v>5469</v>
      </c>
      <c r="E4273" t="s">
        <v>5470</v>
      </c>
      <c r="F4273" t="s">
        <v>0</v>
      </c>
      <c r="G4273" t="str">
        <f>"2018-10-17 15:24:48"</f>
        <v>2018-10-17 15:24:48</v>
      </c>
    </row>
    <row r="4274" spans="1:7" x14ac:dyDescent="0.2">
      <c r="A4274" t="s">
        <v>5471</v>
      </c>
      <c r="B4274" t="str">
        <f>"13993113043"</f>
        <v>13993113043</v>
      </c>
      <c r="C4274" t="str">
        <f>"440582198702050476"</f>
        <v>440582198702050476</v>
      </c>
      <c r="D4274" t="s">
        <v>1</v>
      </c>
      <c r="E4274" t="s">
        <v>1</v>
      </c>
      <c r="F4274" t="s">
        <v>0</v>
      </c>
      <c r="G4274" t="str">
        <f>"2018-10-17 18:09:52"</f>
        <v>2018-10-17 18:09:52</v>
      </c>
    </row>
    <row r="4275" spans="1:7" x14ac:dyDescent="0.2">
      <c r="A4275" t="s">
        <v>1</v>
      </c>
      <c r="B4275" t="str">
        <f>"15199805117"</f>
        <v>15199805117</v>
      </c>
      <c r="C4275" t="s">
        <v>1</v>
      </c>
      <c r="D4275" t="s">
        <v>1</v>
      </c>
      <c r="E4275" t="s">
        <v>1</v>
      </c>
      <c r="F4275" t="s">
        <v>0</v>
      </c>
      <c r="G4275" t="str">
        <f>"2018-10-17 15:24:05"</f>
        <v>2018-10-17 15:24:05</v>
      </c>
    </row>
    <row r="4276" spans="1:7" x14ac:dyDescent="0.2">
      <c r="A4276" t="s">
        <v>5472</v>
      </c>
      <c r="B4276" t="str">
        <f>"13737632959"</f>
        <v>13737632959</v>
      </c>
      <c r="C4276" t="str">
        <f>"452330198309201916"</f>
        <v>452330198309201916</v>
      </c>
      <c r="D4276" t="s">
        <v>1</v>
      </c>
      <c r="E4276" t="s">
        <v>1</v>
      </c>
      <c r="F4276" t="s">
        <v>0</v>
      </c>
      <c r="G4276" t="str">
        <f>"2018-10-22 15:06:53"</f>
        <v>2018-10-22 15:06:53</v>
      </c>
    </row>
    <row r="4277" spans="1:7" x14ac:dyDescent="0.2">
      <c r="A4277" t="s">
        <v>5473</v>
      </c>
      <c r="B4277" t="str">
        <f>"13536892782"</f>
        <v>13536892782</v>
      </c>
      <c r="C4277" t="str">
        <f>"440583199209282215"</f>
        <v>440583199209282215</v>
      </c>
      <c r="D4277" t="s">
        <v>1</v>
      </c>
      <c r="E4277" t="s">
        <v>1</v>
      </c>
      <c r="F4277" t="s">
        <v>0</v>
      </c>
      <c r="G4277" t="str">
        <f>"2018-10-17 15:25:29"</f>
        <v>2018-10-17 15:25:29</v>
      </c>
    </row>
    <row r="4278" spans="1:7" x14ac:dyDescent="0.2">
      <c r="A4278" t="s">
        <v>5474</v>
      </c>
      <c r="B4278" t="str">
        <f>"13817777513"</f>
        <v>13817777513</v>
      </c>
      <c r="C4278" t="str">
        <f>"350782199009300012"</f>
        <v>350782199009300012</v>
      </c>
      <c r="D4278" t="s">
        <v>1</v>
      </c>
      <c r="E4278" t="s">
        <v>1</v>
      </c>
      <c r="F4278" t="s">
        <v>0</v>
      </c>
      <c r="G4278" t="str">
        <f>"2018-10-17 16:06:53"</f>
        <v>2018-10-17 16:06:53</v>
      </c>
    </row>
    <row r="4279" spans="1:7" x14ac:dyDescent="0.2">
      <c r="A4279" t="s">
        <v>5475</v>
      </c>
      <c r="B4279" t="str">
        <f>"15987909508"</f>
        <v>15987909508</v>
      </c>
      <c r="C4279" t="str">
        <f>"532128197902032714"</f>
        <v>532128197902032714</v>
      </c>
      <c r="D4279" t="s">
        <v>1</v>
      </c>
      <c r="E4279" t="s">
        <v>1</v>
      </c>
      <c r="F4279" t="s">
        <v>0</v>
      </c>
      <c r="G4279" t="str">
        <f>"2018-10-17 15:25:58"</f>
        <v>2018-10-17 15:25:58</v>
      </c>
    </row>
    <row r="4280" spans="1:7" x14ac:dyDescent="0.2">
      <c r="A4280" t="s">
        <v>5476</v>
      </c>
      <c r="B4280" t="str">
        <f>"15736658947"</f>
        <v>15736658947</v>
      </c>
      <c r="C4280" t="str">
        <f>"513524197411251182"</f>
        <v>513524197411251182</v>
      </c>
      <c r="D4280" t="s">
        <v>1</v>
      </c>
      <c r="E4280" t="s">
        <v>1</v>
      </c>
      <c r="F4280" t="s">
        <v>0</v>
      </c>
      <c r="G4280" t="str">
        <f>"2018-10-18 19:06:58"</f>
        <v>2018-10-18 19:06:58</v>
      </c>
    </row>
    <row r="4281" spans="1:7" x14ac:dyDescent="0.2">
      <c r="A4281" t="s">
        <v>1862</v>
      </c>
      <c r="B4281" t="str">
        <f>"18696425174"</f>
        <v>18696425174</v>
      </c>
      <c r="C4281" t="str">
        <f>"421126199807088111"</f>
        <v>421126199807088111</v>
      </c>
      <c r="D4281" t="s">
        <v>1</v>
      </c>
      <c r="E4281" t="s">
        <v>1</v>
      </c>
      <c r="F4281" t="s">
        <v>0</v>
      </c>
      <c r="G4281" t="str">
        <f>"2018-10-19 14:33:14"</f>
        <v>2018-10-19 14:33:14</v>
      </c>
    </row>
    <row r="4282" spans="1:7" x14ac:dyDescent="0.2">
      <c r="A4282" t="s">
        <v>1</v>
      </c>
      <c r="B4282" t="str">
        <f>"13797629807"</f>
        <v>13797629807</v>
      </c>
      <c r="C4282" t="s">
        <v>1</v>
      </c>
      <c r="D4282" t="s">
        <v>1</v>
      </c>
      <c r="E4282" t="s">
        <v>1</v>
      </c>
      <c r="F4282" t="s">
        <v>0</v>
      </c>
      <c r="G4282" t="str">
        <f>"2018-10-17 15:23:58"</f>
        <v>2018-10-17 15:23:58</v>
      </c>
    </row>
    <row r="4283" spans="1:7" x14ac:dyDescent="0.2">
      <c r="A4283" t="s">
        <v>1</v>
      </c>
      <c r="B4283" t="str">
        <f>"15971319928"</f>
        <v>15971319928</v>
      </c>
      <c r="C4283" t="s">
        <v>1</v>
      </c>
      <c r="D4283" t="s">
        <v>1</v>
      </c>
      <c r="E4283" t="s">
        <v>1</v>
      </c>
      <c r="F4283" t="s">
        <v>0</v>
      </c>
      <c r="G4283" t="str">
        <f>"2018-10-17 15:23:26"</f>
        <v>2018-10-17 15:23:26</v>
      </c>
    </row>
    <row r="4284" spans="1:7" x14ac:dyDescent="0.2">
      <c r="A4284" t="s">
        <v>1</v>
      </c>
      <c r="B4284" t="str">
        <f>"15909819253"</f>
        <v>15909819253</v>
      </c>
      <c r="C4284" t="s">
        <v>1</v>
      </c>
      <c r="D4284" t="s">
        <v>1</v>
      </c>
      <c r="E4284" t="s">
        <v>1</v>
      </c>
      <c r="F4284" t="s">
        <v>0</v>
      </c>
      <c r="G4284" t="str">
        <f>"2018-10-17 15:21:46"</f>
        <v>2018-10-17 15:21:46</v>
      </c>
    </row>
    <row r="4285" spans="1:7" x14ac:dyDescent="0.2">
      <c r="A4285" t="s">
        <v>5477</v>
      </c>
      <c r="B4285" t="str">
        <f>"13594377087"</f>
        <v>13594377087</v>
      </c>
      <c r="C4285" t="str">
        <f>"500382199108073958"</f>
        <v>500382199108073958</v>
      </c>
      <c r="D4285" t="s">
        <v>1</v>
      </c>
      <c r="E4285" t="s">
        <v>1</v>
      </c>
      <c r="F4285" t="s">
        <v>0</v>
      </c>
      <c r="G4285" t="str">
        <f>"2018-10-17 15:23:41"</f>
        <v>2018-10-17 15:23:41</v>
      </c>
    </row>
    <row r="4286" spans="1:7" x14ac:dyDescent="0.2">
      <c r="A4286" t="s">
        <v>5478</v>
      </c>
      <c r="B4286" t="str">
        <f>"13957950819"</f>
        <v>13957950819</v>
      </c>
      <c r="C4286" t="str">
        <f>"341024197908134458"</f>
        <v>341024197908134458</v>
      </c>
      <c r="D4286" t="s">
        <v>1</v>
      </c>
      <c r="E4286" t="s">
        <v>1</v>
      </c>
      <c r="F4286" t="s">
        <v>0</v>
      </c>
      <c r="G4286" t="str">
        <f>"2018-10-17 15:23:04"</f>
        <v>2018-10-17 15:23:04</v>
      </c>
    </row>
    <row r="4287" spans="1:7" x14ac:dyDescent="0.2">
      <c r="A4287" t="s">
        <v>5479</v>
      </c>
      <c r="B4287" t="str">
        <f>"13857529164"</f>
        <v>13857529164</v>
      </c>
      <c r="C4287" t="str">
        <f>"330623198005041240"</f>
        <v>330623198005041240</v>
      </c>
      <c r="D4287" t="s">
        <v>1</v>
      </c>
      <c r="E4287" t="s">
        <v>1</v>
      </c>
      <c r="F4287" t="s">
        <v>0</v>
      </c>
      <c r="G4287" t="str">
        <f>"2018-10-17 15:24:12"</f>
        <v>2018-10-17 15:24:12</v>
      </c>
    </row>
    <row r="4288" spans="1:7" x14ac:dyDescent="0.2">
      <c r="A4288" t="s">
        <v>5480</v>
      </c>
      <c r="B4288" t="str">
        <f>"15152378961"</f>
        <v>15152378961</v>
      </c>
      <c r="C4288" t="str">
        <f>"320811198303104581"</f>
        <v>320811198303104581</v>
      </c>
      <c r="D4288" t="s">
        <v>5481</v>
      </c>
      <c r="E4288" t="s">
        <v>5482</v>
      </c>
      <c r="F4288" t="s">
        <v>0</v>
      </c>
      <c r="G4288" t="str">
        <f>"2018-10-17 15:23:30"</f>
        <v>2018-10-17 15:23:30</v>
      </c>
    </row>
    <row r="4289" spans="1:7" x14ac:dyDescent="0.2">
      <c r="A4289" t="s">
        <v>736</v>
      </c>
      <c r="B4289" t="str">
        <f>"13505211933"</f>
        <v>13505211933</v>
      </c>
      <c r="C4289" t="str">
        <f>"320323197210212413"</f>
        <v>320323197210212413</v>
      </c>
      <c r="D4289" t="s">
        <v>1</v>
      </c>
      <c r="E4289" t="s">
        <v>1</v>
      </c>
      <c r="F4289" t="s">
        <v>0</v>
      </c>
      <c r="G4289" t="str">
        <f>"2018-10-28 11:40:42"</f>
        <v>2018-10-28 11:40:42</v>
      </c>
    </row>
    <row r="4290" spans="1:7" x14ac:dyDescent="0.2">
      <c r="A4290" t="s">
        <v>5483</v>
      </c>
      <c r="B4290" t="str">
        <f>"18251181341"</f>
        <v>18251181341</v>
      </c>
      <c r="C4290" t="str">
        <f>"32050119870521504X"</f>
        <v>32050119870521504X</v>
      </c>
      <c r="D4290" t="s">
        <v>5484</v>
      </c>
      <c r="E4290" t="s">
        <v>5485</v>
      </c>
      <c r="F4290" t="s">
        <v>0</v>
      </c>
      <c r="G4290" t="str">
        <f>"2018-10-22 13:23:56"</f>
        <v>2018-10-22 13:23:56</v>
      </c>
    </row>
    <row r="4291" spans="1:7" x14ac:dyDescent="0.2">
      <c r="A4291" t="s">
        <v>1</v>
      </c>
      <c r="B4291" t="str">
        <f>"15805099713"</f>
        <v>15805099713</v>
      </c>
      <c r="C4291" t="s">
        <v>1</v>
      </c>
      <c r="D4291" t="s">
        <v>1</v>
      </c>
      <c r="E4291" t="s">
        <v>1</v>
      </c>
      <c r="F4291" t="s">
        <v>0</v>
      </c>
      <c r="G4291" t="str">
        <f>"2018-10-17 15:20:55"</f>
        <v>2018-10-17 15:20:55</v>
      </c>
    </row>
    <row r="4292" spans="1:7" x14ac:dyDescent="0.2">
      <c r="A4292" t="s">
        <v>1</v>
      </c>
      <c r="B4292" t="str">
        <f>"18807468496"</f>
        <v>18807468496</v>
      </c>
      <c r="C4292" t="s">
        <v>1</v>
      </c>
      <c r="D4292" t="s">
        <v>1</v>
      </c>
      <c r="E4292" t="s">
        <v>1</v>
      </c>
      <c r="F4292" t="s">
        <v>0</v>
      </c>
      <c r="G4292" t="str">
        <f>"2018-10-17 15:21:26"</f>
        <v>2018-10-17 15:21:26</v>
      </c>
    </row>
    <row r="4293" spans="1:7" x14ac:dyDescent="0.2">
      <c r="A4293" t="s">
        <v>5486</v>
      </c>
      <c r="B4293" t="str">
        <f>"18813454715"</f>
        <v>18813454715</v>
      </c>
      <c r="C4293" t="str">
        <f>"440981198905024628"</f>
        <v>440981198905024628</v>
      </c>
      <c r="D4293" t="s">
        <v>1</v>
      </c>
      <c r="E4293" t="s">
        <v>1</v>
      </c>
      <c r="F4293" t="s">
        <v>0</v>
      </c>
      <c r="G4293" t="str">
        <f>"2018-10-17 16:24:22"</f>
        <v>2018-10-17 16:24:22</v>
      </c>
    </row>
    <row r="4294" spans="1:7" x14ac:dyDescent="0.2">
      <c r="A4294" t="s">
        <v>1</v>
      </c>
      <c r="B4294" t="str">
        <f>"18766218333"</f>
        <v>18766218333</v>
      </c>
      <c r="C4294" t="s">
        <v>1</v>
      </c>
      <c r="D4294" t="s">
        <v>1</v>
      </c>
      <c r="E4294" t="s">
        <v>1</v>
      </c>
      <c r="F4294" t="s">
        <v>0</v>
      </c>
      <c r="G4294" t="str">
        <f>"2018-10-17 15:20:25"</f>
        <v>2018-10-17 15:20:25</v>
      </c>
    </row>
    <row r="4295" spans="1:7" x14ac:dyDescent="0.2">
      <c r="A4295" t="s">
        <v>1</v>
      </c>
      <c r="B4295" t="str">
        <f>"13485382938"</f>
        <v>13485382938</v>
      </c>
      <c r="C4295" t="s">
        <v>1</v>
      </c>
      <c r="D4295" t="s">
        <v>1</v>
      </c>
      <c r="E4295" t="s">
        <v>1</v>
      </c>
      <c r="F4295" t="s">
        <v>0</v>
      </c>
      <c r="G4295" t="str">
        <f>"2018-10-17 15:23:06"</f>
        <v>2018-10-17 15:23:06</v>
      </c>
    </row>
    <row r="4296" spans="1:7" x14ac:dyDescent="0.2">
      <c r="A4296" t="s">
        <v>1</v>
      </c>
      <c r="B4296" t="str">
        <f>"15085114821"</f>
        <v>15085114821</v>
      </c>
      <c r="C4296" t="s">
        <v>1</v>
      </c>
      <c r="D4296" t="s">
        <v>1</v>
      </c>
      <c r="E4296" t="s">
        <v>1</v>
      </c>
      <c r="F4296" t="s">
        <v>0</v>
      </c>
      <c r="G4296" t="str">
        <f>"2018-10-17 15:22:12"</f>
        <v>2018-10-17 15:22:12</v>
      </c>
    </row>
    <row r="4297" spans="1:7" x14ac:dyDescent="0.2">
      <c r="A4297" t="s">
        <v>1</v>
      </c>
      <c r="B4297" t="str">
        <f>"13592247844"</f>
        <v>13592247844</v>
      </c>
      <c r="C4297" t="s">
        <v>1</v>
      </c>
      <c r="D4297" t="s">
        <v>1</v>
      </c>
      <c r="E4297" t="s">
        <v>1</v>
      </c>
      <c r="F4297" t="s">
        <v>0</v>
      </c>
      <c r="G4297" t="str">
        <f>"2018-10-17 15:19:18"</f>
        <v>2018-10-17 15:19:18</v>
      </c>
    </row>
    <row r="4298" spans="1:7" x14ac:dyDescent="0.2">
      <c r="A4298" t="s">
        <v>5487</v>
      </c>
      <c r="B4298" t="str">
        <f>"18888109061"</f>
        <v>18888109061</v>
      </c>
      <c r="C4298" t="str">
        <f>"530381199812231752"</f>
        <v>530381199812231752</v>
      </c>
      <c r="D4298" t="s">
        <v>1</v>
      </c>
      <c r="E4298" t="s">
        <v>1</v>
      </c>
      <c r="F4298" t="s">
        <v>0</v>
      </c>
      <c r="G4298" t="str">
        <f>"2018-10-17 15:20:20"</f>
        <v>2018-10-17 15:20:20</v>
      </c>
    </row>
    <row r="4299" spans="1:7" x14ac:dyDescent="0.2">
      <c r="A4299" t="s">
        <v>762</v>
      </c>
      <c r="B4299" t="str">
        <f>"13350459248"</f>
        <v>13350459248</v>
      </c>
      <c r="C4299" t="str">
        <f>"513322199801193518"</f>
        <v>513322199801193518</v>
      </c>
      <c r="D4299" t="s">
        <v>5488</v>
      </c>
      <c r="E4299" t="s">
        <v>5489</v>
      </c>
      <c r="F4299" t="s">
        <v>0</v>
      </c>
      <c r="G4299" t="str">
        <f>"2018-10-17 15:20:14"</f>
        <v>2018-10-17 15:20:14</v>
      </c>
    </row>
    <row r="4300" spans="1:7" x14ac:dyDescent="0.2">
      <c r="A4300" t="s">
        <v>5490</v>
      </c>
      <c r="B4300" t="str">
        <f>"13489282625"</f>
        <v>13489282625</v>
      </c>
      <c r="C4300" t="str">
        <f>"350582198811233296"</f>
        <v>350582198811233296</v>
      </c>
      <c r="D4300" t="s">
        <v>1</v>
      </c>
      <c r="E4300" t="s">
        <v>1</v>
      </c>
      <c r="F4300" t="s">
        <v>0</v>
      </c>
      <c r="G4300" t="str">
        <f>"2018-10-17 15:20:52"</f>
        <v>2018-10-17 15:20:52</v>
      </c>
    </row>
    <row r="4301" spans="1:7" x14ac:dyDescent="0.2">
      <c r="A4301" t="s">
        <v>5491</v>
      </c>
      <c r="B4301" t="str">
        <f>"15758038429"</f>
        <v>15758038429</v>
      </c>
      <c r="C4301" t="str">
        <f>"530427199511110938"</f>
        <v>530427199511110938</v>
      </c>
      <c r="D4301" t="s">
        <v>1</v>
      </c>
      <c r="E4301" t="s">
        <v>1</v>
      </c>
      <c r="F4301" t="s">
        <v>0</v>
      </c>
      <c r="G4301" t="str">
        <f>"2018-10-17 15:26:08"</f>
        <v>2018-10-17 15:26:08</v>
      </c>
    </row>
    <row r="4302" spans="1:7" x14ac:dyDescent="0.2">
      <c r="A4302" t="s">
        <v>5492</v>
      </c>
      <c r="B4302" t="str">
        <f>"18758991377"</f>
        <v>18758991377</v>
      </c>
      <c r="C4302" t="str">
        <f>"330802198909055513"</f>
        <v>330802198909055513</v>
      </c>
      <c r="D4302" t="s">
        <v>1</v>
      </c>
      <c r="E4302" t="s">
        <v>1</v>
      </c>
      <c r="F4302" t="s">
        <v>0</v>
      </c>
      <c r="G4302" t="str">
        <f>"2018-10-17 15:25:34"</f>
        <v>2018-10-17 15:25:34</v>
      </c>
    </row>
    <row r="4303" spans="1:7" x14ac:dyDescent="0.2">
      <c r="A4303" t="s">
        <v>323</v>
      </c>
      <c r="B4303" t="str">
        <f>"17363865452"</f>
        <v>17363865452</v>
      </c>
      <c r="C4303" t="str">
        <f>"432502199312156040"</f>
        <v>432502199312156040</v>
      </c>
      <c r="D4303" t="s">
        <v>1</v>
      </c>
      <c r="E4303" t="s">
        <v>1</v>
      </c>
      <c r="F4303" t="s">
        <v>0</v>
      </c>
      <c r="G4303" t="str">
        <f>"2018-10-17 15:19:17"</f>
        <v>2018-10-17 15:19:17</v>
      </c>
    </row>
    <row r="4304" spans="1:7" x14ac:dyDescent="0.2">
      <c r="A4304" t="s">
        <v>88</v>
      </c>
      <c r="B4304" t="str">
        <f>"13915005612"</f>
        <v>13915005612</v>
      </c>
      <c r="C4304" t="str">
        <f>"320723198411082033"</f>
        <v>320723198411082033</v>
      </c>
      <c r="D4304" t="s">
        <v>5493</v>
      </c>
      <c r="E4304" t="s">
        <v>5494</v>
      </c>
      <c r="F4304" t="s">
        <v>0</v>
      </c>
      <c r="G4304" t="str">
        <f>"2018-10-17 15:27:44"</f>
        <v>2018-10-17 15:27:44</v>
      </c>
    </row>
    <row r="4305" spans="1:7" x14ac:dyDescent="0.2">
      <c r="A4305" t="s">
        <v>5495</v>
      </c>
      <c r="B4305" t="str">
        <f>"13476166543"</f>
        <v>13476166543</v>
      </c>
      <c r="C4305" t="str">
        <f>"420106199010084037"</f>
        <v>420106199010084037</v>
      </c>
      <c r="D4305" t="s">
        <v>5496</v>
      </c>
      <c r="E4305" t="s">
        <v>5497</v>
      </c>
      <c r="F4305" t="s">
        <v>0</v>
      </c>
      <c r="G4305" t="str">
        <f>"2018-10-17 15:20:54"</f>
        <v>2018-10-17 15:20:54</v>
      </c>
    </row>
    <row r="4306" spans="1:7" x14ac:dyDescent="0.2">
      <c r="A4306" t="s">
        <v>1</v>
      </c>
      <c r="B4306" t="str">
        <f>"13563323256"</f>
        <v>13563323256</v>
      </c>
      <c r="C4306" t="s">
        <v>1</v>
      </c>
      <c r="D4306" t="s">
        <v>1</v>
      </c>
      <c r="E4306" t="s">
        <v>1</v>
      </c>
      <c r="F4306" t="s">
        <v>0</v>
      </c>
      <c r="G4306" t="str">
        <f>"2018-10-17 15:17:24"</f>
        <v>2018-10-17 15:17:24</v>
      </c>
    </row>
    <row r="4307" spans="1:7" x14ac:dyDescent="0.2">
      <c r="A4307" t="s">
        <v>5498</v>
      </c>
      <c r="B4307" t="str">
        <f>"13356700813"</f>
        <v>13356700813</v>
      </c>
      <c r="C4307" t="str">
        <f>"370784198908161337"</f>
        <v>370784198908161337</v>
      </c>
      <c r="D4307" t="s">
        <v>1</v>
      </c>
      <c r="E4307" t="s">
        <v>1</v>
      </c>
      <c r="F4307" t="s">
        <v>0</v>
      </c>
      <c r="G4307" t="str">
        <f>"2018-10-17 15:18:29"</f>
        <v>2018-10-17 15:18:29</v>
      </c>
    </row>
    <row r="4308" spans="1:7" x14ac:dyDescent="0.2">
      <c r="A4308" t="s">
        <v>5499</v>
      </c>
      <c r="B4308" t="str">
        <f>"17505139150"</f>
        <v>17505139150</v>
      </c>
      <c r="C4308" t="str">
        <f>"511227198001055117"</f>
        <v>511227198001055117</v>
      </c>
      <c r="D4308" t="s">
        <v>5500</v>
      </c>
      <c r="E4308" t="s">
        <v>5501</v>
      </c>
      <c r="F4308" t="s">
        <v>0</v>
      </c>
      <c r="G4308" t="str">
        <f>"2018-10-17 15:18:27"</f>
        <v>2018-10-17 15:18:27</v>
      </c>
    </row>
    <row r="4309" spans="1:7" x14ac:dyDescent="0.2">
      <c r="A4309" t="s">
        <v>5502</v>
      </c>
      <c r="B4309" t="str">
        <f>"13578655143"</f>
        <v>13578655143</v>
      </c>
      <c r="C4309" t="str">
        <f>"220621199406100738"</f>
        <v>220621199406100738</v>
      </c>
      <c r="D4309" t="s">
        <v>1</v>
      </c>
      <c r="E4309" t="s">
        <v>1</v>
      </c>
      <c r="F4309" t="s">
        <v>0</v>
      </c>
      <c r="G4309" t="str">
        <f>"2018-10-17 15:34:53"</f>
        <v>2018-10-17 15:34:53</v>
      </c>
    </row>
    <row r="4310" spans="1:7" x14ac:dyDescent="0.2">
      <c r="A4310" t="s">
        <v>5503</v>
      </c>
      <c r="B4310" t="str">
        <f>"15229213181"</f>
        <v>15229213181</v>
      </c>
      <c r="C4310" t="str">
        <f>"61252719950105401X"</f>
        <v>61252719950105401X</v>
      </c>
      <c r="D4310" t="s">
        <v>1</v>
      </c>
      <c r="E4310" t="s">
        <v>1</v>
      </c>
      <c r="F4310" t="s">
        <v>0</v>
      </c>
      <c r="G4310" t="str">
        <f>"2018-10-17 15:16:50"</f>
        <v>2018-10-17 15:16:50</v>
      </c>
    </row>
    <row r="4311" spans="1:7" x14ac:dyDescent="0.2">
      <c r="A4311" t="s">
        <v>5504</v>
      </c>
      <c r="B4311" t="str">
        <f>"13105657126"</f>
        <v>13105657126</v>
      </c>
      <c r="C4311" t="str">
        <f>"331081198911191218"</f>
        <v>331081198911191218</v>
      </c>
      <c r="D4311" t="s">
        <v>1</v>
      </c>
      <c r="E4311" t="s">
        <v>1</v>
      </c>
      <c r="F4311" t="s">
        <v>0</v>
      </c>
      <c r="G4311" t="str">
        <f>"2018-11-04 14:48:21"</f>
        <v>2018-11-04 14:48:21</v>
      </c>
    </row>
    <row r="4312" spans="1:7" x14ac:dyDescent="0.2">
      <c r="A4312" t="s">
        <v>1</v>
      </c>
      <c r="B4312" t="str">
        <f>"15374949178"</f>
        <v>15374949178</v>
      </c>
      <c r="C4312" t="s">
        <v>1</v>
      </c>
      <c r="D4312" t="s">
        <v>1</v>
      </c>
      <c r="E4312" t="s">
        <v>1</v>
      </c>
      <c r="F4312" t="s">
        <v>0</v>
      </c>
      <c r="G4312" t="str">
        <f>"2018-10-17 15:16:35"</f>
        <v>2018-10-17 15:16:35</v>
      </c>
    </row>
    <row r="4313" spans="1:7" x14ac:dyDescent="0.2">
      <c r="A4313" t="s">
        <v>1</v>
      </c>
      <c r="B4313" t="str">
        <f>"13770561504"</f>
        <v>13770561504</v>
      </c>
      <c r="C4313" t="s">
        <v>1</v>
      </c>
      <c r="D4313" t="s">
        <v>1</v>
      </c>
      <c r="E4313" t="s">
        <v>1</v>
      </c>
      <c r="F4313" t="s">
        <v>0</v>
      </c>
      <c r="G4313" t="str">
        <f>"2018-10-17 15:16:24"</f>
        <v>2018-10-17 15:16:24</v>
      </c>
    </row>
    <row r="4314" spans="1:7" x14ac:dyDescent="0.2">
      <c r="A4314" t="s">
        <v>1</v>
      </c>
      <c r="B4314" t="str">
        <f>"15108735680"</f>
        <v>15108735680</v>
      </c>
      <c r="C4314" t="s">
        <v>1</v>
      </c>
      <c r="D4314" t="s">
        <v>1</v>
      </c>
      <c r="E4314" t="s">
        <v>1</v>
      </c>
      <c r="F4314" t="s">
        <v>0</v>
      </c>
      <c r="G4314" t="str">
        <f>"2018-10-17 15:16:23"</f>
        <v>2018-10-17 15:16:23</v>
      </c>
    </row>
    <row r="4315" spans="1:7" x14ac:dyDescent="0.2">
      <c r="A4315" t="s">
        <v>5505</v>
      </c>
      <c r="B4315" t="str">
        <f>"15930465185"</f>
        <v>15930465185</v>
      </c>
      <c r="C4315" t="str">
        <f>"230823197507070802"</f>
        <v>230823197507070802</v>
      </c>
      <c r="D4315" t="s">
        <v>1</v>
      </c>
      <c r="E4315" t="s">
        <v>1</v>
      </c>
      <c r="F4315" t="s">
        <v>0</v>
      </c>
      <c r="G4315" t="str">
        <f>"2018-10-17 15:18:13"</f>
        <v>2018-10-17 15:18:13</v>
      </c>
    </row>
    <row r="4316" spans="1:7" x14ac:dyDescent="0.2">
      <c r="A4316" t="s">
        <v>5506</v>
      </c>
      <c r="B4316" t="str">
        <f>"15633069796"</f>
        <v>15633069796</v>
      </c>
      <c r="C4316" t="str">
        <f>"131181199305062363"</f>
        <v>131181199305062363</v>
      </c>
      <c r="D4316" t="s">
        <v>1</v>
      </c>
      <c r="E4316" t="s">
        <v>1</v>
      </c>
      <c r="F4316" t="s">
        <v>0</v>
      </c>
      <c r="G4316" t="str">
        <f>"2018-10-17 15:16:12"</f>
        <v>2018-10-17 15:16:12</v>
      </c>
    </row>
    <row r="4317" spans="1:7" x14ac:dyDescent="0.2">
      <c r="A4317" t="s">
        <v>1</v>
      </c>
      <c r="B4317" t="str">
        <f>"18730415333"</f>
        <v>18730415333</v>
      </c>
      <c r="C4317" t="s">
        <v>1</v>
      </c>
      <c r="D4317" t="s">
        <v>1</v>
      </c>
      <c r="E4317" t="s">
        <v>1</v>
      </c>
      <c r="F4317" t="s">
        <v>0</v>
      </c>
      <c r="G4317" t="str">
        <f>"2018-10-17 15:15:46"</f>
        <v>2018-10-17 15:15:46</v>
      </c>
    </row>
    <row r="4318" spans="1:7" x14ac:dyDescent="0.2">
      <c r="A4318" t="s">
        <v>5507</v>
      </c>
      <c r="B4318" t="str">
        <f>"13465617367"</f>
        <v>13465617367</v>
      </c>
      <c r="C4318" t="str">
        <f>"370681198510024426"</f>
        <v>370681198510024426</v>
      </c>
      <c r="D4318" t="s">
        <v>1</v>
      </c>
      <c r="E4318" t="s">
        <v>1</v>
      </c>
      <c r="F4318" t="s">
        <v>0</v>
      </c>
      <c r="G4318" t="str">
        <f>"2018-10-17 15:17:12"</f>
        <v>2018-10-17 15:17:12</v>
      </c>
    </row>
    <row r="4319" spans="1:7" x14ac:dyDescent="0.2">
      <c r="A4319" t="s">
        <v>5508</v>
      </c>
      <c r="B4319" t="str">
        <f>"18092596949"</f>
        <v>18092596949</v>
      </c>
      <c r="C4319" t="str">
        <f>"152630199305123017"</f>
        <v>152630199305123017</v>
      </c>
      <c r="D4319" t="s">
        <v>1</v>
      </c>
      <c r="E4319" t="s">
        <v>1</v>
      </c>
      <c r="F4319" t="s">
        <v>0</v>
      </c>
      <c r="G4319" t="str">
        <f>"2018-10-17 15:17:44"</f>
        <v>2018-10-17 15:17:44</v>
      </c>
    </row>
    <row r="4320" spans="1:7" x14ac:dyDescent="0.2">
      <c r="A4320" t="s">
        <v>5509</v>
      </c>
      <c r="B4320" t="str">
        <f>"18782686108"</f>
        <v>18782686108</v>
      </c>
      <c r="C4320" t="str">
        <f>"511621198703150032"</f>
        <v>511621198703150032</v>
      </c>
      <c r="D4320" t="s">
        <v>1</v>
      </c>
      <c r="E4320" t="s">
        <v>1</v>
      </c>
      <c r="F4320" t="s">
        <v>0</v>
      </c>
      <c r="G4320" t="str">
        <f>"2018-10-17 15:42:43"</f>
        <v>2018-10-17 15:42:43</v>
      </c>
    </row>
    <row r="4321" spans="1:7" x14ac:dyDescent="0.2">
      <c r="A4321" t="s">
        <v>5510</v>
      </c>
      <c r="B4321" t="str">
        <f>"15752665067"</f>
        <v>15752665067</v>
      </c>
      <c r="C4321" t="str">
        <f>"532530199708240651"</f>
        <v>532530199708240651</v>
      </c>
      <c r="D4321" t="s">
        <v>1</v>
      </c>
      <c r="E4321" t="s">
        <v>1</v>
      </c>
      <c r="F4321" t="s">
        <v>0</v>
      </c>
      <c r="G4321" t="str">
        <f>"2018-10-17 15:19:07"</f>
        <v>2018-10-17 15:19:07</v>
      </c>
    </row>
    <row r="4322" spans="1:7" x14ac:dyDescent="0.2">
      <c r="A4322" t="s">
        <v>1</v>
      </c>
      <c r="B4322" t="str">
        <f>"15678868480"</f>
        <v>15678868480</v>
      </c>
      <c r="C4322" t="s">
        <v>1</v>
      </c>
      <c r="D4322" t="s">
        <v>1</v>
      </c>
      <c r="E4322" t="s">
        <v>1</v>
      </c>
      <c r="F4322" t="s">
        <v>0</v>
      </c>
      <c r="G4322" t="str">
        <f>"2018-10-17 15:14:00"</f>
        <v>2018-10-17 15:14:00</v>
      </c>
    </row>
    <row r="4323" spans="1:7" x14ac:dyDescent="0.2">
      <c r="A4323" t="s">
        <v>1</v>
      </c>
      <c r="B4323" t="str">
        <f>"13851179982"</f>
        <v>13851179982</v>
      </c>
      <c r="C4323" t="s">
        <v>1</v>
      </c>
      <c r="D4323" t="s">
        <v>1</v>
      </c>
      <c r="E4323" t="s">
        <v>1</v>
      </c>
      <c r="F4323" t="s">
        <v>0</v>
      </c>
      <c r="G4323" t="str">
        <f>"2018-10-17 15:13:55"</f>
        <v>2018-10-17 15:13:55</v>
      </c>
    </row>
    <row r="4324" spans="1:7" x14ac:dyDescent="0.2">
      <c r="A4324" t="s">
        <v>5511</v>
      </c>
      <c r="B4324" t="str">
        <f>"18358718752"</f>
        <v>18358718752</v>
      </c>
      <c r="C4324" t="str">
        <f>"330328198308015117"</f>
        <v>330328198308015117</v>
      </c>
      <c r="D4324" t="s">
        <v>1</v>
      </c>
      <c r="E4324" t="s">
        <v>1</v>
      </c>
      <c r="F4324" t="s">
        <v>0</v>
      </c>
      <c r="G4324" t="str">
        <f>"2018-10-17 15:15:39"</f>
        <v>2018-10-17 15:15:39</v>
      </c>
    </row>
    <row r="4325" spans="1:7" x14ac:dyDescent="0.2">
      <c r="A4325" t="s">
        <v>1342</v>
      </c>
      <c r="B4325" t="str">
        <f>"18241803555"</f>
        <v>18241803555</v>
      </c>
      <c r="C4325" t="str">
        <f>"210124199110023614"</f>
        <v>210124199110023614</v>
      </c>
      <c r="D4325" t="s">
        <v>1</v>
      </c>
      <c r="E4325" t="s">
        <v>1</v>
      </c>
      <c r="F4325" t="s">
        <v>0</v>
      </c>
      <c r="G4325" t="str">
        <f>"2018-10-17 15:20:57"</f>
        <v>2018-10-17 15:20:57</v>
      </c>
    </row>
    <row r="4326" spans="1:7" x14ac:dyDescent="0.2">
      <c r="A4326" t="s">
        <v>5512</v>
      </c>
      <c r="B4326" t="str">
        <f>"13982345660"</f>
        <v>13982345660</v>
      </c>
      <c r="C4326" t="str">
        <f>"510411199201281921"</f>
        <v>510411199201281921</v>
      </c>
      <c r="D4326" t="s">
        <v>5513</v>
      </c>
      <c r="E4326" t="s">
        <v>5514</v>
      </c>
      <c r="F4326" t="s">
        <v>0</v>
      </c>
      <c r="G4326" t="str">
        <f>"2018-10-17 15:14:23"</f>
        <v>2018-10-17 15:14:23</v>
      </c>
    </row>
    <row r="4327" spans="1:7" x14ac:dyDescent="0.2">
      <c r="A4327" t="s">
        <v>5515</v>
      </c>
      <c r="B4327" t="str">
        <f>"18859088605"</f>
        <v>18859088605</v>
      </c>
      <c r="C4327" t="str">
        <f>"350823198909292610"</f>
        <v>350823198909292610</v>
      </c>
      <c r="D4327" t="s">
        <v>1</v>
      </c>
      <c r="E4327" t="s">
        <v>1</v>
      </c>
      <c r="F4327" t="s">
        <v>0</v>
      </c>
      <c r="G4327" t="str">
        <f>"2018-10-17 15:18:48"</f>
        <v>2018-10-17 15:18:48</v>
      </c>
    </row>
    <row r="4328" spans="1:7" x14ac:dyDescent="0.2">
      <c r="A4328" t="s">
        <v>5516</v>
      </c>
      <c r="B4328" t="str">
        <f>"15769964067"</f>
        <v>15769964067</v>
      </c>
      <c r="C4328" t="str">
        <f>"533527199006160019"</f>
        <v>533527199006160019</v>
      </c>
      <c r="D4328" t="s">
        <v>1</v>
      </c>
      <c r="E4328" t="s">
        <v>1</v>
      </c>
      <c r="F4328" t="s">
        <v>0</v>
      </c>
      <c r="G4328" t="str">
        <f>"2018-10-18 18:47:55"</f>
        <v>2018-10-18 18:47:55</v>
      </c>
    </row>
    <row r="4329" spans="1:7" x14ac:dyDescent="0.2">
      <c r="A4329" t="s">
        <v>1</v>
      </c>
      <c r="B4329" t="str">
        <f>"18870765471"</f>
        <v>18870765471</v>
      </c>
      <c r="C4329" t="s">
        <v>1</v>
      </c>
      <c r="D4329" t="s">
        <v>1</v>
      </c>
      <c r="E4329" t="s">
        <v>1</v>
      </c>
      <c r="F4329" t="s">
        <v>0</v>
      </c>
      <c r="G4329" t="str">
        <f>"2018-10-17 15:14:16"</f>
        <v>2018-10-17 15:14:16</v>
      </c>
    </row>
    <row r="4330" spans="1:7" x14ac:dyDescent="0.2">
      <c r="A4330" t="s">
        <v>5517</v>
      </c>
      <c r="B4330" t="str">
        <f>"15016455244"</f>
        <v>15016455244</v>
      </c>
      <c r="C4330" t="str">
        <f>"440882199410024736"</f>
        <v>440882199410024736</v>
      </c>
      <c r="D4330" t="s">
        <v>1</v>
      </c>
      <c r="E4330" t="s">
        <v>1</v>
      </c>
      <c r="F4330" t="s">
        <v>0</v>
      </c>
      <c r="G4330" t="str">
        <f>"2018-10-17 15:13:23"</f>
        <v>2018-10-17 15:13:23</v>
      </c>
    </row>
    <row r="4331" spans="1:7" x14ac:dyDescent="0.2">
      <c r="A4331" t="s">
        <v>5518</v>
      </c>
      <c r="B4331" t="str">
        <f>"18669995234"</f>
        <v>18669995234</v>
      </c>
      <c r="C4331" t="str">
        <f>"371327198903092717"</f>
        <v>371327198903092717</v>
      </c>
      <c r="D4331" t="s">
        <v>1</v>
      </c>
      <c r="E4331" t="s">
        <v>1</v>
      </c>
      <c r="F4331" t="s">
        <v>0</v>
      </c>
      <c r="G4331" t="str">
        <f>"2018-10-17 15:11:43"</f>
        <v>2018-10-17 15:11:43</v>
      </c>
    </row>
    <row r="4332" spans="1:7" x14ac:dyDescent="0.2">
      <c r="A4332" t="s">
        <v>5519</v>
      </c>
      <c r="B4332" t="str">
        <f>"13638344318"</f>
        <v>13638344318</v>
      </c>
      <c r="C4332" t="str">
        <f>"510229197606117218"</f>
        <v>510229197606117218</v>
      </c>
      <c r="D4332" t="s">
        <v>1</v>
      </c>
      <c r="E4332" t="s">
        <v>1</v>
      </c>
      <c r="F4332" t="s">
        <v>0</v>
      </c>
      <c r="G4332" t="str">
        <f>"2018-10-17 15:30:20"</f>
        <v>2018-10-17 15:30:20</v>
      </c>
    </row>
    <row r="4333" spans="1:7" x14ac:dyDescent="0.2">
      <c r="A4333" t="s">
        <v>1</v>
      </c>
      <c r="B4333" t="str">
        <f>"15244155225"</f>
        <v>15244155225</v>
      </c>
      <c r="C4333" t="s">
        <v>1</v>
      </c>
      <c r="D4333" t="s">
        <v>1</v>
      </c>
      <c r="E4333" t="s">
        <v>1</v>
      </c>
      <c r="F4333" t="s">
        <v>0</v>
      </c>
      <c r="G4333" t="str">
        <f>"2018-10-17 15:11:40"</f>
        <v>2018-10-17 15:11:40</v>
      </c>
    </row>
    <row r="4334" spans="1:7" x14ac:dyDescent="0.2">
      <c r="A4334" t="s">
        <v>5520</v>
      </c>
      <c r="B4334" t="str">
        <f>"15068881943"</f>
        <v>15068881943</v>
      </c>
      <c r="C4334" t="str">
        <f>"330184199609282336"</f>
        <v>330184199609282336</v>
      </c>
      <c r="D4334" t="s">
        <v>1</v>
      </c>
      <c r="E4334" t="s">
        <v>1</v>
      </c>
      <c r="F4334" t="s">
        <v>0</v>
      </c>
      <c r="G4334" t="str">
        <f>"2018-10-17 15:14:42"</f>
        <v>2018-10-17 15:14:42</v>
      </c>
    </row>
    <row r="4335" spans="1:7" x14ac:dyDescent="0.2">
      <c r="A4335" t="s">
        <v>5521</v>
      </c>
      <c r="B4335" t="str">
        <f>"13960045343"</f>
        <v>13960045343</v>
      </c>
      <c r="C4335" t="str">
        <f>"350625198501121035"</f>
        <v>350625198501121035</v>
      </c>
      <c r="D4335" t="s">
        <v>1</v>
      </c>
      <c r="E4335" t="s">
        <v>1</v>
      </c>
      <c r="F4335" t="s">
        <v>0</v>
      </c>
      <c r="G4335" t="str">
        <f>"2018-10-17 15:11:03"</f>
        <v>2018-10-17 15:11:03</v>
      </c>
    </row>
    <row r="4336" spans="1:7" x14ac:dyDescent="0.2">
      <c r="A4336" t="s">
        <v>5522</v>
      </c>
      <c r="B4336" t="str">
        <f>"15297635943"</f>
        <v>15297635943</v>
      </c>
      <c r="C4336" t="str">
        <f>"131125199012130616"</f>
        <v>131125199012130616</v>
      </c>
      <c r="D4336" t="s">
        <v>5523</v>
      </c>
      <c r="E4336" t="s">
        <v>5524</v>
      </c>
      <c r="F4336" t="s">
        <v>0</v>
      </c>
      <c r="G4336" t="str">
        <f>"2018-10-17 15:17:48"</f>
        <v>2018-10-17 15:17:48</v>
      </c>
    </row>
    <row r="4337" spans="1:7" x14ac:dyDescent="0.2">
      <c r="A4337" t="s">
        <v>1</v>
      </c>
      <c r="B4337" t="str">
        <f>"13666579645"</f>
        <v>13666579645</v>
      </c>
      <c r="C4337" t="s">
        <v>1</v>
      </c>
      <c r="D4337" t="s">
        <v>1</v>
      </c>
      <c r="E4337" t="s">
        <v>1</v>
      </c>
      <c r="F4337" t="s">
        <v>0</v>
      </c>
      <c r="G4337" t="str">
        <f>"2018-10-17 15:10:38"</f>
        <v>2018-10-17 15:10:38</v>
      </c>
    </row>
    <row r="4338" spans="1:7" x14ac:dyDescent="0.2">
      <c r="A4338" t="s">
        <v>788</v>
      </c>
      <c r="B4338" t="str">
        <f>"15014045602"</f>
        <v>15014045602</v>
      </c>
      <c r="C4338" t="str">
        <f>"360781199308032017"</f>
        <v>360781199308032017</v>
      </c>
      <c r="D4338" t="s">
        <v>1</v>
      </c>
      <c r="E4338" t="s">
        <v>1</v>
      </c>
      <c r="F4338" t="s">
        <v>0</v>
      </c>
      <c r="G4338" t="str">
        <f>"2018-10-17 15:23:58"</f>
        <v>2018-10-17 15:23:58</v>
      </c>
    </row>
    <row r="4339" spans="1:7" x14ac:dyDescent="0.2">
      <c r="A4339" t="s">
        <v>1392</v>
      </c>
      <c r="B4339" t="str">
        <f>"13638896649"</f>
        <v>13638896649</v>
      </c>
      <c r="C4339" t="str">
        <f>"532130198907250071"</f>
        <v>532130198907250071</v>
      </c>
      <c r="D4339" t="s">
        <v>5525</v>
      </c>
      <c r="E4339" t="s">
        <v>5526</v>
      </c>
      <c r="F4339" t="s">
        <v>0</v>
      </c>
      <c r="G4339" t="str">
        <f>"2018-10-17 16:02:48"</f>
        <v>2018-10-17 16:02:48</v>
      </c>
    </row>
    <row r="4340" spans="1:7" x14ac:dyDescent="0.2">
      <c r="A4340" t="s">
        <v>1</v>
      </c>
      <c r="B4340" t="str">
        <f>"18408675371"</f>
        <v>18408675371</v>
      </c>
      <c r="C4340" t="s">
        <v>1</v>
      </c>
      <c r="D4340" t="s">
        <v>1</v>
      </c>
      <c r="E4340" t="s">
        <v>1</v>
      </c>
      <c r="F4340" t="s">
        <v>0</v>
      </c>
      <c r="G4340" t="str">
        <f>"2018-10-17 15:10:21"</f>
        <v>2018-10-17 15:10:21</v>
      </c>
    </row>
    <row r="4341" spans="1:7" x14ac:dyDescent="0.2">
      <c r="A4341" t="s">
        <v>5527</v>
      </c>
      <c r="B4341" t="str">
        <f>"18423398088"</f>
        <v>18423398088</v>
      </c>
      <c r="C4341" t="str">
        <f>"512222197312301519"</f>
        <v>512222197312301519</v>
      </c>
      <c r="D4341" t="s">
        <v>1</v>
      </c>
      <c r="E4341" t="s">
        <v>1</v>
      </c>
      <c r="F4341" t="s">
        <v>0</v>
      </c>
      <c r="G4341" t="str">
        <f>"2018-10-17 15:11:30"</f>
        <v>2018-10-17 15:11:30</v>
      </c>
    </row>
    <row r="4342" spans="1:7" x14ac:dyDescent="0.2">
      <c r="A4342" t="s">
        <v>1</v>
      </c>
      <c r="B4342" t="str">
        <f>"13663474717"</f>
        <v>13663474717</v>
      </c>
      <c r="C4342" t="s">
        <v>1</v>
      </c>
      <c r="D4342" t="s">
        <v>1</v>
      </c>
      <c r="E4342" t="s">
        <v>1</v>
      </c>
      <c r="F4342" t="s">
        <v>0</v>
      </c>
      <c r="G4342" t="str">
        <f>"2018-10-17 15:10:09"</f>
        <v>2018-10-17 15:10:09</v>
      </c>
    </row>
    <row r="4343" spans="1:7" x14ac:dyDescent="0.2">
      <c r="A4343" t="s">
        <v>1</v>
      </c>
      <c r="B4343" t="str">
        <f>"13533443785"</f>
        <v>13533443785</v>
      </c>
      <c r="C4343" t="s">
        <v>1</v>
      </c>
      <c r="D4343" t="s">
        <v>1</v>
      </c>
      <c r="E4343" t="s">
        <v>1</v>
      </c>
      <c r="F4343" t="s">
        <v>0</v>
      </c>
      <c r="G4343" t="str">
        <f>"2018-10-17 15:10:09"</f>
        <v>2018-10-17 15:10:09</v>
      </c>
    </row>
    <row r="4344" spans="1:7" x14ac:dyDescent="0.2">
      <c r="A4344" t="s">
        <v>1</v>
      </c>
      <c r="B4344" t="str">
        <f>"13636526932"</f>
        <v>13636526932</v>
      </c>
      <c r="C4344" t="s">
        <v>1</v>
      </c>
      <c r="D4344" t="s">
        <v>1</v>
      </c>
      <c r="E4344" t="s">
        <v>1</v>
      </c>
      <c r="F4344" t="s">
        <v>0</v>
      </c>
      <c r="G4344" t="str">
        <f>"2018-10-17 15:10:05"</f>
        <v>2018-10-17 15:10:05</v>
      </c>
    </row>
    <row r="4345" spans="1:7" x14ac:dyDescent="0.2">
      <c r="A4345" t="s">
        <v>5528</v>
      </c>
      <c r="B4345" t="str">
        <f>"18946693033"</f>
        <v>18946693033</v>
      </c>
      <c r="C4345" t="str">
        <f>"220182199802018010"</f>
        <v>220182199802018010</v>
      </c>
      <c r="D4345" t="s">
        <v>1</v>
      </c>
      <c r="E4345" t="s">
        <v>1</v>
      </c>
      <c r="F4345" t="s">
        <v>0</v>
      </c>
      <c r="G4345" t="str">
        <f>"2018-10-17 15:23:10"</f>
        <v>2018-10-17 15:23:10</v>
      </c>
    </row>
    <row r="4346" spans="1:7" x14ac:dyDescent="0.2">
      <c r="A4346" t="s">
        <v>1084</v>
      </c>
      <c r="B4346" t="str">
        <f>"18222276778"</f>
        <v>18222276778</v>
      </c>
      <c r="C4346" t="str">
        <f>"410782198809052450"</f>
        <v>410782198809052450</v>
      </c>
      <c r="D4346" t="s">
        <v>5529</v>
      </c>
      <c r="E4346" t="s">
        <v>5530</v>
      </c>
      <c r="F4346" t="s">
        <v>0</v>
      </c>
      <c r="G4346" t="str">
        <f>"2018-10-17 15:14:17"</f>
        <v>2018-10-17 15:14:17</v>
      </c>
    </row>
    <row r="4347" spans="1:7" x14ac:dyDescent="0.2">
      <c r="A4347" t="s">
        <v>5531</v>
      </c>
      <c r="B4347" t="str">
        <f>"13967684458"</f>
        <v>13967684458</v>
      </c>
      <c r="C4347" t="str">
        <f>"332627198002071257"</f>
        <v>332627198002071257</v>
      </c>
      <c r="D4347" t="s">
        <v>1</v>
      </c>
      <c r="E4347" t="s">
        <v>1</v>
      </c>
      <c r="F4347" t="s">
        <v>0</v>
      </c>
      <c r="G4347" t="str">
        <f>"2018-10-17 15:09:35"</f>
        <v>2018-10-17 15:09:35</v>
      </c>
    </row>
    <row r="4348" spans="1:7" x14ac:dyDescent="0.2">
      <c r="A4348" t="s">
        <v>1086</v>
      </c>
      <c r="B4348" t="str">
        <f>"18750298500"</f>
        <v>18750298500</v>
      </c>
      <c r="C4348" t="str">
        <f>"500242199609193839"</f>
        <v>500242199609193839</v>
      </c>
      <c r="D4348" t="s">
        <v>5532</v>
      </c>
      <c r="E4348" t="s">
        <v>5533</v>
      </c>
      <c r="F4348" t="s">
        <v>0</v>
      </c>
      <c r="G4348" t="str">
        <f>"2018-10-17 15:10:38"</f>
        <v>2018-10-17 15:10:38</v>
      </c>
    </row>
    <row r="4349" spans="1:7" x14ac:dyDescent="0.2">
      <c r="A4349" t="s">
        <v>5534</v>
      </c>
      <c r="B4349" t="str">
        <f>"15050305083"</f>
        <v>15050305083</v>
      </c>
      <c r="C4349" t="str">
        <f>"340322199806186056"</f>
        <v>340322199806186056</v>
      </c>
      <c r="D4349" t="s">
        <v>1</v>
      </c>
      <c r="E4349" t="s">
        <v>1</v>
      </c>
      <c r="F4349" t="s">
        <v>0</v>
      </c>
      <c r="G4349" t="str">
        <f>"2018-10-17 15:10:26"</f>
        <v>2018-10-17 15:10:26</v>
      </c>
    </row>
    <row r="4350" spans="1:7" x14ac:dyDescent="0.2">
      <c r="A4350" t="s">
        <v>1</v>
      </c>
      <c r="B4350" t="str">
        <f>"13341306211"</f>
        <v>13341306211</v>
      </c>
      <c r="C4350" t="s">
        <v>1</v>
      </c>
      <c r="D4350" t="s">
        <v>1</v>
      </c>
      <c r="E4350" t="s">
        <v>1</v>
      </c>
      <c r="F4350" t="s">
        <v>0</v>
      </c>
      <c r="G4350" t="str">
        <f>"2018-10-17 15:11:49"</f>
        <v>2018-10-17 15:11:49</v>
      </c>
    </row>
    <row r="4351" spans="1:7" x14ac:dyDescent="0.2">
      <c r="A4351" t="s">
        <v>165</v>
      </c>
      <c r="B4351" t="str">
        <f>"18858671245"</f>
        <v>18858671245</v>
      </c>
      <c r="C4351" t="str">
        <f>"331022199212100211"</f>
        <v>331022199212100211</v>
      </c>
      <c r="D4351" t="s">
        <v>1</v>
      </c>
      <c r="E4351" t="s">
        <v>1</v>
      </c>
      <c r="F4351" t="s">
        <v>0</v>
      </c>
      <c r="G4351" t="str">
        <f>"2018-10-17 15:12:00"</f>
        <v>2018-10-17 15:12:00</v>
      </c>
    </row>
    <row r="4352" spans="1:7" x14ac:dyDescent="0.2">
      <c r="A4352" t="s">
        <v>5535</v>
      </c>
      <c r="B4352" t="str">
        <f>"13823211022"</f>
        <v>13823211022</v>
      </c>
      <c r="C4352" t="str">
        <f>"441822196809155675"</f>
        <v>441822196809155675</v>
      </c>
      <c r="D4352" t="s">
        <v>1</v>
      </c>
      <c r="E4352" t="s">
        <v>1</v>
      </c>
      <c r="F4352" t="s">
        <v>0</v>
      </c>
      <c r="G4352" t="str">
        <f>"2018-10-18 17:58:58"</f>
        <v>2018-10-18 17:58:58</v>
      </c>
    </row>
    <row r="4353" spans="1:7" x14ac:dyDescent="0.2">
      <c r="A4353" t="s">
        <v>5536</v>
      </c>
      <c r="B4353" t="str">
        <f>"15677911534"</f>
        <v>15677911534</v>
      </c>
      <c r="C4353" t="str">
        <f>"130706197807200335"</f>
        <v>130706197807200335</v>
      </c>
      <c r="D4353" t="s">
        <v>1</v>
      </c>
      <c r="E4353" t="s">
        <v>1</v>
      </c>
      <c r="F4353" t="s">
        <v>0</v>
      </c>
      <c r="G4353" t="str">
        <f>"2018-10-17 15:13:28"</f>
        <v>2018-10-17 15:13:28</v>
      </c>
    </row>
    <row r="4354" spans="1:7" x14ac:dyDescent="0.2">
      <c r="A4354" t="s">
        <v>14</v>
      </c>
      <c r="B4354" t="str">
        <f>"18348529404"</f>
        <v>18348529404</v>
      </c>
      <c r="C4354" t="str">
        <f>"231026198502155015"</f>
        <v>231026198502155015</v>
      </c>
      <c r="D4354" t="s">
        <v>1</v>
      </c>
      <c r="E4354" t="s">
        <v>1</v>
      </c>
      <c r="F4354" t="s">
        <v>0</v>
      </c>
      <c r="G4354" t="str">
        <f>"2018-10-17 15:17:52"</f>
        <v>2018-10-17 15:17:52</v>
      </c>
    </row>
    <row r="4355" spans="1:7" x14ac:dyDescent="0.2">
      <c r="A4355" t="s">
        <v>5537</v>
      </c>
      <c r="B4355" t="str">
        <f>"18731686320"</f>
        <v>18731686320</v>
      </c>
      <c r="C4355" t="str">
        <f>"231223199804040017"</f>
        <v>231223199804040017</v>
      </c>
      <c r="D4355" t="s">
        <v>1</v>
      </c>
      <c r="E4355" t="s">
        <v>1</v>
      </c>
      <c r="F4355" t="s">
        <v>0</v>
      </c>
      <c r="G4355" t="str">
        <f>"2018-10-17 15:10:08"</f>
        <v>2018-10-17 15:10:08</v>
      </c>
    </row>
    <row r="4356" spans="1:7" x14ac:dyDescent="0.2">
      <c r="A4356" t="s">
        <v>5538</v>
      </c>
      <c r="B4356" t="str">
        <f>"15897865278"</f>
        <v>15897865278</v>
      </c>
      <c r="C4356" t="str">
        <f>"420321197902223819"</f>
        <v>420321197902223819</v>
      </c>
      <c r="D4356" t="s">
        <v>1</v>
      </c>
      <c r="E4356" t="s">
        <v>1</v>
      </c>
      <c r="F4356" t="s">
        <v>0</v>
      </c>
      <c r="G4356" t="str">
        <f>"2018-10-17 16:00:05"</f>
        <v>2018-10-17 16:00:05</v>
      </c>
    </row>
    <row r="4357" spans="1:7" x14ac:dyDescent="0.2">
      <c r="A4357" t="s">
        <v>1</v>
      </c>
      <c r="B4357" t="str">
        <f>"13427733672"</f>
        <v>13427733672</v>
      </c>
      <c r="C4357" t="s">
        <v>1</v>
      </c>
      <c r="D4357" t="s">
        <v>1</v>
      </c>
      <c r="E4357" t="s">
        <v>1</v>
      </c>
      <c r="F4357" t="s">
        <v>0</v>
      </c>
      <c r="G4357" t="str">
        <f>"2018-10-17 15:08:39"</f>
        <v>2018-10-17 15:08:39</v>
      </c>
    </row>
    <row r="4358" spans="1:7" x14ac:dyDescent="0.2">
      <c r="A4358" t="s">
        <v>5539</v>
      </c>
      <c r="B4358" t="str">
        <f>"15260777875"</f>
        <v>15260777875</v>
      </c>
      <c r="C4358" t="str">
        <f>"350500198401202513"</f>
        <v>350500198401202513</v>
      </c>
      <c r="D4358" t="s">
        <v>1</v>
      </c>
      <c r="E4358" t="s">
        <v>1</v>
      </c>
      <c r="F4358" t="s">
        <v>0</v>
      </c>
      <c r="G4358" t="str">
        <f>"2018-10-17 15:13:42"</f>
        <v>2018-10-17 15:13:42</v>
      </c>
    </row>
    <row r="4359" spans="1:7" x14ac:dyDescent="0.2">
      <c r="A4359" t="s">
        <v>1</v>
      </c>
      <c r="B4359" t="str">
        <f>"15140639059"</f>
        <v>15140639059</v>
      </c>
      <c r="C4359" t="s">
        <v>1</v>
      </c>
      <c r="D4359" t="s">
        <v>1</v>
      </c>
      <c r="E4359" t="s">
        <v>1</v>
      </c>
      <c r="F4359" t="s">
        <v>0</v>
      </c>
      <c r="G4359" t="str">
        <f>"2018-10-17 15:08:36"</f>
        <v>2018-10-17 15:08:36</v>
      </c>
    </row>
    <row r="4360" spans="1:7" x14ac:dyDescent="0.2">
      <c r="A4360" t="s">
        <v>1</v>
      </c>
      <c r="B4360" t="str">
        <f>"18308359137"</f>
        <v>18308359137</v>
      </c>
      <c r="C4360" t="s">
        <v>1</v>
      </c>
      <c r="D4360" t="s">
        <v>1</v>
      </c>
      <c r="E4360" t="s">
        <v>1</v>
      </c>
      <c r="F4360" t="s">
        <v>0</v>
      </c>
      <c r="G4360" t="str">
        <f>"2018-10-17 15:10:53"</f>
        <v>2018-10-17 15:10:53</v>
      </c>
    </row>
    <row r="4361" spans="1:7" x14ac:dyDescent="0.2">
      <c r="A4361" t="s">
        <v>5540</v>
      </c>
      <c r="B4361" t="str">
        <f>"13658563495"</f>
        <v>13658563495</v>
      </c>
      <c r="C4361" t="str">
        <f>"522222198711131218"</f>
        <v>522222198711131218</v>
      </c>
      <c r="D4361" t="s">
        <v>1</v>
      </c>
      <c r="E4361" t="s">
        <v>1</v>
      </c>
      <c r="F4361" t="s">
        <v>0</v>
      </c>
      <c r="G4361" t="str">
        <f>"2018-10-17 20:40:38"</f>
        <v>2018-10-17 20:40:38</v>
      </c>
    </row>
    <row r="4362" spans="1:7" x14ac:dyDescent="0.2">
      <c r="A4362" t="s">
        <v>5541</v>
      </c>
      <c r="B4362" t="str">
        <f>"13471643095"</f>
        <v>13471643095</v>
      </c>
      <c r="C4362" t="str">
        <f>"452623199005053931"</f>
        <v>452623199005053931</v>
      </c>
      <c r="D4362" t="s">
        <v>5542</v>
      </c>
      <c r="E4362" t="s">
        <v>5543</v>
      </c>
      <c r="F4362" t="s">
        <v>0</v>
      </c>
      <c r="G4362" t="str">
        <f>"2018-10-17 15:12:58"</f>
        <v>2018-10-17 15:12:58</v>
      </c>
    </row>
    <row r="4363" spans="1:7" x14ac:dyDescent="0.2">
      <c r="A4363" t="s">
        <v>5544</v>
      </c>
      <c r="B4363" t="str">
        <f>"13783109424"</f>
        <v>13783109424</v>
      </c>
      <c r="C4363" t="str">
        <f>"410381199103274015"</f>
        <v>410381199103274015</v>
      </c>
      <c r="D4363" t="s">
        <v>1</v>
      </c>
      <c r="E4363" t="s">
        <v>1</v>
      </c>
      <c r="F4363" t="s">
        <v>0</v>
      </c>
      <c r="G4363" t="str">
        <f>"2018-10-30 19:54:36"</f>
        <v>2018-10-30 19:54:36</v>
      </c>
    </row>
    <row r="4364" spans="1:7" x14ac:dyDescent="0.2">
      <c r="A4364" t="s">
        <v>1</v>
      </c>
      <c r="B4364" t="str">
        <f>"15729201150"</f>
        <v>15729201150</v>
      </c>
      <c r="C4364" t="s">
        <v>1</v>
      </c>
      <c r="D4364" t="s">
        <v>1</v>
      </c>
      <c r="E4364" t="s">
        <v>1</v>
      </c>
      <c r="F4364" t="s">
        <v>0</v>
      </c>
      <c r="G4364" t="str">
        <f>"2018-10-17 15:11:14"</f>
        <v>2018-10-17 15:11:14</v>
      </c>
    </row>
    <row r="4365" spans="1:7" x14ac:dyDescent="0.2">
      <c r="A4365" t="s">
        <v>5545</v>
      </c>
      <c r="B4365" t="str">
        <f>"13484208302"</f>
        <v>13484208302</v>
      </c>
      <c r="C4365" t="str">
        <f>"330282198610086656"</f>
        <v>330282198610086656</v>
      </c>
      <c r="D4365" t="s">
        <v>1</v>
      </c>
      <c r="E4365" t="s">
        <v>1</v>
      </c>
      <c r="F4365" t="s">
        <v>0</v>
      </c>
      <c r="G4365" t="str">
        <f>"2018-10-17 15:10:02"</f>
        <v>2018-10-17 15:10:02</v>
      </c>
    </row>
    <row r="4366" spans="1:7" x14ac:dyDescent="0.2">
      <c r="A4366" t="s">
        <v>5546</v>
      </c>
      <c r="B4366" t="str">
        <f>"15249932607"</f>
        <v>15249932607</v>
      </c>
      <c r="C4366" t="str">
        <f>"342523199605138524"</f>
        <v>342523199605138524</v>
      </c>
      <c r="D4366" t="s">
        <v>1</v>
      </c>
      <c r="E4366" t="s">
        <v>1</v>
      </c>
      <c r="F4366" t="s">
        <v>0</v>
      </c>
      <c r="G4366" t="str">
        <f>"2018-10-17 15:10:50"</f>
        <v>2018-10-17 15:10:50</v>
      </c>
    </row>
    <row r="4367" spans="1:7" x14ac:dyDescent="0.2">
      <c r="A4367" t="s">
        <v>5547</v>
      </c>
      <c r="B4367" t="str">
        <f>"15227954235"</f>
        <v>15227954235</v>
      </c>
      <c r="C4367" t="str">
        <f>"130427199308284137"</f>
        <v>130427199308284137</v>
      </c>
      <c r="D4367" t="s">
        <v>5548</v>
      </c>
      <c r="E4367" t="s">
        <v>5549</v>
      </c>
      <c r="F4367" t="s">
        <v>0</v>
      </c>
      <c r="G4367" t="str">
        <f>"2018-10-17 15:09:21"</f>
        <v>2018-10-17 15:09:21</v>
      </c>
    </row>
    <row r="4368" spans="1:7" x14ac:dyDescent="0.2">
      <c r="A4368" t="s">
        <v>5550</v>
      </c>
      <c r="B4368" t="str">
        <f>"15819442766"</f>
        <v>15819442766</v>
      </c>
      <c r="C4368" t="str">
        <f>"460022197702025129"</f>
        <v>460022197702025129</v>
      </c>
      <c r="D4368" t="s">
        <v>1</v>
      </c>
      <c r="E4368" t="s">
        <v>1</v>
      </c>
      <c r="F4368" t="s">
        <v>0</v>
      </c>
      <c r="G4368" t="str">
        <f>"2018-10-25 10:52:52"</f>
        <v>2018-10-25 10:52:52</v>
      </c>
    </row>
    <row r="4369" spans="1:7" x14ac:dyDescent="0.2">
      <c r="A4369" t="s">
        <v>437</v>
      </c>
      <c r="B4369" t="str">
        <f>"13662422420"</f>
        <v>13662422420</v>
      </c>
      <c r="C4369" t="str">
        <f>"43042319911214551X"</f>
        <v>43042319911214551X</v>
      </c>
      <c r="D4369" t="s">
        <v>1</v>
      </c>
      <c r="E4369" t="s">
        <v>1</v>
      </c>
      <c r="F4369" t="s">
        <v>0</v>
      </c>
      <c r="G4369" t="str">
        <f>"2018-10-17 15:12:25"</f>
        <v>2018-10-17 15:12:25</v>
      </c>
    </row>
    <row r="4370" spans="1:7" x14ac:dyDescent="0.2">
      <c r="A4370" t="s">
        <v>1</v>
      </c>
      <c r="B4370" t="str">
        <f>"14797711940"</f>
        <v>14797711940</v>
      </c>
      <c r="C4370" t="s">
        <v>1</v>
      </c>
      <c r="D4370" t="s">
        <v>1</v>
      </c>
      <c r="E4370" t="s">
        <v>1</v>
      </c>
      <c r="F4370" t="s">
        <v>0</v>
      </c>
      <c r="G4370" t="str">
        <f>"2018-10-17 15:07:57"</f>
        <v>2018-10-17 15:07:57</v>
      </c>
    </row>
    <row r="4371" spans="1:7" x14ac:dyDescent="0.2">
      <c r="A4371" t="s">
        <v>1</v>
      </c>
      <c r="B4371" t="str">
        <f>"13809623497"</f>
        <v>13809623497</v>
      </c>
      <c r="C4371" t="s">
        <v>1</v>
      </c>
      <c r="D4371" t="s">
        <v>1</v>
      </c>
      <c r="E4371" t="s">
        <v>1</v>
      </c>
      <c r="F4371" t="s">
        <v>0</v>
      </c>
      <c r="G4371" t="str">
        <f>"2018-10-17 15:07:48"</f>
        <v>2018-10-17 15:07:48</v>
      </c>
    </row>
    <row r="4372" spans="1:7" x14ac:dyDescent="0.2">
      <c r="A4372" t="s">
        <v>5551</v>
      </c>
      <c r="B4372" t="str">
        <f>"18087684382"</f>
        <v>18087684382</v>
      </c>
      <c r="C4372" t="str">
        <f>"532624199701100013"</f>
        <v>532624199701100013</v>
      </c>
      <c r="D4372" t="s">
        <v>5552</v>
      </c>
      <c r="E4372" t="s">
        <v>5553</v>
      </c>
      <c r="F4372" t="s">
        <v>0</v>
      </c>
      <c r="G4372" t="str">
        <f>"2018-10-17 15:09:36"</f>
        <v>2018-10-17 15:09:36</v>
      </c>
    </row>
    <row r="4373" spans="1:7" x14ac:dyDescent="0.2">
      <c r="A4373" t="s">
        <v>5554</v>
      </c>
      <c r="B4373" t="str">
        <f>"18205784681"</f>
        <v>18205784681</v>
      </c>
      <c r="C4373" t="str">
        <f>"332525199811292718"</f>
        <v>332525199811292718</v>
      </c>
      <c r="D4373" t="s">
        <v>1</v>
      </c>
      <c r="E4373" t="s">
        <v>1</v>
      </c>
      <c r="F4373" t="s">
        <v>0</v>
      </c>
      <c r="G4373" t="str">
        <f>"2018-10-17 15:09:56"</f>
        <v>2018-10-17 15:09:56</v>
      </c>
    </row>
    <row r="4374" spans="1:7" x14ac:dyDescent="0.2">
      <c r="A4374" t="s">
        <v>5555</v>
      </c>
      <c r="B4374" t="str">
        <f>"17743352800"</f>
        <v>17743352800</v>
      </c>
      <c r="C4374" t="str">
        <f>"513902198804040077"</f>
        <v>513902198804040077</v>
      </c>
      <c r="D4374" t="s">
        <v>5556</v>
      </c>
      <c r="E4374" t="s">
        <v>5557</v>
      </c>
      <c r="F4374" t="s">
        <v>0</v>
      </c>
      <c r="G4374" t="str">
        <f>"2018-10-17 15:11:15"</f>
        <v>2018-10-17 15:11:15</v>
      </c>
    </row>
    <row r="4375" spans="1:7" x14ac:dyDescent="0.2">
      <c r="A4375" t="s">
        <v>5558</v>
      </c>
      <c r="B4375" t="str">
        <f>"15805267574"</f>
        <v>15805267574</v>
      </c>
      <c r="C4375" t="str">
        <f>"321322199709151211"</f>
        <v>321322199709151211</v>
      </c>
      <c r="D4375" t="s">
        <v>1</v>
      </c>
      <c r="E4375" t="s">
        <v>1</v>
      </c>
      <c r="F4375" t="s">
        <v>0</v>
      </c>
      <c r="G4375" t="str">
        <f>"2018-10-21 18:47:37"</f>
        <v>2018-10-21 18:47:37</v>
      </c>
    </row>
    <row r="4376" spans="1:7" x14ac:dyDescent="0.2">
      <c r="A4376" t="s">
        <v>5559</v>
      </c>
      <c r="B4376" t="str">
        <f>"13427307111"</f>
        <v>13427307111</v>
      </c>
      <c r="C4376" t="str">
        <f>"421126199012145450"</f>
        <v>421126199012145450</v>
      </c>
      <c r="D4376" t="s">
        <v>1</v>
      </c>
      <c r="E4376" t="s">
        <v>1</v>
      </c>
      <c r="F4376" t="s">
        <v>0</v>
      </c>
      <c r="G4376" t="str">
        <f>"2018-10-21 14:42:43"</f>
        <v>2018-10-21 14:42:43</v>
      </c>
    </row>
    <row r="4377" spans="1:7" x14ac:dyDescent="0.2">
      <c r="A4377" t="s">
        <v>5560</v>
      </c>
      <c r="B4377" t="str">
        <f>"18296413131"</f>
        <v>18296413131</v>
      </c>
      <c r="C4377" t="str">
        <f>"362202199108056363"</f>
        <v>362202199108056363</v>
      </c>
      <c r="D4377" t="s">
        <v>5561</v>
      </c>
      <c r="E4377" t="s">
        <v>5562</v>
      </c>
      <c r="F4377" t="s">
        <v>0</v>
      </c>
      <c r="G4377" t="str">
        <f>"2018-10-17 15:45:22"</f>
        <v>2018-10-17 15:45:22</v>
      </c>
    </row>
    <row r="4378" spans="1:7" x14ac:dyDescent="0.2">
      <c r="A4378" t="s">
        <v>933</v>
      </c>
      <c r="B4378" t="str">
        <f>"13916931761"</f>
        <v>13916931761</v>
      </c>
      <c r="C4378" t="str">
        <f>"320626197204010220"</f>
        <v>320626197204010220</v>
      </c>
      <c r="D4378" t="s">
        <v>5563</v>
      </c>
      <c r="E4378" t="s">
        <v>5564</v>
      </c>
      <c r="F4378" t="s">
        <v>0</v>
      </c>
      <c r="G4378" t="str">
        <f>"2018-10-17 15:12:40"</f>
        <v>2018-10-17 15:12:40</v>
      </c>
    </row>
    <row r="4379" spans="1:7" x14ac:dyDescent="0.2">
      <c r="A4379" t="s">
        <v>5565</v>
      </c>
      <c r="B4379" t="str">
        <f>"15143266623"</f>
        <v>15143266623</v>
      </c>
      <c r="C4379" t="str">
        <f>"220202199108123914"</f>
        <v>220202199108123914</v>
      </c>
      <c r="D4379" t="s">
        <v>1</v>
      </c>
      <c r="E4379" t="s">
        <v>1</v>
      </c>
      <c r="F4379" t="s">
        <v>0</v>
      </c>
      <c r="G4379" t="str">
        <f>"2018-10-17 15:10:25"</f>
        <v>2018-10-17 15:10:25</v>
      </c>
    </row>
    <row r="4380" spans="1:7" x14ac:dyDescent="0.2">
      <c r="A4380" t="s">
        <v>5566</v>
      </c>
      <c r="B4380" t="str">
        <f>"13788239589"</f>
        <v>13788239589</v>
      </c>
      <c r="C4380" t="str">
        <f>"452331197406023631"</f>
        <v>452331197406023631</v>
      </c>
      <c r="D4380" t="s">
        <v>5567</v>
      </c>
      <c r="E4380" t="s">
        <v>5568</v>
      </c>
      <c r="F4380" t="s">
        <v>0</v>
      </c>
      <c r="G4380" t="str">
        <f>"2018-10-19 20:11:39"</f>
        <v>2018-10-19 20:11:39</v>
      </c>
    </row>
    <row r="4381" spans="1:7" x14ac:dyDescent="0.2">
      <c r="A4381" t="s">
        <v>1</v>
      </c>
      <c r="B4381" t="str">
        <f>"15706592419"</f>
        <v>15706592419</v>
      </c>
      <c r="C4381" t="s">
        <v>1</v>
      </c>
      <c r="D4381" t="s">
        <v>1</v>
      </c>
      <c r="E4381" t="s">
        <v>1</v>
      </c>
      <c r="F4381" t="s">
        <v>0</v>
      </c>
      <c r="G4381" t="str">
        <f>"2018-10-17 15:06:41"</f>
        <v>2018-10-17 15:06:41</v>
      </c>
    </row>
    <row r="4382" spans="1:7" x14ac:dyDescent="0.2">
      <c r="A4382" t="s">
        <v>5569</v>
      </c>
      <c r="B4382" t="str">
        <f>"13618502441"</f>
        <v>13618502441</v>
      </c>
      <c r="C4382" t="str">
        <f>"522122199303266446"</f>
        <v>522122199303266446</v>
      </c>
      <c r="D4382" t="s">
        <v>1</v>
      </c>
      <c r="E4382" t="s">
        <v>1</v>
      </c>
      <c r="F4382" t="s">
        <v>0</v>
      </c>
      <c r="G4382" t="str">
        <f>"2018-10-17 15:06:37"</f>
        <v>2018-10-17 15:06:37</v>
      </c>
    </row>
    <row r="4383" spans="1:7" x14ac:dyDescent="0.2">
      <c r="A4383" t="s">
        <v>1</v>
      </c>
      <c r="B4383" t="str">
        <f>"15922652065"</f>
        <v>15922652065</v>
      </c>
      <c r="C4383" t="s">
        <v>1</v>
      </c>
      <c r="D4383" t="s">
        <v>1</v>
      </c>
      <c r="E4383" t="s">
        <v>1</v>
      </c>
      <c r="F4383" t="s">
        <v>0</v>
      </c>
      <c r="G4383" t="str">
        <f>"2018-10-17 15:11:11"</f>
        <v>2018-10-17 15:11:11</v>
      </c>
    </row>
    <row r="4384" spans="1:7" x14ac:dyDescent="0.2">
      <c r="A4384" t="s">
        <v>1</v>
      </c>
      <c r="B4384" t="str">
        <f>"15706577528"</f>
        <v>15706577528</v>
      </c>
      <c r="C4384" t="s">
        <v>1</v>
      </c>
      <c r="D4384" t="s">
        <v>1</v>
      </c>
      <c r="E4384" t="s">
        <v>1</v>
      </c>
      <c r="F4384" t="s">
        <v>0</v>
      </c>
      <c r="G4384" t="str">
        <f>"2018-10-17 15:06:29"</f>
        <v>2018-10-17 15:06:29</v>
      </c>
    </row>
    <row r="4385" spans="1:7" x14ac:dyDescent="0.2">
      <c r="A4385" t="s">
        <v>1</v>
      </c>
      <c r="B4385" t="str">
        <f>"17819329867"</f>
        <v>17819329867</v>
      </c>
      <c r="C4385" t="s">
        <v>1</v>
      </c>
      <c r="D4385" t="s">
        <v>1</v>
      </c>
      <c r="E4385" t="s">
        <v>1</v>
      </c>
      <c r="F4385" t="s">
        <v>0</v>
      </c>
      <c r="G4385" t="str">
        <f>"2018-10-17 15:08:27"</f>
        <v>2018-10-17 15:08:27</v>
      </c>
    </row>
    <row r="4386" spans="1:7" x14ac:dyDescent="0.2">
      <c r="A4386" t="s">
        <v>5570</v>
      </c>
      <c r="B4386" t="str">
        <f>"18875284531"</f>
        <v>18875284531</v>
      </c>
      <c r="C4386" t="str">
        <f>"342501199606018016"</f>
        <v>342501199606018016</v>
      </c>
      <c r="D4386" t="s">
        <v>1</v>
      </c>
      <c r="E4386" t="s">
        <v>1</v>
      </c>
      <c r="F4386" t="s">
        <v>0</v>
      </c>
      <c r="G4386" t="str">
        <f>"2018-10-17 15:07:51"</f>
        <v>2018-10-17 15:07:51</v>
      </c>
    </row>
    <row r="4387" spans="1:7" x14ac:dyDescent="0.2">
      <c r="A4387" t="s">
        <v>1</v>
      </c>
      <c r="B4387" t="str">
        <f>"13355481098"</f>
        <v>13355481098</v>
      </c>
      <c r="C4387" t="s">
        <v>1</v>
      </c>
      <c r="D4387" t="s">
        <v>1</v>
      </c>
      <c r="E4387" t="s">
        <v>1</v>
      </c>
      <c r="F4387" t="s">
        <v>0</v>
      </c>
      <c r="G4387" t="str">
        <f>"2018-10-17 15:06:26"</f>
        <v>2018-10-17 15:06:26</v>
      </c>
    </row>
    <row r="4388" spans="1:7" x14ac:dyDescent="0.2">
      <c r="A4388" t="s">
        <v>1</v>
      </c>
      <c r="B4388" t="str">
        <f>"13597941208"</f>
        <v>13597941208</v>
      </c>
      <c r="C4388" t="s">
        <v>1</v>
      </c>
      <c r="D4388" t="s">
        <v>1</v>
      </c>
      <c r="E4388" t="s">
        <v>1</v>
      </c>
      <c r="F4388" t="s">
        <v>0</v>
      </c>
      <c r="G4388" t="str">
        <f>"2018-10-17 15:06:25"</f>
        <v>2018-10-17 15:06:25</v>
      </c>
    </row>
    <row r="4389" spans="1:7" x14ac:dyDescent="0.2">
      <c r="A4389" t="s">
        <v>5571</v>
      </c>
      <c r="B4389" t="str">
        <f>"18839198341"</f>
        <v>18839198341</v>
      </c>
      <c r="C4389" t="str">
        <f>"410802198002063515"</f>
        <v>410802198002063515</v>
      </c>
      <c r="D4389" t="s">
        <v>1</v>
      </c>
      <c r="E4389" t="s">
        <v>1</v>
      </c>
      <c r="F4389" t="s">
        <v>0</v>
      </c>
      <c r="G4389" t="str">
        <f>"2018-10-17 15:07:51"</f>
        <v>2018-10-17 15:07:51</v>
      </c>
    </row>
    <row r="4390" spans="1:7" x14ac:dyDescent="0.2">
      <c r="A4390" t="s">
        <v>5572</v>
      </c>
      <c r="B4390" t="str">
        <f>"15228812356"</f>
        <v>15228812356</v>
      </c>
      <c r="C4390" t="str">
        <f>"510131199705072313"</f>
        <v>510131199705072313</v>
      </c>
      <c r="D4390" t="s">
        <v>5573</v>
      </c>
      <c r="E4390" t="s">
        <v>5574</v>
      </c>
      <c r="F4390" t="s">
        <v>0</v>
      </c>
      <c r="G4390" t="str">
        <f>"2018-10-17 15:10:47"</f>
        <v>2018-10-17 15:10:47</v>
      </c>
    </row>
    <row r="4391" spans="1:7" x14ac:dyDescent="0.2">
      <c r="A4391" t="s">
        <v>5575</v>
      </c>
      <c r="B4391" t="str">
        <f>"18777586632"</f>
        <v>18777586632</v>
      </c>
      <c r="C4391" t="str">
        <f>"450802199310268215"</f>
        <v>450802199310268215</v>
      </c>
      <c r="D4391" t="s">
        <v>1</v>
      </c>
      <c r="E4391" t="s">
        <v>1</v>
      </c>
      <c r="F4391" t="s">
        <v>0</v>
      </c>
      <c r="G4391" t="str">
        <f>"2018-10-17 15:07:39"</f>
        <v>2018-10-17 15:07:39</v>
      </c>
    </row>
    <row r="4392" spans="1:7" x14ac:dyDescent="0.2">
      <c r="A4392" t="s">
        <v>5576</v>
      </c>
      <c r="B4392" t="str">
        <f>"13701650713"</f>
        <v>13701650713</v>
      </c>
      <c r="C4392" t="str">
        <f>"220203197008181217"</f>
        <v>220203197008181217</v>
      </c>
      <c r="D4392" t="s">
        <v>1</v>
      </c>
      <c r="E4392" t="s">
        <v>1</v>
      </c>
      <c r="F4392" t="s">
        <v>0</v>
      </c>
      <c r="G4392" t="str">
        <f>"2018-10-17 15:09:25"</f>
        <v>2018-10-17 15:09:25</v>
      </c>
    </row>
    <row r="4393" spans="1:7" x14ac:dyDescent="0.2">
      <c r="A4393" t="s">
        <v>1</v>
      </c>
      <c r="B4393" t="str">
        <f>"13795585295"</f>
        <v>13795585295</v>
      </c>
      <c r="C4393" t="s">
        <v>1</v>
      </c>
      <c r="D4393" t="s">
        <v>1</v>
      </c>
      <c r="E4393" t="s">
        <v>1</v>
      </c>
      <c r="F4393" t="s">
        <v>0</v>
      </c>
      <c r="G4393" t="str">
        <f>"2018-10-17 15:08:20"</f>
        <v>2018-10-17 15:08:20</v>
      </c>
    </row>
    <row r="4394" spans="1:7" x14ac:dyDescent="0.2">
      <c r="A4394" t="s">
        <v>1</v>
      </c>
      <c r="B4394" t="str">
        <f>"18631380123"</f>
        <v>18631380123</v>
      </c>
      <c r="C4394" t="s">
        <v>1</v>
      </c>
      <c r="D4394" t="s">
        <v>1</v>
      </c>
      <c r="E4394" t="s">
        <v>1</v>
      </c>
      <c r="F4394" t="s">
        <v>0</v>
      </c>
      <c r="G4394" t="str">
        <f>"2018-10-17 15:07:31"</f>
        <v>2018-10-17 15:07:31</v>
      </c>
    </row>
    <row r="4395" spans="1:7" x14ac:dyDescent="0.2">
      <c r="A4395" t="s">
        <v>1</v>
      </c>
      <c r="B4395" t="str">
        <f>"13208961626"</f>
        <v>13208961626</v>
      </c>
      <c r="C4395" t="s">
        <v>1</v>
      </c>
      <c r="D4395" t="s">
        <v>1</v>
      </c>
      <c r="E4395" t="s">
        <v>1</v>
      </c>
      <c r="F4395" t="s">
        <v>0</v>
      </c>
      <c r="G4395" t="str">
        <f>"2018-10-17 15:05:53"</f>
        <v>2018-10-17 15:05:53</v>
      </c>
    </row>
    <row r="4396" spans="1:7" x14ac:dyDescent="0.2">
      <c r="A4396" t="s">
        <v>5577</v>
      </c>
      <c r="B4396" t="str">
        <f>"18636199213"</f>
        <v>18636199213</v>
      </c>
      <c r="C4396" t="str">
        <f>"140106199705182541"</f>
        <v>140106199705182541</v>
      </c>
      <c r="D4396" t="s">
        <v>1</v>
      </c>
      <c r="E4396" t="s">
        <v>1</v>
      </c>
      <c r="F4396" t="s">
        <v>0</v>
      </c>
      <c r="G4396" t="str">
        <f>"2018-10-17 15:23:53"</f>
        <v>2018-10-17 15:23:53</v>
      </c>
    </row>
    <row r="4397" spans="1:7" x14ac:dyDescent="0.2">
      <c r="A4397" t="s">
        <v>1</v>
      </c>
      <c r="B4397" t="str">
        <f>"17826920299"</f>
        <v>17826920299</v>
      </c>
      <c r="C4397" t="s">
        <v>1</v>
      </c>
      <c r="D4397" t="s">
        <v>1</v>
      </c>
      <c r="E4397" t="s">
        <v>1</v>
      </c>
      <c r="F4397" t="s">
        <v>0</v>
      </c>
      <c r="G4397" t="str">
        <f>"2018-10-17 15:05:39"</f>
        <v>2018-10-17 15:05:39</v>
      </c>
    </row>
    <row r="4398" spans="1:7" x14ac:dyDescent="0.2">
      <c r="A4398" t="s">
        <v>5578</v>
      </c>
      <c r="B4398" t="str">
        <f>"18707698540"</f>
        <v>18707698540</v>
      </c>
      <c r="C4398" t="str">
        <f>"430321199206199537"</f>
        <v>430321199206199537</v>
      </c>
      <c r="D4398" t="s">
        <v>1</v>
      </c>
      <c r="E4398" t="s">
        <v>1</v>
      </c>
      <c r="F4398" t="s">
        <v>0</v>
      </c>
      <c r="G4398" t="str">
        <f>"2018-10-21 09:40:14"</f>
        <v>2018-10-21 09:40:14</v>
      </c>
    </row>
    <row r="4399" spans="1:7" x14ac:dyDescent="0.2">
      <c r="A4399" t="s">
        <v>5579</v>
      </c>
      <c r="B4399" t="str">
        <f>"13825048250"</f>
        <v>13825048250</v>
      </c>
      <c r="C4399" t="str">
        <f>"441426199209260612"</f>
        <v>441426199209260612</v>
      </c>
      <c r="D4399" t="s">
        <v>1</v>
      </c>
      <c r="E4399" t="s">
        <v>1</v>
      </c>
      <c r="F4399" t="s">
        <v>0</v>
      </c>
      <c r="G4399" t="str">
        <f>"2018-10-29 22:54:26"</f>
        <v>2018-10-29 22:54:26</v>
      </c>
    </row>
    <row r="4400" spans="1:7" x14ac:dyDescent="0.2">
      <c r="A4400" t="s">
        <v>5579</v>
      </c>
      <c r="B4400" t="str">
        <f>"13825048250"</f>
        <v>13825048250</v>
      </c>
      <c r="C4400" t="str">
        <f>"441426199209260612"</f>
        <v>441426199209260612</v>
      </c>
      <c r="D4400" t="s">
        <v>1</v>
      </c>
      <c r="E4400" t="s">
        <v>1</v>
      </c>
      <c r="F4400" t="s">
        <v>0</v>
      </c>
      <c r="G4400" t="str">
        <f>"2018-10-29 22:54:26"</f>
        <v>2018-10-29 22:54:26</v>
      </c>
    </row>
    <row r="4401" spans="1:7" x14ac:dyDescent="0.2">
      <c r="A4401" t="s">
        <v>5580</v>
      </c>
      <c r="B4401" t="str">
        <f>"18311253813"</f>
        <v>18311253813</v>
      </c>
      <c r="C4401" t="str">
        <f>"220324198007013117"</f>
        <v>220324198007013117</v>
      </c>
      <c r="D4401" t="s">
        <v>1</v>
      </c>
      <c r="E4401" t="s">
        <v>1</v>
      </c>
      <c r="F4401" t="s">
        <v>0</v>
      </c>
      <c r="G4401" t="str">
        <f>"2018-10-17 15:05:30"</f>
        <v>2018-10-17 15:05:30</v>
      </c>
    </row>
    <row r="4402" spans="1:7" x14ac:dyDescent="0.2">
      <c r="A4402" t="s">
        <v>1</v>
      </c>
      <c r="B4402" t="str">
        <f>"15815890128"</f>
        <v>15815890128</v>
      </c>
      <c r="C4402" t="s">
        <v>1</v>
      </c>
      <c r="D4402" t="s">
        <v>1</v>
      </c>
      <c r="E4402" t="s">
        <v>1</v>
      </c>
      <c r="F4402" t="s">
        <v>0</v>
      </c>
      <c r="G4402" t="str">
        <f>"2018-10-17 15:05:25"</f>
        <v>2018-10-17 15:05:25</v>
      </c>
    </row>
    <row r="4403" spans="1:7" x14ac:dyDescent="0.2">
      <c r="A4403" t="s">
        <v>1</v>
      </c>
      <c r="B4403" t="str">
        <f>"18245974925"</f>
        <v>18245974925</v>
      </c>
      <c r="C4403" t="s">
        <v>1</v>
      </c>
      <c r="D4403" t="s">
        <v>1</v>
      </c>
      <c r="E4403" t="s">
        <v>1</v>
      </c>
      <c r="F4403" t="s">
        <v>0</v>
      </c>
      <c r="G4403" t="str">
        <f>"2018-10-17 15:05:17"</f>
        <v>2018-10-17 15:05:17</v>
      </c>
    </row>
    <row r="4404" spans="1:7" x14ac:dyDescent="0.2">
      <c r="A4404" t="s">
        <v>5581</v>
      </c>
      <c r="B4404" t="str">
        <f>"17877875921"</f>
        <v>17877875921</v>
      </c>
      <c r="C4404" t="str">
        <f>"452523198210107433"</f>
        <v>452523198210107433</v>
      </c>
      <c r="D4404" t="s">
        <v>1</v>
      </c>
      <c r="E4404" t="s">
        <v>1</v>
      </c>
      <c r="F4404" t="s">
        <v>0</v>
      </c>
      <c r="G4404" t="str">
        <f>"2018-10-17 15:07:37"</f>
        <v>2018-10-17 15:07:37</v>
      </c>
    </row>
    <row r="4405" spans="1:7" x14ac:dyDescent="0.2">
      <c r="A4405" t="s">
        <v>1</v>
      </c>
      <c r="B4405" t="str">
        <f>"15226871520"</f>
        <v>15226871520</v>
      </c>
      <c r="C4405" t="s">
        <v>1</v>
      </c>
      <c r="D4405" t="s">
        <v>1</v>
      </c>
      <c r="E4405" t="s">
        <v>1</v>
      </c>
      <c r="F4405" t="s">
        <v>0</v>
      </c>
      <c r="G4405" t="str">
        <f>"2018-10-17 15:05:12"</f>
        <v>2018-10-17 15:05:12</v>
      </c>
    </row>
    <row r="4406" spans="1:7" x14ac:dyDescent="0.2">
      <c r="A4406" t="s">
        <v>5582</v>
      </c>
      <c r="B4406" t="str">
        <f>"15179227335"</f>
        <v>15179227335</v>
      </c>
      <c r="C4406" t="str">
        <f>"360428199110074512"</f>
        <v>360428199110074512</v>
      </c>
      <c r="D4406" t="s">
        <v>1</v>
      </c>
      <c r="E4406" t="s">
        <v>1</v>
      </c>
      <c r="F4406" t="s">
        <v>0</v>
      </c>
      <c r="G4406" t="str">
        <f>"2018-10-17 15:38:06"</f>
        <v>2018-10-17 15:38:06</v>
      </c>
    </row>
    <row r="4407" spans="1:7" x14ac:dyDescent="0.2">
      <c r="A4407" t="s">
        <v>271</v>
      </c>
      <c r="B4407" t="str">
        <f>"13886760005"</f>
        <v>13886760005</v>
      </c>
      <c r="C4407" t="str">
        <f>"422801198609262614"</f>
        <v>422801198609262614</v>
      </c>
      <c r="D4407" t="s">
        <v>1</v>
      </c>
      <c r="E4407" t="s">
        <v>1</v>
      </c>
      <c r="F4407" t="s">
        <v>0</v>
      </c>
      <c r="G4407" t="str">
        <f>"2018-10-17 15:05:09"</f>
        <v>2018-10-17 15:05:09</v>
      </c>
    </row>
    <row r="4408" spans="1:7" x14ac:dyDescent="0.2">
      <c r="A4408" t="s">
        <v>1</v>
      </c>
      <c r="B4408" t="str">
        <f>"13962584139"</f>
        <v>13962584139</v>
      </c>
      <c r="C4408" t="s">
        <v>1</v>
      </c>
      <c r="D4408" t="s">
        <v>1</v>
      </c>
      <c r="E4408" t="s">
        <v>1</v>
      </c>
      <c r="F4408" t="s">
        <v>0</v>
      </c>
      <c r="G4408" t="str">
        <f>"2018-10-17 15:08:21"</f>
        <v>2018-10-17 15:08:21</v>
      </c>
    </row>
    <row r="4409" spans="1:7" x14ac:dyDescent="0.2">
      <c r="A4409" t="s">
        <v>5583</v>
      </c>
      <c r="B4409" t="str">
        <f>"18700883630"</f>
        <v>18700883630</v>
      </c>
      <c r="C4409" t="str">
        <f>"612732199504271812"</f>
        <v>612732199504271812</v>
      </c>
      <c r="D4409" t="s">
        <v>1</v>
      </c>
      <c r="E4409" t="s">
        <v>1</v>
      </c>
      <c r="F4409" t="s">
        <v>0</v>
      </c>
      <c r="G4409" t="str">
        <f>"2018-10-17 15:08:02"</f>
        <v>2018-10-17 15:08:02</v>
      </c>
    </row>
    <row r="4410" spans="1:7" x14ac:dyDescent="0.2">
      <c r="A4410" t="s">
        <v>5584</v>
      </c>
      <c r="B4410" t="str">
        <f>"13607957985"</f>
        <v>13607957985</v>
      </c>
      <c r="C4410" t="str">
        <f>"362201198502250016"</f>
        <v>362201198502250016</v>
      </c>
      <c r="D4410" t="s">
        <v>5585</v>
      </c>
      <c r="E4410" t="s">
        <v>5586</v>
      </c>
      <c r="F4410" t="s">
        <v>0</v>
      </c>
      <c r="G4410" t="str">
        <f>"2018-10-17 15:06:06"</f>
        <v>2018-10-17 15:06:06</v>
      </c>
    </row>
    <row r="4411" spans="1:7" x14ac:dyDescent="0.2">
      <c r="A4411" t="s">
        <v>1</v>
      </c>
      <c r="B4411" t="str">
        <f>"13419045626"</f>
        <v>13419045626</v>
      </c>
      <c r="C4411" t="s">
        <v>1</v>
      </c>
      <c r="D4411" t="s">
        <v>1</v>
      </c>
      <c r="E4411" t="s">
        <v>1</v>
      </c>
      <c r="F4411" t="s">
        <v>0</v>
      </c>
      <c r="G4411" t="str">
        <f>"2018-10-17 15:04:49"</f>
        <v>2018-10-17 15:04:49</v>
      </c>
    </row>
    <row r="4412" spans="1:7" x14ac:dyDescent="0.2">
      <c r="A4412" t="s">
        <v>1</v>
      </c>
      <c r="B4412" t="str">
        <f>"15738201119"</f>
        <v>15738201119</v>
      </c>
      <c r="C4412" t="s">
        <v>1</v>
      </c>
      <c r="D4412" t="s">
        <v>1</v>
      </c>
      <c r="E4412" t="s">
        <v>1</v>
      </c>
      <c r="F4412" t="s">
        <v>0</v>
      </c>
      <c r="G4412" t="str">
        <f>"2018-10-17 15:04:44"</f>
        <v>2018-10-17 15:04:44</v>
      </c>
    </row>
    <row r="4413" spans="1:7" x14ac:dyDescent="0.2">
      <c r="A4413" t="s">
        <v>1</v>
      </c>
      <c r="B4413" t="str">
        <f>"15871772100"</f>
        <v>15871772100</v>
      </c>
      <c r="C4413" t="s">
        <v>1</v>
      </c>
      <c r="D4413" t="s">
        <v>1</v>
      </c>
      <c r="E4413" t="s">
        <v>1</v>
      </c>
      <c r="F4413" t="s">
        <v>0</v>
      </c>
      <c r="G4413" t="str">
        <f>"2018-10-17 15:07:30"</f>
        <v>2018-10-17 15:07:30</v>
      </c>
    </row>
    <row r="4414" spans="1:7" x14ac:dyDescent="0.2">
      <c r="A4414" t="s">
        <v>1</v>
      </c>
      <c r="B4414" t="str">
        <f>"13414062706"</f>
        <v>13414062706</v>
      </c>
      <c r="C4414" t="s">
        <v>1</v>
      </c>
      <c r="D4414" t="s">
        <v>1</v>
      </c>
      <c r="E4414" t="s">
        <v>1</v>
      </c>
      <c r="F4414" t="s">
        <v>0</v>
      </c>
      <c r="G4414" t="str">
        <f>"2018-10-17 15:06:29"</f>
        <v>2018-10-17 15:06:29</v>
      </c>
    </row>
    <row r="4415" spans="1:7" x14ac:dyDescent="0.2">
      <c r="A4415" t="s">
        <v>145</v>
      </c>
      <c r="B4415" t="str">
        <f>"15024384693"</f>
        <v>15024384693</v>
      </c>
      <c r="C4415" t="str">
        <f>"330781199102091112"</f>
        <v>330781199102091112</v>
      </c>
      <c r="D4415" t="s">
        <v>5587</v>
      </c>
      <c r="E4415" t="s">
        <v>5588</v>
      </c>
      <c r="F4415" t="s">
        <v>0</v>
      </c>
      <c r="G4415" t="str">
        <f>"2018-10-17 15:05:45"</f>
        <v>2018-10-17 15:05:45</v>
      </c>
    </row>
    <row r="4416" spans="1:7" x14ac:dyDescent="0.2">
      <c r="A4416" t="s">
        <v>5589</v>
      </c>
      <c r="B4416" t="str">
        <f>"13790250816"</f>
        <v>13790250816</v>
      </c>
      <c r="C4416" t="str">
        <f>"44190019881013435X"</f>
        <v>44190019881013435X</v>
      </c>
      <c r="D4416" t="s">
        <v>5590</v>
      </c>
      <c r="E4416" t="s">
        <v>5591</v>
      </c>
      <c r="F4416" t="s">
        <v>0</v>
      </c>
      <c r="G4416" t="str">
        <f>"2018-10-17 15:06:36"</f>
        <v>2018-10-17 15:06:36</v>
      </c>
    </row>
    <row r="4417" spans="1:7" x14ac:dyDescent="0.2">
      <c r="A4417" t="s">
        <v>5592</v>
      </c>
      <c r="B4417" t="str">
        <f>"13905081982"</f>
        <v>13905081982</v>
      </c>
      <c r="C4417" t="str">
        <f>"350521198209156563"</f>
        <v>350521198209156563</v>
      </c>
      <c r="D4417" t="s">
        <v>5593</v>
      </c>
      <c r="E4417" t="s">
        <v>5594</v>
      </c>
      <c r="F4417" t="s">
        <v>0</v>
      </c>
      <c r="G4417" t="str">
        <f>"2018-10-17 15:06:24"</f>
        <v>2018-10-17 15:06:24</v>
      </c>
    </row>
    <row r="4418" spans="1:7" x14ac:dyDescent="0.2">
      <c r="A4418" t="s">
        <v>1</v>
      </c>
      <c r="B4418" t="str">
        <f>"18224060696"</f>
        <v>18224060696</v>
      </c>
      <c r="C4418" t="s">
        <v>1</v>
      </c>
      <c r="D4418" t="s">
        <v>1</v>
      </c>
      <c r="E4418" t="s">
        <v>1</v>
      </c>
      <c r="F4418" t="s">
        <v>0</v>
      </c>
      <c r="G4418" t="str">
        <f>"2018-10-17 15:04:06"</f>
        <v>2018-10-17 15:04:06</v>
      </c>
    </row>
    <row r="4419" spans="1:7" x14ac:dyDescent="0.2">
      <c r="A4419" t="s">
        <v>5595</v>
      </c>
      <c r="B4419" t="str">
        <f>"18824146836"</f>
        <v>18824146836</v>
      </c>
      <c r="C4419" t="str">
        <f>"360722198406250312"</f>
        <v>360722198406250312</v>
      </c>
      <c r="D4419" t="s">
        <v>1</v>
      </c>
      <c r="E4419" t="s">
        <v>1</v>
      </c>
      <c r="F4419" t="s">
        <v>0</v>
      </c>
      <c r="G4419" t="str">
        <f>"2018-10-24 16:23:50"</f>
        <v>2018-10-24 16:23:50</v>
      </c>
    </row>
    <row r="4420" spans="1:7" x14ac:dyDescent="0.2">
      <c r="A4420" t="s">
        <v>1</v>
      </c>
      <c r="B4420" t="str">
        <f>"13756617209"</f>
        <v>13756617209</v>
      </c>
      <c r="C4420" t="s">
        <v>1</v>
      </c>
      <c r="D4420" t="s">
        <v>1</v>
      </c>
      <c r="E4420" t="s">
        <v>1</v>
      </c>
      <c r="F4420" t="s">
        <v>0</v>
      </c>
      <c r="G4420" t="str">
        <f>"2018-10-17 15:03:46"</f>
        <v>2018-10-17 15:03:46</v>
      </c>
    </row>
    <row r="4421" spans="1:7" x14ac:dyDescent="0.2">
      <c r="A4421" t="s">
        <v>1</v>
      </c>
      <c r="B4421" t="str">
        <f>"18316118823"</f>
        <v>18316118823</v>
      </c>
      <c r="C4421" t="s">
        <v>1</v>
      </c>
      <c r="D4421" t="s">
        <v>1</v>
      </c>
      <c r="E4421" t="s">
        <v>1</v>
      </c>
      <c r="F4421" t="s">
        <v>0</v>
      </c>
      <c r="G4421" t="str">
        <f>"2018-10-17 15:03:44"</f>
        <v>2018-10-17 15:03:44</v>
      </c>
    </row>
    <row r="4422" spans="1:7" x14ac:dyDescent="0.2">
      <c r="A4422" t="s">
        <v>1</v>
      </c>
      <c r="B4422" t="str">
        <f>"13974689247"</f>
        <v>13974689247</v>
      </c>
      <c r="C4422" t="s">
        <v>1</v>
      </c>
      <c r="D4422" t="s">
        <v>1</v>
      </c>
      <c r="E4422" t="s">
        <v>1</v>
      </c>
      <c r="F4422" t="s">
        <v>0</v>
      </c>
      <c r="G4422" t="str">
        <f>"2018-10-17 15:03:30"</f>
        <v>2018-10-17 15:03:30</v>
      </c>
    </row>
    <row r="4423" spans="1:7" x14ac:dyDescent="0.2">
      <c r="A4423" t="s">
        <v>5596</v>
      </c>
      <c r="B4423" t="str">
        <f>"15131556915"</f>
        <v>15131556915</v>
      </c>
      <c r="C4423" t="str">
        <f>"130227198803101611"</f>
        <v>130227198803101611</v>
      </c>
      <c r="D4423" t="s">
        <v>1</v>
      </c>
      <c r="E4423" t="s">
        <v>1</v>
      </c>
      <c r="F4423" t="s">
        <v>0</v>
      </c>
      <c r="G4423" t="str">
        <f>"2018-10-17 15:04:56"</f>
        <v>2018-10-17 15:04:56</v>
      </c>
    </row>
    <row r="4424" spans="1:7" x14ac:dyDescent="0.2">
      <c r="A4424" t="s">
        <v>1</v>
      </c>
      <c r="B4424" t="str">
        <f>"13438156595"</f>
        <v>13438156595</v>
      </c>
      <c r="C4424" t="s">
        <v>1</v>
      </c>
      <c r="D4424" t="s">
        <v>1</v>
      </c>
      <c r="E4424" t="s">
        <v>1</v>
      </c>
      <c r="F4424" t="s">
        <v>0</v>
      </c>
      <c r="G4424" t="str">
        <f>"2018-10-17 15:03:04"</f>
        <v>2018-10-17 15:03:04</v>
      </c>
    </row>
    <row r="4425" spans="1:7" x14ac:dyDescent="0.2">
      <c r="A4425" t="s">
        <v>5597</v>
      </c>
      <c r="B4425" t="str">
        <f>"15261502396"</f>
        <v>15261502396</v>
      </c>
      <c r="C4425" t="str">
        <f>"320924199111121450"</f>
        <v>320924199111121450</v>
      </c>
      <c r="D4425" t="s">
        <v>1</v>
      </c>
      <c r="E4425" t="s">
        <v>1</v>
      </c>
      <c r="F4425" t="s">
        <v>0</v>
      </c>
      <c r="G4425" t="str">
        <f>"2018-10-17 15:06:27"</f>
        <v>2018-10-17 15:06:27</v>
      </c>
    </row>
    <row r="4426" spans="1:7" x14ac:dyDescent="0.2">
      <c r="A4426" t="s">
        <v>5598</v>
      </c>
      <c r="B4426" t="str">
        <f>"17828835748"</f>
        <v>17828835748</v>
      </c>
      <c r="C4426" t="str">
        <f>"51152419941228272X"</f>
        <v>51152419941228272X</v>
      </c>
      <c r="D4426" t="s">
        <v>1</v>
      </c>
      <c r="E4426" t="s">
        <v>1</v>
      </c>
      <c r="F4426" t="s">
        <v>0</v>
      </c>
      <c r="G4426" t="str">
        <f>"2018-10-17 15:02:50"</f>
        <v>2018-10-17 15:02:50</v>
      </c>
    </row>
    <row r="4427" spans="1:7" x14ac:dyDescent="0.2">
      <c r="A4427" t="s">
        <v>5599</v>
      </c>
      <c r="B4427" t="str">
        <f>"13952176950"</f>
        <v>13952176950</v>
      </c>
      <c r="C4427" t="str">
        <f>"320303197605010431"</f>
        <v>320303197605010431</v>
      </c>
      <c r="D4427" t="s">
        <v>1</v>
      </c>
      <c r="E4427" t="s">
        <v>1</v>
      </c>
      <c r="F4427" t="s">
        <v>0</v>
      </c>
      <c r="G4427" t="str">
        <f>"2018-10-17 15:02:49"</f>
        <v>2018-10-17 15:02:49</v>
      </c>
    </row>
    <row r="4428" spans="1:7" x14ac:dyDescent="0.2">
      <c r="A4428" t="s">
        <v>1</v>
      </c>
      <c r="B4428" t="str">
        <f>"13971155686"</f>
        <v>13971155686</v>
      </c>
      <c r="C4428" t="s">
        <v>1</v>
      </c>
      <c r="D4428" t="s">
        <v>1</v>
      </c>
      <c r="E4428" t="s">
        <v>1</v>
      </c>
      <c r="F4428" t="s">
        <v>0</v>
      </c>
      <c r="G4428" t="str">
        <f>"2018-10-17 15:08:33"</f>
        <v>2018-10-17 15:08:33</v>
      </c>
    </row>
    <row r="4429" spans="1:7" x14ac:dyDescent="0.2">
      <c r="A4429" t="s">
        <v>414</v>
      </c>
      <c r="B4429" t="str">
        <f>"15922585088"</f>
        <v>15922585088</v>
      </c>
      <c r="C4429" t="str">
        <f>"510229197309020794"</f>
        <v>510229197309020794</v>
      </c>
      <c r="D4429" t="s">
        <v>1</v>
      </c>
      <c r="E4429" t="s">
        <v>1</v>
      </c>
      <c r="F4429" t="s">
        <v>0</v>
      </c>
      <c r="G4429" t="str">
        <f>"2018-10-17 15:06:12"</f>
        <v>2018-10-17 15:06:12</v>
      </c>
    </row>
    <row r="4430" spans="1:7" x14ac:dyDescent="0.2">
      <c r="A4430" t="s">
        <v>5600</v>
      </c>
      <c r="B4430" t="str">
        <f>"18728389311"</f>
        <v>18728389311</v>
      </c>
      <c r="C4430" t="str">
        <f>"511602198801173917"</f>
        <v>511602198801173917</v>
      </c>
      <c r="D4430" t="s">
        <v>1</v>
      </c>
      <c r="E4430" t="s">
        <v>1</v>
      </c>
      <c r="F4430" t="s">
        <v>0</v>
      </c>
      <c r="G4430" t="str">
        <f>"2018-10-17 15:43:06"</f>
        <v>2018-10-17 15:43:06</v>
      </c>
    </row>
    <row r="4431" spans="1:7" x14ac:dyDescent="0.2">
      <c r="A4431" t="s">
        <v>5601</v>
      </c>
      <c r="B4431" t="str">
        <f>"13535574548"</f>
        <v>13535574548</v>
      </c>
      <c r="C4431" t="str">
        <f>"440582198007040671"</f>
        <v>440582198007040671</v>
      </c>
      <c r="D4431" t="s">
        <v>5602</v>
      </c>
      <c r="E4431" t="s">
        <v>5603</v>
      </c>
      <c r="F4431" t="s">
        <v>0</v>
      </c>
      <c r="G4431" t="str">
        <f>"2018-10-17 15:07:57"</f>
        <v>2018-10-17 15:07:57</v>
      </c>
    </row>
    <row r="4432" spans="1:7" x14ac:dyDescent="0.2">
      <c r="A4432" t="s">
        <v>143</v>
      </c>
      <c r="B4432" t="str">
        <f>"18285752567"</f>
        <v>18285752567</v>
      </c>
      <c r="C4432" t="str">
        <f>"522423198807100827"</f>
        <v>522423198807100827</v>
      </c>
      <c r="D4432" t="s">
        <v>1</v>
      </c>
      <c r="E4432" t="s">
        <v>1</v>
      </c>
      <c r="F4432" t="s">
        <v>0</v>
      </c>
      <c r="G4432" t="str">
        <f>"2018-10-17 15:07:26"</f>
        <v>2018-10-17 15:07:26</v>
      </c>
    </row>
    <row r="4433" spans="1:7" x14ac:dyDescent="0.2">
      <c r="A4433" t="s">
        <v>5604</v>
      </c>
      <c r="B4433" t="str">
        <f>"18779081051"</f>
        <v>18779081051</v>
      </c>
      <c r="C4433" t="str">
        <f>"360729199104112415"</f>
        <v>360729199104112415</v>
      </c>
      <c r="D4433" t="s">
        <v>5605</v>
      </c>
      <c r="E4433" t="s">
        <v>5606</v>
      </c>
      <c r="F4433" t="s">
        <v>0</v>
      </c>
      <c r="G4433" t="str">
        <f>"2018-10-17 15:04:34"</f>
        <v>2018-10-17 15:04:34</v>
      </c>
    </row>
    <row r="4434" spans="1:7" x14ac:dyDescent="0.2">
      <c r="A4434" t="s">
        <v>5607</v>
      </c>
      <c r="B4434" t="str">
        <f>"15116875863"</f>
        <v>15116875863</v>
      </c>
      <c r="C4434" t="str">
        <f>"430481199305267197"</f>
        <v>430481199305267197</v>
      </c>
      <c r="D4434" t="s">
        <v>1</v>
      </c>
      <c r="E4434" t="s">
        <v>1</v>
      </c>
      <c r="F4434" t="s">
        <v>0</v>
      </c>
      <c r="G4434" t="str">
        <f>"2018-10-17 15:10:56"</f>
        <v>2018-10-17 15:10:56</v>
      </c>
    </row>
    <row r="4435" spans="1:7" x14ac:dyDescent="0.2">
      <c r="A4435" t="s">
        <v>5608</v>
      </c>
      <c r="B4435" t="str">
        <f>"15827888844"</f>
        <v>15827888844</v>
      </c>
      <c r="C4435" t="str">
        <f>"420802198707020357"</f>
        <v>420802198707020357</v>
      </c>
      <c r="D4435" t="s">
        <v>1</v>
      </c>
      <c r="E4435" t="s">
        <v>1</v>
      </c>
      <c r="F4435" t="s">
        <v>0</v>
      </c>
      <c r="G4435" t="str">
        <f>"2018-10-17 15:02:54"</f>
        <v>2018-10-17 15:02:54</v>
      </c>
    </row>
    <row r="4436" spans="1:7" x14ac:dyDescent="0.2">
      <c r="A4436" t="s">
        <v>1</v>
      </c>
      <c r="B4436" t="str">
        <f>"15750711910"</f>
        <v>15750711910</v>
      </c>
      <c r="C4436" t="s">
        <v>1</v>
      </c>
      <c r="D4436" t="s">
        <v>1</v>
      </c>
      <c r="E4436" t="s">
        <v>1</v>
      </c>
      <c r="F4436" t="s">
        <v>0</v>
      </c>
      <c r="G4436" t="str">
        <f>"2018-10-17 15:01:50"</f>
        <v>2018-10-17 15:01:50</v>
      </c>
    </row>
    <row r="4437" spans="1:7" x14ac:dyDescent="0.2">
      <c r="A4437" t="s">
        <v>1</v>
      </c>
      <c r="B4437" t="str">
        <f>"18387740272"</f>
        <v>18387740272</v>
      </c>
      <c r="C4437" t="s">
        <v>1</v>
      </c>
      <c r="D4437" t="s">
        <v>1</v>
      </c>
      <c r="E4437" t="s">
        <v>1</v>
      </c>
      <c r="F4437" t="s">
        <v>0</v>
      </c>
      <c r="G4437" t="str">
        <f>"2018-10-17 15:01:48"</f>
        <v>2018-10-17 15:01:48</v>
      </c>
    </row>
    <row r="4438" spans="1:7" x14ac:dyDescent="0.2">
      <c r="A4438" t="s">
        <v>351</v>
      </c>
      <c r="B4438" t="str">
        <f>"13512400443"</f>
        <v>13512400443</v>
      </c>
      <c r="C4438" t="str">
        <f>"120102199104070318"</f>
        <v>120102199104070318</v>
      </c>
      <c r="D4438" t="s">
        <v>1</v>
      </c>
      <c r="E4438" t="s">
        <v>1</v>
      </c>
      <c r="F4438" t="s">
        <v>0</v>
      </c>
      <c r="G4438" t="str">
        <f>"2018-10-17 15:26:18"</f>
        <v>2018-10-17 15:26:18</v>
      </c>
    </row>
    <row r="4439" spans="1:7" x14ac:dyDescent="0.2">
      <c r="A4439" t="s">
        <v>823</v>
      </c>
      <c r="B4439" t="str">
        <f>"13936606091"</f>
        <v>13936606091</v>
      </c>
      <c r="C4439" t="str">
        <f>"232102198902023914"</f>
        <v>232102198902023914</v>
      </c>
      <c r="D4439" t="s">
        <v>1</v>
      </c>
      <c r="E4439" t="s">
        <v>1</v>
      </c>
      <c r="F4439" t="s">
        <v>0</v>
      </c>
      <c r="G4439" t="str">
        <f>"2018-10-17 15:02:27"</f>
        <v>2018-10-17 15:02:27</v>
      </c>
    </row>
    <row r="4440" spans="1:7" x14ac:dyDescent="0.2">
      <c r="A4440" t="s">
        <v>1277</v>
      </c>
      <c r="B4440" t="str">
        <f>"13910072445"</f>
        <v>13910072445</v>
      </c>
      <c r="C4440" t="str">
        <f>"230231198112293333"</f>
        <v>230231198112293333</v>
      </c>
      <c r="D4440" t="s">
        <v>5609</v>
      </c>
      <c r="E4440" t="s">
        <v>5610</v>
      </c>
      <c r="F4440" t="s">
        <v>0</v>
      </c>
      <c r="G4440" t="str">
        <f>"2018-10-23 11:17:43"</f>
        <v>2018-10-23 11:17:43</v>
      </c>
    </row>
    <row r="4441" spans="1:7" x14ac:dyDescent="0.2">
      <c r="A4441" t="s">
        <v>5611</v>
      </c>
      <c r="B4441" t="str">
        <f>"18280712435"</f>
        <v>18280712435</v>
      </c>
      <c r="C4441" t="str">
        <f>"510304198908062016"</f>
        <v>510304198908062016</v>
      </c>
      <c r="D4441" t="s">
        <v>5612</v>
      </c>
      <c r="E4441" t="s">
        <v>5613</v>
      </c>
      <c r="F4441" t="s">
        <v>0</v>
      </c>
      <c r="G4441" t="str">
        <f>"2018-10-17 15:02:51"</f>
        <v>2018-10-17 15:02:51</v>
      </c>
    </row>
    <row r="4442" spans="1:7" x14ac:dyDescent="0.2">
      <c r="A4442" t="s">
        <v>1</v>
      </c>
      <c r="B4442" t="str">
        <f>"13643562264"</f>
        <v>13643562264</v>
      </c>
      <c r="C4442" t="s">
        <v>1</v>
      </c>
      <c r="D4442" t="s">
        <v>1</v>
      </c>
      <c r="E4442" t="s">
        <v>1</v>
      </c>
      <c r="F4442" t="s">
        <v>0</v>
      </c>
      <c r="G4442" t="str">
        <f>"2018-10-17 15:01:25"</f>
        <v>2018-10-17 15:01:25</v>
      </c>
    </row>
    <row r="4443" spans="1:7" x14ac:dyDescent="0.2">
      <c r="A4443" t="s">
        <v>5614</v>
      </c>
      <c r="B4443" t="str">
        <f>"13850089881"</f>
        <v>13850089881</v>
      </c>
      <c r="C4443" t="str">
        <f>"350206198505201015"</f>
        <v>350206198505201015</v>
      </c>
      <c r="D4443" t="s">
        <v>1</v>
      </c>
      <c r="E4443" t="s">
        <v>1</v>
      </c>
      <c r="F4443" t="s">
        <v>0</v>
      </c>
      <c r="G4443" t="str">
        <f>"2018-10-17 15:05:57"</f>
        <v>2018-10-17 15:05:57</v>
      </c>
    </row>
    <row r="4444" spans="1:7" x14ac:dyDescent="0.2">
      <c r="A4444" t="s">
        <v>5615</v>
      </c>
      <c r="B4444" t="str">
        <f>"15185399905"</f>
        <v>15185399905</v>
      </c>
      <c r="C4444" t="str">
        <f>"52252919910412541X"</f>
        <v>52252919910412541X</v>
      </c>
      <c r="D4444" t="s">
        <v>1</v>
      </c>
      <c r="E4444" t="s">
        <v>1</v>
      </c>
      <c r="F4444" t="s">
        <v>0</v>
      </c>
      <c r="G4444" t="str">
        <f>"2018-10-17 15:02:13"</f>
        <v>2018-10-17 15:02:13</v>
      </c>
    </row>
    <row r="4445" spans="1:7" x14ac:dyDescent="0.2">
      <c r="A4445" t="s">
        <v>44</v>
      </c>
      <c r="B4445" t="str">
        <f>"15156675656"</f>
        <v>15156675656</v>
      </c>
      <c r="C4445" t="str">
        <f>"341202198406240215"</f>
        <v>341202198406240215</v>
      </c>
      <c r="D4445" t="s">
        <v>1</v>
      </c>
      <c r="E4445" t="s">
        <v>1</v>
      </c>
      <c r="F4445" t="s">
        <v>0</v>
      </c>
      <c r="G4445" t="str">
        <f>"2018-10-17 15:05:08"</f>
        <v>2018-10-17 15:05:08</v>
      </c>
    </row>
    <row r="4446" spans="1:7" x14ac:dyDescent="0.2">
      <c r="A4446" t="s">
        <v>3537</v>
      </c>
      <c r="B4446" t="str">
        <f>"13996761668"</f>
        <v>13996761668</v>
      </c>
      <c r="C4446" t="str">
        <f>"500102199506298471"</f>
        <v>500102199506298471</v>
      </c>
      <c r="D4446" t="s">
        <v>1</v>
      </c>
      <c r="E4446" t="s">
        <v>1</v>
      </c>
      <c r="F4446" t="s">
        <v>0</v>
      </c>
      <c r="G4446" t="str">
        <f>"2018-10-23 16:39:47"</f>
        <v>2018-10-23 16:39:47</v>
      </c>
    </row>
    <row r="4447" spans="1:7" x14ac:dyDescent="0.2">
      <c r="A4447" t="s">
        <v>1</v>
      </c>
      <c r="B4447" t="str">
        <f>"13897194433"</f>
        <v>13897194433</v>
      </c>
      <c r="C4447" t="s">
        <v>1</v>
      </c>
      <c r="D4447" t="s">
        <v>1</v>
      </c>
      <c r="E4447" t="s">
        <v>1</v>
      </c>
      <c r="F4447" t="s">
        <v>0</v>
      </c>
      <c r="G4447" t="str">
        <f>"2018-10-17 15:01:15"</f>
        <v>2018-10-17 15:01:15</v>
      </c>
    </row>
    <row r="4448" spans="1:7" x14ac:dyDescent="0.2">
      <c r="A4448" t="s">
        <v>5616</v>
      </c>
      <c r="B4448" t="str">
        <f>"13400440872"</f>
        <v>13400440872</v>
      </c>
      <c r="C4448" t="str">
        <f>"13062719850210321X"</f>
        <v>13062719850210321X</v>
      </c>
      <c r="D4448" t="s">
        <v>1</v>
      </c>
      <c r="E4448" t="s">
        <v>1</v>
      </c>
      <c r="F4448" t="s">
        <v>0</v>
      </c>
      <c r="G4448" t="str">
        <f>"2018-10-17 15:02:30"</f>
        <v>2018-10-17 15:02:30</v>
      </c>
    </row>
    <row r="4449" spans="1:7" x14ac:dyDescent="0.2">
      <c r="A4449" t="s">
        <v>5617</v>
      </c>
      <c r="B4449" t="str">
        <f>"18367265570"</f>
        <v>18367265570</v>
      </c>
      <c r="C4449" t="str">
        <f>"411481198612207517"</f>
        <v>411481198612207517</v>
      </c>
      <c r="D4449" t="s">
        <v>1</v>
      </c>
      <c r="E4449" t="s">
        <v>1</v>
      </c>
      <c r="F4449" t="s">
        <v>0</v>
      </c>
      <c r="G4449" t="str">
        <f>"2018-10-17 15:07:13"</f>
        <v>2018-10-17 15:07:13</v>
      </c>
    </row>
    <row r="4450" spans="1:7" x14ac:dyDescent="0.2">
      <c r="A4450" t="s">
        <v>5618</v>
      </c>
      <c r="B4450" t="str">
        <f>"18384182922"</f>
        <v>18384182922</v>
      </c>
      <c r="C4450" t="str">
        <f>"513021198706157650"</f>
        <v>513021198706157650</v>
      </c>
      <c r="D4450" t="s">
        <v>1</v>
      </c>
      <c r="E4450" t="s">
        <v>1</v>
      </c>
      <c r="F4450" t="s">
        <v>0</v>
      </c>
      <c r="G4450" t="str">
        <f>"2018-10-17 15:06:35"</f>
        <v>2018-10-17 15:06:35</v>
      </c>
    </row>
    <row r="4451" spans="1:7" x14ac:dyDescent="0.2">
      <c r="A4451" t="s">
        <v>5619</v>
      </c>
      <c r="B4451" t="str">
        <f>"17606746451"</f>
        <v>17606746451</v>
      </c>
      <c r="C4451" t="str">
        <f>"332525199905010013"</f>
        <v>332525199905010013</v>
      </c>
      <c r="D4451" t="s">
        <v>1</v>
      </c>
      <c r="E4451" t="s">
        <v>1</v>
      </c>
      <c r="F4451" t="s">
        <v>0</v>
      </c>
      <c r="G4451" t="str">
        <f>"2018-10-17 15:05:18"</f>
        <v>2018-10-17 15:05:18</v>
      </c>
    </row>
    <row r="4452" spans="1:7" x14ac:dyDescent="0.2">
      <c r="A4452" t="s">
        <v>916</v>
      </c>
      <c r="B4452" t="str">
        <f>"13008917506"</f>
        <v>13008917506</v>
      </c>
      <c r="C4452" t="str">
        <f>"340827198911141014"</f>
        <v>340827198911141014</v>
      </c>
      <c r="D4452" t="s">
        <v>1</v>
      </c>
      <c r="E4452" t="s">
        <v>1</v>
      </c>
      <c r="F4452" t="s">
        <v>0</v>
      </c>
      <c r="G4452" t="str">
        <f>"2018-10-17 15:03:31"</f>
        <v>2018-10-17 15:03:31</v>
      </c>
    </row>
    <row r="4453" spans="1:7" x14ac:dyDescent="0.2">
      <c r="A4453" t="s">
        <v>5620</v>
      </c>
      <c r="B4453" t="str">
        <f>"15867372592"</f>
        <v>15867372592</v>
      </c>
      <c r="C4453" t="str">
        <f>"330226198707267030"</f>
        <v>330226198707267030</v>
      </c>
      <c r="D4453" t="s">
        <v>5621</v>
      </c>
      <c r="E4453" t="s">
        <v>5622</v>
      </c>
      <c r="F4453" t="s">
        <v>0</v>
      </c>
      <c r="G4453" t="str">
        <f>"2018-10-17 15:02:34"</f>
        <v>2018-10-17 15:02:34</v>
      </c>
    </row>
    <row r="4454" spans="1:7" x14ac:dyDescent="0.2">
      <c r="A4454" t="s">
        <v>5623</v>
      </c>
      <c r="B4454" t="str">
        <f>"15277187763"</f>
        <v>15277187763</v>
      </c>
      <c r="C4454" t="str">
        <f>"45088119960405324X"</f>
        <v>45088119960405324X</v>
      </c>
      <c r="D4454" t="s">
        <v>1</v>
      </c>
      <c r="E4454" t="s">
        <v>1</v>
      </c>
      <c r="F4454" t="s">
        <v>0</v>
      </c>
      <c r="G4454" t="str">
        <f>"2018-10-17 15:06:03"</f>
        <v>2018-10-17 15:06:03</v>
      </c>
    </row>
    <row r="4455" spans="1:7" x14ac:dyDescent="0.2">
      <c r="A4455" t="s">
        <v>1</v>
      </c>
      <c r="B4455" t="str">
        <f>"18268979133"</f>
        <v>18268979133</v>
      </c>
      <c r="C4455" t="s">
        <v>1</v>
      </c>
      <c r="D4455" t="s">
        <v>1</v>
      </c>
      <c r="E4455" t="s">
        <v>1</v>
      </c>
      <c r="F4455" t="s">
        <v>0</v>
      </c>
      <c r="G4455" t="str">
        <f>"2018-10-17 15:00:42"</f>
        <v>2018-10-17 15:00:42</v>
      </c>
    </row>
    <row r="4456" spans="1:7" x14ac:dyDescent="0.2">
      <c r="A4456" t="s">
        <v>1</v>
      </c>
      <c r="B4456" t="str">
        <f>"15914962925"</f>
        <v>15914962925</v>
      </c>
      <c r="C4456" t="s">
        <v>1</v>
      </c>
      <c r="D4456" t="s">
        <v>1</v>
      </c>
      <c r="E4456" t="s">
        <v>1</v>
      </c>
      <c r="F4456" t="s">
        <v>0</v>
      </c>
      <c r="G4456" t="str">
        <f>"2018-10-17 15:00:30"</f>
        <v>2018-10-17 15:00:30</v>
      </c>
    </row>
    <row r="4457" spans="1:7" x14ac:dyDescent="0.2">
      <c r="A4457" t="s">
        <v>1369</v>
      </c>
      <c r="B4457" t="str">
        <f>"15554455807"</f>
        <v>15554455807</v>
      </c>
      <c r="C4457" t="str">
        <f>"370832199012236037"</f>
        <v>370832199012236037</v>
      </c>
      <c r="D4457" t="s">
        <v>1</v>
      </c>
      <c r="E4457" t="s">
        <v>1</v>
      </c>
      <c r="F4457" t="s">
        <v>0</v>
      </c>
      <c r="G4457" t="str">
        <f>"2018-10-26 14:30:16"</f>
        <v>2018-10-26 14:30:16</v>
      </c>
    </row>
    <row r="4458" spans="1:7" x14ac:dyDescent="0.2">
      <c r="A4458" t="s">
        <v>5624</v>
      </c>
      <c r="B4458" t="str">
        <f>"13876298470"</f>
        <v>13876298470</v>
      </c>
      <c r="C4458" t="str">
        <f>"460004199405061023"</f>
        <v>460004199405061023</v>
      </c>
      <c r="D4458" t="s">
        <v>1</v>
      </c>
      <c r="E4458" t="s">
        <v>1</v>
      </c>
      <c r="F4458" t="s">
        <v>0</v>
      </c>
      <c r="G4458" t="str">
        <f>"2018-10-17 15:05:56"</f>
        <v>2018-10-17 15:05:56</v>
      </c>
    </row>
    <row r="4459" spans="1:7" x14ac:dyDescent="0.2">
      <c r="A4459" t="s">
        <v>5625</v>
      </c>
      <c r="B4459" t="str">
        <f>"18861376020"</f>
        <v>18861376020</v>
      </c>
      <c r="C4459" t="str">
        <f>"32072319980913386X"</f>
        <v>32072319980913386X</v>
      </c>
      <c r="D4459" t="s">
        <v>5626</v>
      </c>
      <c r="E4459" t="s">
        <v>5627</v>
      </c>
      <c r="F4459" t="s">
        <v>0</v>
      </c>
      <c r="G4459" t="str">
        <f>"2018-10-28 12:26:37"</f>
        <v>2018-10-28 12:26:37</v>
      </c>
    </row>
    <row r="4460" spans="1:7" x14ac:dyDescent="0.2">
      <c r="A4460" t="s">
        <v>5628</v>
      </c>
      <c r="B4460" t="str">
        <f>"15836099421"</f>
        <v>15836099421</v>
      </c>
      <c r="C4460" t="str">
        <f>"410721199811013137"</f>
        <v>410721199811013137</v>
      </c>
      <c r="D4460" t="s">
        <v>1</v>
      </c>
      <c r="E4460" t="s">
        <v>1</v>
      </c>
      <c r="F4460" t="s">
        <v>0</v>
      </c>
      <c r="G4460" t="str">
        <f>"2018-10-17 15:02:26"</f>
        <v>2018-10-17 15:02:26</v>
      </c>
    </row>
    <row r="4461" spans="1:7" x14ac:dyDescent="0.2">
      <c r="A4461" t="s">
        <v>5629</v>
      </c>
      <c r="B4461" t="str">
        <f>"15050397884"</f>
        <v>15050397884</v>
      </c>
      <c r="C4461" t="str">
        <f>"130429199201013815"</f>
        <v>130429199201013815</v>
      </c>
      <c r="D4461" t="s">
        <v>1</v>
      </c>
      <c r="E4461" t="s">
        <v>1</v>
      </c>
      <c r="F4461" t="s">
        <v>0</v>
      </c>
      <c r="G4461" t="str">
        <f>"2018-10-17 15:01:09"</f>
        <v>2018-10-17 15:01:09</v>
      </c>
    </row>
    <row r="4462" spans="1:7" x14ac:dyDescent="0.2">
      <c r="A4462" t="s">
        <v>1</v>
      </c>
      <c r="B4462" t="str">
        <f>"15036603633"</f>
        <v>15036603633</v>
      </c>
      <c r="C4462" t="s">
        <v>1</v>
      </c>
      <c r="D4462" t="s">
        <v>1</v>
      </c>
      <c r="E4462" t="s">
        <v>1</v>
      </c>
      <c r="F4462" t="s">
        <v>0</v>
      </c>
      <c r="G4462" t="str">
        <f>"2018-10-17 14:59:00"</f>
        <v>2018-10-17 14:59:00</v>
      </c>
    </row>
    <row r="4463" spans="1:7" x14ac:dyDescent="0.2">
      <c r="A4463" t="s">
        <v>5630</v>
      </c>
      <c r="B4463" t="str">
        <f>"15940969693"</f>
        <v>15940969693</v>
      </c>
      <c r="C4463" t="str">
        <f>"210281199012039332"</f>
        <v>210281199012039332</v>
      </c>
      <c r="D4463" t="s">
        <v>1</v>
      </c>
      <c r="E4463" t="s">
        <v>1</v>
      </c>
      <c r="F4463" t="s">
        <v>0</v>
      </c>
      <c r="G4463" t="str">
        <f>"2018-10-17 15:01:14"</f>
        <v>2018-10-17 15:01:14</v>
      </c>
    </row>
    <row r="4464" spans="1:7" x14ac:dyDescent="0.2">
      <c r="A4464" t="s">
        <v>5631</v>
      </c>
      <c r="B4464" t="str">
        <f>"18332951407"</f>
        <v>18332951407</v>
      </c>
      <c r="C4464" t="str">
        <f>"130224199112090517"</f>
        <v>130224199112090517</v>
      </c>
      <c r="D4464" t="s">
        <v>1</v>
      </c>
      <c r="E4464" t="s">
        <v>1</v>
      </c>
      <c r="F4464" t="s">
        <v>0</v>
      </c>
      <c r="G4464" t="str">
        <f>"2018-10-17 14:58:25"</f>
        <v>2018-10-17 14:58:25</v>
      </c>
    </row>
    <row r="4465" spans="1:7" x14ac:dyDescent="0.2">
      <c r="A4465" t="s">
        <v>5632</v>
      </c>
      <c r="B4465" t="str">
        <f>"13878689856"</f>
        <v>13878689856</v>
      </c>
      <c r="C4465" t="str">
        <f>"45011119820411331X"</f>
        <v>45011119820411331X</v>
      </c>
      <c r="D4465" t="s">
        <v>1</v>
      </c>
      <c r="E4465" t="s">
        <v>1</v>
      </c>
      <c r="F4465" t="s">
        <v>0</v>
      </c>
      <c r="G4465" t="str">
        <f>"2018-10-17 14:59:45"</f>
        <v>2018-10-17 14:59:45</v>
      </c>
    </row>
    <row r="4466" spans="1:7" x14ac:dyDescent="0.2">
      <c r="A4466" t="s">
        <v>5633</v>
      </c>
      <c r="B4466" t="str">
        <f>"15178222240"</f>
        <v>15178222240</v>
      </c>
      <c r="C4466" t="str">
        <f>"342224199706111937"</f>
        <v>342224199706111937</v>
      </c>
      <c r="D4466" t="s">
        <v>1</v>
      </c>
      <c r="E4466" t="s">
        <v>1</v>
      </c>
      <c r="F4466" t="s">
        <v>0</v>
      </c>
      <c r="G4466" t="str">
        <f>"2018-10-17 14:59:20"</f>
        <v>2018-10-17 14:59:20</v>
      </c>
    </row>
    <row r="4467" spans="1:7" x14ac:dyDescent="0.2">
      <c r="A4467" t="s">
        <v>1</v>
      </c>
      <c r="B4467" t="str">
        <f>"17806718024"</f>
        <v>17806718024</v>
      </c>
      <c r="C4467" t="s">
        <v>1</v>
      </c>
      <c r="D4467" t="s">
        <v>1</v>
      </c>
      <c r="E4467" t="s">
        <v>1</v>
      </c>
      <c r="F4467" t="s">
        <v>0</v>
      </c>
      <c r="G4467" t="str">
        <f>"2018-10-17 14:58:02"</f>
        <v>2018-10-17 14:58:02</v>
      </c>
    </row>
    <row r="4468" spans="1:7" x14ac:dyDescent="0.2">
      <c r="A4468" t="s">
        <v>1786</v>
      </c>
      <c r="B4468" t="str">
        <f>"15802467965"</f>
        <v>15802467965</v>
      </c>
      <c r="C4468" t="str">
        <f>"210106198410194629"</f>
        <v>210106198410194629</v>
      </c>
      <c r="D4468" t="s">
        <v>1</v>
      </c>
      <c r="E4468" t="s">
        <v>1</v>
      </c>
      <c r="F4468" t="s">
        <v>0</v>
      </c>
      <c r="G4468" t="str">
        <f>"2018-10-17 14:59:56"</f>
        <v>2018-10-17 14:59:56</v>
      </c>
    </row>
    <row r="4469" spans="1:7" x14ac:dyDescent="0.2">
      <c r="A4469" t="s">
        <v>635</v>
      </c>
      <c r="B4469" t="str">
        <f>"15862931978"</f>
        <v>15862931978</v>
      </c>
      <c r="C4469" t="str">
        <f>"321121199510303225"</f>
        <v>321121199510303225</v>
      </c>
      <c r="D4469" t="s">
        <v>1</v>
      </c>
      <c r="E4469" t="s">
        <v>1</v>
      </c>
      <c r="F4469" t="s">
        <v>0</v>
      </c>
      <c r="G4469" t="str">
        <f>"2018-10-17 15:00:07"</f>
        <v>2018-10-17 15:00:07</v>
      </c>
    </row>
    <row r="4470" spans="1:7" x14ac:dyDescent="0.2">
      <c r="A4470" t="s">
        <v>5634</v>
      </c>
      <c r="B4470" t="str">
        <f>"13589508243"</f>
        <v>13589508243</v>
      </c>
      <c r="C4470" t="str">
        <f>"370305199705084017"</f>
        <v>370305199705084017</v>
      </c>
      <c r="D4470" t="s">
        <v>1</v>
      </c>
      <c r="E4470" t="s">
        <v>1</v>
      </c>
      <c r="F4470" t="s">
        <v>0</v>
      </c>
      <c r="G4470" t="str">
        <f>"2018-10-17 15:41:43"</f>
        <v>2018-10-17 15:41:43</v>
      </c>
    </row>
    <row r="4471" spans="1:7" x14ac:dyDescent="0.2">
      <c r="A4471" t="s">
        <v>5635</v>
      </c>
      <c r="B4471" t="str">
        <f>"15857809517"</f>
        <v>15857809517</v>
      </c>
      <c r="C4471" t="str">
        <f>"332525199812011535"</f>
        <v>332525199812011535</v>
      </c>
      <c r="D4471" t="s">
        <v>1</v>
      </c>
      <c r="E4471" t="s">
        <v>1</v>
      </c>
      <c r="F4471" t="s">
        <v>0</v>
      </c>
      <c r="G4471" t="str">
        <f>"2018-10-17 14:57:40"</f>
        <v>2018-10-17 14:57:40</v>
      </c>
    </row>
    <row r="4472" spans="1:7" x14ac:dyDescent="0.2">
      <c r="A4472" t="s">
        <v>735</v>
      </c>
      <c r="B4472" t="str">
        <f>"18310465498"</f>
        <v>18310465498</v>
      </c>
      <c r="C4472" t="str">
        <f>"620503198807112029"</f>
        <v>620503198807112029</v>
      </c>
      <c r="D4472" t="s">
        <v>1</v>
      </c>
      <c r="E4472" t="s">
        <v>1</v>
      </c>
      <c r="F4472" t="s">
        <v>0</v>
      </c>
      <c r="G4472" t="str">
        <f>"2018-10-17 14:58:30"</f>
        <v>2018-10-17 14:58:30</v>
      </c>
    </row>
    <row r="4473" spans="1:7" x14ac:dyDescent="0.2">
      <c r="A4473" t="s">
        <v>5636</v>
      </c>
      <c r="B4473" t="str">
        <f>"18019736111"</f>
        <v>18019736111</v>
      </c>
      <c r="C4473" t="str">
        <f>"310221197308095614"</f>
        <v>310221197308095614</v>
      </c>
      <c r="D4473" t="s">
        <v>1</v>
      </c>
      <c r="E4473" t="s">
        <v>1</v>
      </c>
      <c r="F4473" t="s">
        <v>0</v>
      </c>
      <c r="G4473" t="str">
        <f>"2018-10-17 14:57:15"</f>
        <v>2018-10-17 14:57:15</v>
      </c>
    </row>
    <row r="4474" spans="1:7" x14ac:dyDescent="0.2">
      <c r="A4474" t="s">
        <v>5637</v>
      </c>
      <c r="B4474" t="str">
        <f>"13861509837"</f>
        <v>13861509837</v>
      </c>
      <c r="C4474" t="str">
        <f>"320219198511203013"</f>
        <v>320219198511203013</v>
      </c>
      <c r="D4474" t="s">
        <v>1</v>
      </c>
      <c r="E4474" t="s">
        <v>1</v>
      </c>
      <c r="F4474" t="s">
        <v>0</v>
      </c>
      <c r="G4474" t="str">
        <f>"2018-10-17 14:57:46"</f>
        <v>2018-10-17 14:57:46</v>
      </c>
    </row>
    <row r="4475" spans="1:7" x14ac:dyDescent="0.2">
      <c r="A4475" t="s">
        <v>1</v>
      </c>
      <c r="B4475" t="str">
        <f>"15177854746"</f>
        <v>15177854746</v>
      </c>
      <c r="C4475" t="s">
        <v>1</v>
      </c>
      <c r="D4475" t="s">
        <v>1</v>
      </c>
      <c r="E4475" t="s">
        <v>1</v>
      </c>
      <c r="F4475" t="s">
        <v>0</v>
      </c>
      <c r="G4475" t="str">
        <f>"2018-10-17 14:56:41"</f>
        <v>2018-10-17 14:56:41</v>
      </c>
    </row>
    <row r="4476" spans="1:7" x14ac:dyDescent="0.2">
      <c r="A4476" t="s">
        <v>5638</v>
      </c>
      <c r="B4476" t="str">
        <f>"15307357103"</f>
        <v>15307357103</v>
      </c>
      <c r="C4476" t="str">
        <f>"431026199008274715"</f>
        <v>431026199008274715</v>
      </c>
      <c r="D4476" t="s">
        <v>5639</v>
      </c>
      <c r="E4476" t="s">
        <v>5640</v>
      </c>
      <c r="F4476" t="s">
        <v>0</v>
      </c>
      <c r="G4476" t="str">
        <f>"2018-10-17 14:57:45"</f>
        <v>2018-10-17 14:57:45</v>
      </c>
    </row>
    <row r="4477" spans="1:7" x14ac:dyDescent="0.2">
      <c r="A4477" t="s">
        <v>5641</v>
      </c>
      <c r="B4477" t="str">
        <f>"15174074879"</f>
        <v>15174074879</v>
      </c>
      <c r="C4477" t="str">
        <f>"210727199407075716"</f>
        <v>210727199407075716</v>
      </c>
      <c r="D4477" t="s">
        <v>1</v>
      </c>
      <c r="E4477" t="s">
        <v>1</v>
      </c>
      <c r="F4477" t="s">
        <v>0</v>
      </c>
      <c r="G4477" t="str">
        <f>"2018-10-17 14:58:34"</f>
        <v>2018-10-17 14:58:34</v>
      </c>
    </row>
    <row r="4478" spans="1:7" x14ac:dyDescent="0.2">
      <c r="A4478" t="s">
        <v>5642</v>
      </c>
      <c r="B4478" t="str">
        <f>"15754828082"</f>
        <v>15754828082</v>
      </c>
      <c r="C4478" t="str">
        <f>"152222198710066611"</f>
        <v>152222198710066611</v>
      </c>
      <c r="D4478" t="s">
        <v>1</v>
      </c>
      <c r="E4478" t="s">
        <v>1</v>
      </c>
      <c r="F4478" t="s">
        <v>0</v>
      </c>
      <c r="G4478" t="str">
        <f>"2018-10-17 14:59:28"</f>
        <v>2018-10-17 14:59:28</v>
      </c>
    </row>
    <row r="4479" spans="1:7" x14ac:dyDescent="0.2">
      <c r="A4479" t="s">
        <v>5643</v>
      </c>
      <c r="B4479" t="str">
        <f>"18066145155"</f>
        <v>18066145155</v>
      </c>
      <c r="C4479" t="str">
        <f>"320925199009217516"</f>
        <v>320925199009217516</v>
      </c>
      <c r="D4479" t="s">
        <v>1</v>
      </c>
      <c r="E4479" t="s">
        <v>1</v>
      </c>
      <c r="F4479" t="s">
        <v>0</v>
      </c>
      <c r="G4479" t="str">
        <f>"2018-10-17 14:59:37"</f>
        <v>2018-10-17 14:59:37</v>
      </c>
    </row>
    <row r="4480" spans="1:7" x14ac:dyDescent="0.2">
      <c r="A4480" t="s">
        <v>5644</v>
      </c>
      <c r="B4480" t="str">
        <f>"18771766917"</f>
        <v>18771766917</v>
      </c>
      <c r="C4480" t="str">
        <f>"420525198109170812"</f>
        <v>420525198109170812</v>
      </c>
      <c r="D4480" t="s">
        <v>1</v>
      </c>
      <c r="E4480" t="s">
        <v>1</v>
      </c>
      <c r="F4480" t="s">
        <v>0</v>
      </c>
      <c r="G4480" t="str">
        <f>"2018-10-17 14:56:48"</f>
        <v>2018-10-17 14:56:48</v>
      </c>
    </row>
    <row r="4481" spans="1:7" x14ac:dyDescent="0.2">
      <c r="A4481" t="s">
        <v>5645</v>
      </c>
      <c r="B4481" t="str">
        <f>"15874277928"</f>
        <v>15874277928</v>
      </c>
      <c r="C4481" t="str">
        <f>"43292519821118532X"</f>
        <v>43292519821118532X</v>
      </c>
      <c r="D4481" t="s">
        <v>1</v>
      </c>
      <c r="E4481" t="s">
        <v>1</v>
      </c>
      <c r="F4481" t="s">
        <v>0</v>
      </c>
      <c r="G4481" t="str">
        <f>"2018-10-17 15:02:35"</f>
        <v>2018-10-17 15:02:35</v>
      </c>
    </row>
    <row r="4482" spans="1:7" x14ac:dyDescent="0.2">
      <c r="A4482" t="s">
        <v>1</v>
      </c>
      <c r="B4482" t="str">
        <f>"15886529198"</f>
        <v>15886529198</v>
      </c>
      <c r="C4482" t="s">
        <v>1</v>
      </c>
      <c r="D4482" t="s">
        <v>1</v>
      </c>
      <c r="E4482" t="s">
        <v>1</v>
      </c>
      <c r="F4482" t="s">
        <v>0</v>
      </c>
      <c r="G4482" t="str">
        <f>"2018-10-17 14:56:21"</f>
        <v>2018-10-17 14:56:21</v>
      </c>
    </row>
    <row r="4483" spans="1:7" x14ac:dyDescent="0.2">
      <c r="A4483" t="s">
        <v>5646</v>
      </c>
      <c r="B4483" t="str">
        <f>"15995148920"</f>
        <v>15995148920</v>
      </c>
      <c r="C4483" t="str">
        <f>"321084199110174014"</f>
        <v>321084199110174014</v>
      </c>
      <c r="D4483" t="s">
        <v>1</v>
      </c>
      <c r="E4483" t="s">
        <v>1</v>
      </c>
      <c r="F4483" t="s">
        <v>0</v>
      </c>
      <c r="G4483" t="str">
        <f>"2018-10-17 14:59:00"</f>
        <v>2018-10-17 14:59:00</v>
      </c>
    </row>
    <row r="4484" spans="1:7" x14ac:dyDescent="0.2">
      <c r="A4484" t="s">
        <v>1</v>
      </c>
      <c r="B4484" t="str">
        <f>"13132805782"</f>
        <v>13132805782</v>
      </c>
      <c r="C4484" t="s">
        <v>1</v>
      </c>
      <c r="D4484" t="s">
        <v>1</v>
      </c>
      <c r="E4484" t="s">
        <v>1</v>
      </c>
      <c r="F4484" t="s">
        <v>0</v>
      </c>
      <c r="G4484" t="str">
        <f>"2018-10-17 14:54:54"</f>
        <v>2018-10-17 14:54:54</v>
      </c>
    </row>
    <row r="4485" spans="1:7" x14ac:dyDescent="0.2">
      <c r="A4485" t="s">
        <v>5647</v>
      </c>
      <c r="B4485" t="str">
        <f>"13779975173"</f>
        <v>13779975173</v>
      </c>
      <c r="C4485" t="str">
        <f>"360730199311101132"</f>
        <v>360730199311101132</v>
      </c>
      <c r="D4485" t="s">
        <v>1</v>
      </c>
      <c r="E4485" t="s">
        <v>1</v>
      </c>
      <c r="F4485" t="s">
        <v>0</v>
      </c>
      <c r="G4485" t="str">
        <f>"2018-10-17 15:04:15"</f>
        <v>2018-10-17 15:04:15</v>
      </c>
    </row>
    <row r="4486" spans="1:7" x14ac:dyDescent="0.2">
      <c r="A4486" t="s">
        <v>5648</v>
      </c>
      <c r="B4486" t="str">
        <f>"13921169644"</f>
        <v>13921169644</v>
      </c>
      <c r="C4486" t="str">
        <f>"320212198607200517"</f>
        <v>320212198607200517</v>
      </c>
      <c r="D4486" t="s">
        <v>1</v>
      </c>
      <c r="E4486" t="s">
        <v>1</v>
      </c>
      <c r="F4486" t="s">
        <v>0</v>
      </c>
      <c r="G4486" t="str">
        <f>"2018-10-17 14:54:34"</f>
        <v>2018-10-17 14:54:34</v>
      </c>
    </row>
    <row r="4487" spans="1:7" x14ac:dyDescent="0.2">
      <c r="A4487" t="s">
        <v>345</v>
      </c>
      <c r="B4487" t="str">
        <f>"14747397491"</f>
        <v>14747397491</v>
      </c>
      <c r="C4487" t="str">
        <f>"140721199212060075"</f>
        <v>140721199212060075</v>
      </c>
      <c r="D4487" t="s">
        <v>1</v>
      </c>
      <c r="E4487" t="s">
        <v>1</v>
      </c>
      <c r="F4487" t="s">
        <v>0</v>
      </c>
      <c r="G4487" t="str">
        <f>"2018-10-17 15:20:04"</f>
        <v>2018-10-17 15:20:04</v>
      </c>
    </row>
    <row r="4488" spans="1:7" x14ac:dyDescent="0.2">
      <c r="A4488" t="s">
        <v>1</v>
      </c>
      <c r="B4488" t="str">
        <f>"17685922443"</f>
        <v>17685922443</v>
      </c>
      <c r="C4488" t="s">
        <v>1</v>
      </c>
      <c r="D4488" t="s">
        <v>1</v>
      </c>
      <c r="E4488" t="s">
        <v>1</v>
      </c>
      <c r="F4488" t="s">
        <v>0</v>
      </c>
      <c r="G4488" t="str">
        <f>"2018-10-17 14:54:15"</f>
        <v>2018-10-17 14:54:15</v>
      </c>
    </row>
    <row r="4489" spans="1:7" x14ac:dyDescent="0.2">
      <c r="A4489" t="s">
        <v>5649</v>
      </c>
      <c r="B4489" t="str">
        <f>"18259988079"</f>
        <v>18259988079</v>
      </c>
      <c r="C4489" t="str">
        <f>"350725199001194019"</f>
        <v>350725199001194019</v>
      </c>
      <c r="D4489" t="s">
        <v>1</v>
      </c>
      <c r="E4489" t="s">
        <v>1</v>
      </c>
      <c r="F4489" t="s">
        <v>0</v>
      </c>
      <c r="G4489" t="str">
        <f>"2018-10-17 14:53:34"</f>
        <v>2018-10-17 14:53:34</v>
      </c>
    </row>
    <row r="4490" spans="1:7" x14ac:dyDescent="0.2">
      <c r="A4490" t="s">
        <v>5650</v>
      </c>
      <c r="B4490" t="str">
        <f>"18583015432"</f>
        <v>18583015432</v>
      </c>
      <c r="C4490" t="str">
        <f>"422823199408242353"</f>
        <v>422823199408242353</v>
      </c>
      <c r="D4490" t="s">
        <v>5651</v>
      </c>
      <c r="E4490" t="s">
        <v>5652</v>
      </c>
      <c r="F4490" t="s">
        <v>0</v>
      </c>
      <c r="G4490" t="str">
        <f>"2018-10-17 14:54:46"</f>
        <v>2018-10-17 14:54:46</v>
      </c>
    </row>
    <row r="4491" spans="1:7" x14ac:dyDescent="0.2">
      <c r="A4491" t="s">
        <v>5653</v>
      </c>
      <c r="B4491" t="str">
        <f>"13129187762"</f>
        <v>13129187762</v>
      </c>
      <c r="C4491" t="str">
        <f>"441881199012244711"</f>
        <v>441881199012244711</v>
      </c>
      <c r="D4491" t="s">
        <v>1</v>
      </c>
      <c r="E4491" t="s">
        <v>1</v>
      </c>
      <c r="F4491" t="s">
        <v>0</v>
      </c>
      <c r="G4491" t="str">
        <f>"2018-10-17 14:58:04"</f>
        <v>2018-10-17 14:58:04</v>
      </c>
    </row>
    <row r="4492" spans="1:7" x14ac:dyDescent="0.2">
      <c r="A4492" t="s">
        <v>5654</v>
      </c>
      <c r="B4492" t="str">
        <f>"18978066984"</f>
        <v>18978066984</v>
      </c>
      <c r="C4492" t="str">
        <f>"450331199512100079"</f>
        <v>450331199512100079</v>
      </c>
      <c r="D4492" t="s">
        <v>1</v>
      </c>
      <c r="E4492" t="s">
        <v>1</v>
      </c>
      <c r="F4492" t="s">
        <v>0</v>
      </c>
      <c r="G4492" t="str">
        <f>"2018-10-17 15:39:22"</f>
        <v>2018-10-17 15:39:22</v>
      </c>
    </row>
    <row r="4493" spans="1:7" x14ac:dyDescent="0.2">
      <c r="A4493" t="s">
        <v>5655</v>
      </c>
      <c r="B4493" t="str">
        <f>"18760014055"</f>
        <v>18760014055</v>
      </c>
      <c r="C4493" t="str">
        <f>"35082119890926422X"</f>
        <v>35082119890926422X</v>
      </c>
      <c r="D4493" t="s">
        <v>5656</v>
      </c>
      <c r="E4493" t="s">
        <v>5657</v>
      </c>
      <c r="F4493" t="s">
        <v>0</v>
      </c>
      <c r="G4493" t="str">
        <f>"2018-10-18 13:06:54"</f>
        <v>2018-10-18 13:06:54</v>
      </c>
    </row>
    <row r="4494" spans="1:7" x14ac:dyDescent="0.2">
      <c r="A4494" t="s">
        <v>5658</v>
      </c>
      <c r="B4494" t="str">
        <f>"13522021382"</f>
        <v>13522021382</v>
      </c>
      <c r="C4494" t="str">
        <f>"411221198204040036"</f>
        <v>411221198204040036</v>
      </c>
      <c r="D4494" t="s">
        <v>1</v>
      </c>
      <c r="E4494" t="s">
        <v>1</v>
      </c>
      <c r="F4494" t="s">
        <v>0</v>
      </c>
      <c r="G4494" t="str">
        <f>"2018-10-31 16:42:16"</f>
        <v>2018-10-31 16:42:16</v>
      </c>
    </row>
    <row r="4495" spans="1:7" x14ac:dyDescent="0.2">
      <c r="A4495" t="s">
        <v>5659</v>
      </c>
      <c r="B4495" t="str">
        <f>"18736278719"</f>
        <v>18736278719</v>
      </c>
      <c r="C4495" t="str">
        <f>"410325199606151526"</f>
        <v>410325199606151526</v>
      </c>
      <c r="D4495" t="s">
        <v>1</v>
      </c>
      <c r="E4495" t="s">
        <v>1</v>
      </c>
      <c r="F4495" t="s">
        <v>0</v>
      </c>
      <c r="G4495" t="str">
        <f>"2018-10-17 14:54:04"</f>
        <v>2018-10-17 14:54:04</v>
      </c>
    </row>
    <row r="4496" spans="1:7" x14ac:dyDescent="0.2">
      <c r="A4496" t="s">
        <v>1</v>
      </c>
      <c r="B4496" t="str">
        <f>"15639001309"</f>
        <v>15639001309</v>
      </c>
      <c r="C4496" t="s">
        <v>1</v>
      </c>
      <c r="D4496" t="s">
        <v>1</v>
      </c>
      <c r="E4496" t="s">
        <v>1</v>
      </c>
      <c r="F4496" t="s">
        <v>0</v>
      </c>
      <c r="G4496" t="str">
        <f>"2018-10-17 14:52:14"</f>
        <v>2018-10-17 14:52:14</v>
      </c>
    </row>
    <row r="4497" spans="1:7" x14ac:dyDescent="0.2">
      <c r="A4497" t="s">
        <v>5660</v>
      </c>
      <c r="B4497" t="str">
        <f>"13859562224"</f>
        <v>13859562224</v>
      </c>
      <c r="C4497" t="str">
        <f>"350822198210082787"</f>
        <v>350822198210082787</v>
      </c>
      <c r="D4497" t="s">
        <v>1</v>
      </c>
      <c r="E4497" t="s">
        <v>1</v>
      </c>
      <c r="F4497" t="s">
        <v>0</v>
      </c>
      <c r="G4497" t="str">
        <f>"2018-10-17 14:53:37"</f>
        <v>2018-10-17 14:53:37</v>
      </c>
    </row>
    <row r="4498" spans="1:7" x14ac:dyDescent="0.2">
      <c r="A4498" t="s">
        <v>5661</v>
      </c>
      <c r="B4498" t="str">
        <f>"15716680222"</f>
        <v>15716680222</v>
      </c>
      <c r="C4498" t="str">
        <f>"41072819890820153X"</f>
        <v>41072819890820153X</v>
      </c>
      <c r="D4498" t="s">
        <v>1</v>
      </c>
      <c r="E4498" t="s">
        <v>1</v>
      </c>
      <c r="F4498" t="s">
        <v>0</v>
      </c>
      <c r="G4498" t="str">
        <f>"2018-10-17 14:53:56"</f>
        <v>2018-10-17 14:53:56</v>
      </c>
    </row>
    <row r="4499" spans="1:7" x14ac:dyDescent="0.2">
      <c r="A4499" t="s">
        <v>1</v>
      </c>
      <c r="B4499" t="str">
        <f>"17610252728"</f>
        <v>17610252728</v>
      </c>
      <c r="C4499" t="s">
        <v>1</v>
      </c>
      <c r="D4499" t="s">
        <v>1</v>
      </c>
      <c r="E4499" t="s">
        <v>1</v>
      </c>
      <c r="F4499" t="s">
        <v>0</v>
      </c>
      <c r="G4499" t="str">
        <f>"2018-10-17 14:51:35"</f>
        <v>2018-10-17 14:51:35</v>
      </c>
    </row>
    <row r="4500" spans="1:7" x14ac:dyDescent="0.2">
      <c r="A4500" t="s">
        <v>1090</v>
      </c>
      <c r="B4500" t="str">
        <f>"18656457099"</f>
        <v>18656457099</v>
      </c>
      <c r="C4500" t="str">
        <f>"342622199203095516"</f>
        <v>342622199203095516</v>
      </c>
      <c r="D4500" t="s">
        <v>5662</v>
      </c>
      <c r="E4500" t="s">
        <v>5663</v>
      </c>
      <c r="F4500" t="s">
        <v>0</v>
      </c>
      <c r="G4500" t="str">
        <f>"2018-10-17 15:13:43"</f>
        <v>2018-10-17 15:13:43</v>
      </c>
    </row>
    <row r="4501" spans="1:7" x14ac:dyDescent="0.2">
      <c r="A4501" t="s">
        <v>1</v>
      </c>
      <c r="B4501" t="str">
        <f>"18512381871"</f>
        <v>18512381871</v>
      </c>
      <c r="C4501" t="s">
        <v>1</v>
      </c>
      <c r="D4501" t="s">
        <v>1</v>
      </c>
      <c r="E4501" t="s">
        <v>1</v>
      </c>
      <c r="F4501" t="s">
        <v>0</v>
      </c>
      <c r="G4501" t="str">
        <f>"2018-10-17 14:50:53"</f>
        <v>2018-10-17 14:50:53</v>
      </c>
    </row>
    <row r="4502" spans="1:7" x14ac:dyDescent="0.2">
      <c r="A4502" t="s">
        <v>5664</v>
      </c>
      <c r="B4502" t="str">
        <f>"13182360581"</f>
        <v>13182360581</v>
      </c>
      <c r="C4502" t="str">
        <f>"320321200008250215"</f>
        <v>320321200008250215</v>
      </c>
      <c r="D4502" t="s">
        <v>1</v>
      </c>
      <c r="E4502" t="s">
        <v>1</v>
      </c>
      <c r="F4502" t="s">
        <v>0</v>
      </c>
      <c r="G4502" t="str">
        <f>"2018-10-17 15:03:35"</f>
        <v>2018-10-17 15:03:35</v>
      </c>
    </row>
    <row r="4503" spans="1:7" x14ac:dyDescent="0.2">
      <c r="A4503" t="s">
        <v>5665</v>
      </c>
      <c r="B4503" t="str">
        <f>"15211334425"</f>
        <v>15211334425</v>
      </c>
      <c r="C4503" t="str">
        <f>"430724197102280113"</f>
        <v>430724197102280113</v>
      </c>
      <c r="D4503" t="s">
        <v>5666</v>
      </c>
      <c r="E4503" t="s">
        <v>5667</v>
      </c>
      <c r="F4503" t="s">
        <v>0</v>
      </c>
      <c r="G4503" t="str">
        <f>"2018-10-17 14:51:33"</f>
        <v>2018-10-17 14:51:33</v>
      </c>
    </row>
    <row r="4504" spans="1:7" x14ac:dyDescent="0.2">
      <c r="A4504" t="s">
        <v>1</v>
      </c>
      <c r="B4504" t="str">
        <f>"13072154548"</f>
        <v>13072154548</v>
      </c>
      <c r="C4504" t="s">
        <v>1</v>
      </c>
      <c r="D4504" t="s">
        <v>1</v>
      </c>
      <c r="E4504" t="s">
        <v>1</v>
      </c>
      <c r="F4504" t="s">
        <v>0</v>
      </c>
      <c r="G4504" t="str">
        <f>"2018-10-17 14:50:11"</f>
        <v>2018-10-17 14:50:11</v>
      </c>
    </row>
    <row r="4505" spans="1:7" x14ac:dyDescent="0.2">
      <c r="A4505" t="s">
        <v>5668</v>
      </c>
      <c r="B4505" t="str">
        <f>"13923639734"</f>
        <v>13923639734</v>
      </c>
      <c r="C4505" t="str">
        <f>"441424199611123103"</f>
        <v>441424199611123103</v>
      </c>
      <c r="D4505" t="s">
        <v>1</v>
      </c>
      <c r="E4505" t="s">
        <v>1</v>
      </c>
      <c r="F4505" t="s">
        <v>0</v>
      </c>
      <c r="G4505" t="str">
        <f>"2018-10-17 14:56:08"</f>
        <v>2018-10-17 14:56:08</v>
      </c>
    </row>
    <row r="4506" spans="1:7" x14ac:dyDescent="0.2">
      <c r="A4506" t="s">
        <v>5669</v>
      </c>
      <c r="B4506" t="str">
        <f>"17690780403"</f>
        <v>17690780403</v>
      </c>
      <c r="C4506" t="str">
        <f>"622821199704031934"</f>
        <v>622821199704031934</v>
      </c>
      <c r="D4506" t="s">
        <v>5670</v>
      </c>
      <c r="E4506" t="s">
        <v>5671</v>
      </c>
      <c r="F4506" t="s">
        <v>0</v>
      </c>
      <c r="G4506" t="str">
        <f>"2018-10-17 14:49:54"</f>
        <v>2018-10-17 14:49:54</v>
      </c>
    </row>
    <row r="4507" spans="1:7" x14ac:dyDescent="0.2">
      <c r="A4507" t="s">
        <v>1</v>
      </c>
      <c r="B4507" t="str">
        <f>"13306910372"</f>
        <v>13306910372</v>
      </c>
      <c r="C4507" t="s">
        <v>1</v>
      </c>
      <c r="D4507" t="s">
        <v>1</v>
      </c>
      <c r="E4507" t="s">
        <v>1</v>
      </c>
      <c r="F4507" t="s">
        <v>0</v>
      </c>
      <c r="G4507" t="str">
        <f>"2018-10-17 14:49:52"</f>
        <v>2018-10-17 14:49:52</v>
      </c>
    </row>
    <row r="4508" spans="1:7" x14ac:dyDescent="0.2">
      <c r="A4508" t="s">
        <v>5672</v>
      </c>
      <c r="B4508" t="str">
        <f>"13358878411"</f>
        <v>13358878411</v>
      </c>
      <c r="C4508" t="str">
        <f>"511528199512270430"</f>
        <v>511528199512270430</v>
      </c>
      <c r="D4508" t="s">
        <v>1</v>
      </c>
      <c r="E4508" t="s">
        <v>1</v>
      </c>
      <c r="F4508" t="s">
        <v>0</v>
      </c>
      <c r="G4508" t="str">
        <f>"2018-10-17 14:49:17"</f>
        <v>2018-10-17 14:49:17</v>
      </c>
    </row>
    <row r="4509" spans="1:7" x14ac:dyDescent="0.2">
      <c r="A4509" t="s">
        <v>1</v>
      </c>
      <c r="B4509" t="str">
        <f>"13408139113"</f>
        <v>13408139113</v>
      </c>
      <c r="C4509" t="s">
        <v>1</v>
      </c>
      <c r="D4509" t="s">
        <v>1</v>
      </c>
      <c r="E4509" t="s">
        <v>1</v>
      </c>
      <c r="F4509" t="s">
        <v>0</v>
      </c>
      <c r="G4509" t="str">
        <f>"2018-10-17 14:48:02"</f>
        <v>2018-10-17 14:48:02</v>
      </c>
    </row>
    <row r="4510" spans="1:7" x14ac:dyDescent="0.2">
      <c r="A4510" t="s">
        <v>714</v>
      </c>
      <c r="B4510" t="str">
        <f>"15969734678"</f>
        <v>15969734678</v>
      </c>
      <c r="C4510" t="str">
        <f>"371325198802176636"</f>
        <v>371325198802176636</v>
      </c>
      <c r="D4510" t="s">
        <v>5673</v>
      </c>
      <c r="E4510" t="s">
        <v>5674</v>
      </c>
      <c r="F4510" t="s">
        <v>0</v>
      </c>
      <c r="G4510" t="str">
        <f>"2018-10-17 14:50:09"</f>
        <v>2018-10-17 14:50:09</v>
      </c>
    </row>
    <row r="4511" spans="1:7" x14ac:dyDescent="0.2">
      <c r="A4511" t="s">
        <v>5675</v>
      </c>
      <c r="B4511" t="str">
        <f>"15064253003"</f>
        <v>15064253003</v>
      </c>
      <c r="C4511" t="str">
        <f>"370125198510124218"</f>
        <v>370125198510124218</v>
      </c>
      <c r="D4511" t="s">
        <v>5676</v>
      </c>
      <c r="E4511" t="s">
        <v>5677</v>
      </c>
      <c r="F4511" t="s">
        <v>0</v>
      </c>
      <c r="G4511" t="str">
        <f>"2018-10-17 14:49:58"</f>
        <v>2018-10-17 14:49:58</v>
      </c>
    </row>
    <row r="4512" spans="1:7" x14ac:dyDescent="0.2">
      <c r="A4512" t="s">
        <v>5678</v>
      </c>
      <c r="B4512" t="str">
        <f>"15109928978"</f>
        <v>15109928978</v>
      </c>
      <c r="C4512" t="str">
        <f>"654222199204063623"</f>
        <v>654222199204063623</v>
      </c>
      <c r="D4512" t="s">
        <v>1</v>
      </c>
      <c r="E4512" t="s">
        <v>1</v>
      </c>
      <c r="F4512" t="s">
        <v>0</v>
      </c>
      <c r="G4512" t="str">
        <f>"2018-10-17 14:46:37"</f>
        <v>2018-10-17 14:46:37</v>
      </c>
    </row>
    <row r="4513" spans="1:7" x14ac:dyDescent="0.2">
      <c r="A4513" t="s">
        <v>5679</v>
      </c>
      <c r="B4513" t="str">
        <f>"18802980930"</f>
        <v>18802980930</v>
      </c>
      <c r="C4513" t="str">
        <f>"610424200010083579"</f>
        <v>610424200010083579</v>
      </c>
      <c r="D4513" t="s">
        <v>1</v>
      </c>
      <c r="E4513" t="s">
        <v>1</v>
      </c>
      <c r="F4513" t="s">
        <v>0</v>
      </c>
      <c r="G4513" t="str">
        <f>"2018-10-17 16:13:26"</f>
        <v>2018-10-17 16:13:26</v>
      </c>
    </row>
    <row r="4514" spans="1:7" x14ac:dyDescent="0.2">
      <c r="A4514" t="s">
        <v>382</v>
      </c>
      <c r="B4514" t="str">
        <f>"15058802416"</f>
        <v>15058802416</v>
      </c>
      <c r="C4514" t="str">
        <f>"33022519851119032X"</f>
        <v>33022519851119032X</v>
      </c>
      <c r="D4514" t="s">
        <v>1</v>
      </c>
      <c r="E4514" t="s">
        <v>1</v>
      </c>
      <c r="F4514" t="s">
        <v>0</v>
      </c>
      <c r="G4514" t="str">
        <f>"2018-10-17 15:06:53"</f>
        <v>2018-10-17 15:06:53</v>
      </c>
    </row>
    <row r="4515" spans="1:7" x14ac:dyDescent="0.2">
      <c r="A4515" t="s">
        <v>5680</v>
      </c>
      <c r="B4515" t="str">
        <f>"15678494399"</f>
        <v>15678494399</v>
      </c>
      <c r="C4515" t="str">
        <f>"450421198901298531"</f>
        <v>450421198901298531</v>
      </c>
      <c r="D4515" t="s">
        <v>1</v>
      </c>
      <c r="E4515" t="s">
        <v>1</v>
      </c>
      <c r="F4515" t="s">
        <v>0</v>
      </c>
      <c r="G4515" t="str">
        <f>"2018-10-21 10:28:41"</f>
        <v>2018-10-21 10:28:41</v>
      </c>
    </row>
    <row r="4516" spans="1:7" x14ac:dyDescent="0.2">
      <c r="A4516" t="s">
        <v>5681</v>
      </c>
      <c r="B4516" t="str">
        <f>"18476601482"</f>
        <v>18476601482</v>
      </c>
      <c r="C4516" t="str">
        <f>"440882199008096125"</f>
        <v>440882199008096125</v>
      </c>
      <c r="D4516" t="s">
        <v>1</v>
      </c>
      <c r="E4516" t="s">
        <v>1</v>
      </c>
      <c r="F4516" t="s">
        <v>0</v>
      </c>
      <c r="G4516" t="str">
        <f>"2018-10-17 14:45:07"</f>
        <v>2018-10-17 14:45:07</v>
      </c>
    </row>
    <row r="4517" spans="1:7" x14ac:dyDescent="0.2">
      <c r="A4517" t="s">
        <v>5682</v>
      </c>
      <c r="B4517" t="str">
        <f>"18782130880"</f>
        <v>18782130880</v>
      </c>
      <c r="C4517" t="str">
        <f>"511129198909085612"</f>
        <v>511129198909085612</v>
      </c>
      <c r="D4517" t="s">
        <v>1</v>
      </c>
      <c r="E4517" t="s">
        <v>1</v>
      </c>
      <c r="F4517" t="s">
        <v>0</v>
      </c>
      <c r="G4517" t="str">
        <f>"2018-10-17 14:47:36"</f>
        <v>2018-10-17 14:47:36</v>
      </c>
    </row>
    <row r="4518" spans="1:7" x14ac:dyDescent="0.2">
      <c r="A4518" t="s">
        <v>5683</v>
      </c>
      <c r="B4518" t="str">
        <f>"15757908673"</f>
        <v>15757908673</v>
      </c>
      <c r="C4518" t="str">
        <f>"330183199506211125"</f>
        <v>330183199506211125</v>
      </c>
      <c r="D4518" t="s">
        <v>1</v>
      </c>
      <c r="E4518" t="s">
        <v>1</v>
      </c>
      <c r="F4518" t="s">
        <v>0</v>
      </c>
      <c r="G4518" t="str">
        <f>"2018-10-29 14:29:25"</f>
        <v>2018-10-29 14:29:25</v>
      </c>
    </row>
    <row r="4519" spans="1:7" x14ac:dyDescent="0.2">
      <c r="A4519" t="s">
        <v>572</v>
      </c>
      <c r="B4519" t="str">
        <f>"15832320513"</f>
        <v>15832320513</v>
      </c>
      <c r="C4519" t="str">
        <f>"130702199802250636"</f>
        <v>130702199802250636</v>
      </c>
      <c r="D4519" t="s">
        <v>1</v>
      </c>
      <c r="E4519" t="s">
        <v>1</v>
      </c>
      <c r="F4519" t="s">
        <v>0</v>
      </c>
      <c r="G4519" t="str">
        <f>"2018-10-17 14:44:35"</f>
        <v>2018-10-17 14:44:35</v>
      </c>
    </row>
    <row r="4520" spans="1:7" x14ac:dyDescent="0.2">
      <c r="A4520" t="s">
        <v>5684</v>
      </c>
      <c r="B4520" t="str">
        <f>"13031258521"</f>
        <v>13031258521</v>
      </c>
      <c r="C4520" t="str">
        <f>"341226199205252725"</f>
        <v>341226199205252725</v>
      </c>
      <c r="D4520" t="s">
        <v>1</v>
      </c>
      <c r="E4520" t="s">
        <v>1</v>
      </c>
      <c r="F4520" t="s">
        <v>0</v>
      </c>
      <c r="G4520" t="str">
        <f>"2018-10-17 14:44:34"</f>
        <v>2018-10-17 14:44:34</v>
      </c>
    </row>
    <row r="4521" spans="1:7" x14ac:dyDescent="0.2">
      <c r="A4521" t="s">
        <v>5685</v>
      </c>
      <c r="B4521" t="str">
        <f>"15390507186"</f>
        <v>15390507186</v>
      </c>
      <c r="C4521" t="str">
        <f>"622301198906030035"</f>
        <v>622301198906030035</v>
      </c>
      <c r="D4521" t="s">
        <v>1</v>
      </c>
      <c r="E4521" t="s">
        <v>1</v>
      </c>
      <c r="F4521" t="s">
        <v>0</v>
      </c>
      <c r="G4521" t="str">
        <f>"2018-10-17 14:45:34"</f>
        <v>2018-10-17 14:45:34</v>
      </c>
    </row>
    <row r="4522" spans="1:7" x14ac:dyDescent="0.2">
      <c r="A4522" t="s">
        <v>5686</v>
      </c>
      <c r="B4522" t="str">
        <f>"18893029384"</f>
        <v>18893029384</v>
      </c>
      <c r="C4522" t="str">
        <f>"620122199407121016"</f>
        <v>620122199407121016</v>
      </c>
      <c r="D4522" t="s">
        <v>1</v>
      </c>
      <c r="E4522" t="s">
        <v>1</v>
      </c>
      <c r="F4522" t="s">
        <v>0</v>
      </c>
      <c r="G4522" t="str">
        <f>"2018-10-17 14:44:18"</f>
        <v>2018-10-17 14:44:18</v>
      </c>
    </row>
    <row r="4523" spans="1:7" x14ac:dyDescent="0.2">
      <c r="A4523" t="s">
        <v>5687</v>
      </c>
      <c r="B4523" t="str">
        <f>"15961628483"</f>
        <v>15961628483</v>
      </c>
      <c r="C4523" t="str">
        <f>"320219198512043779"</f>
        <v>320219198512043779</v>
      </c>
      <c r="D4523" t="s">
        <v>1</v>
      </c>
      <c r="E4523" t="s">
        <v>1</v>
      </c>
      <c r="F4523" t="s">
        <v>0</v>
      </c>
      <c r="G4523" t="str">
        <f>"2018-10-17 14:48:13"</f>
        <v>2018-10-17 14:48:13</v>
      </c>
    </row>
    <row r="4524" spans="1:7" x14ac:dyDescent="0.2">
      <c r="A4524" t="s">
        <v>1</v>
      </c>
      <c r="B4524" t="str">
        <f>"13079926554"</f>
        <v>13079926554</v>
      </c>
      <c r="C4524" t="s">
        <v>1</v>
      </c>
      <c r="D4524" t="s">
        <v>1</v>
      </c>
      <c r="E4524" t="s">
        <v>1</v>
      </c>
      <c r="F4524" t="s">
        <v>0</v>
      </c>
      <c r="G4524" t="str">
        <f>"2018-10-17 14:43:45"</f>
        <v>2018-10-17 14:43:45</v>
      </c>
    </row>
    <row r="4525" spans="1:7" x14ac:dyDescent="0.2">
      <c r="A4525" t="s">
        <v>1</v>
      </c>
      <c r="B4525" t="str">
        <f>"13233023033"</f>
        <v>13233023033</v>
      </c>
      <c r="C4525" t="s">
        <v>1</v>
      </c>
      <c r="D4525" t="s">
        <v>1</v>
      </c>
      <c r="E4525" t="s">
        <v>1</v>
      </c>
      <c r="F4525" t="s">
        <v>0</v>
      </c>
      <c r="G4525" t="str">
        <f>"2018-10-17 14:45:07"</f>
        <v>2018-10-17 14:45:07</v>
      </c>
    </row>
    <row r="4526" spans="1:7" x14ac:dyDescent="0.2">
      <c r="A4526" t="s">
        <v>5688</v>
      </c>
      <c r="B4526" t="str">
        <f>"13860983996"</f>
        <v>13860983996</v>
      </c>
      <c r="C4526" t="str">
        <f>"350303197708171313"</f>
        <v>350303197708171313</v>
      </c>
      <c r="D4526" t="s">
        <v>1</v>
      </c>
      <c r="E4526" t="s">
        <v>1</v>
      </c>
      <c r="F4526" t="s">
        <v>0</v>
      </c>
      <c r="G4526" t="str">
        <f>"2018-10-17 14:46:49"</f>
        <v>2018-10-17 14:46:49</v>
      </c>
    </row>
    <row r="4527" spans="1:7" x14ac:dyDescent="0.2">
      <c r="A4527" t="s">
        <v>1</v>
      </c>
      <c r="B4527" t="str">
        <f>"15586560658"</f>
        <v>15586560658</v>
      </c>
      <c r="C4527" t="s">
        <v>1</v>
      </c>
      <c r="D4527" t="s">
        <v>1</v>
      </c>
      <c r="E4527" t="s">
        <v>1</v>
      </c>
      <c r="F4527" t="s">
        <v>0</v>
      </c>
      <c r="G4527" t="str">
        <f>"2018-10-17 14:42:14"</f>
        <v>2018-10-17 14:42:14</v>
      </c>
    </row>
    <row r="4528" spans="1:7" x14ac:dyDescent="0.2">
      <c r="A4528" t="s">
        <v>5689</v>
      </c>
      <c r="B4528"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"15188776623"</f>
        <v>15188776623</v>
      </c>
      <c r="C4529" t="str">
        <f>"130638199412167512"</f>
        <v>130638199412167512</v>
      </c>
      <c r="D4529" t="s">
        <v>1</v>
      </c>
      <c r="E4529" t="s">
        <v>1</v>
      </c>
      <c r="F4529" t="s">
        <v>0</v>
      </c>
      <c r="G4529" t="str">
        <f>"2018-10-17 15:06:15"</f>
        <v>2018-10-17 15:06:15</v>
      </c>
    </row>
    <row r="4530" spans="1:7" x14ac:dyDescent="0.2">
      <c r="A4530" t="s">
        <v>5691</v>
      </c>
      <c r="B4530" t="str">
        <f>"15922742947"</f>
        <v>15922742947</v>
      </c>
      <c r="C4530" t="str">
        <f>"510229197209101570"</f>
        <v>510229197209101570</v>
      </c>
      <c r="D4530" t="s">
        <v>5692</v>
      </c>
      <c r="E4530" t="s">
        <v>5693</v>
      </c>
      <c r="F4530" t="s">
        <v>0</v>
      </c>
      <c r="G4530" t="str">
        <f>"2018-10-18 16:27:36"</f>
        <v>2018-10-18 16:27:36</v>
      </c>
    </row>
    <row r="4531" spans="1:7" x14ac:dyDescent="0.2">
      <c r="A4531" t="s">
        <v>925</v>
      </c>
      <c r="B4531" t="str">
        <f>"17671333944"</f>
        <v>17671333944</v>
      </c>
      <c r="C4531" t="str">
        <f>"42052619960218141X"</f>
        <v>42052619960218141X</v>
      </c>
      <c r="D4531" t="s">
        <v>1</v>
      </c>
      <c r="E4531" t="s">
        <v>1</v>
      </c>
      <c r="F4531" t="s">
        <v>0</v>
      </c>
      <c r="G4531" t="str">
        <f>"2018-10-17 14:43:52"</f>
        <v>2018-10-17 14:43:52</v>
      </c>
    </row>
    <row r="4532" spans="1:7" x14ac:dyDescent="0.2">
      <c r="A4532" t="s">
        <v>5694</v>
      </c>
      <c r="B4532" t="str">
        <f>"17756316721"</f>
        <v>17756316721</v>
      </c>
      <c r="C4532" t="str">
        <f>"342524199407261827"</f>
        <v>342524199407261827</v>
      </c>
      <c r="D4532" t="s">
        <v>1</v>
      </c>
      <c r="E4532" t="s">
        <v>1</v>
      </c>
      <c r="F4532" t="s">
        <v>0</v>
      </c>
      <c r="G4532" t="str">
        <f>"2018-10-17 14:43:48"</f>
        <v>2018-10-17 14:43:48</v>
      </c>
    </row>
    <row r="4533" spans="1:7" x14ac:dyDescent="0.2">
      <c r="A4533" t="s">
        <v>5695</v>
      </c>
      <c r="B4533" t="str">
        <f>"18056393138"</f>
        <v>18056393138</v>
      </c>
      <c r="C4533" t="str">
        <f>"532124199009230041"</f>
        <v>532124199009230041</v>
      </c>
      <c r="D4533" t="s">
        <v>1</v>
      </c>
      <c r="E4533" t="s">
        <v>1</v>
      </c>
      <c r="F4533" t="s">
        <v>0</v>
      </c>
      <c r="G4533" t="str">
        <f>"2018-10-25 13:55:11"</f>
        <v>2018-10-25 13:55:11</v>
      </c>
    </row>
    <row r="4534" spans="1:7" x14ac:dyDescent="0.2">
      <c r="A4534" t="s">
        <v>5696</v>
      </c>
      <c r="B4534" t="str">
        <f>"13536000457"</f>
        <v>13536000457</v>
      </c>
      <c r="C4534" t="str">
        <f>"440782198505134719"</f>
        <v>440782198505134719</v>
      </c>
      <c r="D4534" t="s">
        <v>1</v>
      </c>
      <c r="E4534" t="s">
        <v>1</v>
      </c>
      <c r="F4534" t="s">
        <v>0</v>
      </c>
      <c r="G4534" t="str">
        <f>"2018-10-17 14:49:42"</f>
        <v>2018-10-17 14:49:42</v>
      </c>
    </row>
    <row r="4535" spans="1:7" x14ac:dyDescent="0.2">
      <c r="A4535" t="s">
        <v>5697</v>
      </c>
      <c r="B4535" t="str">
        <f>"15259200172"</f>
        <v>15259200172</v>
      </c>
      <c r="C4535" t="str">
        <f>"350425198212123711"</f>
        <v>350425198212123711</v>
      </c>
      <c r="D4535" t="s">
        <v>1</v>
      </c>
      <c r="E4535" t="s">
        <v>1</v>
      </c>
      <c r="F4535" t="s">
        <v>0</v>
      </c>
      <c r="G4535" t="str">
        <f>"2018-10-17 14:44:02"</f>
        <v>2018-10-17 14:44:02</v>
      </c>
    </row>
    <row r="4536" spans="1:7" x14ac:dyDescent="0.2">
      <c r="A4536" t="s">
        <v>5698</v>
      </c>
      <c r="B4536" t="str">
        <f>"18980437616"</f>
        <v>18980437616</v>
      </c>
      <c r="C4536" t="str">
        <f>"513824200007036713"</f>
        <v>513824200007036713</v>
      </c>
      <c r="D4536" t="s">
        <v>1</v>
      </c>
      <c r="E4536" t="s">
        <v>1</v>
      </c>
      <c r="F4536" t="s">
        <v>0</v>
      </c>
      <c r="G4536" t="str">
        <f>"2018-10-17 14:49:56"</f>
        <v>2018-10-17 14:49:56</v>
      </c>
    </row>
    <row r="4537" spans="1:7" x14ac:dyDescent="0.2">
      <c r="A4537" t="s">
        <v>666</v>
      </c>
      <c r="B4537" t="str">
        <f>"17532571500"</f>
        <v>17532571500</v>
      </c>
      <c r="C4537" t="str">
        <f>"130427199106012723"</f>
        <v>130427199106012723</v>
      </c>
      <c r="D4537" t="s">
        <v>1</v>
      </c>
      <c r="E4537" t="s">
        <v>1</v>
      </c>
      <c r="F4537" t="s">
        <v>0</v>
      </c>
      <c r="G4537" t="str">
        <f>"2018-10-17 14:42:16"</f>
        <v>2018-10-17 14:42:16</v>
      </c>
    </row>
    <row r="4538" spans="1:7" x14ac:dyDescent="0.2">
      <c r="A4538" t="s">
        <v>1</v>
      </c>
      <c r="B4538" t="str">
        <f>"15752137918"</f>
        <v>15752137918</v>
      </c>
      <c r="C4538" t="s">
        <v>1</v>
      </c>
      <c r="D4538" t="s">
        <v>1</v>
      </c>
      <c r="E4538" t="s">
        <v>1</v>
      </c>
      <c r="F4538" t="s">
        <v>0</v>
      </c>
      <c r="G4538" t="str">
        <f>"2018-10-17 14:39:50"</f>
        <v>2018-10-17 14:39:50</v>
      </c>
    </row>
    <row r="4539" spans="1:7" x14ac:dyDescent="0.2">
      <c r="A4539" t="s">
        <v>5699</v>
      </c>
      <c r="B4539" t="str">
        <f>"13728660266"</f>
        <v>13728660266</v>
      </c>
      <c r="C4539" t="str">
        <f>"431281198707285836"</f>
        <v>431281198707285836</v>
      </c>
      <c r="D4539" t="s">
        <v>1</v>
      </c>
      <c r="E4539" t="s">
        <v>1</v>
      </c>
      <c r="F4539" t="s">
        <v>0</v>
      </c>
      <c r="G4539" t="str">
        <f>"2018-10-31 01:25:57"</f>
        <v>2018-10-31 01:25:57</v>
      </c>
    </row>
    <row r="4540" spans="1:7" x14ac:dyDescent="0.2">
      <c r="A4540" t="s">
        <v>140</v>
      </c>
      <c r="B4540" t="str">
        <f>"13568987035"</f>
        <v>13568987035</v>
      </c>
      <c r="C4540" t="str">
        <f>"142702198406050017"</f>
        <v>142702198406050017</v>
      </c>
      <c r="D4540" t="s">
        <v>1</v>
      </c>
      <c r="E4540" t="s">
        <v>1</v>
      </c>
      <c r="F4540" t="s">
        <v>0</v>
      </c>
      <c r="G4540" t="str">
        <f>"2018-10-17 14:39:33"</f>
        <v>2018-10-17 14:39:33</v>
      </c>
    </row>
    <row r="4541" spans="1:7" x14ac:dyDescent="0.2">
      <c r="A4541" t="s">
        <v>1</v>
      </c>
      <c r="B4541" t="str">
        <f>"18846646947"</f>
        <v>18846646947</v>
      </c>
      <c r="C4541" t="s">
        <v>1</v>
      </c>
      <c r="D4541" t="s">
        <v>1</v>
      </c>
      <c r="E4541" t="s">
        <v>1</v>
      </c>
      <c r="F4541" t="s">
        <v>0</v>
      </c>
      <c r="G4541" t="str">
        <f>"2018-10-17 14:39:10"</f>
        <v>2018-10-17 14:39:10</v>
      </c>
    </row>
    <row r="4542" spans="1:7" x14ac:dyDescent="0.2">
      <c r="A4542" t="s">
        <v>5700</v>
      </c>
      <c r="B4542" t="str">
        <f>"18423550062"</f>
        <v>18423550062</v>
      </c>
      <c r="C4542" t="str">
        <f>"500231198908167565"</f>
        <v>500231198908167565</v>
      </c>
      <c r="D4542" t="s">
        <v>1</v>
      </c>
      <c r="E4542" t="s">
        <v>1</v>
      </c>
      <c r="F4542" t="s">
        <v>0</v>
      </c>
      <c r="G4542" t="str">
        <f>"2018-10-30 14:35:14"</f>
        <v>2018-10-30 14:35:14</v>
      </c>
    </row>
    <row r="4543" spans="1:7" x14ac:dyDescent="0.2">
      <c r="A4543" t="s">
        <v>1</v>
      </c>
      <c r="B4543" t="str">
        <f>"15179771791"</f>
        <v>15179771791</v>
      </c>
      <c r="C4543" t="s">
        <v>1</v>
      </c>
      <c r="D4543" t="s">
        <v>1</v>
      </c>
      <c r="E4543" t="s">
        <v>1</v>
      </c>
      <c r="F4543" t="s">
        <v>0</v>
      </c>
      <c r="G4543" t="str">
        <f>"2018-10-17 14:38:31"</f>
        <v>2018-10-17 14:38:31</v>
      </c>
    </row>
    <row r="4544" spans="1:7" x14ac:dyDescent="0.2">
      <c r="A4544" t="s">
        <v>5701</v>
      </c>
      <c r="B4544" t="str">
        <f>"15898649039"</f>
        <v>15898649039</v>
      </c>
      <c r="C4544" t="str">
        <f>"37082319770810482X"</f>
        <v>37082319770810482X</v>
      </c>
      <c r="D4544" t="s">
        <v>1</v>
      </c>
      <c r="E4544" t="s">
        <v>1</v>
      </c>
      <c r="F4544" t="s">
        <v>0</v>
      </c>
      <c r="G4544" t="str">
        <f>"2018-10-17 14:39:32"</f>
        <v>2018-10-17 14:39:32</v>
      </c>
    </row>
    <row r="4545" spans="1:7" x14ac:dyDescent="0.2">
      <c r="A4545" t="s">
        <v>5702</v>
      </c>
      <c r="B4545" t="str">
        <f>"15172324503"</f>
        <v>15172324503</v>
      </c>
      <c r="C4545" t="str">
        <f>"411521199504174635"</f>
        <v>411521199504174635</v>
      </c>
      <c r="D4545" t="s">
        <v>5703</v>
      </c>
      <c r="E4545" t="s">
        <v>5704</v>
      </c>
      <c r="F4545" t="s">
        <v>0</v>
      </c>
      <c r="G4545" t="str">
        <f>"2018-10-17 14:41:09"</f>
        <v>2018-10-17 14:41:09</v>
      </c>
    </row>
    <row r="4546" spans="1:7" x14ac:dyDescent="0.2">
      <c r="A4546" t="s">
        <v>5705</v>
      </c>
      <c r="B4546" t="str">
        <f>"15198714729"</f>
        <v>15198714729</v>
      </c>
      <c r="C4546" t="str">
        <f>"530425199509200317"</f>
        <v>530425199509200317</v>
      </c>
      <c r="D4546" t="s">
        <v>1</v>
      </c>
      <c r="E4546" t="s">
        <v>1</v>
      </c>
      <c r="F4546" t="s">
        <v>0</v>
      </c>
      <c r="G4546" t="str">
        <f>"2018-10-17 14:49:02"</f>
        <v>2018-10-17 14:49:02</v>
      </c>
    </row>
    <row r="4547" spans="1:7" x14ac:dyDescent="0.2">
      <c r="A4547" t="s">
        <v>1</v>
      </c>
      <c r="B4547" t="str">
        <f>"13605595559"</f>
        <v>13605595559</v>
      </c>
      <c r="C4547" t="s">
        <v>1</v>
      </c>
      <c r="D4547" t="s">
        <v>1</v>
      </c>
      <c r="E4547" t="s">
        <v>1</v>
      </c>
      <c r="F4547" t="s">
        <v>0</v>
      </c>
      <c r="G4547" t="str">
        <f>"2018-10-17 14:38:00"</f>
        <v>2018-10-17 14:38:00</v>
      </c>
    </row>
    <row r="4548" spans="1:7" x14ac:dyDescent="0.2">
      <c r="A4548" t="s">
        <v>696</v>
      </c>
      <c r="B4548" t="str">
        <f>"18760392716"</f>
        <v>18760392716</v>
      </c>
      <c r="C4548" t="str">
        <f>"350600197305173514"</f>
        <v>350600197305173514</v>
      </c>
      <c r="D4548" t="s">
        <v>1</v>
      </c>
      <c r="E4548" t="s">
        <v>1</v>
      </c>
      <c r="F4548" t="s">
        <v>0</v>
      </c>
      <c r="G4548" t="str">
        <f>"2018-11-01 15:42:23"</f>
        <v>2018-11-01 15:42:23</v>
      </c>
    </row>
    <row r="4549" spans="1:7" x14ac:dyDescent="0.2">
      <c r="A4549" t="s">
        <v>1</v>
      </c>
      <c r="B4549" t="str">
        <f>"13059943356"</f>
        <v>13059943356</v>
      </c>
      <c r="C4549" t="s">
        <v>1</v>
      </c>
      <c r="D4549" t="s">
        <v>1</v>
      </c>
      <c r="E4549" t="s">
        <v>1</v>
      </c>
      <c r="F4549" t="s">
        <v>0</v>
      </c>
      <c r="G4549" t="str">
        <f>"2018-10-17 14:37:21"</f>
        <v>2018-10-17 14:37:21</v>
      </c>
    </row>
    <row r="4550" spans="1:7" x14ac:dyDescent="0.2">
      <c r="A4550" t="s">
        <v>5706</v>
      </c>
      <c r="B4550" t="str">
        <f>"18523623256"</f>
        <v>18523623256</v>
      </c>
      <c r="C4550" t="str">
        <f>"500102199312282359"</f>
        <v>500102199312282359</v>
      </c>
      <c r="D4550" t="s">
        <v>5707</v>
      </c>
      <c r="E4550" t="s">
        <v>5708</v>
      </c>
      <c r="F4550" t="s">
        <v>0</v>
      </c>
      <c r="G4550" t="str">
        <f>"2018-10-17 14:39:02"</f>
        <v>2018-10-17 14:39:02</v>
      </c>
    </row>
    <row r="4551" spans="1:7" x14ac:dyDescent="0.2">
      <c r="A4551" t="s">
        <v>5709</v>
      </c>
      <c r="B4551" t="str">
        <f>"18774822003"</f>
        <v>18774822003</v>
      </c>
      <c r="C4551" t="str">
        <f>"430121199007240030"</f>
        <v>430121199007240030</v>
      </c>
      <c r="D4551" t="s">
        <v>1</v>
      </c>
      <c r="E4551" t="s">
        <v>1</v>
      </c>
      <c r="F4551" t="s">
        <v>0</v>
      </c>
      <c r="G4551" t="str">
        <f>"2018-10-17 14:51:52"</f>
        <v>2018-10-17 14:51:52</v>
      </c>
    </row>
    <row r="4552" spans="1:7" x14ac:dyDescent="0.2">
      <c r="A4552" t="s">
        <v>1569</v>
      </c>
      <c r="B4552" t="str">
        <f>"15261797818"</f>
        <v>15261797818</v>
      </c>
      <c r="C4552" t="str">
        <f>"320821198502023330"</f>
        <v>320821198502023330</v>
      </c>
      <c r="D4552" t="s">
        <v>1</v>
      </c>
      <c r="E4552" t="s">
        <v>1</v>
      </c>
      <c r="F4552" t="s">
        <v>0</v>
      </c>
      <c r="G4552" t="str">
        <f>"2018-10-17 17:37:57"</f>
        <v>2018-10-17 17:37:57</v>
      </c>
    </row>
    <row r="4553" spans="1:7" x14ac:dyDescent="0.2">
      <c r="A4553" t="s">
        <v>5710</v>
      </c>
      <c r="B4553" t="str">
        <f>"13139090315"</f>
        <v>13139090315</v>
      </c>
      <c r="C4553" t="str">
        <f>"210302198312130635"</f>
        <v>210302198312130635</v>
      </c>
      <c r="D4553" t="s">
        <v>1</v>
      </c>
      <c r="E4553" t="s">
        <v>1</v>
      </c>
      <c r="F4553" t="s">
        <v>0</v>
      </c>
      <c r="G4553" t="str">
        <f>"2018-10-17 15:03:43"</f>
        <v>2018-10-17 15:03:43</v>
      </c>
    </row>
    <row r="4554" spans="1:7" x14ac:dyDescent="0.2">
      <c r="A4554" t="s">
        <v>5711</v>
      </c>
      <c r="B4554" t="str">
        <f>"13644217721"</f>
        <v>13644217721</v>
      </c>
      <c r="C4554" t="str">
        <f>"211321199209120433"</f>
        <v>211321199209120433</v>
      </c>
      <c r="D4554" t="s">
        <v>5712</v>
      </c>
      <c r="E4554" t="s">
        <v>5713</v>
      </c>
      <c r="F4554" t="s">
        <v>0</v>
      </c>
      <c r="G4554" t="str">
        <f>"2018-10-17 14:38:42"</f>
        <v>2018-10-17 14:38:42</v>
      </c>
    </row>
    <row r="4555" spans="1:7" x14ac:dyDescent="0.2">
      <c r="A4555" t="s">
        <v>2558</v>
      </c>
      <c r="B4555" t="str">
        <f>"15537371798"</f>
        <v>15537371798</v>
      </c>
      <c r="C4555" t="str">
        <f>"410721199704144510"</f>
        <v>410721199704144510</v>
      </c>
      <c r="D4555" t="s">
        <v>1</v>
      </c>
      <c r="E4555" t="s">
        <v>1</v>
      </c>
      <c r="F4555" t="s">
        <v>0</v>
      </c>
      <c r="G4555" t="str">
        <f>"2018-10-17 14:37:14"</f>
        <v>2018-10-17 14:37:14</v>
      </c>
    </row>
    <row r="4556" spans="1:7" x14ac:dyDescent="0.2">
      <c r="A4556" t="s">
        <v>1</v>
      </c>
      <c r="B4556" t="str">
        <f>"15102711227"</f>
        <v>15102711227</v>
      </c>
      <c r="C4556" t="s">
        <v>1</v>
      </c>
      <c r="D4556" t="s">
        <v>1</v>
      </c>
      <c r="E4556" t="s">
        <v>1</v>
      </c>
      <c r="F4556" t="s">
        <v>0</v>
      </c>
      <c r="G4556" t="str">
        <f>"2018-10-17 14:36:20"</f>
        <v>2018-10-17 14:36:20</v>
      </c>
    </row>
    <row r="4557" spans="1:7" x14ac:dyDescent="0.2">
      <c r="A4557" t="s">
        <v>1</v>
      </c>
      <c r="B4557" t="str">
        <f>"18567952163"</f>
        <v>18567952163</v>
      </c>
      <c r="C4557" t="s">
        <v>1</v>
      </c>
      <c r="D4557" t="s">
        <v>1</v>
      </c>
      <c r="E4557" t="s">
        <v>1</v>
      </c>
      <c r="F4557" t="s">
        <v>0</v>
      </c>
      <c r="G4557" t="str">
        <f>"2018-10-17 14:36:06"</f>
        <v>2018-10-17 14:36:06</v>
      </c>
    </row>
    <row r="4558" spans="1:7" x14ac:dyDescent="0.2">
      <c r="A4558" t="s">
        <v>5714</v>
      </c>
      <c r="B4558" t="str">
        <f>"13708806223"</f>
        <v>13708806223</v>
      </c>
      <c r="C4558" t="str">
        <f>"532930198412182111"</f>
        <v>532930198412182111</v>
      </c>
      <c r="D4558" t="s">
        <v>1</v>
      </c>
      <c r="E4558" t="s">
        <v>1</v>
      </c>
      <c r="F4558" t="s">
        <v>0</v>
      </c>
      <c r="G4558" t="str">
        <f>"2018-10-17 14:36:50"</f>
        <v>2018-10-17 14:36:50</v>
      </c>
    </row>
    <row r="4559" spans="1:7" x14ac:dyDescent="0.2">
      <c r="A4559" t="s">
        <v>5715</v>
      </c>
      <c r="B4559" t="str">
        <f>"15276053461"</f>
        <v>15276053461</v>
      </c>
      <c r="C4559" t="str">
        <f>"653101197705064846"</f>
        <v>653101197705064846</v>
      </c>
      <c r="D4559" t="s">
        <v>1</v>
      </c>
      <c r="E4559" t="s">
        <v>1</v>
      </c>
      <c r="F4559" t="s">
        <v>0</v>
      </c>
      <c r="G4559" t="str">
        <f>"2018-11-04 19:44:02"</f>
        <v>2018-11-04 19:44:02</v>
      </c>
    </row>
    <row r="4560" spans="1:7" x14ac:dyDescent="0.2">
      <c r="A4560" t="s">
        <v>5716</v>
      </c>
      <c r="B4560" t="str">
        <f>"15148813453"</f>
        <v>15148813453</v>
      </c>
      <c r="C4560" t="str">
        <f>"62232319910523054X"</f>
        <v>62232319910523054X</v>
      </c>
      <c r="D4560" t="s">
        <v>1</v>
      </c>
      <c r="E4560" t="s">
        <v>1</v>
      </c>
      <c r="F4560" t="s">
        <v>0</v>
      </c>
      <c r="G4560" t="str">
        <f>"2018-10-17 14:36:45"</f>
        <v>2018-10-17 14:36:45</v>
      </c>
    </row>
    <row r="4561" spans="1:7" x14ac:dyDescent="0.2">
      <c r="A4561" t="s">
        <v>5717</v>
      </c>
      <c r="B4561" t="str">
        <f>"13602531832"</f>
        <v>13602531832</v>
      </c>
      <c r="C4561" t="str">
        <f>"511025199109107274"</f>
        <v>511025199109107274</v>
      </c>
      <c r="D4561" t="s">
        <v>1</v>
      </c>
      <c r="E4561" t="s">
        <v>1</v>
      </c>
      <c r="F4561" t="s">
        <v>0</v>
      </c>
      <c r="G4561" t="str">
        <f>"2018-10-17 14:36:41"</f>
        <v>2018-10-17 14:36:41</v>
      </c>
    </row>
    <row r="4562" spans="1:7" x14ac:dyDescent="0.2">
      <c r="A4562" t="s">
        <v>5718</v>
      </c>
      <c r="B4562" t="str">
        <f>"17602675075"</f>
        <v>17602675075</v>
      </c>
      <c r="C4562" t="str">
        <f>"522101199610230417"</f>
        <v>522101199610230417</v>
      </c>
      <c r="D4562" t="s">
        <v>1</v>
      </c>
      <c r="E4562" t="s">
        <v>1</v>
      </c>
      <c r="F4562" t="s">
        <v>0</v>
      </c>
      <c r="G4562" t="str">
        <f>"2018-11-04 16:08:09"</f>
        <v>2018-11-04 16:08:09</v>
      </c>
    </row>
    <row r="4563" spans="1:7" x14ac:dyDescent="0.2">
      <c r="A4563" t="s">
        <v>5719</v>
      </c>
      <c r="B4563" t="str">
        <f>"13975600611"</f>
        <v>13975600611</v>
      </c>
      <c r="C4563" t="str">
        <f>"432402196405140516"</f>
        <v>432402196405140516</v>
      </c>
      <c r="D4563" t="s">
        <v>5720</v>
      </c>
      <c r="E4563" t="s">
        <v>5721</v>
      </c>
      <c r="F4563" t="s">
        <v>0</v>
      </c>
      <c r="G4563" t="str">
        <f>"2018-10-17 14:38:29"</f>
        <v>2018-10-17 14:38:29</v>
      </c>
    </row>
    <row r="4564" spans="1:7" x14ac:dyDescent="0.2">
      <c r="A4564" t="s">
        <v>5722</v>
      </c>
      <c r="B4564" t="str">
        <f>"15596318777"</f>
        <v>15596318777</v>
      </c>
      <c r="C4564" t="str">
        <f>"610523198211216576"</f>
        <v>610523198211216576</v>
      </c>
      <c r="D4564" t="s">
        <v>1</v>
      </c>
      <c r="E4564" t="s">
        <v>1</v>
      </c>
      <c r="F4564" t="s">
        <v>0</v>
      </c>
      <c r="G4564" t="str">
        <f>"2018-10-17 14:38:12"</f>
        <v>2018-10-17 14:38:12</v>
      </c>
    </row>
    <row r="4565" spans="1:7" x14ac:dyDescent="0.2">
      <c r="A4565" t="s">
        <v>5723</v>
      </c>
      <c r="B4565" t="str">
        <f>"18754569672"</f>
        <v>18754569672</v>
      </c>
      <c r="C4565" t="str">
        <f>"370611197901293216"</f>
        <v>370611197901293216</v>
      </c>
      <c r="D4565" t="s">
        <v>1</v>
      </c>
      <c r="E4565" t="s">
        <v>1</v>
      </c>
      <c r="F4565" t="s">
        <v>0</v>
      </c>
      <c r="G4565" t="str">
        <f>"2018-11-02 10:53:48"</f>
        <v>2018-11-02 10:53:48</v>
      </c>
    </row>
    <row r="4566" spans="1:7" x14ac:dyDescent="0.2">
      <c r="A4566" t="s">
        <v>5724</v>
      </c>
      <c r="B4566" t="str">
        <f>"18657100721"</f>
        <v>18657100721</v>
      </c>
      <c r="C4566" t="str">
        <f>"330102198205181513"</f>
        <v>330102198205181513</v>
      </c>
      <c r="D4566" t="s">
        <v>5725</v>
      </c>
      <c r="E4566" t="s">
        <v>5726</v>
      </c>
      <c r="F4566" t="s">
        <v>0</v>
      </c>
      <c r="G4566" t="str">
        <f>"2018-10-17 14:35:46"</f>
        <v>2018-10-17 14:35:46</v>
      </c>
    </row>
    <row r="4567" spans="1:7" x14ac:dyDescent="0.2">
      <c r="A4567" t="s">
        <v>5727</v>
      </c>
      <c r="B4567" t="str">
        <f>"13411016803"</f>
        <v>13411016803</v>
      </c>
      <c r="C4567" t="str">
        <f>"440681198009114215"</f>
        <v>440681198009114215</v>
      </c>
      <c r="D4567" t="s">
        <v>1</v>
      </c>
      <c r="E4567" t="s">
        <v>1</v>
      </c>
      <c r="F4567" t="s">
        <v>0</v>
      </c>
      <c r="G4567" t="str">
        <f>"2018-10-17 14:54:29"</f>
        <v>2018-10-17 14:54:29</v>
      </c>
    </row>
    <row r="4568" spans="1:7" x14ac:dyDescent="0.2">
      <c r="A4568" t="s">
        <v>5728</v>
      </c>
      <c r="B4568" t="str">
        <f>"18200321323"</f>
        <v>18200321323</v>
      </c>
      <c r="C4568" t="str">
        <f>"510129199204231038"</f>
        <v>510129199204231038</v>
      </c>
      <c r="D4568" t="s">
        <v>1</v>
      </c>
      <c r="E4568" t="s">
        <v>1</v>
      </c>
      <c r="F4568" t="s">
        <v>0</v>
      </c>
      <c r="G4568" t="str">
        <f>"2018-10-17 16:05:25"</f>
        <v>2018-10-17 16:05:25</v>
      </c>
    </row>
    <row r="4569" spans="1:7" x14ac:dyDescent="0.2">
      <c r="A4569" t="s">
        <v>5729</v>
      </c>
      <c r="B4569" t="str">
        <f>"15247771515"</f>
        <v>15247771515</v>
      </c>
      <c r="C4569" t="str">
        <f>"150221198805012677"</f>
        <v>150221198805012677</v>
      </c>
      <c r="D4569" t="s">
        <v>5730</v>
      </c>
      <c r="E4569" t="s">
        <v>5731</v>
      </c>
      <c r="F4569" t="s">
        <v>0</v>
      </c>
      <c r="G4569" t="str">
        <f>"2018-10-17 15:41:38"</f>
        <v>2018-10-17 15:41:38</v>
      </c>
    </row>
    <row r="4570" spans="1:7" x14ac:dyDescent="0.2">
      <c r="A4570" t="s">
        <v>5732</v>
      </c>
      <c r="B4570" t="str">
        <f>"13841434007"</f>
        <v>13841434007</v>
      </c>
      <c r="C4570" t="str">
        <f>"210502198608302417"</f>
        <v>210502198608302417</v>
      </c>
      <c r="D4570" t="s">
        <v>1</v>
      </c>
      <c r="E4570" t="s">
        <v>1</v>
      </c>
      <c r="F4570" t="s">
        <v>0</v>
      </c>
      <c r="G4570" t="str">
        <f>"2018-10-17 14:47:04"</f>
        <v>2018-10-17 14:47:04</v>
      </c>
    </row>
    <row r="4571" spans="1:7" x14ac:dyDescent="0.2">
      <c r="A4571" t="s">
        <v>5733</v>
      </c>
      <c r="B4571" t="str">
        <f>"13519183888"</f>
        <v>13519183888</v>
      </c>
      <c r="C4571" t="str">
        <f>"142429197209112839"</f>
        <v>142429197209112839</v>
      </c>
      <c r="D4571" t="s">
        <v>1</v>
      </c>
      <c r="E4571" t="s">
        <v>1</v>
      </c>
      <c r="F4571" t="s">
        <v>0</v>
      </c>
      <c r="G4571" t="str">
        <f>"2018-10-17 14:35:08"</f>
        <v>2018-10-17 14:35:08</v>
      </c>
    </row>
    <row r="4572" spans="1:7" x14ac:dyDescent="0.2">
      <c r="A4572" t="s">
        <v>5734</v>
      </c>
      <c r="B4572" t="str">
        <f>"18899188844"</f>
        <v>18899188844</v>
      </c>
      <c r="C4572" t="str">
        <f>"653101198606054030"</f>
        <v>653101198606054030</v>
      </c>
      <c r="D4572" t="s">
        <v>5735</v>
      </c>
      <c r="E4572" t="s">
        <v>5736</v>
      </c>
      <c r="F4572" t="s">
        <v>0</v>
      </c>
      <c r="G4572" t="str">
        <f>"2018-10-17 14:33:36"</f>
        <v>2018-10-17 14:33:36</v>
      </c>
    </row>
    <row r="4573" spans="1:7" x14ac:dyDescent="0.2">
      <c r="A4573" t="s">
        <v>5737</v>
      </c>
      <c r="B4573" t="str">
        <f>"15011383053"</f>
        <v>15011383053</v>
      </c>
      <c r="C4573" t="str">
        <f>"11010119850216152X"</f>
        <v>11010119850216152X</v>
      </c>
      <c r="D4573" t="s">
        <v>5738</v>
      </c>
      <c r="E4573" t="s">
        <v>5739</v>
      </c>
      <c r="F4573" t="s">
        <v>0</v>
      </c>
      <c r="G4573" t="str">
        <f>"2018-10-17 14:59:08"</f>
        <v>2018-10-17 14:59:08</v>
      </c>
    </row>
    <row r="4574" spans="1:7" x14ac:dyDescent="0.2">
      <c r="A4574" t="s">
        <v>5740</v>
      </c>
      <c r="B4574" t="str">
        <f>"13110005101"</f>
        <v>13110005101</v>
      </c>
      <c r="C4574" t="str">
        <f>"120103198312215827"</f>
        <v>120103198312215827</v>
      </c>
      <c r="D4574" t="s">
        <v>1</v>
      </c>
      <c r="E4574" t="s">
        <v>1</v>
      </c>
      <c r="F4574" t="s">
        <v>0</v>
      </c>
      <c r="G4574" t="str">
        <f>"2018-10-17 14:41:55"</f>
        <v>2018-10-17 14:41:55</v>
      </c>
    </row>
    <row r="4575" spans="1:7" x14ac:dyDescent="0.2">
      <c r="A4575" t="s">
        <v>5741</v>
      </c>
      <c r="B4575" t="str">
        <f>"13961586899"</f>
        <v>13961586899</v>
      </c>
      <c r="C4575" t="str">
        <f>"320223198111144119"</f>
        <v>320223198111144119</v>
      </c>
      <c r="D4575" t="s">
        <v>1</v>
      </c>
      <c r="E4575" t="s">
        <v>1</v>
      </c>
      <c r="F4575" t="s">
        <v>0</v>
      </c>
      <c r="G4575" t="str">
        <f>"2018-10-17 14:34:06"</f>
        <v>2018-10-17 14:34:06</v>
      </c>
    </row>
    <row r="4576" spans="1:7" x14ac:dyDescent="0.2">
      <c r="A4576" t="s">
        <v>1</v>
      </c>
      <c r="B4576" t="str">
        <f>"15856958157"</f>
        <v>15856958157</v>
      </c>
      <c r="C4576" t="s">
        <v>1</v>
      </c>
      <c r="D4576" t="s">
        <v>1</v>
      </c>
      <c r="E4576" t="s">
        <v>1</v>
      </c>
      <c r="F4576" t="s">
        <v>0</v>
      </c>
      <c r="G4576" t="str">
        <f>"2018-10-17 14:32:01"</f>
        <v>2018-10-17 14:32:01</v>
      </c>
    </row>
    <row r="4577" spans="1:7" x14ac:dyDescent="0.2">
      <c r="A4577" t="s">
        <v>5742</v>
      </c>
      <c r="B4577" t="str">
        <f>"13830702772"</f>
        <v>13830702772</v>
      </c>
      <c r="C4577" t="str">
        <f>"622126198603250010"</f>
        <v>622126198603250010</v>
      </c>
      <c r="D4577" t="s">
        <v>1</v>
      </c>
      <c r="E4577" t="s">
        <v>1</v>
      </c>
      <c r="F4577" t="s">
        <v>0</v>
      </c>
      <c r="G4577" t="str">
        <f>"2018-10-17 14:32:57"</f>
        <v>2018-10-17 14:32:57</v>
      </c>
    </row>
    <row r="4578" spans="1:7" x14ac:dyDescent="0.2">
      <c r="A4578" t="s">
        <v>1234</v>
      </c>
      <c r="B4578" t="str">
        <f>"17743874547"</f>
        <v>17743874547</v>
      </c>
      <c r="C4578" t="str">
        <f>"130125198802106535"</f>
        <v>130125198802106535</v>
      </c>
      <c r="D4578" t="s">
        <v>5743</v>
      </c>
      <c r="E4578" t="s">
        <v>5744</v>
      </c>
      <c r="F4578" t="s">
        <v>0</v>
      </c>
      <c r="G4578" t="str">
        <f>"2018-10-17 14:31:07"</f>
        <v>2018-10-17 14:31:07</v>
      </c>
    </row>
    <row r="4579" spans="1:7" x14ac:dyDescent="0.2">
      <c r="A4579" t="s">
        <v>5745</v>
      </c>
      <c r="B4579" t="str">
        <f>"15774653388"</f>
        <v>15774653388</v>
      </c>
      <c r="C4579" t="str">
        <f>"232301199003210010"</f>
        <v>232301199003210010</v>
      </c>
      <c r="D4579" t="s">
        <v>1</v>
      </c>
      <c r="E4579" t="s">
        <v>1</v>
      </c>
      <c r="F4579" t="s">
        <v>0</v>
      </c>
      <c r="G4579" t="str">
        <f>"2018-10-17 14:32:16"</f>
        <v>2018-10-17 14:32:16</v>
      </c>
    </row>
    <row r="4580" spans="1:7" x14ac:dyDescent="0.2">
      <c r="A4580" t="s">
        <v>5746</v>
      </c>
      <c r="B4580" t="str">
        <f>"18806640414"</f>
        <v>18806640414</v>
      </c>
      <c r="C4580" t="str">
        <f>"450802199708160511"</f>
        <v>450802199708160511</v>
      </c>
      <c r="D4580" t="s">
        <v>5747</v>
      </c>
      <c r="E4580" t="s">
        <v>5748</v>
      </c>
      <c r="F4580" t="s">
        <v>0</v>
      </c>
      <c r="G4580" t="str">
        <f>"2018-10-17 14:37:02"</f>
        <v>2018-10-17 14:37:02</v>
      </c>
    </row>
    <row r="4581" spans="1:7" x14ac:dyDescent="0.2">
      <c r="A4581" t="s">
        <v>5749</v>
      </c>
      <c r="B4581" t="str">
        <f>"13936640786"</f>
        <v>13936640786</v>
      </c>
      <c r="C4581" t="str">
        <f>"230822199402104925"</f>
        <v>230822199402104925</v>
      </c>
      <c r="D4581" t="s">
        <v>5750</v>
      </c>
      <c r="E4581" t="s">
        <v>5751</v>
      </c>
      <c r="F4581" t="s">
        <v>0</v>
      </c>
      <c r="G4581" t="str">
        <f>"2018-10-17 14:32:51"</f>
        <v>2018-10-17 14:32:51</v>
      </c>
    </row>
    <row r="4582" spans="1:7" x14ac:dyDescent="0.2">
      <c r="A4582" t="s">
        <v>395</v>
      </c>
      <c r="B4582" t="str">
        <f>"13465499381"</f>
        <v>13465499381</v>
      </c>
      <c r="C4582" t="str">
        <f>"371311198505292616"</f>
        <v>371311198505292616</v>
      </c>
      <c r="D4582" t="s">
        <v>1</v>
      </c>
      <c r="E4582" t="s">
        <v>1</v>
      </c>
      <c r="F4582" t="s">
        <v>0</v>
      </c>
      <c r="G4582" t="str">
        <f>"2018-10-17 14:31:27"</f>
        <v>2018-10-17 14:31:27</v>
      </c>
    </row>
    <row r="4583" spans="1:7" x14ac:dyDescent="0.2">
      <c r="A4583" t="s">
        <v>5752</v>
      </c>
      <c r="B4583" t="str">
        <f>"13461962021"</f>
        <v>13461962021</v>
      </c>
      <c r="C4583" t="str">
        <f>"411322199412242018"</f>
        <v>411322199412242018</v>
      </c>
      <c r="D4583" t="s">
        <v>1</v>
      </c>
      <c r="E4583" t="s">
        <v>1</v>
      </c>
      <c r="F4583" t="s">
        <v>0</v>
      </c>
      <c r="G4583" t="str">
        <f>"2018-10-17 14:31:50"</f>
        <v>2018-10-17 14:31:50</v>
      </c>
    </row>
    <row r="4584" spans="1:7" x14ac:dyDescent="0.2">
      <c r="A4584" t="s">
        <v>5753</v>
      </c>
      <c r="B4584" t="str">
        <f>"13459601160"</f>
        <v>13459601160</v>
      </c>
      <c r="C4584" t="str">
        <f>"350623198602265131"</f>
        <v>350623198602265131</v>
      </c>
      <c r="D4584" t="s">
        <v>1</v>
      </c>
      <c r="E4584" t="s">
        <v>1</v>
      </c>
      <c r="F4584" t="s">
        <v>0</v>
      </c>
      <c r="G4584" t="str">
        <f>"2018-10-17 14:45:06"</f>
        <v>2018-10-17 14:45:06</v>
      </c>
    </row>
    <row r="4585" spans="1:7" x14ac:dyDescent="0.2">
      <c r="A4585" t="s">
        <v>5754</v>
      </c>
      <c r="B4585" t="str">
        <f>"15242546781"</f>
        <v>15242546781</v>
      </c>
      <c r="C4585" t="str">
        <f>"211302199807270029"</f>
        <v>211302199807270029</v>
      </c>
      <c r="D4585" t="s">
        <v>5755</v>
      </c>
      <c r="E4585" t="s">
        <v>5756</v>
      </c>
      <c r="F4585" t="s">
        <v>0</v>
      </c>
      <c r="G4585" t="str">
        <f>"2018-10-17 14:31:05"</f>
        <v>2018-10-17 14:31:05</v>
      </c>
    </row>
    <row r="4586" spans="1:7" x14ac:dyDescent="0.2">
      <c r="A4586" t="s">
        <v>5757</v>
      </c>
      <c r="B4586" t="str">
        <f>"15336035054"</f>
        <v>15336035054</v>
      </c>
      <c r="C4586" t="str">
        <f>"622726198610152534"</f>
        <v>622726198610152534</v>
      </c>
      <c r="D4586" t="s">
        <v>1</v>
      </c>
      <c r="E4586" t="s">
        <v>1</v>
      </c>
      <c r="F4586" t="s">
        <v>0</v>
      </c>
      <c r="G4586" t="str">
        <f>"2018-10-17 14:29:20"</f>
        <v>2018-10-17 14:29:20</v>
      </c>
    </row>
    <row r="4587" spans="1:7" x14ac:dyDescent="0.2">
      <c r="A4587" t="s">
        <v>5758</v>
      </c>
      <c r="B4587" t="str">
        <f>"18981817971"</f>
        <v>18981817971</v>
      </c>
      <c r="C4587" t="str">
        <f>"510725199007263011"</f>
        <v>510725199007263011</v>
      </c>
      <c r="D4587" t="s">
        <v>1</v>
      </c>
      <c r="E4587" t="s">
        <v>1</v>
      </c>
      <c r="F4587" t="s">
        <v>0</v>
      </c>
      <c r="G4587" t="str">
        <f>"2018-10-17 14:33:46"</f>
        <v>2018-10-17 14:33:46</v>
      </c>
    </row>
    <row r="4588" spans="1:7" x14ac:dyDescent="0.2">
      <c r="A4588" t="s">
        <v>5759</v>
      </c>
      <c r="B4588" t="str">
        <f>"18737938885"</f>
        <v>18737938885</v>
      </c>
      <c r="C4588" t="str">
        <f>"410324199102272512"</f>
        <v>410324199102272512</v>
      </c>
      <c r="D4588" t="s">
        <v>1</v>
      </c>
      <c r="E4588" t="s">
        <v>1</v>
      </c>
      <c r="F4588" t="s">
        <v>0</v>
      </c>
      <c r="G4588" t="str">
        <f>"2018-10-17 14:29:32"</f>
        <v>2018-10-17 14:29:32</v>
      </c>
    </row>
    <row r="4589" spans="1:7" x14ac:dyDescent="0.2">
      <c r="A4589" t="s">
        <v>1</v>
      </c>
      <c r="B4589" t="str">
        <f>"18788427079"</f>
        <v>18788427079</v>
      </c>
      <c r="C4589" t="s">
        <v>1</v>
      </c>
      <c r="D4589" t="s">
        <v>1</v>
      </c>
      <c r="E4589" t="s">
        <v>1</v>
      </c>
      <c r="F4589" t="s">
        <v>0</v>
      </c>
      <c r="G4589" t="str">
        <f>"2018-10-17 14:28:34"</f>
        <v>2018-10-17 14:28:34</v>
      </c>
    </row>
    <row r="4590" spans="1:7" x14ac:dyDescent="0.2">
      <c r="A4590" t="s">
        <v>5760</v>
      </c>
      <c r="B4590" t="str">
        <f>"17709723503"</f>
        <v>17709723503</v>
      </c>
      <c r="C4590" t="str">
        <f>"632126198610200013"</f>
        <v>632126198610200013</v>
      </c>
      <c r="D4590" t="s">
        <v>1</v>
      </c>
      <c r="E4590" t="s">
        <v>1</v>
      </c>
      <c r="F4590" t="s">
        <v>0</v>
      </c>
      <c r="G4590" t="str">
        <f>"2018-10-17 14:30:46"</f>
        <v>2018-10-17 14:30:46</v>
      </c>
    </row>
    <row r="4591" spans="1:7" x14ac:dyDescent="0.2">
      <c r="A4591" t="s">
        <v>1</v>
      </c>
      <c r="B4591" t="str">
        <f>"18850132057"</f>
        <v>18850132057</v>
      </c>
      <c r="C4591" t="s">
        <v>1</v>
      </c>
      <c r="D4591" t="s">
        <v>1</v>
      </c>
      <c r="E4591" t="s">
        <v>1</v>
      </c>
      <c r="F4591" t="s">
        <v>0</v>
      </c>
      <c r="G4591" t="str">
        <f>"2018-10-17 14:33:57"</f>
        <v>2018-10-17 14:33:57</v>
      </c>
    </row>
    <row r="4592" spans="1:7" x14ac:dyDescent="0.2">
      <c r="A4592" t="s">
        <v>860</v>
      </c>
      <c r="B4592" t="str">
        <f>"13854401230"</f>
        <v>13854401230</v>
      </c>
      <c r="C4592" t="str">
        <f>"37072419940915515X"</f>
        <v>37072419940915515X</v>
      </c>
      <c r="D4592" t="s">
        <v>1</v>
      </c>
      <c r="E4592" t="s">
        <v>1</v>
      </c>
      <c r="F4592" t="s">
        <v>0</v>
      </c>
      <c r="G4592" t="str">
        <f>"2018-10-17 14:28:09"</f>
        <v>2018-10-17 14:28:09</v>
      </c>
    </row>
    <row r="4593" spans="1:7" x14ac:dyDescent="0.2">
      <c r="A4593" t="s">
        <v>1</v>
      </c>
      <c r="B4593" t="str">
        <f>"13015450016"</f>
        <v>13015450016</v>
      </c>
      <c r="C4593" t="s">
        <v>1</v>
      </c>
      <c r="D4593" t="s">
        <v>1</v>
      </c>
      <c r="E4593" t="s">
        <v>1</v>
      </c>
      <c r="F4593" t="s">
        <v>0</v>
      </c>
      <c r="G4593" t="str">
        <f>"2018-10-17 14:26:54"</f>
        <v>2018-10-17 14:26:54</v>
      </c>
    </row>
    <row r="4594" spans="1:7" x14ac:dyDescent="0.2">
      <c r="A4594" t="s">
        <v>5761</v>
      </c>
      <c r="B4594" t="str">
        <f>"18847787635"</f>
        <v>18847787635</v>
      </c>
      <c r="C4594" t="str">
        <f>"150207198310164719"</f>
        <v>150207198310164719</v>
      </c>
      <c r="D4594" t="s">
        <v>1</v>
      </c>
      <c r="E4594" t="s">
        <v>1</v>
      </c>
      <c r="F4594" t="s">
        <v>0</v>
      </c>
      <c r="G4594" t="str">
        <f>"2018-10-17 14:28:14"</f>
        <v>2018-10-17 14:28:14</v>
      </c>
    </row>
    <row r="4595" spans="1:7" x14ac:dyDescent="0.2">
      <c r="A4595" t="s">
        <v>1</v>
      </c>
      <c r="B4595" t="str">
        <f>"15399325788"</f>
        <v>15399325788</v>
      </c>
      <c r="C4595" t="s">
        <v>1</v>
      </c>
      <c r="D4595" t="s">
        <v>1</v>
      </c>
      <c r="E4595" t="s">
        <v>1</v>
      </c>
      <c r="F4595" t="s">
        <v>0</v>
      </c>
      <c r="G4595" t="str">
        <f>"2018-10-17 14:26:18"</f>
        <v>2018-10-17 14:26:18</v>
      </c>
    </row>
    <row r="4596" spans="1:7" x14ac:dyDescent="0.2">
      <c r="A4596" t="s">
        <v>5762</v>
      </c>
      <c r="B4596" t="str">
        <f>"15965569138"</f>
        <v>15965569138</v>
      </c>
      <c r="C4596" t="str">
        <f>"231004198302210720"</f>
        <v>231004198302210720</v>
      </c>
      <c r="D4596" t="s">
        <v>5763</v>
      </c>
      <c r="E4596" t="s">
        <v>5764</v>
      </c>
      <c r="F4596" t="s">
        <v>0</v>
      </c>
      <c r="G4596" t="str">
        <f>"2018-10-17 14:27:13"</f>
        <v>2018-10-17 14:27:13</v>
      </c>
    </row>
    <row r="4597" spans="1:7" x14ac:dyDescent="0.2">
      <c r="A4597" t="s">
        <v>1</v>
      </c>
      <c r="B4597" t="str">
        <f>"13879982277"</f>
        <v>13879982277</v>
      </c>
      <c r="C4597" t="s">
        <v>1</v>
      </c>
      <c r="D4597" t="s">
        <v>1</v>
      </c>
      <c r="E4597" t="s">
        <v>1</v>
      </c>
      <c r="F4597" t="s">
        <v>0</v>
      </c>
      <c r="G4597" t="str">
        <f>"2018-10-17 14:25:40"</f>
        <v>2018-10-17 14:25:40</v>
      </c>
    </row>
    <row r="4598" spans="1:7" x14ac:dyDescent="0.2">
      <c r="A4598" t="s">
        <v>5765</v>
      </c>
      <c r="B4598" t="str">
        <f>"13594998007"</f>
        <v>13594998007</v>
      </c>
      <c r="C4598" t="str">
        <f>"500241198706200016"</f>
        <v>500241198706200016</v>
      </c>
      <c r="D4598" t="s">
        <v>1</v>
      </c>
      <c r="E4598" t="s">
        <v>1</v>
      </c>
      <c r="F4598" t="s">
        <v>0</v>
      </c>
      <c r="G4598" t="str">
        <f>"2018-10-17 14:35:55"</f>
        <v>2018-10-17 14:35:55</v>
      </c>
    </row>
    <row r="4599" spans="1:7" x14ac:dyDescent="0.2">
      <c r="A4599" t="s">
        <v>5766</v>
      </c>
      <c r="B4599" t="str">
        <f>"18608127997"</f>
        <v>18608127997</v>
      </c>
      <c r="C4599" t="str">
        <f>"510402198402025931"</f>
        <v>510402198402025931</v>
      </c>
      <c r="D4599" t="s">
        <v>1</v>
      </c>
      <c r="E4599" t="s">
        <v>1</v>
      </c>
      <c r="F4599" t="s">
        <v>0</v>
      </c>
      <c r="G4599" t="str">
        <f>"2018-10-17 14:36:06"</f>
        <v>2018-10-17 14:36:06</v>
      </c>
    </row>
    <row r="4600" spans="1:7" x14ac:dyDescent="0.2">
      <c r="A4600" t="s">
        <v>1</v>
      </c>
      <c r="B4600" t="str">
        <f>"17526893239"</f>
        <v>17526893239</v>
      </c>
      <c r="C4600" t="s">
        <v>1</v>
      </c>
      <c r="D4600" t="s">
        <v>1</v>
      </c>
      <c r="E4600" t="s">
        <v>1</v>
      </c>
      <c r="F4600" t="s">
        <v>0</v>
      </c>
      <c r="G4600" t="str">
        <f>"2018-10-17 14:25:21"</f>
        <v>2018-10-17 14:25:21</v>
      </c>
    </row>
    <row r="4601" spans="1:7" x14ac:dyDescent="0.2">
      <c r="A4601" t="s">
        <v>5767</v>
      </c>
      <c r="B4601" t="str">
        <f>"15003917623"</f>
        <v>15003917623</v>
      </c>
      <c r="C4601" t="str">
        <f>"410804199103040029"</f>
        <v>410804199103040029</v>
      </c>
      <c r="D4601" t="s">
        <v>1</v>
      </c>
      <c r="E4601" t="s">
        <v>1</v>
      </c>
      <c r="F4601" t="s">
        <v>0</v>
      </c>
      <c r="G4601" t="str">
        <f>"2018-10-25 15:59:47"</f>
        <v>2018-10-25 15:59:47</v>
      </c>
    </row>
    <row r="4602" spans="1:7" x14ac:dyDescent="0.2">
      <c r="A4602" t="s">
        <v>1</v>
      </c>
      <c r="B4602" t="str">
        <f>"18302831187"</f>
        <v>18302831187</v>
      </c>
      <c r="C4602" t="s">
        <v>1</v>
      </c>
      <c r="D4602" t="s">
        <v>1</v>
      </c>
      <c r="E4602" t="s">
        <v>1</v>
      </c>
      <c r="F4602" t="s">
        <v>0</v>
      </c>
      <c r="G4602" t="str">
        <f>"2018-10-17 14:27:41"</f>
        <v>2018-10-17 14:27:41</v>
      </c>
    </row>
    <row r="4603" spans="1:7" x14ac:dyDescent="0.2">
      <c r="A4603" t="s">
        <v>5768</v>
      </c>
      <c r="B4603" t="str">
        <f>"13115524443"</f>
        <v>13115524443</v>
      </c>
      <c r="C4603" t="str">
        <f>"370786198903011535"</f>
        <v>370786198903011535</v>
      </c>
      <c r="D4603" t="s">
        <v>1</v>
      </c>
      <c r="E4603" t="s">
        <v>1</v>
      </c>
      <c r="F4603" t="s">
        <v>0</v>
      </c>
      <c r="G4603" t="str">
        <f>"2018-10-17 14:26:35"</f>
        <v>2018-10-17 14:26:35</v>
      </c>
    </row>
    <row r="4604" spans="1:7" x14ac:dyDescent="0.2">
      <c r="A4604" t="s">
        <v>1</v>
      </c>
      <c r="B4604" t="str">
        <f>"17897876584"</f>
        <v>17897876584</v>
      </c>
      <c r="C4604" t="s">
        <v>1</v>
      </c>
      <c r="D4604" t="s">
        <v>1</v>
      </c>
      <c r="E4604" t="s">
        <v>1</v>
      </c>
      <c r="F4604" t="s">
        <v>0</v>
      </c>
      <c r="G4604" t="str">
        <f>"2018-10-17 14:24:30"</f>
        <v>2018-10-17 14:24:30</v>
      </c>
    </row>
    <row r="4605" spans="1:7" x14ac:dyDescent="0.2">
      <c r="A4605" t="s">
        <v>1</v>
      </c>
      <c r="B4605" t="str">
        <f>"18009399996"</f>
        <v>18009399996</v>
      </c>
      <c r="C4605" t="s">
        <v>1</v>
      </c>
      <c r="D4605" t="s">
        <v>1</v>
      </c>
      <c r="E4605" t="s">
        <v>1</v>
      </c>
      <c r="F4605" t="s">
        <v>0</v>
      </c>
      <c r="G4605" t="str">
        <f>"2018-10-17 14:23:40"</f>
        <v>2018-10-17 14:23:40</v>
      </c>
    </row>
    <row r="4606" spans="1:7" x14ac:dyDescent="0.2">
      <c r="A4606" t="s">
        <v>5769</v>
      </c>
      <c r="B4606" t="str">
        <f>"13933724462"</f>
        <v>13933724462</v>
      </c>
      <c r="C4606" t="str">
        <f>"130530199111232548"</f>
        <v>130530199111232548</v>
      </c>
      <c r="D4606" t="s">
        <v>1</v>
      </c>
      <c r="E4606" t="s">
        <v>1</v>
      </c>
      <c r="F4606" t="s">
        <v>0</v>
      </c>
      <c r="G4606" t="str">
        <f>"2018-10-17 14:28:03"</f>
        <v>2018-10-17 14:28:03</v>
      </c>
    </row>
    <row r="4607" spans="1:7" x14ac:dyDescent="0.2">
      <c r="A4607" t="s">
        <v>1195</v>
      </c>
      <c r="B4607" t="str">
        <f>"15166835150"</f>
        <v>15166835150</v>
      </c>
      <c r="C4607" t="str">
        <f>"370682199003107519"</f>
        <v>370682199003107519</v>
      </c>
      <c r="D4607" t="s">
        <v>1</v>
      </c>
      <c r="E4607" t="s">
        <v>1</v>
      </c>
      <c r="F4607" t="s">
        <v>0</v>
      </c>
      <c r="G4607" t="str">
        <f>"2018-10-17 14:55:03"</f>
        <v>2018-10-17 14:55:03</v>
      </c>
    </row>
    <row r="4608" spans="1:7" x14ac:dyDescent="0.2">
      <c r="A4608" t="s">
        <v>5770</v>
      </c>
      <c r="B4608" t="str">
        <f>"15079497284"</f>
        <v>15079497284</v>
      </c>
      <c r="C4608" t="str">
        <f>"362502199708174423"</f>
        <v>362502199708174423</v>
      </c>
      <c r="D4608" t="s">
        <v>1</v>
      </c>
      <c r="E4608" t="s">
        <v>1</v>
      </c>
      <c r="F4608" t="s">
        <v>0</v>
      </c>
      <c r="G4608" t="str">
        <f>"2018-10-17 14:23:13"</f>
        <v>2018-10-17 14:23:13</v>
      </c>
    </row>
    <row r="4609" spans="1:7" x14ac:dyDescent="0.2">
      <c r="A4609" t="s">
        <v>424</v>
      </c>
      <c r="B4609" t="str">
        <f>"18658639891"</f>
        <v>18658639891</v>
      </c>
      <c r="C4609" t="str">
        <f>"231084198801080811"</f>
        <v>231084198801080811</v>
      </c>
      <c r="D4609" t="s">
        <v>5771</v>
      </c>
      <c r="E4609" t="s">
        <v>5772</v>
      </c>
      <c r="F4609" t="s">
        <v>0</v>
      </c>
      <c r="G4609" t="str">
        <f>"2018-10-23 17:17:35"</f>
        <v>2018-10-23 17:17:35</v>
      </c>
    </row>
    <row r="4610" spans="1:7" x14ac:dyDescent="0.2">
      <c r="A4610" t="s">
        <v>5773</v>
      </c>
      <c r="B4610" t="str">
        <f>"15762262893"</f>
        <v>15762262893</v>
      </c>
      <c r="C4610" t="str">
        <f>"370284199506220813"</f>
        <v>370284199506220813</v>
      </c>
      <c r="D4610" t="s">
        <v>1</v>
      </c>
      <c r="E4610" t="s">
        <v>1</v>
      </c>
      <c r="F4610" t="s">
        <v>0</v>
      </c>
      <c r="G4610" t="str">
        <f>"2018-10-18 09:30:46"</f>
        <v>2018-10-18 09:30:46</v>
      </c>
    </row>
    <row r="4611" spans="1:7" x14ac:dyDescent="0.2">
      <c r="A4611" t="s">
        <v>5774</v>
      </c>
      <c r="B4611" t="str">
        <f>"18177285532"</f>
        <v>18177285532</v>
      </c>
      <c r="C4611" t="str">
        <f>"152201198109232517"</f>
        <v>152201198109232517</v>
      </c>
      <c r="D4611" t="s">
        <v>1</v>
      </c>
      <c r="E4611" t="s">
        <v>1</v>
      </c>
      <c r="F4611" t="s">
        <v>0</v>
      </c>
      <c r="G4611" t="str">
        <f>"2018-10-24 12:50:57"</f>
        <v>2018-10-24 12:50:57</v>
      </c>
    </row>
    <row r="4612" spans="1:7" x14ac:dyDescent="0.2">
      <c r="A4612" t="s">
        <v>5775</v>
      </c>
      <c r="B4612" t="str">
        <f>"15130129025"</f>
        <v>15130129025</v>
      </c>
      <c r="C4612" t="str">
        <f>"130522199611083016"</f>
        <v>130522199611083016</v>
      </c>
      <c r="D4612" t="s">
        <v>5776</v>
      </c>
      <c r="E4612" t="s">
        <v>5777</v>
      </c>
      <c r="F4612" t="s">
        <v>0</v>
      </c>
      <c r="G4612" t="str">
        <f>"2018-10-17 14:23:12"</f>
        <v>2018-10-17 14:23:12</v>
      </c>
    </row>
    <row r="4613" spans="1:7" x14ac:dyDescent="0.2">
      <c r="A4613" t="s">
        <v>5778</v>
      </c>
      <c r="B4613" t="str">
        <f>"15377888874"</f>
        <v>15377888874</v>
      </c>
      <c r="C4613" t="str">
        <f>"452622200204063314"</f>
        <v>452622200204063314</v>
      </c>
      <c r="D4613" t="s">
        <v>1</v>
      </c>
      <c r="E4613" t="s">
        <v>1</v>
      </c>
      <c r="F4613" t="s">
        <v>0</v>
      </c>
      <c r="G4613" t="str">
        <f>"2018-10-17 14:22:12"</f>
        <v>2018-10-17 14:22:12</v>
      </c>
    </row>
    <row r="4614" spans="1:7" x14ac:dyDescent="0.2">
      <c r="A4614" t="s">
        <v>5779</v>
      </c>
      <c r="B4614" t="str">
        <f>"15525505755"</f>
        <v>15525505755</v>
      </c>
      <c r="C4614" t="str">
        <f>"140522199211131025"</f>
        <v>140522199211131025</v>
      </c>
      <c r="D4614" t="s">
        <v>1</v>
      </c>
      <c r="E4614" t="s">
        <v>1</v>
      </c>
      <c r="F4614" t="s">
        <v>0</v>
      </c>
      <c r="G4614" t="str">
        <f>"2018-10-17 14:22:57"</f>
        <v>2018-10-17 14:22:57</v>
      </c>
    </row>
    <row r="4615" spans="1:7" x14ac:dyDescent="0.2">
      <c r="A4615" t="s">
        <v>5780</v>
      </c>
      <c r="B4615" t="str">
        <f>"18680655201"</f>
        <v>18680655201</v>
      </c>
      <c r="C4615" t="str">
        <f>"411381198008265328"</f>
        <v>411381198008265328</v>
      </c>
      <c r="D4615" t="s">
        <v>1</v>
      </c>
      <c r="E4615" t="s">
        <v>1</v>
      </c>
      <c r="F4615" t="s">
        <v>0</v>
      </c>
      <c r="G4615" t="str">
        <f>"2018-10-17 14:23:59"</f>
        <v>2018-10-17 14:23:59</v>
      </c>
    </row>
    <row r="4616" spans="1:7" x14ac:dyDescent="0.2">
      <c r="A4616" t="s">
        <v>1</v>
      </c>
      <c r="B4616" t="str">
        <f>"15039636299"</f>
        <v>15039636299</v>
      </c>
      <c r="C4616" t="s">
        <v>1</v>
      </c>
      <c r="D4616" t="s">
        <v>1</v>
      </c>
      <c r="E4616" t="s">
        <v>1</v>
      </c>
      <c r="F4616" t="s">
        <v>0</v>
      </c>
      <c r="G4616" t="str">
        <f>"2018-10-17 14:21:10"</f>
        <v>2018-10-17 14:21:10</v>
      </c>
    </row>
    <row r="4617" spans="1:7" x14ac:dyDescent="0.2">
      <c r="A4617" t="s">
        <v>5781</v>
      </c>
      <c r="B4617" t="str">
        <f>"18693138212"</f>
        <v>18693138212</v>
      </c>
      <c r="C4617" t="str">
        <f>"620102199202044613"</f>
        <v>620102199202044613</v>
      </c>
      <c r="D4617" t="s">
        <v>1</v>
      </c>
      <c r="E4617" t="s">
        <v>1</v>
      </c>
      <c r="F4617" t="s">
        <v>0</v>
      </c>
      <c r="G4617" t="str">
        <f>"2018-10-18 15:22:16"</f>
        <v>2018-10-18 15:22:16</v>
      </c>
    </row>
    <row r="4618" spans="1:7" x14ac:dyDescent="0.2">
      <c r="A4618" t="s">
        <v>5782</v>
      </c>
      <c r="B4618" t="str">
        <f>"15867944693"</f>
        <v>15867944693</v>
      </c>
      <c r="C4618" t="str">
        <f>"130131198702274213"</f>
        <v>130131198702274213</v>
      </c>
      <c r="D4618" t="s">
        <v>1</v>
      </c>
      <c r="E4618" t="s">
        <v>1</v>
      </c>
      <c r="F4618" t="s">
        <v>0</v>
      </c>
      <c r="G4618" t="str">
        <f>"2018-10-17 14:20:57"</f>
        <v>2018-10-17 14:20:57</v>
      </c>
    </row>
    <row r="4619" spans="1:7" x14ac:dyDescent="0.2">
      <c r="A4619" t="s">
        <v>1</v>
      </c>
      <c r="B4619" t="str">
        <f>"13459056965"</f>
        <v>13459056965</v>
      </c>
      <c r="C4619" t="s">
        <v>1</v>
      </c>
      <c r="D4619" t="s">
        <v>1</v>
      </c>
      <c r="E4619" t="s">
        <v>1</v>
      </c>
      <c r="F4619" t="s">
        <v>0</v>
      </c>
      <c r="G4619" t="str">
        <f>"2018-10-17 14:19:09"</f>
        <v>2018-10-17 14:19:09</v>
      </c>
    </row>
    <row r="4620" spans="1:7" x14ac:dyDescent="0.2">
      <c r="A4620" t="s">
        <v>5783</v>
      </c>
      <c r="B4620" t="str">
        <f>"15136799909"</f>
        <v>15136799909</v>
      </c>
      <c r="C4620" t="str">
        <f>"410726199005103455"</f>
        <v>410726199005103455</v>
      </c>
      <c r="D4620" t="s">
        <v>1</v>
      </c>
      <c r="E4620" t="s">
        <v>1</v>
      </c>
      <c r="F4620" t="s">
        <v>0</v>
      </c>
      <c r="G4620" t="str">
        <f>"2018-10-17 14:20:30"</f>
        <v>2018-10-17 14:20:30</v>
      </c>
    </row>
    <row r="4621" spans="1:7" x14ac:dyDescent="0.2">
      <c r="A4621" t="s">
        <v>1349</v>
      </c>
      <c r="B4621" t="str">
        <f>"18245443101"</f>
        <v>18245443101</v>
      </c>
      <c r="C4621" t="str">
        <f>"23081919830109012X"</f>
        <v>23081919830109012X</v>
      </c>
      <c r="D4621" t="s">
        <v>1</v>
      </c>
      <c r="E4621" t="s">
        <v>1</v>
      </c>
      <c r="F4621" t="s">
        <v>0</v>
      </c>
      <c r="G4621" t="str">
        <f>"2018-10-17 14:25:50"</f>
        <v>2018-10-17 14:25:50</v>
      </c>
    </row>
    <row r="4622" spans="1:7" x14ac:dyDescent="0.2">
      <c r="A4622" t="s">
        <v>5784</v>
      </c>
      <c r="B4622" t="str">
        <f>"13888692492"</f>
        <v>13888692492</v>
      </c>
      <c r="C4622" t="str">
        <f>"532524198110211520"</f>
        <v>532524198110211520</v>
      </c>
      <c r="D4622" t="s">
        <v>1</v>
      </c>
      <c r="E4622" t="s">
        <v>1</v>
      </c>
      <c r="F4622" t="s">
        <v>0</v>
      </c>
      <c r="G4622" t="str">
        <f>"2018-10-17 14:20:09"</f>
        <v>2018-10-17 14:20:09</v>
      </c>
    </row>
    <row r="4623" spans="1:7" x14ac:dyDescent="0.2">
      <c r="A4623" t="s">
        <v>5785</v>
      </c>
      <c r="B4623" t="str">
        <f>"15897981407"</f>
        <v>15897981407</v>
      </c>
      <c r="C4623" t="str">
        <f>"42062119960914421X"</f>
        <v>42062119960914421X</v>
      </c>
      <c r="D4623" t="s">
        <v>5786</v>
      </c>
      <c r="E4623" t="s">
        <v>5787</v>
      </c>
      <c r="F4623" t="s">
        <v>0</v>
      </c>
      <c r="G4623" t="str">
        <f>"2018-10-17 14:19:57"</f>
        <v>2018-10-17 14:19:57</v>
      </c>
    </row>
    <row r="4624" spans="1:7" x14ac:dyDescent="0.2">
      <c r="A4624" t="s">
        <v>5788</v>
      </c>
      <c r="B4624" t="str">
        <f>"15250557292"</f>
        <v>15250557292</v>
      </c>
      <c r="C4624" t="str">
        <f>"372930199106162539"</f>
        <v>372930199106162539</v>
      </c>
      <c r="D4624" t="s">
        <v>1</v>
      </c>
      <c r="E4624" t="s">
        <v>1</v>
      </c>
      <c r="F4624" t="s">
        <v>0</v>
      </c>
      <c r="G4624" t="str">
        <f>"2018-10-17 14:19:29"</f>
        <v>2018-10-17 14:19:29</v>
      </c>
    </row>
    <row r="4625" spans="1:7" x14ac:dyDescent="0.2">
      <c r="A4625" t="s">
        <v>96</v>
      </c>
      <c r="B4625" t="str">
        <f>"17709346020"</f>
        <v>17709346020</v>
      </c>
      <c r="C4625" t="str">
        <f>"622823198908150212"</f>
        <v>622823198908150212</v>
      </c>
      <c r="D4625" t="s">
        <v>1</v>
      </c>
      <c r="E4625" t="s">
        <v>1</v>
      </c>
      <c r="F4625" t="s">
        <v>0</v>
      </c>
      <c r="G4625" t="str">
        <f>"2018-10-17 14:22:22"</f>
        <v>2018-10-17 14:22:22</v>
      </c>
    </row>
    <row r="4626" spans="1:7" x14ac:dyDescent="0.2">
      <c r="A4626" t="s">
        <v>5789</v>
      </c>
      <c r="B4626" t="str">
        <f>"18753904620"</f>
        <v>18753904620</v>
      </c>
      <c r="C4626" t="str">
        <f>"371324198703039437"</f>
        <v>371324198703039437</v>
      </c>
      <c r="D4626" t="s">
        <v>1</v>
      </c>
      <c r="E4626" t="s">
        <v>1</v>
      </c>
      <c r="F4626" t="s">
        <v>0</v>
      </c>
      <c r="G4626" t="str">
        <f>"2018-10-17 21:46:19"</f>
        <v>2018-10-17 21:46:19</v>
      </c>
    </row>
    <row r="4627" spans="1:7" x14ac:dyDescent="0.2">
      <c r="A4627" t="s">
        <v>5790</v>
      </c>
      <c r="B4627" t="str">
        <f>"18674036218"</f>
        <v>18674036218</v>
      </c>
      <c r="C4627" t="str">
        <f>"42011419750407055X"</f>
        <v>42011419750407055X</v>
      </c>
      <c r="D4627" t="s">
        <v>1</v>
      </c>
      <c r="E4627" t="s">
        <v>1</v>
      </c>
      <c r="F4627" t="s">
        <v>0</v>
      </c>
      <c r="G4627" t="str">
        <f>"2018-10-17 14:21:00"</f>
        <v>2018-10-17 14:21:00</v>
      </c>
    </row>
    <row r="4628" spans="1:7" x14ac:dyDescent="0.2">
      <c r="A4628" t="s">
        <v>5791</v>
      </c>
      <c r="B4628" t="str">
        <f>"18693100214"</f>
        <v>18693100214</v>
      </c>
      <c r="C4628" t="str">
        <f>"620103199602141929"</f>
        <v>620103199602141929</v>
      </c>
      <c r="D4628" t="s">
        <v>1</v>
      </c>
      <c r="E4628" t="s">
        <v>1</v>
      </c>
      <c r="F4628" t="s">
        <v>0</v>
      </c>
      <c r="G4628" t="str">
        <f>"2018-10-27 15:38:05"</f>
        <v>2018-10-27 15:38:05</v>
      </c>
    </row>
    <row r="4629" spans="1:7" x14ac:dyDescent="0.2">
      <c r="A4629" t="s">
        <v>5792</v>
      </c>
      <c r="B4629" t="str">
        <f>"15903336194"</f>
        <v>15903336194</v>
      </c>
      <c r="C4629" t="str">
        <f>"320684198508134933"</f>
        <v>320684198508134933</v>
      </c>
      <c r="D4629" t="s">
        <v>1</v>
      </c>
      <c r="E4629" t="s">
        <v>1</v>
      </c>
      <c r="F4629" t="s">
        <v>0</v>
      </c>
      <c r="G4629" t="str">
        <f>"2018-10-17 14:15:26"</f>
        <v>2018-10-17 14:15:26</v>
      </c>
    </row>
    <row r="4630" spans="1:7" x14ac:dyDescent="0.2">
      <c r="A4630" t="s">
        <v>1</v>
      </c>
      <c r="B4630" t="str">
        <f>"18710655505"</f>
        <v>18710655505</v>
      </c>
      <c r="C4630" t="s">
        <v>1</v>
      </c>
      <c r="D4630" t="s">
        <v>1</v>
      </c>
      <c r="E4630" t="s">
        <v>1</v>
      </c>
      <c r="F4630" t="s">
        <v>0</v>
      </c>
      <c r="G4630" t="str">
        <f>"2018-10-17 14:15:23"</f>
        <v>2018-10-17 14:15:23</v>
      </c>
    </row>
    <row r="4631" spans="1:7" x14ac:dyDescent="0.2">
      <c r="A4631" t="s">
        <v>5793</v>
      </c>
      <c r="B4631" t="str">
        <f>"17709566565"</f>
        <v>17709566565</v>
      </c>
      <c r="C4631" t="str">
        <f>"642123198006130015"</f>
        <v>642123198006130015</v>
      </c>
      <c r="D4631" t="s">
        <v>5794</v>
      </c>
      <c r="E4631" t="s">
        <v>5795</v>
      </c>
      <c r="F4631" t="s">
        <v>0</v>
      </c>
      <c r="G4631" t="str">
        <f>"2018-10-17 14:16:47"</f>
        <v>2018-10-17 14:16:47</v>
      </c>
    </row>
    <row r="4632" spans="1:7" x14ac:dyDescent="0.2">
      <c r="A4632" t="s">
        <v>5796</v>
      </c>
      <c r="B4632" t="str">
        <f>"13501565922"</f>
        <v>13501565922</v>
      </c>
      <c r="C4632" t="str">
        <f>"430725198701276010"</f>
        <v>430725198701276010</v>
      </c>
      <c r="D4632" t="s">
        <v>1</v>
      </c>
      <c r="E4632" t="s">
        <v>1</v>
      </c>
      <c r="F4632" t="s">
        <v>0</v>
      </c>
      <c r="G4632" t="str">
        <f>"2018-10-17 14:15:09"</f>
        <v>2018-10-17 14:15:09</v>
      </c>
    </row>
    <row r="4633" spans="1:7" x14ac:dyDescent="0.2">
      <c r="A4633" t="s">
        <v>5797</v>
      </c>
      <c r="B4633" t="str">
        <f>"15774891219"</f>
        <v>15774891219</v>
      </c>
      <c r="C4633" t="str">
        <f>"150421199501151526"</f>
        <v>150421199501151526</v>
      </c>
      <c r="D4633" t="s">
        <v>1</v>
      </c>
      <c r="E4633" t="s">
        <v>1</v>
      </c>
      <c r="F4633" t="s">
        <v>0</v>
      </c>
      <c r="G4633" t="str">
        <f>"2018-10-17 14:13:48"</f>
        <v>2018-10-17 14:13:48</v>
      </c>
    </row>
    <row r="4634" spans="1:7" x14ac:dyDescent="0.2">
      <c r="A4634" t="s">
        <v>5798</v>
      </c>
      <c r="B4634" t="str">
        <f>"13560557934"</f>
        <v>13560557934</v>
      </c>
      <c r="C4634" t="str">
        <f>"441581199504033033"</f>
        <v>441581199504033033</v>
      </c>
      <c r="D4634" t="s">
        <v>1</v>
      </c>
      <c r="E4634" t="s">
        <v>1</v>
      </c>
      <c r="F4634" t="s">
        <v>0</v>
      </c>
      <c r="G4634" t="str">
        <f>"2018-10-17 14:13:42"</f>
        <v>2018-10-17 14:13:42</v>
      </c>
    </row>
    <row r="4635" spans="1:7" x14ac:dyDescent="0.2">
      <c r="A4635" t="s">
        <v>1</v>
      </c>
      <c r="B4635" t="str">
        <f>"13675718636"</f>
        <v>13675718636</v>
      </c>
      <c r="C4635" t="s">
        <v>1</v>
      </c>
      <c r="D4635" t="s">
        <v>1</v>
      </c>
      <c r="E4635" t="s">
        <v>1</v>
      </c>
      <c r="F4635" t="s">
        <v>0</v>
      </c>
      <c r="G4635" t="str">
        <f>"2018-10-17 14:13:38"</f>
        <v>2018-10-17 14:13:38</v>
      </c>
    </row>
    <row r="4636" spans="1:7" x14ac:dyDescent="0.2">
      <c r="A4636" t="s">
        <v>5799</v>
      </c>
      <c r="B4636" t="str">
        <f>"13967505698"</f>
        <v>13967505698</v>
      </c>
      <c r="C4636" t="str">
        <f>"330623197202025157"</f>
        <v>330623197202025157</v>
      </c>
      <c r="D4636" t="s">
        <v>1</v>
      </c>
      <c r="E4636" t="s">
        <v>1</v>
      </c>
      <c r="F4636" t="s">
        <v>0</v>
      </c>
      <c r="G4636" t="str">
        <f>"2018-10-17 14:15:16"</f>
        <v>2018-10-17 14:15:16</v>
      </c>
    </row>
    <row r="4637" spans="1:7" x14ac:dyDescent="0.2">
      <c r="A4637" t="s">
        <v>5800</v>
      </c>
      <c r="B4637" t="str">
        <f>"13084558855"</f>
        <v>13084558855</v>
      </c>
      <c r="C4637" t="str">
        <f>"131002199106084622"</f>
        <v>131002199106084622</v>
      </c>
      <c r="D4637" t="s">
        <v>5801</v>
      </c>
      <c r="E4637" t="s">
        <v>5802</v>
      </c>
      <c r="F4637" t="s">
        <v>0</v>
      </c>
      <c r="G4637" t="str">
        <f>"2018-10-17 14:21:45"</f>
        <v>2018-10-17 14:21:45</v>
      </c>
    </row>
    <row r="4638" spans="1:7" x14ac:dyDescent="0.2">
      <c r="A4638" t="s">
        <v>107</v>
      </c>
      <c r="B4638" t="str">
        <f>"15853197287"</f>
        <v>15853197287</v>
      </c>
      <c r="C4638" t="str">
        <f>"130683199208267614"</f>
        <v>130683199208267614</v>
      </c>
      <c r="D4638" t="s">
        <v>1</v>
      </c>
      <c r="E4638" t="s">
        <v>1</v>
      </c>
      <c r="F4638" t="s">
        <v>0</v>
      </c>
      <c r="G4638" t="str">
        <f>"2018-10-17 20:06:42"</f>
        <v>2018-10-17 20:06:42</v>
      </c>
    </row>
    <row r="4639" spans="1:7" x14ac:dyDescent="0.2">
      <c r="A4639" t="s">
        <v>5803</v>
      </c>
      <c r="B4639" t="str">
        <f>"15988711802"</f>
        <v>15988711802</v>
      </c>
      <c r="C4639" t="str">
        <f>"330329199511014938"</f>
        <v>330329199511014938</v>
      </c>
      <c r="D4639" t="s">
        <v>1</v>
      </c>
      <c r="E4639" t="s">
        <v>1</v>
      </c>
      <c r="F4639" t="s">
        <v>0</v>
      </c>
      <c r="G4639" t="str">
        <f>"2018-10-17 14:12:47"</f>
        <v>2018-10-17 14:12:47</v>
      </c>
    </row>
    <row r="4640" spans="1:7" x14ac:dyDescent="0.2">
      <c r="A4640" t="s">
        <v>5804</v>
      </c>
      <c r="B4640" t="str">
        <f>"13577629518"</f>
        <v>13577629518</v>
      </c>
      <c r="C4640" t="str">
        <f>"532622198311130017"</f>
        <v>532622198311130017</v>
      </c>
      <c r="D4640" t="s">
        <v>1</v>
      </c>
      <c r="E4640" t="s">
        <v>1</v>
      </c>
      <c r="F4640" t="s">
        <v>0</v>
      </c>
      <c r="G4640" t="str">
        <f>"2018-10-17 14:48:19"</f>
        <v>2018-10-17 14:48:19</v>
      </c>
    </row>
    <row r="4641" spans="1:7" x14ac:dyDescent="0.2">
      <c r="A4641" t="s">
        <v>1</v>
      </c>
      <c r="B4641" t="str">
        <f>"17614904971"</f>
        <v>17614904971</v>
      </c>
      <c r="C4641" t="s">
        <v>1</v>
      </c>
      <c r="D4641" t="s">
        <v>1</v>
      </c>
      <c r="E4641" t="s">
        <v>1</v>
      </c>
      <c r="F4641" t="s">
        <v>0</v>
      </c>
      <c r="G4641" t="str">
        <f>"2018-10-17 14:11:50"</f>
        <v>2018-10-17 14:11:50</v>
      </c>
    </row>
    <row r="4642" spans="1:7" x14ac:dyDescent="0.2">
      <c r="A4642" t="s">
        <v>1</v>
      </c>
      <c r="B4642" t="str">
        <f>"13598070428"</f>
        <v>13598070428</v>
      </c>
      <c r="C4642" t="s">
        <v>1</v>
      </c>
      <c r="D4642" t="s">
        <v>1</v>
      </c>
      <c r="E4642" t="s">
        <v>1</v>
      </c>
      <c r="F4642" t="s">
        <v>0</v>
      </c>
      <c r="G4642" t="str">
        <f>"2018-10-17 14:11:36"</f>
        <v>2018-10-17 14:11:36</v>
      </c>
    </row>
    <row r="4643" spans="1:7" x14ac:dyDescent="0.2">
      <c r="A4643" t="s">
        <v>5805</v>
      </c>
      <c r="B4643" t="str">
        <f>"15850991769"</f>
        <v>15850991769</v>
      </c>
      <c r="C4643" t="str">
        <f>"321321198805183116"</f>
        <v>321321198805183116</v>
      </c>
      <c r="D4643" t="s">
        <v>5806</v>
      </c>
      <c r="E4643" t="s">
        <v>5807</v>
      </c>
      <c r="F4643" t="s">
        <v>0</v>
      </c>
      <c r="G4643" t="str">
        <f>"2018-10-17 14:11:36"</f>
        <v>2018-10-17 14:11:36</v>
      </c>
    </row>
    <row r="4644" spans="1:7" x14ac:dyDescent="0.2">
      <c r="A4644" t="s">
        <v>1</v>
      </c>
      <c r="B4644" t="str">
        <f>"13627652463"</f>
        <v>13627652463</v>
      </c>
      <c r="C4644" t="s">
        <v>1</v>
      </c>
      <c r="D4644" t="s">
        <v>1</v>
      </c>
      <c r="E4644" t="s">
        <v>1</v>
      </c>
      <c r="F4644" t="s">
        <v>0</v>
      </c>
      <c r="G4644" t="str">
        <f>"2018-10-17 14:11:33"</f>
        <v>2018-10-17 14:11:33</v>
      </c>
    </row>
    <row r="4645" spans="1:7" x14ac:dyDescent="0.2">
      <c r="A4645" t="s">
        <v>1715</v>
      </c>
      <c r="B4645" t="str">
        <f>"15533506688"</f>
        <v>15533506688</v>
      </c>
      <c r="C4645" t="str">
        <f>"130522199110131614"</f>
        <v>130522199110131614</v>
      </c>
      <c r="D4645" t="s">
        <v>1</v>
      </c>
      <c r="E4645" t="s">
        <v>1</v>
      </c>
      <c r="F4645" t="s">
        <v>0</v>
      </c>
      <c r="G4645" t="str">
        <f>"2018-10-17 14:14:56"</f>
        <v>2018-10-17 14:14:56</v>
      </c>
    </row>
    <row r="4646" spans="1:7" x14ac:dyDescent="0.2">
      <c r="A4646" t="s">
        <v>1</v>
      </c>
      <c r="B4646" t="str">
        <f>"13580370075"</f>
        <v>13580370075</v>
      </c>
      <c r="C4646" t="s">
        <v>1</v>
      </c>
      <c r="D4646" t="s">
        <v>1</v>
      </c>
      <c r="E4646" t="s">
        <v>1</v>
      </c>
      <c r="F4646" t="s">
        <v>0</v>
      </c>
      <c r="G4646" t="str">
        <f>"2018-10-17 14:10:59"</f>
        <v>2018-10-17 14:10:59</v>
      </c>
    </row>
    <row r="4647" spans="1:7" x14ac:dyDescent="0.2">
      <c r="A4647" t="s">
        <v>5808</v>
      </c>
      <c r="B4647" t="str">
        <f>"13543813851"</f>
        <v>13543813851</v>
      </c>
      <c r="C4647" t="str">
        <f>"532530198707093210"</f>
        <v>532530198707093210</v>
      </c>
      <c r="D4647" t="s">
        <v>1</v>
      </c>
      <c r="E4647" t="s">
        <v>1</v>
      </c>
      <c r="F4647" t="s">
        <v>0</v>
      </c>
      <c r="G4647" t="str">
        <f>"2018-10-17 14:19:29"</f>
        <v>2018-10-17 14:19:29</v>
      </c>
    </row>
    <row r="4648" spans="1:7" x14ac:dyDescent="0.2">
      <c r="A4648" t="s">
        <v>5809</v>
      </c>
      <c r="B4648" t="str">
        <f>"18185813261"</f>
        <v>18185813261</v>
      </c>
      <c r="C4648" t="str">
        <f>"520201199609263653"</f>
        <v>520201199609263653</v>
      </c>
      <c r="D4648" t="s">
        <v>1</v>
      </c>
      <c r="E4648" t="s">
        <v>1</v>
      </c>
      <c r="F4648" t="s">
        <v>0</v>
      </c>
      <c r="G4648" t="str">
        <f>"2018-10-18 16:34:00"</f>
        <v>2018-10-18 16:34:00</v>
      </c>
    </row>
    <row r="4649" spans="1:7" x14ac:dyDescent="0.2">
      <c r="A4649" t="s">
        <v>1</v>
      </c>
      <c r="B4649" t="str">
        <f>"13393668018"</f>
        <v>13393668018</v>
      </c>
      <c r="C4649" t="s">
        <v>1</v>
      </c>
      <c r="D4649" t="s">
        <v>1</v>
      </c>
      <c r="E4649" t="s">
        <v>1</v>
      </c>
      <c r="F4649" t="s">
        <v>0</v>
      </c>
      <c r="G4649" t="str">
        <f>"2018-10-17 14:10:00"</f>
        <v>2018-10-17 14:10:00</v>
      </c>
    </row>
    <row r="4650" spans="1:7" x14ac:dyDescent="0.2">
      <c r="A4650" t="s">
        <v>1</v>
      </c>
      <c r="B4650" t="str">
        <f>"13151644752"</f>
        <v>13151644752</v>
      </c>
      <c r="C4650" t="s">
        <v>1</v>
      </c>
      <c r="D4650" t="s">
        <v>1</v>
      </c>
      <c r="E4650" t="s">
        <v>1</v>
      </c>
      <c r="F4650" t="s">
        <v>0</v>
      </c>
      <c r="G4650" t="str">
        <f>"2018-10-17 14:12:58"</f>
        <v>2018-10-17 14:12:58</v>
      </c>
    </row>
    <row r="4651" spans="1:7" x14ac:dyDescent="0.2">
      <c r="A4651" t="s">
        <v>5810</v>
      </c>
      <c r="B4651" t="str">
        <f>"18650662766"</f>
        <v>18650662766</v>
      </c>
      <c r="C4651" t="str">
        <f>"350783198502220720"</f>
        <v>350783198502220720</v>
      </c>
      <c r="D4651" t="s">
        <v>1</v>
      </c>
      <c r="E4651" t="s">
        <v>1</v>
      </c>
      <c r="F4651" t="s">
        <v>0</v>
      </c>
      <c r="G4651" t="str">
        <f>"2018-10-18 12:26:05"</f>
        <v>2018-10-18 12:26:05</v>
      </c>
    </row>
    <row r="4652" spans="1:7" x14ac:dyDescent="0.2">
      <c r="A4652" t="s">
        <v>5811</v>
      </c>
      <c r="B4652" t="str">
        <f>"18608532693"</f>
        <v>18608532693</v>
      </c>
      <c r="C4652" t="str">
        <f>"52222519910306721X"</f>
        <v>52222519910306721X</v>
      </c>
      <c r="D4652" t="s">
        <v>1</v>
      </c>
      <c r="E4652" t="s">
        <v>1</v>
      </c>
      <c r="F4652" t="s">
        <v>0</v>
      </c>
      <c r="G4652" t="str">
        <f>"2018-10-17 14:21:20"</f>
        <v>2018-10-17 14:21:20</v>
      </c>
    </row>
    <row r="4653" spans="1:7" x14ac:dyDescent="0.2">
      <c r="A4653" t="s">
        <v>5812</v>
      </c>
      <c r="B4653" t="str">
        <f>"15366269980"</f>
        <v>15366269980</v>
      </c>
      <c r="C4653" t="str">
        <f>"320582199103274512"</f>
        <v>320582199103274512</v>
      </c>
      <c r="D4653" t="s">
        <v>1</v>
      </c>
      <c r="E4653" t="s">
        <v>1</v>
      </c>
      <c r="F4653" t="s">
        <v>0</v>
      </c>
      <c r="G4653" t="str">
        <f>"2018-10-17 14:35:45"</f>
        <v>2018-10-17 14:35:45</v>
      </c>
    </row>
    <row r="4654" spans="1:7" x14ac:dyDescent="0.2">
      <c r="A4654" t="s">
        <v>1</v>
      </c>
      <c r="B4654" t="str">
        <f>"15685358868"</f>
        <v>15685358868</v>
      </c>
      <c r="C4654" t="s">
        <v>1</v>
      </c>
      <c r="D4654" t="s">
        <v>1</v>
      </c>
      <c r="E4654" t="s">
        <v>1</v>
      </c>
      <c r="F4654" t="s">
        <v>0</v>
      </c>
      <c r="G4654" t="str">
        <f>"2018-10-17 14:08:24"</f>
        <v>2018-10-17 14:08:24</v>
      </c>
    </row>
    <row r="4655" spans="1:7" x14ac:dyDescent="0.2">
      <c r="A4655" t="s">
        <v>60</v>
      </c>
      <c r="B4655" t="str">
        <f>"18660057716"</f>
        <v>18660057716</v>
      </c>
      <c r="C4655" t="str">
        <f>"370683198706103612"</f>
        <v>370683198706103612</v>
      </c>
      <c r="D4655" t="s">
        <v>5813</v>
      </c>
      <c r="E4655" t="s">
        <v>5814</v>
      </c>
      <c r="F4655" t="s">
        <v>0</v>
      </c>
      <c r="G4655" t="str">
        <f>"2018-10-17 14:18:16"</f>
        <v>2018-10-17 14:18:16</v>
      </c>
    </row>
    <row r="4656" spans="1:7" x14ac:dyDescent="0.2">
      <c r="A4656" t="s">
        <v>5815</v>
      </c>
      <c r="B4656" t="str">
        <f>"18269399979"</f>
        <v>18269399979</v>
      </c>
      <c r="C4656" t="str">
        <f>"450922199009241997"</f>
        <v>450922199009241997</v>
      </c>
      <c r="D4656" t="s">
        <v>1</v>
      </c>
      <c r="E4656" t="s">
        <v>1</v>
      </c>
      <c r="F4656" t="s">
        <v>0</v>
      </c>
      <c r="G4656" t="str">
        <f>"2018-10-17 14:09:46"</f>
        <v>2018-10-17 14:09:46</v>
      </c>
    </row>
    <row r="4657" spans="1:7" x14ac:dyDescent="0.2">
      <c r="A4657" t="s">
        <v>5816</v>
      </c>
      <c r="B4657" t="str">
        <f>"18763970367"</f>
        <v>18763970367</v>
      </c>
      <c r="C4657" t="str">
        <f>"370832200002133929"</f>
        <v>370832200002133929</v>
      </c>
      <c r="D4657" t="s">
        <v>1</v>
      </c>
      <c r="E4657" t="s">
        <v>1</v>
      </c>
      <c r="F4657" t="s">
        <v>0</v>
      </c>
      <c r="G4657" t="str">
        <f>"2018-10-17 14:10:39"</f>
        <v>2018-10-17 14:10:39</v>
      </c>
    </row>
    <row r="4658" spans="1:7" x14ac:dyDescent="0.2">
      <c r="A4658" t="s">
        <v>5817</v>
      </c>
      <c r="B4658" t="str">
        <f>"15824826720"</f>
        <v>15824826720</v>
      </c>
      <c r="C4658" t="str">
        <f>"411422198506101532"</f>
        <v>411422198506101532</v>
      </c>
      <c r="D4658" t="s">
        <v>1</v>
      </c>
      <c r="E4658" t="s">
        <v>1</v>
      </c>
      <c r="F4658" t="s">
        <v>0</v>
      </c>
      <c r="G4658" t="str">
        <f>"2018-10-17 15:08:12"</f>
        <v>2018-10-17 15:08:12</v>
      </c>
    </row>
    <row r="4659" spans="1:7" x14ac:dyDescent="0.2">
      <c r="A4659" t="s">
        <v>5818</v>
      </c>
      <c r="B4659" t="str">
        <f>"15896222553"</f>
        <v>15896222553</v>
      </c>
      <c r="C4659" t="str">
        <f>"320684198908054414"</f>
        <v>320684198908054414</v>
      </c>
      <c r="D4659" t="s">
        <v>1</v>
      </c>
      <c r="E4659" t="s">
        <v>1</v>
      </c>
      <c r="F4659" t="s">
        <v>0</v>
      </c>
      <c r="G4659" t="str">
        <f>"2018-10-17 14:40:57"</f>
        <v>2018-10-17 14:40:57</v>
      </c>
    </row>
    <row r="4660" spans="1:7" x14ac:dyDescent="0.2">
      <c r="A4660" t="s">
        <v>5819</v>
      </c>
      <c r="B4660" t="str">
        <f>"13145311794"</f>
        <v>13145311794</v>
      </c>
      <c r="C4660" t="str">
        <f>"370523199709142716"</f>
        <v>370523199709142716</v>
      </c>
      <c r="D4660" t="s">
        <v>1</v>
      </c>
      <c r="E4660" t="s">
        <v>1</v>
      </c>
      <c r="F4660" t="s">
        <v>0</v>
      </c>
      <c r="G4660" t="str">
        <f>"2018-10-17 14:10:14"</f>
        <v>2018-10-17 14:10:14</v>
      </c>
    </row>
    <row r="4661" spans="1:7" x14ac:dyDescent="0.2">
      <c r="A4661" t="s">
        <v>5820</v>
      </c>
      <c r="B4661" t="str">
        <f>"15130031580"</f>
        <v>15130031580</v>
      </c>
      <c r="C4661" t="str">
        <f>"130481198605020967"</f>
        <v>130481198605020967</v>
      </c>
      <c r="D4661" t="s">
        <v>5821</v>
      </c>
      <c r="E4661" t="s">
        <v>5822</v>
      </c>
      <c r="F4661" t="s">
        <v>0</v>
      </c>
      <c r="G4661" t="str">
        <f>"2018-10-17 14:07:40"</f>
        <v>2018-10-17 14:07:40</v>
      </c>
    </row>
    <row r="4662" spans="1:7" x14ac:dyDescent="0.2">
      <c r="A4662" t="s">
        <v>5823</v>
      </c>
      <c r="B4662" t="str">
        <f>"15165933637"</f>
        <v>15165933637</v>
      </c>
      <c r="C4662" t="str">
        <f>"371425198709100333"</f>
        <v>371425198709100333</v>
      </c>
      <c r="D4662" t="s">
        <v>5824</v>
      </c>
      <c r="E4662" t="s">
        <v>5825</v>
      </c>
      <c r="F4662" t="s">
        <v>0</v>
      </c>
      <c r="G4662" t="str">
        <f>"2018-10-17 14:07:44"</f>
        <v>2018-10-17 14:07:44</v>
      </c>
    </row>
    <row r="4663" spans="1:7" x14ac:dyDescent="0.2">
      <c r="A4663" t="s">
        <v>5826</v>
      </c>
      <c r="B4663" t="str">
        <f>"18383358625"</f>
        <v>18383358625</v>
      </c>
      <c r="C4663" t="str">
        <f>"511126199608166713"</f>
        <v>511126199608166713</v>
      </c>
      <c r="D4663" t="s">
        <v>1</v>
      </c>
      <c r="E4663" t="s">
        <v>1</v>
      </c>
      <c r="F4663" t="s">
        <v>0</v>
      </c>
      <c r="G4663" t="str">
        <f>"2018-10-31 03:15:41"</f>
        <v>2018-10-31 03:15:41</v>
      </c>
    </row>
    <row r="4664" spans="1:7" x14ac:dyDescent="0.2">
      <c r="A4664" t="s">
        <v>390</v>
      </c>
      <c r="B4664" t="str">
        <f>"18615092673"</f>
        <v>18615092673</v>
      </c>
      <c r="C4664" t="str">
        <f>"220203199312316226"</f>
        <v>220203199312316226</v>
      </c>
      <c r="D4664" t="s">
        <v>1</v>
      </c>
      <c r="E4664" t="s">
        <v>1</v>
      </c>
      <c r="F4664" t="s">
        <v>0</v>
      </c>
      <c r="G4664" t="str">
        <f>"2018-10-17 14:09:03"</f>
        <v>2018-10-17 14:09:03</v>
      </c>
    </row>
    <row r="4665" spans="1:7" x14ac:dyDescent="0.2">
      <c r="A4665" t="s">
        <v>227</v>
      </c>
      <c r="B4665" t="str">
        <f>"15298515677"</f>
        <v>15298515677</v>
      </c>
      <c r="C4665" t="str">
        <f>"321281198904087294"</f>
        <v>321281198904087294</v>
      </c>
      <c r="D4665" t="s">
        <v>1</v>
      </c>
      <c r="E4665" t="s">
        <v>1</v>
      </c>
      <c r="F4665" t="s">
        <v>0</v>
      </c>
      <c r="G4665" t="str">
        <f>"2018-10-17 14:06:45"</f>
        <v>2018-10-17 14:06:45</v>
      </c>
    </row>
    <row r="4666" spans="1:7" x14ac:dyDescent="0.2">
      <c r="A4666" t="s">
        <v>5827</v>
      </c>
      <c r="B4666" t="str">
        <f>"13847618930"</f>
        <v>13847618930</v>
      </c>
      <c r="C4666" t="str">
        <f>"15010219810604451X"</f>
        <v>15010219810604451X</v>
      </c>
      <c r="D4666" t="s">
        <v>1</v>
      </c>
      <c r="E4666" t="s">
        <v>1</v>
      </c>
      <c r="F4666" t="s">
        <v>0</v>
      </c>
      <c r="G4666" t="str">
        <f>"2018-10-17 14:08:14"</f>
        <v>2018-10-17 14:08:14</v>
      </c>
    </row>
    <row r="4667" spans="1:7" x14ac:dyDescent="0.2">
      <c r="A4667" t="s">
        <v>5828</v>
      </c>
      <c r="B4667" t="str">
        <f>"13577193394"</f>
        <v>13577193394</v>
      </c>
      <c r="C4667" t="str">
        <f>"52020219871121821X"</f>
        <v>52020219871121821X</v>
      </c>
      <c r="D4667" t="s">
        <v>1</v>
      </c>
      <c r="E4667" t="s">
        <v>1</v>
      </c>
      <c r="F4667" t="s">
        <v>0</v>
      </c>
      <c r="G4667" t="str">
        <f>"2018-10-17 16:05:28"</f>
        <v>2018-10-17 16:05:28</v>
      </c>
    </row>
    <row r="4668" spans="1:7" x14ac:dyDescent="0.2">
      <c r="A4668" t="s">
        <v>1</v>
      </c>
      <c r="B4668" t="str">
        <f>"13908695227"</f>
        <v>13908695227</v>
      </c>
      <c r="C4668" t="s">
        <v>1</v>
      </c>
      <c r="D4668" t="s">
        <v>1</v>
      </c>
      <c r="E4668" t="s">
        <v>1</v>
      </c>
      <c r="F4668" t="s">
        <v>0</v>
      </c>
      <c r="G4668" t="str">
        <f>"2018-10-17 14:04:36"</f>
        <v>2018-10-17 14:04:36</v>
      </c>
    </row>
    <row r="4669" spans="1:7" x14ac:dyDescent="0.2">
      <c r="A4669" t="s">
        <v>5829</v>
      </c>
      <c r="B4669" t="str">
        <f>"13081517556"</f>
        <v>13081517556</v>
      </c>
      <c r="C4669" t="str">
        <f>"622323199408172412"</f>
        <v>622323199408172412</v>
      </c>
      <c r="D4669" t="s">
        <v>1</v>
      </c>
      <c r="E4669" t="s">
        <v>1</v>
      </c>
      <c r="F4669" t="s">
        <v>0</v>
      </c>
      <c r="G4669" t="str">
        <f>"2018-10-17 14:04:35"</f>
        <v>2018-10-17 14:04:35</v>
      </c>
    </row>
    <row r="4670" spans="1:7" x14ac:dyDescent="0.2">
      <c r="A4670" t="s">
        <v>5830</v>
      </c>
      <c r="B4670" t="str">
        <f>"17693049490"</f>
        <v>17693049490</v>
      </c>
      <c r="C4670" t="str">
        <f>"62282620010702213X"</f>
        <v>62282620010702213X</v>
      </c>
      <c r="D4670" t="s">
        <v>1</v>
      </c>
      <c r="E4670" t="s">
        <v>1</v>
      </c>
      <c r="F4670" t="s">
        <v>0</v>
      </c>
      <c r="G4670" t="str">
        <f>"2018-10-19 13:58:33"</f>
        <v>2018-10-19 13:58:33</v>
      </c>
    </row>
    <row r="4671" spans="1:7" x14ac:dyDescent="0.2">
      <c r="A4671" t="s">
        <v>273</v>
      </c>
      <c r="B4671" t="str">
        <f>"13605808867"</f>
        <v>13605808867</v>
      </c>
      <c r="C4671" t="str">
        <f>"422801198807260425"</f>
        <v>422801198807260425</v>
      </c>
      <c r="D4671" t="s">
        <v>1</v>
      </c>
      <c r="E4671" t="s">
        <v>1</v>
      </c>
      <c r="F4671" t="s">
        <v>0</v>
      </c>
      <c r="G4671" t="str">
        <f>"2018-10-17 14:07:00"</f>
        <v>2018-10-17 14:07:00</v>
      </c>
    </row>
    <row r="4672" spans="1:7" x14ac:dyDescent="0.2">
      <c r="A4672" t="s">
        <v>5831</v>
      </c>
      <c r="B4672" t="str">
        <f>"18712169393"</f>
        <v>18712169393</v>
      </c>
      <c r="C4672" t="str">
        <f>"340828199308176416"</f>
        <v>340828199308176416</v>
      </c>
      <c r="D4672" t="s">
        <v>1</v>
      </c>
      <c r="E4672" t="s">
        <v>1</v>
      </c>
      <c r="F4672" t="s">
        <v>0</v>
      </c>
      <c r="G4672" t="str">
        <f>"2018-10-17 14:04:37"</f>
        <v>2018-10-17 14:04:37</v>
      </c>
    </row>
    <row r="4673" spans="1:7" x14ac:dyDescent="0.2">
      <c r="A4673" t="s">
        <v>5832</v>
      </c>
      <c r="B4673" t="str">
        <f>"17640160548"</f>
        <v>17640160548</v>
      </c>
      <c r="C4673" t="str">
        <f>"210102198501315312"</f>
        <v>210102198501315312</v>
      </c>
      <c r="D4673" t="s">
        <v>1</v>
      </c>
      <c r="E4673" t="s">
        <v>1</v>
      </c>
      <c r="F4673" t="s">
        <v>0</v>
      </c>
      <c r="G4673" t="str">
        <f>"2018-10-17 14:04:52"</f>
        <v>2018-10-17 14:04:52</v>
      </c>
    </row>
    <row r="4674" spans="1:7" x14ac:dyDescent="0.2">
      <c r="A4674" t="s">
        <v>1</v>
      </c>
      <c r="B4674" t="str">
        <f>"13822009023"</f>
        <v>13822009023</v>
      </c>
      <c r="C4674" t="s">
        <v>1</v>
      </c>
      <c r="D4674" t="s">
        <v>1</v>
      </c>
      <c r="E4674" t="s">
        <v>1</v>
      </c>
      <c r="F4674" t="s">
        <v>0</v>
      </c>
      <c r="G4674" t="str">
        <f>"2018-10-17 14:07:28"</f>
        <v>2018-10-17 14:07:28</v>
      </c>
    </row>
    <row r="4675" spans="1:7" x14ac:dyDescent="0.2">
      <c r="A4675" t="s">
        <v>5833</v>
      </c>
      <c r="B4675" t="str">
        <f>"13899861906"</f>
        <v>13899861906</v>
      </c>
      <c r="C4675" t="str">
        <f>"650102198701106517"</f>
        <v>650102198701106517</v>
      </c>
      <c r="D4675" t="s">
        <v>1</v>
      </c>
      <c r="E4675" t="s">
        <v>1</v>
      </c>
      <c r="F4675" t="s">
        <v>0</v>
      </c>
      <c r="G4675" t="str">
        <f>"2018-10-23 11:26:24"</f>
        <v>2018-10-23 11:26:24</v>
      </c>
    </row>
    <row r="4676" spans="1:7" x14ac:dyDescent="0.2">
      <c r="A4676" t="s">
        <v>5834</v>
      </c>
      <c r="B4676" t="str">
        <f>"15508508165"</f>
        <v>15508508165</v>
      </c>
      <c r="C4676" t="str">
        <f>"522424199305020035"</f>
        <v>522424199305020035</v>
      </c>
      <c r="D4676" t="s">
        <v>1</v>
      </c>
      <c r="E4676" t="s">
        <v>1</v>
      </c>
      <c r="F4676" t="s">
        <v>0</v>
      </c>
      <c r="G4676" t="str">
        <f>"2018-10-17 14:10:04"</f>
        <v>2018-10-17 14:10:04</v>
      </c>
    </row>
    <row r="4677" spans="1:7" x14ac:dyDescent="0.2">
      <c r="A4677" t="s">
        <v>5835</v>
      </c>
      <c r="B4677" t="str">
        <f>"18774747746"</f>
        <v>18774747746</v>
      </c>
      <c r="C4677" t="str">
        <f>"35012219920601733X"</f>
        <v>35012219920601733X</v>
      </c>
      <c r="D4677" t="s">
        <v>1</v>
      </c>
      <c r="E4677" t="s">
        <v>1</v>
      </c>
      <c r="F4677" t="s">
        <v>0</v>
      </c>
      <c r="G4677" t="str">
        <f>"2018-10-17 14:18:50"</f>
        <v>2018-10-17 14:18:50</v>
      </c>
    </row>
    <row r="4678" spans="1:7" x14ac:dyDescent="0.2">
      <c r="A4678" t="s">
        <v>1</v>
      </c>
      <c r="B4678" t="str">
        <f>"18958250708"</f>
        <v>18958250708</v>
      </c>
      <c r="C4678" t="s">
        <v>1</v>
      </c>
      <c r="D4678" t="s">
        <v>1</v>
      </c>
      <c r="E4678" t="s">
        <v>1</v>
      </c>
      <c r="F4678" t="s">
        <v>0</v>
      </c>
      <c r="G4678" t="str">
        <f>"2018-10-17 14:02:28"</f>
        <v>2018-10-17 14:02:28</v>
      </c>
    </row>
    <row r="4679" spans="1:7" x14ac:dyDescent="0.2">
      <c r="A4679" t="s">
        <v>5836</v>
      </c>
      <c r="B4679" t="str">
        <f>"18208663328"</f>
        <v>18208663328</v>
      </c>
      <c r="C4679" t="str">
        <f>"522524197906293617"</f>
        <v>522524197906293617</v>
      </c>
      <c r="D4679" t="s">
        <v>1</v>
      </c>
      <c r="E4679" t="s">
        <v>1</v>
      </c>
      <c r="F4679" t="s">
        <v>0</v>
      </c>
      <c r="G4679" t="str">
        <f>"2018-10-17 14:06:11"</f>
        <v>2018-10-17 14:06:11</v>
      </c>
    </row>
    <row r="4680" spans="1:7" x14ac:dyDescent="0.2">
      <c r="A4680" t="s">
        <v>369</v>
      </c>
      <c r="B4680" t="str">
        <f>"17615857949"</f>
        <v>17615857949</v>
      </c>
      <c r="C4680" t="str">
        <f>"41142319970420105X"</f>
        <v>41142319970420105X</v>
      </c>
      <c r="D4680" t="s">
        <v>1</v>
      </c>
      <c r="E4680" t="s">
        <v>1</v>
      </c>
      <c r="F4680" t="s">
        <v>0</v>
      </c>
      <c r="G4680" t="str">
        <f>"2018-10-17 14:20:33"</f>
        <v>2018-10-17 14:20:33</v>
      </c>
    </row>
    <row r="4681" spans="1:7" x14ac:dyDescent="0.2">
      <c r="A4681" t="s">
        <v>5837</v>
      </c>
      <c r="B4681" t="str">
        <f>"18275914652"</f>
        <v>18275914652</v>
      </c>
      <c r="C4681" t="str">
        <f>"452129199707182317"</f>
        <v>452129199707182317</v>
      </c>
      <c r="D4681" t="s">
        <v>1</v>
      </c>
      <c r="E4681" t="s">
        <v>1</v>
      </c>
      <c r="F4681" t="s">
        <v>0</v>
      </c>
      <c r="G4681" t="str">
        <f>"2018-10-17 14:03:20"</f>
        <v>2018-10-17 14:03:20</v>
      </c>
    </row>
    <row r="4682" spans="1:7" x14ac:dyDescent="0.2">
      <c r="A4682" t="s">
        <v>1271</v>
      </c>
      <c r="B4682" t="str">
        <f>"13838640592"</f>
        <v>13838640592</v>
      </c>
      <c r="C4682" t="str">
        <f>"412726199507187523"</f>
        <v>412726199507187523</v>
      </c>
      <c r="D4682" t="s">
        <v>1</v>
      </c>
      <c r="E4682" t="s">
        <v>1</v>
      </c>
      <c r="F4682" t="s">
        <v>0</v>
      </c>
      <c r="G4682" t="str">
        <f>"2018-10-17 14:02:01"</f>
        <v>2018-10-17 14:02:01</v>
      </c>
    </row>
    <row r="4683" spans="1:7" x14ac:dyDescent="0.2">
      <c r="A4683" t="s">
        <v>5838</v>
      </c>
      <c r="B4683" t="str">
        <f>"13637081585"</f>
        <v>13637081585</v>
      </c>
      <c r="C4683" t="str">
        <f>"340123199112067699"</f>
        <v>340123199112067699</v>
      </c>
      <c r="D4683" t="s">
        <v>1</v>
      </c>
      <c r="E4683" t="s">
        <v>1</v>
      </c>
      <c r="F4683" t="s">
        <v>0</v>
      </c>
      <c r="G4683" t="str">
        <f>"2018-10-17 14:00:31"</f>
        <v>2018-10-17 14:00:31</v>
      </c>
    </row>
    <row r="4684" spans="1:7" x14ac:dyDescent="0.2">
      <c r="A4684" t="s">
        <v>5839</v>
      </c>
      <c r="B4684" t="str">
        <f>"15637221985"</f>
        <v>15637221985</v>
      </c>
      <c r="C4684" t="str">
        <f>"410502198512273014"</f>
        <v>410502198512273014</v>
      </c>
      <c r="D4684" t="s">
        <v>1</v>
      </c>
      <c r="E4684" t="s">
        <v>1</v>
      </c>
      <c r="F4684" t="s">
        <v>0</v>
      </c>
      <c r="G4684" t="str">
        <f>"2018-10-17 14:01:17"</f>
        <v>2018-10-17 14:01:17</v>
      </c>
    </row>
    <row r="4685" spans="1:7" x14ac:dyDescent="0.2">
      <c r="A4685" t="s">
        <v>5840</v>
      </c>
      <c r="B4685" t="str">
        <f>"15847402337"</f>
        <v>15847402337</v>
      </c>
      <c r="C4685" t="str">
        <f>"152601198412230620"</f>
        <v>152601198412230620</v>
      </c>
      <c r="D4685" t="s">
        <v>1</v>
      </c>
      <c r="E4685" t="s">
        <v>1</v>
      </c>
      <c r="F4685" t="s">
        <v>0</v>
      </c>
      <c r="G4685" t="str">
        <f>"2018-10-17 13:59:40"</f>
        <v>2018-10-17 13:59:40</v>
      </c>
    </row>
    <row r="4686" spans="1:7" x14ac:dyDescent="0.2">
      <c r="A4686" t="s">
        <v>5841</v>
      </c>
      <c r="B4686" t="str">
        <f>"18233313322"</f>
        <v>18233313322</v>
      </c>
      <c r="C4686" t="str">
        <f>"130602197702090976"</f>
        <v>130602197702090976</v>
      </c>
      <c r="D4686" t="s">
        <v>1</v>
      </c>
      <c r="E4686" t="s">
        <v>1</v>
      </c>
      <c r="F4686" t="s">
        <v>0</v>
      </c>
      <c r="G4686" t="str">
        <f>"2018-10-17 13:59:15"</f>
        <v>2018-10-17 13:59:15</v>
      </c>
    </row>
    <row r="4687" spans="1:7" x14ac:dyDescent="0.2">
      <c r="A4687" t="s">
        <v>1</v>
      </c>
      <c r="B4687" t="str">
        <f>"13585766893"</f>
        <v>13585766893</v>
      </c>
      <c r="C4687" t="s">
        <v>1</v>
      </c>
      <c r="D4687" t="s">
        <v>1</v>
      </c>
      <c r="E4687" t="s">
        <v>1</v>
      </c>
      <c r="F4687" t="s">
        <v>0</v>
      </c>
      <c r="G4687" t="str">
        <f>"2018-10-17 13:59:07"</f>
        <v>2018-10-17 13:59:07</v>
      </c>
    </row>
    <row r="4688" spans="1:7" x14ac:dyDescent="0.2">
      <c r="A4688" t="s">
        <v>5842</v>
      </c>
      <c r="B4688" t="str">
        <f>"15609427949"</f>
        <v>15609427949</v>
      </c>
      <c r="C4688" t="str">
        <f>"622425199409091639"</f>
        <v>622425199409091639</v>
      </c>
      <c r="D4688" t="s">
        <v>1</v>
      </c>
      <c r="E4688" t="s">
        <v>1</v>
      </c>
      <c r="F4688" t="s">
        <v>0</v>
      </c>
      <c r="G4688" t="str">
        <f>"2018-10-17 14:01:53"</f>
        <v>2018-10-17 14:01:53</v>
      </c>
    </row>
    <row r="4689" spans="1:7" x14ac:dyDescent="0.2">
      <c r="A4689" t="s">
        <v>5843</v>
      </c>
      <c r="B4689" t="str">
        <f>"18616276232"</f>
        <v>18616276232</v>
      </c>
      <c r="C4689" t="str">
        <f>"310107198602170015"</f>
        <v>310107198602170015</v>
      </c>
      <c r="D4689" t="s">
        <v>1</v>
      </c>
      <c r="E4689" t="s">
        <v>1</v>
      </c>
      <c r="F4689" t="s">
        <v>0</v>
      </c>
      <c r="G4689" t="str">
        <f>"2018-10-17 14:00:34"</f>
        <v>2018-10-17 14:00:34</v>
      </c>
    </row>
    <row r="4690" spans="1:7" x14ac:dyDescent="0.2">
      <c r="A4690" t="s">
        <v>1486</v>
      </c>
      <c r="B4690" t="str">
        <f>"13764586761"</f>
        <v>13764586761</v>
      </c>
      <c r="C4690" t="str">
        <f>"622726199512200808"</f>
        <v>622726199512200808</v>
      </c>
      <c r="D4690" t="s">
        <v>1</v>
      </c>
      <c r="E4690" t="s">
        <v>1</v>
      </c>
      <c r="F4690" t="s">
        <v>0</v>
      </c>
      <c r="G4690" t="str">
        <f>"2018-10-17 13:58:24"</f>
        <v>2018-10-17 13:58:24</v>
      </c>
    </row>
    <row r="4691" spans="1:7" x14ac:dyDescent="0.2">
      <c r="A4691" t="s">
        <v>1</v>
      </c>
      <c r="B4691" t="str">
        <f>"18885264142"</f>
        <v>18885264142</v>
      </c>
      <c r="C4691" t="s">
        <v>1</v>
      </c>
      <c r="D4691" t="s">
        <v>1</v>
      </c>
      <c r="E4691" t="s">
        <v>1</v>
      </c>
      <c r="F4691" t="s">
        <v>0</v>
      </c>
      <c r="G4691" t="str">
        <f>"2018-10-17 13:57:22"</f>
        <v>2018-10-17 13:57:22</v>
      </c>
    </row>
    <row r="4692" spans="1:7" x14ac:dyDescent="0.2">
      <c r="A4692" t="s">
        <v>5844</v>
      </c>
      <c r="B4692" t="str">
        <f>"18715426741"</f>
        <v>18715426741</v>
      </c>
      <c r="C4692" t="str">
        <f>"340826199812108735"</f>
        <v>340826199812108735</v>
      </c>
      <c r="D4692" t="s">
        <v>1</v>
      </c>
      <c r="E4692" t="s">
        <v>1</v>
      </c>
      <c r="F4692" t="s">
        <v>0</v>
      </c>
      <c r="G4692" t="str">
        <f>"2018-10-17 14:00:46"</f>
        <v>2018-10-17 14:00:46</v>
      </c>
    </row>
    <row r="4693" spans="1:7" x14ac:dyDescent="0.2">
      <c r="A4693" t="s">
        <v>5845</v>
      </c>
      <c r="B4693" t="str">
        <f>"15735375151"</f>
        <v>15735375151</v>
      </c>
      <c r="C4693" t="str">
        <f>"142726198508283621"</f>
        <v>142726198508283621</v>
      </c>
      <c r="D4693" t="s">
        <v>1</v>
      </c>
      <c r="E4693" t="s">
        <v>1</v>
      </c>
      <c r="F4693" t="s">
        <v>0</v>
      </c>
      <c r="G4693" t="str">
        <f>"2018-10-17 13:58:44"</f>
        <v>2018-10-17 13:58:44</v>
      </c>
    </row>
    <row r="4694" spans="1:7" x14ac:dyDescent="0.2">
      <c r="A4694" t="s">
        <v>1</v>
      </c>
      <c r="B4694" t="str">
        <f>"15996870949"</f>
        <v>15996870949</v>
      </c>
      <c r="C4694" t="s">
        <v>1</v>
      </c>
      <c r="D4694" t="s">
        <v>1</v>
      </c>
      <c r="E4694" t="s">
        <v>1</v>
      </c>
      <c r="F4694" t="s">
        <v>0</v>
      </c>
      <c r="G4694" t="str">
        <f>"2018-10-17 13:56:43"</f>
        <v>2018-10-17 13:56:43</v>
      </c>
    </row>
    <row r="4695" spans="1:7" x14ac:dyDescent="0.2">
      <c r="A4695" t="s">
        <v>1</v>
      </c>
      <c r="B4695" t="str">
        <f>"13590952974"</f>
        <v>13590952974</v>
      </c>
      <c r="C4695" t="s">
        <v>1</v>
      </c>
      <c r="D4695" t="s">
        <v>1</v>
      </c>
      <c r="E4695" t="s">
        <v>1</v>
      </c>
      <c r="F4695" t="s">
        <v>0</v>
      </c>
      <c r="G4695" t="str">
        <f>"2018-10-17 14:00:11"</f>
        <v>2018-10-17 14:00:11</v>
      </c>
    </row>
    <row r="4696" spans="1:7" x14ac:dyDescent="0.2">
      <c r="A4696" t="s">
        <v>5846</v>
      </c>
      <c r="B4696" t="str">
        <f>"15923109706"</f>
        <v>15923109706</v>
      </c>
      <c r="C4696" t="str">
        <f>"50022319891121449X"</f>
        <v>50022319891121449X</v>
      </c>
      <c r="D4696" t="s">
        <v>1</v>
      </c>
      <c r="E4696" t="s">
        <v>1</v>
      </c>
      <c r="F4696" t="s">
        <v>0</v>
      </c>
      <c r="G4696" t="str">
        <f>"2018-10-17 13:57:52"</f>
        <v>2018-10-17 13:57:52</v>
      </c>
    </row>
    <row r="4697" spans="1:7" x14ac:dyDescent="0.2">
      <c r="A4697" t="s">
        <v>5847</v>
      </c>
      <c r="B4697" t="str">
        <f>"18993158152"</f>
        <v>18993158152</v>
      </c>
      <c r="C4697" t="str">
        <f>"620105196803170012"</f>
        <v>620105196803170012</v>
      </c>
      <c r="D4697" t="s">
        <v>1</v>
      </c>
      <c r="E4697" t="s">
        <v>1</v>
      </c>
      <c r="F4697" t="s">
        <v>0</v>
      </c>
      <c r="G4697" t="str">
        <f>"2018-10-17 14:02:12"</f>
        <v>2018-10-17 14:02:12</v>
      </c>
    </row>
    <row r="4698" spans="1:7" x14ac:dyDescent="0.2">
      <c r="A4698" t="s">
        <v>5848</v>
      </c>
      <c r="B4698" t="str">
        <f>"13826559037"</f>
        <v>13826559037</v>
      </c>
      <c r="C4698" t="str">
        <f>"441481199407036157"</f>
        <v>441481199407036157</v>
      </c>
      <c r="D4698" t="s">
        <v>1</v>
      </c>
      <c r="E4698" t="s">
        <v>1</v>
      </c>
      <c r="F4698" t="s">
        <v>0</v>
      </c>
      <c r="G4698" t="str">
        <f>"2018-10-17 13:57:02"</f>
        <v>2018-10-17 13:57:02</v>
      </c>
    </row>
    <row r="4699" spans="1:7" x14ac:dyDescent="0.2">
      <c r="A4699" t="s">
        <v>1</v>
      </c>
      <c r="B4699" t="str">
        <f>"15998954330"</f>
        <v>15998954330</v>
      </c>
      <c r="C4699" t="s">
        <v>1</v>
      </c>
      <c r="D4699" t="s">
        <v>1</v>
      </c>
      <c r="E4699" t="s">
        <v>1</v>
      </c>
      <c r="F4699" t="s">
        <v>0</v>
      </c>
      <c r="G4699" t="str">
        <f>"2018-10-17 14:32:51"</f>
        <v>2018-10-17 14:32:51</v>
      </c>
    </row>
    <row r="4700" spans="1:7" x14ac:dyDescent="0.2">
      <c r="A4700" t="s">
        <v>5849</v>
      </c>
      <c r="B4700" t="str">
        <f>"18628066658"</f>
        <v>18628066658</v>
      </c>
      <c r="C4700" t="str">
        <f>"510622198811045411"</f>
        <v>510622198811045411</v>
      </c>
      <c r="D4700" t="s">
        <v>1</v>
      </c>
      <c r="E4700" t="s">
        <v>1</v>
      </c>
      <c r="F4700" t="s">
        <v>0</v>
      </c>
      <c r="G4700" t="str">
        <f>"2018-10-24 13:53:38"</f>
        <v>2018-10-24 13:53:38</v>
      </c>
    </row>
    <row r="4701" spans="1:7" x14ac:dyDescent="0.2">
      <c r="A4701" t="s">
        <v>737</v>
      </c>
      <c r="B4701" t="str">
        <f>"13529100485"</f>
        <v>13529100485</v>
      </c>
      <c r="C4701" t="str">
        <f>"530103199301031820"</f>
        <v>530103199301031820</v>
      </c>
      <c r="D4701" t="s">
        <v>1</v>
      </c>
      <c r="E4701" t="s">
        <v>1</v>
      </c>
      <c r="F4701" t="s">
        <v>0</v>
      </c>
      <c r="G4701" t="str">
        <f>"2018-10-17 13:54:41"</f>
        <v>2018-10-17 13:54:41</v>
      </c>
    </row>
    <row r="4702" spans="1:7" x14ac:dyDescent="0.2">
      <c r="A4702" t="s">
        <v>5850</v>
      </c>
      <c r="B4702" t="str">
        <f>"18876728919"</f>
        <v>18876728919</v>
      </c>
      <c r="C4702" t="str">
        <f>"460006199712084017"</f>
        <v>460006199712084017</v>
      </c>
      <c r="D4702" t="s">
        <v>1</v>
      </c>
      <c r="E4702" t="s">
        <v>1</v>
      </c>
      <c r="F4702" t="s">
        <v>0</v>
      </c>
      <c r="G4702" t="str">
        <f>"2018-10-17 14:06:55"</f>
        <v>2018-10-17 14:06:55</v>
      </c>
    </row>
    <row r="4703" spans="1:7" x14ac:dyDescent="0.2">
      <c r="A4703" t="s">
        <v>5851</v>
      </c>
      <c r="B4703" t="str">
        <f>"15629516167"</f>
        <v>15629516167</v>
      </c>
      <c r="C4703" t="str">
        <f>"420324198909101930"</f>
        <v>420324198909101930</v>
      </c>
      <c r="D4703" t="s">
        <v>1</v>
      </c>
      <c r="E4703" t="s">
        <v>1</v>
      </c>
      <c r="F4703" t="s">
        <v>0</v>
      </c>
      <c r="G4703" t="str">
        <f>"2018-10-17 13:58:16"</f>
        <v>2018-10-17 13:58:16</v>
      </c>
    </row>
    <row r="4704" spans="1:7" x14ac:dyDescent="0.2">
      <c r="A4704" t="s">
        <v>1</v>
      </c>
      <c r="B4704" t="str">
        <f>"15869468681"</f>
        <v>15869468681</v>
      </c>
      <c r="C4704" t="s">
        <v>1</v>
      </c>
      <c r="D4704" t="s">
        <v>1</v>
      </c>
      <c r="E4704" t="s">
        <v>1</v>
      </c>
      <c r="F4704" t="s">
        <v>0</v>
      </c>
      <c r="G4704" t="str">
        <f>"2018-10-17 13:53:18"</f>
        <v>2018-10-17 13:53:18</v>
      </c>
    </row>
    <row r="4705" spans="1:7" x14ac:dyDescent="0.2">
      <c r="A4705" t="s">
        <v>5852</v>
      </c>
      <c r="B4705" t="str">
        <f>"13610642055"</f>
        <v>13610642055</v>
      </c>
      <c r="C4705" t="str">
        <f>"142427198602203624"</f>
        <v>142427198602203624</v>
      </c>
      <c r="D4705" t="s">
        <v>1</v>
      </c>
      <c r="E4705" t="s">
        <v>1</v>
      </c>
      <c r="F4705" t="s">
        <v>0</v>
      </c>
      <c r="G4705" t="str">
        <f>"2018-10-17 13:55:07"</f>
        <v>2018-10-17 13:55:07</v>
      </c>
    </row>
    <row r="4706" spans="1:7" x14ac:dyDescent="0.2">
      <c r="A4706" t="s">
        <v>5853</v>
      </c>
      <c r="B4706" t="str">
        <f>"18504144999"</f>
        <v>18504144999</v>
      </c>
      <c r="C4706" t="str">
        <f>"210502198608111514"</f>
        <v>210502198608111514</v>
      </c>
      <c r="D4706" t="s">
        <v>1</v>
      </c>
      <c r="E4706" t="s">
        <v>1</v>
      </c>
      <c r="F4706" t="s">
        <v>0</v>
      </c>
      <c r="G4706" t="str">
        <f>"2018-10-17 14:06:12"</f>
        <v>2018-10-17 14:06:12</v>
      </c>
    </row>
    <row r="4707" spans="1:7" x14ac:dyDescent="0.2">
      <c r="A4707" t="s">
        <v>5854</v>
      </c>
      <c r="B4707" t="str">
        <f>"17538219275"</f>
        <v>17538219275</v>
      </c>
      <c r="C4707" t="str">
        <f>"410811198804150051"</f>
        <v>410811198804150051</v>
      </c>
      <c r="D4707" t="s">
        <v>1</v>
      </c>
      <c r="E4707" t="s">
        <v>1</v>
      </c>
      <c r="F4707" t="s">
        <v>0</v>
      </c>
      <c r="G4707" t="str">
        <f>"2018-10-17 13:53:23"</f>
        <v>2018-10-17 13:53:23</v>
      </c>
    </row>
    <row r="4708" spans="1:7" x14ac:dyDescent="0.2">
      <c r="A4708" t="s">
        <v>520</v>
      </c>
      <c r="B4708" t="str">
        <f>"14769398484"</f>
        <v>14769398484</v>
      </c>
      <c r="C4708" t="str">
        <f>"532727199401290622"</f>
        <v>532727199401290622</v>
      </c>
      <c r="D4708" t="s">
        <v>1</v>
      </c>
      <c r="E4708" t="s">
        <v>1</v>
      </c>
      <c r="F4708" t="s">
        <v>0</v>
      </c>
      <c r="G4708" t="str">
        <f>"2018-10-17 20:08:53"</f>
        <v>2018-10-17 20:08:53</v>
      </c>
    </row>
    <row r="4709" spans="1:7" x14ac:dyDescent="0.2">
      <c r="A4709" t="s">
        <v>5855</v>
      </c>
      <c r="B4709" t="str">
        <f>"18755197020"</f>
        <v>18755197020</v>
      </c>
      <c r="C4709" t="str">
        <f>"340123199807064320"</f>
        <v>340123199807064320</v>
      </c>
      <c r="D4709" t="s">
        <v>5856</v>
      </c>
      <c r="E4709" t="s">
        <v>5857</v>
      </c>
      <c r="F4709" t="s">
        <v>0</v>
      </c>
      <c r="G4709" t="str">
        <f>"2018-10-19 09:35:08"</f>
        <v>2018-10-19 09:35:08</v>
      </c>
    </row>
    <row r="4710" spans="1:7" x14ac:dyDescent="0.2">
      <c r="A4710" t="s">
        <v>5858</v>
      </c>
      <c r="B4710" t="str">
        <f>"17678939456"</f>
        <v>17678939456</v>
      </c>
      <c r="C4710" t="str">
        <f>"522526198611081411"</f>
        <v>522526198611081411</v>
      </c>
      <c r="D4710" t="s">
        <v>1</v>
      </c>
      <c r="E4710" t="s">
        <v>1</v>
      </c>
      <c r="F4710" t="s">
        <v>0</v>
      </c>
      <c r="G4710" t="str">
        <f>"2018-10-17 14:10:25"</f>
        <v>2018-10-17 14:10:25</v>
      </c>
    </row>
    <row r="4711" spans="1:7" x14ac:dyDescent="0.2">
      <c r="A4711" t="s">
        <v>5859</v>
      </c>
      <c r="B4711" t="str">
        <f>"13660520020"</f>
        <v>13660520020</v>
      </c>
      <c r="C4711" t="str">
        <f>"360425199306092027"</f>
        <v>360425199306092027</v>
      </c>
      <c r="D4711" t="s">
        <v>1</v>
      </c>
      <c r="E4711" t="s">
        <v>1</v>
      </c>
      <c r="F4711" t="s">
        <v>0</v>
      </c>
      <c r="G4711" t="str">
        <f>"2018-10-17 13:53:04"</f>
        <v>2018-10-17 13:53:04</v>
      </c>
    </row>
    <row r="4712" spans="1:7" x14ac:dyDescent="0.2">
      <c r="A4712" t="s">
        <v>5860</v>
      </c>
      <c r="B4712" t="str">
        <f>"15978162103"</f>
        <v>15978162103</v>
      </c>
      <c r="C4712" t="str">
        <f>"452228199610237528"</f>
        <v>452228199610237528</v>
      </c>
      <c r="D4712" t="s">
        <v>1</v>
      </c>
      <c r="E4712" t="s">
        <v>1</v>
      </c>
      <c r="F4712" t="s">
        <v>0</v>
      </c>
      <c r="G4712" t="str">
        <f>"2018-10-17 14:01:29"</f>
        <v>2018-10-17 14:01:29</v>
      </c>
    </row>
    <row r="4713" spans="1:7" x14ac:dyDescent="0.2">
      <c r="A4713" t="s">
        <v>5861</v>
      </c>
      <c r="B4713" t="str">
        <f>"15278172073"</f>
        <v>15278172073</v>
      </c>
      <c r="C4713" t="str">
        <f>"452122199612251514"</f>
        <v>452122199612251514</v>
      </c>
      <c r="D4713" t="s">
        <v>1</v>
      </c>
      <c r="E4713" t="s">
        <v>1</v>
      </c>
      <c r="F4713" t="s">
        <v>0</v>
      </c>
      <c r="G4713" t="str">
        <f>"2018-10-17 14:12:33"</f>
        <v>2018-10-17 14:12:33</v>
      </c>
    </row>
    <row r="4714" spans="1:7" x14ac:dyDescent="0.2">
      <c r="A4714" t="s">
        <v>300</v>
      </c>
      <c r="B4714" t="str">
        <f>"17665055566"</f>
        <v>17665055566</v>
      </c>
      <c r="C4714" t="str">
        <f>"430421199310157316"</f>
        <v>430421199310157316</v>
      </c>
      <c r="D4714" t="s">
        <v>5862</v>
      </c>
      <c r="E4714" t="s">
        <v>5863</v>
      </c>
      <c r="F4714" t="s">
        <v>0</v>
      </c>
      <c r="G4714" t="str">
        <f>"2018-10-17 13:55:17"</f>
        <v>2018-10-17 13:55:17</v>
      </c>
    </row>
    <row r="4715" spans="1:7" x14ac:dyDescent="0.2">
      <c r="A4715" t="s">
        <v>5864</v>
      </c>
      <c r="B4715" t="str">
        <f>"15763073234"</f>
        <v>15763073234</v>
      </c>
      <c r="C4715" t="str">
        <f>"370702199707282212"</f>
        <v>370702199707282212</v>
      </c>
      <c r="D4715" t="s">
        <v>1</v>
      </c>
      <c r="E4715" t="s">
        <v>1</v>
      </c>
      <c r="F4715" t="s">
        <v>0</v>
      </c>
      <c r="G4715" t="str">
        <f>"2018-10-17 13:49:32"</f>
        <v>2018-10-17 13:49:32</v>
      </c>
    </row>
    <row r="4716" spans="1:7" x14ac:dyDescent="0.2">
      <c r="A4716" t="s">
        <v>1</v>
      </c>
      <c r="B4716" t="str">
        <f>"13861157185"</f>
        <v>13861157185</v>
      </c>
      <c r="C4716" t="s">
        <v>1</v>
      </c>
      <c r="D4716" t="s">
        <v>1</v>
      </c>
      <c r="E4716" t="s">
        <v>1</v>
      </c>
      <c r="F4716" t="s">
        <v>0</v>
      </c>
      <c r="G4716" t="str">
        <f>"2018-10-17 13:48:30"</f>
        <v>2018-10-17 13:48:30</v>
      </c>
    </row>
    <row r="4717" spans="1:7" x14ac:dyDescent="0.2">
      <c r="A4717" t="s">
        <v>5865</v>
      </c>
      <c r="B4717" t="str">
        <f>"13577845475"</f>
        <v>13577845475</v>
      </c>
      <c r="C4717" t="str">
        <f>"532322199608270334"</f>
        <v>532322199608270334</v>
      </c>
      <c r="D4717" t="s">
        <v>1</v>
      </c>
      <c r="E4717" t="s">
        <v>1</v>
      </c>
      <c r="F4717" t="s">
        <v>0</v>
      </c>
      <c r="G4717" t="str">
        <f>"2018-10-17 13:48:24"</f>
        <v>2018-10-17 13:48:24</v>
      </c>
    </row>
    <row r="4718" spans="1:7" x14ac:dyDescent="0.2">
      <c r="A4718" t="s">
        <v>5866</v>
      </c>
      <c r="B4718" t="str">
        <f>"18680289959"</f>
        <v>18680289959</v>
      </c>
      <c r="C4718" t="str">
        <f>"445224198406193637"</f>
        <v>445224198406193637</v>
      </c>
      <c r="D4718" t="s">
        <v>5867</v>
      </c>
      <c r="E4718" t="s">
        <v>5868</v>
      </c>
      <c r="F4718" t="s">
        <v>0</v>
      </c>
      <c r="G4718" t="str">
        <f>"2018-10-17 14:21:26"</f>
        <v>2018-10-17 14:21:26</v>
      </c>
    </row>
    <row r="4719" spans="1:7" x14ac:dyDescent="0.2">
      <c r="A4719" t="s">
        <v>5869</v>
      </c>
      <c r="B4719" t="str">
        <f>"13521472018"</f>
        <v>13521472018</v>
      </c>
      <c r="C4719" t="str">
        <f>"421381199805075638"</f>
        <v>421381199805075638</v>
      </c>
      <c r="D4719" t="s">
        <v>1</v>
      </c>
      <c r="E4719" t="s">
        <v>1</v>
      </c>
      <c r="F4719" t="s">
        <v>0</v>
      </c>
      <c r="G4719" t="str">
        <f>"2018-10-17 13:48:04"</f>
        <v>2018-10-17 13:48:04</v>
      </c>
    </row>
    <row r="4720" spans="1:7" x14ac:dyDescent="0.2">
      <c r="A4720" t="s">
        <v>5870</v>
      </c>
      <c r="B4720" t="str">
        <f>"18234885757"</f>
        <v>18234885757</v>
      </c>
      <c r="C4720" t="str">
        <f>"142328198606102215"</f>
        <v>142328198606102215</v>
      </c>
      <c r="D4720" t="s">
        <v>5871</v>
      </c>
      <c r="E4720" t="s">
        <v>5872</v>
      </c>
      <c r="F4720" t="s">
        <v>0</v>
      </c>
      <c r="G4720" t="str">
        <f>"2018-10-17 13:50:41"</f>
        <v>2018-10-17 13:50:41</v>
      </c>
    </row>
    <row r="4721" spans="1:7" x14ac:dyDescent="0.2">
      <c r="A4721" t="s">
        <v>5873</v>
      </c>
      <c r="B4721" t="str">
        <f>"18337373556"</f>
        <v>18337373556</v>
      </c>
      <c r="C4721" t="str">
        <f>"410782199907059538"</f>
        <v>410782199907059538</v>
      </c>
      <c r="D4721" t="s">
        <v>1</v>
      </c>
      <c r="E4721" t="s">
        <v>1</v>
      </c>
      <c r="F4721" t="s">
        <v>0</v>
      </c>
      <c r="G4721" t="str">
        <f>"2018-10-18 18:17:46"</f>
        <v>2018-10-18 18:17:46</v>
      </c>
    </row>
    <row r="4722" spans="1:7" x14ac:dyDescent="0.2">
      <c r="A4722" t="s">
        <v>1</v>
      </c>
      <c r="B4722" t="str">
        <f>"18277670993"</f>
        <v>18277670993</v>
      </c>
      <c r="C4722" t="s">
        <v>1</v>
      </c>
      <c r="D4722" t="s">
        <v>1</v>
      </c>
      <c r="E4722" t="s">
        <v>1</v>
      </c>
      <c r="F4722" t="s">
        <v>0</v>
      </c>
      <c r="G4722" t="str">
        <f>"2018-10-17 13:49:48"</f>
        <v>2018-10-17 13:49:48</v>
      </c>
    </row>
    <row r="4723" spans="1:7" x14ac:dyDescent="0.2">
      <c r="A4723" t="s">
        <v>5874</v>
      </c>
      <c r="B4723" t="str">
        <f>"18762918402"</f>
        <v>18762918402</v>
      </c>
      <c r="C4723" t="str">
        <f>"610481199707015818"</f>
        <v>610481199707015818</v>
      </c>
      <c r="D4723" t="s">
        <v>1</v>
      </c>
      <c r="E4723" t="s">
        <v>1</v>
      </c>
      <c r="F4723" t="s">
        <v>0</v>
      </c>
      <c r="G4723" t="str">
        <f>"2018-10-17 13:47:52"</f>
        <v>2018-10-17 13:47:52</v>
      </c>
    </row>
    <row r="4724" spans="1:7" x14ac:dyDescent="0.2">
      <c r="A4724" t="s">
        <v>5875</v>
      </c>
      <c r="B4724" t="str">
        <f>"15219147949"</f>
        <v>15219147949</v>
      </c>
      <c r="C4724" t="str">
        <f>"441424199411231177"</f>
        <v>441424199411231177</v>
      </c>
      <c r="D4724" t="s">
        <v>1</v>
      </c>
      <c r="E4724" t="s">
        <v>1</v>
      </c>
      <c r="F4724" t="s">
        <v>0</v>
      </c>
      <c r="G4724" t="str">
        <f>"2018-10-18 15:11:58"</f>
        <v>2018-10-18 15:11:58</v>
      </c>
    </row>
    <row r="4725" spans="1:7" x14ac:dyDescent="0.2">
      <c r="A4725" t="s">
        <v>5876</v>
      </c>
      <c r="B4725" t="str">
        <f>"15574668455"</f>
        <v>15574668455</v>
      </c>
      <c r="C4725" t="str">
        <f>"43112719950202051X"</f>
        <v>43112719950202051X</v>
      </c>
      <c r="D4725" t="s">
        <v>1</v>
      </c>
      <c r="E4725" t="s">
        <v>1</v>
      </c>
      <c r="F4725" t="s">
        <v>0</v>
      </c>
      <c r="G4725" t="str">
        <f>"2018-10-19 17:51:59"</f>
        <v>2018-10-19 17:51:59</v>
      </c>
    </row>
    <row r="4726" spans="1:7" x14ac:dyDescent="0.2">
      <c r="A4726" t="s">
        <v>1</v>
      </c>
      <c r="B4726" t="str">
        <f>"18960370979"</f>
        <v>18960370979</v>
      </c>
      <c r="C4726" t="s">
        <v>1</v>
      </c>
      <c r="D4726" t="s">
        <v>1</v>
      </c>
      <c r="E4726" t="s">
        <v>1</v>
      </c>
      <c r="F4726" t="s">
        <v>0</v>
      </c>
      <c r="G4726" t="str">
        <f>"2018-10-17 13:46:13"</f>
        <v>2018-10-17 13:46:13</v>
      </c>
    </row>
    <row r="4727" spans="1:7" x14ac:dyDescent="0.2">
      <c r="A4727" t="s">
        <v>5877</v>
      </c>
      <c r="B4727" t="str">
        <f>"18309675229"</f>
        <v>18309675229</v>
      </c>
      <c r="C4727" t="str">
        <f>"640382199212011926"</f>
        <v>640382199212011926</v>
      </c>
      <c r="D4727" t="s">
        <v>1</v>
      </c>
      <c r="E4727" t="s">
        <v>1</v>
      </c>
      <c r="F4727" t="s">
        <v>0</v>
      </c>
      <c r="G4727" t="str">
        <f>"2018-10-17 13:46:51"</f>
        <v>2018-10-17 13:46:51</v>
      </c>
    </row>
    <row r="4728" spans="1:7" x14ac:dyDescent="0.2">
      <c r="A4728" t="s">
        <v>5878</v>
      </c>
      <c r="B4728" t="str">
        <f>"13645335319"</f>
        <v>13645335319</v>
      </c>
      <c r="C4728" t="str">
        <f>"370302198903105110"</f>
        <v>370302198903105110</v>
      </c>
      <c r="D4728" t="s">
        <v>1</v>
      </c>
      <c r="E4728" t="s">
        <v>1</v>
      </c>
      <c r="F4728" t="s">
        <v>0</v>
      </c>
      <c r="G4728" t="str">
        <f>"2018-10-17 14:11:22"</f>
        <v>2018-10-17 14:11:22</v>
      </c>
    </row>
    <row r="4729" spans="1:7" x14ac:dyDescent="0.2">
      <c r="A4729" t="s">
        <v>1</v>
      </c>
      <c r="B4729" t="str">
        <f>"13124316661"</f>
        <v>13124316661</v>
      </c>
      <c r="C4729" t="s">
        <v>1</v>
      </c>
      <c r="D4729" t="s">
        <v>1</v>
      </c>
      <c r="E4729" t="s">
        <v>1</v>
      </c>
      <c r="F4729" t="s">
        <v>0</v>
      </c>
      <c r="G4729" t="str">
        <f>"2018-10-17 13:45:03"</f>
        <v>2018-10-17 13:45:03</v>
      </c>
    </row>
    <row r="4730" spans="1:7" x14ac:dyDescent="0.2">
      <c r="A4730" t="s">
        <v>5879</v>
      </c>
      <c r="B4730" t="str">
        <f>"15773612609"</f>
        <v>15773612609</v>
      </c>
      <c r="C4730" t="str">
        <f>"430723199809270018"</f>
        <v>430723199809270018</v>
      </c>
      <c r="D4730" t="s">
        <v>1</v>
      </c>
      <c r="E4730" t="s">
        <v>1</v>
      </c>
      <c r="F4730" t="s">
        <v>0</v>
      </c>
      <c r="G4730" t="str">
        <f>"2018-10-17 14:32:01"</f>
        <v>2018-10-17 14:32:01</v>
      </c>
    </row>
    <row r="4731" spans="1:7" x14ac:dyDescent="0.2">
      <c r="A4731" t="s">
        <v>5880</v>
      </c>
      <c r="B4731" t="str">
        <f>"13624242862"</f>
        <v>13624242862</v>
      </c>
      <c r="C4731" t="str">
        <f>"23010619761115231X"</f>
        <v>23010619761115231X</v>
      </c>
      <c r="D4731" t="s">
        <v>1</v>
      </c>
      <c r="E4731" t="s">
        <v>1</v>
      </c>
      <c r="F4731" t="s">
        <v>0</v>
      </c>
      <c r="G4731" t="str">
        <f>"2018-10-17 13:43:31"</f>
        <v>2018-10-17 13:43:31</v>
      </c>
    </row>
    <row r="4732" spans="1:7" x14ac:dyDescent="0.2">
      <c r="A4732" t="s">
        <v>5881</v>
      </c>
      <c r="B4732" t="str">
        <f>"13751779818"</f>
        <v>13751779818</v>
      </c>
      <c r="C4732" t="str">
        <f>"422201197612022534"</f>
        <v>422201197612022534</v>
      </c>
      <c r="D4732" t="s">
        <v>1</v>
      </c>
      <c r="E4732" t="s">
        <v>1</v>
      </c>
      <c r="F4732" t="s">
        <v>0</v>
      </c>
      <c r="G4732" t="str">
        <f>"2018-10-17 13:43:57"</f>
        <v>2018-10-17 13:43:57</v>
      </c>
    </row>
    <row r="4733" spans="1:7" x14ac:dyDescent="0.2">
      <c r="A4733" t="s">
        <v>5882</v>
      </c>
      <c r="B4733" t="str">
        <f>"18269737527"</f>
        <v>18269737527</v>
      </c>
      <c r="C4733" t="str">
        <f>"340881199606172810"</f>
        <v>340881199606172810</v>
      </c>
      <c r="D4733" t="s">
        <v>1</v>
      </c>
      <c r="E4733" t="s">
        <v>1</v>
      </c>
      <c r="F4733" t="s">
        <v>0</v>
      </c>
      <c r="G4733" t="str">
        <f>"2018-10-17 13:43:00"</f>
        <v>2018-10-17 13:43:00</v>
      </c>
    </row>
    <row r="4734" spans="1:7" x14ac:dyDescent="0.2">
      <c r="A4734" t="s">
        <v>5883</v>
      </c>
      <c r="B4734" t="str">
        <f>"15160210876"</f>
        <v>15160210876</v>
      </c>
      <c r="C4734" t="str">
        <f>"350322198612263823"</f>
        <v>350322198612263823</v>
      </c>
      <c r="D4734" t="s">
        <v>1</v>
      </c>
      <c r="E4734" t="s">
        <v>1</v>
      </c>
      <c r="F4734" t="s">
        <v>0</v>
      </c>
      <c r="G4734" t="str">
        <f>"2018-10-17 13:46:47"</f>
        <v>2018-10-17 13:46:47</v>
      </c>
    </row>
    <row r="4735" spans="1:7" x14ac:dyDescent="0.2">
      <c r="A4735" t="s">
        <v>5884</v>
      </c>
      <c r="B4735" t="str">
        <f>"13092697117"</f>
        <v>13092697117</v>
      </c>
      <c r="C4735" t="str">
        <f>"321101198512152029"</f>
        <v>321101198512152029</v>
      </c>
      <c r="D4735" t="s">
        <v>1</v>
      </c>
      <c r="E4735" t="s">
        <v>1</v>
      </c>
      <c r="F4735" t="s">
        <v>0</v>
      </c>
      <c r="G4735" t="str">
        <f>"2018-10-17 13:43:51"</f>
        <v>2018-10-17 13:43:51</v>
      </c>
    </row>
    <row r="4736" spans="1:7" x14ac:dyDescent="0.2">
      <c r="A4736" t="s">
        <v>5885</v>
      </c>
      <c r="B4736" t="str">
        <f>"13209682223"</f>
        <v>13209682223</v>
      </c>
      <c r="C4736" t="str">
        <f>"642103197805202230"</f>
        <v>642103197805202230</v>
      </c>
      <c r="D4736" t="s">
        <v>1</v>
      </c>
      <c r="E4736" t="s">
        <v>1</v>
      </c>
      <c r="F4736" t="s">
        <v>0</v>
      </c>
      <c r="G4736" t="str">
        <f>"2018-10-17 13:42:52"</f>
        <v>2018-10-17 13:42:52</v>
      </c>
    </row>
    <row r="4737" spans="1:7" x14ac:dyDescent="0.2">
      <c r="A4737" t="s">
        <v>5886</v>
      </c>
      <c r="B4737" t="str">
        <f>"13046960298"</f>
        <v>13046960298</v>
      </c>
      <c r="C4737" t="str">
        <f>"350725199005290593"</f>
        <v>350725199005290593</v>
      </c>
      <c r="D4737" t="s">
        <v>1</v>
      </c>
      <c r="E4737" t="s">
        <v>1</v>
      </c>
      <c r="F4737" t="s">
        <v>0</v>
      </c>
      <c r="G4737" t="str">
        <f>"2018-10-20 10:05:19"</f>
        <v>2018-10-20 10:05:19</v>
      </c>
    </row>
    <row r="4738" spans="1:7" x14ac:dyDescent="0.2">
      <c r="A4738" t="s">
        <v>5887</v>
      </c>
      <c r="B4738" t="str">
        <f>"18980914935"</f>
        <v>18980914935</v>
      </c>
      <c r="C4738" t="str">
        <f>"510113199802010015"</f>
        <v>510113199802010015</v>
      </c>
      <c r="D4738" t="s">
        <v>1</v>
      </c>
      <c r="E4738" t="s">
        <v>1</v>
      </c>
      <c r="F4738" t="s">
        <v>0</v>
      </c>
      <c r="G4738" t="str">
        <f>"2018-10-17 13:41:32"</f>
        <v>2018-10-17 13:41:32</v>
      </c>
    </row>
    <row r="4739" spans="1:7" x14ac:dyDescent="0.2">
      <c r="A4739" t="s">
        <v>5888</v>
      </c>
      <c r="B4739" t="str">
        <f>"13824440523"</f>
        <v>13824440523</v>
      </c>
      <c r="C4739" t="str">
        <f>"441324198605225314"</f>
        <v>441324198605225314</v>
      </c>
      <c r="D4739" t="s">
        <v>1</v>
      </c>
      <c r="E4739" t="s">
        <v>1</v>
      </c>
      <c r="F4739" t="s">
        <v>0</v>
      </c>
      <c r="G4739" t="str">
        <f>"2018-10-17 13:43:25"</f>
        <v>2018-10-17 13:43:25</v>
      </c>
    </row>
    <row r="4740" spans="1:7" x14ac:dyDescent="0.2">
      <c r="A4740" t="s">
        <v>5889</v>
      </c>
      <c r="B4740" t="str">
        <f>"15779865826"</f>
        <v>15779865826</v>
      </c>
      <c r="C4740" t="str">
        <f>"360735200108210058"</f>
        <v>360735200108210058</v>
      </c>
      <c r="D4740" t="s">
        <v>1</v>
      </c>
      <c r="E4740" t="s">
        <v>1</v>
      </c>
      <c r="F4740" t="s">
        <v>0</v>
      </c>
      <c r="G4740" t="str">
        <f>"2018-10-17 13:39:22"</f>
        <v>2018-10-17 13:39:22</v>
      </c>
    </row>
    <row r="4741" spans="1:7" x14ac:dyDescent="0.2">
      <c r="A4741" t="s">
        <v>5890</v>
      </c>
      <c r="B4741" t="str">
        <f>"18260891343"</f>
        <v>18260891343</v>
      </c>
      <c r="C4741" t="str">
        <f>"452227199402070923"</f>
        <v>452227199402070923</v>
      </c>
      <c r="D4741" t="s">
        <v>1</v>
      </c>
      <c r="E4741" t="s">
        <v>1</v>
      </c>
      <c r="F4741" t="s">
        <v>0</v>
      </c>
      <c r="G4741" t="str">
        <f>"2018-10-17 13:40:14"</f>
        <v>2018-10-17 13:40:14</v>
      </c>
    </row>
    <row r="4742" spans="1:7" x14ac:dyDescent="0.2">
      <c r="A4742" t="s">
        <v>5891</v>
      </c>
      <c r="B4742" t="str">
        <f>"18636552585"</f>
        <v>18636552585</v>
      </c>
      <c r="C4742" t="str">
        <f>"140402199606100425"</f>
        <v>140402199606100425</v>
      </c>
      <c r="D4742" t="s">
        <v>1</v>
      </c>
      <c r="E4742" t="s">
        <v>1</v>
      </c>
      <c r="F4742" t="s">
        <v>0</v>
      </c>
      <c r="G4742" t="str">
        <f>"2018-10-30 12:12:28"</f>
        <v>2018-10-30 12:12:28</v>
      </c>
    </row>
    <row r="4743" spans="1:7" x14ac:dyDescent="0.2">
      <c r="A4743" t="s">
        <v>5892</v>
      </c>
      <c r="B4743" t="str">
        <f>"18844807907"</f>
        <v>18844807907</v>
      </c>
      <c r="C4743" t="str">
        <f>"220724198701133014"</f>
        <v>220724198701133014</v>
      </c>
      <c r="D4743" t="s">
        <v>1</v>
      </c>
      <c r="E4743" t="s">
        <v>1</v>
      </c>
      <c r="F4743" t="s">
        <v>0</v>
      </c>
      <c r="G4743" t="str">
        <f>"2018-10-17 13:41:49"</f>
        <v>2018-10-17 13:41:49</v>
      </c>
    </row>
    <row r="4744" spans="1:7" x14ac:dyDescent="0.2">
      <c r="A4744" t="s">
        <v>1460</v>
      </c>
      <c r="B4744" t="str">
        <f>"13115543288"</f>
        <v>13115543288</v>
      </c>
      <c r="C4744" t="str">
        <f>"230804198707170010"</f>
        <v>230804198707170010</v>
      </c>
      <c r="D4744" t="s">
        <v>1</v>
      </c>
      <c r="E4744" t="s">
        <v>1</v>
      </c>
      <c r="F4744" t="s">
        <v>0</v>
      </c>
      <c r="G4744" t="str">
        <f>"2018-10-17 13:40:20"</f>
        <v>2018-10-17 13:40:20</v>
      </c>
    </row>
    <row r="4745" spans="1:7" x14ac:dyDescent="0.2">
      <c r="A4745" t="s">
        <v>1</v>
      </c>
      <c r="B4745" t="str">
        <f>"15877038806"</f>
        <v>15877038806</v>
      </c>
      <c r="C4745" t="s">
        <v>1</v>
      </c>
      <c r="D4745" t="s">
        <v>1</v>
      </c>
      <c r="E4745" t="s">
        <v>1</v>
      </c>
      <c r="F4745" t="s">
        <v>0</v>
      </c>
      <c r="G4745" t="str">
        <f>"2018-10-17 13:38:06"</f>
        <v>2018-10-17 13:38:06</v>
      </c>
    </row>
    <row r="4746" spans="1:7" x14ac:dyDescent="0.2">
      <c r="A4746" t="s">
        <v>5893</v>
      </c>
      <c r="B4746" t="str">
        <f>"15926881694"</f>
        <v>15926881694</v>
      </c>
      <c r="C4746" t="str">
        <f>"420621199411051595"</f>
        <v>420621199411051595</v>
      </c>
      <c r="D4746" t="s">
        <v>1</v>
      </c>
      <c r="E4746" t="s">
        <v>1</v>
      </c>
      <c r="F4746" t="s">
        <v>0</v>
      </c>
      <c r="G4746" t="str">
        <f>"2018-10-18 16:26:53"</f>
        <v>2018-10-18 16:26:53</v>
      </c>
    </row>
    <row r="4747" spans="1:7" x14ac:dyDescent="0.2">
      <c r="A4747" t="s">
        <v>1</v>
      </c>
      <c r="B4747" t="str">
        <f>"18873440037"</f>
        <v>18873440037</v>
      </c>
      <c r="C4747" t="s">
        <v>1</v>
      </c>
      <c r="D4747" t="s">
        <v>1</v>
      </c>
      <c r="E4747" t="s">
        <v>1</v>
      </c>
      <c r="F4747" t="s">
        <v>0</v>
      </c>
      <c r="G4747" t="str">
        <f>"2018-10-17 13:37:45"</f>
        <v>2018-10-17 13:37:45</v>
      </c>
    </row>
    <row r="4748" spans="1:7" x14ac:dyDescent="0.2">
      <c r="A4748" t="s">
        <v>1</v>
      </c>
      <c r="B4748" t="str">
        <f>"13649092973"</f>
        <v>13649092973</v>
      </c>
      <c r="C4748" t="s">
        <v>1</v>
      </c>
      <c r="D4748" t="s">
        <v>1</v>
      </c>
      <c r="E4748" t="s">
        <v>1</v>
      </c>
      <c r="F4748" t="s">
        <v>0</v>
      </c>
      <c r="G4748" t="str">
        <f>"2018-10-17 13:37:32"</f>
        <v>2018-10-17 13:37:32</v>
      </c>
    </row>
    <row r="4749" spans="1:7" x14ac:dyDescent="0.2">
      <c r="A4749" t="s">
        <v>1</v>
      </c>
      <c r="B4749" t="str">
        <f>"18643333940"</f>
        <v>18643333940</v>
      </c>
      <c r="C4749" t="s">
        <v>1</v>
      </c>
      <c r="D4749" t="s">
        <v>1</v>
      </c>
      <c r="E4749" t="s">
        <v>1</v>
      </c>
      <c r="F4749" t="s">
        <v>0</v>
      </c>
      <c r="G4749" t="str">
        <f>"2018-10-17 13:37:18"</f>
        <v>2018-10-17 13:37:18</v>
      </c>
    </row>
    <row r="4750" spans="1:7" x14ac:dyDescent="0.2">
      <c r="A4750" t="s">
        <v>497</v>
      </c>
      <c r="B4750" t="str">
        <f>"17769148294"</f>
        <v>17769148294</v>
      </c>
      <c r="C4750" t="str">
        <f>"610525197604022834"</f>
        <v>610525197604022834</v>
      </c>
      <c r="D4750" t="s">
        <v>1</v>
      </c>
      <c r="E4750" t="s">
        <v>1</v>
      </c>
      <c r="F4750" t="s">
        <v>0</v>
      </c>
      <c r="G4750" t="str">
        <f>"2018-10-17 13:37:15"</f>
        <v>2018-10-17 13:37:15</v>
      </c>
    </row>
    <row r="4751" spans="1:7" x14ac:dyDescent="0.2">
      <c r="A4751" t="s">
        <v>5894</v>
      </c>
      <c r="B4751" t="str">
        <f>"15057365688"</f>
        <v>15057365688</v>
      </c>
      <c r="C4751" t="str">
        <f>"330326197904306319"</f>
        <v>330326197904306319</v>
      </c>
      <c r="D4751" t="s">
        <v>1</v>
      </c>
      <c r="E4751" t="s">
        <v>1</v>
      </c>
      <c r="F4751" t="s">
        <v>0</v>
      </c>
      <c r="G4751" t="str">
        <f>"2018-10-17 13:37:17"</f>
        <v>2018-10-17 13:37:17</v>
      </c>
    </row>
    <row r="4752" spans="1:7" x14ac:dyDescent="0.2">
      <c r="A4752" t="s">
        <v>5895</v>
      </c>
      <c r="B4752" t="str">
        <f>"13695517609"</f>
        <v>13695517609</v>
      </c>
      <c r="C4752" t="str">
        <f>"320106197609201612"</f>
        <v>320106197609201612</v>
      </c>
      <c r="D4752" t="s">
        <v>1</v>
      </c>
      <c r="E4752" t="s">
        <v>1</v>
      </c>
      <c r="F4752" t="s">
        <v>0</v>
      </c>
      <c r="G4752" t="str">
        <f>"2018-10-17 13:36:13"</f>
        <v>2018-10-17 13:36:13</v>
      </c>
    </row>
    <row r="4753" spans="1:7" x14ac:dyDescent="0.2">
      <c r="A4753" t="s">
        <v>5896</v>
      </c>
      <c r="B4753" t="str">
        <f>"18060156698"</f>
        <v>18060156698</v>
      </c>
      <c r="C4753" t="str">
        <f>"350425199104031611"</f>
        <v>350425199104031611</v>
      </c>
      <c r="D4753" t="s">
        <v>1</v>
      </c>
      <c r="E4753" t="s">
        <v>1</v>
      </c>
      <c r="F4753" t="s">
        <v>0</v>
      </c>
      <c r="G4753" t="str">
        <f>"2018-10-22 09:11:28"</f>
        <v>2018-10-22 09:11:28</v>
      </c>
    </row>
    <row r="4754" spans="1:7" x14ac:dyDescent="0.2">
      <c r="A4754" t="s">
        <v>5897</v>
      </c>
      <c r="B4754" t="str">
        <f>"18185917922"</f>
        <v>18185917922</v>
      </c>
      <c r="C4754" t="str">
        <f>"522321199705044912"</f>
        <v>522321199705044912</v>
      </c>
      <c r="D4754" t="s">
        <v>1</v>
      </c>
      <c r="E4754" t="s">
        <v>1</v>
      </c>
      <c r="F4754" t="s">
        <v>0</v>
      </c>
      <c r="G4754" t="str">
        <f>"2018-10-17 13:36:05"</f>
        <v>2018-10-17 13:36:05</v>
      </c>
    </row>
    <row r="4755" spans="1:7" x14ac:dyDescent="0.2">
      <c r="A4755" t="s">
        <v>5898</v>
      </c>
      <c r="B4755" t="str">
        <f>"13904039971"</f>
        <v>13904039971</v>
      </c>
      <c r="C4755" t="str">
        <f>"210112198307071011"</f>
        <v>210112198307071011</v>
      </c>
      <c r="D4755" t="s">
        <v>1</v>
      </c>
      <c r="E4755" t="s">
        <v>1</v>
      </c>
      <c r="F4755" t="s">
        <v>0</v>
      </c>
      <c r="G4755" t="str">
        <f>"2018-10-17 13:32:48"</f>
        <v>2018-10-17 13:32:48</v>
      </c>
    </row>
    <row r="4756" spans="1:7" x14ac:dyDescent="0.2">
      <c r="A4756" t="s">
        <v>5899</v>
      </c>
      <c r="B4756" t="str">
        <f>"15287066402"</f>
        <v>15287066402</v>
      </c>
      <c r="C4756" t="str">
        <f>"53210119860919441X"</f>
        <v>53210119860919441X</v>
      </c>
      <c r="D4756" t="s">
        <v>1</v>
      </c>
      <c r="E4756" t="s">
        <v>1</v>
      </c>
      <c r="F4756" t="s">
        <v>0</v>
      </c>
      <c r="G4756" t="str">
        <f>"2018-10-17 13:35:18"</f>
        <v>2018-10-17 13:35:18</v>
      </c>
    </row>
    <row r="4757" spans="1:7" x14ac:dyDescent="0.2">
      <c r="A4757" t="s">
        <v>5900</v>
      </c>
      <c r="B4757" t="str">
        <f>"13453372818"</f>
        <v>13453372818</v>
      </c>
      <c r="C4757" t="str">
        <f>"142703198205011819"</f>
        <v>142703198205011819</v>
      </c>
      <c r="D4757" t="s">
        <v>1</v>
      </c>
      <c r="E4757" t="s">
        <v>1</v>
      </c>
      <c r="F4757" t="s">
        <v>0</v>
      </c>
      <c r="G4757" t="str">
        <f>"2018-10-17 13:31:34"</f>
        <v>2018-10-17 13:31:34</v>
      </c>
    </row>
    <row r="4758" spans="1:7" x14ac:dyDescent="0.2">
      <c r="A4758" t="s">
        <v>5901</v>
      </c>
      <c r="B4758" t="str">
        <f>"15966448044"</f>
        <v>15966448044</v>
      </c>
      <c r="C4758" t="str">
        <f>"232301198812034411"</f>
        <v>232301198812034411</v>
      </c>
      <c r="D4758" t="s">
        <v>5902</v>
      </c>
      <c r="E4758" t="s">
        <v>5903</v>
      </c>
      <c r="F4758" t="s">
        <v>0</v>
      </c>
      <c r="G4758" t="str">
        <f>"2018-10-30 19:31:51"</f>
        <v>2018-10-30 19:31:51</v>
      </c>
    </row>
    <row r="4759" spans="1:7" x14ac:dyDescent="0.2">
      <c r="A4759" t="s">
        <v>1</v>
      </c>
      <c r="B4759" t="str">
        <f>"18856069182"</f>
        <v>18856069182</v>
      </c>
      <c r="C4759" t="s">
        <v>1</v>
      </c>
      <c r="D4759" t="s">
        <v>1</v>
      </c>
      <c r="E4759" t="s">
        <v>1</v>
      </c>
      <c r="F4759" t="s">
        <v>0</v>
      </c>
      <c r="G4759" t="str">
        <f>"2018-10-17 13:32:26"</f>
        <v>2018-10-17 13:32:26</v>
      </c>
    </row>
    <row r="4760" spans="1:7" x14ac:dyDescent="0.2">
      <c r="A4760" t="s">
        <v>1</v>
      </c>
      <c r="B4760" t="str">
        <f>"13546851859"</f>
        <v>13546851859</v>
      </c>
      <c r="C4760" t="s">
        <v>1</v>
      </c>
      <c r="D4760" t="s">
        <v>1</v>
      </c>
      <c r="E4760" t="s">
        <v>1</v>
      </c>
      <c r="F4760" t="s">
        <v>0</v>
      </c>
      <c r="G4760" t="str">
        <f>"2018-10-17 13:30:59"</f>
        <v>2018-10-17 13:30:59</v>
      </c>
    </row>
    <row r="4761" spans="1:7" x14ac:dyDescent="0.2">
      <c r="A4761" t="s">
        <v>5904</v>
      </c>
      <c r="B4761" t="str">
        <f>"13990900526"</f>
        <v>13990900526</v>
      </c>
      <c r="C4761" t="str">
        <f>"511521198603034557"</f>
        <v>511521198603034557</v>
      </c>
      <c r="D4761" t="s">
        <v>1</v>
      </c>
      <c r="E4761" t="s">
        <v>1</v>
      </c>
      <c r="F4761" t="s">
        <v>0</v>
      </c>
      <c r="G4761" t="str">
        <f>"2018-10-17 14:00:34"</f>
        <v>2018-10-17 14:00:34</v>
      </c>
    </row>
    <row r="4762" spans="1:7" x14ac:dyDescent="0.2">
      <c r="A4762" t="s">
        <v>1</v>
      </c>
      <c r="B4762" t="str">
        <f>"15960588324"</f>
        <v>15960588324</v>
      </c>
      <c r="C4762" t="s">
        <v>1</v>
      </c>
      <c r="D4762" t="s">
        <v>1</v>
      </c>
      <c r="E4762" t="s">
        <v>1</v>
      </c>
      <c r="F4762" t="s">
        <v>0</v>
      </c>
      <c r="G4762" t="str">
        <f>"2018-10-17 13:30:47"</f>
        <v>2018-10-17 13:30:47</v>
      </c>
    </row>
    <row r="4763" spans="1:7" x14ac:dyDescent="0.2">
      <c r="A4763" t="s">
        <v>5905</v>
      </c>
      <c r="B4763" t="str">
        <f>"18391139869"</f>
        <v>18391139869</v>
      </c>
      <c r="C4763" t="str">
        <f>"610627199408190555"</f>
        <v>610627199408190555</v>
      </c>
      <c r="D4763" t="s">
        <v>1</v>
      </c>
      <c r="E4763" t="s">
        <v>1</v>
      </c>
      <c r="F4763" t="s">
        <v>0</v>
      </c>
      <c r="G4763" t="str">
        <f>"2018-10-17 13:31:57"</f>
        <v>2018-10-17 13:31:57</v>
      </c>
    </row>
    <row r="4764" spans="1:7" x14ac:dyDescent="0.2">
      <c r="A4764" t="s">
        <v>5906</v>
      </c>
      <c r="B4764" t="str">
        <f>"17615181976"</f>
        <v>17615181976</v>
      </c>
      <c r="C4764" t="str">
        <f>"21128219891226241X"</f>
        <v>21128219891226241X</v>
      </c>
      <c r="D4764" t="s">
        <v>1</v>
      </c>
      <c r="E4764" t="s">
        <v>1</v>
      </c>
      <c r="F4764" t="s">
        <v>0</v>
      </c>
      <c r="G4764" t="str">
        <f>"2018-10-17 13:30:29"</f>
        <v>2018-10-17 13:30:29</v>
      </c>
    </row>
    <row r="4765" spans="1:7" x14ac:dyDescent="0.2">
      <c r="A4765" t="s">
        <v>5907</v>
      </c>
      <c r="B4765" t="str">
        <f>"18313907017"</f>
        <v>18313907017</v>
      </c>
      <c r="C4765" t="str">
        <f>"530181199701230414"</f>
        <v>530181199701230414</v>
      </c>
      <c r="D4765" t="s">
        <v>1</v>
      </c>
      <c r="E4765" t="s">
        <v>1</v>
      </c>
      <c r="F4765" t="s">
        <v>0</v>
      </c>
      <c r="G4765" t="str">
        <f>"2018-10-18 15:11:20"</f>
        <v>2018-10-18 15:11:20</v>
      </c>
    </row>
    <row r="4766" spans="1:7" x14ac:dyDescent="0.2">
      <c r="A4766" t="s">
        <v>5908</v>
      </c>
      <c r="B4766" t="str">
        <f>"15387849874"</f>
        <v>15387849874</v>
      </c>
      <c r="C4766" t="str">
        <f>"360722200107090910"</f>
        <v>360722200107090910</v>
      </c>
      <c r="D4766" t="s">
        <v>1</v>
      </c>
      <c r="E4766" t="s">
        <v>1</v>
      </c>
      <c r="F4766" t="s">
        <v>0</v>
      </c>
      <c r="G4766" t="str">
        <f>"2018-10-17 13:29:55"</f>
        <v>2018-10-17 13:29:55</v>
      </c>
    </row>
    <row r="4767" spans="1:7" x14ac:dyDescent="0.2">
      <c r="A4767" t="s">
        <v>1083</v>
      </c>
      <c r="B4767" t="str">
        <f>"13684426760"</f>
        <v>13684426760</v>
      </c>
      <c r="C4767" t="str">
        <f>"51090219930527847X"</f>
        <v>51090219930527847X</v>
      </c>
      <c r="D4767" t="s">
        <v>1</v>
      </c>
      <c r="E4767" t="s">
        <v>1</v>
      </c>
      <c r="F4767" t="s">
        <v>0</v>
      </c>
      <c r="G4767" t="str">
        <f>"2018-10-17 13:30:09"</f>
        <v>2018-10-17 13:30:09</v>
      </c>
    </row>
    <row r="4768" spans="1:7" x14ac:dyDescent="0.2">
      <c r="A4768" t="s">
        <v>5909</v>
      </c>
      <c r="B4768" t="str">
        <f>"18618371827"</f>
        <v>18618371827</v>
      </c>
      <c r="C4768" t="str">
        <f>"152104198605050310"</f>
        <v>152104198605050310</v>
      </c>
      <c r="D4768" t="s">
        <v>1</v>
      </c>
      <c r="E4768" t="s">
        <v>1</v>
      </c>
      <c r="F4768" t="s">
        <v>0</v>
      </c>
      <c r="G4768" t="str">
        <f>"2018-10-18 12:01:02"</f>
        <v>2018-10-18 12:01:02</v>
      </c>
    </row>
    <row r="4769" spans="1:7" x14ac:dyDescent="0.2">
      <c r="A4769" t="s">
        <v>1415</v>
      </c>
      <c r="B4769" t="str">
        <f>"13994487273"</f>
        <v>13994487273</v>
      </c>
      <c r="C4769" t="str">
        <f>"140322198503142417"</f>
        <v>140322198503142417</v>
      </c>
      <c r="D4769" t="s">
        <v>1</v>
      </c>
      <c r="E4769" t="s">
        <v>1</v>
      </c>
      <c r="F4769" t="s">
        <v>0</v>
      </c>
      <c r="G4769" t="str">
        <f>"2018-10-17 18:54:25"</f>
        <v>2018-10-17 18:54:25</v>
      </c>
    </row>
    <row r="4770" spans="1:7" x14ac:dyDescent="0.2">
      <c r="A4770" t="s">
        <v>5910</v>
      </c>
      <c r="B4770" t="str">
        <f>"18206716198"</f>
        <v>18206716198</v>
      </c>
      <c r="C4770" t="str">
        <f>"53222419830704431X"</f>
        <v>53222419830704431X</v>
      </c>
      <c r="D4770" t="s">
        <v>1</v>
      </c>
      <c r="E4770" t="s">
        <v>1</v>
      </c>
      <c r="F4770" t="s">
        <v>0</v>
      </c>
      <c r="G4770" t="str">
        <f>"2018-10-17 13:27:06"</f>
        <v>2018-10-17 13:27:06</v>
      </c>
    </row>
    <row r="4771" spans="1:7" x14ac:dyDescent="0.2">
      <c r="A4771" t="s">
        <v>5911</v>
      </c>
      <c r="B4771" t="str">
        <f>"18187017490"</f>
        <v>18187017490</v>
      </c>
      <c r="C4771" t="str">
        <f>"532628199311122917"</f>
        <v>532628199311122917</v>
      </c>
      <c r="D4771" t="s">
        <v>5912</v>
      </c>
      <c r="E4771" t="s">
        <v>5913</v>
      </c>
      <c r="F4771" t="s">
        <v>0</v>
      </c>
      <c r="G4771" t="str">
        <f>"2018-10-17 13:27:25"</f>
        <v>2018-10-17 13:27:25</v>
      </c>
    </row>
    <row r="4772" spans="1:7" x14ac:dyDescent="0.2">
      <c r="A4772" t="s">
        <v>5914</v>
      </c>
      <c r="B4772" t="str">
        <f>"18202310692"</f>
        <v>18202310692</v>
      </c>
      <c r="C4772" t="str">
        <f>"500383199109174685"</f>
        <v>500383199109174685</v>
      </c>
      <c r="D4772" t="s">
        <v>1</v>
      </c>
      <c r="E4772" t="s">
        <v>1</v>
      </c>
      <c r="F4772" t="s">
        <v>0</v>
      </c>
      <c r="G4772" t="str">
        <f>"2018-10-17 13:25:51"</f>
        <v>2018-10-17 13:25:51</v>
      </c>
    </row>
    <row r="4773" spans="1:7" x14ac:dyDescent="0.2">
      <c r="A4773" t="s">
        <v>5915</v>
      </c>
      <c r="B4773" t="str">
        <f>"17648286289"</f>
        <v>17648286289</v>
      </c>
      <c r="C4773" t="str">
        <f>"150429199404240915"</f>
        <v>150429199404240915</v>
      </c>
      <c r="D4773" t="s">
        <v>1</v>
      </c>
      <c r="E4773" t="s">
        <v>1</v>
      </c>
      <c r="F4773" t="s">
        <v>0</v>
      </c>
      <c r="G4773" t="str">
        <f>"2018-10-17 14:01:10"</f>
        <v>2018-10-17 14:01:10</v>
      </c>
    </row>
    <row r="4774" spans="1:7" x14ac:dyDescent="0.2">
      <c r="A4774" t="s">
        <v>5916</v>
      </c>
      <c r="B4774" t="str">
        <f>"18947213954"</f>
        <v>18947213954</v>
      </c>
      <c r="C4774" t="str">
        <f>"150202198309123942"</f>
        <v>150202198309123942</v>
      </c>
      <c r="D4774" t="s">
        <v>1</v>
      </c>
      <c r="E4774" t="s">
        <v>1</v>
      </c>
      <c r="F4774" t="s">
        <v>0</v>
      </c>
      <c r="G4774" t="str">
        <f>"2018-10-17 13:24:58"</f>
        <v>2018-10-17 13:24:58</v>
      </c>
    </row>
    <row r="4775" spans="1:7" x14ac:dyDescent="0.2">
      <c r="A4775" t="s">
        <v>1</v>
      </c>
      <c r="B4775" t="str">
        <f>"18559223113"</f>
        <v>18559223113</v>
      </c>
      <c r="C4775" t="s">
        <v>1</v>
      </c>
      <c r="D4775" t="s">
        <v>1</v>
      </c>
      <c r="E4775" t="s">
        <v>1</v>
      </c>
      <c r="F4775" t="s">
        <v>0</v>
      </c>
      <c r="G4775" t="str">
        <f>"2018-10-17 13:24:26"</f>
        <v>2018-10-17 13:24:26</v>
      </c>
    </row>
    <row r="4776" spans="1:7" x14ac:dyDescent="0.2">
      <c r="A4776" t="s">
        <v>1675</v>
      </c>
      <c r="B4776" t="str">
        <f>"15824392000"</f>
        <v>15824392000</v>
      </c>
      <c r="C4776" t="str">
        <f>"511023198510205519"</f>
        <v>511023198510205519</v>
      </c>
      <c r="D4776" t="s">
        <v>1</v>
      </c>
      <c r="E4776" t="s">
        <v>1</v>
      </c>
      <c r="F4776" t="s">
        <v>0</v>
      </c>
      <c r="G4776" t="str">
        <f>"2018-10-17 13:25:21"</f>
        <v>2018-10-17 13:25:21</v>
      </c>
    </row>
    <row r="4777" spans="1:7" x14ac:dyDescent="0.2">
      <c r="A4777" t="s">
        <v>299</v>
      </c>
      <c r="B4777" t="str">
        <f>"13940418062"</f>
        <v>13940418062</v>
      </c>
      <c r="C4777" t="str">
        <f>"220721198709011610"</f>
        <v>220721198709011610</v>
      </c>
      <c r="D4777" t="s">
        <v>1</v>
      </c>
      <c r="E4777" t="s">
        <v>1</v>
      </c>
      <c r="F4777" t="s">
        <v>0</v>
      </c>
      <c r="G4777" t="str">
        <f>"2018-10-17 13:27:33"</f>
        <v>2018-10-17 13:27:33</v>
      </c>
    </row>
    <row r="4778" spans="1:7" x14ac:dyDescent="0.2">
      <c r="A4778" t="s">
        <v>288</v>
      </c>
      <c r="B4778" t="str">
        <f>"18225043752"</f>
        <v>18225043752</v>
      </c>
      <c r="C4778" t="str">
        <f>"500382199803189194"</f>
        <v>500382199803189194</v>
      </c>
      <c r="D4778" t="s">
        <v>1</v>
      </c>
      <c r="E4778" t="s">
        <v>1</v>
      </c>
      <c r="F4778" t="s">
        <v>0</v>
      </c>
      <c r="G4778" t="str">
        <f>"2018-10-19 12:29:50"</f>
        <v>2018-10-19 12:29:50</v>
      </c>
    </row>
    <row r="4779" spans="1:7" x14ac:dyDescent="0.2">
      <c r="A4779" t="s">
        <v>820</v>
      </c>
      <c r="B4779" t="str">
        <f>"17625562776"</f>
        <v>17625562776</v>
      </c>
      <c r="C4779" t="str">
        <f>"23230119910510151X"</f>
        <v>23230119910510151X</v>
      </c>
      <c r="D4779" t="s">
        <v>1</v>
      </c>
      <c r="E4779" t="s">
        <v>1</v>
      </c>
      <c r="F4779" t="s">
        <v>0</v>
      </c>
      <c r="G4779" t="str">
        <f>"2018-10-17 13:23:41"</f>
        <v>2018-10-17 13:23:41</v>
      </c>
    </row>
    <row r="4780" spans="1:7" x14ac:dyDescent="0.2">
      <c r="A4780" t="s">
        <v>1</v>
      </c>
      <c r="B4780" t="str">
        <f>"13523301767"</f>
        <v>13523301767</v>
      </c>
      <c r="C4780" t="s">
        <v>1</v>
      </c>
      <c r="D4780" t="s">
        <v>1</v>
      </c>
      <c r="E4780" t="s">
        <v>1</v>
      </c>
      <c r="F4780" t="s">
        <v>0</v>
      </c>
      <c r="G4780" t="str">
        <f>"2018-10-17 13:22:01"</f>
        <v>2018-10-17 13:22:01</v>
      </c>
    </row>
    <row r="4781" spans="1:7" x14ac:dyDescent="0.2">
      <c r="A4781" t="s">
        <v>1</v>
      </c>
      <c r="B4781" t="str">
        <f>"17798309814"</f>
        <v>17798309814</v>
      </c>
      <c r="C4781" t="s">
        <v>1</v>
      </c>
      <c r="D4781" t="s">
        <v>1</v>
      </c>
      <c r="E4781" t="s">
        <v>1</v>
      </c>
      <c r="F4781" t="s">
        <v>0</v>
      </c>
      <c r="G4781" t="str">
        <f>"2018-10-17 13:21:48"</f>
        <v>2018-10-17 13:21:48</v>
      </c>
    </row>
    <row r="4782" spans="1:7" x14ac:dyDescent="0.2">
      <c r="A4782" t="s">
        <v>5917</v>
      </c>
      <c r="B4782" t="str">
        <f>"18396713311"</f>
        <v>18396713311</v>
      </c>
      <c r="C4782" t="str">
        <f>"371326198704106147"</f>
        <v>371326198704106147</v>
      </c>
      <c r="D4782" t="s">
        <v>1</v>
      </c>
      <c r="E4782" t="s">
        <v>1</v>
      </c>
      <c r="F4782" t="s">
        <v>0</v>
      </c>
      <c r="G4782" t="str">
        <f>"2018-10-17 13:23:14"</f>
        <v>2018-10-17 13:23:14</v>
      </c>
    </row>
    <row r="4783" spans="1:7" x14ac:dyDescent="0.2">
      <c r="A4783" t="s">
        <v>5918</v>
      </c>
      <c r="B4783" t="str">
        <f>"13874958561"</f>
        <v>13874958561</v>
      </c>
      <c r="C4783" t="str">
        <f>"430302199106183774"</f>
        <v>430302199106183774</v>
      </c>
      <c r="D4783" t="s">
        <v>1</v>
      </c>
      <c r="E4783" t="s">
        <v>1</v>
      </c>
      <c r="F4783" t="s">
        <v>0</v>
      </c>
      <c r="G4783" t="str">
        <f>"2018-10-17 15:01:54"</f>
        <v>2018-10-17 15:01:54</v>
      </c>
    </row>
    <row r="4784" spans="1:7" x14ac:dyDescent="0.2">
      <c r="A4784" t="s">
        <v>1</v>
      </c>
      <c r="B4784" t="str">
        <f>"15818960224"</f>
        <v>15818960224</v>
      </c>
      <c r="C4784" t="s">
        <v>1</v>
      </c>
      <c r="D4784" t="s">
        <v>1</v>
      </c>
      <c r="E4784" t="s">
        <v>1</v>
      </c>
      <c r="F4784" t="s">
        <v>0</v>
      </c>
      <c r="G4784" t="str">
        <f>"2018-10-17 13:21:02"</f>
        <v>2018-10-17 13:21:02</v>
      </c>
    </row>
    <row r="4785" spans="1:7" x14ac:dyDescent="0.2">
      <c r="A4785" t="s">
        <v>5919</v>
      </c>
      <c r="B4785" t="str">
        <f>"13976478804"</f>
        <v>13976478804</v>
      </c>
      <c r="C4785" t="str">
        <f>"460027198210104425"</f>
        <v>460027198210104425</v>
      </c>
      <c r="D4785" t="s">
        <v>5920</v>
      </c>
      <c r="E4785" t="s">
        <v>5921</v>
      </c>
      <c r="F4785" t="s">
        <v>0</v>
      </c>
      <c r="G4785" t="str">
        <f>"2018-10-17 13:22:22"</f>
        <v>2018-10-17 13:22:22</v>
      </c>
    </row>
    <row r="4786" spans="1:7" x14ac:dyDescent="0.2">
      <c r="A4786" t="s">
        <v>1</v>
      </c>
      <c r="B4786" t="str">
        <f>"13318260838"</f>
        <v>13318260838</v>
      </c>
      <c r="C4786" t="s">
        <v>1</v>
      </c>
      <c r="D4786" t="s">
        <v>1</v>
      </c>
      <c r="E4786" t="s">
        <v>1</v>
      </c>
      <c r="F4786" t="s">
        <v>0</v>
      </c>
      <c r="G4786" t="str">
        <f>"2018-10-17 13:18:48"</f>
        <v>2018-10-17 13:18:48</v>
      </c>
    </row>
    <row r="4787" spans="1:7" x14ac:dyDescent="0.2">
      <c r="A4787" t="s">
        <v>1</v>
      </c>
      <c r="B4787" t="str">
        <f>"18680679053"</f>
        <v>18680679053</v>
      </c>
      <c r="C4787" t="s">
        <v>1</v>
      </c>
      <c r="D4787" t="s">
        <v>1</v>
      </c>
      <c r="E4787" t="s">
        <v>1</v>
      </c>
      <c r="F4787" t="s">
        <v>0</v>
      </c>
      <c r="G4787" t="str">
        <f>"2018-10-17 13:18:42"</f>
        <v>2018-10-17 13:18:42</v>
      </c>
    </row>
    <row r="4788" spans="1:7" x14ac:dyDescent="0.2">
      <c r="A4788" t="s">
        <v>5922</v>
      </c>
      <c r="B4788" t="str">
        <f>"18032289596"</f>
        <v>18032289596</v>
      </c>
      <c r="C4788" t="str">
        <f>"132325196508283833"</f>
        <v>132325196508283833</v>
      </c>
      <c r="D4788" t="s">
        <v>1</v>
      </c>
      <c r="E4788" t="s">
        <v>1</v>
      </c>
      <c r="F4788" t="s">
        <v>0</v>
      </c>
      <c r="G4788" t="str">
        <f>"2018-10-17 13:25:46"</f>
        <v>2018-10-17 13:25:46</v>
      </c>
    </row>
    <row r="4789" spans="1:7" x14ac:dyDescent="0.2">
      <c r="A4789" t="s">
        <v>5923</v>
      </c>
      <c r="B4789" t="str">
        <f>"15971216185"</f>
        <v>15971216185</v>
      </c>
      <c r="C4789" t="str">
        <f>"420982197312120014"</f>
        <v>420982197312120014</v>
      </c>
      <c r="D4789" t="s">
        <v>5924</v>
      </c>
      <c r="E4789" t="s">
        <v>5925</v>
      </c>
      <c r="F4789" t="s">
        <v>0</v>
      </c>
      <c r="G4789" t="str">
        <f>"2018-10-17 13:18:17"</f>
        <v>2018-10-17 13:18:17</v>
      </c>
    </row>
    <row r="4790" spans="1:7" x14ac:dyDescent="0.2">
      <c r="A4790" t="s">
        <v>5926</v>
      </c>
      <c r="B4790" t="str">
        <f>"18206046638"</f>
        <v>18206046638</v>
      </c>
      <c r="C4790" t="str">
        <f>"350321199906045221"</f>
        <v>350321199906045221</v>
      </c>
      <c r="D4790" t="s">
        <v>1</v>
      </c>
      <c r="E4790" t="s">
        <v>1</v>
      </c>
      <c r="F4790" t="s">
        <v>0</v>
      </c>
      <c r="G4790" t="str">
        <f>"2018-10-17 13:19:50"</f>
        <v>2018-10-17 13:19:50</v>
      </c>
    </row>
    <row r="4791" spans="1:7" x14ac:dyDescent="0.2">
      <c r="A4791" t="s">
        <v>5927</v>
      </c>
      <c r="B4791" t="str">
        <f>"15199692753"</f>
        <v>15199692753</v>
      </c>
      <c r="C4791" t="str">
        <f>"622429198510153110"</f>
        <v>622429198510153110</v>
      </c>
      <c r="D4791" t="s">
        <v>1</v>
      </c>
      <c r="E4791" t="s">
        <v>1</v>
      </c>
      <c r="F4791" t="s">
        <v>0</v>
      </c>
      <c r="G4791" t="str">
        <f>"2018-10-17 13:28:19"</f>
        <v>2018-10-17 13:28:19</v>
      </c>
    </row>
    <row r="4792" spans="1:7" x14ac:dyDescent="0.2">
      <c r="A4792" t="s">
        <v>5928</v>
      </c>
      <c r="B4792" t="str">
        <f>"13886919561"</f>
        <v>13886919561</v>
      </c>
      <c r="C4792" t="str">
        <f>"420821199808184514"</f>
        <v>420821199808184514</v>
      </c>
      <c r="D4792" t="s">
        <v>1</v>
      </c>
      <c r="E4792" t="s">
        <v>1</v>
      </c>
      <c r="F4792" t="s">
        <v>0</v>
      </c>
      <c r="G4792" t="str">
        <f>"2018-10-17 13:20:06"</f>
        <v>2018-10-17 13:20:06</v>
      </c>
    </row>
    <row r="4793" spans="1:7" x14ac:dyDescent="0.2">
      <c r="A4793" t="s">
        <v>5929</v>
      </c>
      <c r="B4793" t="str">
        <f>"13666673504"</f>
        <v>13666673504</v>
      </c>
      <c r="C4793" t="str">
        <f>"512223197609075117"</f>
        <v>512223197609075117</v>
      </c>
      <c r="D4793" t="s">
        <v>1</v>
      </c>
      <c r="E4793" t="s">
        <v>1</v>
      </c>
      <c r="F4793" t="s">
        <v>0</v>
      </c>
      <c r="G4793" t="str">
        <f>"2018-10-23 06:36:52"</f>
        <v>2018-10-23 06:36:52</v>
      </c>
    </row>
    <row r="4794" spans="1:7" x14ac:dyDescent="0.2">
      <c r="A4794" t="s">
        <v>5930</v>
      </c>
      <c r="B4794" t="str">
        <f>"15377624388"</f>
        <v>15377624388</v>
      </c>
      <c r="C4794" t="str">
        <f>"420106199210062879"</f>
        <v>420106199210062879</v>
      </c>
      <c r="D4794" t="s">
        <v>1</v>
      </c>
      <c r="E4794" t="s">
        <v>1</v>
      </c>
      <c r="F4794" t="s">
        <v>0</v>
      </c>
      <c r="G4794" t="str">
        <f>"2018-10-31 17:04:13"</f>
        <v>2018-10-31 17:04:13</v>
      </c>
    </row>
    <row r="4795" spans="1:7" x14ac:dyDescent="0.2">
      <c r="A4795" t="s">
        <v>1</v>
      </c>
      <c r="B4795" t="str">
        <f>"13928912114"</f>
        <v>13928912114</v>
      </c>
      <c r="C4795" t="s">
        <v>1</v>
      </c>
      <c r="D4795" t="s">
        <v>1</v>
      </c>
      <c r="E4795" t="s">
        <v>1</v>
      </c>
      <c r="F4795" t="s">
        <v>0</v>
      </c>
      <c r="G4795" t="str">
        <f>"2018-10-17 13:18:23"</f>
        <v>2018-10-17 13:18:23</v>
      </c>
    </row>
    <row r="4796" spans="1:7" x14ac:dyDescent="0.2">
      <c r="A4796" t="s">
        <v>5931</v>
      </c>
      <c r="B4796" t="str">
        <f>"15286022633"</f>
        <v>15286022633</v>
      </c>
      <c r="C4796" t="str">
        <f>"522526198905280416"</f>
        <v>522526198905280416</v>
      </c>
      <c r="D4796" t="s">
        <v>5932</v>
      </c>
      <c r="E4796" t="s">
        <v>5933</v>
      </c>
      <c r="F4796" t="s">
        <v>0</v>
      </c>
      <c r="G4796" t="str">
        <f>"2018-10-17 13:17:29"</f>
        <v>2018-10-17 13:17:29</v>
      </c>
    </row>
    <row r="4797" spans="1:7" x14ac:dyDescent="0.2">
      <c r="A4797" t="s">
        <v>5934</v>
      </c>
      <c r="B4797" t="str">
        <f>"15167585230"</f>
        <v>15167585230</v>
      </c>
      <c r="C4797" t="str">
        <f>"330681199201176255"</f>
        <v>330681199201176255</v>
      </c>
      <c r="D4797" t="s">
        <v>1</v>
      </c>
      <c r="E4797" t="s">
        <v>1</v>
      </c>
      <c r="F4797" t="s">
        <v>0</v>
      </c>
      <c r="G4797" t="str">
        <f>"2018-10-17 13:15:00"</f>
        <v>2018-10-17 13:15:00</v>
      </c>
    </row>
    <row r="4798" spans="1:7" x14ac:dyDescent="0.2">
      <c r="A4798" t="s">
        <v>1508</v>
      </c>
      <c r="B4798" t="str">
        <f>"18809146573"</f>
        <v>18809146573</v>
      </c>
      <c r="C4798" t="str">
        <f>"612501199408240041"</f>
        <v>612501199408240041</v>
      </c>
      <c r="D4798" t="s">
        <v>1</v>
      </c>
      <c r="E4798" t="s">
        <v>1</v>
      </c>
      <c r="F4798" t="s">
        <v>0</v>
      </c>
      <c r="G4798" t="str">
        <f>"2018-10-24 14:57:00"</f>
        <v>2018-10-24 14:57:00</v>
      </c>
    </row>
    <row r="4799" spans="1:7" x14ac:dyDescent="0.2">
      <c r="A4799" t="s">
        <v>1</v>
      </c>
      <c r="B4799" t="str">
        <f>"18142466669"</f>
        <v>18142466669</v>
      </c>
      <c r="C4799" t="s">
        <v>1</v>
      </c>
      <c r="D4799" t="s">
        <v>1</v>
      </c>
      <c r="E4799" t="s">
        <v>1</v>
      </c>
      <c r="F4799" t="s">
        <v>0</v>
      </c>
      <c r="G4799" t="str">
        <f>"2018-10-17 13:15:18"</f>
        <v>2018-10-17 13:15:18</v>
      </c>
    </row>
    <row r="4800" spans="1:7" x14ac:dyDescent="0.2">
      <c r="A4800" t="s">
        <v>5935</v>
      </c>
      <c r="B4800" t="str">
        <f>"18856027383"</f>
        <v>18856027383</v>
      </c>
      <c r="C4800" t="str">
        <f>"340123198802040050"</f>
        <v>340123198802040050</v>
      </c>
      <c r="D4800" t="s">
        <v>1</v>
      </c>
      <c r="E4800" t="s">
        <v>1</v>
      </c>
      <c r="F4800" t="s">
        <v>0</v>
      </c>
      <c r="G4800" t="str">
        <f>"2018-10-17 14:42:07"</f>
        <v>2018-10-17 14:42:07</v>
      </c>
    </row>
    <row r="4801" spans="1:7" x14ac:dyDescent="0.2">
      <c r="A4801" t="s">
        <v>5936</v>
      </c>
      <c r="B4801" t="str">
        <f>"15913057552"</f>
        <v>15913057552</v>
      </c>
      <c r="C4801" t="str">
        <f>"445121199512183168"</f>
        <v>445121199512183168</v>
      </c>
      <c r="D4801" t="s">
        <v>1</v>
      </c>
      <c r="E4801" t="s">
        <v>1</v>
      </c>
      <c r="F4801" t="s">
        <v>0</v>
      </c>
      <c r="G4801" t="str">
        <f>"2018-10-17 13:17:24"</f>
        <v>2018-10-17 13:17:24</v>
      </c>
    </row>
    <row r="4802" spans="1:7" x14ac:dyDescent="0.2">
      <c r="A4802" t="s">
        <v>1</v>
      </c>
      <c r="B4802" t="str">
        <f>"18963768216"</f>
        <v>18963768216</v>
      </c>
      <c r="C4802" t="s">
        <v>1</v>
      </c>
      <c r="D4802" t="s">
        <v>1</v>
      </c>
      <c r="E4802" t="s">
        <v>1</v>
      </c>
      <c r="F4802" t="s">
        <v>0</v>
      </c>
      <c r="G4802" t="str">
        <f>"2018-10-17 13:12:58"</f>
        <v>2018-10-17 13:12:58</v>
      </c>
    </row>
    <row r="4803" spans="1:7" x14ac:dyDescent="0.2">
      <c r="A4803" t="s">
        <v>5937</v>
      </c>
      <c r="B4803" t="str">
        <f>"15719753820"</f>
        <v>15719753820</v>
      </c>
      <c r="C4803" t="str">
        <f>"610324199005131328"</f>
        <v>610324199005131328</v>
      </c>
      <c r="D4803" t="s">
        <v>5938</v>
      </c>
      <c r="E4803" t="s">
        <v>5939</v>
      </c>
      <c r="F4803" t="s">
        <v>0</v>
      </c>
      <c r="G4803" t="str">
        <f>"2018-10-17 13:14:40"</f>
        <v>2018-10-17 13:14:40</v>
      </c>
    </row>
    <row r="4804" spans="1:7" x14ac:dyDescent="0.2">
      <c r="A4804" t="s">
        <v>209</v>
      </c>
      <c r="B4804" t="str">
        <f>"18783122378"</f>
        <v>18783122378</v>
      </c>
      <c r="C4804" t="str">
        <f>"511524198705257072"</f>
        <v>511524198705257072</v>
      </c>
      <c r="D4804" t="s">
        <v>1</v>
      </c>
      <c r="E4804" t="s">
        <v>1</v>
      </c>
      <c r="F4804" t="s">
        <v>0</v>
      </c>
      <c r="G4804" t="str">
        <f>"2018-10-17 13:13:27"</f>
        <v>2018-10-17 13:13:27</v>
      </c>
    </row>
    <row r="4805" spans="1:7" x14ac:dyDescent="0.2">
      <c r="A4805" t="s">
        <v>5940</v>
      </c>
      <c r="B4805" t="str">
        <f>"17622674167"</f>
        <v>17622674167</v>
      </c>
      <c r="C4805" t="str">
        <f>"372323198810120614"</f>
        <v>372323198810120614</v>
      </c>
      <c r="D4805" t="s">
        <v>1</v>
      </c>
      <c r="E4805" t="s">
        <v>1</v>
      </c>
      <c r="F4805" t="s">
        <v>0</v>
      </c>
      <c r="G4805" t="str">
        <f>"2018-10-17 13:18:07"</f>
        <v>2018-10-17 13:18:07</v>
      </c>
    </row>
    <row r="4806" spans="1:7" x14ac:dyDescent="0.2">
      <c r="A4806" t="s">
        <v>698</v>
      </c>
      <c r="B4806" t="str">
        <f>"13714973378"</f>
        <v>13714973378</v>
      </c>
      <c r="C4806" t="str">
        <f>"441581198209043760"</f>
        <v>441581198209043760</v>
      </c>
      <c r="D4806" t="s">
        <v>1</v>
      </c>
      <c r="E4806" t="s">
        <v>1</v>
      </c>
      <c r="F4806" t="s">
        <v>0</v>
      </c>
      <c r="G4806" t="str">
        <f>"2018-10-17 14:36:43"</f>
        <v>2018-10-17 14:36:43</v>
      </c>
    </row>
    <row r="4807" spans="1:7" x14ac:dyDescent="0.2">
      <c r="A4807" t="s">
        <v>1</v>
      </c>
      <c r="B4807" t="str">
        <f>"18245126589"</f>
        <v>18245126589</v>
      </c>
      <c r="C4807" t="s">
        <v>1</v>
      </c>
      <c r="D4807" t="s">
        <v>1</v>
      </c>
      <c r="E4807" t="s">
        <v>1</v>
      </c>
      <c r="F4807" t="s">
        <v>0</v>
      </c>
      <c r="G4807" t="str">
        <f>"2018-10-17 13:11:26"</f>
        <v>2018-10-17 13:11:26</v>
      </c>
    </row>
    <row r="4808" spans="1:7" x14ac:dyDescent="0.2">
      <c r="A4808" t="s">
        <v>1</v>
      </c>
      <c r="B4808" t="str">
        <f>"13062481728"</f>
        <v>13062481728</v>
      </c>
      <c r="C4808" t="s">
        <v>1</v>
      </c>
      <c r="D4808" t="s">
        <v>1</v>
      </c>
      <c r="E4808" t="s">
        <v>1</v>
      </c>
      <c r="F4808" t="s">
        <v>0</v>
      </c>
      <c r="G4808" t="str">
        <f>"2018-10-17 13:11:21"</f>
        <v>2018-10-17 13:11:21</v>
      </c>
    </row>
    <row r="4809" spans="1:7" x14ac:dyDescent="0.2">
      <c r="A4809" t="s">
        <v>5941</v>
      </c>
      <c r="B4809" t="str">
        <f>"17302298010"</f>
        <v>17302298010</v>
      </c>
      <c r="C4809" t="str">
        <f>"622826199804290441"</f>
        <v>622826199804290441</v>
      </c>
      <c r="D4809" t="s">
        <v>1</v>
      </c>
      <c r="E4809" t="s">
        <v>1</v>
      </c>
      <c r="F4809" t="s">
        <v>0</v>
      </c>
      <c r="G4809" t="str">
        <f>"2018-10-17 13:12:34"</f>
        <v>2018-10-17 13:12:34</v>
      </c>
    </row>
    <row r="4810" spans="1:7" x14ac:dyDescent="0.2">
      <c r="A4810" t="s">
        <v>1505</v>
      </c>
      <c r="B4810" t="str">
        <f>"18535127697"</f>
        <v>18535127697</v>
      </c>
      <c r="C4810" t="str">
        <f>"140112197604102811"</f>
        <v>140112197604102811</v>
      </c>
      <c r="D4810" t="s">
        <v>1</v>
      </c>
      <c r="E4810" t="s">
        <v>1</v>
      </c>
      <c r="F4810" t="s">
        <v>0</v>
      </c>
      <c r="G4810" t="str">
        <f>"2018-10-17 13:13:45"</f>
        <v>2018-10-17 13:13:45</v>
      </c>
    </row>
    <row r="4811" spans="1:7" x14ac:dyDescent="0.2">
      <c r="A4811" t="s">
        <v>1</v>
      </c>
      <c r="B4811" t="str">
        <f>"18306507169"</f>
        <v>18306507169</v>
      </c>
      <c r="C4811" t="s">
        <v>1</v>
      </c>
      <c r="D4811" t="s">
        <v>1</v>
      </c>
      <c r="E4811" t="s">
        <v>1</v>
      </c>
      <c r="F4811" t="s">
        <v>0</v>
      </c>
      <c r="G4811" t="str">
        <f>"2018-10-17 13:10:37"</f>
        <v>2018-10-17 13:10:37</v>
      </c>
    </row>
    <row r="4812" spans="1:7" x14ac:dyDescent="0.2">
      <c r="A4812" t="s">
        <v>5942</v>
      </c>
      <c r="B4812" t="str">
        <f>"13803625067"</f>
        <v>13803625067</v>
      </c>
      <c r="C4812" t="str">
        <f>"230202197210230620"</f>
        <v>230202197210230620</v>
      </c>
      <c r="D4812" t="s">
        <v>1</v>
      </c>
      <c r="E4812" t="s">
        <v>1</v>
      </c>
      <c r="F4812" t="s">
        <v>0</v>
      </c>
      <c r="G4812" t="str">
        <f>"2018-10-17 13:12:44"</f>
        <v>2018-10-17 13:12:44</v>
      </c>
    </row>
    <row r="4813" spans="1:7" x14ac:dyDescent="0.2">
      <c r="A4813" t="s">
        <v>1</v>
      </c>
      <c r="B4813" t="str">
        <f>"15841426754"</f>
        <v>15841426754</v>
      </c>
      <c r="C4813" t="s">
        <v>1</v>
      </c>
      <c r="D4813" t="s">
        <v>1</v>
      </c>
      <c r="E4813" t="s">
        <v>1</v>
      </c>
      <c r="F4813" t="s">
        <v>0</v>
      </c>
      <c r="G4813" t="str">
        <f>"2018-10-17 13:09:58"</f>
        <v>2018-10-17 13:09:58</v>
      </c>
    </row>
    <row r="4814" spans="1:7" x14ac:dyDescent="0.2">
      <c r="A4814" t="s">
        <v>1</v>
      </c>
      <c r="B4814" t="str">
        <f>"15882141278"</f>
        <v>15882141278</v>
      </c>
      <c r="C4814" t="s">
        <v>1</v>
      </c>
      <c r="D4814" t="s">
        <v>1</v>
      </c>
      <c r="E4814" t="s">
        <v>1</v>
      </c>
      <c r="F4814" t="s">
        <v>0</v>
      </c>
      <c r="G4814" t="str">
        <f>"2018-10-17 13:09:35"</f>
        <v>2018-10-17 13:09:35</v>
      </c>
    </row>
    <row r="4815" spans="1:7" x14ac:dyDescent="0.2">
      <c r="A4815" t="s">
        <v>5943</v>
      </c>
      <c r="B4815" t="str">
        <f>"18066550019"</f>
        <v>18066550019</v>
      </c>
      <c r="C4815" t="str">
        <f>"610124198501070039"</f>
        <v>610124198501070039</v>
      </c>
      <c r="D4815" t="s">
        <v>1</v>
      </c>
      <c r="E4815" t="s">
        <v>1</v>
      </c>
      <c r="F4815" t="s">
        <v>0</v>
      </c>
      <c r="G4815" t="str">
        <f>"2018-10-17 13:55:00"</f>
        <v>2018-10-17 13:55:00</v>
      </c>
    </row>
    <row r="4816" spans="1:7" x14ac:dyDescent="0.2">
      <c r="A4816" t="s">
        <v>5944</v>
      </c>
      <c r="B4816" t="str">
        <f>"18310500060"</f>
        <v>18310500060</v>
      </c>
      <c r="C4816" t="str">
        <f>"513723199503214948"</f>
        <v>513723199503214948</v>
      </c>
      <c r="D4816" t="s">
        <v>5945</v>
      </c>
      <c r="E4816" t="s">
        <v>5946</v>
      </c>
      <c r="F4816" t="s">
        <v>0</v>
      </c>
      <c r="G4816" t="str">
        <f>"2018-10-17 13:35:28"</f>
        <v>2018-10-17 13:35:28</v>
      </c>
    </row>
    <row r="4817" spans="1:7" x14ac:dyDescent="0.2">
      <c r="A4817" t="s">
        <v>5947</v>
      </c>
      <c r="B4817" t="str">
        <f>"18193555783"</f>
        <v>18193555783</v>
      </c>
      <c r="C4817" t="str">
        <f>"622301198802132205"</f>
        <v>622301198802132205</v>
      </c>
      <c r="D4817" t="s">
        <v>1</v>
      </c>
      <c r="E4817" t="s">
        <v>1</v>
      </c>
      <c r="F4817" t="s">
        <v>0</v>
      </c>
      <c r="G4817" t="str">
        <f>"2018-10-17 13:24:00"</f>
        <v>2018-10-17 13:24:00</v>
      </c>
    </row>
    <row r="4818" spans="1:7" x14ac:dyDescent="0.2">
      <c r="A4818" t="s">
        <v>1</v>
      </c>
      <c r="B4818" t="str">
        <f>"13067468000"</f>
        <v>13067468000</v>
      </c>
      <c r="C4818" t="s">
        <v>1</v>
      </c>
      <c r="D4818" t="s">
        <v>1</v>
      </c>
      <c r="E4818" t="s">
        <v>1</v>
      </c>
      <c r="F4818" t="s">
        <v>0</v>
      </c>
      <c r="G4818" t="str">
        <f>"2018-10-17 13:08:26"</f>
        <v>2018-10-17 13:08:26</v>
      </c>
    </row>
    <row r="4819" spans="1:7" x14ac:dyDescent="0.2">
      <c r="A4819" t="s">
        <v>5948</v>
      </c>
      <c r="B4819" t="str">
        <f>"18376111428"</f>
        <v>18376111428</v>
      </c>
      <c r="C4819" t="str">
        <f>"45212419970410272X"</f>
        <v>45212419970410272X</v>
      </c>
      <c r="D4819" t="s">
        <v>1</v>
      </c>
      <c r="E4819" t="s">
        <v>1</v>
      </c>
      <c r="F4819" t="s">
        <v>0</v>
      </c>
      <c r="G4819" t="str">
        <f>"2018-10-17 13:26:12"</f>
        <v>2018-10-17 13:26:12</v>
      </c>
    </row>
    <row r="4820" spans="1:7" x14ac:dyDescent="0.2">
      <c r="A4820" t="s">
        <v>914</v>
      </c>
      <c r="B4820" t="str">
        <f>"18018283108"</f>
        <v>18018283108</v>
      </c>
      <c r="C4820" t="str">
        <f>"320704198711175013"</f>
        <v>320704198711175013</v>
      </c>
      <c r="D4820" t="s">
        <v>1</v>
      </c>
      <c r="E4820" t="s">
        <v>1</v>
      </c>
      <c r="F4820" t="s">
        <v>0</v>
      </c>
      <c r="G4820" t="str">
        <f>"2018-10-17 13:21:00"</f>
        <v>2018-10-17 13:21:00</v>
      </c>
    </row>
    <row r="4821" spans="1:7" x14ac:dyDescent="0.2">
      <c r="A4821" t="s">
        <v>1</v>
      </c>
      <c r="B4821" t="str">
        <f>"18368290870"</f>
        <v>18368290870</v>
      </c>
      <c r="C4821" t="s">
        <v>1</v>
      </c>
      <c r="D4821" t="s">
        <v>1</v>
      </c>
      <c r="E4821" t="s">
        <v>1</v>
      </c>
      <c r="F4821" t="s">
        <v>0</v>
      </c>
      <c r="G4821" t="str">
        <f>"2018-10-17 13:08:54"</f>
        <v>2018-10-17 13:08:54</v>
      </c>
    </row>
    <row r="4822" spans="1:7" x14ac:dyDescent="0.2">
      <c r="A4822" t="s">
        <v>5949</v>
      </c>
      <c r="B4822" t="str">
        <f>"18240988990"</f>
        <v>18240988990</v>
      </c>
      <c r="C4822" t="str">
        <f>"51372320000108419X"</f>
        <v>51372320000108419X</v>
      </c>
      <c r="D4822" t="s">
        <v>1</v>
      </c>
      <c r="E4822" t="s">
        <v>1</v>
      </c>
      <c r="F4822" t="s">
        <v>0</v>
      </c>
      <c r="G4822" t="str">
        <f>"2018-10-17 13:47:52"</f>
        <v>2018-10-17 13:47:52</v>
      </c>
    </row>
    <row r="4823" spans="1:7" x14ac:dyDescent="0.2">
      <c r="A4823" t="s">
        <v>1752</v>
      </c>
      <c r="B4823" t="str">
        <f>"18195136797"</f>
        <v>18195136797</v>
      </c>
      <c r="C4823" t="str">
        <f>"642226199412070416"</f>
        <v>642226199412070416</v>
      </c>
      <c r="D4823" t="s">
        <v>1</v>
      </c>
      <c r="E4823" t="s">
        <v>1</v>
      </c>
      <c r="F4823" t="s">
        <v>0</v>
      </c>
      <c r="G4823" t="str">
        <f>"2018-10-19 11:16:23"</f>
        <v>2018-10-19 11:16:23</v>
      </c>
    </row>
    <row r="4824" spans="1:7" x14ac:dyDescent="0.2">
      <c r="A4824" t="s">
        <v>1</v>
      </c>
      <c r="B4824" t="str">
        <f>"15019384891"</f>
        <v>15019384891</v>
      </c>
      <c r="C4824" t="s">
        <v>1</v>
      </c>
      <c r="D4824" t="s">
        <v>1</v>
      </c>
      <c r="E4824" t="s">
        <v>1</v>
      </c>
      <c r="F4824" t="s">
        <v>0</v>
      </c>
      <c r="G4824" t="str">
        <f>"2018-10-17 13:07:28"</f>
        <v>2018-10-17 13:07:28</v>
      </c>
    </row>
    <row r="4825" spans="1:7" x14ac:dyDescent="0.2">
      <c r="A4825" t="s">
        <v>1</v>
      </c>
      <c r="B4825" t="str">
        <f>"18475702107"</f>
        <v>18475702107</v>
      </c>
      <c r="C4825" t="s">
        <v>1</v>
      </c>
      <c r="D4825" t="s">
        <v>1</v>
      </c>
      <c r="E4825" t="s">
        <v>1</v>
      </c>
      <c r="F4825" t="s">
        <v>0</v>
      </c>
      <c r="G4825" t="str">
        <f>"2018-10-17 13:16:09"</f>
        <v>2018-10-17 13:16:09</v>
      </c>
    </row>
    <row r="4826" spans="1:7" x14ac:dyDescent="0.2">
      <c r="A4826" t="s">
        <v>5950</v>
      </c>
      <c r="B4826" t="str">
        <f>"18944988832"</f>
        <v>18944988832</v>
      </c>
      <c r="C4826" t="str">
        <f>"430403198305230518"</f>
        <v>430403198305230518</v>
      </c>
      <c r="D4826" t="s">
        <v>5951</v>
      </c>
      <c r="E4826" t="s">
        <v>5952</v>
      </c>
      <c r="F4826" t="s">
        <v>0</v>
      </c>
      <c r="G4826" t="str">
        <f>"2018-10-17 13:08:00"</f>
        <v>2018-10-17 13:08:00</v>
      </c>
    </row>
    <row r="4827" spans="1:7" x14ac:dyDescent="0.2">
      <c r="A4827" t="s">
        <v>5953</v>
      </c>
      <c r="B4827" t="str">
        <f>"13590511185"</f>
        <v>13590511185</v>
      </c>
      <c r="C4827" t="str">
        <f>"441881199407261735"</f>
        <v>441881199407261735</v>
      </c>
      <c r="D4827" t="s">
        <v>1</v>
      </c>
      <c r="E4827" t="s">
        <v>1</v>
      </c>
      <c r="F4827" t="s">
        <v>0</v>
      </c>
      <c r="G4827" t="str">
        <f>"2018-10-17 13:09:04"</f>
        <v>2018-10-17 13:09:04</v>
      </c>
    </row>
    <row r="4828" spans="1:7" x14ac:dyDescent="0.2">
      <c r="A4828" t="s">
        <v>1</v>
      </c>
      <c r="B4828" t="str">
        <f>"13396430851"</f>
        <v>13396430851</v>
      </c>
      <c r="C4828" t="s">
        <v>1</v>
      </c>
      <c r="D4828" t="s">
        <v>1</v>
      </c>
      <c r="E4828" t="s">
        <v>1</v>
      </c>
      <c r="F4828" t="s">
        <v>0</v>
      </c>
      <c r="G4828" t="str">
        <f>"2018-10-17 13:06:35"</f>
        <v>2018-10-17 13:06:35</v>
      </c>
    </row>
    <row r="4829" spans="1:7" x14ac:dyDescent="0.2">
      <c r="A4829" t="s">
        <v>1</v>
      </c>
      <c r="B4829" t="str">
        <f>"15261405893"</f>
        <v>15261405893</v>
      </c>
      <c r="C4829" t="s">
        <v>1</v>
      </c>
      <c r="D4829" t="s">
        <v>1</v>
      </c>
      <c r="E4829" t="s">
        <v>1</v>
      </c>
      <c r="F4829" t="s">
        <v>0</v>
      </c>
      <c r="G4829" t="str">
        <f>"2018-10-17 13:18:06"</f>
        <v>2018-10-17 13:18:06</v>
      </c>
    </row>
    <row r="4830" spans="1:7" x14ac:dyDescent="0.2">
      <c r="A4830" t="s">
        <v>1</v>
      </c>
      <c r="B4830" t="str">
        <f>"15801530807"</f>
        <v>15801530807</v>
      </c>
      <c r="C4830" t="s">
        <v>1</v>
      </c>
      <c r="D4830" t="s">
        <v>1</v>
      </c>
      <c r="E4830" t="s">
        <v>1</v>
      </c>
      <c r="F4830" t="s">
        <v>0</v>
      </c>
      <c r="G4830" t="str">
        <f>"2018-10-17 13:05:12"</f>
        <v>2018-10-17 13:05:12</v>
      </c>
    </row>
    <row r="4831" spans="1:7" x14ac:dyDescent="0.2">
      <c r="A4831" t="s">
        <v>1455</v>
      </c>
      <c r="B4831" t="str">
        <f>"17703156260"</f>
        <v>17703156260</v>
      </c>
      <c r="C4831" t="str">
        <f>"130203198412142722"</f>
        <v>130203198412142722</v>
      </c>
      <c r="D4831" t="s">
        <v>1</v>
      </c>
      <c r="E4831" t="s">
        <v>1</v>
      </c>
      <c r="F4831" t="s">
        <v>0</v>
      </c>
      <c r="G4831" t="str">
        <f>"2018-10-17 13:06:19"</f>
        <v>2018-10-17 13:06:19</v>
      </c>
    </row>
    <row r="4832" spans="1:7" x14ac:dyDescent="0.2">
      <c r="A4832" t="s">
        <v>5954</v>
      </c>
      <c r="B4832" t="str">
        <f>"15873191707"</f>
        <v>15873191707</v>
      </c>
      <c r="C4832" t="str">
        <f>"430426198408205010"</f>
        <v>430426198408205010</v>
      </c>
      <c r="D4832" t="s">
        <v>1</v>
      </c>
      <c r="E4832" t="s">
        <v>1</v>
      </c>
      <c r="F4832" t="s">
        <v>0</v>
      </c>
      <c r="G4832" t="str">
        <f>"2018-10-17 13:07:31"</f>
        <v>2018-10-17 13:07:31</v>
      </c>
    </row>
    <row r="4833" spans="1:7" x14ac:dyDescent="0.2">
      <c r="A4833" t="s">
        <v>1</v>
      </c>
      <c r="B4833" t="str">
        <f>"13532123254"</f>
        <v>13532123254</v>
      </c>
      <c r="C4833" t="s">
        <v>1</v>
      </c>
      <c r="D4833" t="s">
        <v>1</v>
      </c>
      <c r="E4833" t="s">
        <v>1</v>
      </c>
      <c r="F4833" t="s">
        <v>0</v>
      </c>
      <c r="G4833" t="str">
        <f>"2018-10-17 13:04:12"</f>
        <v>2018-10-17 13:04:12</v>
      </c>
    </row>
    <row r="4834" spans="1:7" x14ac:dyDescent="0.2">
      <c r="A4834" t="s">
        <v>5955</v>
      </c>
      <c r="B4834" t="str">
        <f>"15045675908"</f>
        <v>15045675908</v>
      </c>
      <c r="C4834" t="str">
        <f>"232602197804102523"</f>
        <v>232602197804102523</v>
      </c>
      <c r="D4834" t="s">
        <v>1</v>
      </c>
      <c r="E4834" t="s">
        <v>1</v>
      </c>
      <c r="F4834" t="s">
        <v>0</v>
      </c>
      <c r="G4834" t="str">
        <f>"2018-10-18 15:20:24"</f>
        <v>2018-10-18 15:20:24</v>
      </c>
    </row>
    <row r="4835" spans="1:7" x14ac:dyDescent="0.2">
      <c r="A4835" t="s">
        <v>1</v>
      </c>
      <c r="B4835" t="str">
        <f>"15859913175"</f>
        <v>15859913175</v>
      </c>
      <c r="C4835" t="s">
        <v>1</v>
      </c>
      <c r="D4835" t="s">
        <v>1</v>
      </c>
      <c r="E4835" t="s">
        <v>1</v>
      </c>
      <c r="F4835" t="s">
        <v>0</v>
      </c>
      <c r="G4835" t="str">
        <f>"2018-10-17 13:02:51"</f>
        <v>2018-10-17 13:02:51</v>
      </c>
    </row>
    <row r="4836" spans="1:7" x14ac:dyDescent="0.2">
      <c r="A4836" t="s">
        <v>5956</v>
      </c>
      <c r="B4836" t="str">
        <f>"15839175001"</f>
        <v>15839175001</v>
      </c>
      <c r="C4836" t="str">
        <f>"410825199403277636"</f>
        <v>410825199403277636</v>
      </c>
      <c r="D4836" t="s">
        <v>1</v>
      </c>
      <c r="E4836" t="s">
        <v>1</v>
      </c>
      <c r="F4836" t="s">
        <v>0</v>
      </c>
      <c r="G4836" t="str">
        <f>"2018-10-17 13:02:43"</f>
        <v>2018-10-17 13:02:43</v>
      </c>
    </row>
    <row r="4837" spans="1:7" x14ac:dyDescent="0.2">
      <c r="A4837" t="s">
        <v>5957</v>
      </c>
      <c r="B4837" t="str">
        <f>"18912478219"</f>
        <v>18912478219</v>
      </c>
      <c r="C4837" t="str">
        <f>"320204199507123010"</f>
        <v>320204199507123010</v>
      </c>
      <c r="D4837" t="s">
        <v>5958</v>
      </c>
      <c r="E4837" t="s">
        <v>5959</v>
      </c>
      <c r="F4837" t="s">
        <v>0</v>
      </c>
      <c r="G4837" t="str">
        <f>"2018-10-17 13:11:24"</f>
        <v>2018-10-17 13:11:24</v>
      </c>
    </row>
    <row r="4838" spans="1:7" x14ac:dyDescent="0.2">
      <c r="A4838" t="s">
        <v>960</v>
      </c>
      <c r="B4838" t="str">
        <f>"15217468866"</f>
        <v>15217468866</v>
      </c>
      <c r="C4838" t="str">
        <f>"430822198601262320"</f>
        <v>430822198601262320</v>
      </c>
      <c r="D4838" t="s">
        <v>1</v>
      </c>
      <c r="E4838" t="s">
        <v>1</v>
      </c>
      <c r="F4838" t="s">
        <v>0</v>
      </c>
      <c r="G4838" t="str">
        <f>"2018-10-17 13:03:49"</f>
        <v>2018-10-17 13:03:49</v>
      </c>
    </row>
    <row r="4839" spans="1:7" x14ac:dyDescent="0.2">
      <c r="A4839" t="s">
        <v>1</v>
      </c>
      <c r="B4839" t="str">
        <f>"13799557540"</f>
        <v>13799557540</v>
      </c>
      <c r="C4839" t="s">
        <v>1</v>
      </c>
      <c r="D4839" t="s">
        <v>1</v>
      </c>
      <c r="E4839" t="s">
        <v>1</v>
      </c>
      <c r="F4839" t="s">
        <v>0</v>
      </c>
      <c r="G4839" t="str">
        <f>"2018-10-17 13:01:51"</f>
        <v>2018-10-17 13:01:51</v>
      </c>
    </row>
    <row r="4840" spans="1:7" x14ac:dyDescent="0.2">
      <c r="A4840" t="s">
        <v>5960</v>
      </c>
      <c r="B4840" t="str">
        <f>"15819142928"</f>
        <v>15819142928</v>
      </c>
      <c r="C4840" t="str">
        <f>"441702199511154218"</f>
        <v>441702199511154218</v>
      </c>
      <c r="D4840" t="s">
        <v>1</v>
      </c>
      <c r="E4840" t="s">
        <v>1</v>
      </c>
      <c r="F4840" t="s">
        <v>0</v>
      </c>
      <c r="G4840" t="str">
        <f>"2018-10-24 21:12:39"</f>
        <v>2018-10-24 21:12:39</v>
      </c>
    </row>
    <row r="4841" spans="1:7" x14ac:dyDescent="0.2">
      <c r="A4841" t="s">
        <v>1</v>
      </c>
      <c r="B4841" t="str">
        <f>"18821220893"</f>
        <v>18821220893</v>
      </c>
      <c r="C4841" t="s">
        <v>1</v>
      </c>
      <c r="D4841" t="s">
        <v>1</v>
      </c>
      <c r="E4841" t="s">
        <v>1</v>
      </c>
      <c r="F4841" t="s">
        <v>0</v>
      </c>
      <c r="G4841" t="str">
        <f>"2018-10-17 13:00:17"</f>
        <v>2018-10-17 13:00:17</v>
      </c>
    </row>
    <row r="4842" spans="1:7" x14ac:dyDescent="0.2">
      <c r="A4842" t="s">
        <v>5961</v>
      </c>
      <c r="B4842" t="str">
        <f>"13962476234"</f>
        <v>13962476234</v>
      </c>
      <c r="C4842" t="str">
        <f>"320582198009098538"</f>
        <v>320582198009098538</v>
      </c>
      <c r="D4842" t="s">
        <v>1</v>
      </c>
      <c r="E4842" t="s">
        <v>1</v>
      </c>
      <c r="F4842" t="s">
        <v>0</v>
      </c>
      <c r="G4842" t="str">
        <f>"2018-10-17 15:50:46"</f>
        <v>2018-10-17 15:50:46</v>
      </c>
    </row>
    <row r="4843" spans="1:7" x14ac:dyDescent="0.2">
      <c r="A4843" t="s">
        <v>719</v>
      </c>
      <c r="B4843" t="str">
        <f>"18167652659"</f>
        <v>18167652659</v>
      </c>
      <c r="C4843" t="str">
        <f>"510311199610183614"</f>
        <v>510311199610183614</v>
      </c>
      <c r="D4843" t="s">
        <v>1</v>
      </c>
      <c r="E4843" t="s">
        <v>1</v>
      </c>
      <c r="F4843" t="s">
        <v>0</v>
      </c>
      <c r="G4843" t="str">
        <f>"2018-10-17 12:59:40"</f>
        <v>2018-10-17 12:59:40</v>
      </c>
    </row>
    <row r="4844" spans="1:7" x14ac:dyDescent="0.2">
      <c r="A4844" t="s">
        <v>1</v>
      </c>
      <c r="B4844" t="str">
        <f>"18686157075"</f>
        <v>18686157075</v>
      </c>
      <c r="C4844" t="s">
        <v>1</v>
      </c>
      <c r="D4844" t="s">
        <v>1</v>
      </c>
      <c r="E4844" t="s">
        <v>1</v>
      </c>
      <c r="F4844" t="s">
        <v>0</v>
      </c>
      <c r="G4844" t="str">
        <f>"2018-10-17 14:31:07"</f>
        <v>2018-10-17 14:31:07</v>
      </c>
    </row>
    <row r="4845" spans="1:7" x14ac:dyDescent="0.2">
      <c r="A4845" t="s">
        <v>1</v>
      </c>
      <c r="B4845" t="str">
        <f>"13796310370"</f>
        <v>13796310370</v>
      </c>
      <c r="C4845" t="s">
        <v>1</v>
      </c>
      <c r="D4845" t="s">
        <v>1</v>
      </c>
      <c r="E4845" t="s">
        <v>1</v>
      </c>
      <c r="F4845" t="s">
        <v>0</v>
      </c>
      <c r="G4845" t="str">
        <f>"2018-10-17 13:04:09"</f>
        <v>2018-10-17 13:04:09</v>
      </c>
    </row>
    <row r="4846" spans="1:7" x14ac:dyDescent="0.2">
      <c r="A4846" t="s">
        <v>1</v>
      </c>
      <c r="B4846" t="str">
        <f>"18266317530"</f>
        <v>18266317530</v>
      </c>
      <c r="C4846" t="s">
        <v>1</v>
      </c>
      <c r="D4846" t="s">
        <v>1</v>
      </c>
      <c r="E4846" t="s">
        <v>1</v>
      </c>
      <c r="F4846" t="s">
        <v>0</v>
      </c>
      <c r="G4846" t="str">
        <f>"2018-10-17 12:59:32"</f>
        <v>2018-10-17 12:59:32</v>
      </c>
    </row>
    <row r="4847" spans="1:7" x14ac:dyDescent="0.2">
      <c r="A4847" t="s">
        <v>1627</v>
      </c>
      <c r="B4847" t="str">
        <f>"18615211949"</f>
        <v>18615211949</v>
      </c>
      <c r="C4847" t="str">
        <f>"370781198206240517"</f>
        <v>370781198206240517</v>
      </c>
      <c r="D4847" t="s">
        <v>1</v>
      </c>
      <c r="E4847" t="s">
        <v>1</v>
      </c>
      <c r="F4847" t="s">
        <v>0</v>
      </c>
      <c r="G4847" t="str">
        <f>"2018-10-17 13:10:08"</f>
        <v>2018-10-17 13:10:08</v>
      </c>
    </row>
    <row r="4848" spans="1:7" x14ac:dyDescent="0.2">
      <c r="A4848" t="s">
        <v>5962</v>
      </c>
      <c r="B4848" t="str">
        <f>"18629374995"</f>
        <v>18629374995</v>
      </c>
      <c r="C4848" t="str">
        <f>"610528199303216916"</f>
        <v>610528199303216916</v>
      </c>
      <c r="D4848" t="s">
        <v>1</v>
      </c>
      <c r="E4848" t="s">
        <v>1</v>
      </c>
      <c r="F4848" t="s">
        <v>0</v>
      </c>
      <c r="G4848" t="str">
        <f>"2018-10-17 12:58:56"</f>
        <v>2018-10-17 12:58:56</v>
      </c>
    </row>
    <row r="4849" spans="1:7" x14ac:dyDescent="0.2">
      <c r="A4849" t="s">
        <v>5963</v>
      </c>
      <c r="B4849" t="str">
        <f>"13295311505"</f>
        <v>13295311505</v>
      </c>
      <c r="C4849" t="str">
        <f>"370124199310090015"</f>
        <v>370124199310090015</v>
      </c>
      <c r="D4849" t="s">
        <v>1</v>
      </c>
      <c r="E4849" t="s">
        <v>1</v>
      </c>
      <c r="F4849" t="s">
        <v>0</v>
      </c>
      <c r="G4849" t="str">
        <f>"2018-10-17 13:00:07"</f>
        <v>2018-10-17 13:00:07</v>
      </c>
    </row>
    <row r="4850" spans="1:7" x14ac:dyDescent="0.2">
      <c r="A4850" t="s">
        <v>428</v>
      </c>
      <c r="B4850" t="str">
        <f>"18588239731"</f>
        <v>18588239731</v>
      </c>
      <c r="C4850" t="str">
        <f>"440881199104052230"</f>
        <v>440881199104052230</v>
      </c>
      <c r="D4850" t="s">
        <v>1</v>
      </c>
      <c r="E4850" t="s">
        <v>1</v>
      </c>
      <c r="F4850" t="s">
        <v>0</v>
      </c>
      <c r="G4850" t="str">
        <f>"2018-10-24 21:48:33"</f>
        <v>2018-10-24 21:48:33</v>
      </c>
    </row>
    <row r="4851" spans="1:7" x14ac:dyDescent="0.2">
      <c r="A4851" t="s">
        <v>1</v>
      </c>
      <c r="B4851" t="str">
        <f>"18711473564"</f>
        <v>18711473564</v>
      </c>
      <c r="C4851" t="s">
        <v>1</v>
      </c>
      <c r="D4851" t="s">
        <v>1</v>
      </c>
      <c r="E4851" t="s">
        <v>1</v>
      </c>
      <c r="F4851" t="s">
        <v>0</v>
      </c>
      <c r="G4851" t="str">
        <f>"2018-10-17 12:58:56"</f>
        <v>2018-10-17 12:58:56</v>
      </c>
    </row>
    <row r="4852" spans="1:7" x14ac:dyDescent="0.2">
      <c r="A4852" t="s">
        <v>528</v>
      </c>
      <c r="B4852" t="str">
        <f>"18767878222"</f>
        <v>18767878222</v>
      </c>
      <c r="C4852" t="str">
        <f>"332523198304304211"</f>
        <v>332523198304304211</v>
      </c>
      <c r="D4852" t="s">
        <v>1</v>
      </c>
      <c r="E4852" t="s">
        <v>1</v>
      </c>
      <c r="F4852" t="s">
        <v>0</v>
      </c>
      <c r="G4852" t="str">
        <f>"2018-10-17 13:00:02"</f>
        <v>2018-10-17 13:00:02</v>
      </c>
    </row>
    <row r="4853" spans="1:7" x14ac:dyDescent="0.2">
      <c r="A4853" t="s">
        <v>5964</v>
      </c>
      <c r="B4853" t="str">
        <f>"18609567520"</f>
        <v>18609567520</v>
      </c>
      <c r="C4853" t="str">
        <f>"640323199404012210"</f>
        <v>640323199404012210</v>
      </c>
      <c r="D4853" t="s">
        <v>1</v>
      </c>
      <c r="E4853" t="s">
        <v>1</v>
      </c>
      <c r="F4853" t="s">
        <v>0</v>
      </c>
      <c r="G4853" t="str">
        <f>"2018-10-17 13:17:48"</f>
        <v>2018-10-17 13:17:48</v>
      </c>
    </row>
    <row r="4854" spans="1:7" x14ac:dyDescent="0.2">
      <c r="A4854" t="s">
        <v>1</v>
      </c>
      <c r="B4854" t="str">
        <f>"18559457757"</f>
        <v>18559457757</v>
      </c>
      <c r="C4854" t="s">
        <v>1</v>
      </c>
      <c r="D4854" t="s">
        <v>1</v>
      </c>
      <c r="E4854" t="s">
        <v>1</v>
      </c>
      <c r="F4854" t="s">
        <v>0</v>
      </c>
      <c r="G4854" t="str">
        <f>"2018-10-17 12:57:37"</f>
        <v>2018-10-17 12:57:37</v>
      </c>
    </row>
    <row r="4855" spans="1:7" x14ac:dyDescent="0.2">
      <c r="A4855" t="s">
        <v>1</v>
      </c>
      <c r="B4855" t="str">
        <f>"13163908546"</f>
        <v>13163908546</v>
      </c>
      <c r="C4855" t="s">
        <v>1</v>
      </c>
      <c r="D4855" t="s">
        <v>1</v>
      </c>
      <c r="E4855" t="s">
        <v>1</v>
      </c>
      <c r="F4855" t="s">
        <v>0</v>
      </c>
      <c r="G4855" t="str">
        <f>"2018-10-17 12:57:36"</f>
        <v>2018-10-17 12:57:36</v>
      </c>
    </row>
    <row r="4856" spans="1:7" x14ac:dyDescent="0.2">
      <c r="A4856" t="s">
        <v>5965</v>
      </c>
      <c r="B4856" t="str">
        <f>"13326408939"</f>
        <v>13326408939</v>
      </c>
      <c r="C4856" t="str">
        <f>"441823197504163915"</f>
        <v>441823197504163915</v>
      </c>
      <c r="D4856" t="s">
        <v>5966</v>
      </c>
      <c r="E4856" t="s">
        <v>5967</v>
      </c>
      <c r="F4856" t="s">
        <v>0</v>
      </c>
      <c r="G4856" t="str">
        <f>"2018-10-17 13:00:26"</f>
        <v>2018-10-17 13:00:26</v>
      </c>
    </row>
    <row r="4857" spans="1:7" x14ac:dyDescent="0.2">
      <c r="A4857" t="s">
        <v>1</v>
      </c>
      <c r="B4857" t="str">
        <f>"18106971424"</f>
        <v>18106971424</v>
      </c>
      <c r="C4857" t="s">
        <v>1</v>
      </c>
      <c r="D4857" t="s">
        <v>1</v>
      </c>
      <c r="E4857" t="s">
        <v>1</v>
      </c>
      <c r="F4857" t="s">
        <v>0</v>
      </c>
      <c r="G4857" t="str">
        <f>"2018-10-17 12:56:58"</f>
        <v>2018-10-17 12:56:58</v>
      </c>
    </row>
    <row r="4858" spans="1:7" x14ac:dyDescent="0.2">
      <c r="A4858" t="s">
        <v>5968</v>
      </c>
      <c r="B4858" t="str">
        <f>"18352018197"</f>
        <v>18352018197</v>
      </c>
      <c r="C4858" t="str">
        <f>"320922198712163915"</f>
        <v>320922198712163915</v>
      </c>
      <c r="D4858" t="s">
        <v>1</v>
      </c>
      <c r="E4858" t="s">
        <v>1</v>
      </c>
      <c r="F4858" t="s">
        <v>0</v>
      </c>
      <c r="G4858" t="str">
        <f>"2018-10-17 12:58:56"</f>
        <v>2018-10-17 12:58:56</v>
      </c>
    </row>
    <row r="4859" spans="1:7" x14ac:dyDescent="0.2">
      <c r="A4859" t="s">
        <v>5969</v>
      </c>
      <c r="B4859" t="str">
        <f>"13288765801"</f>
        <v>13288765801</v>
      </c>
      <c r="C4859" t="str">
        <f>"522127199401132048"</f>
        <v>522127199401132048</v>
      </c>
      <c r="D4859" t="s">
        <v>1</v>
      </c>
      <c r="E4859" t="s">
        <v>1</v>
      </c>
      <c r="F4859" t="s">
        <v>0</v>
      </c>
      <c r="G4859" t="str">
        <f>"2018-10-17 13:22:00"</f>
        <v>2018-10-17 13:22:00</v>
      </c>
    </row>
    <row r="4860" spans="1:7" x14ac:dyDescent="0.2">
      <c r="A4860" t="s">
        <v>5970</v>
      </c>
      <c r="B4860" t="str">
        <f>"13781583056"</f>
        <v>13781583056</v>
      </c>
      <c r="C4860" t="str">
        <f>"410223199007081011"</f>
        <v>410223199007081011</v>
      </c>
      <c r="D4860" t="s">
        <v>1</v>
      </c>
      <c r="E4860" t="s">
        <v>1</v>
      </c>
      <c r="F4860" t="s">
        <v>0</v>
      </c>
      <c r="G4860" t="str">
        <f>"2018-10-17 12:59:44"</f>
        <v>2018-10-17 12:59:44</v>
      </c>
    </row>
    <row r="4861" spans="1:7" x14ac:dyDescent="0.2">
      <c r="A4861" t="s">
        <v>1</v>
      </c>
      <c r="B4861" t="str">
        <f>"18064498404"</f>
        <v>18064498404</v>
      </c>
      <c r="C4861" t="s">
        <v>1</v>
      </c>
      <c r="D4861" t="s">
        <v>1</v>
      </c>
      <c r="E4861" t="s">
        <v>1</v>
      </c>
      <c r="F4861" t="s">
        <v>0</v>
      </c>
      <c r="G4861" t="str">
        <f>"2018-10-17 12:54:16"</f>
        <v>2018-10-17 12:54:16</v>
      </c>
    </row>
    <row r="4862" spans="1:7" x14ac:dyDescent="0.2">
      <c r="A4862" t="s">
        <v>5971</v>
      </c>
      <c r="B4862" t="str">
        <f>"13385966657"</f>
        <v>13385966657</v>
      </c>
      <c r="C4862" t="str">
        <f>"35060019831002207X"</f>
        <v>35060019831002207X</v>
      </c>
      <c r="D4862" t="s">
        <v>5972</v>
      </c>
      <c r="E4862" t="s">
        <v>5973</v>
      </c>
      <c r="F4862" t="s">
        <v>0</v>
      </c>
      <c r="G4862" t="str">
        <f>"2018-10-17 12:55:11"</f>
        <v>2018-10-17 12:55:11</v>
      </c>
    </row>
    <row r="4863" spans="1:7" x14ac:dyDescent="0.2">
      <c r="A4863" t="s">
        <v>87</v>
      </c>
      <c r="B4863" t="str">
        <f>"13716840342"</f>
        <v>13716840342</v>
      </c>
      <c r="C4863" t="str">
        <f>"110226199608170018"</f>
        <v>110226199608170018</v>
      </c>
      <c r="D4863" t="s">
        <v>5974</v>
      </c>
      <c r="E4863" t="s">
        <v>5975</v>
      </c>
      <c r="F4863" t="s">
        <v>0</v>
      </c>
      <c r="G4863" t="str">
        <f>"2018-10-17 12:59:22"</f>
        <v>2018-10-17 12:59:22</v>
      </c>
    </row>
    <row r="4864" spans="1:7" x14ac:dyDescent="0.2">
      <c r="A4864" t="s">
        <v>5976</v>
      </c>
      <c r="B4864" t="str">
        <f>"13365555227"</f>
        <v>13365555227</v>
      </c>
      <c r="C4864" t="str">
        <f>"340504198408190010"</f>
        <v>340504198408190010</v>
      </c>
      <c r="D4864" t="s">
        <v>1</v>
      </c>
      <c r="E4864" t="s">
        <v>1</v>
      </c>
      <c r="F4864" t="s">
        <v>0</v>
      </c>
      <c r="G4864" t="str">
        <f>"2018-10-17 12:55:08"</f>
        <v>2018-10-17 12:55:08</v>
      </c>
    </row>
    <row r="4865" spans="1:7" x14ac:dyDescent="0.2">
      <c r="A4865" t="s">
        <v>5977</v>
      </c>
      <c r="B4865" t="str">
        <f>"15851625565"</f>
        <v>15851625565</v>
      </c>
      <c r="C4865" t="str">
        <f>"412726198307132013"</f>
        <v>412726198307132013</v>
      </c>
      <c r="D4865" t="s">
        <v>1</v>
      </c>
      <c r="E4865" t="s">
        <v>1</v>
      </c>
      <c r="F4865" t="s">
        <v>0</v>
      </c>
      <c r="G4865" t="str">
        <f>"2018-10-17 12:54:24"</f>
        <v>2018-10-17 12:54:24</v>
      </c>
    </row>
    <row r="4866" spans="1:7" x14ac:dyDescent="0.2">
      <c r="A4866" t="s">
        <v>5978</v>
      </c>
      <c r="B4866" t="str">
        <f>"18009777974"</f>
        <v>18009777974</v>
      </c>
      <c r="C4866" t="str">
        <f>"510181199403126412"</f>
        <v>510181199403126412</v>
      </c>
      <c r="D4866" t="s">
        <v>1</v>
      </c>
      <c r="E4866" t="s">
        <v>1</v>
      </c>
      <c r="F4866" t="s">
        <v>0</v>
      </c>
      <c r="G4866" t="str">
        <f>"2018-10-17 13:02:26"</f>
        <v>2018-10-17 13:02:26</v>
      </c>
    </row>
    <row r="4867" spans="1:7" x14ac:dyDescent="0.2">
      <c r="A4867" t="s">
        <v>5979</v>
      </c>
      <c r="B4867" t="str">
        <f>"15846755865"</f>
        <v>15846755865</v>
      </c>
      <c r="C4867" t="str">
        <f>"231002198212171526"</f>
        <v>231002198212171526</v>
      </c>
      <c r="D4867" t="s">
        <v>1</v>
      </c>
      <c r="E4867" t="s">
        <v>1</v>
      </c>
      <c r="F4867" t="s">
        <v>0</v>
      </c>
      <c r="G4867" t="str">
        <f>"2018-10-19 10:03:17"</f>
        <v>2018-10-19 10:03:17</v>
      </c>
    </row>
    <row r="4868" spans="1:7" x14ac:dyDescent="0.2">
      <c r="A4868" t="s">
        <v>1</v>
      </c>
      <c r="B4868" t="str">
        <f>"15025171551"</f>
        <v>15025171551</v>
      </c>
      <c r="C4868" t="s">
        <v>1</v>
      </c>
      <c r="D4868" t="s">
        <v>1</v>
      </c>
      <c r="E4868" t="s">
        <v>1</v>
      </c>
      <c r="F4868" t="s">
        <v>0</v>
      </c>
      <c r="G4868" t="str">
        <f>"2018-10-17 12:54:00"</f>
        <v>2018-10-17 12:54:00</v>
      </c>
    </row>
    <row r="4869" spans="1:7" x14ac:dyDescent="0.2">
      <c r="A4869" t="s">
        <v>50</v>
      </c>
      <c r="B4869" t="str">
        <f>"18909300804"</f>
        <v>18909300804</v>
      </c>
      <c r="C4869" t="str">
        <f>"622921199201100024"</f>
        <v>622921199201100024</v>
      </c>
      <c r="D4869" t="s">
        <v>1</v>
      </c>
      <c r="E4869" t="s">
        <v>1</v>
      </c>
      <c r="F4869" t="s">
        <v>0</v>
      </c>
      <c r="G4869" t="str">
        <f>"2018-10-17 12:57:27"</f>
        <v>2018-10-17 12:57:27</v>
      </c>
    </row>
    <row r="4870" spans="1:7" x14ac:dyDescent="0.2">
      <c r="A4870" t="s">
        <v>5980</v>
      </c>
      <c r="B4870" t="str">
        <f>"13685761199"</f>
        <v>13685761199</v>
      </c>
      <c r="C4870" t="str">
        <f>"330102198911040638"</f>
        <v>330102198911040638</v>
      </c>
      <c r="D4870" t="s">
        <v>1</v>
      </c>
      <c r="E4870" t="s">
        <v>1</v>
      </c>
      <c r="F4870" t="s">
        <v>0</v>
      </c>
      <c r="G4870" t="str">
        <f>"2018-10-17 12:52:42"</f>
        <v>2018-10-17 12:52:42</v>
      </c>
    </row>
    <row r="4871" spans="1:7" x14ac:dyDescent="0.2">
      <c r="A4871" t="s">
        <v>5981</v>
      </c>
      <c r="B4871" t="str">
        <f>"18879240730"</f>
        <v>18879240730</v>
      </c>
      <c r="C4871" t="str">
        <f>"360481197707133426"</f>
        <v>360481197707133426</v>
      </c>
      <c r="D4871" t="s">
        <v>1</v>
      </c>
      <c r="E4871" t="s">
        <v>1</v>
      </c>
      <c r="F4871" t="s">
        <v>0</v>
      </c>
      <c r="G4871" t="str">
        <f>"2018-10-17 15:31:31"</f>
        <v>2018-10-17 15:31:31</v>
      </c>
    </row>
    <row r="4872" spans="1:7" x14ac:dyDescent="0.2">
      <c r="A4872" t="s">
        <v>1</v>
      </c>
      <c r="B4872" t="str">
        <f>"15052210185"</f>
        <v>15052210185</v>
      </c>
      <c r="C4872" t="s">
        <v>1</v>
      </c>
      <c r="D4872" t="s">
        <v>1</v>
      </c>
      <c r="E4872" t="s">
        <v>1</v>
      </c>
      <c r="F4872" t="s">
        <v>0</v>
      </c>
      <c r="G4872" t="str">
        <f>"2018-10-17 12:49:38"</f>
        <v>2018-10-17 12:49:38</v>
      </c>
    </row>
    <row r="4873" spans="1:7" x14ac:dyDescent="0.2">
      <c r="A4873" t="s">
        <v>5982</v>
      </c>
      <c r="B4873" t="str">
        <f>"18756003817"</f>
        <v>18756003817</v>
      </c>
      <c r="C4873" t="str">
        <f>"34012219821120247X"</f>
        <v>34012219821120247X</v>
      </c>
      <c r="D4873" t="s">
        <v>1</v>
      </c>
      <c r="E4873" t="s">
        <v>1</v>
      </c>
      <c r="F4873" t="s">
        <v>0</v>
      </c>
      <c r="G4873" t="str">
        <f>"2018-10-17 12:50:31"</f>
        <v>2018-10-17 12:50:31</v>
      </c>
    </row>
    <row r="4874" spans="1:7" x14ac:dyDescent="0.2">
      <c r="A4874" t="s">
        <v>1</v>
      </c>
      <c r="B4874" t="str">
        <f>"15060325243"</f>
        <v>15060325243</v>
      </c>
      <c r="C4874" t="s">
        <v>1</v>
      </c>
      <c r="D4874" t="s">
        <v>1</v>
      </c>
      <c r="E4874" t="s">
        <v>1</v>
      </c>
      <c r="F4874" t="s">
        <v>0</v>
      </c>
      <c r="G4874" t="str">
        <f>"2018-10-17 12:49:28"</f>
        <v>2018-10-17 12:49:28</v>
      </c>
    </row>
    <row r="4875" spans="1:7" x14ac:dyDescent="0.2">
      <c r="A4875" t="s">
        <v>5983</v>
      </c>
      <c r="B4875" t="str">
        <f>"18077877464"</f>
        <v>18077877464</v>
      </c>
      <c r="C4875" t="str">
        <f>"452727198605070918"</f>
        <v>452727198605070918</v>
      </c>
      <c r="D4875" t="s">
        <v>1</v>
      </c>
      <c r="E4875" t="s">
        <v>1</v>
      </c>
      <c r="F4875" t="s">
        <v>0</v>
      </c>
      <c r="G4875" t="str">
        <f>"2018-10-17 13:09:52"</f>
        <v>2018-10-17 13:09:52</v>
      </c>
    </row>
    <row r="4876" spans="1:7" x14ac:dyDescent="0.2">
      <c r="A4876" t="s">
        <v>987</v>
      </c>
      <c r="B4876" t="str">
        <f>"17600980028"</f>
        <v>17600980028</v>
      </c>
      <c r="C4876" t="str">
        <f>"130627199101086855"</f>
        <v>130627199101086855</v>
      </c>
      <c r="D4876" t="s">
        <v>1</v>
      </c>
      <c r="E4876" t="s">
        <v>1</v>
      </c>
      <c r="F4876" t="s">
        <v>0</v>
      </c>
      <c r="G4876" t="str">
        <f>"2018-10-17 12:50:24"</f>
        <v>2018-10-17 12:50:24</v>
      </c>
    </row>
    <row r="4877" spans="1:7" x14ac:dyDescent="0.2">
      <c r="A4877" t="s">
        <v>5984</v>
      </c>
      <c r="B4877" t="str">
        <f>"15097702988"</f>
        <v>15097702988</v>
      </c>
      <c r="C4877" t="str">
        <f>"130602197509140636"</f>
        <v>130602197509140636</v>
      </c>
      <c r="D4877" t="s">
        <v>1</v>
      </c>
      <c r="E4877" t="s">
        <v>1</v>
      </c>
      <c r="F4877" t="s">
        <v>0</v>
      </c>
      <c r="G4877" t="str">
        <f>"2018-10-17 13:09:11"</f>
        <v>2018-10-17 13:09:11</v>
      </c>
    </row>
    <row r="4878" spans="1:7" x14ac:dyDescent="0.2">
      <c r="A4878" t="s">
        <v>1</v>
      </c>
      <c r="B4878" t="str">
        <f>"13036945601"</f>
        <v>13036945601</v>
      </c>
      <c r="C4878" t="s">
        <v>1</v>
      </c>
      <c r="D4878" t="s">
        <v>1</v>
      </c>
      <c r="E4878" t="s">
        <v>1</v>
      </c>
      <c r="F4878" t="s">
        <v>0</v>
      </c>
      <c r="G4878" t="str">
        <f>"2018-10-17 12:47:38"</f>
        <v>2018-10-17 12:47:38</v>
      </c>
    </row>
    <row r="4879" spans="1:7" x14ac:dyDescent="0.2">
      <c r="A4879" t="s">
        <v>5985</v>
      </c>
      <c r="B4879" t="str">
        <f>"15378930797"</f>
        <v>15378930797</v>
      </c>
      <c r="C4879" t="str">
        <f>"642222198707130236"</f>
        <v>642222198707130236</v>
      </c>
      <c r="D4879" t="s">
        <v>1</v>
      </c>
      <c r="E4879" t="s">
        <v>1</v>
      </c>
      <c r="F4879" t="s">
        <v>0</v>
      </c>
      <c r="G4879" t="str">
        <f>"2018-10-17 12:48:57"</f>
        <v>2018-10-17 12:48:57</v>
      </c>
    </row>
    <row r="4880" spans="1:7" x14ac:dyDescent="0.2">
      <c r="A4880" t="s">
        <v>5986</v>
      </c>
      <c r="B4880" t="str">
        <f>"13915061460"</f>
        <v>13915061460</v>
      </c>
      <c r="C4880" t="str">
        <f>"320981199310024212"</f>
        <v>320981199310024212</v>
      </c>
      <c r="D4880" t="s">
        <v>1</v>
      </c>
      <c r="E4880" t="s">
        <v>1</v>
      </c>
      <c r="F4880" t="s">
        <v>0</v>
      </c>
      <c r="G4880" t="str">
        <f>"2018-10-17 13:01:13"</f>
        <v>2018-10-17 13:01:13</v>
      </c>
    </row>
    <row r="4881" spans="1:7" x14ac:dyDescent="0.2">
      <c r="A4881" t="s">
        <v>5987</v>
      </c>
      <c r="B4881" t="str">
        <f>"15988429035"</f>
        <v>15988429035</v>
      </c>
      <c r="C4881" t="str">
        <f>"330182199605012416"</f>
        <v>330182199605012416</v>
      </c>
      <c r="D4881" t="s">
        <v>5988</v>
      </c>
      <c r="E4881" t="s">
        <v>5989</v>
      </c>
      <c r="F4881" t="s">
        <v>0</v>
      </c>
      <c r="G4881" t="str">
        <f>"2018-10-17 12:46:52"</f>
        <v>2018-10-17 12:46:52</v>
      </c>
    </row>
    <row r="4882" spans="1:7" x14ac:dyDescent="0.2">
      <c r="A4882" t="s">
        <v>5990</v>
      </c>
      <c r="B4882" t="str">
        <f>"15914188466"</f>
        <v>15914188466</v>
      </c>
      <c r="C4882" t="str">
        <f>"350205198105172028"</f>
        <v>350205198105172028</v>
      </c>
      <c r="D4882" t="s">
        <v>1</v>
      </c>
      <c r="E4882" t="s">
        <v>1</v>
      </c>
      <c r="F4882" t="s">
        <v>0</v>
      </c>
      <c r="G4882" t="str">
        <f>"2018-10-17 12:50:46"</f>
        <v>2018-10-17 12:50:46</v>
      </c>
    </row>
    <row r="4883" spans="1:7" x14ac:dyDescent="0.2">
      <c r="A4883" t="s">
        <v>5991</v>
      </c>
      <c r="B4883" t="str">
        <f>"15188193922"</f>
        <v>15188193922</v>
      </c>
      <c r="C4883" t="str">
        <f>"530428198911220329"</f>
        <v>530428198911220329</v>
      </c>
      <c r="D4883" t="s">
        <v>1</v>
      </c>
      <c r="E4883" t="s">
        <v>1</v>
      </c>
      <c r="F4883" t="s">
        <v>0</v>
      </c>
      <c r="G4883" t="str">
        <f>"2018-10-22 19:37:51"</f>
        <v>2018-10-22 19:37:51</v>
      </c>
    </row>
    <row r="4884" spans="1:7" x14ac:dyDescent="0.2">
      <c r="A4884" t="s">
        <v>5992</v>
      </c>
      <c r="B4884" t="str">
        <f>"15861764777"</f>
        <v>15861764777</v>
      </c>
      <c r="C4884" t="str">
        <f>"320882198308205424"</f>
        <v>320882198308205424</v>
      </c>
      <c r="D4884" t="s">
        <v>1</v>
      </c>
      <c r="E4884" t="s">
        <v>1</v>
      </c>
      <c r="F4884" t="s">
        <v>0</v>
      </c>
      <c r="G4884" t="str">
        <f>"2018-10-17 12:45:17"</f>
        <v>2018-10-17 12:45:17</v>
      </c>
    </row>
    <row r="4885" spans="1:7" x14ac:dyDescent="0.2">
      <c r="A4885" t="s">
        <v>1687</v>
      </c>
      <c r="B4885" t="str">
        <f>"15807267771"</f>
        <v>15807267771</v>
      </c>
      <c r="C4885" t="str">
        <f>"420881198511170033"</f>
        <v>420881198511170033</v>
      </c>
      <c r="D4885" t="s">
        <v>1</v>
      </c>
      <c r="E4885" t="s">
        <v>1</v>
      </c>
      <c r="F4885" t="s">
        <v>0</v>
      </c>
      <c r="G4885" t="str">
        <f>"2018-10-24 09:54:42"</f>
        <v>2018-10-24 09:54:42</v>
      </c>
    </row>
    <row r="4886" spans="1:7" x14ac:dyDescent="0.2">
      <c r="A4886" t="s">
        <v>1360</v>
      </c>
      <c r="B4886" t="str">
        <f>"13812054918"</f>
        <v>13812054918</v>
      </c>
      <c r="C4886" t="str">
        <f>"320922198204053031"</f>
        <v>320922198204053031</v>
      </c>
      <c r="D4886" t="s">
        <v>1</v>
      </c>
      <c r="E4886" t="s">
        <v>1</v>
      </c>
      <c r="F4886" t="s">
        <v>0</v>
      </c>
      <c r="G4886" t="str">
        <f>"2018-10-17 12:44:56"</f>
        <v>2018-10-17 12:44:56</v>
      </c>
    </row>
    <row r="4887" spans="1:7" x14ac:dyDescent="0.2">
      <c r="A4887" t="s">
        <v>5993</v>
      </c>
      <c r="B4887" t="str">
        <f>"13473395710"</f>
        <v>13473395710</v>
      </c>
      <c r="C4887" t="str">
        <f>"130181199002133936"</f>
        <v>130181199002133936</v>
      </c>
      <c r="D4887" t="s">
        <v>1</v>
      </c>
      <c r="E4887" t="s">
        <v>1</v>
      </c>
      <c r="F4887" t="s">
        <v>0</v>
      </c>
      <c r="G4887" t="str">
        <f>"2018-10-17 12:44:48"</f>
        <v>2018-10-17 12:44:48</v>
      </c>
    </row>
    <row r="4888" spans="1:7" x14ac:dyDescent="0.2">
      <c r="A4888" t="s">
        <v>1</v>
      </c>
      <c r="B4888" t="str">
        <f>"15055630984"</f>
        <v>15055630984</v>
      </c>
      <c r="C4888" t="s">
        <v>1</v>
      </c>
      <c r="D4888" t="s">
        <v>1</v>
      </c>
      <c r="E4888" t="s">
        <v>1</v>
      </c>
      <c r="F4888" t="s">
        <v>0</v>
      </c>
      <c r="G4888" t="str">
        <f>"2018-10-17 12:42:46"</f>
        <v>2018-10-17 12:42:46</v>
      </c>
    </row>
    <row r="4889" spans="1:7" x14ac:dyDescent="0.2">
      <c r="A4889" t="s">
        <v>5994</v>
      </c>
      <c r="B4889" t="str">
        <f>"17681303126"</f>
        <v>17681303126</v>
      </c>
      <c r="C4889" t="str">
        <f>"341122199211131611"</f>
        <v>341122199211131611</v>
      </c>
      <c r="D4889" t="s">
        <v>1</v>
      </c>
      <c r="E4889" t="s">
        <v>1</v>
      </c>
      <c r="F4889" t="s">
        <v>0</v>
      </c>
      <c r="G4889" t="str">
        <f>"2018-10-17 12:45:43"</f>
        <v>2018-10-17 12:45:43</v>
      </c>
    </row>
    <row r="4890" spans="1:7" x14ac:dyDescent="0.2">
      <c r="A4890" t="s">
        <v>5995</v>
      </c>
      <c r="B4890" t="str">
        <f>"18139701771"</f>
        <v>18139701771</v>
      </c>
      <c r="C4890" t="str">
        <f>"622225199410050956"</f>
        <v>622225199410050956</v>
      </c>
      <c r="D4890" t="s">
        <v>1</v>
      </c>
      <c r="E4890" t="s">
        <v>1</v>
      </c>
      <c r="F4890" t="s">
        <v>0</v>
      </c>
      <c r="G4890" t="str">
        <f>"2018-10-17 13:07:03"</f>
        <v>2018-10-17 13:07:03</v>
      </c>
    </row>
    <row r="4891" spans="1:7" x14ac:dyDescent="0.2">
      <c r="A4891" t="s">
        <v>5996</v>
      </c>
      <c r="B4891" t="str">
        <f>"18899058515"</f>
        <v>18899058515</v>
      </c>
      <c r="C4891" t="str">
        <f>"632221198806071317"</f>
        <v>632221198806071317</v>
      </c>
      <c r="D4891" t="s">
        <v>5997</v>
      </c>
      <c r="E4891" t="s">
        <v>5997</v>
      </c>
      <c r="F4891" t="s">
        <v>0</v>
      </c>
      <c r="G4891" t="str">
        <f>"2018-10-20 20:34:28"</f>
        <v>2018-10-20 20:34:28</v>
      </c>
    </row>
    <row r="4892" spans="1:7" x14ac:dyDescent="0.2">
      <c r="A4892" t="s">
        <v>5998</v>
      </c>
      <c r="B4892" t="str">
        <f>"15111046867"</f>
        <v>15111046867</v>
      </c>
      <c r="C4892" t="str">
        <f>"430124199007168373"</f>
        <v>430124199007168373</v>
      </c>
      <c r="D4892" t="s">
        <v>1</v>
      </c>
      <c r="E4892" t="s">
        <v>1</v>
      </c>
      <c r="F4892" t="s">
        <v>0</v>
      </c>
      <c r="G4892" t="str">
        <f>"2018-10-17 12:41:14"</f>
        <v>2018-10-17 12:41:14</v>
      </c>
    </row>
    <row r="4893" spans="1:7" x14ac:dyDescent="0.2">
      <c r="A4893" t="s">
        <v>1171</v>
      </c>
      <c r="B4893" t="str">
        <f>"18751178518"</f>
        <v>18751178518</v>
      </c>
      <c r="C4893" t="str">
        <f>"652723199708120339"</f>
        <v>652723199708120339</v>
      </c>
      <c r="D4893" t="s">
        <v>1</v>
      </c>
      <c r="E4893" t="s">
        <v>1</v>
      </c>
      <c r="F4893" t="s">
        <v>0</v>
      </c>
      <c r="G4893" t="str">
        <f>"2018-10-28 19:12:08"</f>
        <v>2018-10-28 19:12:08</v>
      </c>
    </row>
    <row r="4894" spans="1:7" x14ac:dyDescent="0.2">
      <c r="A4894" t="s">
        <v>5999</v>
      </c>
      <c r="B4894" t="str">
        <f>"18377915551"</f>
        <v>18377915551</v>
      </c>
      <c r="C4894" t="str">
        <f>"450521198408017834"</f>
        <v>450521198408017834</v>
      </c>
      <c r="D4894" t="s">
        <v>1</v>
      </c>
      <c r="E4894" t="s">
        <v>1</v>
      </c>
      <c r="F4894" t="s">
        <v>0</v>
      </c>
      <c r="G4894" t="str">
        <f>"2018-10-17 12:40:35"</f>
        <v>2018-10-17 12:40:35</v>
      </c>
    </row>
    <row r="4895" spans="1:7" x14ac:dyDescent="0.2">
      <c r="A4895" t="s">
        <v>6000</v>
      </c>
      <c r="B4895" t="str">
        <f>"15237932687"</f>
        <v>15237932687</v>
      </c>
      <c r="C4895" t="str">
        <f>"410322198912279874"</f>
        <v>410322198912279874</v>
      </c>
      <c r="D4895" t="s">
        <v>1</v>
      </c>
      <c r="E4895" t="s">
        <v>1</v>
      </c>
      <c r="F4895" t="s">
        <v>0</v>
      </c>
      <c r="G4895" t="str">
        <f>"2018-10-17 12:41:26"</f>
        <v>2018-10-17 12:41:26</v>
      </c>
    </row>
    <row r="4896" spans="1:7" x14ac:dyDescent="0.2">
      <c r="A4896" t="s">
        <v>220</v>
      </c>
      <c r="B4896" t="str">
        <f>"15645815562"</f>
        <v>15645815562</v>
      </c>
      <c r="C4896" t="str">
        <f>"230303200103017038"</f>
        <v>230303200103017038</v>
      </c>
      <c r="D4896" t="s">
        <v>1</v>
      </c>
      <c r="E4896" t="s">
        <v>1</v>
      </c>
      <c r="F4896" t="s">
        <v>0</v>
      </c>
      <c r="G4896" t="str">
        <f>"2018-10-17 12:40:59"</f>
        <v>2018-10-17 12:40:59</v>
      </c>
    </row>
    <row r="4897" spans="1:7" x14ac:dyDescent="0.2">
      <c r="A4897" t="s">
        <v>6001</v>
      </c>
      <c r="B4897" t="str">
        <f>"13755356847"</f>
        <v>13755356847</v>
      </c>
      <c r="C4897" t="str">
        <f>"362321198808166213"</f>
        <v>362321198808166213</v>
      </c>
      <c r="D4897" t="s">
        <v>6002</v>
      </c>
      <c r="E4897" t="s">
        <v>6003</v>
      </c>
      <c r="F4897" t="s">
        <v>0</v>
      </c>
      <c r="G4897" t="str">
        <f>"2018-10-17 12:41:21"</f>
        <v>2018-10-17 12:41:21</v>
      </c>
    </row>
    <row r="4898" spans="1:7" x14ac:dyDescent="0.2">
      <c r="A4898" t="s">
        <v>116</v>
      </c>
      <c r="B4898" t="str">
        <f>"18435676662"</f>
        <v>18435676662</v>
      </c>
      <c r="C4898" t="str">
        <f>"140511198903302311"</f>
        <v>140511198903302311</v>
      </c>
      <c r="D4898" t="s">
        <v>6004</v>
      </c>
      <c r="E4898" t="s">
        <v>6005</v>
      </c>
      <c r="F4898" t="s">
        <v>0</v>
      </c>
      <c r="G4898" t="str">
        <f>"2018-10-17 12:40:26"</f>
        <v>2018-10-17 12:40:26</v>
      </c>
    </row>
    <row r="4899" spans="1:7" x14ac:dyDescent="0.2">
      <c r="A4899" t="s">
        <v>6006</v>
      </c>
      <c r="B4899" t="str">
        <f>"13830606225"</f>
        <v>13830606225</v>
      </c>
      <c r="C4899" t="str">
        <f>"622223199712030018"</f>
        <v>622223199712030018</v>
      </c>
      <c r="D4899" t="s">
        <v>6007</v>
      </c>
      <c r="E4899" t="s">
        <v>6008</v>
      </c>
      <c r="F4899" t="s">
        <v>0</v>
      </c>
      <c r="G4899" t="str">
        <f>"2018-10-17 12:38:49"</f>
        <v>2018-10-17 12:38:49</v>
      </c>
    </row>
    <row r="4900" spans="1:7" x14ac:dyDescent="0.2">
      <c r="A4900" t="s">
        <v>1</v>
      </c>
      <c r="B4900" t="str">
        <f>"15130856985"</f>
        <v>15130856985</v>
      </c>
      <c r="C4900" t="s">
        <v>1</v>
      </c>
      <c r="D4900" t="s">
        <v>1</v>
      </c>
      <c r="E4900" t="s">
        <v>1</v>
      </c>
      <c r="F4900" t="s">
        <v>0</v>
      </c>
      <c r="G4900" t="str">
        <f>"2018-10-17 12:37:46"</f>
        <v>2018-10-17 12:37:46</v>
      </c>
    </row>
    <row r="4901" spans="1:7" x14ac:dyDescent="0.2">
      <c r="A4901" t="s">
        <v>6009</v>
      </c>
      <c r="B4901" t="str">
        <f>"13595004085"</f>
        <v>13595004085</v>
      </c>
      <c r="C4901" t="str">
        <f>"520102199207098123"</f>
        <v>520102199207098123</v>
      </c>
      <c r="D4901" t="s">
        <v>1</v>
      </c>
      <c r="E4901" t="s">
        <v>1</v>
      </c>
      <c r="F4901" t="s">
        <v>0</v>
      </c>
      <c r="G4901" t="str">
        <f>"2018-10-17 12:45:10"</f>
        <v>2018-10-17 12:45:10</v>
      </c>
    </row>
    <row r="4902" spans="1:7" x14ac:dyDescent="0.2">
      <c r="A4902" t="s">
        <v>1</v>
      </c>
      <c r="B4902" t="str">
        <f>"15326046688"</f>
        <v>15326046688</v>
      </c>
      <c r="C4902" t="s">
        <v>1</v>
      </c>
      <c r="D4902" t="s">
        <v>1</v>
      </c>
      <c r="E4902" t="s">
        <v>1</v>
      </c>
      <c r="F4902" t="s">
        <v>0</v>
      </c>
      <c r="G4902" t="str">
        <f>"2018-10-17 12:38:21"</f>
        <v>2018-10-17 12:38:21</v>
      </c>
    </row>
    <row r="4903" spans="1:7" x14ac:dyDescent="0.2">
      <c r="A4903" t="s">
        <v>1</v>
      </c>
      <c r="B4903" t="str">
        <f>"15071531677"</f>
        <v>15071531677</v>
      </c>
      <c r="C4903" t="s">
        <v>1</v>
      </c>
      <c r="D4903" t="s">
        <v>1</v>
      </c>
      <c r="E4903" t="s">
        <v>1</v>
      </c>
      <c r="F4903" t="s">
        <v>0</v>
      </c>
      <c r="G4903" t="str">
        <f>"2018-10-17 12:36:28"</f>
        <v>2018-10-17 12:36:28</v>
      </c>
    </row>
    <row r="4904" spans="1:7" x14ac:dyDescent="0.2">
      <c r="A4904" t="s">
        <v>6010</v>
      </c>
      <c r="B4904" t="str">
        <f>"18104554779"</f>
        <v>18104554779</v>
      </c>
      <c r="C4904" t="str">
        <f>"232324199201230017"</f>
        <v>232324199201230017</v>
      </c>
      <c r="D4904" t="s">
        <v>1</v>
      </c>
      <c r="E4904" t="s">
        <v>1</v>
      </c>
      <c r="F4904" t="s">
        <v>0</v>
      </c>
      <c r="G4904" t="str">
        <f>"2018-10-18 13:34:14"</f>
        <v>2018-10-18 13:34:14</v>
      </c>
    </row>
    <row r="4905" spans="1:7" x14ac:dyDescent="0.2">
      <c r="A4905" t="s">
        <v>6011</v>
      </c>
      <c r="B4905" t="str">
        <f>"18717401412"</f>
        <v>18717401412</v>
      </c>
      <c r="C4905" t="str">
        <f>"610632199403111011"</f>
        <v>610632199403111011</v>
      </c>
      <c r="D4905" t="s">
        <v>6012</v>
      </c>
      <c r="E4905" t="s">
        <v>6013</v>
      </c>
      <c r="F4905" t="s">
        <v>0</v>
      </c>
      <c r="G4905" t="str">
        <f>"2018-10-17 12:35:53"</f>
        <v>2018-10-17 12:35:53</v>
      </c>
    </row>
    <row r="4906" spans="1:7" x14ac:dyDescent="0.2">
      <c r="A4906" t="s">
        <v>831</v>
      </c>
      <c r="B4906" t="str">
        <f>"15106186126"</f>
        <v>15106186126</v>
      </c>
      <c r="C4906" t="str">
        <f>"511323199109174198"</f>
        <v>511323199109174198</v>
      </c>
      <c r="D4906" t="s">
        <v>1</v>
      </c>
      <c r="E4906" t="s">
        <v>1</v>
      </c>
      <c r="F4906" t="s">
        <v>0</v>
      </c>
      <c r="G4906" t="str">
        <f>"2018-10-17 12:39:12"</f>
        <v>2018-10-17 12:39:12</v>
      </c>
    </row>
    <row r="4907" spans="1:7" x14ac:dyDescent="0.2">
      <c r="A4907" t="s">
        <v>1</v>
      </c>
      <c r="B4907" t="str">
        <f>"18010812550"</f>
        <v>18010812550</v>
      </c>
      <c r="C4907" t="s">
        <v>1</v>
      </c>
      <c r="D4907" t="s">
        <v>1</v>
      </c>
      <c r="E4907" t="s">
        <v>1</v>
      </c>
      <c r="F4907" t="s">
        <v>0</v>
      </c>
      <c r="G4907" t="str">
        <f>"2018-10-17 12:38:17"</f>
        <v>2018-10-17 12:38:17</v>
      </c>
    </row>
    <row r="4908" spans="1:7" x14ac:dyDescent="0.2">
      <c r="A4908" t="s">
        <v>6014</v>
      </c>
      <c r="B4908" t="str">
        <f>"15318505159"</f>
        <v>15318505159</v>
      </c>
      <c r="C4908" t="str">
        <f>"371321199808180942"</f>
        <v>371321199808180942</v>
      </c>
      <c r="D4908" t="s">
        <v>1</v>
      </c>
      <c r="E4908" t="s">
        <v>1</v>
      </c>
      <c r="F4908" t="s">
        <v>0</v>
      </c>
      <c r="G4908" t="str">
        <f>"2018-10-17 12:44:37"</f>
        <v>2018-10-17 12:44:37</v>
      </c>
    </row>
    <row r="4909" spans="1:7" x14ac:dyDescent="0.2">
      <c r="A4909" t="s">
        <v>6015</v>
      </c>
      <c r="B4909" t="str">
        <f>"18985115954"</f>
        <v>18985115954</v>
      </c>
      <c r="C4909" t="str">
        <f>"520102199806175434"</f>
        <v>520102199806175434</v>
      </c>
      <c r="D4909" t="s">
        <v>1</v>
      </c>
      <c r="E4909" t="s">
        <v>1</v>
      </c>
      <c r="F4909" t="s">
        <v>0</v>
      </c>
      <c r="G4909" t="str">
        <f>"2018-10-17 12:39:01"</f>
        <v>2018-10-17 12:39:01</v>
      </c>
    </row>
    <row r="4910" spans="1:7" x14ac:dyDescent="0.2">
      <c r="A4910" t="s">
        <v>1180</v>
      </c>
      <c r="B4910" t="str">
        <f>"18288741400"</f>
        <v>18288741400</v>
      </c>
      <c r="C4910" t="str">
        <f>"530122199406093218"</f>
        <v>530122199406093218</v>
      </c>
      <c r="D4910" t="s">
        <v>1</v>
      </c>
      <c r="E4910" t="s">
        <v>1</v>
      </c>
      <c r="F4910" t="s">
        <v>0</v>
      </c>
      <c r="G4910" t="str">
        <f>"2018-10-17 12:36:31"</f>
        <v>2018-10-17 12:36:31</v>
      </c>
    </row>
    <row r="4911" spans="1:7" x14ac:dyDescent="0.2">
      <c r="A4911" t="s">
        <v>6016</v>
      </c>
      <c r="B4911" t="str">
        <f>"15259628262"</f>
        <v>15259628262</v>
      </c>
      <c r="C4911" t="str">
        <f>"350623199605107248"</f>
        <v>350623199605107248</v>
      </c>
      <c r="D4911" t="s">
        <v>1</v>
      </c>
      <c r="E4911" t="s">
        <v>1</v>
      </c>
      <c r="F4911" t="s">
        <v>0</v>
      </c>
      <c r="G4911" t="str">
        <f>"2018-10-17 12:34:22"</f>
        <v>2018-10-17 12:34:22</v>
      </c>
    </row>
    <row r="4912" spans="1:7" x14ac:dyDescent="0.2">
      <c r="A4912" t="s">
        <v>1</v>
      </c>
      <c r="B4912" t="str">
        <f>"17746900789"</f>
        <v>17746900789</v>
      </c>
      <c r="C4912" t="s">
        <v>1</v>
      </c>
      <c r="D4912" t="s">
        <v>1</v>
      </c>
      <c r="E4912" t="s">
        <v>1</v>
      </c>
      <c r="F4912" t="s">
        <v>0</v>
      </c>
      <c r="G4912" t="str">
        <f>"2018-10-17 12:34:42"</f>
        <v>2018-10-17 12:34:42</v>
      </c>
    </row>
    <row r="4913" spans="1:7" x14ac:dyDescent="0.2">
      <c r="A4913" t="s">
        <v>1777</v>
      </c>
      <c r="B4913" t="str">
        <f>"15032969559"</f>
        <v>15032969559</v>
      </c>
      <c r="C4913" t="str">
        <f>"130923199312090038"</f>
        <v>130923199312090038</v>
      </c>
      <c r="D4913" t="s">
        <v>6017</v>
      </c>
      <c r="E4913" t="s">
        <v>6018</v>
      </c>
      <c r="F4913" t="s">
        <v>0</v>
      </c>
      <c r="G4913" t="str">
        <f>"2018-10-17 12:32:29"</f>
        <v>2018-10-17 12:32:29</v>
      </c>
    </row>
    <row r="4914" spans="1:7" x14ac:dyDescent="0.2">
      <c r="A4914" t="s">
        <v>637</v>
      </c>
      <c r="B4914" t="str">
        <f>"13995823129"</f>
        <v>13995823129</v>
      </c>
      <c r="C4914" t="str">
        <f>"420704198306061630"</f>
        <v>420704198306061630</v>
      </c>
      <c r="D4914" t="s">
        <v>1</v>
      </c>
      <c r="E4914" t="s">
        <v>1</v>
      </c>
      <c r="F4914" t="s">
        <v>0</v>
      </c>
      <c r="G4914" t="str">
        <f>"2018-10-17 12:32:27"</f>
        <v>2018-10-17 12:32:27</v>
      </c>
    </row>
    <row r="4915" spans="1:7" x14ac:dyDescent="0.2">
      <c r="A4915" t="s">
        <v>502</v>
      </c>
      <c r="B4915" t="str">
        <f>"13644006405"</f>
        <v>13644006405</v>
      </c>
      <c r="C4915" t="str">
        <f>"210124198809204019"</f>
        <v>210124198809204019</v>
      </c>
      <c r="D4915" t="s">
        <v>1</v>
      </c>
      <c r="E4915" t="s">
        <v>1</v>
      </c>
      <c r="F4915" t="s">
        <v>0</v>
      </c>
      <c r="G4915" t="str">
        <f>"2018-10-17 12:33:09"</f>
        <v>2018-10-17 12:33:09</v>
      </c>
    </row>
    <row r="4916" spans="1:7" x14ac:dyDescent="0.2">
      <c r="A4916" t="s">
        <v>6019</v>
      </c>
      <c r="B4916" t="str">
        <f>"17753555488"</f>
        <v>17753555488</v>
      </c>
      <c r="C4916" t="str">
        <f>"210403198508213311"</f>
        <v>210403198508213311</v>
      </c>
      <c r="D4916" t="s">
        <v>6020</v>
      </c>
      <c r="E4916" t="s">
        <v>6021</v>
      </c>
      <c r="F4916" t="s">
        <v>0</v>
      </c>
      <c r="G4916" t="str">
        <f>"2018-10-18 16:53:07"</f>
        <v>2018-10-18 16:53:07</v>
      </c>
    </row>
    <row r="4917" spans="1:7" x14ac:dyDescent="0.2">
      <c r="A4917" t="s">
        <v>6022</v>
      </c>
      <c r="B4917" t="str">
        <f>"18909953464"</f>
        <v>18909953464</v>
      </c>
      <c r="C4917" t="str">
        <f>"652122199710041913"</f>
        <v>652122199710041913</v>
      </c>
      <c r="D4917" t="s">
        <v>1</v>
      </c>
      <c r="E4917" t="s">
        <v>1</v>
      </c>
      <c r="F4917" t="s">
        <v>0</v>
      </c>
      <c r="G4917" t="str">
        <f>"2018-10-17 12:30:29"</f>
        <v>2018-10-17 12:30:29</v>
      </c>
    </row>
    <row r="4918" spans="1:7" x14ac:dyDescent="0.2">
      <c r="A4918" t="s">
        <v>6023</v>
      </c>
      <c r="B4918" t="str">
        <f>"18744803588"</f>
        <v>18744803588</v>
      </c>
      <c r="C4918" t="str">
        <f>"522627198103191245"</f>
        <v>522627198103191245</v>
      </c>
      <c r="D4918" t="s">
        <v>6024</v>
      </c>
      <c r="E4918" t="s">
        <v>6025</v>
      </c>
      <c r="F4918" t="s">
        <v>0</v>
      </c>
      <c r="G4918" t="str">
        <f>"2018-10-17 12:31:45"</f>
        <v>2018-10-17 12:31:45</v>
      </c>
    </row>
    <row r="4919" spans="1:7" x14ac:dyDescent="0.2">
      <c r="A4919" t="s">
        <v>1528</v>
      </c>
      <c r="B4919" t="str">
        <f>"13921075442"</f>
        <v>13921075442</v>
      </c>
      <c r="C4919" t="str">
        <f>"320483199012264133"</f>
        <v>320483199012264133</v>
      </c>
      <c r="D4919" t="s">
        <v>1</v>
      </c>
      <c r="E4919" t="s">
        <v>1</v>
      </c>
      <c r="F4919" t="s">
        <v>0</v>
      </c>
      <c r="G4919" t="str">
        <f>"2018-10-17 12:31:03"</f>
        <v>2018-10-17 12:31:03</v>
      </c>
    </row>
    <row r="4920" spans="1:7" x14ac:dyDescent="0.2">
      <c r="A4920" t="s">
        <v>6026</v>
      </c>
      <c r="B4920" t="str">
        <f>"13711008765"</f>
        <v>13711008765</v>
      </c>
      <c r="C4920" t="str">
        <f>"450703199102103492"</f>
        <v>450703199102103492</v>
      </c>
      <c r="D4920" t="s">
        <v>1</v>
      </c>
      <c r="E4920" t="s">
        <v>1</v>
      </c>
      <c r="F4920" t="s">
        <v>0</v>
      </c>
      <c r="G4920" t="str">
        <f>"2018-10-17 12:31:41"</f>
        <v>2018-10-17 12:31:41</v>
      </c>
    </row>
    <row r="4921" spans="1:7" x14ac:dyDescent="0.2">
      <c r="A4921" t="s">
        <v>6027</v>
      </c>
      <c r="B4921" t="str">
        <f>"13177667997"</f>
        <v>13177667997</v>
      </c>
      <c r="C4921" t="str">
        <f>"362502198910064434"</f>
        <v>362502198910064434</v>
      </c>
      <c r="D4921" t="s">
        <v>1</v>
      </c>
      <c r="E4921" t="s">
        <v>1</v>
      </c>
      <c r="F4921" t="s">
        <v>0</v>
      </c>
      <c r="G4921" t="str">
        <f>"2018-10-18 17:22:11"</f>
        <v>2018-10-18 17:22:11</v>
      </c>
    </row>
    <row r="4922" spans="1:7" x14ac:dyDescent="0.2">
      <c r="A4922" t="s">
        <v>6028</v>
      </c>
      <c r="B4922" t="str">
        <f>"18559054572"</f>
        <v>18559054572</v>
      </c>
      <c r="C4922" t="str">
        <f>"362330198610151653"</f>
        <v>362330198610151653</v>
      </c>
      <c r="D4922" t="s">
        <v>1</v>
      </c>
      <c r="E4922" t="s">
        <v>1</v>
      </c>
      <c r="F4922" t="s">
        <v>0</v>
      </c>
      <c r="G4922" t="str">
        <f>"2018-10-17 12:32:26"</f>
        <v>2018-10-17 12:32:26</v>
      </c>
    </row>
    <row r="4923" spans="1:7" x14ac:dyDescent="0.2">
      <c r="A4923" t="s">
        <v>6029</v>
      </c>
      <c r="B4923" t="str">
        <f>"15167136019"</f>
        <v>15167136019</v>
      </c>
      <c r="C4923" t="str">
        <f>"341225198508078647"</f>
        <v>341225198508078647</v>
      </c>
      <c r="D4923" t="s">
        <v>1</v>
      </c>
      <c r="E4923" t="s">
        <v>1</v>
      </c>
      <c r="F4923" t="s">
        <v>0</v>
      </c>
      <c r="G4923" t="str">
        <f>"2018-10-17 13:29:25"</f>
        <v>2018-10-17 13:29:25</v>
      </c>
    </row>
    <row r="4924" spans="1:7" x14ac:dyDescent="0.2">
      <c r="A4924" t="s">
        <v>6030</v>
      </c>
      <c r="B4924" t="str">
        <f>"17325754617"</f>
        <v>17325754617</v>
      </c>
      <c r="C4924" t="str">
        <f>"13063219930110481X"</f>
        <v>13063219930110481X</v>
      </c>
      <c r="D4924" t="s">
        <v>1</v>
      </c>
      <c r="E4924" t="s">
        <v>1</v>
      </c>
      <c r="F4924" t="s">
        <v>0</v>
      </c>
      <c r="G4924" t="str">
        <f>"2018-10-17 12:29:01"</f>
        <v>2018-10-17 12:29:01</v>
      </c>
    </row>
    <row r="4925" spans="1:7" x14ac:dyDescent="0.2">
      <c r="A4925" t="s">
        <v>6031</v>
      </c>
      <c r="B4925" t="str">
        <f>"15248797337"</f>
        <v>15248797337</v>
      </c>
      <c r="C4925" t="str">
        <f>"152102199808140326"</f>
        <v>152102199808140326</v>
      </c>
      <c r="D4925" t="s">
        <v>1</v>
      </c>
      <c r="E4925" t="s">
        <v>1</v>
      </c>
      <c r="F4925" t="s">
        <v>0</v>
      </c>
      <c r="G4925" t="str">
        <f>"2018-10-17 12:29:18"</f>
        <v>2018-10-17 12:29:18</v>
      </c>
    </row>
    <row r="4926" spans="1:7" x14ac:dyDescent="0.2">
      <c r="A4926" t="s">
        <v>6032</v>
      </c>
      <c r="B4926" t="str">
        <f>"18959038308"</f>
        <v>18959038308</v>
      </c>
      <c r="C4926" t="str">
        <f>"352625198110115510"</f>
        <v>352625198110115510</v>
      </c>
      <c r="D4926" t="s">
        <v>1</v>
      </c>
      <c r="E4926" t="s">
        <v>1</v>
      </c>
      <c r="F4926" t="s">
        <v>0</v>
      </c>
      <c r="G4926" t="str">
        <f>"2018-10-17 12:29:58"</f>
        <v>2018-10-17 12:29:58</v>
      </c>
    </row>
    <row r="4927" spans="1:7" x14ac:dyDescent="0.2">
      <c r="A4927" t="s">
        <v>6033</v>
      </c>
      <c r="B4927" t="str">
        <f>"13979694961"</f>
        <v>13979694961</v>
      </c>
      <c r="C4927" t="str">
        <f>"362401198502143617"</f>
        <v>362401198502143617</v>
      </c>
      <c r="D4927" t="s">
        <v>1</v>
      </c>
      <c r="E4927" t="s">
        <v>1</v>
      </c>
      <c r="F4927" t="s">
        <v>0</v>
      </c>
      <c r="G4927" t="str">
        <f>"2018-10-17 12:29:09"</f>
        <v>2018-10-17 12:29:09</v>
      </c>
    </row>
    <row r="4928" spans="1:7" x14ac:dyDescent="0.2">
      <c r="A4928" t="s">
        <v>6034</v>
      </c>
      <c r="B4928" t="str">
        <f>"13055169248"</f>
        <v>13055169248</v>
      </c>
      <c r="C4928" t="str">
        <f>"232303197601201417"</f>
        <v>232303197601201417</v>
      </c>
      <c r="D4928" t="s">
        <v>1</v>
      </c>
      <c r="E4928" t="s">
        <v>1</v>
      </c>
      <c r="F4928" t="s">
        <v>0</v>
      </c>
      <c r="G4928" t="str">
        <f>"2018-10-17 12:33:14"</f>
        <v>2018-10-17 12:33:14</v>
      </c>
    </row>
    <row r="4929" spans="1:7" x14ac:dyDescent="0.2">
      <c r="A4929" t="s">
        <v>6035</v>
      </c>
      <c r="B4929" t="str">
        <f>"18217443373"</f>
        <v>18217443373</v>
      </c>
      <c r="C4929" t="str">
        <f>"220723198802170010"</f>
        <v>220723198802170010</v>
      </c>
      <c r="D4929" t="s">
        <v>1</v>
      </c>
      <c r="E4929" t="s">
        <v>1</v>
      </c>
      <c r="F4929" t="s">
        <v>0</v>
      </c>
      <c r="G4929" t="str">
        <f>"2018-10-17 12:25:50"</f>
        <v>2018-10-17 12:25:50</v>
      </c>
    </row>
    <row r="4930" spans="1:7" x14ac:dyDescent="0.2">
      <c r="A4930" t="s">
        <v>6036</v>
      </c>
      <c r="B4930" t="str">
        <f>"15242969960"</f>
        <v>15242969960</v>
      </c>
      <c r="C4930" t="str">
        <f>"520202198304074423"</f>
        <v>520202198304074423</v>
      </c>
      <c r="D4930" t="s">
        <v>1</v>
      </c>
      <c r="E4930" t="s">
        <v>1</v>
      </c>
      <c r="F4930" t="s">
        <v>0</v>
      </c>
      <c r="G4930" t="str">
        <f>"2018-10-17 12:49:04"</f>
        <v>2018-10-17 12:49:04</v>
      </c>
    </row>
    <row r="4931" spans="1:7" x14ac:dyDescent="0.2">
      <c r="A4931" t="s">
        <v>6037</v>
      </c>
      <c r="B4931" t="str">
        <f>"13797480108"</f>
        <v>13797480108</v>
      </c>
      <c r="C4931" t="str">
        <f>"421081198206170632"</f>
        <v>421081198206170632</v>
      </c>
      <c r="D4931" t="s">
        <v>1</v>
      </c>
      <c r="E4931" t="s">
        <v>1</v>
      </c>
      <c r="F4931" t="s">
        <v>0</v>
      </c>
      <c r="G4931" t="str">
        <f>"2018-10-17 12:28:18"</f>
        <v>2018-10-17 12:28:18</v>
      </c>
    </row>
    <row r="4932" spans="1:7" x14ac:dyDescent="0.2">
      <c r="A4932" t="s">
        <v>1</v>
      </c>
      <c r="B4932" t="str">
        <f>"18357233001"</f>
        <v>18357233001</v>
      </c>
      <c r="C4932" t="s">
        <v>1</v>
      </c>
      <c r="D4932" t="s">
        <v>1</v>
      </c>
      <c r="E4932" t="s">
        <v>1</v>
      </c>
      <c r="F4932" t="s">
        <v>0</v>
      </c>
      <c r="G4932" t="str">
        <f>"2018-10-17 15:41:44"</f>
        <v>2018-10-17 15:41:44</v>
      </c>
    </row>
    <row r="4933" spans="1:7" x14ac:dyDescent="0.2">
      <c r="A4933" t="s">
        <v>1</v>
      </c>
      <c r="B4933" t="str">
        <f>"18249577766"</f>
        <v>18249577766</v>
      </c>
      <c r="C4933" t="s">
        <v>1</v>
      </c>
      <c r="D4933" t="s">
        <v>1</v>
      </c>
      <c r="E4933" t="s">
        <v>1</v>
      </c>
      <c r="F4933" t="s">
        <v>0</v>
      </c>
      <c r="G4933" t="str">
        <f>"2018-10-17 12:24:28"</f>
        <v>2018-10-17 12:24:28</v>
      </c>
    </row>
    <row r="4934" spans="1:7" x14ac:dyDescent="0.2">
      <c r="A4934" t="s">
        <v>6038</v>
      </c>
      <c r="B4934" t="str">
        <f>"15375610127"</f>
        <v>15375610127</v>
      </c>
      <c r="C4934" t="str">
        <f>"340602197901030422"</f>
        <v>340602197901030422</v>
      </c>
      <c r="D4934" t="s">
        <v>1</v>
      </c>
      <c r="E4934" t="s">
        <v>1</v>
      </c>
      <c r="F4934" t="s">
        <v>0</v>
      </c>
      <c r="G4934" t="str">
        <f>"2018-10-27 20:14:24"</f>
        <v>2018-10-27 20:14:24</v>
      </c>
    </row>
    <row r="4935" spans="1:7" x14ac:dyDescent="0.2">
      <c r="A4935" t="s">
        <v>6039</v>
      </c>
      <c r="B4935" t="str">
        <f>"18919307255"</f>
        <v>18919307255</v>
      </c>
      <c r="C4935" t="str">
        <f>"62290119910714501X"</f>
        <v>62290119910714501X</v>
      </c>
      <c r="D4935" t="s">
        <v>1</v>
      </c>
      <c r="E4935" t="s">
        <v>1</v>
      </c>
      <c r="F4935" t="s">
        <v>0</v>
      </c>
      <c r="G4935" t="str">
        <f>"2018-10-22 10:45:19"</f>
        <v>2018-10-22 10:45:19</v>
      </c>
    </row>
    <row r="4936" spans="1:7" x14ac:dyDescent="0.2">
      <c r="A4936" t="s">
        <v>6040</v>
      </c>
      <c r="B4936" t="str">
        <f>"13576583288"</f>
        <v>13576583288</v>
      </c>
      <c r="C4936" t="str">
        <f>"362202199306023319"</f>
        <v>362202199306023319</v>
      </c>
      <c r="D4936" t="s">
        <v>1</v>
      </c>
      <c r="E4936" t="s">
        <v>1</v>
      </c>
      <c r="F4936" t="s">
        <v>0</v>
      </c>
      <c r="G4936" t="str">
        <f>"2018-10-17 12:24:52"</f>
        <v>2018-10-17 12:24:52</v>
      </c>
    </row>
    <row r="4937" spans="1:7" x14ac:dyDescent="0.2">
      <c r="A4937" t="s">
        <v>6041</v>
      </c>
      <c r="B4937" t="str">
        <f>"13097529863"</f>
        <v>13097529863</v>
      </c>
      <c r="C4937" t="str">
        <f>"142601199010065143"</f>
        <v>142601199010065143</v>
      </c>
      <c r="D4937" t="s">
        <v>1</v>
      </c>
      <c r="E4937" t="s">
        <v>1</v>
      </c>
      <c r="F4937" t="s">
        <v>0</v>
      </c>
      <c r="G4937" t="str">
        <f>"2018-10-17 12:25:50"</f>
        <v>2018-10-17 12:25:50</v>
      </c>
    </row>
    <row r="4938" spans="1:7" x14ac:dyDescent="0.2">
      <c r="A4938" t="s">
        <v>1</v>
      </c>
      <c r="B4938" t="str">
        <f>"13559610110"</f>
        <v>13559610110</v>
      </c>
      <c r="C4938" t="s">
        <v>1</v>
      </c>
      <c r="D4938" t="s">
        <v>1</v>
      </c>
      <c r="E4938" t="s">
        <v>1</v>
      </c>
      <c r="F4938" t="s">
        <v>0</v>
      </c>
      <c r="G4938" t="str">
        <f>"2018-10-17 12:21:54"</f>
        <v>2018-10-17 12:21:54</v>
      </c>
    </row>
    <row r="4939" spans="1:7" x14ac:dyDescent="0.2">
      <c r="A4939" t="s">
        <v>6042</v>
      </c>
      <c r="B4939" t="str">
        <f>"18919203636"</f>
        <v>18919203636</v>
      </c>
      <c r="C4939" t="str">
        <f>"622701198009013210"</f>
        <v>622701198009013210</v>
      </c>
      <c r="D4939" t="s">
        <v>1</v>
      </c>
      <c r="E4939" t="s">
        <v>1</v>
      </c>
      <c r="F4939" t="s">
        <v>0</v>
      </c>
      <c r="G4939" t="str">
        <f>"2018-10-17 12:23:34"</f>
        <v>2018-10-17 12:23:34</v>
      </c>
    </row>
    <row r="4940" spans="1:7" x14ac:dyDescent="0.2">
      <c r="A4940" t="s">
        <v>1</v>
      </c>
      <c r="B4940" t="str">
        <f>"18559533753"</f>
        <v>18559533753</v>
      </c>
      <c r="C4940" t="s">
        <v>1</v>
      </c>
      <c r="D4940" t="s">
        <v>1</v>
      </c>
      <c r="E4940" t="s">
        <v>1</v>
      </c>
      <c r="F4940" t="s">
        <v>0</v>
      </c>
      <c r="G4940" t="str">
        <f>"2018-10-17 12:21:20"</f>
        <v>2018-10-17 12:21:20</v>
      </c>
    </row>
    <row r="4941" spans="1:7" x14ac:dyDescent="0.2">
      <c r="A4941" t="s">
        <v>6043</v>
      </c>
      <c r="B4941" t="str">
        <f>"15036009833"</f>
        <v>15036009833</v>
      </c>
      <c r="C4941" t="str">
        <f>"410126197910312511"</f>
        <v>410126197910312511</v>
      </c>
      <c r="D4941" t="s">
        <v>1</v>
      </c>
      <c r="E4941" t="s">
        <v>1</v>
      </c>
      <c r="F4941" t="s">
        <v>0</v>
      </c>
      <c r="G4941" t="str">
        <f>"2018-10-17 12:48:11"</f>
        <v>2018-10-17 12:48:11</v>
      </c>
    </row>
    <row r="4942" spans="1:7" x14ac:dyDescent="0.2">
      <c r="A4942" t="s">
        <v>763</v>
      </c>
      <c r="B4942" t="str">
        <f>"15843419728"</f>
        <v>15843419728</v>
      </c>
      <c r="C4942" t="str">
        <f>"220381199703255015"</f>
        <v>220381199703255015</v>
      </c>
      <c r="D4942" t="s">
        <v>1</v>
      </c>
      <c r="E4942" t="s">
        <v>1</v>
      </c>
      <c r="F4942" t="s">
        <v>0</v>
      </c>
      <c r="G4942" t="str">
        <f>"2018-10-17 12:23:42"</f>
        <v>2018-10-17 12:23:42</v>
      </c>
    </row>
    <row r="4943" spans="1:7" x14ac:dyDescent="0.2">
      <c r="A4943" t="s">
        <v>1</v>
      </c>
      <c r="B4943" t="str">
        <f>"18640076253"</f>
        <v>18640076253</v>
      </c>
      <c r="C4943" t="s">
        <v>1</v>
      </c>
      <c r="D4943" t="s">
        <v>1</v>
      </c>
      <c r="E4943" t="s">
        <v>1</v>
      </c>
      <c r="F4943" t="s">
        <v>0</v>
      </c>
      <c r="G4943" t="str">
        <f>"2018-11-05 09:35:53"</f>
        <v>2018-11-05 09:35:53</v>
      </c>
    </row>
    <row r="4944" spans="1:7" x14ac:dyDescent="0.2">
      <c r="A4944" t="s">
        <v>6044</v>
      </c>
      <c r="B4944" t="str">
        <f>"15837418502"</f>
        <v>15837418502</v>
      </c>
      <c r="C4944" t="str">
        <f>"41108219960128062X"</f>
        <v>41108219960128062X</v>
      </c>
      <c r="D4944" t="s">
        <v>1</v>
      </c>
      <c r="E4944" t="s">
        <v>1</v>
      </c>
      <c r="F4944" t="s">
        <v>0</v>
      </c>
      <c r="G4944" t="str">
        <f>"2018-10-17 12:19:26"</f>
        <v>2018-10-17 12:19:26</v>
      </c>
    </row>
    <row r="4945" spans="1:7" x14ac:dyDescent="0.2">
      <c r="A4945" t="s">
        <v>1294</v>
      </c>
      <c r="B4945" t="str">
        <f>"17773256082"</f>
        <v>17773256082</v>
      </c>
      <c r="C4945" t="str">
        <f>"430381198909282339"</f>
        <v>430381198909282339</v>
      </c>
      <c r="D4945" t="s">
        <v>1</v>
      </c>
      <c r="E4945" t="s">
        <v>1</v>
      </c>
      <c r="F4945" t="s">
        <v>0</v>
      </c>
      <c r="G4945" t="str">
        <f>"2018-10-17 13:54:34"</f>
        <v>2018-10-17 13:54:34</v>
      </c>
    </row>
    <row r="4946" spans="1:7" x14ac:dyDescent="0.2">
      <c r="A4946" t="s">
        <v>6045</v>
      </c>
      <c r="B4946" t="str">
        <f>"18089283058"</f>
        <v>18089283058</v>
      </c>
      <c r="C4946" t="str">
        <f>"610121199009303705"</f>
        <v>610121199009303705</v>
      </c>
      <c r="D4946" t="s">
        <v>1</v>
      </c>
      <c r="E4946" t="s">
        <v>1</v>
      </c>
      <c r="F4946" t="s">
        <v>0</v>
      </c>
      <c r="G4946" t="str">
        <f>"2018-10-17 12:19:26"</f>
        <v>2018-10-17 12:19:26</v>
      </c>
    </row>
    <row r="4947" spans="1:7" x14ac:dyDescent="0.2">
      <c r="A4947" t="s">
        <v>6046</v>
      </c>
      <c r="B4947" t="str">
        <f>"15971155172"</f>
        <v>15971155172</v>
      </c>
      <c r="C4947" t="str">
        <f>"420621199312270418"</f>
        <v>420621199312270418</v>
      </c>
      <c r="D4947" t="s">
        <v>1</v>
      </c>
      <c r="E4947" t="s">
        <v>1</v>
      </c>
      <c r="F4947" t="s">
        <v>0</v>
      </c>
      <c r="G4947" t="str">
        <f>"2018-10-17 12:17:54"</f>
        <v>2018-10-17 12:17:54</v>
      </c>
    </row>
    <row r="4948" spans="1:7" x14ac:dyDescent="0.2">
      <c r="A4948" t="s">
        <v>965</v>
      </c>
      <c r="B4948" t="str">
        <f>"15834180900"</f>
        <v>15834180900</v>
      </c>
      <c r="C4948" t="str">
        <f>"140181198806030219"</f>
        <v>140181198806030219</v>
      </c>
      <c r="D4948" t="s">
        <v>6047</v>
      </c>
      <c r="E4948" t="s">
        <v>6048</v>
      </c>
      <c r="F4948" t="s">
        <v>0</v>
      </c>
      <c r="G4948" t="str">
        <f>"2018-10-17 19:24:49"</f>
        <v>2018-10-17 19:24:49</v>
      </c>
    </row>
    <row r="4949" spans="1:7" x14ac:dyDescent="0.2">
      <c r="A4949" t="s">
        <v>6049</v>
      </c>
      <c r="B4949" t="str">
        <f>"13765636694"</f>
        <v>13765636694</v>
      </c>
      <c r="C4949" t="str">
        <f>"522225199807180042"</f>
        <v>522225199807180042</v>
      </c>
      <c r="D4949" t="s">
        <v>6050</v>
      </c>
      <c r="E4949" t="s">
        <v>6051</v>
      </c>
      <c r="F4949" t="s">
        <v>0</v>
      </c>
      <c r="G4949" t="str">
        <f>"2018-10-17 12:18:13"</f>
        <v>2018-10-17 12:18:13</v>
      </c>
    </row>
    <row r="4950" spans="1:7" x14ac:dyDescent="0.2">
      <c r="A4950" t="s">
        <v>6052</v>
      </c>
      <c r="B4950" t="str">
        <f>"15697299344"</f>
        <v>15697299344</v>
      </c>
      <c r="C4950" t="str">
        <f>"422301198602073418"</f>
        <v>422301198602073418</v>
      </c>
      <c r="D4950" t="s">
        <v>6053</v>
      </c>
      <c r="E4950" t="s">
        <v>6054</v>
      </c>
      <c r="F4950" t="s">
        <v>0</v>
      </c>
      <c r="G4950" t="str">
        <f>"2018-10-17 12:13:59"</f>
        <v>2018-10-17 12:13:59</v>
      </c>
    </row>
    <row r="4951" spans="1:7" x14ac:dyDescent="0.2">
      <c r="A4951" t="s">
        <v>6055</v>
      </c>
      <c r="B4951" t="str">
        <f>"13637693752"</f>
        <v>13637693752</v>
      </c>
      <c r="C4951" t="str">
        <f>"362322198704130319"</f>
        <v>362322198704130319</v>
      </c>
      <c r="D4951" t="s">
        <v>1</v>
      </c>
      <c r="E4951" t="s">
        <v>1</v>
      </c>
      <c r="F4951" t="s">
        <v>0</v>
      </c>
      <c r="G4951" t="str">
        <f>"2018-10-17 12:13:25"</f>
        <v>2018-10-17 12:13:25</v>
      </c>
    </row>
    <row r="4952" spans="1:7" x14ac:dyDescent="0.2">
      <c r="A4952" t="s">
        <v>1</v>
      </c>
      <c r="B4952" t="str">
        <f>"15176127443"</f>
        <v>15176127443</v>
      </c>
      <c r="C4952" t="s">
        <v>1</v>
      </c>
      <c r="D4952" t="s">
        <v>1</v>
      </c>
      <c r="E4952" t="s">
        <v>1</v>
      </c>
      <c r="F4952" t="s">
        <v>0</v>
      </c>
      <c r="G4952" t="str">
        <f>"2018-10-17 12:12:41"</f>
        <v>2018-10-17 12:12:41</v>
      </c>
    </row>
    <row r="4953" spans="1:7" x14ac:dyDescent="0.2">
      <c r="A4953" t="s">
        <v>1</v>
      </c>
      <c r="B4953" t="str">
        <f>"17789815573"</f>
        <v>17789815573</v>
      </c>
      <c r="C4953" t="s">
        <v>1</v>
      </c>
      <c r="D4953" t="s">
        <v>1</v>
      </c>
      <c r="E4953" t="s">
        <v>1</v>
      </c>
      <c r="F4953" t="s">
        <v>0</v>
      </c>
      <c r="G4953" t="str">
        <f>"2018-10-17 12:35:26"</f>
        <v>2018-10-17 12:35:26</v>
      </c>
    </row>
    <row r="4954" spans="1:7" x14ac:dyDescent="0.2">
      <c r="A4954" t="s">
        <v>1</v>
      </c>
      <c r="B4954" t="str">
        <f>"15725250368"</f>
        <v>15725250368</v>
      </c>
      <c r="C4954" t="s">
        <v>1</v>
      </c>
      <c r="D4954" t="s">
        <v>1</v>
      </c>
      <c r="E4954" t="s">
        <v>1</v>
      </c>
      <c r="F4954" t="s">
        <v>0</v>
      </c>
      <c r="G4954" t="str">
        <f>"2018-10-17 12:12:31"</f>
        <v>2018-10-17 12:12:31</v>
      </c>
    </row>
    <row r="4955" spans="1:7" x14ac:dyDescent="0.2">
      <c r="A4955" t="s">
        <v>6056</v>
      </c>
      <c r="B4955" t="str">
        <f>"13154314101"</f>
        <v>13154314101</v>
      </c>
      <c r="C4955" t="str">
        <f>"220202199009195111"</f>
        <v>220202199009195111</v>
      </c>
      <c r="D4955" t="s">
        <v>1</v>
      </c>
      <c r="E4955" t="s">
        <v>1</v>
      </c>
      <c r="F4955" t="s">
        <v>0</v>
      </c>
      <c r="G4955" t="str">
        <f>"2018-10-17 12:13:28"</f>
        <v>2018-10-17 12:13:28</v>
      </c>
    </row>
    <row r="4956" spans="1:7" x14ac:dyDescent="0.2">
      <c r="A4956" t="s">
        <v>6057</v>
      </c>
      <c r="B4956" t="str">
        <f>"15265711792"</f>
        <v>15265711792</v>
      </c>
      <c r="C4956" t="str">
        <f>"370830199311171242"</f>
        <v>370830199311171242</v>
      </c>
      <c r="D4956" t="s">
        <v>1</v>
      </c>
      <c r="E4956" t="s">
        <v>1</v>
      </c>
      <c r="F4956" t="s">
        <v>0</v>
      </c>
      <c r="G4956" t="str">
        <f>"2018-10-17 12:12:23"</f>
        <v>2018-10-17 12:12:23</v>
      </c>
    </row>
    <row r="4957" spans="1:7" x14ac:dyDescent="0.2">
      <c r="A4957" t="s">
        <v>6058</v>
      </c>
      <c r="B4957" t="str">
        <f>"13331220924"</f>
        <v>13331220924</v>
      </c>
      <c r="C4957" t="str">
        <f>"130623198610112716"</f>
        <v>130623198610112716</v>
      </c>
      <c r="D4957" t="s">
        <v>1</v>
      </c>
      <c r="E4957" t="s">
        <v>1</v>
      </c>
      <c r="F4957" t="s">
        <v>0</v>
      </c>
      <c r="G4957" t="str">
        <f>"2018-10-17 12:12:36"</f>
        <v>2018-10-17 12:12:36</v>
      </c>
    </row>
    <row r="4958" spans="1:7" x14ac:dyDescent="0.2">
      <c r="A4958" t="s">
        <v>6059</v>
      </c>
      <c r="B4958" t="str">
        <f>"17633800445"</f>
        <v>17633800445</v>
      </c>
      <c r="C4958" t="str">
        <f>"412825199812162057"</f>
        <v>412825199812162057</v>
      </c>
      <c r="D4958" t="s">
        <v>1</v>
      </c>
      <c r="E4958" t="s">
        <v>1</v>
      </c>
      <c r="F4958" t="s">
        <v>0</v>
      </c>
      <c r="G4958" t="str">
        <f>"2018-10-21 10:12:26"</f>
        <v>2018-10-21 10:12:26</v>
      </c>
    </row>
    <row r="4959" spans="1:7" x14ac:dyDescent="0.2">
      <c r="A4959" t="s">
        <v>6060</v>
      </c>
      <c r="B4959" t="str">
        <f>"13525749555"</f>
        <v>13525749555</v>
      </c>
      <c r="C4959" t="str">
        <f>"412722198507110032"</f>
        <v>412722198507110032</v>
      </c>
      <c r="D4959" t="s">
        <v>1</v>
      </c>
      <c r="E4959" t="s">
        <v>1</v>
      </c>
      <c r="F4959" t="s">
        <v>0</v>
      </c>
      <c r="G4959" t="str">
        <f>"2018-10-17 12:12:22"</f>
        <v>2018-10-17 12:12:22</v>
      </c>
    </row>
    <row r="4960" spans="1:7" x14ac:dyDescent="0.2">
      <c r="A4960" t="s">
        <v>1</v>
      </c>
      <c r="B4960" t="str">
        <f>"13529355822"</f>
        <v>13529355822</v>
      </c>
      <c r="C4960" t="s">
        <v>1</v>
      </c>
      <c r="D4960" t="s">
        <v>1</v>
      </c>
      <c r="E4960" t="s">
        <v>1</v>
      </c>
      <c r="F4960" t="s">
        <v>0</v>
      </c>
      <c r="G4960" t="str">
        <f>"2018-10-17 12:10:11"</f>
        <v>2018-10-17 12:10:11</v>
      </c>
    </row>
    <row r="4961" spans="1:7" x14ac:dyDescent="0.2">
      <c r="A4961" t="s">
        <v>6061</v>
      </c>
      <c r="B4961" t="str">
        <f>"17621781719"</f>
        <v>17621781719</v>
      </c>
      <c r="C4961" t="str">
        <f>"342422199208246079"</f>
        <v>342422199208246079</v>
      </c>
      <c r="D4961" t="s">
        <v>1</v>
      </c>
      <c r="E4961" t="s">
        <v>1</v>
      </c>
      <c r="F4961" t="s">
        <v>0</v>
      </c>
      <c r="G4961" t="str">
        <f>"2018-10-17 13:22:55"</f>
        <v>2018-10-17 13:22:55</v>
      </c>
    </row>
    <row r="4962" spans="1:7" x14ac:dyDescent="0.2">
      <c r="A4962" t="s">
        <v>6062</v>
      </c>
      <c r="B4962" t="str">
        <f>"18388830818"</f>
        <v>18388830818</v>
      </c>
      <c r="C4962" t="str">
        <f>"36232219830607485X"</f>
        <v>36232219830607485X</v>
      </c>
      <c r="D4962" t="s">
        <v>1</v>
      </c>
      <c r="E4962" t="s">
        <v>1</v>
      </c>
      <c r="F4962" t="s">
        <v>0</v>
      </c>
      <c r="G4962" t="str">
        <f>"2018-10-17 12:13:03"</f>
        <v>2018-10-17 12:13:03</v>
      </c>
    </row>
    <row r="4963" spans="1:7" x14ac:dyDescent="0.2">
      <c r="A4963" t="s">
        <v>6063</v>
      </c>
      <c r="B4963" t="str">
        <f>"18009691405"</f>
        <v>18009691405</v>
      </c>
      <c r="C4963" t="str">
        <f>"421127198612211310"</f>
        <v>421127198612211310</v>
      </c>
      <c r="D4963" t="s">
        <v>1</v>
      </c>
      <c r="E4963" t="s">
        <v>1</v>
      </c>
      <c r="F4963" t="s">
        <v>0</v>
      </c>
      <c r="G4963" t="str">
        <f>"2018-10-22 11:57:53"</f>
        <v>2018-10-22 11:57:53</v>
      </c>
    </row>
    <row r="4964" spans="1:7" x14ac:dyDescent="0.2">
      <c r="A4964" t="s">
        <v>6064</v>
      </c>
      <c r="B4964" t="str">
        <f>"18688244112"</f>
        <v>18688244112</v>
      </c>
      <c r="C4964" t="str">
        <f>"330225199111261058"</f>
        <v>330225199111261058</v>
      </c>
      <c r="D4964" t="s">
        <v>6065</v>
      </c>
      <c r="E4964" t="s">
        <v>6066</v>
      </c>
      <c r="F4964" t="s">
        <v>0</v>
      </c>
      <c r="G4964" t="str">
        <f>"2018-10-17 12:19:56"</f>
        <v>2018-10-17 12:19:56</v>
      </c>
    </row>
    <row r="4965" spans="1:7" x14ac:dyDescent="0.2">
      <c r="A4965" t="s">
        <v>1347</v>
      </c>
      <c r="B4965" t="str">
        <f>"15996995990"</f>
        <v>15996995990</v>
      </c>
      <c r="C4965" t="str">
        <f>"320302199009221227"</f>
        <v>320302199009221227</v>
      </c>
      <c r="D4965" t="s">
        <v>1</v>
      </c>
      <c r="E4965" t="s">
        <v>1</v>
      </c>
      <c r="F4965" t="s">
        <v>0</v>
      </c>
      <c r="G4965" t="str">
        <f>"2018-10-31 15:19:44"</f>
        <v>2018-10-31 15:19:44</v>
      </c>
    </row>
    <row r="4966" spans="1:7" x14ac:dyDescent="0.2">
      <c r="A4966" t="s">
        <v>6067</v>
      </c>
      <c r="B4966" t="str">
        <f>"15392189217"</f>
        <v>15392189217</v>
      </c>
      <c r="C4966" t="str">
        <f>"350622199402190049"</f>
        <v>350622199402190049</v>
      </c>
      <c r="D4966" t="s">
        <v>1</v>
      </c>
      <c r="E4966" t="s">
        <v>1</v>
      </c>
      <c r="F4966" t="s">
        <v>0</v>
      </c>
      <c r="G4966" t="str">
        <f>"2018-10-17 12:09:53"</f>
        <v>2018-10-17 12:09:53</v>
      </c>
    </row>
    <row r="4967" spans="1:7" x14ac:dyDescent="0.2">
      <c r="A4967" t="s">
        <v>6068</v>
      </c>
      <c r="B4967" t="str">
        <f>"13284405226"</f>
        <v>13284405226</v>
      </c>
      <c r="C4967" t="str">
        <f>"130131198908014812"</f>
        <v>130131198908014812</v>
      </c>
      <c r="D4967" t="s">
        <v>1</v>
      </c>
      <c r="E4967" t="s">
        <v>1</v>
      </c>
      <c r="F4967" t="s">
        <v>0</v>
      </c>
      <c r="G4967" t="str">
        <f>"2018-10-17 12:08:25"</f>
        <v>2018-10-17 12:08:25</v>
      </c>
    </row>
    <row r="4968" spans="1:7" x14ac:dyDescent="0.2">
      <c r="A4968" t="s">
        <v>6069</v>
      </c>
      <c r="B4968" t="str">
        <f>"13066888068"</f>
        <v>13066888068</v>
      </c>
      <c r="C4968" t="str">
        <f>"520202199408032441"</f>
        <v>520202199408032441</v>
      </c>
      <c r="D4968" t="s">
        <v>1</v>
      </c>
      <c r="E4968" t="s">
        <v>1</v>
      </c>
      <c r="F4968" t="s">
        <v>0</v>
      </c>
      <c r="G4968" t="str">
        <f>"2018-10-17 12:08:19"</f>
        <v>2018-10-17 12:08:19</v>
      </c>
    </row>
    <row r="4969" spans="1:7" x14ac:dyDescent="0.2">
      <c r="A4969" t="s">
        <v>6070</v>
      </c>
      <c r="B4969" t="str">
        <f>"18257324576"</f>
        <v>18257324576</v>
      </c>
      <c r="C4969" t="str">
        <f>"532622199611162517"</f>
        <v>532622199611162517</v>
      </c>
      <c r="D4969" t="s">
        <v>1</v>
      </c>
      <c r="E4969" t="s">
        <v>1</v>
      </c>
      <c r="F4969" t="s">
        <v>0</v>
      </c>
      <c r="G4969" t="str">
        <f>"2018-10-17 12:21:16"</f>
        <v>2018-10-17 12:21:16</v>
      </c>
    </row>
    <row r="4970" spans="1:7" x14ac:dyDescent="0.2">
      <c r="A4970" t="s">
        <v>6071</v>
      </c>
      <c r="B4970" t="str">
        <f>"18237179747"</f>
        <v>18237179747</v>
      </c>
      <c r="C4970" t="str">
        <f>"410224198608292924"</f>
        <v>410224198608292924</v>
      </c>
      <c r="D4970" t="s">
        <v>1</v>
      </c>
      <c r="E4970" t="s">
        <v>1</v>
      </c>
      <c r="F4970" t="s">
        <v>0</v>
      </c>
      <c r="G4970" t="str">
        <f>"2018-10-17 12:08:22"</f>
        <v>2018-10-17 12:08:22</v>
      </c>
    </row>
    <row r="4971" spans="1:7" x14ac:dyDescent="0.2">
      <c r="A4971" t="s">
        <v>6072</v>
      </c>
      <c r="B4971" t="str">
        <f>"18765877868"</f>
        <v>18765877868</v>
      </c>
      <c r="C4971" t="str">
        <f>"370123198907162543"</f>
        <v>370123198907162543</v>
      </c>
      <c r="D4971" t="s">
        <v>1</v>
      </c>
      <c r="E4971" t="s">
        <v>1</v>
      </c>
      <c r="F4971" t="s">
        <v>0</v>
      </c>
      <c r="G4971" t="str">
        <f>"2018-10-17 12:08:39"</f>
        <v>2018-10-17 12:08:39</v>
      </c>
    </row>
    <row r="4972" spans="1:7" x14ac:dyDescent="0.2">
      <c r="A4972" t="s">
        <v>6073</v>
      </c>
      <c r="B4972" t="str">
        <f>"18646188804"</f>
        <v>18646188804</v>
      </c>
      <c r="C4972" t="str">
        <f>"232126198507021469"</f>
        <v>232126198507021469</v>
      </c>
      <c r="D4972" t="s">
        <v>1</v>
      </c>
      <c r="E4972" t="s">
        <v>1</v>
      </c>
      <c r="F4972" t="s">
        <v>0</v>
      </c>
      <c r="G4972" t="str">
        <f>"2018-10-17 12:06:03"</f>
        <v>2018-10-17 12:06:03</v>
      </c>
    </row>
    <row r="4973" spans="1:7" x14ac:dyDescent="0.2">
      <c r="A4973" t="s">
        <v>6074</v>
      </c>
      <c r="B4973" t="str">
        <f>"15125760912"</f>
        <v>15125760912</v>
      </c>
      <c r="C4973" t="str">
        <f>"532301198208072324"</f>
        <v>532301198208072324</v>
      </c>
      <c r="D4973" t="s">
        <v>1</v>
      </c>
      <c r="E4973" t="s">
        <v>1</v>
      </c>
      <c r="F4973" t="s">
        <v>0</v>
      </c>
      <c r="G4973" t="str">
        <f>"2018-10-17 12:12:15"</f>
        <v>2018-10-17 12:12:15</v>
      </c>
    </row>
    <row r="4974" spans="1:7" x14ac:dyDescent="0.2">
      <c r="A4974" t="s">
        <v>6075</v>
      </c>
      <c r="B4974" t="str">
        <f>"18747677071"</f>
        <v>18747677071</v>
      </c>
      <c r="C4974" t="str">
        <f>"152104198403281225"</f>
        <v>152104198403281225</v>
      </c>
      <c r="D4974" t="s">
        <v>1</v>
      </c>
      <c r="E4974" t="s">
        <v>1</v>
      </c>
      <c r="F4974" t="s">
        <v>0</v>
      </c>
      <c r="G4974" t="str">
        <f>"2018-10-17 12:11:49"</f>
        <v>2018-10-17 12:11:49</v>
      </c>
    </row>
    <row r="4975" spans="1:7" x14ac:dyDescent="0.2">
      <c r="A4975" t="s">
        <v>34</v>
      </c>
      <c r="B4975" t="str">
        <f>"17752265425"</f>
        <v>17752265425</v>
      </c>
      <c r="C4975" t="str">
        <f>"622427199501212918"</f>
        <v>622427199501212918</v>
      </c>
      <c r="D4975" t="s">
        <v>6076</v>
      </c>
      <c r="E4975" t="s">
        <v>6077</v>
      </c>
      <c r="F4975" t="s">
        <v>0</v>
      </c>
      <c r="G4975" t="str">
        <f>"2018-10-17 12:05:06"</f>
        <v>2018-10-17 12:05:06</v>
      </c>
    </row>
    <row r="4976" spans="1:7" x14ac:dyDescent="0.2">
      <c r="A4976" t="s">
        <v>6078</v>
      </c>
      <c r="B4976" t="str">
        <f>"18778621513"</f>
        <v>18778621513</v>
      </c>
      <c r="C4976" t="str">
        <f>"452626199704242802"</f>
        <v>452626199704242802</v>
      </c>
      <c r="D4976" t="s">
        <v>6079</v>
      </c>
      <c r="E4976" t="s">
        <v>6080</v>
      </c>
      <c r="F4976" t="s">
        <v>0</v>
      </c>
      <c r="G4976" t="str">
        <f>"2018-10-18 21:12:43"</f>
        <v>2018-10-18 21:12:43</v>
      </c>
    </row>
    <row r="4977" spans="1:7" x14ac:dyDescent="0.2">
      <c r="A4977" t="s">
        <v>6081</v>
      </c>
      <c r="B4977" t="str">
        <f>"17715173002"</f>
        <v>17715173002</v>
      </c>
      <c r="C4977" t="str">
        <f>"320724198503034211"</f>
        <v>320724198503034211</v>
      </c>
      <c r="D4977" t="s">
        <v>1</v>
      </c>
      <c r="E4977" t="s">
        <v>1</v>
      </c>
      <c r="F4977" t="s">
        <v>0</v>
      </c>
      <c r="G4977" t="str">
        <f>"2018-10-17 12:07:58"</f>
        <v>2018-10-17 12:07:58</v>
      </c>
    </row>
    <row r="4978" spans="1:7" x14ac:dyDescent="0.2">
      <c r="A4978" t="s">
        <v>6082</v>
      </c>
      <c r="B4978" t="str">
        <f>"18907006966"</f>
        <v>18907006966</v>
      </c>
      <c r="C4978" t="str">
        <f>"36028119751218074X"</f>
        <v>36028119751218074X</v>
      </c>
      <c r="D4978" t="s">
        <v>6083</v>
      </c>
      <c r="E4978" t="s">
        <v>6084</v>
      </c>
      <c r="F4978" t="s">
        <v>0</v>
      </c>
      <c r="G4978" t="str">
        <f>"2018-10-17 12:01:39"</f>
        <v>2018-10-17 12:01:39</v>
      </c>
    </row>
    <row r="4979" spans="1:7" x14ac:dyDescent="0.2">
      <c r="A4979" t="s">
        <v>6085</v>
      </c>
      <c r="B4979" t="str">
        <f>"13777341822"</f>
        <v>13777341822</v>
      </c>
      <c r="C4979" t="str">
        <f>"330621198602105799"</f>
        <v>330621198602105799</v>
      </c>
      <c r="D4979" t="s">
        <v>6086</v>
      </c>
      <c r="E4979" t="s">
        <v>6087</v>
      </c>
      <c r="F4979" t="s">
        <v>0</v>
      </c>
      <c r="G4979" t="str">
        <f>"2018-10-26 22:05:21"</f>
        <v>2018-10-26 22:05:21</v>
      </c>
    </row>
    <row r="4980" spans="1:7" x14ac:dyDescent="0.2">
      <c r="A4980" t="s">
        <v>1</v>
      </c>
      <c r="B4980" t="str">
        <f>"17709781763"</f>
        <v>17709781763</v>
      </c>
      <c r="C4980" t="s">
        <v>1</v>
      </c>
      <c r="D4980" t="s">
        <v>1</v>
      </c>
      <c r="E4980" t="s">
        <v>1</v>
      </c>
      <c r="F4980" t="s">
        <v>0</v>
      </c>
      <c r="G4980" t="str">
        <f>"2018-10-17 12:00:38"</f>
        <v>2018-10-17 12:00:38</v>
      </c>
    </row>
    <row r="4981" spans="1:7" x14ac:dyDescent="0.2">
      <c r="A4981" t="s">
        <v>6088</v>
      </c>
      <c r="B4981" t="str">
        <f>"15759322868"</f>
        <v>15759322868</v>
      </c>
      <c r="C4981" t="str">
        <f>"352202198103084537"</f>
        <v>352202198103084537</v>
      </c>
      <c r="D4981" t="s">
        <v>6089</v>
      </c>
      <c r="E4981" t="s">
        <v>6090</v>
      </c>
      <c r="F4981" t="s">
        <v>0</v>
      </c>
      <c r="G4981" t="str">
        <f>"2018-10-17 12:00:41"</f>
        <v>2018-10-17 12:00:41</v>
      </c>
    </row>
    <row r="4982" spans="1:7" x14ac:dyDescent="0.2">
      <c r="A4982" t="s">
        <v>6091</v>
      </c>
      <c r="B4982" t="str">
        <f>"18529570012"</f>
        <v>18529570012</v>
      </c>
      <c r="C4982" t="str">
        <f>"522728199705030015"</f>
        <v>522728199705030015</v>
      </c>
      <c r="D4982" t="s">
        <v>1</v>
      </c>
      <c r="E4982" t="s">
        <v>1</v>
      </c>
      <c r="F4982" t="s">
        <v>0</v>
      </c>
      <c r="G4982" t="str">
        <f>"2018-10-17 12:00:08"</f>
        <v>2018-10-17 12:00:08</v>
      </c>
    </row>
    <row r="4983" spans="1:7" x14ac:dyDescent="0.2">
      <c r="A4983" t="s">
        <v>1</v>
      </c>
      <c r="B4983" t="str">
        <f>"15597019466"</f>
        <v>15597019466</v>
      </c>
      <c r="C4983" t="s">
        <v>1</v>
      </c>
      <c r="D4983" t="s">
        <v>1</v>
      </c>
      <c r="E4983" t="s">
        <v>1</v>
      </c>
      <c r="F4983" t="s">
        <v>0</v>
      </c>
      <c r="G4983" t="str">
        <f>"2018-10-17 11:56:43"</f>
        <v>2018-10-17 11:56:43</v>
      </c>
    </row>
    <row r="4984" spans="1:7" x14ac:dyDescent="0.2">
      <c r="A4984" t="s">
        <v>1417</v>
      </c>
      <c r="B4984" t="str">
        <f>"13807253334"</f>
        <v>13807253334</v>
      </c>
      <c r="C4984" t="str">
        <f>"421126198206212813"</f>
        <v>421126198206212813</v>
      </c>
      <c r="D4984" t="s">
        <v>6092</v>
      </c>
      <c r="E4984" t="s">
        <v>6093</v>
      </c>
      <c r="F4984" t="s">
        <v>0</v>
      </c>
      <c r="G4984" t="str">
        <f>"2018-10-17 12:40:36"</f>
        <v>2018-10-17 12:40:36</v>
      </c>
    </row>
    <row r="4985" spans="1:7" x14ac:dyDescent="0.2">
      <c r="A4985" t="s">
        <v>1</v>
      </c>
      <c r="B4985" t="str">
        <f>"15077798577"</f>
        <v>15077798577</v>
      </c>
      <c r="C4985" t="s">
        <v>1</v>
      </c>
      <c r="D4985" t="s">
        <v>1</v>
      </c>
      <c r="E4985" t="s">
        <v>1</v>
      </c>
      <c r="F4985" t="s">
        <v>0</v>
      </c>
      <c r="G4985" t="str">
        <f>"2018-10-17 11:55:07"</f>
        <v>2018-10-17 11:55:07</v>
      </c>
    </row>
    <row r="4986" spans="1:7" x14ac:dyDescent="0.2">
      <c r="A4986" t="s">
        <v>1318</v>
      </c>
      <c r="B4986" t="str">
        <f>"13939161556"</f>
        <v>13939161556</v>
      </c>
      <c r="C4986" t="str">
        <f>"410823197911199310"</f>
        <v>410823197911199310</v>
      </c>
      <c r="D4986" t="s">
        <v>1</v>
      </c>
      <c r="E4986" t="s">
        <v>1</v>
      </c>
      <c r="F4986" t="s">
        <v>0</v>
      </c>
      <c r="G4986" t="str">
        <f>"2018-10-17 11:55:45"</f>
        <v>2018-10-17 11:55:45</v>
      </c>
    </row>
    <row r="4987" spans="1:7" x14ac:dyDescent="0.2">
      <c r="A4987" t="s">
        <v>6094</v>
      </c>
      <c r="B4987" t="str">
        <f>"13211964589"</f>
        <v>13211964589</v>
      </c>
      <c r="C4987" t="str">
        <f>"530122199903300820"</f>
        <v>530122199903300820</v>
      </c>
      <c r="D4987" t="s">
        <v>6095</v>
      </c>
      <c r="E4987" t="s">
        <v>6096</v>
      </c>
      <c r="F4987" t="s">
        <v>0</v>
      </c>
      <c r="G4987" t="str">
        <f>"2018-10-17 11:58:07"</f>
        <v>2018-10-17 11:58:07</v>
      </c>
    </row>
    <row r="4988" spans="1:7" x14ac:dyDescent="0.2">
      <c r="A4988" t="s">
        <v>6097</v>
      </c>
      <c r="B4988" t="str">
        <f>"15867762580"</f>
        <v>15867762580</v>
      </c>
      <c r="C4988" t="str">
        <f>"500223199610074117"</f>
        <v>500223199610074117</v>
      </c>
      <c r="D4988" t="s">
        <v>1</v>
      </c>
      <c r="E4988" t="s">
        <v>1</v>
      </c>
      <c r="F4988" t="s">
        <v>0</v>
      </c>
      <c r="G4988" t="str">
        <f>"2018-10-17 11:55:18"</f>
        <v>2018-10-17 11:55:18</v>
      </c>
    </row>
    <row r="4989" spans="1:7" x14ac:dyDescent="0.2">
      <c r="A4989" t="s">
        <v>611</v>
      </c>
      <c r="B4989" t="str">
        <f>"17683102901"</f>
        <v>17683102901</v>
      </c>
      <c r="C4989" t="str">
        <f>"511527199609050323"</f>
        <v>511527199609050323</v>
      </c>
      <c r="D4989" t="s">
        <v>1</v>
      </c>
      <c r="E4989" t="s">
        <v>1</v>
      </c>
      <c r="F4989" t="s">
        <v>0</v>
      </c>
      <c r="G4989" t="str">
        <f>"2018-10-17 11:54:22"</f>
        <v>2018-10-17 11:54:22</v>
      </c>
    </row>
    <row r="4990" spans="1:7" x14ac:dyDescent="0.2">
      <c r="A4990" t="s">
        <v>1</v>
      </c>
      <c r="B4990" t="str">
        <f>"13660727090"</f>
        <v>13660727090</v>
      </c>
      <c r="C4990" t="s">
        <v>1</v>
      </c>
      <c r="D4990" t="s">
        <v>1</v>
      </c>
      <c r="E4990" t="s">
        <v>1</v>
      </c>
      <c r="F4990" t="s">
        <v>0</v>
      </c>
      <c r="G4990" t="str">
        <f>"2018-10-17 11:53:00"</f>
        <v>2018-10-17 11:53:00</v>
      </c>
    </row>
    <row r="4991" spans="1:7" x14ac:dyDescent="0.2">
      <c r="A4991" t="s">
        <v>6098</v>
      </c>
      <c r="B4991" t="str">
        <f>"15279963190"</f>
        <v>15279963190</v>
      </c>
      <c r="C4991" t="str">
        <f>"360312198510071029"</f>
        <v>360312198510071029</v>
      </c>
      <c r="D4991" t="s">
        <v>1</v>
      </c>
      <c r="E4991" t="s">
        <v>1</v>
      </c>
      <c r="F4991" t="s">
        <v>0</v>
      </c>
      <c r="G4991" t="str">
        <f>"2018-10-17 11:54:30"</f>
        <v>2018-10-17 11:54:30</v>
      </c>
    </row>
    <row r="4992" spans="1:7" x14ac:dyDescent="0.2">
      <c r="A4992" t="s">
        <v>545</v>
      </c>
      <c r="B4992" t="str">
        <f>"18206844332"</f>
        <v>18206844332</v>
      </c>
      <c r="C4992" t="str">
        <f>"530124199404172011"</f>
        <v>530124199404172011</v>
      </c>
      <c r="D4992" t="s">
        <v>1</v>
      </c>
      <c r="E4992" t="s">
        <v>1</v>
      </c>
      <c r="F4992" t="s">
        <v>0</v>
      </c>
      <c r="G4992" t="str">
        <f>"2018-10-17 12:06:29"</f>
        <v>2018-10-17 12:06:29</v>
      </c>
    </row>
    <row r="4993" spans="1:7" x14ac:dyDescent="0.2">
      <c r="A4993" t="s">
        <v>6099</v>
      </c>
      <c r="B4993" t="str">
        <f>"15168994998"</f>
        <v>15168994998</v>
      </c>
      <c r="C4993" t="str">
        <f>"371327199505020210"</f>
        <v>371327199505020210</v>
      </c>
      <c r="D4993" t="s">
        <v>1</v>
      </c>
      <c r="E4993" t="s">
        <v>1</v>
      </c>
      <c r="F4993" t="s">
        <v>0</v>
      </c>
      <c r="G4993" t="str">
        <f>"2018-10-17 11:52:12"</f>
        <v>2018-10-17 11:52:12</v>
      </c>
    </row>
    <row r="4994" spans="1:7" x14ac:dyDescent="0.2">
      <c r="A4994" t="s">
        <v>1</v>
      </c>
      <c r="B4994" t="str">
        <f>"13299404246"</f>
        <v>13299404246</v>
      </c>
      <c r="C4994" t="s">
        <v>1</v>
      </c>
      <c r="D4994" t="s">
        <v>1</v>
      </c>
      <c r="E4994" t="s">
        <v>1</v>
      </c>
      <c r="F4994" t="s">
        <v>0</v>
      </c>
      <c r="G4994" t="str">
        <f>"2018-10-17 11:51:00"</f>
        <v>2018-10-17 11:51:00</v>
      </c>
    </row>
    <row r="4995" spans="1:7" x14ac:dyDescent="0.2">
      <c r="A4995" t="s">
        <v>1387</v>
      </c>
      <c r="B4995" t="str">
        <f>"18083646667"</f>
        <v>18083646667</v>
      </c>
      <c r="C4995" t="str">
        <f>"522121198911055019"</f>
        <v>522121198911055019</v>
      </c>
      <c r="D4995" t="s">
        <v>1</v>
      </c>
      <c r="E4995" t="s">
        <v>1</v>
      </c>
      <c r="F4995" t="s">
        <v>0</v>
      </c>
      <c r="G4995" t="str">
        <f>"2018-10-26 10:17:06"</f>
        <v>2018-10-26 10:17:06</v>
      </c>
    </row>
    <row r="4996" spans="1:7" x14ac:dyDescent="0.2">
      <c r="A4996" t="s">
        <v>6100</v>
      </c>
      <c r="B4996" t="str">
        <f>"13750951179"</f>
        <v>13750951179</v>
      </c>
      <c r="C4996" t="str">
        <f>"431224199310061137"</f>
        <v>431224199310061137</v>
      </c>
      <c r="D4996" t="s">
        <v>1</v>
      </c>
      <c r="E4996" t="s">
        <v>1</v>
      </c>
      <c r="F4996" t="s">
        <v>0</v>
      </c>
      <c r="G4996" t="str">
        <f>"2018-10-17 11:53:05"</f>
        <v>2018-10-17 11:53:05</v>
      </c>
    </row>
    <row r="4997" spans="1:7" x14ac:dyDescent="0.2">
      <c r="A4997" t="s">
        <v>6101</v>
      </c>
      <c r="B4997" t="str">
        <f>"13602283371"</f>
        <v>13602283371</v>
      </c>
      <c r="C4997" t="str">
        <f>"532322199807010324"</f>
        <v>532322199807010324</v>
      </c>
      <c r="D4997" t="s">
        <v>1</v>
      </c>
      <c r="E4997" t="s">
        <v>1</v>
      </c>
      <c r="F4997" t="s">
        <v>0</v>
      </c>
      <c r="G4997" t="str">
        <f>"2018-10-17 11:52:04"</f>
        <v>2018-10-17 11:52:04</v>
      </c>
    </row>
    <row r="4998" spans="1:7" x14ac:dyDescent="0.2">
      <c r="A4998" t="s">
        <v>1</v>
      </c>
      <c r="B4998" t="str">
        <f>"15706423520"</f>
        <v>15706423520</v>
      </c>
      <c r="C4998" t="s">
        <v>1</v>
      </c>
      <c r="D4998" t="s">
        <v>1</v>
      </c>
      <c r="E4998" t="s">
        <v>1</v>
      </c>
      <c r="F4998" t="s">
        <v>0</v>
      </c>
      <c r="G4998" t="str">
        <f>"2018-10-17 11:50:14"</f>
        <v>2018-10-17 11:50:14</v>
      </c>
    </row>
    <row r="4999" spans="1:7" x14ac:dyDescent="0.2">
      <c r="A4999" t="s">
        <v>6102</v>
      </c>
      <c r="B4999" t="str">
        <f>"13566638263"</f>
        <v>13566638263</v>
      </c>
      <c r="C4999" t="str">
        <f>"330203198007140616"</f>
        <v>330203198007140616</v>
      </c>
      <c r="D4999" t="s">
        <v>1</v>
      </c>
      <c r="E4999" t="s">
        <v>1</v>
      </c>
      <c r="F4999" t="s">
        <v>0</v>
      </c>
      <c r="G4999" t="str">
        <f>"2018-10-23 13:53:00"</f>
        <v>2018-10-23 13:53:00</v>
      </c>
    </row>
    <row r="5000" spans="1:7" x14ac:dyDescent="0.2">
      <c r="A5000" t="s">
        <v>6103</v>
      </c>
      <c r="B5000" t="str">
        <f>"13873353111"</f>
        <v>13873353111</v>
      </c>
      <c r="C5000" t="str">
        <f>"430281198608059138"</f>
        <v>430281198608059138</v>
      </c>
      <c r="D5000" t="s">
        <v>6104</v>
      </c>
      <c r="E5000" t="s">
        <v>6105</v>
      </c>
      <c r="F5000" t="s">
        <v>0</v>
      </c>
      <c r="G5000" t="str">
        <f>"2018-10-17 19:16:13"</f>
        <v>2018-10-17 19:16:13</v>
      </c>
    </row>
    <row r="5001" spans="1:7" x14ac:dyDescent="0.2">
      <c r="A5001" t="s">
        <v>6106</v>
      </c>
      <c r="B5001" t="str">
        <f>"15734912354"</f>
        <v>15734912354</v>
      </c>
      <c r="C5001" t="str">
        <f>"140622199708154252"</f>
        <v>140622199708154252</v>
      </c>
      <c r="D5001" t="s">
        <v>6107</v>
      </c>
      <c r="E5001" t="s">
        <v>6108</v>
      </c>
      <c r="F5001" t="s">
        <v>0</v>
      </c>
      <c r="G5001" t="str">
        <f>"2018-10-17 11:56:30"</f>
        <v>2018-10-17 11:56:30</v>
      </c>
    </row>
    <row r="5002" spans="1:7" x14ac:dyDescent="0.2">
      <c r="A5002" t="s">
        <v>1</v>
      </c>
      <c r="B5002" t="str">
        <f>"18575528116"</f>
        <v>18575528116</v>
      </c>
      <c r="C5002" t="s">
        <v>1</v>
      </c>
      <c r="D5002" t="s">
        <v>1</v>
      </c>
      <c r="E5002" t="s">
        <v>1</v>
      </c>
      <c r="F5002" t="s">
        <v>0</v>
      </c>
      <c r="G5002" t="str">
        <f>"2018-10-17 11:49:51"</f>
        <v>2018-10-17 11:49:51</v>
      </c>
    </row>
    <row r="5003" spans="1:7" x14ac:dyDescent="0.2">
      <c r="A5003" t="s">
        <v>1</v>
      </c>
      <c r="B5003" t="str">
        <f>"13527801862"</f>
        <v>13527801862</v>
      </c>
      <c r="C5003" t="s">
        <v>1</v>
      </c>
      <c r="D5003" t="s">
        <v>1</v>
      </c>
      <c r="E5003" t="s">
        <v>1</v>
      </c>
      <c r="F5003" t="s">
        <v>0</v>
      </c>
      <c r="G5003" t="str">
        <f>"2018-10-17 11:50:29"</f>
        <v>2018-10-17 11:50:29</v>
      </c>
    </row>
    <row r="5004" spans="1:7" x14ac:dyDescent="0.2">
      <c r="A5004" t="s">
        <v>6109</v>
      </c>
      <c r="B5004" t="str">
        <f>"15383100227"</f>
        <v>15383100227</v>
      </c>
      <c r="C5004" t="str">
        <f>"13042619860815005X"</f>
        <v>13042619860815005X</v>
      </c>
      <c r="D5004" t="s">
        <v>1</v>
      </c>
      <c r="E5004" t="s">
        <v>1</v>
      </c>
      <c r="F5004" t="s">
        <v>0</v>
      </c>
      <c r="G5004" t="str">
        <f>"2018-10-17 11:47:32"</f>
        <v>2018-10-17 11:47:32</v>
      </c>
    </row>
    <row r="5005" spans="1:7" x14ac:dyDescent="0.2">
      <c r="A5005" t="s">
        <v>6110</v>
      </c>
      <c r="B5005" t="str">
        <f>"18716411977"</f>
        <v>18716411977</v>
      </c>
      <c r="C5005" t="str">
        <f>"500113199106289444"</f>
        <v>500113199106289444</v>
      </c>
      <c r="D5005" t="s">
        <v>1</v>
      </c>
      <c r="E5005" t="s">
        <v>1</v>
      </c>
      <c r="F5005" t="s">
        <v>0</v>
      </c>
      <c r="G5005" t="str">
        <f>"2018-10-17 11:48:13"</f>
        <v>2018-10-17 11:48:13</v>
      </c>
    </row>
    <row r="5006" spans="1:7" x14ac:dyDescent="0.2">
      <c r="A5006" t="s">
        <v>6111</v>
      </c>
      <c r="B5006" t="str">
        <f>"13778581523"</f>
        <v>13778581523</v>
      </c>
      <c r="C5006" t="str">
        <f>"510322199304140690"</f>
        <v>510322199304140690</v>
      </c>
      <c r="D5006" t="s">
        <v>1</v>
      </c>
      <c r="E5006" t="s">
        <v>1</v>
      </c>
      <c r="F5006" t="s">
        <v>0</v>
      </c>
      <c r="G5006" t="str">
        <f>"2018-10-17 11:51:57"</f>
        <v>2018-10-17 11:51:57</v>
      </c>
    </row>
    <row r="5007" spans="1:7" x14ac:dyDescent="0.2">
      <c r="A5007" t="s">
        <v>174</v>
      </c>
      <c r="B5007" t="str">
        <f>"13358838383"</f>
        <v>13358838383</v>
      </c>
      <c r="C5007" t="str">
        <f>"21140319740126844X"</f>
        <v>21140319740126844X</v>
      </c>
      <c r="D5007" t="s">
        <v>1</v>
      </c>
      <c r="E5007" t="s">
        <v>1</v>
      </c>
      <c r="F5007" t="s">
        <v>0</v>
      </c>
      <c r="G5007" t="str">
        <f>"2018-10-17 11:46:42"</f>
        <v>2018-10-17 11:46:42</v>
      </c>
    </row>
    <row r="5008" spans="1:7" x14ac:dyDescent="0.2">
      <c r="A5008" t="s">
        <v>1</v>
      </c>
      <c r="B5008" t="str">
        <f>"13788751244"</f>
        <v>13788751244</v>
      </c>
      <c r="C5008" t="s">
        <v>1</v>
      </c>
      <c r="D5008" t="s">
        <v>1</v>
      </c>
      <c r="E5008" t="s">
        <v>1</v>
      </c>
      <c r="F5008" t="s">
        <v>0</v>
      </c>
      <c r="G5008" t="str">
        <f>"2018-10-17 11:46:39"</f>
        <v>2018-10-17 11:46:39</v>
      </c>
    </row>
    <row r="5009" spans="1:7" x14ac:dyDescent="0.2">
      <c r="A5009" t="s">
        <v>1</v>
      </c>
      <c r="B5009" t="str">
        <f>"13257720297"</f>
        <v>13257720297</v>
      </c>
      <c r="C5009" t="s">
        <v>1</v>
      </c>
      <c r="D5009" t="s">
        <v>1</v>
      </c>
      <c r="E5009" t="s">
        <v>1</v>
      </c>
      <c r="F5009" t="s">
        <v>0</v>
      </c>
      <c r="G5009" t="str">
        <f>"2018-10-17 11:45:56"</f>
        <v>2018-10-17 11:45:56</v>
      </c>
    </row>
    <row r="5010" spans="1:7" x14ac:dyDescent="0.2">
      <c r="A5010" t="s">
        <v>1</v>
      </c>
      <c r="B5010" t="str">
        <f>"13244188885"</f>
        <v>13244188885</v>
      </c>
      <c r="C5010" t="s">
        <v>1</v>
      </c>
      <c r="D5010" t="s">
        <v>1</v>
      </c>
      <c r="E5010" t="s">
        <v>1</v>
      </c>
      <c r="F5010" t="s">
        <v>0</v>
      </c>
      <c r="G5010" t="str">
        <f>"2018-10-17 11:45:01"</f>
        <v>2018-10-17 11:45:01</v>
      </c>
    </row>
    <row r="5011" spans="1:7" x14ac:dyDescent="0.2">
      <c r="A5011" t="s">
        <v>6112</v>
      </c>
      <c r="B5011" t="str">
        <f>"15843091148"</f>
        <v>15843091148</v>
      </c>
      <c r="C5011" t="str">
        <f>"220122198612170053"</f>
        <v>220122198612170053</v>
      </c>
      <c r="D5011" t="s">
        <v>1</v>
      </c>
      <c r="E5011" t="s">
        <v>1</v>
      </c>
      <c r="F5011" t="s">
        <v>0</v>
      </c>
      <c r="G5011" t="str">
        <f>"2018-10-17 12:49:14"</f>
        <v>2018-10-17 12:49:14</v>
      </c>
    </row>
    <row r="5012" spans="1:7" x14ac:dyDescent="0.2">
      <c r="A5012" t="s">
        <v>6113</v>
      </c>
      <c r="B5012" t="str">
        <f>"13859569742"</f>
        <v>13859569742</v>
      </c>
      <c r="C5012" t="str">
        <f>"352624197407035318"</f>
        <v>352624197407035318</v>
      </c>
      <c r="D5012" t="s">
        <v>1</v>
      </c>
      <c r="E5012" t="s">
        <v>1</v>
      </c>
      <c r="F5012" t="s">
        <v>0</v>
      </c>
      <c r="G5012" t="str">
        <f>"2018-10-17 11:47:00"</f>
        <v>2018-10-17 11:47:00</v>
      </c>
    </row>
    <row r="5013" spans="1:7" x14ac:dyDescent="0.2">
      <c r="A5013" t="s">
        <v>1</v>
      </c>
      <c r="B5013" t="str">
        <f>"15934464189"</f>
        <v>15934464189</v>
      </c>
      <c r="C5013" t="s">
        <v>1</v>
      </c>
      <c r="D5013" t="s">
        <v>1</v>
      </c>
      <c r="E5013" t="s">
        <v>1</v>
      </c>
      <c r="F5013" t="s">
        <v>0</v>
      </c>
      <c r="G5013" t="str">
        <f>"2018-10-17 11:44:56"</f>
        <v>2018-10-17 11:44:56</v>
      </c>
    </row>
    <row r="5014" spans="1:7" x14ac:dyDescent="0.2">
      <c r="A5014" t="s">
        <v>6114</v>
      </c>
      <c r="B5014" t="str">
        <f>"18469515865"</f>
        <v>18469515865</v>
      </c>
      <c r="C5014" t="str">
        <f>"532625199604100333"</f>
        <v>532625199604100333</v>
      </c>
      <c r="D5014" t="s">
        <v>1</v>
      </c>
      <c r="E5014" t="s">
        <v>1</v>
      </c>
      <c r="F5014" t="s">
        <v>0</v>
      </c>
      <c r="G5014" t="str">
        <f>"2018-10-28 16:33:08"</f>
        <v>2018-10-28 16:33:08</v>
      </c>
    </row>
    <row r="5015" spans="1:7" x14ac:dyDescent="0.2">
      <c r="A5015" t="s">
        <v>6115</v>
      </c>
      <c r="B5015" t="str">
        <f>"13108951455"</f>
        <v>13108951455</v>
      </c>
      <c r="C5015" t="str">
        <f>"500224199212286276"</f>
        <v>500224199212286276</v>
      </c>
      <c r="D5015" t="s">
        <v>6116</v>
      </c>
      <c r="E5015" t="s">
        <v>6117</v>
      </c>
      <c r="F5015" t="s">
        <v>0</v>
      </c>
      <c r="G5015" t="str">
        <f>"2018-10-17 11:46:07"</f>
        <v>2018-10-17 11:46:07</v>
      </c>
    </row>
    <row r="5016" spans="1:7" x14ac:dyDescent="0.2">
      <c r="A5016" t="s">
        <v>6118</v>
      </c>
      <c r="B5016" t="str">
        <f>"18600436660"</f>
        <v>18600436660</v>
      </c>
      <c r="C5016" t="str">
        <f>"230302199009204038"</f>
        <v>230302199009204038</v>
      </c>
      <c r="D5016" t="s">
        <v>1</v>
      </c>
      <c r="E5016" t="s">
        <v>1</v>
      </c>
      <c r="F5016" t="s">
        <v>0</v>
      </c>
      <c r="G5016" t="str">
        <f>"2018-10-17 11:53:33"</f>
        <v>2018-10-17 11:53:33</v>
      </c>
    </row>
    <row r="5017" spans="1:7" x14ac:dyDescent="0.2">
      <c r="A5017" t="s">
        <v>6119</v>
      </c>
      <c r="B5017" t="str">
        <f>"18636817606"</f>
        <v>18636817606</v>
      </c>
      <c r="C5017" t="str">
        <f>"140181198508164235"</f>
        <v>140181198508164235</v>
      </c>
      <c r="D5017" t="s">
        <v>1</v>
      </c>
      <c r="E5017" t="s">
        <v>1</v>
      </c>
      <c r="F5017" t="s">
        <v>0</v>
      </c>
      <c r="G5017" t="str">
        <f>"2018-10-19 22:53:23"</f>
        <v>2018-10-19 22:53:23</v>
      </c>
    </row>
    <row r="5018" spans="1:7" x14ac:dyDescent="0.2">
      <c r="A5018" t="s">
        <v>6120</v>
      </c>
      <c r="B5018" t="str">
        <f>"15509599515"</f>
        <v>15509599515</v>
      </c>
      <c r="C5018" t="str">
        <f>"640102199005300941"</f>
        <v>640102199005300941</v>
      </c>
      <c r="D5018" t="s">
        <v>1</v>
      </c>
      <c r="E5018" t="s">
        <v>1</v>
      </c>
      <c r="F5018" t="s">
        <v>0</v>
      </c>
      <c r="G5018" t="str">
        <f>"2018-10-17 11:42:49"</f>
        <v>2018-10-17 11:42:49</v>
      </c>
    </row>
    <row r="5019" spans="1:7" x14ac:dyDescent="0.2">
      <c r="A5019" t="s">
        <v>6121</v>
      </c>
      <c r="B5019" t="str">
        <f>"13426869254"</f>
        <v>13426869254</v>
      </c>
      <c r="C5019" t="str">
        <f>"441702199307122833"</f>
        <v>441702199307122833</v>
      </c>
      <c r="D5019" t="s">
        <v>1</v>
      </c>
      <c r="E5019" t="s">
        <v>1</v>
      </c>
      <c r="F5019" t="s">
        <v>0</v>
      </c>
      <c r="G5019" t="str">
        <f>"2018-10-17 11:46:08"</f>
        <v>2018-10-17 11:46:08</v>
      </c>
    </row>
    <row r="5020" spans="1:7" x14ac:dyDescent="0.2">
      <c r="A5020" t="s">
        <v>1</v>
      </c>
      <c r="B5020" t="str">
        <f>"15861316072"</f>
        <v>15861316072</v>
      </c>
      <c r="C5020" t="s">
        <v>1</v>
      </c>
      <c r="D5020" t="s">
        <v>1</v>
      </c>
      <c r="E5020" t="s">
        <v>1</v>
      </c>
      <c r="F5020" t="s">
        <v>0</v>
      </c>
      <c r="G5020" t="str">
        <f>"2018-10-17 11:41:54"</f>
        <v>2018-10-17 11:41:54</v>
      </c>
    </row>
    <row r="5021" spans="1:7" x14ac:dyDescent="0.2">
      <c r="A5021" t="s">
        <v>6122</v>
      </c>
      <c r="B5021" t="str">
        <f>"13511919835"</f>
        <v>13511919835</v>
      </c>
      <c r="C5021" t="str">
        <f>"520181198511175219"</f>
        <v>520181198511175219</v>
      </c>
      <c r="D5021" t="s">
        <v>1</v>
      </c>
      <c r="E5021" t="s">
        <v>1</v>
      </c>
      <c r="F5021" t="s">
        <v>0</v>
      </c>
      <c r="G5021" t="str">
        <f>"2018-10-17 11:44:23"</f>
        <v>2018-10-17 11:44:23</v>
      </c>
    </row>
    <row r="5022" spans="1:7" x14ac:dyDescent="0.2">
      <c r="A5022" t="s">
        <v>582</v>
      </c>
      <c r="B5022" t="str">
        <f>"15068398135"</f>
        <v>15068398135</v>
      </c>
      <c r="C5022" t="str">
        <f>"330425199010306414"</f>
        <v>330425199010306414</v>
      </c>
      <c r="D5022" t="s">
        <v>1</v>
      </c>
      <c r="E5022" t="s">
        <v>1</v>
      </c>
      <c r="F5022" t="s">
        <v>0</v>
      </c>
      <c r="G5022" t="str">
        <f>"2018-10-30 13:26:27"</f>
        <v>2018-10-30 13:26:27</v>
      </c>
    </row>
    <row r="5023" spans="1:7" x14ac:dyDescent="0.2">
      <c r="A5023" t="s">
        <v>6123</v>
      </c>
      <c r="B5023" t="str">
        <f>"18842665923"</f>
        <v>18842665923</v>
      </c>
      <c r="C5023" t="str">
        <f>"210213198803250029"</f>
        <v>210213198803250029</v>
      </c>
      <c r="D5023" t="s">
        <v>1</v>
      </c>
      <c r="E5023" t="s">
        <v>1</v>
      </c>
      <c r="F5023" t="s">
        <v>0</v>
      </c>
      <c r="G5023" t="str">
        <f>"2018-10-17 11:44:49"</f>
        <v>2018-10-17 11:44:49</v>
      </c>
    </row>
    <row r="5024" spans="1:7" x14ac:dyDescent="0.2">
      <c r="A5024" t="s">
        <v>1</v>
      </c>
      <c r="B5024" t="str">
        <f>"18660624113"</f>
        <v>18660624113</v>
      </c>
      <c r="C5024" t="s">
        <v>1</v>
      </c>
      <c r="D5024" t="s">
        <v>1</v>
      </c>
      <c r="E5024" t="s">
        <v>1</v>
      </c>
      <c r="F5024" t="s">
        <v>0</v>
      </c>
      <c r="G5024" t="str">
        <f>"2018-10-17 11:39:46"</f>
        <v>2018-10-17 11:39:46</v>
      </c>
    </row>
    <row r="5025" spans="1:7" x14ac:dyDescent="0.2">
      <c r="A5025" t="s">
        <v>6124</v>
      </c>
      <c r="B5025" t="str">
        <f>"18057933936"</f>
        <v>18057933936</v>
      </c>
      <c r="C5025" t="str">
        <f>"350583199403108921"</f>
        <v>350583199403108921</v>
      </c>
      <c r="D5025" t="s">
        <v>1</v>
      </c>
      <c r="E5025" t="s">
        <v>1</v>
      </c>
      <c r="F5025" t="s">
        <v>0</v>
      </c>
      <c r="G5025" t="str">
        <f>"2018-10-17 11:41:29"</f>
        <v>2018-10-17 11:41:29</v>
      </c>
    </row>
    <row r="5026" spans="1:7" x14ac:dyDescent="0.2">
      <c r="A5026" t="s">
        <v>4324</v>
      </c>
      <c r="B5026" t="str">
        <f>"17649839243"</f>
        <v>17649839243</v>
      </c>
      <c r="C5026" t="str">
        <f>"220422199712185915"</f>
        <v>220422199712185915</v>
      </c>
      <c r="D5026" t="s">
        <v>6125</v>
      </c>
      <c r="E5026" t="s">
        <v>6126</v>
      </c>
      <c r="F5026" t="s">
        <v>0</v>
      </c>
      <c r="G5026" t="str">
        <f>"2018-10-17 11:54:05"</f>
        <v>2018-10-17 11:54:05</v>
      </c>
    </row>
    <row r="5027" spans="1:7" x14ac:dyDescent="0.2">
      <c r="A5027" t="s">
        <v>6127</v>
      </c>
      <c r="B5027" t="str">
        <f>"13949387288"</f>
        <v>13949387288</v>
      </c>
      <c r="C5027" t="str">
        <f>"412924197209254280"</f>
        <v>412924197209254280</v>
      </c>
      <c r="D5027" t="s">
        <v>1</v>
      </c>
      <c r="E5027" t="s">
        <v>1</v>
      </c>
      <c r="F5027" t="s">
        <v>0</v>
      </c>
      <c r="G5027" t="str">
        <f>"2018-10-17 11:40:25"</f>
        <v>2018-10-17 11:40:25</v>
      </c>
    </row>
    <row r="5028" spans="1:7" x14ac:dyDescent="0.2">
      <c r="A5028" t="s">
        <v>1</v>
      </c>
      <c r="B5028" t="str">
        <f>"15585996229"</f>
        <v>15585996229</v>
      </c>
      <c r="C5028" t="s">
        <v>1</v>
      </c>
      <c r="D5028" t="s">
        <v>1</v>
      </c>
      <c r="E5028" t="s">
        <v>1</v>
      </c>
      <c r="F5028" t="s">
        <v>0</v>
      </c>
      <c r="G5028" t="str">
        <f>"2018-10-17 11:42:41"</f>
        <v>2018-10-17 11:42:41</v>
      </c>
    </row>
    <row r="5029" spans="1:7" x14ac:dyDescent="0.2">
      <c r="A5029" t="s">
        <v>389</v>
      </c>
      <c r="B5029" t="str">
        <f>"15297602123"</f>
        <v>15297602123</v>
      </c>
      <c r="C5029" t="str">
        <f>"131182199104073011"</f>
        <v>131182199104073011</v>
      </c>
      <c r="D5029" t="s">
        <v>1</v>
      </c>
      <c r="E5029" t="s">
        <v>1</v>
      </c>
      <c r="F5029" t="s">
        <v>0</v>
      </c>
      <c r="G5029" t="str">
        <f>"2018-10-17 11:40:10"</f>
        <v>2018-10-17 11:40:10</v>
      </c>
    </row>
    <row r="5030" spans="1:7" x14ac:dyDescent="0.2">
      <c r="A5030" t="s">
        <v>1</v>
      </c>
      <c r="B5030" t="str">
        <f>"13074634056"</f>
        <v>13074634056</v>
      </c>
      <c r="C5030" t="s">
        <v>1</v>
      </c>
      <c r="D5030" t="s">
        <v>1</v>
      </c>
      <c r="E5030" t="s">
        <v>1</v>
      </c>
      <c r="F5030" t="s">
        <v>0</v>
      </c>
      <c r="G5030" t="str">
        <f>"2018-10-17 11:38:22"</f>
        <v>2018-10-17 11:38:22</v>
      </c>
    </row>
    <row r="5031" spans="1:7" x14ac:dyDescent="0.2">
      <c r="A5031" t="s">
        <v>1120</v>
      </c>
      <c r="B5031" t="str">
        <f>"18383015579"</f>
        <v>18383015579</v>
      </c>
      <c r="C5031" t="str">
        <f>"510524199712176012"</f>
        <v>510524199712176012</v>
      </c>
      <c r="D5031" t="s">
        <v>1</v>
      </c>
      <c r="E5031" t="s">
        <v>1</v>
      </c>
      <c r="F5031" t="s">
        <v>0</v>
      </c>
      <c r="G5031" t="str">
        <f>"2018-10-17 12:03:24"</f>
        <v>2018-10-17 12:03:24</v>
      </c>
    </row>
    <row r="5032" spans="1:7" x14ac:dyDescent="0.2">
      <c r="A5032" t="s">
        <v>6128</v>
      </c>
      <c r="B5032" t="str">
        <f>"17660846468"</f>
        <v>17660846468</v>
      </c>
      <c r="C5032" t="str">
        <f>"370685199106175513"</f>
        <v>370685199106175513</v>
      </c>
      <c r="D5032" t="s">
        <v>6129</v>
      </c>
      <c r="E5032" t="s">
        <v>6130</v>
      </c>
      <c r="F5032" t="s">
        <v>0</v>
      </c>
      <c r="G5032" t="str">
        <f>"2018-10-17 11:39:32"</f>
        <v>2018-10-17 11:39:32</v>
      </c>
    </row>
    <row r="5033" spans="1:7" x14ac:dyDescent="0.2">
      <c r="A5033" t="s">
        <v>6131</v>
      </c>
      <c r="B5033" t="str">
        <f>"17520460487"</f>
        <v>17520460487</v>
      </c>
      <c r="C5033" t="str">
        <f>"452625199001203878"</f>
        <v>452625199001203878</v>
      </c>
      <c r="D5033" t="s">
        <v>6132</v>
      </c>
      <c r="E5033" t="s">
        <v>6133</v>
      </c>
      <c r="F5033" t="s">
        <v>0</v>
      </c>
      <c r="G5033" t="str">
        <f>"2018-10-17 11:58:00"</f>
        <v>2018-10-17 11:58:00</v>
      </c>
    </row>
    <row r="5034" spans="1:7" x14ac:dyDescent="0.2">
      <c r="A5034" t="s">
        <v>1</v>
      </c>
      <c r="B5034" t="str">
        <f>"15326504400"</f>
        <v>15326504400</v>
      </c>
      <c r="C5034" t="s">
        <v>1</v>
      </c>
      <c r="D5034" t="s">
        <v>1</v>
      </c>
      <c r="E5034" t="s">
        <v>1</v>
      </c>
      <c r="F5034" t="s">
        <v>0</v>
      </c>
      <c r="G5034" t="str">
        <f>"2018-10-17 14:07:33"</f>
        <v>2018-10-17 14:07:33</v>
      </c>
    </row>
    <row r="5035" spans="1:7" x14ac:dyDescent="0.2">
      <c r="A5035" t="s">
        <v>1</v>
      </c>
      <c r="B5035" t="str">
        <f>"13861942240"</f>
        <v>13861942240</v>
      </c>
      <c r="C5035" t="s">
        <v>1</v>
      </c>
      <c r="D5035" t="s">
        <v>1</v>
      </c>
      <c r="E5035" t="s">
        <v>1</v>
      </c>
      <c r="F5035" t="s">
        <v>0</v>
      </c>
      <c r="G5035" t="str">
        <f>"2018-10-17 11:36:26"</f>
        <v>2018-10-17 11:36:26</v>
      </c>
    </row>
    <row r="5036" spans="1:7" x14ac:dyDescent="0.2">
      <c r="A5036" t="s">
        <v>1</v>
      </c>
      <c r="B5036" t="str">
        <f>"13355336190"</f>
        <v>13355336190</v>
      </c>
      <c r="C5036" t="s">
        <v>1</v>
      </c>
      <c r="D5036" t="s">
        <v>1</v>
      </c>
      <c r="E5036" t="s">
        <v>1</v>
      </c>
      <c r="F5036" t="s">
        <v>0</v>
      </c>
      <c r="G5036" t="str">
        <f>"2018-10-17 11:37:47"</f>
        <v>2018-10-17 11:37:47</v>
      </c>
    </row>
    <row r="5037" spans="1:7" x14ac:dyDescent="0.2">
      <c r="A5037" t="s">
        <v>1053</v>
      </c>
      <c r="B5037" t="str">
        <f>"18707107353"</f>
        <v>18707107353</v>
      </c>
      <c r="C5037" t="str">
        <f>"421122199609251031"</f>
        <v>421122199609251031</v>
      </c>
      <c r="D5037" t="s">
        <v>1</v>
      </c>
      <c r="E5037" t="s">
        <v>1</v>
      </c>
      <c r="F5037" t="s">
        <v>0</v>
      </c>
      <c r="G5037" t="str">
        <f>"2018-10-19 14:08:22"</f>
        <v>2018-10-19 14:08:22</v>
      </c>
    </row>
    <row r="5038" spans="1:7" x14ac:dyDescent="0.2">
      <c r="A5038" t="s">
        <v>402</v>
      </c>
      <c r="B5038" t="str">
        <f>"15254864349"</f>
        <v>15254864349</v>
      </c>
      <c r="C5038" t="str">
        <f>"370921198710025474"</f>
        <v>370921198710025474</v>
      </c>
      <c r="D5038" t="s">
        <v>1</v>
      </c>
      <c r="E5038" t="s">
        <v>1</v>
      </c>
      <c r="F5038" t="s">
        <v>0</v>
      </c>
      <c r="G5038" t="str">
        <f>"2018-10-31 08:20:15"</f>
        <v>2018-10-31 08:20:15</v>
      </c>
    </row>
    <row r="5039" spans="1:7" x14ac:dyDescent="0.2">
      <c r="A5039" t="s">
        <v>1</v>
      </c>
      <c r="B5039" t="str">
        <f>"15146950062"</f>
        <v>15146950062</v>
      </c>
      <c r="C5039" t="s">
        <v>1</v>
      </c>
      <c r="D5039" t="s">
        <v>1</v>
      </c>
      <c r="E5039" t="s">
        <v>1</v>
      </c>
      <c r="F5039" t="s">
        <v>0</v>
      </c>
      <c r="G5039" t="str">
        <f>"2018-10-17 11:35:15"</f>
        <v>2018-10-17 11:35:15</v>
      </c>
    </row>
    <row r="5040" spans="1:7" x14ac:dyDescent="0.2">
      <c r="A5040" t="s">
        <v>1</v>
      </c>
      <c r="B5040" t="str">
        <f>"18977771438"</f>
        <v>18977771438</v>
      </c>
      <c r="C5040" t="s">
        <v>1</v>
      </c>
      <c r="D5040" t="s">
        <v>1</v>
      </c>
      <c r="E5040" t="s">
        <v>1</v>
      </c>
      <c r="F5040" t="s">
        <v>0</v>
      </c>
      <c r="G5040" t="str">
        <f>"2018-10-17 11:37:40"</f>
        <v>2018-10-17 11:37:40</v>
      </c>
    </row>
    <row r="5041" spans="1:7" x14ac:dyDescent="0.2">
      <c r="A5041" t="s">
        <v>86</v>
      </c>
      <c r="B5041" t="str">
        <f>"15889170642"</f>
        <v>15889170642</v>
      </c>
      <c r="C5041" t="str">
        <f>"441423198210146426"</f>
        <v>441423198210146426</v>
      </c>
      <c r="D5041" t="s">
        <v>1</v>
      </c>
      <c r="E5041" t="s">
        <v>1</v>
      </c>
      <c r="F5041" t="s">
        <v>0</v>
      </c>
      <c r="G5041" t="str">
        <f>"2018-10-17 11:35:56"</f>
        <v>2018-10-17 11:35:56</v>
      </c>
    </row>
    <row r="5042" spans="1:7" x14ac:dyDescent="0.2">
      <c r="A5042" t="s">
        <v>6134</v>
      </c>
      <c r="B5042" t="str">
        <f>"15204019115"</f>
        <v>15204019115</v>
      </c>
      <c r="C5042" t="str">
        <f>"21012219850520181X"</f>
        <v>21012219850520181X</v>
      </c>
      <c r="D5042" t="s">
        <v>1</v>
      </c>
      <c r="E5042" t="s">
        <v>1</v>
      </c>
      <c r="F5042" t="s">
        <v>0</v>
      </c>
      <c r="G5042" t="str">
        <f>"2018-10-17 11:34:26"</f>
        <v>2018-10-17 11:34:26</v>
      </c>
    </row>
    <row r="5043" spans="1:7" x14ac:dyDescent="0.2">
      <c r="A5043" t="s">
        <v>6135</v>
      </c>
      <c r="B5043" t="str">
        <f>"17731145673"</f>
        <v>17731145673</v>
      </c>
      <c r="C5043" t="str">
        <f>"130185198406210951"</f>
        <v>130185198406210951</v>
      </c>
      <c r="D5043" t="s">
        <v>1</v>
      </c>
      <c r="E5043" t="s">
        <v>1</v>
      </c>
      <c r="F5043" t="s">
        <v>0</v>
      </c>
      <c r="G5043" t="str">
        <f>"2018-10-17 11:35:48"</f>
        <v>2018-10-17 11:35:48</v>
      </c>
    </row>
    <row r="5044" spans="1:7" x14ac:dyDescent="0.2">
      <c r="A5044" t="s">
        <v>6136</v>
      </c>
      <c r="B5044" t="str">
        <f>"13586682487"</f>
        <v>13586682487</v>
      </c>
      <c r="C5044" t="str">
        <f>"411123197203041515"</f>
        <v>411123197203041515</v>
      </c>
      <c r="D5044" t="s">
        <v>1</v>
      </c>
      <c r="E5044" t="s">
        <v>1</v>
      </c>
      <c r="F5044" t="s">
        <v>0</v>
      </c>
      <c r="G5044" t="str">
        <f>"2018-10-17 11:34:07"</f>
        <v>2018-10-17 11:34:07</v>
      </c>
    </row>
    <row r="5045" spans="1:7" x14ac:dyDescent="0.2">
      <c r="A5045" t="s">
        <v>1</v>
      </c>
      <c r="B5045" t="str">
        <f>"17041861857"</f>
        <v>17041861857</v>
      </c>
      <c r="C5045" t="s">
        <v>1</v>
      </c>
      <c r="D5045" t="s">
        <v>1</v>
      </c>
      <c r="E5045" t="s">
        <v>1</v>
      </c>
      <c r="F5045" t="s">
        <v>0</v>
      </c>
      <c r="G5045" t="str">
        <f>"2018-10-17 11:32:35"</f>
        <v>2018-10-17 11:32:35</v>
      </c>
    </row>
    <row r="5046" spans="1:7" x14ac:dyDescent="0.2">
      <c r="A5046" t="s">
        <v>6137</v>
      </c>
      <c r="B5046" t="str">
        <f>"15571838885"</f>
        <v>15571838885</v>
      </c>
      <c r="C5046" t="str">
        <f>"422801198707210439"</f>
        <v>422801198707210439</v>
      </c>
      <c r="D5046" t="s">
        <v>1</v>
      </c>
      <c r="E5046" t="s">
        <v>1</v>
      </c>
      <c r="F5046" t="s">
        <v>0</v>
      </c>
      <c r="G5046" t="str">
        <f>"2018-10-17 11:33:55"</f>
        <v>2018-10-17 11:33:55</v>
      </c>
    </row>
    <row r="5047" spans="1:7" x14ac:dyDescent="0.2">
      <c r="A5047" t="s">
        <v>1</v>
      </c>
      <c r="B5047" t="str">
        <f>"15196614722"</f>
        <v>15196614722</v>
      </c>
      <c r="C5047" t="s">
        <v>1</v>
      </c>
      <c r="D5047" t="s">
        <v>1</v>
      </c>
      <c r="E5047" t="s">
        <v>1</v>
      </c>
      <c r="F5047" t="s">
        <v>0</v>
      </c>
      <c r="G5047" t="str">
        <f>"2018-10-17 11:37:16"</f>
        <v>2018-10-17 11:37:16</v>
      </c>
    </row>
    <row r="5048" spans="1:7" x14ac:dyDescent="0.2">
      <c r="A5048" t="s">
        <v>1</v>
      </c>
      <c r="B5048" t="str">
        <f>"18164266016"</f>
        <v>18164266016</v>
      </c>
      <c r="C5048" t="s">
        <v>1</v>
      </c>
      <c r="D5048" t="s">
        <v>1</v>
      </c>
      <c r="E5048" t="s">
        <v>1</v>
      </c>
      <c r="F5048" t="s">
        <v>0</v>
      </c>
      <c r="G5048" t="str">
        <f>"2018-10-17 11:32:06"</f>
        <v>2018-10-17 11:32:06</v>
      </c>
    </row>
    <row r="5049" spans="1:7" x14ac:dyDescent="0.2">
      <c r="A5049" t="s">
        <v>6138</v>
      </c>
      <c r="B5049" t="str">
        <f>"13806474911"</f>
        <v>13806474911</v>
      </c>
      <c r="C5049" t="str">
        <f>"370725199008050441"</f>
        <v>370725199008050441</v>
      </c>
      <c r="D5049" t="s">
        <v>6139</v>
      </c>
      <c r="E5049" t="s">
        <v>6140</v>
      </c>
      <c r="F5049" t="s">
        <v>0</v>
      </c>
      <c r="G5049" t="str">
        <f>"2018-10-17 11:33:43"</f>
        <v>2018-10-17 11:33:43</v>
      </c>
    </row>
    <row r="5050" spans="1:7" x14ac:dyDescent="0.2">
      <c r="A5050" t="s">
        <v>1</v>
      </c>
      <c r="B5050" t="str">
        <f>"18965476255"</f>
        <v>18965476255</v>
      </c>
      <c r="C5050" t="s">
        <v>1</v>
      </c>
      <c r="D5050" t="s">
        <v>1</v>
      </c>
      <c r="E5050" t="s">
        <v>1</v>
      </c>
      <c r="F5050" t="s">
        <v>0</v>
      </c>
      <c r="G5050" t="str">
        <f>"2018-10-17 11:31:36"</f>
        <v>2018-10-17 11:31:36</v>
      </c>
    </row>
    <row r="5051" spans="1:7" x14ac:dyDescent="0.2">
      <c r="A5051" t="s">
        <v>6141</v>
      </c>
      <c r="B5051" t="str">
        <f>"15012175350"</f>
        <v>15012175350</v>
      </c>
      <c r="C5051" t="str">
        <f>"532622198904162313"</f>
        <v>532622198904162313</v>
      </c>
      <c r="D5051" t="s">
        <v>1</v>
      </c>
      <c r="E5051" t="s">
        <v>1</v>
      </c>
      <c r="F5051" t="s">
        <v>0</v>
      </c>
      <c r="G5051" t="str">
        <f>"2018-10-17 11:33:20"</f>
        <v>2018-10-17 11:33:20</v>
      </c>
    </row>
    <row r="5052" spans="1:7" x14ac:dyDescent="0.2">
      <c r="A5052" t="s">
        <v>1</v>
      </c>
      <c r="B5052" t="str">
        <f>"13315025801"</f>
        <v>13315025801</v>
      </c>
      <c r="C5052" t="s">
        <v>1</v>
      </c>
      <c r="D5052" t="s">
        <v>1</v>
      </c>
      <c r="E5052" t="s">
        <v>1</v>
      </c>
      <c r="F5052" t="s">
        <v>0</v>
      </c>
      <c r="G5052" t="str">
        <f>"2018-10-17 11:30:05"</f>
        <v>2018-10-17 11:30:05</v>
      </c>
    </row>
    <row r="5053" spans="1:7" x14ac:dyDescent="0.2">
      <c r="A5053" t="s">
        <v>6142</v>
      </c>
      <c r="B5053" t="str">
        <f>"18926108091"</f>
        <v>18926108091</v>
      </c>
      <c r="C5053" t="str">
        <f>"440103198310022751"</f>
        <v>440103198310022751</v>
      </c>
      <c r="D5053" t="s">
        <v>6143</v>
      </c>
      <c r="E5053" t="s">
        <v>6144</v>
      </c>
      <c r="F5053" t="s">
        <v>0</v>
      </c>
      <c r="G5053" t="str">
        <f>"2018-10-26 10:51:32"</f>
        <v>2018-10-26 10:51:32</v>
      </c>
    </row>
    <row r="5054" spans="1:7" x14ac:dyDescent="0.2">
      <c r="A5054" t="s">
        <v>1</v>
      </c>
      <c r="B5054" t="str">
        <f>"13489819498"</f>
        <v>13489819498</v>
      </c>
      <c r="C5054" t="s">
        <v>1</v>
      </c>
      <c r="D5054" t="s">
        <v>1</v>
      </c>
      <c r="E5054" t="s">
        <v>1</v>
      </c>
      <c r="F5054" t="s">
        <v>0</v>
      </c>
      <c r="G5054" t="str">
        <f>"2018-10-17 12:46:28"</f>
        <v>2018-10-17 12:46:28</v>
      </c>
    </row>
    <row r="5055" spans="1:7" x14ac:dyDescent="0.2">
      <c r="A5055" t="s">
        <v>6145</v>
      </c>
      <c r="B5055" t="str">
        <f>"15752326733"</f>
        <v>15752326733</v>
      </c>
      <c r="C5055" t="str">
        <f>"500225199104015694"</f>
        <v>500225199104015694</v>
      </c>
      <c r="D5055" t="s">
        <v>1</v>
      </c>
      <c r="E5055" t="s">
        <v>1</v>
      </c>
      <c r="F5055" t="s">
        <v>0</v>
      </c>
      <c r="G5055" t="str">
        <f>"2018-10-17 11:32:21"</f>
        <v>2018-10-17 11:32:21</v>
      </c>
    </row>
    <row r="5056" spans="1:7" x14ac:dyDescent="0.2">
      <c r="A5056" t="s">
        <v>1</v>
      </c>
      <c r="B5056" t="str">
        <f>"18686499319"</f>
        <v>18686499319</v>
      </c>
      <c r="C5056" t="s">
        <v>1</v>
      </c>
      <c r="D5056" t="s">
        <v>1</v>
      </c>
      <c r="E5056" t="s">
        <v>1</v>
      </c>
      <c r="F5056" t="s">
        <v>0</v>
      </c>
      <c r="G5056" t="str">
        <f>"2018-10-17 11:29:31"</f>
        <v>2018-10-17 11:29:31</v>
      </c>
    </row>
    <row r="5057" spans="1:7" x14ac:dyDescent="0.2">
      <c r="A5057" t="s">
        <v>6146</v>
      </c>
      <c r="B5057" t="str">
        <f>"13336209393"</f>
        <v>13336209393</v>
      </c>
      <c r="C5057" t="str">
        <f>"372901198704088758"</f>
        <v>372901198704088758</v>
      </c>
      <c r="D5057" t="s">
        <v>1</v>
      </c>
      <c r="E5057" t="s">
        <v>1</v>
      </c>
      <c r="F5057" t="s">
        <v>0</v>
      </c>
      <c r="G5057" t="str">
        <f>"2018-10-17 11:29:31"</f>
        <v>2018-10-17 11:29:31</v>
      </c>
    </row>
    <row r="5058" spans="1:7" x14ac:dyDescent="0.2">
      <c r="A5058" t="s">
        <v>6147</v>
      </c>
      <c r="B5058" t="str">
        <f>"18707930398"</f>
        <v>18707930398</v>
      </c>
      <c r="C5058" t="str">
        <f>"362322198204254219"</f>
        <v>362322198204254219</v>
      </c>
      <c r="D5058" t="s">
        <v>6148</v>
      </c>
      <c r="E5058" t="s">
        <v>6149</v>
      </c>
      <c r="F5058" t="s">
        <v>0</v>
      </c>
      <c r="G5058" t="str">
        <f>"2018-10-17 12:25:29"</f>
        <v>2018-10-17 12:25:29</v>
      </c>
    </row>
    <row r="5059" spans="1:7" x14ac:dyDescent="0.2">
      <c r="A5059" t="s">
        <v>6150</v>
      </c>
      <c r="B5059" t="str">
        <f>"13685904202"</f>
        <v>13685904202</v>
      </c>
      <c r="C5059" t="str">
        <f>"360124199605273319"</f>
        <v>360124199605273319</v>
      </c>
      <c r="D5059" t="s">
        <v>1</v>
      </c>
      <c r="E5059" t="s">
        <v>1</v>
      </c>
      <c r="F5059" t="s">
        <v>0</v>
      </c>
      <c r="G5059" t="str">
        <f>"2018-10-17 11:40:32"</f>
        <v>2018-10-17 11:40:32</v>
      </c>
    </row>
    <row r="5060" spans="1:7" x14ac:dyDescent="0.2">
      <c r="A5060" t="s">
        <v>647</v>
      </c>
      <c r="B5060" t="str">
        <f>"15522083536"</f>
        <v>15522083536</v>
      </c>
      <c r="C5060" t="str">
        <f>"120105198410061238"</f>
        <v>120105198410061238</v>
      </c>
      <c r="D5060" t="s">
        <v>1</v>
      </c>
      <c r="E5060" t="s">
        <v>1</v>
      </c>
      <c r="F5060" t="s">
        <v>0</v>
      </c>
      <c r="G5060" t="str">
        <f>"2018-10-17 11:35:48"</f>
        <v>2018-10-17 11:35:48</v>
      </c>
    </row>
    <row r="5061" spans="1:7" x14ac:dyDescent="0.2">
      <c r="A5061" t="s">
        <v>1</v>
      </c>
      <c r="B5061" t="str">
        <f>"15830112611"</f>
        <v>15830112611</v>
      </c>
      <c r="C5061" t="s">
        <v>1</v>
      </c>
      <c r="D5061" t="s">
        <v>1</v>
      </c>
      <c r="E5061" t="s">
        <v>1</v>
      </c>
      <c r="F5061" t="s">
        <v>0</v>
      </c>
      <c r="G5061" t="str">
        <f>"2018-10-17 12:02:36"</f>
        <v>2018-10-17 12:02:36</v>
      </c>
    </row>
    <row r="5062" spans="1:7" x14ac:dyDescent="0.2">
      <c r="A5062" t="s">
        <v>1</v>
      </c>
      <c r="B5062" t="str">
        <f>"13291875441"</f>
        <v>13291875441</v>
      </c>
      <c r="C5062" t="s">
        <v>1</v>
      </c>
      <c r="D5062" t="s">
        <v>1</v>
      </c>
      <c r="E5062" t="s">
        <v>1</v>
      </c>
      <c r="F5062" t="s">
        <v>0</v>
      </c>
      <c r="G5062" t="str">
        <f>"2018-10-17 11:27:46"</f>
        <v>2018-10-17 11:27:46</v>
      </c>
    </row>
    <row r="5063" spans="1:7" x14ac:dyDescent="0.2">
      <c r="A5063" t="s">
        <v>6151</v>
      </c>
      <c r="B5063" t="str">
        <f>"18004496232"</f>
        <v>18004496232</v>
      </c>
      <c r="C5063" t="str">
        <f>"220105198501271613"</f>
        <v>220105198501271613</v>
      </c>
      <c r="D5063" t="s">
        <v>1</v>
      </c>
      <c r="E5063" t="s">
        <v>1</v>
      </c>
      <c r="F5063" t="s">
        <v>0</v>
      </c>
      <c r="G5063" t="str">
        <f>"2018-10-21 12:38:35"</f>
        <v>2018-10-21 12:38:35</v>
      </c>
    </row>
    <row r="5064" spans="1:7" x14ac:dyDescent="0.2">
      <c r="A5064" t="s">
        <v>1</v>
      </c>
      <c r="B5064" t="str">
        <f>"13065564197"</f>
        <v>13065564197</v>
      </c>
      <c r="C5064" t="s">
        <v>1</v>
      </c>
      <c r="D5064" t="s">
        <v>1</v>
      </c>
      <c r="E5064" t="s">
        <v>1</v>
      </c>
      <c r="F5064" t="s">
        <v>0</v>
      </c>
      <c r="G5064" t="str">
        <f>"2018-10-17 11:26:44"</f>
        <v>2018-10-17 11:26:44</v>
      </c>
    </row>
    <row r="5065" spans="1:7" x14ac:dyDescent="0.2">
      <c r="A5065" t="s">
        <v>1</v>
      </c>
      <c r="B5065" t="str">
        <f>"15998676721"</f>
        <v>15998676721</v>
      </c>
      <c r="C5065" t="s">
        <v>1</v>
      </c>
      <c r="D5065" t="s">
        <v>1</v>
      </c>
      <c r="E5065" t="s">
        <v>1</v>
      </c>
      <c r="F5065" t="s">
        <v>0</v>
      </c>
      <c r="G5065" t="str">
        <f>"2018-10-17 11:30:21"</f>
        <v>2018-10-17 11:30:21</v>
      </c>
    </row>
    <row r="5066" spans="1:7" x14ac:dyDescent="0.2">
      <c r="A5066" t="s">
        <v>260</v>
      </c>
      <c r="B5066" t="str">
        <f>"18334919181"</f>
        <v>18334919181</v>
      </c>
      <c r="C5066" t="str">
        <f>"140602199108192014"</f>
        <v>140602199108192014</v>
      </c>
      <c r="D5066" t="s">
        <v>6152</v>
      </c>
      <c r="E5066" t="s">
        <v>6153</v>
      </c>
      <c r="F5066" t="s">
        <v>0</v>
      </c>
      <c r="G5066" t="str">
        <f>"2018-10-17 11:26:05"</f>
        <v>2018-10-17 11:26:05</v>
      </c>
    </row>
    <row r="5067" spans="1:7" x14ac:dyDescent="0.2">
      <c r="A5067" t="s">
        <v>1</v>
      </c>
      <c r="B5067" t="str">
        <f>"18106981834"</f>
        <v>18106981834</v>
      </c>
      <c r="C5067" t="s">
        <v>1</v>
      </c>
      <c r="D5067" t="s">
        <v>1</v>
      </c>
      <c r="E5067" t="s">
        <v>1</v>
      </c>
      <c r="F5067" t="s">
        <v>0</v>
      </c>
      <c r="G5067" t="str">
        <f>"2018-10-17 11:25:09"</f>
        <v>2018-10-17 11:25:09</v>
      </c>
    </row>
    <row r="5068" spans="1:7" x14ac:dyDescent="0.2">
      <c r="A5068" t="s">
        <v>6154</v>
      </c>
      <c r="B5068" t="str">
        <f>"18813678272"</f>
        <v>18813678272</v>
      </c>
      <c r="C5068" t="str">
        <f>"52212519930717461X"</f>
        <v>52212519930717461X</v>
      </c>
      <c r="D5068" t="s">
        <v>1</v>
      </c>
      <c r="E5068" t="s">
        <v>1</v>
      </c>
      <c r="F5068" t="s">
        <v>0</v>
      </c>
      <c r="G5068" t="str">
        <f>"2018-10-28 21:29:41"</f>
        <v>2018-10-28 21:29:41</v>
      </c>
    </row>
    <row r="5069" spans="1:7" x14ac:dyDescent="0.2">
      <c r="A5069" t="s">
        <v>1</v>
      </c>
      <c r="B5069" t="str">
        <f>"15883425746"</f>
        <v>15883425746</v>
      </c>
      <c r="C5069" t="s">
        <v>1</v>
      </c>
      <c r="D5069" t="s">
        <v>1</v>
      </c>
      <c r="E5069" t="s">
        <v>1</v>
      </c>
      <c r="F5069" t="s">
        <v>0</v>
      </c>
      <c r="G5069" t="str">
        <f>"2018-10-17 11:25:36"</f>
        <v>2018-10-17 11:25:36</v>
      </c>
    </row>
    <row r="5070" spans="1:7" x14ac:dyDescent="0.2">
      <c r="A5070" t="s">
        <v>1234</v>
      </c>
      <c r="B5070" t="str">
        <f>"18020093991"</f>
        <v>18020093991</v>
      </c>
      <c r="C5070" t="str">
        <f>"12010219840415261X"</f>
        <v>12010219840415261X</v>
      </c>
      <c r="D5070" t="s">
        <v>1</v>
      </c>
      <c r="E5070" t="s">
        <v>1</v>
      </c>
      <c r="F5070" t="s">
        <v>0</v>
      </c>
      <c r="G5070" t="str">
        <f>"2018-10-17 11:25:14"</f>
        <v>2018-10-17 11:25:14</v>
      </c>
    </row>
    <row r="5071" spans="1:7" x14ac:dyDescent="0.2">
      <c r="A5071" t="s">
        <v>6155</v>
      </c>
      <c r="B5071" t="str">
        <f>"18305354658"</f>
        <v>18305354658</v>
      </c>
      <c r="C5071" t="str">
        <f>"371083199607245511"</f>
        <v>371083199607245511</v>
      </c>
      <c r="D5071" t="s">
        <v>6156</v>
      </c>
      <c r="E5071" t="s">
        <v>6157</v>
      </c>
      <c r="F5071" t="s">
        <v>0</v>
      </c>
      <c r="G5071" t="str">
        <f>"2018-10-17 11:23:49"</f>
        <v>2018-10-17 11:23:49</v>
      </c>
    </row>
    <row r="5072" spans="1:7" x14ac:dyDescent="0.2">
      <c r="A5072" t="s">
        <v>1</v>
      </c>
      <c r="B5072" t="str">
        <f>"18610316803"</f>
        <v>18610316803</v>
      </c>
      <c r="C5072" t="s">
        <v>1</v>
      </c>
      <c r="D5072" t="s">
        <v>1</v>
      </c>
      <c r="E5072" t="s">
        <v>1</v>
      </c>
      <c r="F5072" t="s">
        <v>0</v>
      </c>
      <c r="G5072" t="str">
        <f>"2018-10-17 11:21:23"</f>
        <v>2018-10-17 11:21:23</v>
      </c>
    </row>
    <row r="5073" spans="1:7" x14ac:dyDescent="0.2">
      <c r="A5073" t="s">
        <v>1</v>
      </c>
      <c r="B5073" t="str">
        <f>"13099918141"</f>
        <v>13099918141</v>
      </c>
      <c r="C5073" t="s">
        <v>1</v>
      </c>
      <c r="D5073" t="s">
        <v>1</v>
      </c>
      <c r="E5073" t="s">
        <v>1</v>
      </c>
      <c r="F5073" t="s">
        <v>0</v>
      </c>
      <c r="G5073" t="str">
        <f>"2018-10-17 11:23:02"</f>
        <v>2018-10-17 11:23:02</v>
      </c>
    </row>
    <row r="5074" spans="1:7" x14ac:dyDescent="0.2">
      <c r="A5074" t="s">
        <v>6158</v>
      </c>
      <c r="B5074" t="str">
        <f>"13040329868"</f>
        <v>13040329868</v>
      </c>
      <c r="C5074" t="str">
        <f>"220602199412142118"</f>
        <v>220602199412142118</v>
      </c>
      <c r="D5074" t="s">
        <v>1</v>
      </c>
      <c r="E5074" t="s">
        <v>1</v>
      </c>
      <c r="F5074" t="s">
        <v>0</v>
      </c>
      <c r="G5074" t="str">
        <f>"2018-10-17 11:22:35"</f>
        <v>2018-10-17 11:22:35</v>
      </c>
    </row>
    <row r="5075" spans="1:7" x14ac:dyDescent="0.2">
      <c r="A5075" t="s">
        <v>1</v>
      </c>
      <c r="B5075" t="str">
        <f>"15678328640"</f>
        <v>15678328640</v>
      </c>
      <c r="C5075" t="s">
        <v>1</v>
      </c>
      <c r="D5075" t="s">
        <v>1</v>
      </c>
      <c r="E5075" t="s">
        <v>1</v>
      </c>
      <c r="F5075" t="s">
        <v>0</v>
      </c>
      <c r="G5075" t="str">
        <f>"2018-10-17 11:20:37"</f>
        <v>2018-10-17 11:20:37</v>
      </c>
    </row>
    <row r="5076" spans="1:7" x14ac:dyDescent="0.2">
      <c r="A5076" t="s">
        <v>262</v>
      </c>
      <c r="B5076" t="str">
        <f>"13285513811"</f>
        <v>13285513811</v>
      </c>
      <c r="C5076" t="str">
        <f>"533001199402012455"</f>
        <v>533001199402012455</v>
      </c>
      <c r="D5076" t="s">
        <v>1</v>
      </c>
      <c r="E5076" t="s">
        <v>1</v>
      </c>
      <c r="F5076" t="s">
        <v>0</v>
      </c>
      <c r="G5076" t="str">
        <f>"2018-10-17 11:22:38"</f>
        <v>2018-10-17 11:22:38</v>
      </c>
    </row>
    <row r="5077" spans="1:7" x14ac:dyDescent="0.2">
      <c r="A5077" t="s">
        <v>1</v>
      </c>
      <c r="B5077" t="str">
        <f>"18874513523"</f>
        <v>18874513523</v>
      </c>
      <c r="C5077" t="s">
        <v>1</v>
      </c>
      <c r="D5077" t="s">
        <v>1</v>
      </c>
      <c r="E5077" t="s">
        <v>1</v>
      </c>
      <c r="F5077" t="s">
        <v>0</v>
      </c>
      <c r="G5077" t="str">
        <f>"2018-10-17 11:20:11"</f>
        <v>2018-10-17 11:20:11</v>
      </c>
    </row>
    <row r="5078" spans="1:7" x14ac:dyDescent="0.2">
      <c r="A5078" t="s">
        <v>108</v>
      </c>
      <c r="B5078" t="str">
        <f>"15776089979"</f>
        <v>15776089979</v>
      </c>
      <c r="C5078" t="str">
        <f>"232303198101061029"</f>
        <v>232303198101061029</v>
      </c>
      <c r="D5078" t="s">
        <v>1</v>
      </c>
      <c r="E5078" t="s">
        <v>1</v>
      </c>
      <c r="F5078" t="s">
        <v>0</v>
      </c>
      <c r="G5078" t="str">
        <f>"2018-10-17 11:20:56"</f>
        <v>2018-10-17 11:20:56</v>
      </c>
    </row>
    <row r="5079" spans="1:7" x14ac:dyDescent="0.2">
      <c r="A5079" t="s">
        <v>6159</v>
      </c>
      <c r="B5079" t="str">
        <f>"13995181451"</f>
        <v>13995181451</v>
      </c>
      <c r="C5079" t="str">
        <f>"642103198103120024"</f>
        <v>642103198103120024</v>
      </c>
      <c r="D5079" t="s">
        <v>1</v>
      </c>
      <c r="E5079" t="s">
        <v>1</v>
      </c>
      <c r="F5079" t="s">
        <v>0</v>
      </c>
      <c r="G5079" t="str">
        <f>"2018-10-19 13:57:22"</f>
        <v>2018-10-19 13:57:22</v>
      </c>
    </row>
    <row r="5080" spans="1:7" x14ac:dyDescent="0.2">
      <c r="A5080" t="s">
        <v>6160</v>
      </c>
      <c r="B5080" t="str">
        <f>"18218816116"</f>
        <v>18218816116</v>
      </c>
      <c r="C5080" t="str">
        <f>"320282199409214276"</f>
        <v>320282199409214276</v>
      </c>
      <c r="D5080" t="s">
        <v>1</v>
      </c>
      <c r="E5080" t="s">
        <v>1</v>
      </c>
      <c r="F5080" t="s">
        <v>0</v>
      </c>
      <c r="G5080" t="str">
        <f>"2018-10-17 11:19:49"</f>
        <v>2018-10-17 11:19:49</v>
      </c>
    </row>
    <row r="5081" spans="1:7" x14ac:dyDescent="0.2">
      <c r="A5081" t="s">
        <v>6161</v>
      </c>
      <c r="B5081" t="str">
        <f>"15065668686"</f>
        <v>15065668686</v>
      </c>
      <c r="C5081" t="str">
        <f>"370786198503021814"</f>
        <v>370786198503021814</v>
      </c>
      <c r="D5081" t="s">
        <v>1</v>
      </c>
      <c r="E5081" t="s">
        <v>1</v>
      </c>
      <c r="F5081" t="s">
        <v>0</v>
      </c>
      <c r="G5081" t="str">
        <f>"2018-10-17 11:20:31"</f>
        <v>2018-10-17 11:20:31</v>
      </c>
    </row>
    <row r="5082" spans="1:7" x14ac:dyDescent="0.2">
      <c r="A5082" t="s">
        <v>6162</v>
      </c>
      <c r="B5082" t="str">
        <f>"13179810261"</f>
        <v>13179810261</v>
      </c>
      <c r="C5082" t="str">
        <f>"654126199709151645"</f>
        <v>654126199709151645</v>
      </c>
      <c r="D5082" t="s">
        <v>1</v>
      </c>
      <c r="E5082" t="s">
        <v>1</v>
      </c>
      <c r="F5082" t="s">
        <v>0</v>
      </c>
      <c r="G5082" t="str">
        <f>"2018-10-17 11:19:15"</f>
        <v>2018-10-17 11:19:15</v>
      </c>
    </row>
    <row r="5083" spans="1:7" x14ac:dyDescent="0.2">
      <c r="A5083" t="s">
        <v>1549</v>
      </c>
      <c r="B5083" t="str">
        <f>"15142322929"</f>
        <v>15142322929</v>
      </c>
      <c r="C5083" t="str">
        <f>"210212199602230011"</f>
        <v>210212199602230011</v>
      </c>
      <c r="D5083" t="s">
        <v>1</v>
      </c>
      <c r="E5083" t="s">
        <v>1</v>
      </c>
      <c r="F5083" t="s">
        <v>0</v>
      </c>
      <c r="G5083" t="str">
        <f>"2018-10-17 11:26:26"</f>
        <v>2018-10-17 11:26:26</v>
      </c>
    </row>
    <row r="5084" spans="1:7" x14ac:dyDescent="0.2">
      <c r="A5084" t="s">
        <v>6163</v>
      </c>
      <c r="B5084" t="str">
        <f>"18171525877"</f>
        <v>18171525877</v>
      </c>
      <c r="C5084" t="str">
        <f>"420621199404096314"</f>
        <v>420621199404096314</v>
      </c>
      <c r="D5084" t="s">
        <v>6164</v>
      </c>
      <c r="E5084" t="s">
        <v>6165</v>
      </c>
      <c r="F5084" t="s">
        <v>0</v>
      </c>
      <c r="G5084" t="str">
        <f>"2018-10-17 11:21:04"</f>
        <v>2018-10-17 11:21:04</v>
      </c>
    </row>
    <row r="5085" spans="1:7" x14ac:dyDescent="0.2">
      <c r="A5085" t="s">
        <v>1</v>
      </c>
      <c r="B5085" t="str">
        <f>"18931261951"</f>
        <v>18931261951</v>
      </c>
      <c r="C5085" t="s">
        <v>1</v>
      </c>
      <c r="D5085" t="s">
        <v>1</v>
      </c>
      <c r="E5085" t="s">
        <v>1</v>
      </c>
      <c r="F5085" t="s">
        <v>0</v>
      </c>
      <c r="G5085" t="str">
        <f>"2018-10-17 11:18:54"</f>
        <v>2018-10-17 11:18:54</v>
      </c>
    </row>
    <row r="5086" spans="1:7" x14ac:dyDescent="0.2">
      <c r="A5086" t="s">
        <v>294</v>
      </c>
      <c r="B5086" t="str">
        <f>"13941126464"</f>
        <v>13941126464</v>
      </c>
      <c r="C5086" t="str">
        <f>"23230119910730031X"</f>
        <v>23230119910730031X</v>
      </c>
      <c r="D5086" t="s">
        <v>1</v>
      </c>
      <c r="E5086" t="s">
        <v>1</v>
      </c>
      <c r="F5086" t="s">
        <v>0</v>
      </c>
      <c r="G5086" t="str">
        <f>"2018-10-17 11:26:42"</f>
        <v>2018-10-17 11:26:42</v>
      </c>
    </row>
    <row r="5087" spans="1:7" x14ac:dyDescent="0.2">
      <c r="A5087" t="s">
        <v>1301</v>
      </c>
      <c r="B5087" t="str">
        <f>"13705277795"</f>
        <v>13705277795</v>
      </c>
      <c r="C5087" t="str">
        <f>"230208198911110210"</f>
        <v>230208198911110210</v>
      </c>
      <c r="D5087" t="s">
        <v>6166</v>
      </c>
      <c r="E5087" t="s">
        <v>6167</v>
      </c>
      <c r="F5087" t="s">
        <v>0</v>
      </c>
      <c r="G5087" t="str">
        <f>"2018-10-24 10:17:40"</f>
        <v>2018-10-24 10:17:40</v>
      </c>
    </row>
    <row r="5088" spans="1:7" x14ac:dyDescent="0.2">
      <c r="A5088" t="s">
        <v>6168</v>
      </c>
      <c r="B5088" t="str">
        <f>"15016636699"</f>
        <v>15016636699</v>
      </c>
      <c r="C5088" t="str">
        <f>"440923198407234872"</f>
        <v>440923198407234872</v>
      </c>
      <c r="D5088" t="s">
        <v>6169</v>
      </c>
      <c r="E5088" t="s">
        <v>6170</v>
      </c>
      <c r="F5088" t="s">
        <v>0</v>
      </c>
      <c r="G5088" t="str">
        <f>"2018-10-17 11:17:43"</f>
        <v>2018-10-17 11:17:43</v>
      </c>
    </row>
    <row r="5089" spans="1:7" x14ac:dyDescent="0.2">
      <c r="A5089" t="s">
        <v>6171</v>
      </c>
      <c r="B5089" t="str">
        <f>"13816631829"</f>
        <v>13816631829</v>
      </c>
      <c r="C5089" t="str">
        <f>"310110198301021073"</f>
        <v>310110198301021073</v>
      </c>
      <c r="D5089" t="s">
        <v>6172</v>
      </c>
      <c r="E5089" t="s">
        <v>6173</v>
      </c>
      <c r="F5089" t="s">
        <v>0</v>
      </c>
      <c r="G5089" t="str">
        <f>"2018-10-17 11:19:35"</f>
        <v>2018-10-17 11:19:35</v>
      </c>
    </row>
    <row r="5090" spans="1:7" x14ac:dyDescent="0.2">
      <c r="A5090" t="s">
        <v>1</v>
      </c>
      <c r="B5090" t="str">
        <f>"15753136350"</f>
        <v>15753136350</v>
      </c>
      <c r="C5090" t="s">
        <v>1</v>
      </c>
      <c r="D5090" t="s">
        <v>1</v>
      </c>
      <c r="E5090" t="s">
        <v>1</v>
      </c>
      <c r="F5090" t="s">
        <v>0</v>
      </c>
      <c r="G5090" t="str">
        <f>"2018-10-17 11:17:14"</f>
        <v>2018-10-17 11:17:14</v>
      </c>
    </row>
    <row r="5091" spans="1:7" x14ac:dyDescent="0.2">
      <c r="A5091" t="s">
        <v>6174</v>
      </c>
      <c r="B5091" t="str">
        <f>"13898221221"</f>
        <v>13898221221</v>
      </c>
      <c r="C5091" t="str">
        <f>"211282199506083031"</f>
        <v>211282199506083031</v>
      </c>
      <c r="D5091" t="s">
        <v>1</v>
      </c>
      <c r="E5091" t="s">
        <v>1</v>
      </c>
      <c r="F5091" t="s">
        <v>0</v>
      </c>
      <c r="G5091" t="str">
        <f>"2018-10-17 11:20:32"</f>
        <v>2018-10-17 11:20:32</v>
      </c>
    </row>
    <row r="5092" spans="1:7" x14ac:dyDescent="0.2">
      <c r="A5092" t="s">
        <v>6175</v>
      </c>
      <c r="B5092" t="str">
        <f>"15973605790"</f>
        <v>15973605790</v>
      </c>
      <c r="C5092" t="str">
        <f>"430702198808118552"</f>
        <v>430702198808118552</v>
      </c>
      <c r="D5092" t="s">
        <v>1</v>
      </c>
      <c r="E5092" t="s">
        <v>1</v>
      </c>
      <c r="F5092" t="s">
        <v>0</v>
      </c>
      <c r="G5092" t="str">
        <f>"2018-10-17 11:24:18"</f>
        <v>2018-10-17 11:24:18</v>
      </c>
    </row>
    <row r="5093" spans="1:7" x14ac:dyDescent="0.2">
      <c r="A5093" t="s">
        <v>6176</v>
      </c>
      <c r="B5093" t="str">
        <f>"15528333219"</f>
        <v>15528333219</v>
      </c>
      <c r="C5093" t="str">
        <f>"513701199709200017"</f>
        <v>513701199709200017</v>
      </c>
      <c r="D5093" t="s">
        <v>1</v>
      </c>
      <c r="E5093" t="s">
        <v>1</v>
      </c>
      <c r="F5093" t="s">
        <v>0</v>
      </c>
      <c r="G5093" t="str">
        <f>"2018-10-17 11:20:15"</f>
        <v>2018-10-17 11:20:15</v>
      </c>
    </row>
    <row r="5094" spans="1:7" x14ac:dyDescent="0.2">
      <c r="A5094" t="s">
        <v>6177</v>
      </c>
      <c r="B5094" t="str">
        <f>"18174694370"</f>
        <v>18174694370</v>
      </c>
      <c r="C5094" t="str">
        <f>"430426199112209498"</f>
        <v>430426199112209498</v>
      </c>
      <c r="D5094" t="s">
        <v>1</v>
      </c>
      <c r="E5094" t="s">
        <v>1</v>
      </c>
      <c r="F5094" t="s">
        <v>0</v>
      </c>
      <c r="G5094" t="str">
        <f>"2018-10-17 12:02:59"</f>
        <v>2018-10-17 12:02:59</v>
      </c>
    </row>
    <row r="5095" spans="1:7" x14ac:dyDescent="0.2">
      <c r="A5095" t="s">
        <v>1</v>
      </c>
      <c r="B5095" t="str">
        <f>"18677783965"</f>
        <v>18677783965</v>
      </c>
      <c r="C5095" t="s">
        <v>1</v>
      </c>
      <c r="D5095" t="s">
        <v>1</v>
      </c>
      <c r="E5095" t="s">
        <v>1</v>
      </c>
      <c r="F5095" t="s">
        <v>0</v>
      </c>
      <c r="G5095" t="str">
        <f>"2018-10-17 11:19:25"</f>
        <v>2018-10-17 11:19:25</v>
      </c>
    </row>
    <row r="5096" spans="1:7" x14ac:dyDescent="0.2">
      <c r="A5096" t="s">
        <v>6178</v>
      </c>
      <c r="B5096" t="str">
        <f>"18758071960"</f>
        <v>18758071960</v>
      </c>
      <c r="C5096" t="str">
        <f>"36252319870822722X"</f>
        <v>36252319870822722X</v>
      </c>
      <c r="D5096" t="s">
        <v>6179</v>
      </c>
      <c r="E5096" t="s">
        <v>6180</v>
      </c>
      <c r="F5096" t="s">
        <v>0</v>
      </c>
      <c r="G5096" t="str">
        <f>"2018-10-17 11:16:16"</f>
        <v>2018-10-17 11:16:16</v>
      </c>
    </row>
    <row r="5097" spans="1:7" x14ac:dyDescent="0.2">
      <c r="A5097" t="s">
        <v>1</v>
      </c>
      <c r="B5097" t="str">
        <f>"13586103808"</f>
        <v>13586103808</v>
      </c>
      <c r="C5097" t="s">
        <v>1</v>
      </c>
      <c r="D5097" t="s">
        <v>1</v>
      </c>
      <c r="E5097" t="s">
        <v>1</v>
      </c>
      <c r="F5097" t="s">
        <v>0</v>
      </c>
      <c r="G5097" t="str">
        <f>"2018-10-17 11:15:10"</f>
        <v>2018-10-17 11:15:10</v>
      </c>
    </row>
    <row r="5098" spans="1:7" x14ac:dyDescent="0.2">
      <c r="A5098" t="s">
        <v>1</v>
      </c>
      <c r="B5098" t="str">
        <f>"15048320012"</f>
        <v>15048320012</v>
      </c>
      <c r="C5098" t="s">
        <v>1</v>
      </c>
      <c r="D5098" t="s">
        <v>1</v>
      </c>
      <c r="E5098" t="s">
        <v>1</v>
      </c>
      <c r="F5098" t="s">
        <v>0</v>
      </c>
      <c r="G5098" t="str">
        <f>"2018-10-17 11:14:52"</f>
        <v>2018-10-17 11:14:52</v>
      </c>
    </row>
    <row r="5099" spans="1:7" x14ac:dyDescent="0.2">
      <c r="A5099" t="s">
        <v>6181</v>
      </c>
      <c r="B5099" t="str">
        <f>"18328445657"</f>
        <v>18328445657</v>
      </c>
      <c r="C5099" t="str">
        <f>"513701198201011851"</f>
        <v>513701198201011851</v>
      </c>
      <c r="D5099" t="s">
        <v>1</v>
      </c>
      <c r="E5099" t="s">
        <v>1</v>
      </c>
      <c r="F5099" t="s">
        <v>0</v>
      </c>
      <c r="G5099" t="str">
        <f>"2018-10-17 11:19:42"</f>
        <v>2018-10-17 11:19:42</v>
      </c>
    </row>
    <row r="5100" spans="1:7" x14ac:dyDescent="0.2">
      <c r="A5100" t="s">
        <v>6182</v>
      </c>
      <c r="B5100" t="str">
        <f>"17784768800"</f>
        <v>17784768800</v>
      </c>
      <c r="C5100" t="str">
        <f>"511023199008215732"</f>
        <v>511023199008215732</v>
      </c>
      <c r="D5100" t="s">
        <v>1</v>
      </c>
      <c r="E5100" t="s">
        <v>1</v>
      </c>
      <c r="F5100" t="s">
        <v>0</v>
      </c>
      <c r="G5100" t="str">
        <f>"2018-10-17 11:16:11"</f>
        <v>2018-10-17 11:16:11</v>
      </c>
    </row>
    <row r="5101" spans="1:7" x14ac:dyDescent="0.2">
      <c r="A5101" t="s">
        <v>1</v>
      </c>
      <c r="B5101" t="str">
        <f>"13024778773"</f>
        <v>13024778773</v>
      </c>
      <c r="C5101" t="s">
        <v>1</v>
      </c>
      <c r="D5101" t="s">
        <v>1</v>
      </c>
      <c r="E5101" t="s">
        <v>1</v>
      </c>
      <c r="F5101" t="s">
        <v>0</v>
      </c>
      <c r="G5101" t="str">
        <f>"2018-10-17 11:14:15"</f>
        <v>2018-10-17 11:14:15</v>
      </c>
    </row>
    <row r="5102" spans="1:7" x14ac:dyDescent="0.2">
      <c r="A5102" t="s">
        <v>6183</v>
      </c>
      <c r="B5102" t="str">
        <f>"15692167603"</f>
        <v>15692167603</v>
      </c>
      <c r="C5102" t="str">
        <f>"350322199704102634"</f>
        <v>350322199704102634</v>
      </c>
      <c r="D5102" t="s">
        <v>1</v>
      </c>
      <c r="E5102" t="s">
        <v>1</v>
      </c>
      <c r="F5102" t="s">
        <v>0</v>
      </c>
      <c r="G5102" t="str">
        <f>"2018-10-17 11:17:06"</f>
        <v>2018-10-17 11:17:06</v>
      </c>
    </row>
    <row r="5103" spans="1:7" x14ac:dyDescent="0.2">
      <c r="A5103" t="s">
        <v>1</v>
      </c>
      <c r="B5103" t="str">
        <f>"18120710415"</f>
        <v>18120710415</v>
      </c>
      <c r="C5103" t="s">
        <v>1</v>
      </c>
      <c r="D5103" t="s">
        <v>1</v>
      </c>
      <c r="E5103" t="s">
        <v>1</v>
      </c>
      <c r="F5103" t="s">
        <v>0</v>
      </c>
      <c r="G5103" t="str">
        <f>"2018-10-17 11:14:08"</f>
        <v>2018-10-17 11:14:08</v>
      </c>
    </row>
    <row r="5104" spans="1:7" x14ac:dyDescent="0.2">
      <c r="A5104" t="s">
        <v>522</v>
      </c>
      <c r="B5104" t="str">
        <f>"15549298769"</f>
        <v>15549298769</v>
      </c>
      <c r="C5104" t="str">
        <f>"420582198109217091"</f>
        <v>420582198109217091</v>
      </c>
      <c r="D5104" t="s">
        <v>1</v>
      </c>
      <c r="E5104" t="s">
        <v>1</v>
      </c>
      <c r="F5104" t="s">
        <v>0</v>
      </c>
      <c r="G5104" t="str">
        <f>"2018-10-17 11:57:03"</f>
        <v>2018-10-17 11:57:03</v>
      </c>
    </row>
    <row r="5105" spans="1:7" x14ac:dyDescent="0.2">
      <c r="A5105" t="s">
        <v>704</v>
      </c>
      <c r="B5105" t="str">
        <f>"18571872778"</f>
        <v>18571872778</v>
      </c>
      <c r="C5105" t="str">
        <f>"500235198911283116"</f>
        <v>500235198911283116</v>
      </c>
      <c r="D5105" t="s">
        <v>6184</v>
      </c>
      <c r="E5105" t="s">
        <v>6185</v>
      </c>
      <c r="F5105" t="s">
        <v>0</v>
      </c>
      <c r="G5105" t="str">
        <f>"2018-10-17 11:20:16"</f>
        <v>2018-10-17 11:20:16</v>
      </c>
    </row>
    <row r="5106" spans="1:7" x14ac:dyDescent="0.2">
      <c r="A5106" t="s">
        <v>6186</v>
      </c>
      <c r="B5106" t="str">
        <f>"13760210404"</f>
        <v>13760210404</v>
      </c>
      <c r="C5106" t="str">
        <f>"441781199210201514"</f>
        <v>441781199210201514</v>
      </c>
      <c r="D5106" t="s">
        <v>1</v>
      </c>
      <c r="E5106" t="s">
        <v>1</v>
      </c>
      <c r="F5106" t="s">
        <v>0</v>
      </c>
      <c r="G5106" t="str">
        <f>"2018-10-17 12:35:02"</f>
        <v>2018-10-17 12:35:02</v>
      </c>
    </row>
    <row r="5107" spans="1:7" x14ac:dyDescent="0.2">
      <c r="A5107" t="s">
        <v>6187</v>
      </c>
      <c r="B5107" t="str">
        <f>"15094166936"</f>
        <v>15094166936</v>
      </c>
      <c r="C5107" t="str">
        <f>"532524197905192613"</f>
        <v>532524197905192613</v>
      </c>
      <c r="D5107" t="s">
        <v>6188</v>
      </c>
      <c r="E5107" t="s">
        <v>6189</v>
      </c>
      <c r="F5107" t="s">
        <v>0</v>
      </c>
      <c r="G5107" t="str">
        <f>"2018-10-17 11:13:15"</f>
        <v>2018-10-17 11:13:15</v>
      </c>
    </row>
    <row r="5108" spans="1:7" x14ac:dyDescent="0.2">
      <c r="A5108" t="s">
        <v>6190</v>
      </c>
      <c r="B5108" t="str">
        <f>"15161873263"</f>
        <v>15161873263</v>
      </c>
      <c r="C5108" t="str">
        <f>"321027199310150319"</f>
        <v>321027199310150319</v>
      </c>
      <c r="D5108" t="s">
        <v>1</v>
      </c>
      <c r="E5108" t="s">
        <v>1</v>
      </c>
      <c r="F5108" t="s">
        <v>0</v>
      </c>
      <c r="G5108" t="str">
        <f>"2018-10-17 11:23:00"</f>
        <v>2018-10-17 11:23:00</v>
      </c>
    </row>
    <row r="5109" spans="1:7" x14ac:dyDescent="0.2">
      <c r="A5109" t="s">
        <v>1866</v>
      </c>
      <c r="B5109" t="str">
        <f>"13543008644"</f>
        <v>13543008644</v>
      </c>
      <c r="C5109" t="str">
        <f>"140121198201260517"</f>
        <v>140121198201260517</v>
      </c>
      <c r="D5109" t="s">
        <v>1</v>
      </c>
      <c r="E5109" t="s">
        <v>1</v>
      </c>
      <c r="F5109" t="s">
        <v>0</v>
      </c>
      <c r="G5109" t="str">
        <f>"2018-10-17 11:30:03"</f>
        <v>2018-10-17 11:30:03</v>
      </c>
    </row>
    <row r="5110" spans="1:7" x14ac:dyDescent="0.2">
      <c r="A5110" t="s">
        <v>389</v>
      </c>
      <c r="B5110" t="str">
        <f>"13875162562"</f>
        <v>13875162562</v>
      </c>
      <c r="C5110" t="str">
        <f>"430722199412050010"</f>
        <v>430722199412050010</v>
      </c>
      <c r="D5110" t="s">
        <v>1</v>
      </c>
      <c r="E5110" t="s">
        <v>1</v>
      </c>
      <c r="F5110" t="s">
        <v>0</v>
      </c>
      <c r="G5110" t="str">
        <f>"2018-10-17 11:17:09"</f>
        <v>2018-10-17 11:17:09</v>
      </c>
    </row>
    <row r="5111" spans="1:7" x14ac:dyDescent="0.2">
      <c r="A5111" t="s">
        <v>6191</v>
      </c>
      <c r="B5111" t="str">
        <f>"18285345702"</f>
        <v>18285345702</v>
      </c>
      <c r="C5111" t="str">
        <f>"522527198710202529"</f>
        <v>522527198710202529</v>
      </c>
      <c r="D5111" t="s">
        <v>1</v>
      </c>
      <c r="E5111" t="s">
        <v>1</v>
      </c>
      <c r="F5111" t="s">
        <v>0</v>
      </c>
      <c r="G5111" t="str">
        <f>"2018-10-17 11:13:52"</f>
        <v>2018-10-17 11:13:52</v>
      </c>
    </row>
    <row r="5112" spans="1:7" x14ac:dyDescent="0.2">
      <c r="A5112" t="s">
        <v>1</v>
      </c>
      <c r="B5112" t="str">
        <f>"18959466504"</f>
        <v>18959466504</v>
      </c>
      <c r="C5112" t="s">
        <v>1</v>
      </c>
      <c r="D5112" t="s">
        <v>1</v>
      </c>
      <c r="E5112" t="s">
        <v>1</v>
      </c>
      <c r="F5112" t="s">
        <v>0</v>
      </c>
      <c r="G5112" t="str">
        <f>"2018-10-17 11:12:08"</f>
        <v>2018-10-17 11:12:08</v>
      </c>
    </row>
    <row r="5113" spans="1:7" x14ac:dyDescent="0.2">
      <c r="A5113" t="s">
        <v>1</v>
      </c>
      <c r="B5113" t="str">
        <f>"13920007239"</f>
        <v>13920007239</v>
      </c>
      <c r="C5113" t="s">
        <v>1</v>
      </c>
      <c r="D5113" t="s">
        <v>1</v>
      </c>
      <c r="E5113" t="s">
        <v>1</v>
      </c>
      <c r="F5113" t="s">
        <v>0</v>
      </c>
      <c r="G5113" t="str">
        <f>"2018-10-17 11:12:00"</f>
        <v>2018-10-17 11:12:00</v>
      </c>
    </row>
    <row r="5114" spans="1:7" x14ac:dyDescent="0.2">
      <c r="A5114" t="s">
        <v>1</v>
      </c>
      <c r="B5114" t="str">
        <f>"18660935177"</f>
        <v>18660935177</v>
      </c>
      <c r="C5114" t="s">
        <v>1</v>
      </c>
      <c r="D5114" t="s">
        <v>1</v>
      </c>
      <c r="E5114" t="s">
        <v>1</v>
      </c>
      <c r="F5114" t="s">
        <v>0</v>
      </c>
      <c r="G5114" t="str">
        <f>"2018-10-17 11:43:10"</f>
        <v>2018-10-17 11:43:10</v>
      </c>
    </row>
    <row r="5115" spans="1:7" x14ac:dyDescent="0.2">
      <c r="A5115" t="s">
        <v>1</v>
      </c>
      <c r="B5115" t="str">
        <f>"18106975484"</f>
        <v>18106975484</v>
      </c>
      <c r="C5115" t="s">
        <v>1</v>
      </c>
      <c r="D5115" t="s">
        <v>1</v>
      </c>
      <c r="E5115" t="s">
        <v>1</v>
      </c>
      <c r="F5115" t="s">
        <v>0</v>
      </c>
      <c r="G5115" t="str">
        <f>"2018-10-17 11:11:20"</f>
        <v>2018-10-17 11:11:20</v>
      </c>
    </row>
    <row r="5116" spans="1:7" x14ac:dyDescent="0.2">
      <c r="A5116" t="s">
        <v>6192</v>
      </c>
      <c r="B5116" t="str">
        <f>"15993971156"</f>
        <v>15993971156</v>
      </c>
      <c r="C5116" t="str">
        <f>"411424199809179254"</f>
        <v>411424199809179254</v>
      </c>
      <c r="D5116" t="s">
        <v>1</v>
      </c>
      <c r="E5116" t="s">
        <v>1</v>
      </c>
      <c r="F5116" t="s">
        <v>0</v>
      </c>
      <c r="G5116" t="str">
        <f>"2018-10-17 11:11:52"</f>
        <v>2018-10-17 11:11:52</v>
      </c>
    </row>
    <row r="5117" spans="1:7" x14ac:dyDescent="0.2">
      <c r="A5117" t="s">
        <v>6193</v>
      </c>
      <c r="B5117" t="str">
        <f>"13317438356"</f>
        <v>13317438356</v>
      </c>
      <c r="C5117" t="str">
        <f>"433101198810222520"</f>
        <v>433101198810222520</v>
      </c>
      <c r="D5117" t="s">
        <v>1</v>
      </c>
      <c r="E5117" t="s">
        <v>1</v>
      </c>
      <c r="F5117" t="s">
        <v>0</v>
      </c>
      <c r="G5117" t="str">
        <f>"2018-10-17 13:27:39"</f>
        <v>2018-10-17 13:27:39</v>
      </c>
    </row>
    <row r="5118" spans="1:7" x14ac:dyDescent="0.2">
      <c r="A5118" t="s">
        <v>247</v>
      </c>
      <c r="B5118" t="str">
        <f>"15528971116"</f>
        <v>15528971116</v>
      </c>
      <c r="C5118" t="str">
        <f>"51152819950501181X"</f>
        <v>51152819950501181X</v>
      </c>
      <c r="D5118" t="s">
        <v>1</v>
      </c>
      <c r="E5118" t="s">
        <v>1</v>
      </c>
      <c r="F5118" t="s">
        <v>0</v>
      </c>
      <c r="G5118" t="str">
        <f>"2018-10-17 11:16:57"</f>
        <v>2018-10-17 11:16:57</v>
      </c>
    </row>
    <row r="5119" spans="1:7" x14ac:dyDescent="0.2">
      <c r="A5119" t="s">
        <v>1</v>
      </c>
      <c r="B5119" t="str">
        <f>"18677668306"</f>
        <v>18677668306</v>
      </c>
      <c r="C5119" t="s">
        <v>1</v>
      </c>
      <c r="D5119" t="s">
        <v>1</v>
      </c>
      <c r="E5119" t="s">
        <v>1</v>
      </c>
      <c r="F5119" t="s">
        <v>0</v>
      </c>
      <c r="G5119" t="str">
        <f>"2018-10-17 11:09:57"</f>
        <v>2018-10-17 11:09:57</v>
      </c>
    </row>
    <row r="5120" spans="1:7" x14ac:dyDescent="0.2">
      <c r="A5120" t="s">
        <v>6194</v>
      </c>
      <c r="B5120" t="str">
        <f>"13663835132"</f>
        <v>13663835132</v>
      </c>
      <c r="C5120" t="str">
        <f>"411424199801169254"</f>
        <v>411424199801169254</v>
      </c>
      <c r="D5120" t="s">
        <v>1</v>
      </c>
      <c r="E5120" t="s">
        <v>1</v>
      </c>
      <c r="F5120" t="s">
        <v>0</v>
      </c>
      <c r="G5120" t="str">
        <f>"2018-10-17 11:11:03"</f>
        <v>2018-10-17 11:11:03</v>
      </c>
    </row>
    <row r="5121" spans="1:7" x14ac:dyDescent="0.2">
      <c r="A5121" t="s">
        <v>1</v>
      </c>
      <c r="B5121" t="str">
        <f>"13353599237"</f>
        <v>13353599237</v>
      </c>
      <c r="C5121" t="s">
        <v>1</v>
      </c>
      <c r="D5121" t="s">
        <v>1</v>
      </c>
      <c r="E5121" t="s">
        <v>1</v>
      </c>
      <c r="F5121" t="s">
        <v>0</v>
      </c>
      <c r="G5121" t="str">
        <f>"2018-10-17 11:09:35"</f>
        <v>2018-10-17 11:09:35</v>
      </c>
    </row>
    <row r="5122" spans="1:7" x14ac:dyDescent="0.2">
      <c r="A5122" t="s">
        <v>1097</v>
      </c>
      <c r="B5122" t="str">
        <f>"15240660561"</f>
        <v>15240660561</v>
      </c>
      <c r="C5122" t="str">
        <f>"452130199206023022"</f>
        <v>452130199206023022</v>
      </c>
      <c r="D5122" t="s">
        <v>1</v>
      </c>
      <c r="E5122" t="s">
        <v>1</v>
      </c>
      <c r="F5122" t="s">
        <v>0</v>
      </c>
      <c r="G5122" t="str">
        <f>"2018-10-17 11:09:25"</f>
        <v>2018-10-17 11:09:25</v>
      </c>
    </row>
    <row r="5123" spans="1:7" x14ac:dyDescent="0.2">
      <c r="A5123" t="s">
        <v>1</v>
      </c>
      <c r="B5123" t="str">
        <f>"18855313789"</f>
        <v>18855313789</v>
      </c>
      <c r="C5123" t="s">
        <v>1</v>
      </c>
      <c r="D5123" t="s">
        <v>1</v>
      </c>
      <c r="E5123" t="s">
        <v>1</v>
      </c>
      <c r="F5123" t="s">
        <v>0</v>
      </c>
      <c r="G5123" t="str">
        <f>"2018-10-17 12:51:01"</f>
        <v>2018-10-17 12:51:01</v>
      </c>
    </row>
    <row r="5124" spans="1:7" x14ac:dyDescent="0.2">
      <c r="A5124" t="s">
        <v>6195</v>
      </c>
      <c r="B5124" t="str">
        <f>"15063950444"</f>
        <v>15063950444</v>
      </c>
      <c r="C5124" t="str">
        <f>"370832199007080912"</f>
        <v>370832199007080912</v>
      </c>
      <c r="D5124" t="s">
        <v>1</v>
      </c>
      <c r="E5124" t="s">
        <v>1</v>
      </c>
      <c r="F5124" t="s">
        <v>0</v>
      </c>
      <c r="G5124" t="str">
        <f>"2018-10-17 11:18:29"</f>
        <v>2018-10-17 11:18:29</v>
      </c>
    </row>
    <row r="5125" spans="1:7" x14ac:dyDescent="0.2">
      <c r="A5125" t="s">
        <v>1</v>
      </c>
      <c r="B5125" t="str">
        <f>"18841264646"</f>
        <v>18841264646</v>
      </c>
      <c r="C5125" t="s">
        <v>1</v>
      </c>
      <c r="D5125" t="s">
        <v>1</v>
      </c>
      <c r="E5125" t="s">
        <v>1</v>
      </c>
      <c r="F5125" t="s">
        <v>0</v>
      </c>
      <c r="G5125" t="str">
        <f>"2018-10-17 11:07:54"</f>
        <v>2018-10-17 11:07:54</v>
      </c>
    </row>
    <row r="5126" spans="1:7" x14ac:dyDescent="0.2">
      <c r="A5126" t="s">
        <v>6196</v>
      </c>
      <c r="B5126" t="str">
        <f>"13127680078"</f>
        <v>13127680078</v>
      </c>
      <c r="C5126" t="str">
        <f>"310225199008024819"</f>
        <v>310225199008024819</v>
      </c>
      <c r="D5126" t="s">
        <v>1</v>
      </c>
      <c r="E5126" t="s">
        <v>1</v>
      </c>
      <c r="F5126" t="s">
        <v>0</v>
      </c>
      <c r="G5126" t="str">
        <f>"2018-10-17 11:26:01"</f>
        <v>2018-10-17 11:26:01</v>
      </c>
    </row>
    <row r="5127" spans="1:7" x14ac:dyDescent="0.2">
      <c r="A5127" t="s">
        <v>6197</v>
      </c>
      <c r="B5127" t="str">
        <f>"15332396723"</f>
        <v>15332396723</v>
      </c>
      <c r="C5127" t="str">
        <f>"142703199609263718"</f>
        <v>142703199609263718</v>
      </c>
      <c r="D5127" t="s">
        <v>1</v>
      </c>
      <c r="E5127" t="s">
        <v>1</v>
      </c>
      <c r="F5127" t="s">
        <v>0</v>
      </c>
      <c r="G5127" t="str">
        <f>"2018-10-17 11:27:03"</f>
        <v>2018-10-17 11:27:03</v>
      </c>
    </row>
    <row r="5128" spans="1:7" x14ac:dyDescent="0.2">
      <c r="A5128" t="s">
        <v>1</v>
      </c>
      <c r="B5128" t="str">
        <f>"13544467026"</f>
        <v>13544467026</v>
      </c>
      <c r="C5128" t="s">
        <v>1</v>
      </c>
      <c r="D5128" t="s">
        <v>1</v>
      </c>
      <c r="E5128" t="s">
        <v>1</v>
      </c>
      <c r="F5128" t="s">
        <v>0</v>
      </c>
      <c r="G5128" t="str">
        <f>"2018-10-17 11:07:23"</f>
        <v>2018-10-17 11:07:23</v>
      </c>
    </row>
    <row r="5129" spans="1:7" x14ac:dyDescent="0.2">
      <c r="A5129" t="s">
        <v>1</v>
      </c>
      <c r="B5129" t="str">
        <f>"14702411767"</f>
        <v>14702411767</v>
      </c>
      <c r="C5129" t="s">
        <v>1</v>
      </c>
      <c r="D5129" t="s">
        <v>1</v>
      </c>
      <c r="E5129" t="s">
        <v>1</v>
      </c>
      <c r="F5129" t="s">
        <v>0</v>
      </c>
      <c r="G5129" t="str">
        <f>"2018-10-17 11:06:03"</f>
        <v>2018-10-17 11:06:03</v>
      </c>
    </row>
    <row r="5130" spans="1:7" x14ac:dyDescent="0.2">
      <c r="A5130" t="s">
        <v>6198</v>
      </c>
      <c r="B5130" t="str">
        <f>"18822813374"</f>
        <v>18822813374</v>
      </c>
      <c r="C5130" t="str">
        <f>"440882198806017239"</f>
        <v>440882198806017239</v>
      </c>
      <c r="D5130" t="s">
        <v>1</v>
      </c>
      <c r="E5130" t="s">
        <v>1</v>
      </c>
      <c r="F5130" t="s">
        <v>0</v>
      </c>
      <c r="G5130" t="str">
        <f>"2018-10-17 11:10:10"</f>
        <v>2018-10-17 11:10:10</v>
      </c>
    </row>
    <row r="5131" spans="1:7" x14ac:dyDescent="0.2">
      <c r="A5131" t="s">
        <v>6199</v>
      </c>
      <c r="B5131" t="str">
        <f>"18585896869"</f>
        <v>18585896869</v>
      </c>
      <c r="C5131" t="str">
        <f>"522528198209250419"</f>
        <v>522528198209250419</v>
      </c>
      <c r="D5131" t="s">
        <v>1</v>
      </c>
      <c r="E5131" t="s">
        <v>1</v>
      </c>
      <c r="F5131" t="s">
        <v>0</v>
      </c>
      <c r="G5131" t="str">
        <f>"2018-10-17 11:04:47"</f>
        <v>2018-10-17 11:04:47</v>
      </c>
    </row>
    <row r="5132" spans="1:7" x14ac:dyDescent="0.2">
      <c r="A5132" t="s">
        <v>6200</v>
      </c>
      <c r="B5132" t="str">
        <f>"15075152002"</f>
        <v>15075152002</v>
      </c>
      <c r="C5132" t="str">
        <f>"13052419970518251X"</f>
        <v>13052419970518251X</v>
      </c>
      <c r="D5132" t="s">
        <v>6201</v>
      </c>
      <c r="E5132" t="s">
        <v>6202</v>
      </c>
      <c r="F5132" t="s">
        <v>0</v>
      </c>
      <c r="G5132" t="str">
        <f>"2018-10-17 11:03:36"</f>
        <v>2018-10-17 11:03:36</v>
      </c>
    </row>
    <row r="5133" spans="1:7" x14ac:dyDescent="0.2">
      <c r="A5133" t="s">
        <v>1</v>
      </c>
      <c r="B5133" t="str">
        <f>"13110412039"</f>
        <v>13110412039</v>
      </c>
      <c r="C5133" t="s">
        <v>1</v>
      </c>
      <c r="D5133" t="s">
        <v>1</v>
      </c>
      <c r="E5133" t="s">
        <v>1</v>
      </c>
      <c r="F5133" t="s">
        <v>0</v>
      </c>
      <c r="G5133" t="str">
        <f>"2018-10-17 11:03:16"</f>
        <v>2018-10-17 11:03:16</v>
      </c>
    </row>
    <row r="5134" spans="1:7" x14ac:dyDescent="0.2">
      <c r="A5134" t="s">
        <v>6203</v>
      </c>
      <c r="B5134" t="str">
        <f>"13624628880"</f>
        <v>13624628880</v>
      </c>
      <c r="C5134" t="str">
        <f>"230221199407120212"</f>
        <v>230221199407120212</v>
      </c>
      <c r="D5134" t="s">
        <v>6204</v>
      </c>
      <c r="E5134" t="s">
        <v>6205</v>
      </c>
      <c r="F5134" t="s">
        <v>0</v>
      </c>
      <c r="G5134" t="str">
        <f>"2018-10-17 11:03:49"</f>
        <v>2018-10-17 11:03:49</v>
      </c>
    </row>
    <row r="5135" spans="1:7" x14ac:dyDescent="0.2">
      <c r="A5135" t="s">
        <v>6206</v>
      </c>
      <c r="B5135" t="str">
        <f>"15603237094"</f>
        <v>15603237094</v>
      </c>
      <c r="C5135" t="str">
        <f>"130635199205050056"</f>
        <v>130635199205050056</v>
      </c>
      <c r="D5135" t="s">
        <v>1</v>
      </c>
      <c r="E5135" t="s">
        <v>1</v>
      </c>
      <c r="F5135" t="s">
        <v>0</v>
      </c>
      <c r="G5135" t="str">
        <f>"2018-10-17 11:02:32"</f>
        <v>2018-10-17 11:02:32</v>
      </c>
    </row>
    <row r="5136" spans="1:7" x14ac:dyDescent="0.2">
      <c r="A5136" t="s">
        <v>6207</v>
      </c>
      <c r="B5136" t="str">
        <f>"13811912370"</f>
        <v>13811912370</v>
      </c>
      <c r="C5136" t="str">
        <f>"231083199011160436"</f>
        <v>231083199011160436</v>
      </c>
      <c r="D5136" t="s">
        <v>1</v>
      </c>
      <c r="E5136" t="s">
        <v>1</v>
      </c>
      <c r="F5136" t="s">
        <v>0</v>
      </c>
      <c r="G5136" t="str">
        <f>"2018-10-17 12:11:57"</f>
        <v>2018-10-17 12:11:57</v>
      </c>
    </row>
    <row r="5137" spans="1:7" x14ac:dyDescent="0.2">
      <c r="A5137" t="s">
        <v>6208</v>
      </c>
      <c r="B5137" t="str">
        <f>"15753963811"</f>
        <v>15753963811</v>
      </c>
      <c r="C5137" t="str">
        <f>"371203199411270060"</f>
        <v>371203199411270060</v>
      </c>
      <c r="D5137" t="s">
        <v>1</v>
      </c>
      <c r="E5137" t="s">
        <v>1</v>
      </c>
      <c r="F5137" t="s">
        <v>0</v>
      </c>
      <c r="G5137" t="str">
        <f>"2018-10-17 11:13:06"</f>
        <v>2018-10-17 11:13:06</v>
      </c>
    </row>
    <row r="5138" spans="1:7" x14ac:dyDescent="0.2">
      <c r="A5138" t="s">
        <v>1</v>
      </c>
      <c r="B5138" t="str">
        <f>"13338470055"</f>
        <v>13338470055</v>
      </c>
      <c r="C5138" t="s">
        <v>1</v>
      </c>
      <c r="D5138" t="s">
        <v>1</v>
      </c>
      <c r="E5138" t="s">
        <v>1</v>
      </c>
      <c r="F5138" t="s">
        <v>0</v>
      </c>
      <c r="G5138" t="str">
        <f>"2018-10-17 11:01:26"</f>
        <v>2018-10-17 11:01:26</v>
      </c>
    </row>
    <row r="5139" spans="1:7" x14ac:dyDescent="0.2">
      <c r="A5139" t="s">
        <v>6209</v>
      </c>
      <c r="B5139" t="str">
        <f>"15870263934"</f>
        <v>15870263934</v>
      </c>
      <c r="C5139" t="str">
        <f>"45213119971003152X"</f>
        <v>45213119971003152X</v>
      </c>
      <c r="D5139" t="s">
        <v>1</v>
      </c>
      <c r="E5139" t="s">
        <v>1</v>
      </c>
      <c r="F5139" t="s">
        <v>0</v>
      </c>
      <c r="G5139" t="str">
        <f>"2018-10-17 11:03:16"</f>
        <v>2018-10-17 11:03:16</v>
      </c>
    </row>
    <row r="5140" spans="1:7" x14ac:dyDescent="0.2">
      <c r="A5140" t="s">
        <v>6210</v>
      </c>
      <c r="B5140" t="str">
        <f>"18673913829"</f>
        <v>18673913829</v>
      </c>
      <c r="C5140" t="str">
        <f>"433001197006150474"</f>
        <v>433001197006150474</v>
      </c>
      <c r="D5140" t="s">
        <v>1</v>
      </c>
      <c r="E5140" t="s">
        <v>1</v>
      </c>
      <c r="F5140" t="s">
        <v>0</v>
      </c>
      <c r="G5140" t="str">
        <f>"2018-10-17 11:03:17"</f>
        <v>2018-10-17 11:03:17</v>
      </c>
    </row>
    <row r="5141" spans="1:7" x14ac:dyDescent="0.2">
      <c r="A5141" t="s">
        <v>6211</v>
      </c>
      <c r="B5141" t="str">
        <f>"17699049475"</f>
        <v>17699049475</v>
      </c>
      <c r="C5141" t="str">
        <f>"622825198505133314"</f>
        <v>622825198505133314</v>
      </c>
      <c r="D5141" t="s">
        <v>1</v>
      </c>
      <c r="E5141" t="s">
        <v>1</v>
      </c>
      <c r="F5141" t="s">
        <v>0</v>
      </c>
      <c r="G5141" t="str">
        <f>"2018-10-27 16:38:55"</f>
        <v>2018-10-27 16:38:55</v>
      </c>
    </row>
    <row r="5142" spans="1:7" x14ac:dyDescent="0.2">
      <c r="A5142" t="s">
        <v>6212</v>
      </c>
      <c r="B5142" t="str">
        <f>"13566208884"</f>
        <v>13566208884</v>
      </c>
      <c r="C5142" t="str">
        <f>"330326198708186713"</f>
        <v>330326198708186713</v>
      </c>
      <c r="D5142" t="s">
        <v>1</v>
      </c>
      <c r="E5142" t="s">
        <v>1</v>
      </c>
      <c r="F5142" t="s">
        <v>0</v>
      </c>
      <c r="G5142" t="str">
        <f>"2018-10-17 10:59:33"</f>
        <v>2018-10-17 10:59:33</v>
      </c>
    </row>
    <row r="5143" spans="1:7" x14ac:dyDescent="0.2">
      <c r="A5143" t="s">
        <v>1</v>
      </c>
      <c r="B5143" t="str">
        <f>"18506174707"</f>
        <v>18506174707</v>
      </c>
      <c r="C5143" t="s">
        <v>1</v>
      </c>
      <c r="D5143" t="s">
        <v>1</v>
      </c>
      <c r="E5143" t="s">
        <v>1</v>
      </c>
      <c r="F5143" t="s">
        <v>0</v>
      </c>
      <c r="G5143" t="str">
        <f>"2018-10-17 13:18:09"</f>
        <v>2018-10-17 13:18:09</v>
      </c>
    </row>
    <row r="5144" spans="1:7" x14ac:dyDescent="0.2">
      <c r="A5144" t="s">
        <v>1</v>
      </c>
      <c r="B5144" t="str">
        <f>"15358277088"</f>
        <v>15358277088</v>
      </c>
      <c r="C5144" t="s">
        <v>1</v>
      </c>
      <c r="D5144" t="s">
        <v>1</v>
      </c>
      <c r="E5144" t="s">
        <v>1</v>
      </c>
      <c r="F5144" t="s">
        <v>0</v>
      </c>
      <c r="G5144" t="str">
        <f>"2018-10-17 11:01:21"</f>
        <v>2018-10-17 11:01:21</v>
      </c>
    </row>
    <row r="5145" spans="1:7" x14ac:dyDescent="0.2">
      <c r="A5145" t="s">
        <v>6213</v>
      </c>
      <c r="B5145" t="str">
        <f>"15192860900"</f>
        <v>15192860900</v>
      </c>
      <c r="C5145" t="str">
        <f>"371325199012084723"</f>
        <v>371325199012084723</v>
      </c>
      <c r="D5145" t="s">
        <v>1</v>
      </c>
      <c r="E5145" t="s">
        <v>1</v>
      </c>
      <c r="F5145" t="s">
        <v>0</v>
      </c>
      <c r="G5145" t="str">
        <f>"2018-10-17 10:59:42"</f>
        <v>2018-10-17 10:59:42</v>
      </c>
    </row>
    <row r="5146" spans="1:7" x14ac:dyDescent="0.2">
      <c r="A5146" t="s">
        <v>1</v>
      </c>
      <c r="B5146" t="str">
        <f>"17381685565"</f>
        <v>17381685565</v>
      </c>
      <c r="C5146" t="s">
        <v>1</v>
      </c>
      <c r="D5146" t="s">
        <v>1</v>
      </c>
      <c r="E5146" t="s">
        <v>1</v>
      </c>
      <c r="F5146" t="s">
        <v>0</v>
      </c>
      <c r="G5146" t="str">
        <f>"2018-10-17 10:59:32"</f>
        <v>2018-10-17 10:59:32</v>
      </c>
    </row>
    <row r="5147" spans="1:7" x14ac:dyDescent="0.2">
      <c r="A5147" t="s">
        <v>1</v>
      </c>
      <c r="B5147" t="str">
        <f>"18690851551"</f>
        <v>18690851551</v>
      </c>
      <c r="C5147" t="s">
        <v>1</v>
      </c>
      <c r="D5147" t="s">
        <v>1</v>
      </c>
      <c r="E5147" t="s">
        <v>1</v>
      </c>
      <c r="F5147" t="s">
        <v>0</v>
      </c>
      <c r="G5147" t="str">
        <f>"2018-10-17 11:00:55"</f>
        <v>2018-10-17 11:00:55</v>
      </c>
    </row>
    <row r="5148" spans="1:7" x14ac:dyDescent="0.2">
      <c r="A5148" t="s">
        <v>249</v>
      </c>
      <c r="B5148" t="str">
        <f>"18271160062"</f>
        <v>18271160062</v>
      </c>
      <c r="C5148" t="str">
        <f>"422432197707200028"</f>
        <v>422432197707200028</v>
      </c>
      <c r="D5148" t="s">
        <v>1</v>
      </c>
      <c r="E5148" t="s">
        <v>1</v>
      </c>
      <c r="F5148" t="s">
        <v>0</v>
      </c>
      <c r="G5148" t="str">
        <f>"2018-10-17 11:00:48"</f>
        <v>2018-10-17 11:00:48</v>
      </c>
    </row>
    <row r="5149" spans="1:7" x14ac:dyDescent="0.2">
      <c r="A5149" t="s">
        <v>6214</v>
      </c>
      <c r="B5149" t="str">
        <f>"15912400353"</f>
        <v>15912400353</v>
      </c>
      <c r="C5149" t="str">
        <f>"410426198611216512"</f>
        <v>410426198611216512</v>
      </c>
      <c r="D5149" t="s">
        <v>1</v>
      </c>
      <c r="E5149" t="s">
        <v>1</v>
      </c>
      <c r="F5149" t="s">
        <v>0</v>
      </c>
      <c r="G5149" t="str">
        <f>"2018-10-17 10:58:18"</f>
        <v>2018-10-17 10:58:18</v>
      </c>
    </row>
    <row r="5150" spans="1:7" x14ac:dyDescent="0.2">
      <c r="A5150" t="s">
        <v>1</v>
      </c>
      <c r="B5150" t="str">
        <f>"15904503227"</f>
        <v>15904503227</v>
      </c>
      <c r="C5150" t="s">
        <v>1</v>
      </c>
      <c r="D5150" t="s">
        <v>1</v>
      </c>
      <c r="E5150" t="s">
        <v>1</v>
      </c>
      <c r="F5150" t="s">
        <v>0</v>
      </c>
      <c r="G5150" t="str">
        <f>"2018-10-17 10:56:53"</f>
        <v>2018-10-17 10:56:53</v>
      </c>
    </row>
    <row r="5151" spans="1:7" x14ac:dyDescent="0.2">
      <c r="A5151" t="s">
        <v>6215</v>
      </c>
      <c r="B5151" t="str">
        <f>"15504083111"</f>
        <v>15504083111</v>
      </c>
      <c r="C5151" t="str">
        <f>"210213198909081016"</f>
        <v>210213198909081016</v>
      </c>
      <c r="D5151" t="s">
        <v>1</v>
      </c>
      <c r="E5151" t="s">
        <v>1</v>
      </c>
      <c r="F5151" t="s">
        <v>0</v>
      </c>
      <c r="G5151" t="str">
        <f>"2018-10-17 11:13:25"</f>
        <v>2018-10-17 11:13:25</v>
      </c>
    </row>
    <row r="5152" spans="1:7" x14ac:dyDescent="0.2">
      <c r="A5152" t="s">
        <v>6216</v>
      </c>
      <c r="B5152" t="str">
        <f>"15297737377"</f>
        <v>15297737377</v>
      </c>
      <c r="C5152" t="str">
        <f>"360722199011131831"</f>
        <v>360722199011131831</v>
      </c>
      <c r="D5152" t="s">
        <v>1</v>
      </c>
      <c r="E5152" t="s">
        <v>1</v>
      </c>
      <c r="F5152" t="s">
        <v>0</v>
      </c>
      <c r="G5152" t="str">
        <f>"2018-10-17 10:58:11"</f>
        <v>2018-10-17 10:58:11</v>
      </c>
    </row>
    <row r="5153" spans="1:7" x14ac:dyDescent="0.2">
      <c r="A5153" t="s">
        <v>927</v>
      </c>
      <c r="B5153" t="str">
        <f>"17625855504"</f>
        <v>17625855504</v>
      </c>
      <c r="C5153" t="str">
        <f>"321081199006077215"</f>
        <v>321081199006077215</v>
      </c>
      <c r="D5153" t="s">
        <v>6217</v>
      </c>
      <c r="E5153" t="s">
        <v>6218</v>
      </c>
      <c r="F5153" t="s">
        <v>0</v>
      </c>
      <c r="G5153" t="str">
        <f>"2018-10-17 10:57:19"</f>
        <v>2018-10-17 10:57:19</v>
      </c>
    </row>
    <row r="5154" spans="1:7" x14ac:dyDescent="0.2">
      <c r="A5154" t="s">
        <v>6219</v>
      </c>
      <c r="B5154" t="str">
        <f>"13781602538"</f>
        <v>13781602538</v>
      </c>
      <c r="C5154" t="str">
        <f>"420881198504267419"</f>
        <v>420881198504267419</v>
      </c>
      <c r="D5154" t="s">
        <v>1</v>
      </c>
      <c r="E5154" t="s">
        <v>1</v>
      </c>
      <c r="F5154" t="s">
        <v>0</v>
      </c>
      <c r="G5154" t="str">
        <f>"2018-10-17 10:58:31"</f>
        <v>2018-10-17 10:58:31</v>
      </c>
    </row>
    <row r="5155" spans="1:7" x14ac:dyDescent="0.2">
      <c r="A5155" t="s">
        <v>6220</v>
      </c>
      <c r="B5155" t="str">
        <f>"18797085300"</f>
        <v>18797085300</v>
      </c>
      <c r="C5155" t="str">
        <f>"630121199310080217"</f>
        <v>630121199310080217</v>
      </c>
      <c r="D5155" t="s">
        <v>1</v>
      </c>
      <c r="E5155" t="s">
        <v>1</v>
      </c>
      <c r="F5155" t="s">
        <v>0</v>
      </c>
      <c r="G5155" t="str">
        <f>"2018-10-17 10:58:18"</f>
        <v>2018-10-17 10:58:18</v>
      </c>
    </row>
    <row r="5156" spans="1:7" x14ac:dyDescent="0.2">
      <c r="A5156" t="s">
        <v>1</v>
      </c>
      <c r="B5156" t="str">
        <f>"18538305317"</f>
        <v>18538305317</v>
      </c>
      <c r="C5156" t="s">
        <v>1</v>
      </c>
      <c r="D5156" t="s">
        <v>1</v>
      </c>
      <c r="E5156" t="s">
        <v>1</v>
      </c>
      <c r="F5156" t="s">
        <v>0</v>
      </c>
      <c r="G5156" t="str">
        <f>"2018-10-17 10:55:40"</f>
        <v>2018-10-17 10:55:40</v>
      </c>
    </row>
    <row r="5157" spans="1:7" x14ac:dyDescent="0.2">
      <c r="A5157" t="s">
        <v>6221</v>
      </c>
      <c r="B5157" t="str">
        <f>"13773037021"</f>
        <v>13773037021</v>
      </c>
      <c r="C5157" t="str">
        <f>"331081198101185190"</f>
        <v>331081198101185190</v>
      </c>
      <c r="D5157" t="s">
        <v>1</v>
      </c>
      <c r="E5157" t="s">
        <v>1</v>
      </c>
      <c r="F5157" t="s">
        <v>0</v>
      </c>
      <c r="G5157" t="str">
        <f>"2018-10-17 10:58:14"</f>
        <v>2018-10-17 10:58:14</v>
      </c>
    </row>
    <row r="5158" spans="1:7" x14ac:dyDescent="0.2">
      <c r="A5158" t="s">
        <v>1</v>
      </c>
      <c r="B5158" t="str">
        <f>"15526330768"</f>
        <v>15526330768</v>
      </c>
      <c r="C5158" t="s">
        <v>1</v>
      </c>
      <c r="D5158" t="s">
        <v>1</v>
      </c>
      <c r="E5158" t="s">
        <v>1</v>
      </c>
      <c r="F5158" t="s">
        <v>0</v>
      </c>
      <c r="G5158" t="str">
        <f>"2018-10-17 10:56:03"</f>
        <v>2018-10-17 10:56:03</v>
      </c>
    </row>
    <row r="5159" spans="1:7" x14ac:dyDescent="0.2">
      <c r="A5159" t="s">
        <v>6222</v>
      </c>
      <c r="B5159" t="str">
        <f>"15599335268"</f>
        <v>15599335268</v>
      </c>
      <c r="C5159" t="str">
        <f>"522427198605232448"</f>
        <v>522427198605232448</v>
      </c>
      <c r="D5159" t="s">
        <v>1</v>
      </c>
      <c r="E5159" t="s">
        <v>1</v>
      </c>
      <c r="F5159" t="s">
        <v>0</v>
      </c>
      <c r="G5159" t="str">
        <f>"2018-10-17 10:55:10"</f>
        <v>2018-10-17 10:55:10</v>
      </c>
    </row>
    <row r="5160" spans="1:7" x14ac:dyDescent="0.2">
      <c r="A5160" t="s">
        <v>1</v>
      </c>
      <c r="B5160" t="str">
        <f>"18152277013"</f>
        <v>18152277013</v>
      </c>
      <c r="C5160" t="s">
        <v>1</v>
      </c>
      <c r="D5160" t="s">
        <v>1</v>
      </c>
      <c r="E5160" t="s">
        <v>1</v>
      </c>
      <c r="F5160" t="s">
        <v>0</v>
      </c>
      <c r="G5160" t="str">
        <f>"2018-10-17 10:54:32"</f>
        <v>2018-10-17 10:54:32</v>
      </c>
    </row>
    <row r="5161" spans="1:7" x14ac:dyDescent="0.2">
      <c r="A5161" t="s">
        <v>6223</v>
      </c>
      <c r="B5161" t="str">
        <f>"13124537538"</f>
        <v>13124537538</v>
      </c>
      <c r="C5161" t="str">
        <f>"211381199403216419"</f>
        <v>211381199403216419</v>
      </c>
      <c r="D5161" t="s">
        <v>1</v>
      </c>
      <c r="E5161" t="s">
        <v>1</v>
      </c>
      <c r="F5161" t="s">
        <v>0</v>
      </c>
      <c r="G5161" t="str">
        <f>"2018-10-17 10:54:27"</f>
        <v>2018-10-17 10:54:27</v>
      </c>
    </row>
    <row r="5162" spans="1:7" x14ac:dyDescent="0.2">
      <c r="A5162" t="s">
        <v>1536</v>
      </c>
      <c r="B5162" t="str">
        <f>"13132839775"</f>
        <v>13132839775</v>
      </c>
      <c r="C5162" t="str">
        <f>"450324199705140719"</f>
        <v>450324199705140719</v>
      </c>
      <c r="D5162" t="s">
        <v>1</v>
      </c>
      <c r="E5162" t="s">
        <v>1</v>
      </c>
      <c r="F5162" t="s">
        <v>0</v>
      </c>
      <c r="G5162" t="str">
        <f>"2018-10-17 10:55:26"</f>
        <v>2018-10-17 10:55:26</v>
      </c>
    </row>
    <row r="5163" spans="1:7" x14ac:dyDescent="0.2">
      <c r="A5163" t="s">
        <v>1278</v>
      </c>
      <c r="B5163" t="str">
        <f>"17773437777"</f>
        <v>17773437777</v>
      </c>
      <c r="C5163" t="str">
        <f>"430403198010180533"</f>
        <v>430403198010180533</v>
      </c>
      <c r="D5163" t="s">
        <v>6224</v>
      </c>
      <c r="E5163" t="s">
        <v>6225</v>
      </c>
      <c r="F5163" t="s">
        <v>0</v>
      </c>
      <c r="G5163" t="str">
        <f>"2018-10-17 11:08:30"</f>
        <v>2018-10-17 11:08:30</v>
      </c>
    </row>
    <row r="5164" spans="1:7" x14ac:dyDescent="0.2">
      <c r="A5164" t="s">
        <v>6226</v>
      </c>
      <c r="B5164" t="str">
        <f>"15002798490"</f>
        <v>15002798490</v>
      </c>
      <c r="C5164" t="str">
        <f>"420102198404172435"</f>
        <v>420102198404172435</v>
      </c>
      <c r="D5164" t="s">
        <v>1</v>
      </c>
      <c r="E5164" t="s">
        <v>1</v>
      </c>
      <c r="F5164" t="s">
        <v>0</v>
      </c>
      <c r="G5164" t="str">
        <f>"2018-10-17 10:55:48"</f>
        <v>2018-10-17 10:55:48</v>
      </c>
    </row>
    <row r="5165" spans="1:7" x14ac:dyDescent="0.2">
      <c r="A5165" t="s">
        <v>277</v>
      </c>
      <c r="B5165" t="str">
        <f>"15703775858"</f>
        <v>15703775858</v>
      </c>
      <c r="C5165" t="str">
        <f>"411302199010254539"</f>
        <v>411302199010254539</v>
      </c>
      <c r="D5165" t="s">
        <v>6227</v>
      </c>
      <c r="E5165" t="s">
        <v>6228</v>
      </c>
      <c r="F5165" t="s">
        <v>0</v>
      </c>
      <c r="G5165" t="str">
        <f>"2018-10-24 10:29:16"</f>
        <v>2018-10-24 10:29:16</v>
      </c>
    </row>
    <row r="5166" spans="1:7" x14ac:dyDescent="0.2">
      <c r="A5166" t="s">
        <v>6229</v>
      </c>
      <c r="B5166" t="str">
        <f>"15271788101"</f>
        <v>15271788101</v>
      </c>
      <c r="C5166" t="str">
        <f>"420802200003012113"</f>
        <v>420802200003012113</v>
      </c>
      <c r="D5166" t="s">
        <v>1</v>
      </c>
      <c r="E5166" t="s">
        <v>1</v>
      </c>
      <c r="F5166" t="s">
        <v>0</v>
      </c>
      <c r="G5166" t="str">
        <f>"2018-10-17 10:52:46"</f>
        <v>2018-10-17 10:52:46</v>
      </c>
    </row>
    <row r="5167" spans="1:7" x14ac:dyDescent="0.2">
      <c r="A5167" t="s">
        <v>6230</v>
      </c>
      <c r="B5167" t="str">
        <f>"13438846518"</f>
        <v>13438846518</v>
      </c>
      <c r="C5167" t="str">
        <f>"510113199606230029"</f>
        <v>510113199606230029</v>
      </c>
      <c r="D5167" t="s">
        <v>6231</v>
      </c>
      <c r="E5167" t="s">
        <v>6232</v>
      </c>
      <c r="F5167" t="s">
        <v>0</v>
      </c>
      <c r="G5167" t="str">
        <f>"2018-10-17 10:55:40"</f>
        <v>2018-10-17 10:55:40</v>
      </c>
    </row>
    <row r="5168" spans="1:7" x14ac:dyDescent="0.2">
      <c r="A5168" t="s">
        <v>6233</v>
      </c>
      <c r="B5168" t="str">
        <f>"15272688117"</f>
        <v>15272688117</v>
      </c>
      <c r="C5168" t="str">
        <f>"420802199401270622"</f>
        <v>420802199401270622</v>
      </c>
      <c r="D5168" t="s">
        <v>1</v>
      </c>
      <c r="E5168" t="s">
        <v>1</v>
      </c>
      <c r="F5168" t="s">
        <v>0</v>
      </c>
      <c r="G5168" t="str">
        <f>"2018-10-17 12:15:34"</f>
        <v>2018-10-17 12:15:34</v>
      </c>
    </row>
    <row r="5169" spans="1:7" x14ac:dyDescent="0.2">
      <c r="A5169" t="s">
        <v>6234</v>
      </c>
      <c r="B5169" t="str">
        <f>"15159609113"</f>
        <v>15159609113</v>
      </c>
      <c r="C5169" t="str">
        <f>"352227198410132620"</f>
        <v>352227198410132620</v>
      </c>
      <c r="D5169" t="s">
        <v>1</v>
      </c>
      <c r="E5169" t="s">
        <v>1</v>
      </c>
      <c r="F5169" t="s">
        <v>0</v>
      </c>
      <c r="G5169" t="str">
        <f>"2018-10-17 13:20:58"</f>
        <v>2018-10-17 13:20:58</v>
      </c>
    </row>
    <row r="5170" spans="1:7" x14ac:dyDescent="0.2">
      <c r="A5170" t="s">
        <v>52</v>
      </c>
      <c r="B5170" t="str">
        <f>"13629925997"</f>
        <v>13629925997</v>
      </c>
      <c r="C5170" t="str">
        <f>"370181199111163418"</f>
        <v>370181199111163418</v>
      </c>
      <c r="D5170" t="s">
        <v>1</v>
      </c>
      <c r="E5170" t="s">
        <v>1</v>
      </c>
      <c r="F5170" t="s">
        <v>0</v>
      </c>
      <c r="G5170" t="str">
        <f>"2018-10-17 14:41:16"</f>
        <v>2018-10-17 14:41:16</v>
      </c>
    </row>
    <row r="5171" spans="1:7" x14ac:dyDescent="0.2">
      <c r="A5171" t="s">
        <v>146</v>
      </c>
      <c r="B5171" t="str">
        <f>"18763265432"</f>
        <v>18763265432</v>
      </c>
      <c r="C5171" t="str">
        <f>"320305198207280898"</f>
        <v>320305198207280898</v>
      </c>
      <c r="D5171" t="s">
        <v>1</v>
      </c>
      <c r="E5171" t="s">
        <v>1</v>
      </c>
      <c r="F5171" t="s">
        <v>0</v>
      </c>
      <c r="G5171" t="str">
        <f>"2018-10-17 10:50:35"</f>
        <v>2018-10-17 10:50:35</v>
      </c>
    </row>
    <row r="5172" spans="1:7" x14ac:dyDescent="0.2">
      <c r="A5172" t="s">
        <v>6235</v>
      </c>
      <c r="B5172" t="str">
        <f>"18148477677"</f>
        <v>18148477677</v>
      </c>
      <c r="C5172" t="str">
        <f>"510503199408037016"</f>
        <v>510503199408037016</v>
      </c>
      <c r="D5172" t="s">
        <v>6236</v>
      </c>
      <c r="E5172" t="s">
        <v>6237</v>
      </c>
      <c r="F5172" t="s">
        <v>0</v>
      </c>
      <c r="G5172" t="str">
        <f>"2018-10-17 10:51:00"</f>
        <v>2018-10-17 10:51:00</v>
      </c>
    </row>
    <row r="5173" spans="1:7" x14ac:dyDescent="0.2">
      <c r="A5173" t="s">
        <v>1</v>
      </c>
      <c r="B5173" t="str">
        <f>"15062786455"</f>
        <v>15062786455</v>
      </c>
      <c r="C5173" t="s">
        <v>1</v>
      </c>
      <c r="D5173" t="s">
        <v>1</v>
      </c>
      <c r="E5173" t="s">
        <v>1</v>
      </c>
      <c r="F5173" t="s">
        <v>0</v>
      </c>
      <c r="G5173" t="str">
        <f>"2018-10-17 17:40:46"</f>
        <v>2018-10-17 17:40:46</v>
      </c>
    </row>
    <row r="5174" spans="1:7" x14ac:dyDescent="0.2">
      <c r="A5174" t="s">
        <v>6238</v>
      </c>
      <c r="B5174" t="str">
        <f>"17348070770"</f>
        <v>17348070770</v>
      </c>
      <c r="C5174" t="str">
        <f>"510107198508253436"</f>
        <v>510107198508253436</v>
      </c>
      <c r="D5174" t="s">
        <v>1</v>
      </c>
      <c r="E5174" t="s">
        <v>1</v>
      </c>
      <c r="F5174" t="s">
        <v>0</v>
      </c>
      <c r="G5174" t="str">
        <f>"2018-10-17 10:51:08"</f>
        <v>2018-10-17 10:51:08</v>
      </c>
    </row>
    <row r="5175" spans="1:7" x14ac:dyDescent="0.2">
      <c r="A5175" t="s">
        <v>411</v>
      </c>
      <c r="B5175" t="str">
        <f>"13948149728"</f>
        <v>13948149728</v>
      </c>
      <c r="C5175" t="str">
        <f>"152323198911134619"</f>
        <v>152323198911134619</v>
      </c>
      <c r="D5175" t="s">
        <v>1</v>
      </c>
      <c r="E5175" t="s">
        <v>1</v>
      </c>
      <c r="F5175" t="s">
        <v>0</v>
      </c>
      <c r="G5175" t="str">
        <f>"2018-10-17 10:50:40"</f>
        <v>2018-10-17 10:50:40</v>
      </c>
    </row>
    <row r="5176" spans="1:7" x14ac:dyDescent="0.2">
      <c r="A5176" t="s">
        <v>6239</v>
      </c>
      <c r="B5176" t="str">
        <f>"15734605680"</f>
        <v>15734605680</v>
      </c>
      <c r="C5176" t="str">
        <f>"230182199507140015"</f>
        <v>230182199507140015</v>
      </c>
      <c r="D5176" t="s">
        <v>1</v>
      </c>
      <c r="E5176" t="s">
        <v>1</v>
      </c>
      <c r="F5176" t="s">
        <v>0</v>
      </c>
      <c r="G5176" t="str">
        <f>"2018-10-17 11:29:24"</f>
        <v>2018-10-17 11:29:24</v>
      </c>
    </row>
    <row r="5177" spans="1:7" x14ac:dyDescent="0.2">
      <c r="A5177" t="s">
        <v>1</v>
      </c>
      <c r="B5177" t="str">
        <f>"13912568617"</f>
        <v>13912568617</v>
      </c>
      <c r="C5177" t="s">
        <v>1</v>
      </c>
      <c r="D5177" t="s">
        <v>1</v>
      </c>
      <c r="E5177" t="s">
        <v>1</v>
      </c>
      <c r="F5177" t="s">
        <v>0</v>
      </c>
      <c r="G5177" t="str">
        <f>"2018-10-17 10:50:38"</f>
        <v>2018-10-17 10:50:38</v>
      </c>
    </row>
    <row r="5178" spans="1:7" x14ac:dyDescent="0.2">
      <c r="A5178" t="s">
        <v>1</v>
      </c>
      <c r="B5178" t="str">
        <f>"15059066247"</f>
        <v>15059066247</v>
      </c>
      <c r="C5178" t="s">
        <v>1</v>
      </c>
      <c r="D5178" t="s">
        <v>1</v>
      </c>
      <c r="E5178" t="s">
        <v>1</v>
      </c>
      <c r="F5178" t="s">
        <v>0</v>
      </c>
      <c r="G5178" t="str">
        <f>"2018-10-17 10:53:31"</f>
        <v>2018-10-17 10:53:31</v>
      </c>
    </row>
    <row r="5179" spans="1:7" x14ac:dyDescent="0.2">
      <c r="A5179" t="s">
        <v>587</v>
      </c>
      <c r="B5179" t="str">
        <f>"13988120929"</f>
        <v>13988120929</v>
      </c>
      <c r="C5179" t="str">
        <f>"532801198311244515"</f>
        <v>532801198311244515</v>
      </c>
      <c r="D5179" t="s">
        <v>1</v>
      </c>
      <c r="E5179" t="s">
        <v>1</v>
      </c>
      <c r="F5179" t="s">
        <v>0</v>
      </c>
      <c r="G5179" t="str">
        <f>"2018-10-24 13:49:01"</f>
        <v>2018-10-24 13:49:01</v>
      </c>
    </row>
    <row r="5180" spans="1:7" x14ac:dyDescent="0.2">
      <c r="A5180" t="s">
        <v>1</v>
      </c>
      <c r="B5180" t="str">
        <f>"18104682066"</f>
        <v>18104682066</v>
      </c>
      <c r="C5180" t="s">
        <v>1</v>
      </c>
      <c r="D5180" t="s">
        <v>1</v>
      </c>
      <c r="E5180" t="s">
        <v>1</v>
      </c>
      <c r="F5180" t="s">
        <v>0</v>
      </c>
      <c r="G5180" t="str">
        <f>"2018-10-17 10:46:40"</f>
        <v>2018-10-17 10:46:40</v>
      </c>
    </row>
    <row r="5181" spans="1:7" x14ac:dyDescent="0.2">
      <c r="A5181" t="s">
        <v>6240</v>
      </c>
      <c r="B5181" t="str">
        <f>"15868962985"</f>
        <v>15868962985</v>
      </c>
      <c r="C5181" t="str">
        <f>"422130197508010417"</f>
        <v>422130197508010417</v>
      </c>
      <c r="D5181" t="s">
        <v>6241</v>
      </c>
      <c r="E5181" t="s">
        <v>6242</v>
      </c>
      <c r="F5181" t="s">
        <v>0</v>
      </c>
      <c r="G5181" t="str">
        <f>"2018-10-17 10:48:33"</f>
        <v>2018-10-17 10:48:33</v>
      </c>
    </row>
    <row r="5182" spans="1:7" x14ac:dyDescent="0.2">
      <c r="A5182" t="s">
        <v>1</v>
      </c>
      <c r="B5182" t="str">
        <f>"15240947055"</f>
        <v>15240947055</v>
      </c>
      <c r="C5182" t="s">
        <v>1</v>
      </c>
      <c r="D5182" t="s">
        <v>1</v>
      </c>
      <c r="E5182" t="s">
        <v>1</v>
      </c>
      <c r="F5182" t="s">
        <v>0</v>
      </c>
      <c r="G5182" t="str">
        <f>"2018-10-17 10:46:00"</f>
        <v>2018-10-17 10:46:00</v>
      </c>
    </row>
    <row r="5183" spans="1:7" x14ac:dyDescent="0.2">
      <c r="A5183" t="s">
        <v>6243</v>
      </c>
      <c r="B5183" t="str">
        <f>"15186397011"</f>
        <v>15186397011</v>
      </c>
      <c r="C5183" t="str">
        <f>"52232619990930161X"</f>
        <v>52232619990930161X</v>
      </c>
      <c r="D5183" t="s">
        <v>1</v>
      </c>
      <c r="E5183" t="s">
        <v>1</v>
      </c>
      <c r="F5183" t="s">
        <v>0</v>
      </c>
      <c r="G5183" t="str">
        <f>"2018-10-17 10:47:54"</f>
        <v>2018-10-17 10:47:54</v>
      </c>
    </row>
    <row r="5184" spans="1:7" x14ac:dyDescent="0.2">
      <c r="A5184" t="s">
        <v>1</v>
      </c>
      <c r="B5184" t="str">
        <f>"13216410053"</f>
        <v>13216410053</v>
      </c>
      <c r="C5184" t="s">
        <v>1</v>
      </c>
      <c r="D5184" t="s">
        <v>1</v>
      </c>
      <c r="E5184" t="s">
        <v>1</v>
      </c>
      <c r="F5184" t="s">
        <v>0</v>
      </c>
      <c r="G5184" t="str">
        <f>"2018-10-17 10:45:18"</f>
        <v>2018-10-17 10:45:18</v>
      </c>
    </row>
    <row r="5185" spans="1:7" x14ac:dyDescent="0.2">
      <c r="A5185" t="s">
        <v>1599</v>
      </c>
      <c r="B5185" t="str">
        <f>"18982294875"</f>
        <v>18982294875</v>
      </c>
      <c r="C5185" t="str">
        <f>"510122199607285378"</f>
        <v>510122199607285378</v>
      </c>
      <c r="D5185" t="s">
        <v>1</v>
      </c>
      <c r="E5185" t="s">
        <v>1</v>
      </c>
      <c r="F5185" t="s">
        <v>0</v>
      </c>
      <c r="G5185" t="str">
        <f>"2018-10-17 10:47:50"</f>
        <v>2018-10-17 10:47:50</v>
      </c>
    </row>
    <row r="5186" spans="1:7" x14ac:dyDescent="0.2">
      <c r="A5186" t="s">
        <v>1</v>
      </c>
      <c r="B5186" t="str">
        <f>"13361224953"</f>
        <v>13361224953</v>
      </c>
      <c r="C5186" t="s">
        <v>1</v>
      </c>
      <c r="D5186" t="s">
        <v>1</v>
      </c>
      <c r="E5186" t="s">
        <v>1</v>
      </c>
      <c r="F5186" t="s">
        <v>0</v>
      </c>
      <c r="G5186" t="str">
        <f>"2018-10-17 10:44:59"</f>
        <v>2018-10-17 10:44:59</v>
      </c>
    </row>
    <row r="5187" spans="1:7" x14ac:dyDescent="0.2">
      <c r="A5187" t="s">
        <v>6244</v>
      </c>
      <c r="B5187" t="str">
        <f>"13013560387"</f>
        <v>13013560387</v>
      </c>
      <c r="C5187" t="str">
        <f>"371102198310153520"</f>
        <v>371102198310153520</v>
      </c>
      <c r="D5187" t="s">
        <v>1</v>
      </c>
      <c r="E5187" t="s">
        <v>1</v>
      </c>
      <c r="F5187" t="s">
        <v>0</v>
      </c>
      <c r="G5187" t="str">
        <f>"2018-10-17 10:45:55"</f>
        <v>2018-10-17 10:45:55</v>
      </c>
    </row>
    <row r="5188" spans="1:7" x14ac:dyDescent="0.2">
      <c r="A5188" t="s">
        <v>6245</v>
      </c>
      <c r="B5188" t="str">
        <f>"18971865258"</f>
        <v>18971865258</v>
      </c>
      <c r="C5188" t="str">
        <f>"420881197704020096"</f>
        <v>420881197704020096</v>
      </c>
      <c r="D5188" t="s">
        <v>1</v>
      </c>
      <c r="E5188" t="s">
        <v>1</v>
      </c>
      <c r="F5188" t="s">
        <v>0</v>
      </c>
      <c r="G5188" t="str">
        <f>"2018-10-17 10:47:17"</f>
        <v>2018-10-17 10:47:17</v>
      </c>
    </row>
    <row r="5189" spans="1:7" x14ac:dyDescent="0.2">
      <c r="A5189" t="s">
        <v>6246</v>
      </c>
      <c r="B5189" t="str">
        <f>"18678050864"</f>
        <v>18678050864</v>
      </c>
      <c r="C5189" t="str">
        <f>"370785199508276873"</f>
        <v>370785199508276873</v>
      </c>
      <c r="D5189" t="s">
        <v>1</v>
      </c>
      <c r="E5189" t="s">
        <v>1</v>
      </c>
      <c r="F5189" t="s">
        <v>0</v>
      </c>
      <c r="G5189" t="str">
        <f>"2018-10-17 10:46:03"</f>
        <v>2018-10-17 10:46:03</v>
      </c>
    </row>
    <row r="5190" spans="1:7" x14ac:dyDescent="0.2">
      <c r="A5190" t="s">
        <v>749</v>
      </c>
      <c r="B5190" t="str">
        <f>"13998288874"</f>
        <v>13998288874</v>
      </c>
      <c r="C5190" t="str">
        <f>"210112198405130636"</f>
        <v>210112198405130636</v>
      </c>
      <c r="D5190" t="s">
        <v>1</v>
      </c>
      <c r="E5190" t="s">
        <v>1</v>
      </c>
      <c r="F5190" t="s">
        <v>0</v>
      </c>
      <c r="G5190" t="str">
        <f>"2018-10-17 11:27:47"</f>
        <v>2018-10-17 11:27:47</v>
      </c>
    </row>
    <row r="5191" spans="1:7" x14ac:dyDescent="0.2">
      <c r="A5191" t="s">
        <v>6247</v>
      </c>
      <c r="B5191" t="str">
        <f>"18079106691"</f>
        <v>18079106691</v>
      </c>
      <c r="C5191" t="str">
        <f>"360104197906230422"</f>
        <v>360104197906230422</v>
      </c>
      <c r="D5191" t="s">
        <v>1</v>
      </c>
      <c r="E5191" t="s">
        <v>1</v>
      </c>
      <c r="F5191" t="s">
        <v>0</v>
      </c>
      <c r="G5191" t="str">
        <f>"2018-10-17 11:13:02"</f>
        <v>2018-10-17 11:13:02</v>
      </c>
    </row>
    <row r="5192" spans="1:7" x14ac:dyDescent="0.2">
      <c r="A5192" t="s">
        <v>6248</v>
      </c>
      <c r="B5192" t="str">
        <f>"15269175768"</f>
        <v>15269175768</v>
      </c>
      <c r="C5192" t="str">
        <f>"370123198302033837"</f>
        <v>370123198302033837</v>
      </c>
      <c r="D5192" t="s">
        <v>1</v>
      </c>
      <c r="E5192" t="s">
        <v>1</v>
      </c>
      <c r="F5192" t="s">
        <v>0</v>
      </c>
      <c r="G5192" t="str">
        <f>"2018-10-17 10:44:04"</f>
        <v>2018-10-17 10:44:04</v>
      </c>
    </row>
    <row r="5193" spans="1:7" x14ac:dyDescent="0.2">
      <c r="A5193" t="s">
        <v>1</v>
      </c>
      <c r="B5193" t="str">
        <f>"18055450662"</f>
        <v>18055450662</v>
      </c>
      <c r="C5193" t="s">
        <v>1</v>
      </c>
      <c r="D5193" t="s">
        <v>1</v>
      </c>
      <c r="E5193" t="s">
        <v>1</v>
      </c>
      <c r="F5193" t="s">
        <v>0</v>
      </c>
      <c r="G5193" t="str">
        <f>"2018-10-17 10:44:32"</f>
        <v>2018-10-17 10:44:32</v>
      </c>
    </row>
    <row r="5194" spans="1:7" x14ac:dyDescent="0.2">
      <c r="A5194" t="s">
        <v>6249</v>
      </c>
      <c r="B5194" t="str">
        <f>"15171681711"</f>
        <v>15171681711</v>
      </c>
      <c r="C5194" t="str">
        <f>"421181199109074411"</f>
        <v>421181199109074411</v>
      </c>
      <c r="D5194" t="s">
        <v>1</v>
      </c>
      <c r="E5194" t="s">
        <v>1</v>
      </c>
      <c r="F5194" t="s">
        <v>0</v>
      </c>
      <c r="G5194" t="str">
        <f>"2018-10-17 11:07:24"</f>
        <v>2018-10-17 11:07:24</v>
      </c>
    </row>
    <row r="5195" spans="1:7" x14ac:dyDescent="0.2">
      <c r="A5195" t="s">
        <v>6250</v>
      </c>
      <c r="B5195" t="str">
        <f>"18220887317"</f>
        <v>18220887317</v>
      </c>
      <c r="C5195" t="str">
        <f>"610221199201120859"</f>
        <v>610221199201120859</v>
      </c>
      <c r="D5195" t="s">
        <v>1</v>
      </c>
      <c r="E5195" t="s">
        <v>1</v>
      </c>
      <c r="F5195" t="s">
        <v>0</v>
      </c>
      <c r="G5195" t="str">
        <f>"2018-10-21 16:45:06"</f>
        <v>2018-10-21 16:45:06</v>
      </c>
    </row>
    <row r="5196" spans="1:7" x14ac:dyDescent="0.2">
      <c r="A5196" t="s">
        <v>1</v>
      </c>
      <c r="B5196" t="str">
        <f>"18388607176"</f>
        <v>18388607176</v>
      </c>
      <c r="C5196" t="s">
        <v>1</v>
      </c>
      <c r="D5196" t="s">
        <v>1</v>
      </c>
      <c r="E5196" t="s">
        <v>1</v>
      </c>
      <c r="F5196" t="s">
        <v>0</v>
      </c>
      <c r="G5196" t="str">
        <f>"2018-10-17 10:42:22"</f>
        <v>2018-10-17 10:42:22</v>
      </c>
    </row>
    <row r="5197" spans="1:7" x14ac:dyDescent="0.2">
      <c r="A5197" t="s">
        <v>1</v>
      </c>
      <c r="B5197" t="str">
        <f>"17506422609"</f>
        <v>17506422609</v>
      </c>
      <c r="C5197" t="s">
        <v>1</v>
      </c>
      <c r="D5197" t="s">
        <v>1</v>
      </c>
      <c r="E5197" t="s">
        <v>1</v>
      </c>
      <c r="F5197" t="s">
        <v>0</v>
      </c>
      <c r="G5197" t="str">
        <f>"2018-10-17 10:42:18"</f>
        <v>2018-10-17 10:42:18</v>
      </c>
    </row>
    <row r="5198" spans="1:7" x14ac:dyDescent="0.2">
      <c r="A5198" t="s">
        <v>6251</v>
      </c>
      <c r="B5198" t="str">
        <f>"13891538036"</f>
        <v>13891538036</v>
      </c>
      <c r="C5198" t="str">
        <f>"612430198607060053"</f>
        <v>612430198607060053</v>
      </c>
      <c r="D5198" t="s">
        <v>6252</v>
      </c>
      <c r="E5198" t="s">
        <v>6253</v>
      </c>
      <c r="F5198" t="s">
        <v>0</v>
      </c>
      <c r="G5198" t="str">
        <f>"2018-10-23 14:15:44"</f>
        <v>2018-10-23 14:15:44</v>
      </c>
    </row>
    <row r="5199" spans="1:7" x14ac:dyDescent="0.2">
      <c r="A5199" t="s">
        <v>749</v>
      </c>
      <c r="B5199" t="str">
        <f>"15051680992"</f>
        <v>15051680992</v>
      </c>
      <c r="C5199" t="str">
        <f>"130929199205092570"</f>
        <v>130929199205092570</v>
      </c>
      <c r="D5199" t="s">
        <v>6254</v>
      </c>
      <c r="E5199" t="s">
        <v>6254</v>
      </c>
      <c r="F5199" t="s">
        <v>0</v>
      </c>
      <c r="G5199" t="str">
        <f>"2018-10-17 10:44:52"</f>
        <v>2018-10-17 10:44:52</v>
      </c>
    </row>
    <row r="5200" spans="1:7" x14ac:dyDescent="0.2">
      <c r="A5200" t="s">
        <v>6255</v>
      </c>
      <c r="B5200" t="str">
        <f>"18555011422"</f>
        <v>18555011422</v>
      </c>
      <c r="C5200" t="str">
        <f>"34012219930322091X"</f>
        <v>34012219930322091X</v>
      </c>
      <c r="D5200" t="s">
        <v>6256</v>
      </c>
      <c r="E5200" t="s">
        <v>6257</v>
      </c>
      <c r="F5200" t="s">
        <v>0</v>
      </c>
      <c r="G5200" t="str">
        <f>"2018-10-17 10:47:23"</f>
        <v>2018-10-17 10:47:23</v>
      </c>
    </row>
    <row r="5201" spans="1:7" x14ac:dyDescent="0.2">
      <c r="A5201" t="s">
        <v>197</v>
      </c>
      <c r="B5201" t="str">
        <f>"15050264627"</f>
        <v>15050264627</v>
      </c>
      <c r="C5201" t="str">
        <f>"610322199102073657"</f>
        <v>610322199102073657</v>
      </c>
      <c r="D5201" t="s">
        <v>1</v>
      </c>
      <c r="E5201" t="s">
        <v>1</v>
      </c>
      <c r="F5201" t="s">
        <v>0</v>
      </c>
      <c r="G5201" t="str">
        <f>"2018-11-03 16:28:29"</f>
        <v>2018-11-03 16:28:29</v>
      </c>
    </row>
    <row r="5202" spans="1:7" x14ac:dyDescent="0.2">
      <c r="A5202" t="s">
        <v>1</v>
      </c>
      <c r="B5202" t="str">
        <f>"13297885431"</f>
        <v>13297885431</v>
      </c>
      <c r="C5202" t="s">
        <v>1</v>
      </c>
      <c r="D5202" t="s">
        <v>1</v>
      </c>
      <c r="E5202" t="s">
        <v>1</v>
      </c>
      <c r="F5202" t="s">
        <v>0</v>
      </c>
      <c r="G5202" t="str">
        <f>"2018-10-17 10:41:29"</f>
        <v>2018-10-17 10:41:29</v>
      </c>
    </row>
    <row r="5203" spans="1:7" x14ac:dyDescent="0.2">
      <c r="A5203" t="s">
        <v>6258</v>
      </c>
      <c r="B5203" t="str">
        <f>"18077957344"</f>
        <v>18077957344</v>
      </c>
      <c r="C5203" t="str">
        <f>"450503198610020233"</f>
        <v>450503198610020233</v>
      </c>
      <c r="D5203" t="s">
        <v>1</v>
      </c>
      <c r="E5203" t="s">
        <v>1</v>
      </c>
      <c r="F5203" t="s">
        <v>0</v>
      </c>
      <c r="G5203" t="str">
        <f>"2018-10-17 10:45:37"</f>
        <v>2018-10-17 10:45:37</v>
      </c>
    </row>
    <row r="5204" spans="1:7" x14ac:dyDescent="0.2">
      <c r="A5204" t="s">
        <v>6259</v>
      </c>
      <c r="B5204" t="str">
        <f>"18846998154"</f>
        <v>18846998154</v>
      </c>
      <c r="C5204" t="str">
        <f>"23050319710919041X"</f>
        <v>23050319710919041X</v>
      </c>
      <c r="D5204" t="s">
        <v>1</v>
      </c>
      <c r="E5204" t="s">
        <v>1</v>
      </c>
      <c r="F5204" t="s">
        <v>0</v>
      </c>
      <c r="G5204" t="str">
        <f>"2018-10-17 10:42:53"</f>
        <v>2018-10-17 10:42:53</v>
      </c>
    </row>
    <row r="5205" spans="1:7" x14ac:dyDescent="0.2">
      <c r="A5205" t="s">
        <v>1</v>
      </c>
      <c r="B5205" t="str">
        <f>"15039831128"</f>
        <v>15039831128</v>
      </c>
      <c r="C5205" t="s">
        <v>1</v>
      </c>
      <c r="D5205" t="s">
        <v>1</v>
      </c>
      <c r="E5205" t="s">
        <v>1</v>
      </c>
      <c r="F5205" t="s">
        <v>0</v>
      </c>
      <c r="G5205" t="str">
        <f>"2018-10-17 10:40:53"</f>
        <v>2018-10-17 10:40:53</v>
      </c>
    </row>
    <row r="5206" spans="1:7" x14ac:dyDescent="0.2">
      <c r="A5206" t="s">
        <v>6260</v>
      </c>
      <c r="B5206" t="str">
        <f>"15716733029"</f>
        <v>15716733029</v>
      </c>
      <c r="C5206" t="str">
        <f>"410327198210065611"</f>
        <v>410327198210065611</v>
      </c>
      <c r="D5206" t="s">
        <v>6261</v>
      </c>
      <c r="E5206" t="s">
        <v>6262</v>
      </c>
      <c r="F5206" t="s">
        <v>0</v>
      </c>
      <c r="G5206" t="str">
        <f>"2018-11-02 00:14:23"</f>
        <v>2018-11-02 00:14:23</v>
      </c>
    </row>
    <row r="5207" spans="1:7" x14ac:dyDescent="0.2">
      <c r="A5207" t="s">
        <v>6263</v>
      </c>
      <c r="B5207" t="str">
        <f>"18537345888"</f>
        <v>18537345888</v>
      </c>
      <c r="C5207" t="str">
        <f>"411330199108091526"</f>
        <v>411330199108091526</v>
      </c>
      <c r="D5207" t="s">
        <v>1</v>
      </c>
      <c r="E5207" t="s">
        <v>1</v>
      </c>
      <c r="F5207" t="s">
        <v>0</v>
      </c>
      <c r="G5207" t="str">
        <f>"2018-10-17 10:42:17"</f>
        <v>2018-10-17 10:42:17</v>
      </c>
    </row>
    <row r="5208" spans="1:7" x14ac:dyDescent="0.2">
      <c r="A5208" t="s">
        <v>918</v>
      </c>
      <c r="B5208" t="str">
        <f>"15205388444"</f>
        <v>15205388444</v>
      </c>
      <c r="C5208" t="str">
        <f>"370982199405203876"</f>
        <v>370982199405203876</v>
      </c>
      <c r="D5208" t="s">
        <v>1</v>
      </c>
      <c r="E5208" t="s">
        <v>1</v>
      </c>
      <c r="F5208" t="s">
        <v>0</v>
      </c>
      <c r="G5208" t="str">
        <f>"2018-10-17 11:01:13"</f>
        <v>2018-10-17 11:01:13</v>
      </c>
    </row>
    <row r="5209" spans="1:7" x14ac:dyDescent="0.2">
      <c r="A5209" t="s">
        <v>6264</v>
      </c>
      <c r="B5209" t="str">
        <f>"18077671866"</f>
        <v>18077671866</v>
      </c>
      <c r="C5209" t="str">
        <f>"45263019931101001X"</f>
        <v>45263019931101001X</v>
      </c>
      <c r="D5209" t="s">
        <v>1</v>
      </c>
      <c r="E5209" t="s">
        <v>1</v>
      </c>
      <c r="F5209" t="s">
        <v>0</v>
      </c>
      <c r="G5209" t="str">
        <f>"2018-10-17 10:42:18"</f>
        <v>2018-10-17 10:42:18</v>
      </c>
    </row>
    <row r="5210" spans="1:7" x14ac:dyDescent="0.2">
      <c r="A5210" t="s">
        <v>6265</v>
      </c>
      <c r="B5210" t="str">
        <f>"15006761444"</f>
        <v>15006761444</v>
      </c>
      <c r="C5210" t="str">
        <f>"370481198901060677"</f>
        <v>370481198901060677</v>
      </c>
      <c r="D5210" t="s">
        <v>1</v>
      </c>
      <c r="E5210" t="s">
        <v>1</v>
      </c>
      <c r="F5210" t="s">
        <v>0</v>
      </c>
      <c r="G5210" t="str">
        <f>"2018-10-17 12:21:59"</f>
        <v>2018-10-17 12:21:59</v>
      </c>
    </row>
    <row r="5211" spans="1:7" x14ac:dyDescent="0.2">
      <c r="A5211" t="s">
        <v>1283</v>
      </c>
      <c r="B5211" t="str">
        <f>"15105272812"</f>
        <v>15105272812</v>
      </c>
      <c r="C5211" t="str">
        <f>"321284199209221627"</f>
        <v>321284199209221627</v>
      </c>
      <c r="D5211" t="s">
        <v>1</v>
      </c>
      <c r="E5211" t="s">
        <v>1</v>
      </c>
      <c r="F5211" t="s">
        <v>0</v>
      </c>
      <c r="G5211" t="str">
        <f>"2018-10-17 10:44:19"</f>
        <v>2018-10-17 10:44:19</v>
      </c>
    </row>
    <row r="5212" spans="1:7" x14ac:dyDescent="0.2">
      <c r="A5212" t="s">
        <v>1</v>
      </c>
      <c r="B5212" t="str">
        <f>"18976287329"</f>
        <v>18976287329</v>
      </c>
      <c r="C5212" t="s">
        <v>1</v>
      </c>
      <c r="D5212" t="s">
        <v>1</v>
      </c>
      <c r="E5212" t="s">
        <v>1</v>
      </c>
      <c r="F5212" t="s">
        <v>0</v>
      </c>
      <c r="G5212" t="str">
        <f>"2018-10-17 10:38:23"</f>
        <v>2018-10-17 10:38:23</v>
      </c>
    </row>
    <row r="5213" spans="1:7" x14ac:dyDescent="0.2">
      <c r="A5213" t="s">
        <v>6266</v>
      </c>
      <c r="B5213" t="str">
        <f>"13939005387"</f>
        <v>13939005387</v>
      </c>
      <c r="C5213" t="str">
        <f>"411422198602102412"</f>
        <v>411422198602102412</v>
      </c>
      <c r="D5213" t="s">
        <v>1</v>
      </c>
      <c r="E5213" t="s">
        <v>1</v>
      </c>
      <c r="F5213" t="s">
        <v>0</v>
      </c>
      <c r="G5213" t="str">
        <f>"2018-10-17 10:39:19"</f>
        <v>2018-10-17 10:39:19</v>
      </c>
    </row>
    <row r="5214" spans="1:7" x14ac:dyDescent="0.2">
      <c r="A5214" t="s">
        <v>6267</v>
      </c>
      <c r="B5214" t="str">
        <f>"15375509777"</f>
        <v>15375509777</v>
      </c>
      <c r="C5214" t="str">
        <f>"341181198907152619"</f>
        <v>341181198907152619</v>
      </c>
      <c r="D5214" t="s">
        <v>1</v>
      </c>
      <c r="E5214" t="s">
        <v>1</v>
      </c>
      <c r="F5214" t="s">
        <v>0</v>
      </c>
      <c r="G5214" t="str">
        <f>"2018-10-17 10:41:22"</f>
        <v>2018-10-17 10:41:22</v>
      </c>
    </row>
    <row r="5215" spans="1:7" x14ac:dyDescent="0.2">
      <c r="A5215" t="s">
        <v>1</v>
      </c>
      <c r="B5215" t="str">
        <f>"13914199286"</f>
        <v>13914199286</v>
      </c>
      <c r="C5215" t="s">
        <v>1</v>
      </c>
      <c r="D5215" t="s">
        <v>1</v>
      </c>
      <c r="E5215" t="s">
        <v>1</v>
      </c>
      <c r="F5215" t="s">
        <v>0</v>
      </c>
      <c r="G5215" t="str">
        <f>"2018-10-17 10:39:13"</f>
        <v>2018-10-17 10:39:13</v>
      </c>
    </row>
    <row r="5216" spans="1:7" x14ac:dyDescent="0.2">
      <c r="A5216" t="s">
        <v>6268</v>
      </c>
      <c r="B5216" t="str">
        <f>"13793320689"</f>
        <v>13793320689</v>
      </c>
      <c r="C5216" t="str">
        <f>"370323197401071018"</f>
        <v>370323197401071018</v>
      </c>
      <c r="D5216" t="s">
        <v>1</v>
      </c>
      <c r="E5216" t="s">
        <v>1</v>
      </c>
      <c r="F5216" t="s">
        <v>0</v>
      </c>
      <c r="G5216" t="str">
        <f>"2018-10-17 10:40:35"</f>
        <v>2018-10-17 10:40:35</v>
      </c>
    </row>
    <row r="5217" spans="1:7" x14ac:dyDescent="0.2">
      <c r="A5217" t="s">
        <v>1</v>
      </c>
      <c r="B5217" t="str">
        <f>"18990099900"</f>
        <v>18990099900</v>
      </c>
      <c r="C5217" t="s">
        <v>1</v>
      </c>
      <c r="D5217" t="s">
        <v>1</v>
      </c>
      <c r="E5217" t="s">
        <v>1</v>
      </c>
      <c r="F5217" t="s">
        <v>0</v>
      </c>
      <c r="G5217" t="str">
        <f>"2018-10-17 10:37:53"</f>
        <v>2018-10-17 10:37:53</v>
      </c>
    </row>
    <row r="5218" spans="1:7" x14ac:dyDescent="0.2">
      <c r="A5218" t="s">
        <v>1</v>
      </c>
      <c r="B5218" t="str">
        <f>"18665488966"</f>
        <v>18665488966</v>
      </c>
      <c r="C5218" t="s">
        <v>1</v>
      </c>
      <c r="D5218" t="s">
        <v>1</v>
      </c>
      <c r="E5218" t="s">
        <v>1</v>
      </c>
      <c r="F5218" t="s">
        <v>0</v>
      </c>
      <c r="G5218" t="str">
        <f>"2018-10-17 10:39:14"</f>
        <v>2018-10-17 10:39:14</v>
      </c>
    </row>
    <row r="5219" spans="1:7" x14ac:dyDescent="0.2">
      <c r="A5219" t="s">
        <v>1309</v>
      </c>
      <c r="B5219" t="str">
        <f>"15208798853"</f>
        <v>15208798853</v>
      </c>
      <c r="C5219" t="str">
        <f>"532722198608091528"</f>
        <v>532722198608091528</v>
      </c>
      <c r="D5219" t="s">
        <v>1</v>
      </c>
      <c r="E5219" t="s">
        <v>1</v>
      </c>
      <c r="F5219" t="s">
        <v>0</v>
      </c>
      <c r="G5219" t="str">
        <f>"2018-10-17 10:39:04"</f>
        <v>2018-10-17 10:39:04</v>
      </c>
    </row>
    <row r="5220" spans="1:7" x14ac:dyDescent="0.2">
      <c r="A5220" t="s">
        <v>1</v>
      </c>
      <c r="B5220" t="str">
        <f>"13928881336"</f>
        <v>13928881336</v>
      </c>
      <c r="C5220" t="s">
        <v>1</v>
      </c>
      <c r="D5220" t="s">
        <v>1</v>
      </c>
      <c r="E5220" t="s">
        <v>1</v>
      </c>
      <c r="F5220" t="s">
        <v>0</v>
      </c>
      <c r="G5220" t="str">
        <f>"2018-10-17 10:38:37"</f>
        <v>2018-10-17 10:38:37</v>
      </c>
    </row>
    <row r="5221" spans="1:7" x14ac:dyDescent="0.2">
      <c r="A5221" t="s">
        <v>713</v>
      </c>
      <c r="B5221" t="str">
        <f>"13437132258"</f>
        <v>13437132258</v>
      </c>
      <c r="C5221" t="str">
        <f>"421182198411262511"</f>
        <v>421182198411262511</v>
      </c>
      <c r="D5221" t="s">
        <v>6269</v>
      </c>
      <c r="E5221" t="s">
        <v>6270</v>
      </c>
      <c r="F5221" t="s">
        <v>0</v>
      </c>
      <c r="G5221" t="str">
        <f>"2018-10-17 10:39:09"</f>
        <v>2018-10-17 10:39:09</v>
      </c>
    </row>
    <row r="5222" spans="1:7" x14ac:dyDescent="0.2">
      <c r="A5222" t="s">
        <v>6271</v>
      </c>
      <c r="B5222" t="str">
        <f>"15981493616"</f>
        <v>15981493616</v>
      </c>
      <c r="C5222" t="str">
        <f>"220724198002232814"</f>
        <v>220724198002232814</v>
      </c>
      <c r="D5222" t="s">
        <v>1</v>
      </c>
      <c r="E5222" t="s">
        <v>1</v>
      </c>
      <c r="F5222" t="s">
        <v>0</v>
      </c>
      <c r="G5222" t="str">
        <f>"2018-10-20 13:41:53"</f>
        <v>2018-10-20 13:41:53</v>
      </c>
    </row>
    <row r="5223" spans="1:7" x14ac:dyDescent="0.2">
      <c r="A5223" t="s">
        <v>1</v>
      </c>
      <c r="B5223" t="str">
        <f>"13990010444"</f>
        <v>13990010444</v>
      </c>
      <c r="C5223" t="s">
        <v>1</v>
      </c>
      <c r="D5223" t="s">
        <v>1</v>
      </c>
      <c r="E5223" t="s">
        <v>1</v>
      </c>
      <c r="F5223" t="s">
        <v>0</v>
      </c>
      <c r="G5223" t="str">
        <f>"2018-10-17 10:36:50"</f>
        <v>2018-10-17 10:36:50</v>
      </c>
    </row>
    <row r="5224" spans="1:7" x14ac:dyDescent="0.2">
      <c r="A5224" t="s">
        <v>6272</v>
      </c>
      <c r="B5224" t="str">
        <f>"18516670751"</f>
        <v>18516670751</v>
      </c>
      <c r="C5224" t="str">
        <f>"310112197810014347"</f>
        <v>310112197810014347</v>
      </c>
      <c r="D5224" t="s">
        <v>1</v>
      </c>
      <c r="E5224" t="s">
        <v>1</v>
      </c>
      <c r="F5224" t="s">
        <v>0</v>
      </c>
      <c r="G5224" t="str">
        <f>"2018-10-17 10:37:37"</f>
        <v>2018-10-17 10:37:37</v>
      </c>
    </row>
    <row r="5225" spans="1:7" x14ac:dyDescent="0.2">
      <c r="A5225" t="s">
        <v>6273</v>
      </c>
      <c r="B5225" t="str">
        <f>"13695360556"</f>
        <v>13695360556</v>
      </c>
      <c r="C5225" t="str">
        <f>"370724198512136198"</f>
        <v>370724198512136198</v>
      </c>
      <c r="D5225" t="s">
        <v>1</v>
      </c>
      <c r="E5225" t="s">
        <v>1</v>
      </c>
      <c r="F5225" t="s">
        <v>0</v>
      </c>
      <c r="G5225" t="str">
        <f>"2018-10-17 10:46:13"</f>
        <v>2018-10-17 10:46:13</v>
      </c>
    </row>
    <row r="5226" spans="1:7" x14ac:dyDescent="0.2">
      <c r="A5226" t="s">
        <v>6274</v>
      </c>
      <c r="B5226" t="str">
        <f>"17378223851"</f>
        <v>17378223851</v>
      </c>
      <c r="C5226" t="str">
        <f>"430426198311279478"</f>
        <v>430426198311279478</v>
      </c>
      <c r="D5226" t="s">
        <v>6275</v>
      </c>
      <c r="E5226" t="s">
        <v>6276</v>
      </c>
      <c r="F5226" t="s">
        <v>0</v>
      </c>
      <c r="G5226" t="str">
        <f>"2018-10-17 10:37:49"</f>
        <v>2018-10-17 10:37:49</v>
      </c>
    </row>
    <row r="5227" spans="1:7" x14ac:dyDescent="0.2">
      <c r="A5227" t="s">
        <v>6277</v>
      </c>
      <c r="B5227" t="str">
        <f>"15074379855"</f>
        <v>15074379855</v>
      </c>
      <c r="C5227" t="str">
        <f>"433126198812310513"</f>
        <v>433126198812310513</v>
      </c>
      <c r="D5227" t="s">
        <v>1</v>
      </c>
      <c r="E5227" t="s">
        <v>1</v>
      </c>
      <c r="F5227" t="s">
        <v>0</v>
      </c>
      <c r="G5227" t="str">
        <f>"2018-10-17 11:48:49"</f>
        <v>2018-10-17 11:48:49</v>
      </c>
    </row>
    <row r="5228" spans="1:7" x14ac:dyDescent="0.2">
      <c r="A5228" t="s">
        <v>6278</v>
      </c>
      <c r="B5228" t="str">
        <f>"15850323002"</f>
        <v>15850323002</v>
      </c>
      <c r="C5228" t="str">
        <f>"612429199609106739"</f>
        <v>612429199609106739</v>
      </c>
      <c r="D5228" t="s">
        <v>1</v>
      </c>
      <c r="E5228" t="s">
        <v>1</v>
      </c>
      <c r="F5228" t="s">
        <v>0</v>
      </c>
      <c r="G5228" t="str">
        <f>"2018-10-17 10:34:57"</f>
        <v>2018-10-17 10:34:57</v>
      </c>
    </row>
    <row r="5229" spans="1:7" x14ac:dyDescent="0.2">
      <c r="A5229" t="s">
        <v>6279</v>
      </c>
      <c r="B5229" t="str">
        <f>"18745154480"</f>
        <v>18745154480</v>
      </c>
      <c r="C5229" t="str">
        <f>"232303197412180012"</f>
        <v>232303197412180012</v>
      </c>
      <c r="D5229" t="s">
        <v>1</v>
      </c>
      <c r="E5229" t="s">
        <v>1</v>
      </c>
      <c r="F5229" t="s">
        <v>0</v>
      </c>
      <c r="G5229" t="str">
        <f>"2018-10-17 10:51:17"</f>
        <v>2018-10-17 10:51:17</v>
      </c>
    </row>
    <row r="5230" spans="1:7" x14ac:dyDescent="0.2">
      <c r="A5230" t="s">
        <v>6280</v>
      </c>
      <c r="B5230" t="str">
        <f>"15738661235"</f>
        <v>15738661235</v>
      </c>
      <c r="C5230" t="str">
        <f>"410782198904032212"</f>
        <v>410782198904032212</v>
      </c>
      <c r="D5230" t="s">
        <v>1</v>
      </c>
      <c r="E5230" t="s">
        <v>1</v>
      </c>
      <c r="F5230" t="s">
        <v>0</v>
      </c>
      <c r="G5230" t="str">
        <f>"2018-10-17 11:57:46"</f>
        <v>2018-10-17 11:57:46</v>
      </c>
    </row>
    <row r="5231" spans="1:7" x14ac:dyDescent="0.2">
      <c r="A5231" t="s">
        <v>1</v>
      </c>
      <c r="B5231" t="str">
        <f>"18258137616"</f>
        <v>18258137616</v>
      </c>
      <c r="C5231" t="s">
        <v>1</v>
      </c>
      <c r="D5231" t="s">
        <v>1</v>
      </c>
      <c r="E5231" t="s">
        <v>1</v>
      </c>
      <c r="F5231" t="s">
        <v>0</v>
      </c>
      <c r="G5231" t="str">
        <f>"2018-10-17 10:34:36"</f>
        <v>2018-10-17 10:34:36</v>
      </c>
    </row>
    <row r="5232" spans="1:7" x14ac:dyDescent="0.2">
      <c r="A5232" t="s">
        <v>6281</v>
      </c>
      <c r="B5232" t="str">
        <f>"18263531806"</f>
        <v>18263531806</v>
      </c>
      <c r="C5232" t="str">
        <f>"371524198601245230"</f>
        <v>371524198601245230</v>
      </c>
      <c r="D5232" t="s">
        <v>1</v>
      </c>
      <c r="E5232" t="s">
        <v>1</v>
      </c>
      <c r="F5232" t="s">
        <v>0</v>
      </c>
      <c r="G5232" t="str">
        <f>"2018-10-17 10:36:05"</f>
        <v>2018-10-17 10:36:05</v>
      </c>
    </row>
    <row r="5233" spans="1:7" x14ac:dyDescent="0.2">
      <c r="A5233" t="s">
        <v>1</v>
      </c>
      <c r="B5233" t="str">
        <f>"18070673559"</f>
        <v>18070673559</v>
      </c>
      <c r="C5233" t="s">
        <v>1</v>
      </c>
      <c r="D5233" t="s">
        <v>1</v>
      </c>
      <c r="E5233" t="s">
        <v>1</v>
      </c>
      <c r="F5233" t="s">
        <v>0</v>
      </c>
      <c r="G5233" t="str">
        <f>"2018-10-17 10:34:19"</f>
        <v>2018-10-17 10:34:19</v>
      </c>
    </row>
    <row r="5234" spans="1:7" x14ac:dyDescent="0.2">
      <c r="A5234" t="s">
        <v>238</v>
      </c>
      <c r="B5234" t="str">
        <f>"18702770782"</f>
        <v>18702770782</v>
      </c>
      <c r="C5234" t="str">
        <f>"421022199608287598"</f>
        <v>421022199608287598</v>
      </c>
      <c r="D5234" t="s">
        <v>6282</v>
      </c>
      <c r="E5234" t="s">
        <v>6283</v>
      </c>
      <c r="F5234" t="s">
        <v>0</v>
      </c>
      <c r="G5234" t="str">
        <f>"2018-11-04 19:41:49"</f>
        <v>2018-11-04 19:41:49</v>
      </c>
    </row>
    <row r="5235" spans="1:7" x14ac:dyDescent="0.2">
      <c r="A5235" t="s">
        <v>6284</v>
      </c>
      <c r="B5235" t="str">
        <f>"18079219522"</f>
        <v>18079219522</v>
      </c>
      <c r="C5235" t="str">
        <f>"362324198706270916"</f>
        <v>362324198706270916</v>
      </c>
      <c r="D5235" t="s">
        <v>1</v>
      </c>
      <c r="E5235" t="s">
        <v>1</v>
      </c>
      <c r="F5235" t="s">
        <v>0</v>
      </c>
      <c r="G5235" t="str">
        <f>"2018-10-17 10:37:50"</f>
        <v>2018-10-17 10:37:50</v>
      </c>
    </row>
    <row r="5236" spans="1:7" x14ac:dyDescent="0.2">
      <c r="A5236" t="s">
        <v>2</v>
      </c>
      <c r="B5236" t="str">
        <f>"13561676662"</f>
        <v>13561676662</v>
      </c>
      <c r="C5236" t="str">
        <f>"371082198512256719"</f>
        <v>371082198512256719</v>
      </c>
      <c r="D5236" t="s">
        <v>1</v>
      </c>
      <c r="E5236" t="s">
        <v>1</v>
      </c>
      <c r="F5236" t="s">
        <v>0</v>
      </c>
      <c r="G5236" t="str">
        <f>"2018-10-17 10:33:03"</f>
        <v>2018-10-17 10:33:03</v>
      </c>
    </row>
    <row r="5237" spans="1:7" x14ac:dyDescent="0.2">
      <c r="A5237" t="s">
        <v>6285</v>
      </c>
      <c r="B5237" t="str">
        <f>"15393626058"</f>
        <v>15393626058</v>
      </c>
      <c r="C5237" t="str">
        <f>"622226198611083035"</f>
        <v>622226198611083035</v>
      </c>
      <c r="D5237" t="s">
        <v>1</v>
      </c>
      <c r="E5237" t="s">
        <v>1</v>
      </c>
      <c r="F5237" t="s">
        <v>0</v>
      </c>
      <c r="G5237" t="str">
        <f>"2018-10-17 17:27:21"</f>
        <v>2018-10-17 17:27:21</v>
      </c>
    </row>
    <row r="5238" spans="1:7" x14ac:dyDescent="0.2">
      <c r="A5238" t="s">
        <v>6286</v>
      </c>
      <c r="B5238" t="str">
        <f>"15591459931"</f>
        <v>15591459931</v>
      </c>
      <c r="C5238" t="str">
        <f>"612325199903042122"</f>
        <v>612325199903042122</v>
      </c>
      <c r="D5238" t="s">
        <v>1</v>
      </c>
      <c r="E5238" t="s">
        <v>1</v>
      </c>
      <c r="F5238" t="s">
        <v>0</v>
      </c>
      <c r="G5238" t="str">
        <f>"2018-10-17 10:34:16"</f>
        <v>2018-10-17 10:34:16</v>
      </c>
    </row>
    <row r="5239" spans="1:7" x14ac:dyDescent="0.2">
      <c r="A5239" t="s">
        <v>1</v>
      </c>
      <c r="B5239" t="str">
        <f>"18744960600"</f>
        <v>18744960600</v>
      </c>
      <c r="C5239" t="s">
        <v>1</v>
      </c>
      <c r="D5239" t="s">
        <v>1</v>
      </c>
      <c r="E5239" t="s">
        <v>1</v>
      </c>
      <c r="F5239" t="s">
        <v>0</v>
      </c>
      <c r="G5239" t="str">
        <f>"2018-10-17 10:32:23"</f>
        <v>2018-10-17 10:32:23</v>
      </c>
    </row>
    <row r="5240" spans="1:7" x14ac:dyDescent="0.2">
      <c r="A5240" t="s">
        <v>1</v>
      </c>
      <c r="B5240" t="str">
        <f>"17307471338"</f>
        <v>17307471338</v>
      </c>
      <c r="C5240" t="s">
        <v>1</v>
      </c>
      <c r="D5240" t="s">
        <v>1</v>
      </c>
      <c r="E5240" t="s">
        <v>1</v>
      </c>
      <c r="F5240" t="s">
        <v>0</v>
      </c>
      <c r="G5240" t="str">
        <f>"2018-10-17 10:33:52"</f>
        <v>2018-10-17 10:33:52</v>
      </c>
    </row>
    <row r="5241" spans="1:7" x14ac:dyDescent="0.2">
      <c r="A5241" t="s">
        <v>6287</v>
      </c>
      <c r="B5241" t="str">
        <f>"13703539980"</f>
        <v>13703539980</v>
      </c>
      <c r="C5241" t="str">
        <f>"140302199304300012"</f>
        <v>140302199304300012</v>
      </c>
      <c r="D5241" t="s">
        <v>6288</v>
      </c>
      <c r="E5241" t="s">
        <v>6289</v>
      </c>
      <c r="F5241" t="s">
        <v>0</v>
      </c>
      <c r="G5241" t="str">
        <f>"2018-10-17 10:33:17"</f>
        <v>2018-10-17 10:33:17</v>
      </c>
    </row>
    <row r="5242" spans="1:7" x14ac:dyDescent="0.2">
      <c r="A5242" t="s">
        <v>1</v>
      </c>
      <c r="B5242" t="str">
        <f>"18979838988"</f>
        <v>18979838988</v>
      </c>
      <c r="C5242" t="s">
        <v>1</v>
      </c>
      <c r="D5242" t="s">
        <v>1</v>
      </c>
      <c r="E5242" t="s">
        <v>1</v>
      </c>
      <c r="F5242" t="s">
        <v>0</v>
      </c>
      <c r="G5242" t="str">
        <f>"2018-10-17 10:31:48"</f>
        <v>2018-10-17 10:31:48</v>
      </c>
    </row>
    <row r="5243" spans="1:7" x14ac:dyDescent="0.2">
      <c r="A5243" t="s">
        <v>6290</v>
      </c>
      <c r="B5243" t="str">
        <f>"13432437761"</f>
        <v>13432437761</v>
      </c>
      <c r="C5243" t="str">
        <f>"441202197404240042"</f>
        <v>441202197404240042</v>
      </c>
      <c r="D5243" t="s">
        <v>1</v>
      </c>
      <c r="E5243" t="s">
        <v>1</v>
      </c>
      <c r="F5243" t="s">
        <v>0</v>
      </c>
      <c r="G5243" t="str">
        <f>"2018-10-17 10:33:11"</f>
        <v>2018-10-17 10:33:11</v>
      </c>
    </row>
    <row r="5244" spans="1:7" x14ac:dyDescent="0.2">
      <c r="A5244" t="s">
        <v>6291</v>
      </c>
      <c r="B5244" t="str">
        <f>"18131200496"</f>
        <v>18131200496</v>
      </c>
      <c r="C5244" t="str">
        <f>"130604198206182414"</f>
        <v>130604198206182414</v>
      </c>
      <c r="D5244" t="s">
        <v>1</v>
      </c>
      <c r="E5244" t="s">
        <v>1</v>
      </c>
      <c r="F5244" t="s">
        <v>0</v>
      </c>
      <c r="G5244" t="str">
        <f>"2018-10-17 10:32:42"</f>
        <v>2018-10-17 10:32:42</v>
      </c>
    </row>
    <row r="5245" spans="1:7" x14ac:dyDescent="0.2">
      <c r="A5245" t="s">
        <v>6292</v>
      </c>
      <c r="B5245" t="str">
        <f>"17753145157"</f>
        <v>17753145157</v>
      </c>
      <c r="C5245" t="str">
        <f>"370125199207243016"</f>
        <v>370125199207243016</v>
      </c>
      <c r="D5245" t="s">
        <v>1</v>
      </c>
      <c r="E5245" t="s">
        <v>1</v>
      </c>
      <c r="F5245" t="s">
        <v>0</v>
      </c>
      <c r="G5245" t="str">
        <f>"2018-11-03 13:58:20"</f>
        <v>2018-11-03 13:58:20</v>
      </c>
    </row>
    <row r="5246" spans="1:7" x14ac:dyDescent="0.2">
      <c r="A5246" t="s">
        <v>6293</v>
      </c>
      <c r="B5246" t="str">
        <f>"13389051150"</f>
        <v>13389051150</v>
      </c>
      <c r="C5246" t="str">
        <f>"342423197901247878"</f>
        <v>342423197901247878</v>
      </c>
      <c r="D5246" t="s">
        <v>1</v>
      </c>
      <c r="E5246" t="s">
        <v>1</v>
      </c>
      <c r="F5246" t="s">
        <v>0</v>
      </c>
      <c r="G5246" t="str">
        <f>"2018-10-17 10:31:42"</f>
        <v>2018-10-17 10:31:42</v>
      </c>
    </row>
    <row r="5247" spans="1:7" x14ac:dyDescent="0.2">
      <c r="A5247" t="s">
        <v>1480</v>
      </c>
      <c r="B5247" t="str">
        <f>"18781188856"</f>
        <v>18781188856</v>
      </c>
      <c r="C5247" t="str">
        <f>"510723199905272873"</f>
        <v>510723199905272873</v>
      </c>
      <c r="D5247" t="s">
        <v>1</v>
      </c>
      <c r="E5247" t="s">
        <v>1</v>
      </c>
      <c r="F5247" t="s">
        <v>0</v>
      </c>
      <c r="G5247" t="str">
        <f>"2018-10-17 10:35:00"</f>
        <v>2018-10-17 10:35:00</v>
      </c>
    </row>
    <row r="5248" spans="1:7" x14ac:dyDescent="0.2">
      <c r="A5248" t="s">
        <v>1034</v>
      </c>
      <c r="B5248" t="str">
        <f>"15894989393"</f>
        <v>15894989393</v>
      </c>
      <c r="C5248" t="str">
        <f>"150104199106153019"</f>
        <v>150104199106153019</v>
      </c>
      <c r="D5248" t="s">
        <v>1</v>
      </c>
      <c r="E5248" t="s">
        <v>1</v>
      </c>
      <c r="F5248" t="s">
        <v>0</v>
      </c>
      <c r="G5248" t="str">
        <f>"2018-10-17 10:32:06"</f>
        <v>2018-10-17 10:32:06</v>
      </c>
    </row>
    <row r="5249" spans="1:7" x14ac:dyDescent="0.2">
      <c r="A5249" t="s">
        <v>373</v>
      </c>
      <c r="B5249" t="str">
        <f>"15922873232"</f>
        <v>15922873232</v>
      </c>
      <c r="C5249" t="str">
        <f>"500111198905020313"</f>
        <v>500111198905020313</v>
      </c>
      <c r="D5249" t="s">
        <v>6294</v>
      </c>
      <c r="E5249" t="s">
        <v>6295</v>
      </c>
      <c r="F5249" t="s">
        <v>0</v>
      </c>
      <c r="G5249" t="str">
        <f>"2018-10-17 10:33:23"</f>
        <v>2018-10-17 10:33:23</v>
      </c>
    </row>
    <row r="5250" spans="1:7" x14ac:dyDescent="0.2">
      <c r="A5250" t="s">
        <v>1</v>
      </c>
      <c r="B5250" t="str">
        <f>"15052115573"</f>
        <v>15052115573</v>
      </c>
      <c r="C5250" t="s">
        <v>1</v>
      </c>
      <c r="D5250" t="s">
        <v>1</v>
      </c>
      <c r="E5250" t="s">
        <v>1</v>
      </c>
      <c r="F5250" t="s">
        <v>0</v>
      </c>
      <c r="G5250" t="str">
        <f>"2018-10-17 10:30:08"</f>
        <v>2018-10-17 10:30:08</v>
      </c>
    </row>
    <row r="5251" spans="1:7" x14ac:dyDescent="0.2">
      <c r="A5251" t="s">
        <v>6296</v>
      </c>
      <c r="B5251" t="str">
        <f>"18839881502"</f>
        <v>18839881502</v>
      </c>
      <c r="C5251" t="str">
        <f>"411222199704190517"</f>
        <v>411222199704190517</v>
      </c>
      <c r="D5251" t="s">
        <v>1</v>
      </c>
      <c r="E5251" t="s">
        <v>1</v>
      </c>
      <c r="F5251" t="s">
        <v>0</v>
      </c>
      <c r="G5251" t="str">
        <f>"2018-10-17 10:30:46"</f>
        <v>2018-10-17 10:30:46</v>
      </c>
    </row>
    <row r="5252" spans="1:7" x14ac:dyDescent="0.2">
      <c r="A5252" t="s">
        <v>1</v>
      </c>
      <c r="B5252" t="str">
        <f>"15378626117"</f>
        <v>15378626117</v>
      </c>
      <c r="C5252" t="s">
        <v>1</v>
      </c>
      <c r="D5252" t="s">
        <v>1</v>
      </c>
      <c r="E5252" t="s">
        <v>1</v>
      </c>
      <c r="F5252" t="s">
        <v>0</v>
      </c>
      <c r="G5252" t="str">
        <f>"2018-10-17 10:29:56"</f>
        <v>2018-10-17 10:29:56</v>
      </c>
    </row>
    <row r="5253" spans="1:7" x14ac:dyDescent="0.2">
      <c r="A5253" t="s">
        <v>6297</v>
      </c>
      <c r="B5253" t="str">
        <f>"13577081127"</f>
        <v>13577081127</v>
      </c>
      <c r="C5253" t="str">
        <f>"530103198903212915"</f>
        <v>530103198903212915</v>
      </c>
      <c r="D5253" t="s">
        <v>1</v>
      </c>
      <c r="E5253" t="s">
        <v>1</v>
      </c>
      <c r="F5253" t="s">
        <v>0</v>
      </c>
      <c r="G5253" t="str">
        <f>"2018-10-17 10:47:16"</f>
        <v>2018-10-17 10:47:16</v>
      </c>
    </row>
    <row r="5254" spans="1:7" x14ac:dyDescent="0.2">
      <c r="A5254" t="s">
        <v>1</v>
      </c>
      <c r="B5254" t="str">
        <f>"17348174215"</f>
        <v>17348174215</v>
      </c>
      <c r="C5254" t="s">
        <v>1</v>
      </c>
      <c r="D5254" t="s">
        <v>1</v>
      </c>
      <c r="E5254" t="s">
        <v>1</v>
      </c>
      <c r="F5254" t="s">
        <v>0</v>
      </c>
      <c r="G5254" t="str">
        <f>"2018-10-17 10:30:25"</f>
        <v>2018-10-17 10:30:25</v>
      </c>
    </row>
    <row r="5255" spans="1:7" x14ac:dyDescent="0.2">
      <c r="A5255" t="s">
        <v>1</v>
      </c>
      <c r="B5255" t="str">
        <f>"18084839386"</f>
        <v>18084839386</v>
      </c>
      <c r="C5255" t="s">
        <v>1</v>
      </c>
      <c r="D5255" t="s">
        <v>1</v>
      </c>
      <c r="E5255" t="s">
        <v>1</v>
      </c>
      <c r="F5255" t="s">
        <v>0</v>
      </c>
      <c r="G5255" t="str">
        <f>"2018-10-17 10:29:10"</f>
        <v>2018-10-17 10:29:10</v>
      </c>
    </row>
    <row r="5256" spans="1:7" x14ac:dyDescent="0.2">
      <c r="A5256" t="s">
        <v>6298</v>
      </c>
      <c r="B5256" t="str">
        <f>"13342111051"</f>
        <v>13342111051</v>
      </c>
      <c r="C5256" t="str">
        <f>"210302197802122457"</f>
        <v>210302197802122457</v>
      </c>
      <c r="D5256" t="s">
        <v>1</v>
      </c>
      <c r="E5256" t="s">
        <v>1</v>
      </c>
      <c r="F5256" t="s">
        <v>0</v>
      </c>
      <c r="G5256" t="str">
        <f>"2018-10-17 10:28:54"</f>
        <v>2018-10-17 10:28:54</v>
      </c>
    </row>
    <row r="5257" spans="1:7" x14ac:dyDescent="0.2">
      <c r="A5257" t="s">
        <v>6299</v>
      </c>
      <c r="B5257" t="str">
        <f>"13317669553"</f>
        <v>13317669553</v>
      </c>
      <c r="C5257" t="str">
        <f>"45260119711009034X"</f>
        <v>45260119711009034X</v>
      </c>
      <c r="D5257" t="s">
        <v>1</v>
      </c>
      <c r="E5257" t="s">
        <v>1</v>
      </c>
      <c r="F5257" t="s">
        <v>0</v>
      </c>
      <c r="G5257" t="str">
        <f>"2018-10-17 10:30:59"</f>
        <v>2018-10-17 10:30:59</v>
      </c>
    </row>
    <row r="5258" spans="1:7" x14ac:dyDescent="0.2">
      <c r="A5258" t="s">
        <v>6300</v>
      </c>
      <c r="B5258" t="str">
        <f>"18847053618"</f>
        <v>18847053618</v>
      </c>
      <c r="C5258" t="str">
        <f>"152127198111173315"</f>
        <v>152127198111173315</v>
      </c>
      <c r="D5258" t="s">
        <v>1</v>
      </c>
      <c r="E5258" t="s">
        <v>1</v>
      </c>
      <c r="F5258" t="s">
        <v>0</v>
      </c>
      <c r="G5258" t="str">
        <f>"2018-10-17 10:31:46"</f>
        <v>2018-10-17 10:31:46</v>
      </c>
    </row>
    <row r="5259" spans="1:7" x14ac:dyDescent="0.2">
      <c r="A5259" t="s">
        <v>1</v>
      </c>
      <c r="B5259" t="str">
        <f>"17732796851"</f>
        <v>17732796851</v>
      </c>
      <c r="C5259" t="s">
        <v>1</v>
      </c>
      <c r="D5259" t="s">
        <v>1</v>
      </c>
      <c r="E5259" t="s">
        <v>1</v>
      </c>
      <c r="F5259" t="s">
        <v>0</v>
      </c>
      <c r="G5259" t="str">
        <f>"2018-10-17 10:28:22"</f>
        <v>2018-10-17 10:28:22</v>
      </c>
    </row>
    <row r="5260" spans="1:7" x14ac:dyDescent="0.2">
      <c r="A5260" t="s">
        <v>796</v>
      </c>
      <c r="B5260" t="str">
        <f>"17713277195"</f>
        <v>17713277195</v>
      </c>
      <c r="C5260" t="str">
        <f>"130682198507251718"</f>
        <v>130682198507251718</v>
      </c>
      <c r="D5260" t="s">
        <v>1</v>
      </c>
      <c r="E5260" t="s">
        <v>1</v>
      </c>
      <c r="F5260" t="s">
        <v>0</v>
      </c>
      <c r="G5260" t="str">
        <f>"2018-10-17 10:30:24"</f>
        <v>2018-10-17 10:30:24</v>
      </c>
    </row>
    <row r="5261" spans="1:7" x14ac:dyDescent="0.2">
      <c r="A5261" t="s">
        <v>6301</v>
      </c>
      <c r="B5261" t="str">
        <f>"15878064619"</f>
        <v>15878064619</v>
      </c>
      <c r="C5261" t="str">
        <f>"450421199804054513"</f>
        <v>450421199804054513</v>
      </c>
      <c r="D5261" t="s">
        <v>1</v>
      </c>
      <c r="E5261" t="s">
        <v>1</v>
      </c>
      <c r="F5261" t="s">
        <v>0</v>
      </c>
      <c r="G5261" t="str">
        <f>"2018-10-17 10:29:48"</f>
        <v>2018-10-17 10:29:48</v>
      </c>
    </row>
    <row r="5262" spans="1:7" x14ac:dyDescent="0.2">
      <c r="A5262" t="s">
        <v>6302</v>
      </c>
      <c r="B5262" t="str">
        <f>"18190868518"</f>
        <v>18190868518</v>
      </c>
      <c r="C5262" t="str">
        <f>"510132197910073523"</f>
        <v>510132197910073523</v>
      </c>
      <c r="D5262" t="s">
        <v>1</v>
      </c>
      <c r="E5262" t="s">
        <v>1</v>
      </c>
      <c r="F5262" t="s">
        <v>0</v>
      </c>
      <c r="G5262" t="str">
        <f>"2018-10-17 10:29:02"</f>
        <v>2018-10-17 10:29:02</v>
      </c>
    </row>
    <row r="5263" spans="1:7" x14ac:dyDescent="0.2">
      <c r="A5263" t="s">
        <v>182</v>
      </c>
      <c r="B5263" t="str">
        <f>"15998870373"</f>
        <v>15998870373</v>
      </c>
      <c r="C5263" t="str">
        <f>"210726199310284937"</f>
        <v>210726199310284937</v>
      </c>
      <c r="D5263" t="s">
        <v>1</v>
      </c>
      <c r="E5263" t="s">
        <v>1</v>
      </c>
      <c r="F5263" t="s">
        <v>0</v>
      </c>
      <c r="G5263" t="str">
        <f>"2018-10-18 07:03:13"</f>
        <v>2018-10-18 07:03:13</v>
      </c>
    </row>
    <row r="5264" spans="1:7" x14ac:dyDescent="0.2">
      <c r="A5264" t="s">
        <v>6303</v>
      </c>
      <c r="B5264" t="str">
        <f>"17780775270"</f>
        <v>17780775270</v>
      </c>
      <c r="C5264" t="str">
        <f>"513701199210105424"</f>
        <v>513701199210105424</v>
      </c>
      <c r="D5264" t="s">
        <v>1</v>
      </c>
      <c r="E5264" t="s">
        <v>1</v>
      </c>
      <c r="F5264" t="s">
        <v>0</v>
      </c>
      <c r="G5264" t="str">
        <f>"2018-10-17 10:29:20"</f>
        <v>2018-10-17 10:29:20</v>
      </c>
    </row>
    <row r="5265" spans="1:7" x14ac:dyDescent="0.2">
      <c r="A5265" t="s">
        <v>1</v>
      </c>
      <c r="B5265" t="str">
        <f>"18007813287"</f>
        <v>18007813287</v>
      </c>
      <c r="C5265" t="s">
        <v>1</v>
      </c>
      <c r="D5265" t="s">
        <v>1</v>
      </c>
      <c r="E5265" t="s">
        <v>1</v>
      </c>
      <c r="F5265" t="s">
        <v>0</v>
      </c>
      <c r="G5265" t="str">
        <f>"2018-10-17 10:29:29"</f>
        <v>2018-10-17 10:29:29</v>
      </c>
    </row>
    <row r="5266" spans="1:7" x14ac:dyDescent="0.2">
      <c r="A5266" t="s">
        <v>6304</v>
      </c>
      <c r="B5266" t="str">
        <f>"15029334037"</f>
        <v>15029334037</v>
      </c>
      <c r="C5266" t="str">
        <f>"610523199501198876"</f>
        <v>610523199501198876</v>
      </c>
      <c r="D5266" t="s">
        <v>6305</v>
      </c>
      <c r="E5266" t="s">
        <v>6306</v>
      </c>
      <c r="F5266" t="s">
        <v>0</v>
      </c>
      <c r="G5266" t="str">
        <f>"2018-10-17 11:41:37"</f>
        <v>2018-10-17 11:41:37</v>
      </c>
    </row>
    <row r="5267" spans="1:7" x14ac:dyDescent="0.2">
      <c r="A5267" t="s">
        <v>1048</v>
      </c>
      <c r="B5267" t="str">
        <f>"13735203579"</f>
        <v>13735203579</v>
      </c>
      <c r="C5267" t="str">
        <f>"330602199305041018"</f>
        <v>330602199305041018</v>
      </c>
      <c r="D5267" t="s">
        <v>1</v>
      </c>
      <c r="E5267" t="s">
        <v>1</v>
      </c>
      <c r="F5267" t="s">
        <v>0</v>
      </c>
      <c r="G5267" t="str">
        <f>"2018-10-17 10:29:49"</f>
        <v>2018-10-17 10:29:49</v>
      </c>
    </row>
    <row r="5268" spans="1:7" x14ac:dyDescent="0.2">
      <c r="A5268" t="s">
        <v>992</v>
      </c>
      <c r="B5268" t="str">
        <f>"17768745337"</f>
        <v>17768745337</v>
      </c>
      <c r="C5268" t="str">
        <f>"320586199706181513"</f>
        <v>320586199706181513</v>
      </c>
      <c r="D5268" t="s">
        <v>6307</v>
      </c>
      <c r="E5268" t="s">
        <v>6308</v>
      </c>
      <c r="F5268" t="s">
        <v>0</v>
      </c>
      <c r="G5268" t="str">
        <f>"2018-10-20 16:55:31"</f>
        <v>2018-10-20 16:55:31</v>
      </c>
    </row>
    <row r="5269" spans="1:7" x14ac:dyDescent="0.2">
      <c r="A5269" t="s">
        <v>1</v>
      </c>
      <c r="B5269" t="str">
        <f>"18169463716"</f>
        <v>18169463716</v>
      </c>
      <c r="C5269" t="s">
        <v>1</v>
      </c>
      <c r="D5269" t="s">
        <v>1</v>
      </c>
      <c r="E5269" t="s">
        <v>1</v>
      </c>
      <c r="F5269" t="s">
        <v>0</v>
      </c>
      <c r="G5269" t="str">
        <f>"2018-10-17 10:26:55"</f>
        <v>2018-10-17 10:26:55</v>
      </c>
    </row>
    <row r="5270" spans="1:7" x14ac:dyDescent="0.2">
      <c r="A5270" t="s">
        <v>6309</v>
      </c>
      <c r="B5270" t="str">
        <f>"17709997773"</f>
        <v>17709997773</v>
      </c>
      <c r="C5270" t="str">
        <f>"41108119850725685X"</f>
        <v>41108119850725685X</v>
      </c>
      <c r="D5270" t="s">
        <v>1</v>
      </c>
      <c r="E5270" t="s">
        <v>1</v>
      </c>
      <c r="F5270" t="s">
        <v>0</v>
      </c>
      <c r="G5270" t="str">
        <f>"2018-11-01 12:04:35"</f>
        <v>2018-11-01 12:04:35</v>
      </c>
    </row>
    <row r="5271" spans="1:7" x14ac:dyDescent="0.2">
      <c r="A5271" t="s">
        <v>6310</v>
      </c>
      <c r="B5271" t="str">
        <f>"15539800882"</f>
        <v>15539800882</v>
      </c>
      <c r="C5271" t="str">
        <f>"411202198607024031"</f>
        <v>411202198607024031</v>
      </c>
      <c r="D5271" t="s">
        <v>1</v>
      </c>
      <c r="E5271" t="s">
        <v>1</v>
      </c>
      <c r="F5271" t="s">
        <v>0</v>
      </c>
      <c r="G5271" t="str">
        <f>"2018-10-17 10:28:15"</f>
        <v>2018-10-17 10:28:15</v>
      </c>
    </row>
    <row r="5272" spans="1:7" x14ac:dyDescent="0.2">
      <c r="A5272" t="s">
        <v>1103</v>
      </c>
      <c r="B5272" t="str">
        <f>"13894578213"</f>
        <v>13894578213</v>
      </c>
      <c r="C5272" t="str">
        <f>"220523198302040112"</f>
        <v>220523198302040112</v>
      </c>
      <c r="D5272" t="s">
        <v>1</v>
      </c>
      <c r="E5272" t="s">
        <v>1</v>
      </c>
      <c r="F5272" t="s">
        <v>0</v>
      </c>
      <c r="G5272" t="str">
        <f>"2018-10-17 10:27:47"</f>
        <v>2018-10-17 10:27:47</v>
      </c>
    </row>
    <row r="5273" spans="1:7" x14ac:dyDescent="0.2">
      <c r="A5273" t="s">
        <v>1567</v>
      </c>
      <c r="B5273" t="str">
        <f>"15934155110"</f>
        <v>15934155110</v>
      </c>
      <c r="C5273" t="str">
        <f>"140121199106214154"</f>
        <v>140121199106214154</v>
      </c>
      <c r="D5273" t="s">
        <v>6311</v>
      </c>
      <c r="E5273" t="s">
        <v>6312</v>
      </c>
      <c r="F5273" t="s">
        <v>0</v>
      </c>
      <c r="G5273" t="str">
        <f>"2018-10-23 20:18:31"</f>
        <v>2018-10-23 20:18:31</v>
      </c>
    </row>
    <row r="5274" spans="1:7" x14ac:dyDescent="0.2">
      <c r="A5274" t="s">
        <v>6313</v>
      </c>
      <c r="B5274" t="str">
        <f>"18457901899"</f>
        <v>18457901899</v>
      </c>
      <c r="C5274" t="str">
        <f>"330781199307211835"</f>
        <v>330781199307211835</v>
      </c>
      <c r="D5274" t="s">
        <v>6314</v>
      </c>
      <c r="E5274" t="s">
        <v>6315</v>
      </c>
      <c r="F5274" t="s">
        <v>0</v>
      </c>
      <c r="G5274" t="str">
        <f>"2018-10-17 10:26:28"</f>
        <v>2018-10-17 10:26:28</v>
      </c>
    </row>
    <row r="5275" spans="1:7" x14ac:dyDescent="0.2">
      <c r="A5275" t="s">
        <v>6316</v>
      </c>
      <c r="B5275" t="str">
        <f>"17608719309"</f>
        <v>17608719309</v>
      </c>
      <c r="C5275" t="str">
        <f>"530181199502013927"</f>
        <v>530181199502013927</v>
      </c>
      <c r="D5275" t="s">
        <v>1</v>
      </c>
      <c r="E5275" t="s">
        <v>1</v>
      </c>
      <c r="F5275" t="s">
        <v>0</v>
      </c>
      <c r="G5275" t="str">
        <f>"2018-10-17 16:03:20"</f>
        <v>2018-10-17 16:03:20</v>
      </c>
    </row>
    <row r="5276" spans="1:7" x14ac:dyDescent="0.2">
      <c r="A5276" t="s">
        <v>6317</v>
      </c>
      <c r="B5276" t="str">
        <f>"18784139827"</f>
        <v>18784139827</v>
      </c>
      <c r="C5276" t="str">
        <f>"511502199508164578"</f>
        <v>511502199508164578</v>
      </c>
      <c r="D5276" t="s">
        <v>1</v>
      </c>
      <c r="E5276" t="s">
        <v>1</v>
      </c>
      <c r="F5276" t="s">
        <v>0</v>
      </c>
      <c r="G5276" t="str">
        <f>"2018-10-17 11:12:21"</f>
        <v>2018-10-17 11:12:21</v>
      </c>
    </row>
    <row r="5277" spans="1:7" x14ac:dyDescent="0.2">
      <c r="A5277" t="s">
        <v>1</v>
      </c>
      <c r="B5277" t="str">
        <f>"17505450513"</f>
        <v>17505450513</v>
      </c>
      <c r="C5277" t="s">
        <v>1</v>
      </c>
      <c r="D5277" t="s">
        <v>1</v>
      </c>
      <c r="E5277" t="s">
        <v>1</v>
      </c>
      <c r="F5277" t="s">
        <v>0</v>
      </c>
      <c r="G5277" t="str">
        <f>"2018-10-17 10:24:49"</f>
        <v>2018-10-17 10:24:49</v>
      </c>
    </row>
    <row r="5278" spans="1:7" x14ac:dyDescent="0.2">
      <c r="A5278" t="s">
        <v>6318</v>
      </c>
      <c r="B5278" t="str">
        <f>"13807587827"</f>
        <v>13807587827</v>
      </c>
      <c r="C5278" t="str">
        <f>"460026198808034517"</f>
        <v>460026198808034517</v>
      </c>
      <c r="D5278" t="s">
        <v>6319</v>
      </c>
      <c r="E5278" t="s">
        <v>6320</v>
      </c>
      <c r="F5278" t="s">
        <v>0</v>
      </c>
      <c r="G5278" t="str">
        <f>"2018-10-17 10:28:28"</f>
        <v>2018-10-17 10:28:28</v>
      </c>
    </row>
    <row r="5279" spans="1:7" x14ac:dyDescent="0.2">
      <c r="A5279" t="s">
        <v>6321</v>
      </c>
      <c r="B5279" t="str">
        <f>"13280169850"</f>
        <v>13280169850</v>
      </c>
      <c r="C5279" t="str">
        <f>"37070219910601321X"</f>
        <v>37070219910601321X</v>
      </c>
      <c r="D5279" t="s">
        <v>1</v>
      </c>
      <c r="E5279" t="s">
        <v>1</v>
      </c>
      <c r="F5279" t="s">
        <v>0</v>
      </c>
      <c r="G5279" t="str">
        <f>"2018-10-17 10:43:42"</f>
        <v>2018-10-17 10:43:42</v>
      </c>
    </row>
    <row r="5280" spans="1:7" x14ac:dyDescent="0.2">
      <c r="A5280" t="s">
        <v>1</v>
      </c>
      <c r="B5280" t="str">
        <f>"15903082733"</f>
        <v>15903082733</v>
      </c>
      <c r="C5280" t="s">
        <v>1</v>
      </c>
      <c r="D5280" t="s">
        <v>1</v>
      </c>
      <c r="E5280" t="s">
        <v>1</v>
      </c>
      <c r="F5280" t="s">
        <v>0</v>
      </c>
      <c r="G5280" t="str">
        <f>"2018-10-17 10:23:55"</f>
        <v>2018-10-17 10:23:55</v>
      </c>
    </row>
    <row r="5281" spans="1:7" x14ac:dyDescent="0.2">
      <c r="A5281" t="s">
        <v>1</v>
      </c>
      <c r="B5281" t="str">
        <f>"13349627680"</f>
        <v>13349627680</v>
      </c>
      <c r="C5281" t="s">
        <v>1</v>
      </c>
      <c r="D5281" t="s">
        <v>1</v>
      </c>
      <c r="E5281" t="s">
        <v>1</v>
      </c>
      <c r="F5281" t="s">
        <v>0</v>
      </c>
      <c r="G5281" t="str">
        <f>"2018-10-17 10:23:43"</f>
        <v>2018-10-17 10:23:43</v>
      </c>
    </row>
    <row r="5282" spans="1:7" x14ac:dyDescent="0.2">
      <c r="A5282" t="s">
        <v>6322</v>
      </c>
      <c r="B5282" t="str">
        <f>"13916826659"</f>
        <v>13916826659</v>
      </c>
      <c r="C5282" t="str">
        <f>"320405196306150219"</f>
        <v>320405196306150219</v>
      </c>
      <c r="D5282" t="s">
        <v>1</v>
      </c>
      <c r="E5282" t="s">
        <v>1</v>
      </c>
      <c r="F5282" t="s">
        <v>0</v>
      </c>
      <c r="G5282" t="str">
        <f>"2018-10-17 19:46:11"</f>
        <v>2018-10-17 19:46:11</v>
      </c>
    </row>
    <row r="5283" spans="1:7" x14ac:dyDescent="0.2">
      <c r="A5283" t="s">
        <v>6323</v>
      </c>
      <c r="B5283" t="str">
        <f>"15024582239"</f>
        <v>15024582239</v>
      </c>
      <c r="C5283" t="str">
        <f>"362324199708091510"</f>
        <v>362324199708091510</v>
      </c>
      <c r="D5283" t="s">
        <v>1</v>
      </c>
      <c r="E5283" t="s">
        <v>1</v>
      </c>
      <c r="F5283" t="s">
        <v>0</v>
      </c>
      <c r="G5283" t="str">
        <f>"2018-10-24 12:36:51"</f>
        <v>2018-10-24 12:36:51</v>
      </c>
    </row>
    <row r="5284" spans="1:7" x14ac:dyDescent="0.2">
      <c r="A5284" t="s">
        <v>1420</v>
      </c>
      <c r="B5284" t="str">
        <f>"18702477767"</f>
        <v>18702477767</v>
      </c>
      <c r="C5284" t="str">
        <f>"520202199012028016"</f>
        <v>520202199012028016</v>
      </c>
      <c r="D5284" t="s">
        <v>6324</v>
      </c>
      <c r="E5284" t="s">
        <v>6325</v>
      </c>
      <c r="F5284" t="s">
        <v>0</v>
      </c>
      <c r="G5284" t="str">
        <f>"2018-10-17 10:29:13"</f>
        <v>2018-10-17 10:29:13</v>
      </c>
    </row>
    <row r="5285" spans="1:7" x14ac:dyDescent="0.2">
      <c r="A5285" t="s">
        <v>6326</v>
      </c>
      <c r="B5285" t="str">
        <f>"17703764888"</f>
        <v>17703764888</v>
      </c>
      <c r="C5285" t="str">
        <f>"411523199603062017"</f>
        <v>411523199603062017</v>
      </c>
      <c r="D5285" t="s">
        <v>1</v>
      </c>
      <c r="E5285" t="s">
        <v>1</v>
      </c>
      <c r="F5285" t="s">
        <v>0</v>
      </c>
      <c r="G5285" t="str">
        <f>"2018-10-17 10:26:38"</f>
        <v>2018-10-17 10:26:38</v>
      </c>
    </row>
    <row r="5286" spans="1:7" x14ac:dyDescent="0.2">
      <c r="A5286" t="s">
        <v>6327</v>
      </c>
      <c r="B5286" t="str">
        <f>"18798691801"</f>
        <v>18798691801</v>
      </c>
      <c r="C5286" t="str">
        <f>"522128199210185514"</f>
        <v>522128199210185514</v>
      </c>
      <c r="D5286" t="s">
        <v>6328</v>
      </c>
      <c r="E5286" t="s">
        <v>6328</v>
      </c>
      <c r="F5286" t="s">
        <v>0</v>
      </c>
      <c r="G5286" t="str">
        <f>"2018-10-17 10:25:35"</f>
        <v>2018-10-17 10:25:35</v>
      </c>
    </row>
    <row r="5287" spans="1:7" x14ac:dyDescent="0.2">
      <c r="A5287" t="s">
        <v>6329</v>
      </c>
      <c r="B5287" t="str">
        <f>"13689436959"</f>
        <v>13689436959</v>
      </c>
      <c r="C5287" t="str">
        <f>"620403199703270929"</f>
        <v>620403199703270929</v>
      </c>
      <c r="D5287" t="s">
        <v>6330</v>
      </c>
      <c r="E5287" t="s">
        <v>6331</v>
      </c>
      <c r="F5287" t="s">
        <v>0</v>
      </c>
      <c r="G5287" t="str">
        <f>"2018-10-17 10:26:54"</f>
        <v>2018-10-17 10:26:54</v>
      </c>
    </row>
    <row r="5288" spans="1:7" x14ac:dyDescent="0.2">
      <c r="A5288" t="s">
        <v>6332</v>
      </c>
      <c r="B5288" t="str">
        <f>"13393507998"</f>
        <v>13393507998</v>
      </c>
      <c r="C5288" t="str">
        <f>"142201198106129176"</f>
        <v>142201198106129176</v>
      </c>
      <c r="D5288" t="s">
        <v>1</v>
      </c>
      <c r="E5288" t="s">
        <v>1</v>
      </c>
      <c r="F5288" t="s">
        <v>0</v>
      </c>
      <c r="G5288" t="str">
        <f>"2018-10-17 10:31:32"</f>
        <v>2018-10-17 10:31:32</v>
      </c>
    </row>
    <row r="5289" spans="1:7" x14ac:dyDescent="0.2">
      <c r="A5289" t="s">
        <v>6333</v>
      </c>
      <c r="B5289" t="str">
        <f>"18966038383"</f>
        <v>18966038383</v>
      </c>
      <c r="C5289" t="str">
        <f>"330782199110162538"</f>
        <v>330782199110162538</v>
      </c>
      <c r="D5289" t="s">
        <v>6334</v>
      </c>
      <c r="E5289" t="s">
        <v>6335</v>
      </c>
      <c r="F5289" t="s">
        <v>0</v>
      </c>
      <c r="G5289" t="str">
        <f>"2018-10-17 10:21:41"</f>
        <v>2018-10-17 10:21:41</v>
      </c>
    </row>
    <row r="5290" spans="1:7" x14ac:dyDescent="0.2">
      <c r="A5290" t="s">
        <v>1</v>
      </c>
      <c r="B5290" t="str">
        <f>"13338300098"</f>
        <v>13338300098</v>
      </c>
      <c r="C5290" t="s">
        <v>1</v>
      </c>
      <c r="D5290" t="s">
        <v>1</v>
      </c>
      <c r="E5290" t="s">
        <v>1</v>
      </c>
      <c r="F5290" t="s">
        <v>0</v>
      </c>
      <c r="G5290" t="str">
        <f>"2018-10-17 10:21:36"</f>
        <v>2018-10-17 10:21:36</v>
      </c>
    </row>
    <row r="5291" spans="1:7" x14ac:dyDescent="0.2">
      <c r="A5291" t="s">
        <v>6336</v>
      </c>
      <c r="B5291" t="str">
        <f>"18093769169"</f>
        <v>18093769169</v>
      </c>
      <c r="C5291" t="str">
        <f>"622102198905088927"</f>
        <v>622102198905088927</v>
      </c>
      <c r="D5291" t="s">
        <v>1</v>
      </c>
      <c r="E5291" t="s">
        <v>1</v>
      </c>
      <c r="F5291" t="s">
        <v>0</v>
      </c>
      <c r="G5291" t="str">
        <f>"2018-10-17 10:23:16"</f>
        <v>2018-10-17 10:23:16</v>
      </c>
    </row>
    <row r="5292" spans="1:7" x14ac:dyDescent="0.2">
      <c r="A5292" t="s">
        <v>6337</v>
      </c>
      <c r="B5292" t="str">
        <f>"18983880513"</f>
        <v>18983880513</v>
      </c>
      <c r="C5292" t="str">
        <f>"500381198506059413"</f>
        <v>500381198506059413</v>
      </c>
      <c r="D5292" t="s">
        <v>6338</v>
      </c>
      <c r="E5292" t="s">
        <v>6339</v>
      </c>
      <c r="F5292" t="s">
        <v>0</v>
      </c>
      <c r="G5292" t="str">
        <f>"2018-10-17 10:22:40"</f>
        <v>2018-10-17 10:22:40</v>
      </c>
    </row>
    <row r="5293" spans="1:7" x14ac:dyDescent="0.2">
      <c r="A5293" t="s">
        <v>6340</v>
      </c>
      <c r="B5293" t="str">
        <f>"15991949826"</f>
        <v>15991949826</v>
      </c>
      <c r="C5293" t="str">
        <f>"610525198607132232"</f>
        <v>610525198607132232</v>
      </c>
      <c r="D5293" t="s">
        <v>1</v>
      </c>
      <c r="E5293" t="s">
        <v>1</v>
      </c>
      <c r="F5293" t="s">
        <v>0</v>
      </c>
      <c r="G5293" t="str">
        <f>"2018-10-17 17:13:48"</f>
        <v>2018-10-17 17:13:48</v>
      </c>
    </row>
    <row r="5294" spans="1:7" x14ac:dyDescent="0.2">
      <c r="A5294" t="s">
        <v>6341</v>
      </c>
      <c r="B5294" t="str">
        <f>"18010643841"</f>
        <v>18010643841</v>
      </c>
      <c r="C5294" t="str">
        <f>"511322199009052795"</f>
        <v>511322199009052795</v>
      </c>
      <c r="D5294" t="s">
        <v>1</v>
      </c>
      <c r="E5294" t="s">
        <v>1</v>
      </c>
      <c r="F5294" t="s">
        <v>0</v>
      </c>
      <c r="G5294" t="str">
        <f>"2018-10-17 10:23:14"</f>
        <v>2018-10-17 10:23:14</v>
      </c>
    </row>
    <row r="5295" spans="1:7" x14ac:dyDescent="0.2">
      <c r="A5295" t="s">
        <v>1</v>
      </c>
      <c r="B5295" t="str">
        <f>"17345742936"</f>
        <v>17345742936</v>
      </c>
      <c r="C5295" t="s">
        <v>1</v>
      </c>
      <c r="D5295" t="s">
        <v>1</v>
      </c>
      <c r="E5295" t="s">
        <v>1</v>
      </c>
      <c r="F5295" t="s">
        <v>0</v>
      </c>
      <c r="G5295" t="str">
        <f>"2018-10-17 10:20:47"</f>
        <v>2018-10-17 10:20:47</v>
      </c>
    </row>
    <row r="5296" spans="1:7" x14ac:dyDescent="0.2">
      <c r="A5296" t="s">
        <v>1</v>
      </c>
      <c r="B5296" t="str">
        <f>"18178204971"</f>
        <v>18178204971</v>
      </c>
      <c r="C5296" t="s">
        <v>1</v>
      </c>
      <c r="D5296" t="s">
        <v>1</v>
      </c>
      <c r="E5296" t="s">
        <v>1</v>
      </c>
      <c r="F5296" t="s">
        <v>0</v>
      </c>
      <c r="G5296" t="str">
        <f>"2018-10-17 10:20:38"</f>
        <v>2018-10-17 10:20:38</v>
      </c>
    </row>
    <row r="5297" spans="1:7" x14ac:dyDescent="0.2">
      <c r="A5297" t="s">
        <v>335</v>
      </c>
      <c r="B5297" t="str">
        <f>"13550120015"</f>
        <v>13550120015</v>
      </c>
      <c r="C5297" t="str">
        <f>"510182199604186653"</f>
        <v>510182199604186653</v>
      </c>
      <c r="D5297" t="s">
        <v>6342</v>
      </c>
      <c r="E5297" t="s">
        <v>6343</v>
      </c>
      <c r="F5297" t="s">
        <v>0</v>
      </c>
      <c r="G5297" t="str">
        <f>"2018-10-17 11:36:51"</f>
        <v>2018-10-17 11:36:51</v>
      </c>
    </row>
    <row r="5298" spans="1:7" x14ac:dyDescent="0.2">
      <c r="A5298" t="s">
        <v>6344</v>
      </c>
      <c r="B5298" t="str">
        <f>"13908461014"</f>
        <v>13908461014</v>
      </c>
      <c r="C5298" t="str">
        <f>"430104197009163520"</f>
        <v>430104197009163520</v>
      </c>
      <c r="D5298" t="s">
        <v>6345</v>
      </c>
      <c r="E5298" t="s">
        <v>6346</v>
      </c>
      <c r="F5298" t="s">
        <v>0</v>
      </c>
      <c r="G5298" t="str">
        <f>"2018-10-17 10:55:15"</f>
        <v>2018-10-17 10:55:15</v>
      </c>
    </row>
    <row r="5299" spans="1:7" x14ac:dyDescent="0.2">
      <c r="A5299" t="s">
        <v>6347</v>
      </c>
      <c r="B5299" t="str">
        <f>"18937075866"</f>
        <v>18937075866</v>
      </c>
      <c r="C5299" t="str">
        <f>"342126197211088139"</f>
        <v>342126197211088139</v>
      </c>
      <c r="D5299" t="s">
        <v>1</v>
      </c>
      <c r="E5299" t="s">
        <v>1</v>
      </c>
      <c r="F5299" t="s">
        <v>0</v>
      </c>
      <c r="G5299" t="str">
        <f>"2018-10-17 10:45:20"</f>
        <v>2018-10-17 10:45:20</v>
      </c>
    </row>
    <row r="5300" spans="1:7" x14ac:dyDescent="0.2">
      <c r="A5300" t="s">
        <v>1203</v>
      </c>
      <c r="B5300" t="str">
        <f>"15388218745"</f>
        <v>15388218745</v>
      </c>
      <c r="C5300" t="str">
        <f>"510184198905136818"</f>
        <v>510184198905136818</v>
      </c>
      <c r="D5300" t="s">
        <v>1</v>
      </c>
      <c r="E5300" t="s">
        <v>1</v>
      </c>
      <c r="F5300" t="s">
        <v>0</v>
      </c>
      <c r="G5300" t="str">
        <f>"2018-10-17 10:21:46"</f>
        <v>2018-10-17 10:21:46</v>
      </c>
    </row>
    <row r="5301" spans="1:7" x14ac:dyDescent="0.2">
      <c r="A5301" t="s">
        <v>6348</v>
      </c>
      <c r="B5301" t="str">
        <f>"13559635785"</f>
        <v>13559635785</v>
      </c>
      <c r="C5301" t="str">
        <f>"350600198009160131"</f>
        <v>350600198009160131</v>
      </c>
      <c r="D5301" t="s">
        <v>1</v>
      </c>
      <c r="E5301" t="s">
        <v>1</v>
      </c>
      <c r="F5301" t="s">
        <v>0</v>
      </c>
      <c r="G5301" t="str">
        <f>"2018-10-18 12:45:10"</f>
        <v>2018-10-18 12:45:10</v>
      </c>
    </row>
    <row r="5302" spans="1:7" x14ac:dyDescent="0.2">
      <c r="A5302" t="s">
        <v>6349</v>
      </c>
      <c r="B5302" t="str">
        <f>"18979796966"</f>
        <v>18979796966</v>
      </c>
      <c r="C5302" t="str">
        <f>"360702198502140011"</f>
        <v>360702198502140011</v>
      </c>
      <c r="D5302" t="s">
        <v>1</v>
      </c>
      <c r="E5302" t="s">
        <v>1</v>
      </c>
      <c r="F5302" t="s">
        <v>0</v>
      </c>
      <c r="G5302" t="str">
        <f>"2018-10-17 10:23:54"</f>
        <v>2018-10-17 10:23:54</v>
      </c>
    </row>
    <row r="5303" spans="1:7" x14ac:dyDescent="0.2">
      <c r="A5303" t="s">
        <v>6350</v>
      </c>
      <c r="B5303" t="str">
        <f>"18631818516"</f>
        <v>18631818516</v>
      </c>
      <c r="C5303" t="str">
        <f>"131121198303093819"</f>
        <v>131121198303093819</v>
      </c>
      <c r="D5303" t="s">
        <v>1</v>
      </c>
      <c r="E5303" t="s">
        <v>1</v>
      </c>
      <c r="F5303" t="s">
        <v>0</v>
      </c>
      <c r="G5303" t="str">
        <f>"2018-10-17 10:25:43"</f>
        <v>2018-10-17 10:25:43</v>
      </c>
    </row>
    <row r="5304" spans="1:7" x14ac:dyDescent="0.2">
      <c r="A5304" t="s">
        <v>290</v>
      </c>
      <c r="B5304" t="str">
        <f>"15252078910"</f>
        <v>15252078910</v>
      </c>
      <c r="C5304" t="str">
        <f>"320323199705246016"</f>
        <v>320323199705246016</v>
      </c>
      <c r="D5304" t="s">
        <v>1</v>
      </c>
      <c r="E5304" t="s">
        <v>1</v>
      </c>
      <c r="F5304" t="s">
        <v>0</v>
      </c>
      <c r="G5304" t="str">
        <f>"2018-10-17 10:21:40"</f>
        <v>2018-10-17 10:21:40</v>
      </c>
    </row>
    <row r="5305" spans="1:7" x14ac:dyDescent="0.2">
      <c r="A5305" t="s">
        <v>6351</v>
      </c>
      <c r="B5305" t="str">
        <f>"18986113117"</f>
        <v>18986113117</v>
      </c>
      <c r="C5305" t="str">
        <f>"430821198409246076"</f>
        <v>430821198409246076</v>
      </c>
      <c r="D5305" t="s">
        <v>1</v>
      </c>
      <c r="E5305" t="s">
        <v>1</v>
      </c>
      <c r="F5305" t="s">
        <v>0</v>
      </c>
      <c r="G5305" t="str">
        <f>"2018-10-17 10:20:42"</f>
        <v>2018-10-17 10:20:42</v>
      </c>
    </row>
    <row r="5306" spans="1:7" x14ac:dyDescent="0.2">
      <c r="A5306" t="s">
        <v>6352</v>
      </c>
      <c r="B5306" t="str">
        <f>"18758489555"</f>
        <v>18758489555</v>
      </c>
      <c r="C5306" t="str">
        <f>"220122199507267018"</f>
        <v>220122199507267018</v>
      </c>
      <c r="D5306" t="s">
        <v>1</v>
      </c>
      <c r="E5306" t="s">
        <v>1</v>
      </c>
      <c r="F5306" t="s">
        <v>0</v>
      </c>
      <c r="G5306" t="str">
        <f>"2018-10-17 10:22:32"</f>
        <v>2018-10-17 10:22:32</v>
      </c>
    </row>
    <row r="5307" spans="1:7" x14ac:dyDescent="0.2">
      <c r="A5307" t="s">
        <v>6353</v>
      </c>
      <c r="B5307" t="str">
        <f>"13650280743"</f>
        <v>13650280743</v>
      </c>
      <c r="C5307" t="str">
        <f>"433101199709025527"</f>
        <v>433101199709025527</v>
      </c>
      <c r="D5307" t="s">
        <v>1</v>
      </c>
      <c r="E5307" t="s">
        <v>1</v>
      </c>
      <c r="F5307" t="s">
        <v>0</v>
      </c>
      <c r="G5307" t="str">
        <f>"2018-10-17 10:21:18"</f>
        <v>2018-10-17 10:21:18</v>
      </c>
    </row>
    <row r="5308" spans="1:7" x14ac:dyDescent="0.2">
      <c r="A5308" t="s">
        <v>922</v>
      </c>
      <c r="B5308" t="str">
        <f>"13158881899"</f>
        <v>13158881899</v>
      </c>
      <c r="C5308" t="str">
        <f>"510703198108051736"</f>
        <v>510703198108051736</v>
      </c>
      <c r="D5308" t="s">
        <v>1</v>
      </c>
      <c r="E5308" t="s">
        <v>1</v>
      </c>
      <c r="F5308" t="s">
        <v>0</v>
      </c>
      <c r="G5308" t="str">
        <f>"2018-10-17 10:17:06"</f>
        <v>2018-10-17 10:17:06</v>
      </c>
    </row>
    <row r="5309" spans="1:7" x14ac:dyDescent="0.2">
      <c r="A5309" t="s">
        <v>6354</v>
      </c>
      <c r="B5309" t="str">
        <f>"15945387490"</f>
        <v>15945387490</v>
      </c>
      <c r="C5309" t="str">
        <f>"231024198509182013"</f>
        <v>231024198509182013</v>
      </c>
      <c r="D5309" t="s">
        <v>1</v>
      </c>
      <c r="E5309" t="s">
        <v>1</v>
      </c>
      <c r="F5309" t="s">
        <v>0</v>
      </c>
      <c r="G5309" t="str">
        <f>"2018-10-17 10:22:36"</f>
        <v>2018-10-17 10:22:36</v>
      </c>
    </row>
    <row r="5310" spans="1:7" x14ac:dyDescent="0.2">
      <c r="A5310" t="s">
        <v>6355</v>
      </c>
      <c r="B5310" t="str">
        <f>"18903373176"</f>
        <v>18903373176</v>
      </c>
      <c r="C5310" t="str">
        <f>"13020519780225391X"</f>
        <v>13020519780225391X</v>
      </c>
      <c r="D5310" t="s">
        <v>1</v>
      </c>
      <c r="E5310" t="s">
        <v>1</v>
      </c>
      <c r="F5310" t="s">
        <v>0</v>
      </c>
      <c r="G5310" t="str">
        <f>"2018-10-17 10:16:42"</f>
        <v>2018-10-17 10:16:42</v>
      </c>
    </row>
    <row r="5311" spans="1:7" x14ac:dyDescent="0.2">
      <c r="A5311" t="s">
        <v>6356</v>
      </c>
      <c r="B5311" t="str">
        <f>"15093264088"</f>
        <v>15093264088</v>
      </c>
      <c r="C5311" t="str">
        <f>"410182199809043740"</f>
        <v>410182199809043740</v>
      </c>
      <c r="D5311" t="s">
        <v>1</v>
      </c>
      <c r="E5311" t="s">
        <v>1</v>
      </c>
      <c r="F5311" t="s">
        <v>0</v>
      </c>
      <c r="G5311" t="str">
        <f>"2018-10-17 10:18:23"</f>
        <v>2018-10-17 10:18:23</v>
      </c>
    </row>
    <row r="5312" spans="1:7" x14ac:dyDescent="0.2">
      <c r="A5312" t="s">
        <v>1</v>
      </c>
      <c r="B5312" t="str">
        <f>"18681509545"</f>
        <v>18681509545</v>
      </c>
      <c r="C5312" t="s">
        <v>1</v>
      </c>
      <c r="D5312" t="s">
        <v>1</v>
      </c>
      <c r="E5312" t="s">
        <v>1</v>
      </c>
      <c r="F5312" t="s">
        <v>0</v>
      </c>
      <c r="G5312" t="str">
        <f>"2018-10-17 10:15:09"</f>
        <v>2018-10-17 10:15:09</v>
      </c>
    </row>
    <row r="5313" spans="1:7" x14ac:dyDescent="0.2">
      <c r="A5313" t="s">
        <v>6357</v>
      </c>
      <c r="B5313" t="str">
        <f>"18833632288"</f>
        <v>18833632288</v>
      </c>
      <c r="C5313" t="str">
        <f>"13108219880325003X"</f>
        <v>13108219880325003X</v>
      </c>
      <c r="D5313" t="s">
        <v>1</v>
      </c>
      <c r="E5313" t="s">
        <v>1</v>
      </c>
      <c r="F5313" t="s">
        <v>0</v>
      </c>
      <c r="G5313" t="str">
        <f>"2018-10-17 10:14:55"</f>
        <v>2018-10-17 10:14:55</v>
      </c>
    </row>
    <row r="5314" spans="1:7" x14ac:dyDescent="0.2">
      <c r="A5314" t="s">
        <v>6358</v>
      </c>
      <c r="B5314" t="str">
        <f>"13695599978"</f>
        <v>13695599978</v>
      </c>
      <c r="C5314" t="str">
        <f>"341024197909052315"</f>
        <v>341024197909052315</v>
      </c>
      <c r="D5314" t="s">
        <v>1</v>
      </c>
      <c r="E5314" t="s">
        <v>1</v>
      </c>
      <c r="F5314" t="s">
        <v>0</v>
      </c>
      <c r="G5314" t="str">
        <f>"2018-10-17 10:18:57"</f>
        <v>2018-10-17 10:18:57</v>
      </c>
    </row>
    <row r="5315" spans="1:7" x14ac:dyDescent="0.2">
      <c r="A5315" t="s">
        <v>6359</v>
      </c>
      <c r="B5315" t="str">
        <f>"15628960600"</f>
        <v>15628960600</v>
      </c>
      <c r="C5315" t="str">
        <f>"370830199107115710"</f>
        <v>370830199107115710</v>
      </c>
      <c r="D5315" t="s">
        <v>1</v>
      </c>
      <c r="E5315" t="s">
        <v>1</v>
      </c>
      <c r="F5315" t="s">
        <v>0</v>
      </c>
      <c r="G5315" t="str">
        <f>"2018-10-18 10:18:17"</f>
        <v>2018-10-18 10:18:17</v>
      </c>
    </row>
    <row r="5316" spans="1:7" x14ac:dyDescent="0.2">
      <c r="A5316" t="s">
        <v>1</v>
      </c>
      <c r="B5316" t="str">
        <f>"18240839050"</f>
        <v>18240839050</v>
      </c>
      <c r="C5316" t="s">
        <v>1</v>
      </c>
      <c r="D5316" t="s">
        <v>1</v>
      </c>
      <c r="E5316" t="s">
        <v>1</v>
      </c>
      <c r="F5316" t="s">
        <v>0</v>
      </c>
      <c r="G5316" t="str">
        <f>"2018-10-17 10:12:38"</f>
        <v>2018-10-17 10:12:38</v>
      </c>
    </row>
    <row r="5317" spans="1:7" x14ac:dyDescent="0.2">
      <c r="A5317" t="s">
        <v>1</v>
      </c>
      <c r="B5317" t="str">
        <f>"13277711349"</f>
        <v>13277711349</v>
      </c>
      <c r="C5317" t="s">
        <v>1</v>
      </c>
      <c r="D5317" t="s">
        <v>1</v>
      </c>
      <c r="E5317" t="s">
        <v>1</v>
      </c>
      <c r="F5317" t="s">
        <v>0</v>
      </c>
      <c r="G5317" t="str">
        <f>"2018-10-17 10:12:29"</f>
        <v>2018-10-17 10:12:29</v>
      </c>
    </row>
    <row r="5318" spans="1:7" x14ac:dyDescent="0.2">
      <c r="A5318" t="s">
        <v>6360</v>
      </c>
      <c r="B5318" t="str">
        <f>"13939468651"</f>
        <v>13939468651</v>
      </c>
      <c r="C5318" t="str">
        <f>"412724198810055454"</f>
        <v>412724198810055454</v>
      </c>
      <c r="D5318" t="s">
        <v>1</v>
      </c>
      <c r="E5318" t="s">
        <v>1</v>
      </c>
      <c r="F5318" t="s">
        <v>0</v>
      </c>
      <c r="G5318" t="str">
        <f>"2018-10-17 10:16:24"</f>
        <v>2018-10-17 10:16:24</v>
      </c>
    </row>
    <row r="5319" spans="1:7" x14ac:dyDescent="0.2">
      <c r="A5319" t="s">
        <v>1</v>
      </c>
      <c r="B5319" t="str">
        <f>"15823911979"</f>
        <v>15823911979</v>
      </c>
      <c r="C5319" t="s">
        <v>1</v>
      </c>
      <c r="D5319" t="s">
        <v>1</v>
      </c>
      <c r="E5319" t="s">
        <v>1</v>
      </c>
      <c r="F5319" t="s">
        <v>0</v>
      </c>
      <c r="G5319" t="str">
        <f>"2018-10-17 10:12:10"</f>
        <v>2018-10-17 10:12:10</v>
      </c>
    </row>
    <row r="5320" spans="1:7" x14ac:dyDescent="0.2">
      <c r="A5320" t="s">
        <v>678</v>
      </c>
      <c r="B5320" t="str">
        <f>"15515702087"</f>
        <v>15515702087</v>
      </c>
      <c r="C5320" t="str">
        <f>"410122199606029790"</f>
        <v>410122199606029790</v>
      </c>
      <c r="D5320" t="s">
        <v>1</v>
      </c>
      <c r="E5320" t="s">
        <v>1</v>
      </c>
      <c r="F5320" t="s">
        <v>0</v>
      </c>
      <c r="G5320" t="str">
        <f>"2018-10-17 10:15:27"</f>
        <v>2018-10-17 10:15:27</v>
      </c>
    </row>
    <row r="5321" spans="1:7" x14ac:dyDescent="0.2">
      <c r="A5321" t="s">
        <v>6361</v>
      </c>
      <c r="B5321" t="str">
        <f>"15800787383"</f>
        <v>15800787383</v>
      </c>
      <c r="C5321" t="str">
        <f>"341226199603104437"</f>
        <v>341226199603104437</v>
      </c>
      <c r="D5321" t="s">
        <v>1</v>
      </c>
      <c r="E5321" t="s">
        <v>1</v>
      </c>
      <c r="F5321" t="s">
        <v>0</v>
      </c>
      <c r="G5321" t="str">
        <f>"2018-10-17 10:12:44"</f>
        <v>2018-10-17 10:12:44</v>
      </c>
    </row>
    <row r="5322" spans="1:7" x14ac:dyDescent="0.2">
      <c r="A5322" t="s">
        <v>1</v>
      </c>
      <c r="B5322" t="str">
        <f>"15170629622"</f>
        <v>15170629622</v>
      </c>
      <c r="C5322" t="s">
        <v>1</v>
      </c>
      <c r="D5322" t="s">
        <v>1</v>
      </c>
      <c r="E5322" t="s">
        <v>1</v>
      </c>
      <c r="F5322" t="s">
        <v>0</v>
      </c>
      <c r="G5322" t="str">
        <f>"2018-10-17 10:11:08"</f>
        <v>2018-10-17 10:11:08</v>
      </c>
    </row>
    <row r="5323" spans="1:7" x14ac:dyDescent="0.2">
      <c r="A5323" t="s">
        <v>1</v>
      </c>
      <c r="B5323" t="str">
        <f>"13424920978"</f>
        <v>13424920978</v>
      </c>
      <c r="C5323" t="s">
        <v>1</v>
      </c>
      <c r="D5323" t="s">
        <v>1</v>
      </c>
      <c r="E5323" t="s">
        <v>1</v>
      </c>
      <c r="F5323" t="s">
        <v>0</v>
      </c>
      <c r="G5323" t="str">
        <f>"2018-10-17 10:11:05"</f>
        <v>2018-10-17 10:11:05</v>
      </c>
    </row>
    <row r="5324" spans="1:7" x14ac:dyDescent="0.2">
      <c r="A5324" t="s">
        <v>6362</v>
      </c>
      <c r="B5324" t="str">
        <f>"17681803265"</f>
        <v>17681803265</v>
      </c>
      <c r="C5324" t="str">
        <f>"412722199906104910"</f>
        <v>412722199906104910</v>
      </c>
      <c r="D5324" t="s">
        <v>1</v>
      </c>
      <c r="E5324" t="s">
        <v>1</v>
      </c>
      <c r="F5324" t="s">
        <v>0</v>
      </c>
      <c r="G5324" t="str">
        <f>"2018-10-17 10:24:39"</f>
        <v>2018-10-17 10:24:39</v>
      </c>
    </row>
    <row r="5325" spans="1:7" x14ac:dyDescent="0.2">
      <c r="A5325" t="s">
        <v>1</v>
      </c>
      <c r="B5325" t="str">
        <f>"18473814970"</f>
        <v>18473814970</v>
      </c>
      <c r="C5325" t="s">
        <v>1</v>
      </c>
      <c r="D5325" t="s">
        <v>1</v>
      </c>
      <c r="E5325" t="s">
        <v>1</v>
      </c>
      <c r="F5325" t="s">
        <v>0</v>
      </c>
      <c r="G5325" t="str">
        <f>"2018-10-17 10:09:32"</f>
        <v>2018-10-17 10:09:32</v>
      </c>
    </row>
    <row r="5326" spans="1:7" x14ac:dyDescent="0.2">
      <c r="A5326" t="s">
        <v>6363</v>
      </c>
      <c r="B5326" t="str">
        <f>"13524249315"</f>
        <v>13524249315</v>
      </c>
      <c r="C5326" t="str">
        <f>"310113197307133417"</f>
        <v>310113197307133417</v>
      </c>
      <c r="D5326" t="s">
        <v>1</v>
      </c>
      <c r="E5326" t="s">
        <v>1</v>
      </c>
      <c r="F5326" t="s">
        <v>0</v>
      </c>
      <c r="G5326" t="str">
        <f>"2018-10-17 10:10:54"</f>
        <v>2018-10-17 10:10:54</v>
      </c>
    </row>
    <row r="5327" spans="1:7" x14ac:dyDescent="0.2">
      <c r="A5327" t="s">
        <v>6364</v>
      </c>
      <c r="B5327" t="str">
        <f>"18874131209"</f>
        <v>18874131209</v>
      </c>
      <c r="C5327" t="str">
        <f>"430224198212164217"</f>
        <v>430224198212164217</v>
      </c>
      <c r="D5327" t="s">
        <v>1</v>
      </c>
      <c r="E5327" t="s">
        <v>1</v>
      </c>
      <c r="F5327" t="s">
        <v>0</v>
      </c>
      <c r="G5327" t="str">
        <f>"2018-10-17 10:15:00"</f>
        <v>2018-10-17 10:15:00</v>
      </c>
    </row>
    <row r="5328" spans="1:7" x14ac:dyDescent="0.2">
      <c r="A5328" t="s">
        <v>6365</v>
      </c>
      <c r="B5328" t="str">
        <f>"13813786107"</f>
        <v>13813786107</v>
      </c>
      <c r="C5328" t="str">
        <f>"320683199609082042"</f>
        <v>320683199609082042</v>
      </c>
      <c r="D5328" t="s">
        <v>1</v>
      </c>
      <c r="E5328" t="s">
        <v>1</v>
      </c>
      <c r="F5328" t="s">
        <v>0</v>
      </c>
      <c r="G5328" t="str">
        <f>"2018-10-17 10:10:00"</f>
        <v>2018-10-17 10:10:00</v>
      </c>
    </row>
    <row r="5329" spans="1:7" x14ac:dyDescent="0.2">
      <c r="A5329" t="s">
        <v>6366</v>
      </c>
      <c r="B5329" t="str">
        <f>"18647244920"</f>
        <v>18647244920</v>
      </c>
      <c r="C5329" t="str">
        <f>"150202199210163033"</f>
        <v>150202199210163033</v>
      </c>
      <c r="D5329" t="s">
        <v>1</v>
      </c>
      <c r="E5329" t="s">
        <v>1</v>
      </c>
      <c r="F5329" t="s">
        <v>0</v>
      </c>
      <c r="G5329" t="str">
        <f>"2018-10-17 10:10:28"</f>
        <v>2018-10-17 10:10:28</v>
      </c>
    </row>
    <row r="5330" spans="1:7" x14ac:dyDescent="0.2">
      <c r="A5330" t="s">
        <v>1</v>
      </c>
      <c r="B5330" t="str">
        <f>"18772686640"</f>
        <v>18772686640</v>
      </c>
      <c r="C5330" t="s">
        <v>1</v>
      </c>
      <c r="D5330" t="s">
        <v>1</v>
      </c>
      <c r="E5330" t="s">
        <v>1</v>
      </c>
      <c r="F5330" t="s">
        <v>0</v>
      </c>
      <c r="G5330" t="str">
        <f>"2018-10-17 10:45:14"</f>
        <v>2018-10-17 10:45:14</v>
      </c>
    </row>
    <row r="5331" spans="1:7" x14ac:dyDescent="0.2">
      <c r="A5331" t="s">
        <v>1</v>
      </c>
      <c r="B5331" t="str">
        <f>"18077280503"</f>
        <v>18077280503</v>
      </c>
      <c r="C5331" t="s">
        <v>1</v>
      </c>
      <c r="D5331" t="s">
        <v>1</v>
      </c>
      <c r="E5331" t="s">
        <v>1</v>
      </c>
      <c r="F5331" t="s">
        <v>0</v>
      </c>
      <c r="G5331" t="str">
        <f>"2018-10-17 10:08:22"</f>
        <v>2018-10-17 10:08:22</v>
      </c>
    </row>
    <row r="5332" spans="1:7" x14ac:dyDescent="0.2">
      <c r="A5332" t="s">
        <v>1</v>
      </c>
      <c r="B5332" t="str">
        <f>"15947560122"</f>
        <v>15947560122</v>
      </c>
      <c r="C5332" t="s">
        <v>1</v>
      </c>
      <c r="D5332" t="s">
        <v>1</v>
      </c>
      <c r="E5332" t="s">
        <v>1</v>
      </c>
      <c r="F5332" t="s">
        <v>0</v>
      </c>
      <c r="G5332" t="str">
        <f>"2018-10-17 10:07:41"</f>
        <v>2018-10-17 10:07:41</v>
      </c>
    </row>
    <row r="5333" spans="1:7" x14ac:dyDescent="0.2">
      <c r="A5333" t="s">
        <v>6367</v>
      </c>
      <c r="B5333" t="str">
        <f>"18909062366"</f>
        <v>18909062366</v>
      </c>
      <c r="C5333" t="str">
        <f>"510902199107197871"</f>
        <v>510902199107197871</v>
      </c>
      <c r="D5333" t="s">
        <v>1</v>
      </c>
      <c r="E5333" t="s">
        <v>1</v>
      </c>
      <c r="F5333" t="s">
        <v>0</v>
      </c>
      <c r="G5333" t="str">
        <f>"2018-10-17 10:18:17"</f>
        <v>2018-10-17 10:18:17</v>
      </c>
    </row>
    <row r="5334" spans="1:7" x14ac:dyDescent="0.2">
      <c r="A5334" t="s">
        <v>1177</v>
      </c>
      <c r="B5334" t="str">
        <f>"18577496163"</f>
        <v>18577496163</v>
      </c>
      <c r="C5334" t="str">
        <f>"141124198310230034"</f>
        <v>141124198310230034</v>
      </c>
      <c r="D5334" t="s">
        <v>1</v>
      </c>
      <c r="E5334" t="s">
        <v>1</v>
      </c>
      <c r="F5334" t="s">
        <v>0</v>
      </c>
      <c r="G5334" t="str">
        <f>"2018-10-17 11:35:00"</f>
        <v>2018-10-17 11:35:00</v>
      </c>
    </row>
    <row r="5335" spans="1:7" x14ac:dyDescent="0.2">
      <c r="A5335" t="s">
        <v>6368</v>
      </c>
      <c r="B5335" t="str">
        <f>"18346618946"</f>
        <v>18346618946</v>
      </c>
      <c r="C5335" t="str">
        <f>"230624198309092816"</f>
        <v>230624198309092816</v>
      </c>
      <c r="D5335" t="s">
        <v>1</v>
      </c>
      <c r="E5335" t="s">
        <v>1</v>
      </c>
      <c r="F5335" t="s">
        <v>0</v>
      </c>
      <c r="G5335" t="str">
        <f>"2018-10-17 15:10:43"</f>
        <v>2018-10-17 15:10:43</v>
      </c>
    </row>
    <row r="5336" spans="1:7" x14ac:dyDescent="0.2">
      <c r="A5336" t="s">
        <v>1717</v>
      </c>
      <c r="B5336" t="str">
        <f>"13624139232"</f>
        <v>13624139232</v>
      </c>
      <c r="C5336" t="str">
        <f>"210727198509211227"</f>
        <v>210727198509211227</v>
      </c>
      <c r="D5336" t="s">
        <v>6369</v>
      </c>
      <c r="E5336" t="s">
        <v>6370</v>
      </c>
      <c r="F5336" t="s">
        <v>0</v>
      </c>
      <c r="G5336" t="str">
        <f>"2018-11-03 09:53:18"</f>
        <v>2018-11-03 09:53:18</v>
      </c>
    </row>
    <row r="5337" spans="1:7" x14ac:dyDescent="0.2">
      <c r="A5337" t="s">
        <v>6371</v>
      </c>
      <c r="B5337" t="str">
        <f>"13518396797"</f>
        <v>13518396797</v>
      </c>
      <c r="C5337" t="str">
        <f>"512902197307160021"</f>
        <v>512902197307160021</v>
      </c>
      <c r="D5337" t="s">
        <v>1</v>
      </c>
      <c r="E5337" t="s">
        <v>1</v>
      </c>
      <c r="F5337" t="s">
        <v>0</v>
      </c>
      <c r="G5337" t="str">
        <f>"2018-10-17 10:04:43"</f>
        <v>2018-10-17 10:04:43</v>
      </c>
    </row>
    <row r="5338" spans="1:7" x14ac:dyDescent="0.2">
      <c r="A5338" t="s">
        <v>6372</v>
      </c>
      <c r="B5338" t="str">
        <f>"18974414119"</f>
        <v>18974414119</v>
      </c>
      <c r="C5338" t="str">
        <f>"430822199010186818"</f>
        <v>430822199010186818</v>
      </c>
      <c r="D5338" t="s">
        <v>1</v>
      </c>
      <c r="E5338" t="s">
        <v>1</v>
      </c>
      <c r="F5338" t="s">
        <v>0</v>
      </c>
      <c r="G5338" t="str">
        <f>"2018-10-18 09:37:02"</f>
        <v>2018-10-18 09:37:02</v>
      </c>
    </row>
    <row r="5339" spans="1:7" x14ac:dyDescent="0.2">
      <c r="A5339" t="s">
        <v>43</v>
      </c>
      <c r="B5339" t="str">
        <f>"13504083379"</f>
        <v>13504083379</v>
      </c>
      <c r="C5339" t="str">
        <f>"210282198612065026"</f>
        <v>210282198612065026</v>
      </c>
      <c r="D5339" t="s">
        <v>1</v>
      </c>
      <c r="E5339" t="s">
        <v>1</v>
      </c>
      <c r="F5339" t="s">
        <v>0</v>
      </c>
      <c r="G5339" t="str">
        <f>"2018-10-17 10:06:20"</f>
        <v>2018-10-17 10:06:20</v>
      </c>
    </row>
    <row r="5340" spans="1:7" x14ac:dyDescent="0.2">
      <c r="A5340" t="s">
        <v>937</v>
      </c>
      <c r="B5340" t="str">
        <f>"15762911225"</f>
        <v>15762911225</v>
      </c>
      <c r="C5340" t="str">
        <f>"371322199707031215"</f>
        <v>371322199707031215</v>
      </c>
      <c r="D5340" t="s">
        <v>1</v>
      </c>
      <c r="E5340" t="s">
        <v>1</v>
      </c>
      <c r="F5340" t="s">
        <v>0</v>
      </c>
      <c r="G5340" t="str">
        <f>"2018-10-17 10:04:12"</f>
        <v>2018-10-17 10:04:12</v>
      </c>
    </row>
    <row r="5341" spans="1:7" x14ac:dyDescent="0.2">
      <c r="A5341" t="s">
        <v>1079</v>
      </c>
      <c r="B5341" t="str">
        <f>"15017568518"</f>
        <v>15017568518</v>
      </c>
      <c r="C5341" t="str">
        <f>"150422198907300028"</f>
        <v>150422198907300028</v>
      </c>
      <c r="D5341" t="s">
        <v>6373</v>
      </c>
      <c r="E5341" t="s">
        <v>6374</v>
      </c>
      <c r="F5341" t="s">
        <v>0</v>
      </c>
      <c r="G5341" t="str">
        <f>"2018-10-17 10:04:13"</f>
        <v>2018-10-17 10:04:13</v>
      </c>
    </row>
    <row r="5342" spans="1:7" x14ac:dyDescent="0.2">
      <c r="A5342" t="s">
        <v>6375</v>
      </c>
      <c r="B5342" t="str">
        <f>"13785831113"</f>
        <v>13785831113</v>
      </c>
      <c r="C5342" t="str">
        <f>"131123198404060031"</f>
        <v>131123198404060031</v>
      </c>
      <c r="D5342" t="s">
        <v>6376</v>
      </c>
      <c r="E5342" t="s">
        <v>6377</v>
      </c>
      <c r="F5342" t="s">
        <v>0</v>
      </c>
      <c r="G5342" t="str">
        <f>"2018-10-17 10:35:04"</f>
        <v>2018-10-17 10:35:04</v>
      </c>
    </row>
    <row r="5343" spans="1:7" x14ac:dyDescent="0.2">
      <c r="A5343" t="s">
        <v>6378</v>
      </c>
      <c r="B5343" t="str">
        <f>"15159853055"</f>
        <v>15159853055</v>
      </c>
      <c r="C5343" t="str">
        <f>"350521198811051035"</f>
        <v>350521198811051035</v>
      </c>
      <c r="D5343" t="s">
        <v>1</v>
      </c>
      <c r="E5343" t="s">
        <v>1</v>
      </c>
      <c r="F5343" t="s">
        <v>0</v>
      </c>
      <c r="G5343" t="str">
        <f>"2018-10-17 10:10:29"</f>
        <v>2018-10-17 10:10:29</v>
      </c>
    </row>
    <row r="5344" spans="1:7" x14ac:dyDescent="0.2">
      <c r="A5344" t="s">
        <v>6379</v>
      </c>
      <c r="B5344" t="str">
        <f>"18713733071"</f>
        <v>18713733071</v>
      </c>
      <c r="C5344" t="str">
        <f>"130925197410185130"</f>
        <v>130925197410185130</v>
      </c>
      <c r="D5344" t="s">
        <v>1</v>
      </c>
      <c r="E5344" t="s">
        <v>1</v>
      </c>
      <c r="F5344" t="s">
        <v>0</v>
      </c>
      <c r="G5344" t="str">
        <f>"2018-10-17 10:46:53"</f>
        <v>2018-10-17 10:46:53</v>
      </c>
    </row>
    <row r="5345" spans="1:7" x14ac:dyDescent="0.2">
      <c r="A5345" t="s">
        <v>6380</v>
      </c>
      <c r="B5345" t="str">
        <f>"18607370679"</f>
        <v>18607370679</v>
      </c>
      <c r="C5345" t="str">
        <f>"430902199210189140"</f>
        <v>430902199210189140</v>
      </c>
      <c r="D5345" t="s">
        <v>1</v>
      </c>
      <c r="E5345" t="s">
        <v>1</v>
      </c>
      <c r="F5345" t="s">
        <v>0</v>
      </c>
      <c r="G5345" t="str">
        <f>"2018-10-24 10:19:35"</f>
        <v>2018-10-24 10:19:35</v>
      </c>
    </row>
    <row r="5346" spans="1:7" x14ac:dyDescent="0.2">
      <c r="A5346" t="s">
        <v>6381</v>
      </c>
      <c r="B5346" t="str">
        <f>"18205205729"</f>
        <v>18205205729</v>
      </c>
      <c r="C5346" t="str">
        <f>"320323197409281547"</f>
        <v>320323197409281547</v>
      </c>
      <c r="D5346" t="s">
        <v>1</v>
      </c>
      <c r="E5346" t="s">
        <v>1</v>
      </c>
      <c r="F5346" t="s">
        <v>0</v>
      </c>
      <c r="G5346" t="str">
        <f>"2018-10-17 10:02:46"</f>
        <v>2018-10-17 10:02:46</v>
      </c>
    </row>
    <row r="5347" spans="1:7" x14ac:dyDescent="0.2">
      <c r="A5347" t="s">
        <v>6382</v>
      </c>
      <c r="B5347" t="str">
        <f>"13863720789"</f>
        <v>13863720789</v>
      </c>
      <c r="C5347" t="str">
        <f>"372927197606020310"</f>
        <v>372927197606020310</v>
      </c>
      <c r="D5347" t="s">
        <v>6383</v>
      </c>
      <c r="E5347" t="s">
        <v>6384</v>
      </c>
      <c r="F5347" t="s">
        <v>0</v>
      </c>
      <c r="G5347" t="str">
        <f>"2018-10-17 10:02:58"</f>
        <v>2018-10-17 10:02:58</v>
      </c>
    </row>
    <row r="5348" spans="1:7" x14ac:dyDescent="0.2">
      <c r="A5348" t="s">
        <v>6385</v>
      </c>
      <c r="B5348" t="str">
        <f>"15819795172"</f>
        <v>15819795172</v>
      </c>
      <c r="C5348" t="str">
        <f>"440782198811194226"</f>
        <v>440782198811194226</v>
      </c>
      <c r="D5348" t="s">
        <v>1</v>
      </c>
      <c r="E5348" t="s">
        <v>1</v>
      </c>
      <c r="F5348" t="s">
        <v>0</v>
      </c>
      <c r="G5348" t="str">
        <f>"2018-10-17 10:04:24"</f>
        <v>2018-10-17 10:04:24</v>
      </c>
    </row>
    <row r="5349" spans="1:7" x14ac:dyDescent="0.2">
      <c r="A5349" t="s">
        <v>6386</v>
      </c>
      <c r="B5349" t="str">
        <f>"15836364948"</f>
        <v>15836364948</v>
      </c>
      <c r="C5349" t="str">
        <f>"410521199212127043"</f>
        <v>410521199212127043</v>
      </c>
      <c r="D5349" t="s">
        <v>6387</v>
      </c>
      <c r="E5349" t="s">
        <v>6388</v>
      </c>
      <c r="F5349" t="s">
        <v>0</v>
      </c>
      <c r="G5349" t="str">
        <f>"2018-10-17 10:00:45"</f>
        <v>2018-10-17 10:00:45</v>
      </c>
    </row>
    <row r="5350" spans="1:7" x14ac:dyDescent="0.2">
      <c r="A5350" t="s">
        <v>1</v>
      </c>
      <c r="B5350" t="str">
        <f>"13895796765"</f>
        <v>13895796765</v>
      </c>
      <c r="C5350" t="s">
        <v>1</v>
      </c>
      <c r="D5350" t="s">
        <v>1</v>
      </c>
      <c r="E5350" t="s">
        <v>1</v>
      </c>
      <c r="F5350" t="s">
        <v>0</v>
      </c>
      <c r="G5350" t="str">
        <f>"2018-10-17 10:00:35"</f>
        <v>2018-10-17 10:00:35</v>
      </c>
    </row>
    <row r="5351" spans="1:7" x14ac:dyDescent="0.2">
      <c r="A5351" t="s">
        <v>6389</v>
      </c>
      <c r="B5351" t="str">
        <f>"13853793561"</f>
        <v>13853793561</v>
      </c>
      <c r="C5351" t="str">
        <f>"370811199101244053"</f>
        <v>370811199101244053</v>
      </c>
      <c r="D5351" t="s">
        <v>1</v>
      </c>
      <c r="E5351" t="s">
        <v>1</v>
      </c>
      <c r="F5351" t="s">
        <v>0</v>
      </c>
      <c r="G5351" t="str">
        <f>"2018-10-18 18:41:46"</f>
        <v>2018-10-18 18:41:46</v>
      </c>
    </row>
    <row r="5352" spans="1:7" x14ac:dyDescent="0.2">
      <c r="A5352" t="s">
        <v>1</v>
      </c>
      <c r="B5352" t="str">
        <f>"15251228321"</f>
        <v>15251228321</v>
      </c>
      <c r="C5352" t="s">
        <v>1</v>
      </c>
      <c r="D5352" t="s">
        <v>1</v>
      </c>
      <c r="E5352" t="s">
        <v>1</v>
      </c>
      <c r="F5352" t="s">
        <v>0</v>
      </c>
      <c r="G5352" t="str">
        <f>"2018-10-17 10:01:18"</f>
        <v>2018-10-17 10:01:18</v>
      </c>
    </row>
    <row r="5353" spans="1:7" x14ac:dyDescent="0.2">
      <c r="A5353" t="s">
        <v>6390</v>
      </c>
      <c r="B5353" t="str">
        <f>"18247679425"</f>
        <v>18247679425</v>
      </c>
      <c r="C5353" t="str">
        <f>"15043019880504270X"</f>
        <v>15043019880504270X</v>
      </c>
      <c r="D5353" t="s">
        <v>1</v>
      </c>
      <c r="E5353" t="s">
        <v>1</v>
      </c>
      <c r="F5353" t="s">
        <v>0</v>
      </c>
      <c r="G5353" t="str">
        <f>"2018-10-17 10:00:17"</f>
        <v>2018-10-17 10:00:17</v>
      </c>
    </row>
    <row r="5354" spans="1:7" x14ac:dyDescent="0.2">
      <c r="A5354" t="s">
        <v>6391</v>
      </c>
      <c r="B5354" t="str">
        <f>"15823620005"</f>
        <v>15823620005</v>
      </c>
      <c r="C5354" t="str">
        <f>"500239199108191239"</f>
        <v>500239199108191239</v>
      </c>
      <c r="D5354" t="s">
        <v>6392</v>
      </c>
      <c r="E5354" t="s">
        <v>6393</v>
      </c>
      <c r="F5354" t="s">
        <v>0</v>
      </c>
      <c r="G5354" t="str">
        <f>"2018-10-17 10:02:19"</f>
        <v>2018-10-17 10:02:19</v>
      </c>
    </row>
    <row r="5355" spans="1:7" x14ac:dyDescent="0.2">
      <c r="A5355" t="s">
        <v>6394</v>
      </c>
      <c r="B5355" t="str">
        <f>"15080718466"</f>
        <v>15080718466</v>
      </c>
      <c r="C5355" t="str">
        <f>"430521198410152361"</f>
        <v>430521198410152361</v>
      </c>
      <c r="D5355" t="s">
        <v>6395</v>
      </c>
      <c r="E5355" t="s">
        <v>6396</v>
      </c>
      <c r="F5355" t="s">
        <v>0</v>
      </c>
      <c r="G5355" t="str">
        <f>"2018-10-17 10:03:26"</f>
        <v>2018-10-17 10:03:26</v>
      </c>
    </row>
    <row r="5356" spans="1:7" x14ac:dyDescent="0.2">
      <c r="A5356" t="s">
        <v>1</v>
      </c>
      <c r="B5356" t="str">
        <f>"15064034432"</f>
        <v>15064034432</v>
      </c>
      <c r="C5356" t="s">
        <v>1</v>
      </c>
      <c r="D5356" t="s">
        <v>1</v>
      </c>
      <c r="E5356" t="s">
        <v>1</v>
      </c>
      <c r="F5356" t="s">
        <v>0</v>
      </c>
      <c r="G5356" t="str">
        <f>"2018-10-17 09:57:57"</f>
        <v>2018-10-17 09:57:57</v>
      </c>
    </row>
    <row r="5357" spans="1:7" x14ac:dyDescent="0.2">
      <c r="A5357" t="s">
        <v>6397</v>
      </c>
      <c r="B5357" t="str">
        <f>"18172841777"</f>
        <v>18172841777</v>
      </c>
      <c r="C5357" t="str">
        <f>"362429198905120328"</f>
        <v>362429198905120328</v>
      </c>
      <c r="D5357" t="s">
        <v>1</v>
      </c>
      <c r="E5357" t="s">
        <v>1</v>
      </c>
      <c r="F5357" t="s">
        <v>0</v>
      </c>
      <c r="G5357" t="str">
        <f>"2018-10-17 10:12:41"</f>
        <v>2018-10-17 10:12:41</v>
      </c>
    </row>
    <row r="5358" spans="1:7" x14ac:dyDescent="0.2">
      <c r="A5358" t="s">
        <v>1</v>
      </c>
      <c r="B5358" t="str">
        <f>"15935838314"</f>
        <v>15935838314</v>
      </c>
      <c r="C5358" t="s">
        <v>1</v>
      </c>
      <c r="D5358" t="s">
        <v>1</v>
      </c>
      <c r="E5358" t="s">
        <v>1</v>
      </c>
      <c r="F5358" t="s">
        <v>0</v>
      </c>
      <c r="G5358" t="str">
        <f>"2018-10-17 10:00:11"</f>
        <v>2018-10-17 10:00:11</v>
      </c>
    </row>
    <row r="5359" spans="1:7" x14ac:dyDescent="0.2">
      <c r="A5359" t="s">
        <v>6398</v>
      </c>
      <c r="B5359" t="str">
        <f>"13889507555"</f>
        <v>13889507555</v>
      </c>
      <c r="C5359" t="str">
        <f>"210202198606171218"</f>
        <v>210202198606171218</v>
      </c>
      <c r="D5359" t="s">
        <v>6399</v>
      </c>
      <c r="E5359" t="s">
        <v>6400</v>
      </c>
      <c r="F5359" t="s">
        <v>0</v>
      </c>
      <c r="G5359" t="str">
        <f>"2018-10-17 10:10:00"</f>
        <v>2018-10-17 10:10:00</v>
      </c>
    </row>
    <row r="5360" spans="1:7" x14ac:dyDescent="0.2">
      <c r="A5360" t="s">
        <v>6401</v>
      </c>
      <c r="B5360" t="str">
        <f>"18972666600"</f>
        <v>18972666600</v>
      </c>
      <c r="C5360" t="str">
        <f>"420921198409162634"</f>
        <v>420921198409162634</v>
      </c>
      <c r="D5360" t="s">
        <v>1</v>
      </c>
      <c r="E5360" t="s">
        <v>1</v>
      </c>
      <c r="F5360" t="s">
        <v>0</v>
      </c>
      <c r="G5360" t="str">
        <f>"2018-10-17 10:37:15"</f>
        <v>2018-10-17 10:37:15</v>
      </c>
    </row>
    <row r="5361" spans="1:7" x14ac:dyDescent="0.2">
      <c r="A5361" t="s">
        <v>6402</v>
      </c>
      <c r="B5361" t="str">
        <f>"13469619891"</f>
        <v>13469619891</v>
      </c>
      <c r="C5361" t="str">
        <f>"411324199402272881"</f>
        <v>411324199402272881</v>
      </c>
      <c r="D5361" t="s">
        <v>1</v>
      </c>
      <c r="E5361" t="s">
        <v>1</v>
      </c>
      <c r="F5361" t="s">
        <v>0</v>
      </c>
      <c r="G5361" t="str">
        <f>"2018-10-17 09:56:33"</f>
        <v>2018-10-17 09:56:33</v>
      </c>
    </row>
    <row r="5362" spans="1:7" x14ac:dyDescent="0.2">
      <c r="A5362" t="s">
        <v>6403</v>
      </c>
      <c r="B5362" t="str">
        <f>"15999672347"</f>
        <v>15999672347</v>
      </c>
      <c r="C5362" t="str">
        <f>"441900198409165192"</f>
        <v>441900198409165192</v>
      </c>
      <c r="D5362" t="s">
        <v>1</v>
      </c>
      <c r="E5362" t="s">
        <v>1</v>
      </c>
      <c r="F5362" t="s">
        <v>0</v>
      </c>
      <c r="G5362" t="str">
        <f>"2018-10-19 16:43:57"</f>
        <v>2018-10-19 16:43:57</v>
      </c>
    </row>
    <row r="5363" spans="1:7" x14ac:dyDescent="0.2">
      <c r="A5363" t="s">
        <v>6404</v>
      </c>
      <c r="B5363" t="str">
        <f>"18760994826"</f>
        <v>18760994826</v>
      </c>
      <c r="C5363" t="str">
        <f>"533321199510270015"</f>
        <v>533321199510270015</v>
      </c>
      <c r="D5363" t="s">
        <v>1</v>
      </c>
      <c r="E5363" t="s">
        <v>1</v>
      </c>
      <c r="F5363" t="s">
        <v>0</v>
      </c>
      <c r="G5363" t="str">
        <f>"2018-10-17 09:56:33"</f>
        <v>2018-10-17 09:56:33</v>
      </c>
    </row>
    <row r="5364" spans="1:7" x14ac:dyDescent="0.2">
      <c r="A5364" t="s">
        <v>1</v>
      </c>
      <c r="B5364" t="str">
        <f>"13384650043"</f>
        <v>13384650043</v>
      </c>
      <c r="C5364" t="s">
        <v>1</v>
      </c>
      <c r="D5364" t="s">
        <v>1</v>
      </c>
      <c r="E5364" t="s">
        <v>1</v>
      </c>
      <c r="F5364" t="s">
        <v>0</v>
      </c>
      <c r="G5364" t="str">
        <f>"2018-10-17 09:54:24"</f>
        <v>2018-10-17 09:54:24</v>
      </c>
    </row>
    <row r="5365" spans="1:7" x14ac:dyDescent="0.2">
      <c r="A5365" t="s">
        <v>6405</v>
      </c>
      <c r="B5365" t="str">
        <f>"18947076112"</f>
        <v>18947076112</v>
      </c>
      <c r="C5365" t="str">
        <f>"152726199001150068"</f>
        <v>152726199001150068</v>
      </c>
      <c r="D5365" t="s">
        <v>1</v>
      </c>
      <c r="E5365" t="s">
        <v>1</v>
      </c>
      <c r="F5365" t="s">
        <v>0</v>
      </c>
      <c r="G5365" t="str">
        <f>"2018-10-17 09:54:24"</f>
        <v>2018-10-17 09:54:24</v>
      </c>
    </row>
    <row r="5366" spans="1:7" x14ac:dyDescent="0.2">
      <c r="A5366" t="s">
        <v>6406</v>
      </c>
      <c r="B5366" t="str">
        <f>"13542817719"</f>
        <v>13542817719</v>
      </c>
      <c r="C5366" t="str">
        <f>"440509199507195669"</f>
        <v>440509199507195669</v>
      </c>
      <c r="D5366" t="s">
        <v>1</v>
      </c>
      <c r="E5366" t="s">
        <v>1</v>
      </c>
      <c r="F5366" t="s">
        <v>0</v>
      </c>
      <c r="G5366" t="str">
        <f>"2018-10-17 09:57:14"</f>
        <v>2018-10-17 09:57:14</v>
      </c>
    </row>
    <row r="5367" spans="1:7" x14ac:dyDescent="0.2">
      <c r="A5367" t="s">
        <v>6407</v>
      </c>
      <c r="B5367" t="str">
        <f>"18874365558"</f>
        <v>18874365558</v>
      </c>
      <c r="C5367" t="str">
        <f>"433130199206206715"</f>
        <v>433130199206206715</v>
      </c>
      <c r="D5367" t="s">
        <v>1</v>
      </c>
      <c r="E5367" t="s">
        <v>1</v>
      </c>
      <c r="F5367" t="s">
        <v>0</v>
      </c>
      <c r="G5367" t="str">
        <f>"2018-10-17 09:55:13"</f>
        <v>2018-10-17 09:55:13</v>
      </c>
    </row>
    <row r="5368" spans="1:7" x14ac:dyDescent="0.2">
      <c r="A5368" t="s">
        <v>6408</v>
      </c>
      <c r="B5368" t="str">
        <f>"18304099138"</f>
        <v>18304099138</v>
      </c>
      <c r="C5368" t="str">
        <f>"210103198008071234"</f>
        <v>210103198008071234</v>
      </c>
      <c r="D5368" t="s">
        <v>1</v>
      </c>
      <c r="E5368" t="s">
        <v>1</v>
      </c>
      <c r="F5368" t="s">
        <v>0</v>
      </c>
      <c r="G5368" t="str">
        <f>"2018-10-17 09:56:12"</f>
        <v>2018-10-17 09:56:12</v>
      </c>
    </row>
    <row r="5369" spans="1:7" x14ac:dyDescent="0.2">
      <c r="A5369" t="s">
        <v>1</v>
      </c>
      <c r="B5369" t="str">
        <f>"15067085523"</f>
        <v>15067085523</v>
      </c>
      <c r="C5369" t="s">
        <v>1</v>
      </c>
      <c r="D5369" t="s">
        <v>1</v>
      </c>
      <c r="E5369" t="s">
        <v>1</v>
      </c>
      <c r="F5369" t="s">
        <v>0</v>
      </c>
      <c r="G5369" t="str">
        <f>"2018-10-17 09:53:40"</f>
        <v>2018-10-17 09:53:40</v>
      </c>
    </row>
    <row r="5370" spans="1:7" x14ac:dyDescent="0.2">
      <c r="A5370" t="s">
        <v>6409</v>
      </c>
      <c r="B5370" t="str">
        <f>"15900582953"</f>
        <v>15900582953</v>
      </c>
      <c r="C5370" t="str">
        <f>"330227199404164713"</f>
        <v>330227199404164713</v>
      </c>
      <c r="D5370" t="s">
        <v>6410</v>
      </c>
      <c r="E5370" t="s">
        <v>6411</v>
      </c>
      <c r="F5370" t="s">
        <v>0</v>
      </c>
      <c r="G5370" t="str">
        <f>"2018-10-17 09:54:50"</f>
        <v>2018-10-17 09:54:50</v>
      </c>
    </row>
    <row r="5371" spans="1:7" x14ac:dyDescent="0.2">
      <c r="A5371" t="s">
        <v>1</v>
      </c>
      <c r="B5371" t="str">
        <f>"15295976323"</f>
        <v>15295976323</v>
      </c>
      <c r="C5371" t="s">
        <v>1</v>
      </c>
      <c r="D5371" t="s">
        <v>1</v>
      </c>
      <c r="E5371" t="s">
        <v>1</v>
      </c>
      <c r="F5371" t="s">
        <v>0</v>
      </c>
      <c r="G5371" t="str">
        <f>"2018-10-17 09:53:22"</f>
        <v>2018-10-17 09:53:22</v>
      </c>
    </row>
    <row r="5372" spans="1:7" x14ac:dyDescent="0.2">
      <c r="A5372" t="s">
        <v>1641</v>
      </c>
      <c r="B5372" t="str">
        <f>"15969492229"</f>
        <v>15969492229</v>
      </c>
      <c r="C5372" t="str">
        <f>"532726199711132738"</f>
        <v>532726199711132738</v>
      </c>
      <c r="D5372" t="s">
        <v>1</v>
      </c>
      <c r="E5372" t="s">
        <v>1</v>
      </c>
      <c r="F5372" t="s">
        <v>0</v>
      </c>
      <c r="G5372" t="str">
        <f>"2018-10-17 10:00:05"</f>
        <v>2018-10-17 10:00:05</v>
      </c>
    </row>
    <row r="5373" spans="1:7" x14ac:dyDescent="0.2">
      <c r="A5373" t="s">
        <v>6412</v>
      </c>
      <c r="B5373" t="str">
        <f>"13997673697"</f>
        <v>13997673697</v>
      </c>
      <c r="C5373" t="str">
        <f>"500237198806107914"</f>
        <v>500237198806107914</v>
      </c>
      <c r="D5373" t="s">
        <v>1</v>
      </c>
      <c r="E5373" t="s">
        <v>1</v>
      </c>
      <c r="F5373" t="s">
        <v>0</v>
      </c>
      <c r="G5373" t="str">
        <f>"2018-10-17 09:54:18"</f>
        <v>2018-10-17 09:54:18</v>
      </c>
    </row>
    <row r="5374" spans="1:7" x14ac:dyDescent="0.2">
      <c r="A5374" t="s">
        <v>6413</v>
      </c>
      <c r="B5374" t="str">
        <f>"18366029253"</f>
        <v>18366029253</v>
      </c>
      <c r="C5374" t="str">
        <f>"372901199705186637"</f>
        <v>372901199705186637</v>
      </c>
      <c r="D5374" t="s">
        <v>1</v>
      </c>
      <c r="E5374" t="s">
        <v>1</v>
      </c>
      <c r="F5374" t="s">
        <v>0</v>
      </c>
      <c r="G5374" t="str">
        <f>"2018-10-17 09:51:42"</f>
        <v>2018-10-17 09:51:42</v>
      </c>
    </row>
    <row r="5375" spans="1:7" x14ac:dyDescent="0.2">
      <c r="A5375" t="s">
        <v>1168</v>
      </c>
      <c r="B5375" t="str">
        <f>"15574399377"</f>
        <v>15574399377</v>
      </c>
      <c r="C5375" t="str">
        <f>"430122199908296724"</f>
        <v>430122199908296724</v>
      </c>
      <c r="D5375" t="s">
        <v>1</v>
      </c>
      <c r="E5375" t="s">
        <v>1</v>
      </c>
      <c r="F5375" t="s">
        <v>0</v>
      </c>
      <c r="G5375" t="str">
        <f>"2018-10-17 19:35:15"</f>
        <v>2018-10-17 19:35:15</v>
      </c>
    </row>
    <row r="5376" spans="1:7" x14ac:dyDescent="0.2">
      <c r="A5376" t="s">
        <v>6414</v>
      </c>
      <c r="B5376" t="str">
        <f>"18744053313"</f>
        <v>18744053313</v>
      </c>
      <c r="C5376" t="str">
        <f>"22020319920306658X"</f>
        <v>22020319920306658X</v>
      </c>
      <c r="D5376" t="s">
        <v>1</v>
      </c>
      <c r="E5376" t="s">
        <v>1</v>
      </c>
      <c r="F5376" t="s">
        <v>0</v>
      </c>
      <c r="G5376" t="str">
        <f>"2018-10-17 09:56:33"</f>
        <v>2018-10-17 09:56:33</v>
      </c>
    </row>
    <row r="5377" spans="1:7" x14ac:dyDescent="0.2">
      <c r="A5377" t="s">
        <v>269</v>
      </c>
      <c r="B5377" t="str">
        <f>"15834272277"</f>
        <v>15834272277</v>
      </c>
      <c r="C5377" t="str">
        <f>"142201198607214870"</f>
        <v>142201198607214870</v>
      </c>
      <c r="D5377" t="s">
        <v>1</v>
      </c>
      <c r="E5377" t="s">
        <v>1</v>
      </c>
      <c r="F5377" t="s">
        <v>0</v>
      </c>
      <c r="G5377" t="str">
        <f>"2018-10-17 09:53:19"</f>
        <v>2018-10-17 09:53:19</v>
      </c>
    </row>
    <row r="5378" spans="1:7" x14ac:dyDescent="0.2">
      <c r="A5378" t="s">
        <v>6415</v>
      </c>
      <c r="B5378" t="str">
        <f>"15987442146"</f>
        <v>15987442146</v>
      </c>
      <c r="C5378" t="str">
        <f>"530381199308022134"</f>
        <v>530381199308022134</v>
      </c>
      <c r="D5378" t="s">
        <v>1</v>
      </c>
      <c r="E5378" t="s">
        <v>1</v>
      </c>
      <c r="F5378" t="s">
        <v>0</v>
      </c>
      <c r="G5378" t="str">
        <f>"2018-10-17 09:54:01"</f>
        <v>2018-10-17 09:54:01</v>
      </c>
    </row>
    <row r="5379" spans="1:7" x14ac:dyDescent="0.2">
      <c r="A5379" t="s">
        <v>1</v>
      </c>
      <c r="B5379" t="str">
        <f>"15767526752"</f>
        <v>15767526752</v>
      </c>
      <c r="C5379" t="s">
        <v>1</v>
      </c>
      <c r="D5379" t="s">
        <v>1</v>
      </c>
      <c r="E5379" t="s">
        <v>1</v>
      </c>
      <c r="F5379" t="s">
        <v>0</v>
      </c>
      <c r="G5379" t="str">
        <f>"2018-10-17 10:16:55"</f>
        <v>2018-10-17 10:16:55</v>
      </c>
    </row>
    <row r="5380" spans="1:7" x14ac:dyDescent="0.2">
      <c r="A5380" t="s">
        <v>6416</v>
      </c>
      <c r="B5380" t="str">
        <f>"18805925018"</f>
        <v>18805925018</v>
      </c>
      <c r="C5380" t="str">
        <f>"35068119930802751X"</f>
        <v>35068119930802751X</v>
      </c>
      <c r="D5380" t="s">
        <v>1</v>
      </c>
      <c r="E5380" t="s">
        <v>1</v>
      </c>
      <c r="F5380" t="s">
        <v>0</v>
      </c>
      <c r="G5380" t="str">
        <f>"2018-11-01 09:03:29"</f>
        <v>2018-11-01 09:03:29</v>
      </c>
    </row>
    <row r="5381" spans="1:7" x14ac:dyDescent="0.2">
      <c r="A5381" t="s">
        <v>628</v>
      </c>
      <c r="B5381" t="str">
        <f>"13606445050"</f>
        <v>13606445050</v>
      </c>
      <c r="C5381" t="str">
        <f>"210112197805220417"</f>
        <v>210112197805220417</v>
      </c>
      <c r="D5381" t="s">
        <v>1</v>
      </c>
      <c r="E5381" t="s">
        <v>1</v>
      </c>
      <c r="F5381" t="s">
        <v>0</v>
      </c>
      <c r="G5381" t="str">
        <f>"2018-10-17 09:55:38"</f>
        <v>2018-10-17 09:55:38</v>
      </c>
    </row>
    <row r="5382" spans="1:7" x14ac:dyDescent="0.2">
      <c r="A5382" t="s">
        <v>6417</v>
      </c>
      <c r="B5382" t="str">
        <f>"15077843346"</f>
        <v>15077843346</v>
      </c>
      <c r="C5382" t="str">
        <f>"342225199604226617"</f>
        <v>342225199604226617</v>
      </c>
      <c r="D5382" t="s">
        <v>1</v>
      </c>
      <c r="E5382" t="s">
        <v>1</v>
      </c>
      <c r="F5382" t="s">
        <v>0</v>
      </c>
      <c r="G5382" t="str">
        <f>"2018-10-17 09:52:27"</f>
        <v>2018-10-17 09:52:27</v>
      </c>
    </row>
    <row r="5383" spans="1:7" x14ac:dyDescent="0.2">
      <c r="A5383" t="s">
        <v>6418</v>
      </c>
      <c r="B5383" t="str">
        <f>"13951275210"</f>
        <v>13951275210</v>
      </c>
      <c r="C5383" t="str">
        <f>"320381198409176331"</f>
        <v>320381198409176331</v>
      </c>
      <c r="D5383" t="s">
        <v>1</v>
      </c>
      <c r="E5383" t="s">
        <v>1</v>
      </c>
      <c r="F5383" t="s">
        <v>0</v>
      </c>
      <c r="G5383" t="str">
        <f>"2018-10-17 10:10:38"</f>
        <v>2018-10-17 10:10:38</v>
      </c>
    </row>
    <row r="5384" spans="1:7" x14ac:dyDescent="0.2">
      <c r="A5384" t="s">
        <v>6419</v>
      </c>
      <c r="B5384" t="str">
        <f>"13560077456"</f>
        <v>13560077456</v>
      </c>
      <c r="C5384" t="str">
        <f>"440111198509053010"</f>
        <v>440111198509053010</v>
      </c>
      <c r="D5384" t="s">
        <v>1</v>
      </c>
      <c r="E5384" t="s">
        <v>1</v>
      </c>
      <c r="F5384" t="s">
        <v>0</v>
      </c>
      <c r="G5384" t="str">
        <f>"2018-10-28 17:12:14"</f>
        <v>2018-10-28 17:12:14</v>
      </c>
    </row>
    <row r="5385" spans="1:7" x14ac:dyDescent="0.2">
      <c r="A5385" t="s">
        <v>6420</v>
      </c>
      <c r="B5385" t="str">
        <f>"15149621807"</f>
        <v>15149621807</v>
      </c>
      <c r="C5385" t="str">
        <f>"622326198607142835"</f>
        <v>622326198607142835</v>
      </c>
      <c r="D5385" t="s">
        <v>1</v>
      </c>
      <c r="E5385" t="s">
        <v>1</v>
      </c>
      <c r="F5385" t="s">
        <v>0</v>
      </c>
      <c r="G5385" t="str">
        <f>"2018-10-17 09:51:50"</f>
        <v>2018-10-17 09:51:50</v>
      </c>
    </row>
    <row r="5386" spans="1:7" x14ac:dyDescent="0.2">
      <c r="A5386" t="s">
        <v>1</v>
      </c>
      <c r="B5386" t="str">
        <f>"17049143497"</f>
        <v>17049143497</v>
      </c>
      <c r="C5386" t="s">
        <v>1</v>
      </c>
      <c r="D5386" t="s">
        <v>1</v>
      </c>
      <c r="E5386" t="s">
        <v>1</v>
      </c>
      <c r="F5386" t="s">
        <v>0</v>
      </c>
      <c r="G5386" t="str">
        <f>"2018-10-17 09:49:41"</f>
        <v>2018-10-17 09:49:41</v>
      </c>
    </row>
    <row r="5387" spans="1:7" x14ac:dyDescent="0.2">
      <c r="A5387" t="s">
        <v>6421</v>
      </c>
      <c r="B5387" t="str">
        <f>"18937222782"</f>
        <v>18937222782</v>
      </c>
      <c r="C5387" t="str">
        <f>"610114198707293518"</f>
        <v>610114198707293518</v>
      </c>
      <c r="D5387" t="s">
        <v>1</v>
      </c>
      <c r="E5387" t="s">
        <v>1</v>
      </c>
      <c r="F5387" t="s">
        <v>0</v>
      </c>
      <c r="G5387" t="str">
        <f>"2018-10-17 09:51:58"</f>
        <v>2018-10-17 09:51:58</v>
      </c>
    </row>
    <row r="5388" spans="1:7" x14ac:dyDescent="0.2">
      <c r="A5388" t="s">
        <v>6422</v>
      </c>
      <c r="B5388" t="str">
        <f>"18885278042"</f>
        <v>18885278042</v>
      </c>
      <c r="C5388" t="str">
        <f>"522121198711256019"</f>
        <v>522121198711256019</v>
      </c>
      <c r="D5388" t="s">
        <v>6423</v>
      </c>
      <c r="E5388" t="s">
        <v>6424</v>
      </c>
      <c r="F5388" t="s">
        <v>0</v>
      </c>
      <c r="G5388" t="str">
        <f>"2018-10-17 09:50:20"</f>
        <v>2018-10-17 09:50:20</v>
      </c>
    </row>
    <row r="5389" spans="1:7" x14ac:dyDescent="0.2">
      <c r="A5389" t="s">
        <v>6425</v>
      </c>
      <c r="B5389" t="str">
        <f>"15942580995"</f>
        <v>15942580995</v>
      </c>
      <c r="C5389" t="str">
        <f>"210624198702124235"</f>
        <v>210624198702124235</v>
      </c>
      <c r="D5389" t="s">
        <v>6426</v>
      </c>
      <c r="E5389" t="s">
        <v>6427</v>
      </c>
      <c r="F5389" t="s">
        <v>0</v>
      </c>
      <c r="G5389" t="str">
        <f>"2018-10-17 13:14:13"</f>
        <v>2018-10-17 13:14:13</v>
      </c>
    </row>
    <row r="5390" spans="1:7" x14ac:dyDescent="0.2">
      <c r="A5390" t="s">
        <v>6428</v>
      </c>
      <c r="B5390" t="str">
        <f>"15248375954"</f>
        <v>15248375954</v>
      </c>
      <c r="C5390" t="str">
        <f>"152301198108261549"</f>
        <v>152301198108261549</v>
      </c>
      <c r="D5390" t="s">
        <v>1</v>
      </c>
      <c r="E5390" t="s">
        <v>1</v>
      </c>
      <c r="F5390" t="s">
        <v>0</v>
      </c>
      <c r="G5390" t="str">
        <f>"2018-10-17 09:49:41"</f>
        <v>2018-10-17 09:49:41</v>
      </c>
    </row>
    <row r="5391" spans="1:7" x14ac:dyDescent="0.2">
      <c r="A5391" t="s">
        <v>6429</v>
      </c>
      <c r="B5391" t="str">
        <f>"13834456112"</f>
        <v>13834456112</v>
      </c>
      <c r="C5391" t="str">
        <f>"140202199311190012"</f>
        <v>140202199311190012</v>
      </c>
      <c r="D5391" t="s">
        <v>1</v>
      </c>
      <c r="E5391" t="s">
        <v>1</v>
      </c>
      <c r="F5391" t="s">
        <v>0</v>
      </c>
      <c r="G5391" t="str">
        <f>"2018-10-17 09:55:17"</f>
        <v>2018-10-17 09:55:17</v>
      </c>
    </row>
    <row r="5392" spans="1:7" x14ac:dyDescent="0.2">
      <c r="A5392" t="s">
        <v>127</v>
      </c>
      <c r="B5392" t="str">
        <f>"18888611561"</f>
        <v>18888611561</v>
      </c>
      <c r="C5392" t="str">
        <f>"420702198707177391"</f>
        <v>420702198707177391</v>
      </c>
      <c r="D5392" t="s">
        <v>1</v>
      </c>
      <c r="E5392" t="s">
        <v>1</v>
      </c>
      <c r="F5392" t="s">
        <v>0</v>
      </c>
      <c r="G5392" t="str">
        <f>"2018-10-17 09:49:41"</f>
        <v>2018-10-17 09:49:41</v>
      </c>
    </row>
    <row r="5393" spans="1:7" x14ac:dyDescent="0.2">
      <c r="A5393" t="s">
        <v>26</v>
      </c>
      <c r="B5393" t="str">
        <f>"18777647774"</f>
        <v>18777647774</v>
      </c>
      <c r="C5393" t="str">
        <f>"452629199310061514"</f>
        <v>452629199310061514</v>
      </c>
      <c r="D5393" t="s">
        <v>6430</v>
      </c>
      <c r="E5393" t="s">
        <v>6431</v>
      </c>
      <c r="F5393" t="s">
        <v>0</v>
      </c>
      <c r="G5393" t="str">
        <f>"2018-10-17 09:54:23"</f>
        <v>2018-10-17 09:54:23</v>
      </c>
    </row>
    <row r="5394" spans="1:7" x14ac:dyDescent="0.2">
      <c r="A5394" t="s">
        <v>1</v>
      </c>
      <c r="B5394" t="str">
        <f>"13876900774"</f>
        <v>13876900774</v>
      </c>
      <c r="C5394" t="s">
        <v>1</v>
      </c>
      <c r="D5394" t="s">
        <v>1</v>
      </c>
      <c r="E5394" t="s">
        <v>1</v>
      </c>
      <c r="F5394" t="s">
        <v>0</v>
      </c>
      <c r="G5394" t="str">
        <f>"2018-10-17 09:47:02"</f>
        <v>2018-10-17 09:47:02</v>
      </c>
    </row>
    <row r="5395" spans="1:7" x14ac:dyDescent="0.2">
      <c r="A5395" t="s">
        <v>63</v>
      </c>
      <c r="B5395" t="str">
        <f>"18173458765"</f>
        <v>18173458765</v>
      </c>
      <c r="C5395" t="str">
        <f>"430421198910152530"</f>
        <v>430421198910152530</v>
      </c>
      <c r="D5395" t="s">
        <v>1</v>
      </c>
      <c r="E5395" t="s">
        <v>1</v>
      </c>
      <c r="F5395" t="s">
        <v>0</v>
      </c>
      <c r="G5395" t="str">
        <f>"2018-10-17 09:48:36"</f>
        <v>2018-10-17 09:48:36</v>
      </c>
    </row>
    <row r="5396" spans="1:7" x14ac:dyDescent="0.2">
      <c r="A5396" t="s">
        <v>6432</v>
      </c>
      <c r="B5396" t="str">
        <f>"13637895212"</f>
        <v>13637895212</v>
      </c>
      <c r="C5396" t="str">
        <f>"500103198905216527"</f>
        <v>500103198905216527</v>
      </c>
      <c r="D5396" t="s">
        <v>6433</v>
      </c>
      <c r="E5396" t="s">
        <v>6434</v>
      </c>
      <c r="F5396" t="s">
        <v>0</v>
      </c>
      <c r="G5396" t="str">
        <f>"2018-10-24 10:35:29"</f>
        <v>2018-10-24 10:35:29</v>
      </c>
    </row>
    <row r="5397" spans="1:7" x14ac:dyDescent="0.2">
      <c r="A5397" t="s">
        <v>6435</v>
      </c>
      <c r="B5397" t="str">
        <f>"13801585531"</f>
        <v>13801585531</v>
      </c>
      <c r="C5397" t="str">
        <f>"33068119800825048X"</f>
        <v>33068119800825048X</v>
      </c>
      <c r="D5397" t="s">
        <v>1</v>
      </c>
      <c r="E5397" t="s">
        <v>1</v>
      </c>
      <c r="F5397" t="s">
        <v>0</v>
      </c>
      <c r="G5397" t="str">
        <f>"2018-10-17 09:46:11"</f>
        <v>2018-10-17 09:46:11</v>
      </c>
    </row>
    <row r="5398" spans="1:7" x14ac:dyDescent="0.2">
      <c r="A5398" t="s">
        <v>1</v>
      </c>
      <c r="B5398" t="str">
        <f>"15163244431"</f>
        <v>15163244431</v>
      </c>
      <c r="C5398" t="s">
        <v>1</v>
      </c>
      <c r="D5398" t="s">
        <v>1</v>
      </c>
      <c r="E5398" t="s">
        <v>1</v>
      </c>
      <c r="F5398" t="s">
        <v>0</v>
      </c>
      <c r="G5398" t="str">
        <f>"2018-10-17 09:53:21"</f>
        <v>2018-10-17 09:53:21</v>
      </c>
    </row>
    <row r="5399" spans="1:7" x14ac:dyDescent="0.2">
      <c r="A5399" t="s">
        <v>6436</v>
      </c>
      <c r="B5399" t="str">
        <f>"15728469323"</f>
        <v>15728469323</v>
      </c>
      <c r="C5399" t="str">
        <f>"452223199010163527"</f>
        <v>452223199010163527</v>
      </c>
      <c r="D5399" t="s">
        <v>1</v>
      </c>
      <c r="E5399" t="s">
        <v>1</v>
      </c>
      <c r="F5399" t="s">
        <v>0</v>
      </c>
      <c r="G5399" t="str">
        <f>"2018-10-17 09:45:28"</f>
        <v>2018-10-17 09:45:28</v>
      </c>
    </row>
    <row r="5400" spans="1:7" x14ac:dyDescent="0.2">
      <c r="A5400" t="s">
        <v>6437</v>
      </c>
      <c r="B5400" t="str">
        <f>"15206390552"</f>
        <v>15206390552</v>
      </c>
      <c r="C5400" t="str">
        <f>"371311199003183449"</f>
        <v>371311199003183449</v>
      </c>
      <c r="D5400" t="s">
        <v>1</v>
      </c>
      <c r="E5400" t="s">
        <v>1</v>
      </c>
      <c r="F5400" t="s">
        <v>0</v>
      </c>
      <c r="G5400" t="str">
        <f>"2018-10-17 09:46:20"</f>
        <v>2018-10-17 09:46:20</v>
      </c>
    </row>
    <row r="5401" spans="1:7" x14ac:dyDescent="0.2">
      <c r="A5401" t="s">
        <v>6438</v>
      </c>
      <c r="B5401" t="str">
        <f>"18370073833"</f>
        <v>18370073833</v>
      </c>
      <c r="C5401" t="str">
        <f>"362321199307151931"</f>
        <v>362321199307151931</v>
      </c>
      <c r="D5401" t="s">
        <v>1</v>
      </c>
      <c r="E5401" t="s">
        <v>1</v>
      </c>
      <c r="F5401" t="s">
        <v>0</v>
      </c>
      <c r="G5401" t="str">
        <f>"2018-10-27 07:58:20"</f>
        <v>2018-10-27 07:58:20</v>
      </c>
    </row>
    <row r="5402" spans="1:7" x14ac:dyDescent="0.2">
      <c r="A5402" t="s">
        <v>6439</v>
      </c>
      <c r="B5402" t="str">
        <f>"18200918225"</f>
        <v>18200918225</v>
      </c>
      <c r="C5402" t="str">
        <f>"445281198905293330"</f>
        <v>445281198905293330</v>
      </c>
      <c r="D5402" t="s">
        <v>1</v>
      </c>
      <c r="E5402" t="s">
        <v>1</v>
      </c>
      <c r="F5402" t="s">
        <v>0</v>
      </c>
      <c r="G5402" t="str">
        <f>"2018-10-17 09:45:24"</f>
        <v>2018-10-17 09:45:24</v>
      </c>
    </row>
    <row r="5403" spans="1:7" x14ac:dyDescent="0.2">
      <c r="A5403" t="s">
        <v>1</v>
      </c>
      <c r="B5403" t="str">
        <f>"18350136130"</f>
        <v>18350136130</v>
      </c>
      <c r="C5403" t="s">
        <v>1</v>
      </c>
      <c r="D5403" t="s">
        <v>1</v>
      </c>
      <c r="E5403" t="s">
        <v>1</v>
      </c>
      <c r="F5403" t="s">
        <v>0</v>
      </c>
      <c r="G5403" t="str">
        <f>"2018-10-17 09:43:48"</f>
        <v>2018-10-17 09:43:48</v>
      </c>
    </row>
    <row r="5404" spans="1:7" x14ac:dyDescent="0.2">
      <c r="A5404" t="s">
        <v>6440</v>
      </c>
      <c r="B5404" t="str">
        <f>"13958205711"</f>
        <v>13958205711</v>
      </c>
      <c r="C5404" t="str">
        <f>"33102219890708222X"</f>
        <v>33102219890708222X</v>
      </c>
      <c r="D5404" t="s">
        <v>1</v>
      </c>
      <c r="E5404" t="s">
        <v>1</v>
      </c>
      <c r="F5404" t="s">
        <v>0</v>
      </c>
      <c r="G5404" t="str">
        <f>"2018-10-17 11:05:40"</f>
        <v>2018-10-17 11:05:40</v>
      </c>
    </row>
    <row r="5405" spans="1:7" x14ac:dyDescent="0.2">
      <c r="A5405" t="s">
        <v>1</v>
      </c>
      <c r="B5405" t="str">
        <f>"15559527720"</f>
        <v>15559527720</v>
      </c>
      <c r="C5405" t="s">
        <v>1</v>
      </c>
      <c r="D5405" t="s">
        <v>1</v>
      </c>
      <c r="E5405" t="s">
        <v>1</v>
      </c>
      <c r="F5405" t="s">
        <v>0</v>
      </c>
      <c r="G5405" t="str">
        <f>"2018-10-17 09:45:42"</f>
        <v>2018-10-17 09:45:42</v>
      </c>
    </row>
    <row r="5406" spans="1:7" x14ac:dyDescent="0.2">
      <c r="A5406" t="s">
        <v>6441</v>
      </c>
      <c r="B5406" t="str">
        <f>"13407123766"</f>
        <v>13407123766</v>
      </c>
      <c r="C5406" t="str">
        <f>"420115198802290041"</f>
        <v>420115198802290041</v>
      </c>
      <c r="D5406" t="s">
        <v>1</v>
      </c>
      <c r="E5406" t="s">
        <v>1</v>
      </c>
      <c r="F5406" t="s">
        <v>0</v>
      </c>
      <c r="G5406" t="str">
        <f>"2018-10-17 15:58:33"</f>
        <v>2018-10-17 15:58:33</v>
      </c>
    </row>
    <row r="5407" spans="1:7" x14ac:dyDescent="0.2">
      <c r="A5407" t="s">
        <v>1</v>
      </c>
      <c r="B5407" t="str">
        <f>"13500663744"</f>
        <v>13500663744</v>
      </c>
      <c r="C5407" t="s">
        <v>1</v>
      </c>
      <c r="D5407" t="s">
        <v>1</v>
      </c>
      <c r="E5407" t="s">
        <v>1</v>
      </c>
      <c r="F5407" t="s">
        <v>0</v>
      </c>
      <c r="G5407" t="str">
        <f>"2018-10-17 09:42:24"</f>
        <v>2018-10-17 09:42:24</v>
      </c>
    </row>
    <row r="5408" spans="1:7" x14ac:dyDescent="0.2">
      <c r="A5408" t="s">
        <v>1</v>
      </c>
      <c r="B5408" t="str">
        <f>"17864180677"</f>
        <v>17864180677</v>
      </c>
      <c r="C5408" t="s">
        <v>1</v>
      </c>
      <c r="D5408" t="s">
        <v>1</v>
      </c>
      <c r="E5408" t="s">
        <v>1</v>
      </c>
      <c r="F5408" t="s">
        <v>0</v>
      </c>
      <c r="G5408" t="str">
        <f>"2018-10-17 09:41:30"</f>
        <v>2018-10-17 09:41:30</v>
      </c>
    </row>
    <row r="5409" spans="1:7" x14ac:dyDescent="0.2">
      <c r="A5409" t="s">
        <v>6442</v>
      </c>
      <c r="B5409" t="str">
        <f>"18218170332"</f>
        <v>18218170332</v>
      </c>
      <c r="C5409" t="str">
        <f>"44030119911029291X"</f>
        <v>44030119911029291X</v>
      </c>
      <c r="D5409" t="s">
        <v>1</v>
      </c>
      <c r="E5409" t="s">
        <v>1</v>
      </c>
      <c r="F5409" t="s">
        <v>0</v>
      </c>
      <c r="G5409" t="str">
        <f>"2018-10-17 09:43:59"</f>
        <v>2018-10-17 09:43:59</v>
      </c>
    </row>
    <row r="5410" spans="1:7" x14ac:dyDescent="0.2">
      <c r="A5410" t="s">
        <v>253</v>
      </c>
      <c r="B5410" t="str">
        <f>"13433886951"</f>
        <v>13433886951</v>
      </c>
      <c r="C5410" t="str">
        <f>"36042419851124253X"</f>
        <v>36042419851124253X</v>
      </c>
      <c r="D5410" t="s">
        <v>1</v>
      </c>
      <c r="E5410" t="s">
        <v>1</v>
      </c>
      <c r="F5410" t="s">
        <v>0</v>
      </c>
      <c r="G5410" t="str">
        <f>"2018-10-17 09:40:25"</f>
        <v>2018-10-17 09:40:25</v>
      </c>
    </row>
    <row r="5411" spans="1:7" x14ac:dyDescent="0.2">
      <c r="A5411" t="s">
        <v>2505</v>
      </c>
      <c r="B5411" t="str">
        <f>"15961202636"</f>
        <v>15961202636</v>
      </c>
      <c r="C5411" t="str">
        <f>"320723199109105446"</f>
        <v>320723199109105446</v>
      </c>
      <c r="D5411" t="s">
        <v>1</v>
      </c>
      <c r="E5411" t="s">
        <v>1</v>
      </c>
      <c r="F5411" t="s">
        <v>0</v>
      </c>
      <c r="G5411" t="str">
        <f>"2018-10-17 12:35:08"</f>
        <v>2018-10-17 12:35:08</v>
      </c>
    </row>
    <row r="5412" spans="1:7" x14ac:dyDescent="0.2">
      <c r="A5412" t="s">
        <v>890</v>
      </c>
      <c r="B5412" t="str">
        <f>"15552524678"</f>
        <v>15552524678</v>
      </c>
      <c r="C5412" t="str">
        <f>"370481198708126726"</f>
        <v>370481198708126726</v>
      </c>
      <c r="D5412" t="s">
        <v>1</v>
      </c>
      <c r="E5412" t="s">
        <v>1</v>
      </c>
      <c r="F5412" t="s">
        <v>0</v>
      </c>
      <c r="G5412" t="str">
        <f>"2018-10-17 09:40:49"</f>
        <v>2018-10-17 09:40:49</v>
      </c>
    </row>
    <row r="5413" spans="1:7" x14ac:dyDescent="0.2">
      <c r="A5413" t="s">
        <v>187</v>
      </c>
      <c r="B5413" t="str">
        <f>"18629652493"</f>
        <v>18629652493</v>
      </c>
      <c r="C5413" t="str">
        <f>"610124199011203956"</f>
        <v>610124199011203956</v>
      </c>
      <c r="D5413" t="s">
        <v>1</v>
      </c>
      <c r="E5413" t="s">
        <v>1</v>
      </c>
      <c r="F5413" t="s">
        <v>0</v>
      </c>
      <c r="G5413" t="str">
        <f>"2018-10-17 09:40:59"</f>
        <v>2018-10-17 09:40:59</v>
      </c>
    </row>
    <row r="5414" spans="1:7" x14ac:dyDescent="0.2">
      <c r="A5414" t="s">
        <v>1</v>
      </c>
      <c r="B5414" t="str">
        <f>"18377545411"</f>
        <v>18377545411</v>
      </c>
      <c r="C5414" t="s">
        <v>1</v>
      </c>
      <c r="D5414" t="s">
        <v>1</v>
      </c>
      <c r="E5414" t="s">
        <v>1</v>
      </c>
      <c r="F5414" t="s">
        <v>0</v>
      </c>
      <c r="G5414" t="str">
        <f>"2018-10-17 09:39:14"</f>
        <v>2018-10-17 09:39:14</v>
      </c>
    </row>
    <row r="5415" spans="1:7" x14ac:dyDescent="0.2">
      <c r="A5415" t="s">
        <v>1795</v>
      </c>
      <c r="B5415" t="str">
        <f>"15053562921"</f>
        <v>15053562921</v>
      </c>
      <c r="C5415" t="str">
        <f>"370685199404212618"</f>
        <v>370685199404212618</v>
      </c>
      <c r="D5415" t="s">
        <v>1</v>
      </c>
      <c r="E5415" t="s">
        <v>1</v>
      </c>
      <c r="F5415" t="s">
        <v>0</v>
      </c>
      <c r="G5415" t="str">
        <f>"2018-10-17 09:41:06"</f>
        <v>2018-10-17 09:41:06</v>
      </c>
    </row>
    <row r="5416" spans="1:7" x14ac:dyDescent="0.2">
      <c r="A5416" t="s">
        <v>6443</v>
      </c>
      <c r="B5416" t="str">
        <f>"18301032230"</f>
        <v>18301032230</v>
      </c>
      <c r="C5416" t="str">
        <f>"130681199710054312"</f>
        <v>130681199710054312</v>
      </c>
      <c r="D5416" t="s">
        <v>6444</v>
      </c>
      <c r="E5416" t="s">
        <v>6445</v>
      </c>
      <c r="F5416" t="s">
        <v>0</v>
      </c>
      <c r="G5416" t="str">
        <f>"2018-10-17 09:40:22"</f>
        <v>2018-10-17 09:40:22</v>
      </c>
    </row>
    <row r="5417" spans="1:7" x14ac:dyDescent="0.2">
      <c r="A5417" t="s">
        <v>6446</v>
      </c>
      <c r="B5417" t="str">
        <f>"18679431367"</f>
        <v>18679431367</v>
      </c>
      <c r="C5417" t="str">
        <f>"362529199106170038"</f>
        <v>362529199106170038</v>
      </c>
      <c r="D5417" t="s">
        <v>1</v>
      </c>
      <c r="E5417" t="s">
        <v>1</v>
      </c>
      <c r="F5417" t="s">
        <v>0</v>
      </c>
      <c r="G5417" t="str">
        <f>"2018-11-04 19:04:40"</f>
        <v>2018-11-04 19:04:40</v>
      </c>
    </row>
    <row r="5418" spans="1:7" x14ac:dyDescent="0.2">
      <c r="A5418" t="s">
        <v>6447</v>
      </c>
      <c r="B5418" t="str">
        <f>"13297024576"</f>
        <v>13297024576</v>
      </c>
      <c r="C5418" t="str">
        <f>"421126199012014776"</f>
        <v>421126199012014776</v>
      </c>
      <c r="D5418" t="s">
        <v>6448</v>
      </c>
      <c r="E5418" t="s">
        <v>6449</v>
      </c>
      <c r="F5418" t="s">
        <v>0</v>
      </c>
      <c r="G5418" t="str">
        <f>"2018-10-17 09:44:57"</f>
        <v>2018-10-17 09:44:57</v>
      </c>
    </row>
    <row r="5419" spans="1:7" x14ac:dyDescent="0.2">
      <c r="A5419" t="s">
        <v>6450</v>
      </c>
      <c r="B5419" t="str">
        <f>"18726842520"</f>
        <v>18726842520</v>
      </c>
      <c r="C5419" t="str">
        <f>"341621199710302519"</f>
        <v>341621199710302519</v>
      </c>
      <c r="D5419" t="s">
        <v>1</v>
      </c>
      <c r="E5419" t="s">
        <v>1</v>
      </c>
      <c r="F5419" t="s">
        <v>0</v>
      </c>
      <c r="G5419" t="str">
        <f>"2018-10-17 11:22:10"</f>
        <v>2018-10-17 11:22:10</v>
      </c>
    </row>
    <row r="5420" spans="1:7" x14ac:dyDescent="0.2">
      <c r="A5420" t="s">
        <v>6451</v>
      </c>
      <c r="B5420" t="str">
        <f>"13797247626"</f>
        <v>13797247626</v>
      </c>
      <c r="C5420" t="str">
        <f>"372922197911205088"</f>
        <v>372922197911205088</v>
      </c>
      <c r="D5420" t="s">
        <v>6452</v>
      </c>
      <c r="E5420" t="s">
        <v>6453</v>
      </c>
      <c r="F5420" t="s">
        <v>0</v>
      </c>
      <c r="G5420" t="str">
        <f>"2018-10-17 10:40:42"</f>
        <v>2018-10-17 10:40:42</v>
      </c>
    </row>
    <row r="5421" spans="1:7" x14ac:dyDescent="0.2">
      <c r="A5421" t="s">
        <v>6454</v>
      </c>
      <c r="B5421" t="str">
        <f>"15366661021"</f>
        <v>15366661021</v>
      </c>
      <c r="C5421" t="str">
        <f>"320704199310210011"</f>
        <v>320704199310210011</v>
      </c>
      <c r="D5421" t="s">
        <v>1</v>
      </c>
      <c r="E5421" t="s">
        <v>1</v>
      </c>
      <c r="F5421" t="s">
        <v>0</v>
      </c>
      <c r="G5421" t="str">
        <f>"2018-10-17 09:37:18"</f>
        <v>2018-10-17 09:37:18</v>
      </c>
    </row>
    <row r="5422" spans="1:7" x14ac:dyDescent="0.2">
      <c r="A5422" t="s">
        <v>6455</v>
      </c>
      <c r="B5422" t="str">
        <f>"18586394719"</f>
        <v>18586394719</v>
      </c>
      <c r="C5422" t="str">
        <f>"522121199811013983"</f>
        <v>522121199811013983</v>
      </c>
      <c r="D5422" t="s">
        <v>1</v>
      </c>
      <c r="E5422" t="s">
        <v>1</v>
      </c>
      <c r="F5422" t="s">
        <v>0</v>
      </c>
      <c r="G5422" t="str">
        <f>"2018-10-17 09:37:11"</f>
        <v>2018-10-17 09:37:11</v>
      </c>
    </row>
    <row r="5423" spans="1:7" x14ac:dyDescent="0.2">
      <c r="A5423" t="s">
        <v>6456</v>
      </c>
      <c r="B5423" t="str">
        <f>"15916790699"</f>
        <v>15916790699</v>
      </c>
      <c r="C5423" t="str">
        <f>"362132198208220018"</f>
        <v>362132198208220018</v>
      </c>
      <c r="D5423" t="s">
        <v>1</v>
      </c>
      <c r="E5423" t="s">
        <v>1</v>
      </c>
      <c r="F5423" t="s">
        <v>0</v>
      </c>
      <c r="G5423" t="str">
        <f>"2018-10-17 09:36:45"</f>
        <v>2018-10-17 09:36:45</v>
      </c>
    </row>
    <row r="5424" spans="1:7" x14ac:dyDescent="0.2">
      <c r="A5424" t="s">
        <v>802</v>
      </c>
      <c r="B5424" t="str">
        <f>"18244240039"</f>
        <v>18244240039</v>
      </c>
      <c r="C5424" t="str">
        <f>"510181199206173324"</f>
        <v>510181199206173324</v>
      </c>
      <c r="D5424" t="s">
        <v>1</v>
      </c>
      <c r="E5424" t="s">
        <v>1</v>
      </c>
      <c r="F5424" t="s">
        <v>0</v>
      </c>
      <c r="G5424" t="str">
        <f>"2018-10-24 10:41:09"</f>
        <v>2018-10-24 10:41:09</v>
      </c>
    </row>
    <row r="5425" spans="1:7" x14ac:dyDescent="0.2">
      <c r="A5425" t="s">
        <v>6457</v>
      </c>
      <c r="B5425" t="str">
        <f>"15232110551"</f>
        <v>15232110551</v>
      </c>
      <c r="C5425" t="str">
        <f>"130182198612084416"</f>
        <v>130182198612084416</v>
      </c>
      <c r="D5425" t="s">
        <v>1</v>
      </c>
      <c r="E5425" t="s">
        <v>1</v>
      </c>
      <c r="F5425" t="s">
        <v>0</v>
      </c>
      <c r="G5425" t="str">
        <f>"2018-10-17 09:35:42"</f>
        <v>2018-10-17 09:35:42</v>
      </c>
    </row>
    <row r="5426" spans="1:7" x14ac:dyDescent="0.2">
      <c r="A5426" t="s">
        <v>6458</v>
      </c>
      <c r="B5426" t="str">
        <f>"18831423353"</f>
        <v>18831423353</v>
      </c>
      <c r="C5426" t="str">
        <f>"150403199207284528"</f>
        <v>150403199207284528</v>
      </c>
      <c r="D5426" t="s">
        <v>1</v>
      </c>
      <c r="E5426" t="s">
        <v>1</v>
      </c>
      <c r="F5426" t="s">
        <v>0</v>
      </c>
      <c r="G5426" t="str">
        <f>"2018-10-24 18:27:25"</f>
        <v>2018-10-24 18:27:25</v>
      </c>
    </row>
    <row r="5427" spans="1:7" x14ac:dyDescent="0.2">
      <c r="A5427" t="s">
        <v>6459</v>
      </c>
      <c r="B5427" t="str">
        <f>"17585217146"</f>
        <v>17585217146</v>
      </c>
      <c r="C5427" t="str">
        <f>"520123198903275821"</f>
        <v>520123198903275821</v>
      </c>
      <c r="D5427" t="s">
        <v>1</v>
      </c>
      <c r="E5427" t="s">
        <v>1</v>
      </c>
      <c r="F5427" t="s">
        <v>0</v>
      </c>
      <c r="G5427" t="str">
        <f>"2018-10-17 09:35:15"</f>
        <v>2018-10-17 09:35:15</v>
      </c>
    </row>
    <row r="5428" spans="1:7" x14ac:dyDescent="0.2">
      <c r="A5428" t="s">
        <v>6460</v>
      </c>
      <c r="B5428" t="str">
        <f>"17875193807"</f>
        <v>17875193807</v>
      </c>
      <c r="C5428" t="str">
        <f>"440811199809232347"</f>
        <v>440811199809232347</v>
      </c>
      <c r="D5428" t="s">
        <v>1</v>
      </c>
      <c r="E5428" t="s">
        <v>1</v>
      </c>
      <c r="F5428" t="s">
        <v>0</v>
      </c>
      <c r="G5428" t="str">
        <f>"2018-10-17 15:16:49"</f>
        <v>2018-10-17 15:16:49</v>
      </c>
    </row>
    <row r="5429" spans="1:7" x14ac:dyDescent="0.2">
      <c r="A5429" t="s">
        <v>6461</v>
      </c>
      <c r="B5429" t="str">
        <f>"18013038525"</f>
        <v>18013038525</v>
      </c>
      <c r="C5429" t="str">
        <f>"320123197709211013"</f>
        <v>320123197709211013</v>
      </c>
      <c r="D5429" t="s">
        <v>1</v>
      </c>
      <c r="E5429" t="s">
        <v>1</v>
      </c>
      <c r="F5429" t="s">
        <v>0</v>
      </c>
      <c r="G5429" t="str">
        <f>"2018-10-17 09:33:07"</f>
        <v>2018-10-17 09:33:07</v>
      </c>
    </row>
    <row r="5430" spans="1:7" x14ac:dyDescent="0.2">
      <c r="A5430" t="s">
        <v>1</v>
      </c>
      <c r="B5430" t="str">
        <f>"18367296556"</f>
        <v>18367296556</v>
      </c>
      <c r="C5430" t="s">
        <v>1</v>
      </c>
      <c r="D5430" t="s">
        <v>1</v>
      </c>
      <c r="E5430" t="s">
        <v>1</v>
      </c>
      <c r="F5430" t="s">
        <v>0</v>
      </c>
      <c r="G5430" t="str">
        <f>"2018-10-17 09:31:51"</f>
        <v>2018-10-17 09:31:51</v>
      </c>
    </row>
    <row r="5431" spans="1:7" x14ac:dyDescent="0.2">
      <c r="A5431" t="s">
        <v>1</v>
      </c>
      <c r="B5431" t="str">
        <f>"15578305545"</f>
        <v>15578305545</v>
      </c>
      <c r="C5431" t="s">
        <v>1</v>
      </c>
      <c r="D5431" t="s">
        <v>1</v>
      </c>
      <c r="E5431" t="s">
        <v>1</v>
      </c>
      <c r="F5431" t="s">
        <v>0</v>
      </c>
      <c r="G5431" t="str">
        <f>"2018-10-17 09:31:45"</f>
        <v>2018-10-17 09:31:45</v>
      </c>
    </row>
    <row r="5432" spans="1:7" x14ac:dyDescent="0.2">
      <c r="A5432" t="s">
        <v>1660</v>
      </c>
      <c r="B5432" t="str">
        <f>"15141666632"</f>
        <v>15141666632</v>
      </c>
      <c r="C5432" t="str">
        <f>"210703199203072811"</f>
        <v>210703199203072811</v>
      </c>
      <c r="D5432" t="s">
        <v>6462</v>
      </c>
      <c r="E5432" t="s">
        <v>6463</v>
      </c>
      <c r="F5432" t="s">
        <v>0</v>
      </c>
      <c r="G5432" t="str">
        <f>"2018-10-17 09:34:35"</f>
        <v>2018-10-17 09:34:35</v>
      </c>
    </row>
    <row r="5433" spans="1:7" x14ac:dyDescent="0.2">
      <c r="A5433" t="s">
        <v>6464</v>
      </c>
      <c r="B5433" t="str">
        <f>"13330688370"</f>
        <v>13330688370</v>
      </c>
      <c r="C5433" t="str">
        <f>"513902198708051286"</f>
        <v>513902198708051286</v>
      </c>
      <c r="D5433" t="s">
        <v>1</v>
      </c>
      <c r="E5433" t="s">
        <v>1</v>
      </c>
      <c r="F5433" t="s">
        <v>0</v>
      </c>
      <c r="G5433" t="str">
        <f>"2018-10-17 16:37:53"</f>
        <v>2018-10-17 16:37:53</v>
      </c>
    </row>
    <row r="5434" spans="1:7" x14ac:dyDescent="0.2">
      <c r="A5434" t="s">
        <v>6465</v>
      </c>
      <c r="B5434" t="str">
        <f>"17620626859"</f>
        <v>17620626859</v>
      </c>
      <c r="C5434" t="str">
        <f>"450327199811270452"</f>
        <v>450327199811270452</v>
      </c>
      <c r="D5434" t="s">
        <v>1</v>
      </c>
      <c r="E5434" t="s">
        <v>1</v>
      </c>
      <c r="F5434" t="s">
        <v>0</v>
      </c>
      <c r="G5434" t="str">
        <f>"2018-10-18 17:31:49"</f>
        <v>2018-10-18 17:31:49</v>
      </c>
    </row>
    <row r="5435" spans="1:7" x14ac:dyDescent="0.2">
      <c r="A5435" t="s">
        <v>6466</v>
      </c>
      <c r="B5435" t="str">
        <f>"15008862477"</f>
        <v>15008862477</v>
      </c>
      <c r="C5435" t="str">
        <f>"533421199511200954"</f>
        <v>533421199511200954</v>
      </c>
      <c r="D5435" t="s">
        <v>1</v>
      </c>
      <c r="E5435" t="s">
        <v>1</v>
      </c>
      <c r="F5435" t="s">
        <v>0</v>
      </c>
      <c r="G5435" t="str">
        <f>"2018-10-17 09:35:58"</f>
        <v>2018-10-17 09:35:58</v>
      </c>
    </row>
    <row r="5436" spans="1:7" x14ac:dyDescent="0.2">
      <c r="A5436" t="s">
        <v>6467</v>
      </c>
      <c r="B5436" t="str">
        <f>"18388214889"</f>
        <v>18388214889</v>
      </c>
      <c r="C5436" t="str">
        <f>"532727199205150024"</f>
        <v>532727199205150024</v>
      </c>
      <c r="D5436" t="s">
        <v>1</v>
      </c>
      <c r="E5436" t="s">
        <v>1</v>
      </c>
      <c r="F5436" t="s">
        <v>0</v>
      </c>
      <c r="G5436" t="str">
        <f>"2018-10-17 09:32:44"</f>
        <v>2018-10-17 09:32:44</v>
      </c>
    </row>
    <row r="5437" spans="1:7" x14ac:dyDescent="0.2">
      <c r="A5437" t="s">
        <v>6468</v>
      </c>
      <c r="B5437" t="str">
        <f>"15841550345"</f>
        <v>15841550345</v>
      </c>
      <c r="C5437" t="str">
        <f>"210604198405101621"</f>
        <v>210604198405101621</v>
      </c>
      <c r="D5437" t="s">
        <v>1</v>
      </c>
      <c r="E5437" t="s">
        <v>1</v>
      </c>
      <c r="F5437" t="s">
        <v>0</v>
      </c>
      <c r="G5437" t="str">
        <f>"2018-10-17 09:32:35"</f>
        <v>2018-10-17 09:32:35</v>
      </c>
    </row>
    <row r="5438" spans="1:7" x14ac:dyDescent="0.2">
      <c r="A5438" t="s">
        <v>6469</v>
      </c>
      <c r="B5438" t="str">
        <f>"18960009354"</f>
        <v>18960009354</v>
      </c>
      <c r="C5438" t="str">
        <f>"350681198703281038"</f>
        <v>350681198703281038</v>
      </c>
      <c r="D5438" t="s">
        <v>1</v>
      </c>
      <c r="E5438" t="s">
        <v>1</v>
      </c>
      <c r="F5438" t="s">
        <v>0</v>
      </c>
      <c r="G5438" t="str">
        <f>"2018-10-17 09:29:42"</f>
        <v>2018-10-17 09:29:42</v>
      </c>
    </row>
    <row r="5439" spans="1:7" x14ac:dyDescent="0.2">
      <c r="A5439" t="s">
        <v>6470</v>
      </c>
      <c r="B5439" t="str">
        <f>"15106902150"</f>
        <v>15106902150</v>
      </c>
      <c r="C5439" t="str">
        <f>"370921198607052116"</f>
        <v>370921198607052116</v>
      </c>
      <c r="D5439" t="s">
        <v>1</v>
      </c>
      <c r="E5439" t="s">
        <v>1</v>
      </c>
      <c r="F5439" t="s">
        <v>0</v>
      </c>
      <c r="G5439" t="str">
        <f>"2018-10-17 09:29:52"</f>
        <v>2018-10-17 09:29:52</v>
      </c>
    </row>
    <row r="5440" spans="1:7" x14ac:dyDescent="0.2">
      <c r="A5440" t="s">
        <v>1</v>
      </c>
      <c r="B5440" t="str">
        <f>"18289777891"</f>
        <v>18289777891</v>
      </c>
      <c r="C5440" t="s">
        <v>1</v>
      </c>
      <c r="D5440" t="s">
        <v>1</v>
      </c>
      <c r="E5440" t="s">
        <v>1</v>
      </c>
      <c r="F5440" t="s">
        <v>0</v>
      </c>
      <c r="G5440" t="str">
        <f>"2018-10-17 09:28:17"</f>
        <v>2018-10-17 09:28:17</v>
      </c>
    </row>
    <row r="5441" spans="1:7" x14ac:dyDescent="0.2">
      <c r="A5441" t="s">
        <v>1</v>
      </c>
      <c r="B5441" t="str">
        <f>"13959367873"</f>
        <v>13959367873</v>
      </c>
      <c r="C5441" t="s">
        <v>1</v>
      </c>
      <c r="D5441" t="s">
        <v>1</v>
      </c>
      <c r="E5441" t="s">
        <v>1</v>
      </c>
      <c r="F5441" t="s">
        <v>0</v>
      </c>
      <c r="G5441" t="str">
        <f>"2018-10-17 09:28:08"</f>
        <v>2018-10-17 09:28:08</v>
      </c>
    </row>
    <row r="5442" spans="1:7" x14ac:dyDescent="0.2">
      <c r="A5442" t="s">
        <v>1</v>
      </c>
      <c r="B5442" t="str">
        <f>"17865914839"</f>
        <v>17865914839</v>
      </c>
      <c r="C5442" t="s">
        <v>1</v>
      </c>
      <c r="D5442" t="s">
        <v>1</v>
      </c>
      <c r="E5442" t="s">
        <v>1</v>
      </c>
      <c r="F5442" t="s">
        <v>0</v>
      </c>
      <c r="G5442" t="str">
        <f>"2018-10-17 09:30:04"</f>
        <v>2018-10-17 09:30:04</v>
      </c>
    </row>
    <row r="5443" spans="1:7" x14ac:dyDescent="0.2">
      <c r="A5443" t="s">
        <v>1</v>
      </c>
      <c r="B5443" t="str">
        <f>"13234816758"</f>
        <v>13234816758</v>
      </c>
      <c r="C5443" t="s">
        <v>1</v>
      </c>
      <c r="D5443" t="s">
        <v>1</v>
      </c>
      <c r="E5443" t="s">
        <v>1</v>
      </c>
      <c r="F5443" t="s">
        <v>0</v>
      </c>
      <c r="G5443" t="str">
        <f>"2018-10-17 09:29:16"</f>
        <v>2018-10-17 09:29:16</v>
      </c>
    </row>
    <row r="5444" spans="1:7" x14ac:dyDescent="0.2">
      <c r="A5444" t="s">
        <v>6471</v>
      </c>
      <c r="B5444" t="str">
        <f>"18691685553"</f>
        <v>18691685553</v>
      </c>
      <c r="C5444" t="str">
        <f>"612301199404130039"</f>
        <v>612301199404130039</v>
      </c>
      <c r="D5444" t="s">
        <v>1</v>
      </c>
      <c r="E5444" t="s">
        <v>1</v>
      </c>
      <c r="F5444" t="s">
        <v>0</v>
      </c>
      <c r="G5444" t="str">
        <f>"2018-10-18 15:46:41"</f>
        <v>2018-10-18 15:46:41</v>
      </c>
    </row>
    <row r="5445" spans="1:7" x14ac:dyDescent="0.2">
      <c r="A5445" t="s">
        <v>6472</v>
      </c>
      <c r="B5445" t="str">
        <f>"13575712151"</f>
        <v>13575712151</v>
      </c>
      <c r="C5445" t="str">
        <f>"433126199009095513"</f>
        <v>433126199009095513</v>
      </c>
      <c r="D5445" t="s">
        <v>1</v>
      </c>
      <c r="E5445" t="s">
        <v>1</v>
      </c>
      <c r="F5445" t="s">
        <v>0</v>
      </c>
      <c r="G5445" t="str">
        <f>"2018-10-17 09:29:27"</f>
        <v>2018-10-17 09:29:27</v>
      </c>
    </row>
    <row r="5446" spans="1:7" x14ac:dyDescent="0.2">
      <c r="A5446" t="s">
        <v>6473</v>
      </c>
      <c r="B5446" t="str">
        <f>"17695057512"</f>
        <v>17695057512</v>
      </c>
      <c r="C5446" t="str">
        <f>"640324199802012634"</f>
        <v>640324199802012634</v>
      </c>
      <c r="D5446" t="s">
        <v>1</v>
      </c>
      <c r="E5446" t="s">
        <v>1</v>
      </c>
      <c r="F5446" t="s">
        <v>0</v>
      </c>
      <c r="G5446" t="str">
        <f>"2018-10-17 09:26:21"</f>
        <v>2018-10-17 09:26:21</v>
      </c>
    </row>
    <row r="5447" spans="1:7" x14ac:dyDescent="0.2">
      <c r="A5447" t="s">
        <v>1</v>
      </c>
      <c r="B5447" t="str">
        <f>"13453417690"</f>
        <v>13453417690</v>
      </c>
      <c r="C5447" t="s">
        <v>1</v>
      </c>
      <c r="D5447" t="s">
        <v>1</v>
      </c>
      <c r="E5447" t="s">
        <v>1</v>
      </c>
      <c r="F5447" t="s">
        <v>0</v>
      </c>
      <c r="G5447" t="str">
        <f>"2018-10-17 09:35:57"</f>
        <v>2018-10-17 09:35:57</v>
      </c>
    </row>
    <row r="5448" spans="1:7" x14ac:dyDescent="0.2">
      <c r="A5448" t="s">
        <v>6474</v>
      </c>
      <c r="B5448" t="str">
        <f>"13986089940"</f>
        <v>13986089940</v>
      </c>
      <c r="C5448" t="str">
        <f>"420115198610104750"</f>
        <v>420115198610104750</v>
      </c>
      <c r="D5448" t="s">
        <v>1</v>
      </c>
      <c r="E5448" t="s">
        <v>1</v>
      </c>
      <c r="F5448" t="s">
        <v>0</v>
      </c>
      <c r="G5448" t="str">
        <f>"2018-10-17 09:40:10"</f>
        <v>2018-10-17 09:40:10</v>
      </c>
    </row>
    <row r="5449" spans="1:7" x14ac:dyDescent="0.2">
      <c r="A5449" t="s">
        <v>6475</v>
      </c>
      <c r="B5449" t="str">
        <f>"15269994580"</f>
        <v>15269994580</v>
      </c>
      <c r="C5449" t="str">
        <f>"371312199312286739"</f>
        <v>371312199312286739</v>
      </c>
      <c r="D5449" t="s">
        <v>1</v>
      </c>
      <c r="E5449" t="s">
        <v>1</v>
      </c>
      <c r="F5449" t="s">
        <v>0</v>
      </c>
      <c r="G5449" t="str">
        <f>"2018-10-17 09:26:24"</f>
        <v>2018-10-17 09:26:24</v>
      </c>
    </row>
    <row r="5450" spans="1:7" x14ac:dyDescent="0.2">
      <c r="A5450" t="s">
        <v>6476</v>
      </c>
      <c r="B5450" t="str">
        <f>"15232712471"</f>
        <v>15232712471</v>
      </c>
      <c r="C5450" t="str">
        <f>"232302199009211010"</f>
        <v>232302199009211010</v>
      </c>
      <c r="D5450" t="s">
        <v>1</v>
      </c>
      <c r="E5450" t="s">
        <v>1</v>
      </c>
      <c r="F5450" t="s">
        <v>0</v>
      </c>
      <c r="G5450" t="str">
        <f>"2018-10-17 09:24:41"</f>
        <v>2018-10-17 09:24:41</v>
      </c>
    </row>
    <row r="5451" spans="1:7" x14ac:dyDescent="0.2">
      <c r="A5451" t="s">
        <v>6477</v>
      </c>
      <c r="B5451" t="str">
        <f>"15051268585"</f>
        <v>15051268585</v>
      </c>
      <c r="C5451" t="str">
        <f>"320602198610140577"</f>
        <v>320602198610140577</v>
      </c>
      <c r="D5451" t="s">
        <v>1</v>
      </c>
      <c r="E5451" t="s">
        <v>1</v>
      </c>
      <c r="F5451" t="s">
        <v>0</v>
      </c>
      <c r="G5451" t="str">
        <f>"2018-10-17 09:30:17"</f>
        <v>2018-10-17 09:30:17</v>
      </c>
    </row>
    <row r="5452" spans="1:7" x14ac:dyDescent="0.2">
      <c r="A5452" t="s">
        <v>6478</v>
      </c>
      <c r="B5452" t="str">
        <f>"18777247096"</f>
        <v>18777247096</v>
      </c>
      <c r="C5452" t="str">
        <f>"450329199504221936"</f>
        <v>450329199504221936</v>
      </c>
      <c r="D5452" t="s">
        <v>1</v>
      </c>
      <c r="E5452" t="s">
        <v>1</v>
      </c>
      <c r="F5452" t="s">
        <v>0</v>
      </c>
      <c r="G5452" t="str">
        <f>"2018-10-18 08:11:47"</f>
        <v>2018-10-18 08:11:47</v>
      </c>
    </row>
    <row r="5453" spans="1:7" x14ac:dyDescent="0.2">
      <c r="A5453" t="s">
        <v>1</v>
      </c>
      <c r="B5453" t="str">
        <f>"15118555339"</f>
        <v>15118555339</v>
      </c>
      <c r="C5453" t="s">
        <v>1</v>
      </c>
      <c r="D5453" t="s">
        <v>1</v>
      </c>
      <c r="E5453" t="s">
        <v>1</v>
      </c>
      <c r="F5453" t="s">
        <v>0</v>
      </c>
      <c r="G5453" t="str">
        <f>"2018-10-17 09:24:23"</f>
        <v>2018-10-17 09:24:23</v>
      </c>
    </row>
    <row r="5454" spans="1:7" x14ac:dyDescent="0.2">
      <c r="A5454" t="s">
        <v>1</v>
      </c>
      <c r="B5454" t="str">
        <f>"15977953740"</f>
        <v>15977953740</v>
      </c>
      <c r="C5454" t="s">
        <v>1</v>
      </c>
      <c r="D5454" t="s">
        <v>1</v>
      </c>
      <c r="E5454" t="s">
        <v>1</v>
      </c>
      <c r="F5454" t="s">
        <v>0</v>
      </c>
      <c r="G5454" t="str">
        <f>"2018-10-17 09:26:37"</f>
        <v>2018-10-17 09:26:37</v>
      </c>
    </row>
    <row r="5455" spans="1:7" x14ac:dyDescent="0.2">
      <c r="A5455" t="s">
        <v>6479</v>
      </c>
      <c r="B5455" t="str">
        <f>"13938101033"</f>
        <v>13938101033</v>
      </c>
      <c r="C5455" t="str">
        <f>"41122219810508251X"</f>
        <v>41122219810508251X</v>
      </c>
      <c r="D5455" t="s">
        <v>1</v>
      </c>
      <c r="E5455" t="s">
        <v>1</v>
      </c>
      <c r="F5455" t="s">
        <v>0</v>
      </c>
      <c r="G5455" t="str">
        <f>"2018-10-17 11:03:54"</f>
        <v>2018-10-17 11:03:54</v>
      </c>
    </row>
    <row r="5456" spans="1:7" x14ac:dyDescent="0.2">
      <c r="A5456" t="s">
        <v>6480</v>
      </c>
      <c r="B5456" t="str">
        <f>"18692703560"</f>
        <v>18692703560</v>
      </c>
      <c r="C5456" t="str">
        <f>"430922199012252810"</f>
        <v>430922199012252810</v>
      </c>
      <c r="D5456" t="s">
        <v>1</v>
      </c>
      <c r="E5456" t="s">
        <v>1</v>
      </c>
      <c r="F5456" t="s">
        <v>0</v>
      </c>
      <c r="G5456" t="str">
        <f>"2018-10-17 09:24:15"</f>
        <v>2018-10-17 09:24:15</v>
      </c>
    </row>
    <row r="5457" spans="1:7" x14ac:dyDescent="0.2">
      <c r="A5457" t="s">
        <v>6481</v>
      </c>
      <c r="B5457" t="str">
        <f>"18330650625"</f>
        <v>18330650625</v>
      </c>
      <c r="C5457" t="str">
        <f>"131026199210156092"</f>
        <v>131026199210156092</v>
      </c>
      <c r="D5457" t="s">
        <v>1</v>
      </c>
      <c r="E5457" t="s">
        <v>1</v>
      </c>
      <c r="F5457" t="s">
        <v>0</v>
      </c>
      <c r="G5457" t="str">
        <f>"2018-10-17 09:24:17"</f>
        <v>2018-10-17 09:24:17</v>
      </c>
    </row>
    <row r="5458" spans="1:7" x14ac:dyDescent="0.2">
      <c r="A5458" t="s">
        <v>1</v>
      </c>
      <c r="B5458" t="str">
        <f>"18636763130"</f>
        <v>18636763130</v>
      </c>
      <c r="C5458" t="s">
        <v>1</v>
      </c>
      <c r="D5458" t="s">
        <v>1</v>
      </c>
      <c r="E5458" t="s">
        <v>1</v>
      </c>
      <c r="F5458" t="s">
        <v>0</v>
      </c>
      <c r="G5458" t="str">
        <f>"2018-10-17 09:23:37"</f>
        <v>2018-10-17 09:23:37</v>
      </c>
    </row>
    <row r="5459" spans="1:7" x14ac:dyDescent="0.2">
      <c r="A5459" t="s">
        <v>1637</v>
      </c>
      <c r="B5459" t="str">
        <f>"13814779485"</f>
        <v>13814779485</v>
      </c>
      <c r="C5459" t="str">
        <f>"320381199111221528"</f>
        <v>320381199111221528</v>
      </c>
      <c r="D5459" t="s">
        <v>1</v>
      </c>
      <c r="E5459" t="s">
        <v>1</v>
      </c>
      <c r="F5459" t="s">
        <v>0</v>
      </c>
      <c r="G5459" t="str">
        <f>"2018-10-17 09:27:44"</f>
        <v>2018-10-17 09:27:44</v>
      </c>
    </row>
    <row r="5460" spans="1:7" x14ac:dyDescent="0.2">
      <c r="A5460" t="s">
        <v>6482</v>
      </c>
      <c r="B5460" t="str">
        <f>"13147444560"</f>
        <v>13147444560</v>
      </c>
      <c r="C5460" t="str">
        <f>"130127199207090038"</f>
        <v>130127199207090038</v>
      </c>
      <c r="D5460" t="s">
        <v>1</v>
      </c>
      <c r="E5460" t="s">
        <v>1</v>
      </c>
      <c r="F5460" t="s">
        <v>0</v>
      </c>
      <c r="G5460" t="str">
        <f>"2018-10-26 11:14:15"</f>
        <v>2018-10-26 11:14:15</v>
      </c>
    </row>
    <row r="5461" spans="1:7" x14ac:dyDescent="0.2">
      <c r="A5461" t="s">
        <v>6483</v>
      </c>
      <c r="B5461" t="str">
        <f>"18258802318"</f>
        <v>18258802318</v>
      </c>
      <c r="C5461" t="str">
        <f>"330182197802134042"</f>
        <v>330182197802134042</v>
      </c>
      <c r="D5461" t="s">
        <v>1</v>
      </c>
      <c r="E5461" t="s">
        <v>1</v>
      </c>
      <c r="F5461" t="s">
        <v>0</v>
      </c>
      <c r="G5461" t="str">
        <f>"2018-10-17 09:22:31"</f>
        <v>2018-10-17 09:22:31</v>
      </c>
    </row>
    <row r="5462" spans="1:7" x14ac:dyDescent="0.2">
      <c r="A5462" t="s">
        <v>6484</v>
      </c>
      <c r="B5462" t="str">
        <f>"17364162119"</f>
        <v>17364162119</v>
      </c>
      <c r="C5462" t="str">
        <f>"421004198010302565"</f>
        <v>421004198010302565</v>
      </c>
      <c r="D5462" t="s">
        <v>1</v>
      </c>
      <c r="E5462" t="s">
        <v>1</v>
      </c>
      <c r="F5462" t="s">
        <v>0</v>
      </c>
      <c r="G5462" t="str">
        <f>"2018-10-17 09:22:11"</f>
        <v>2018-10-17 09:22:11</v>
      </c>
    </row>
    <row r="5463" spans="1:7" x14ac:dyDescent="0.2">
      <c r="A5463" t="s">
        <v>6485</v>
      </c>
      <c r="B5463" t="str">
        <f>"13250271299"</f>
        <v>13250271299</v>
      </c>
      <c r="C5463" t="str">
        <f>"440184199305020914"</f>
        <v>440184199305020914</v>
      </c>
      <c r="D5463" t="s">
        <v>1</v>
      </c>
      <c r="E5463" t="s">
        <v>1</v>
      </c>
      <c r="F5463" t="s">
        <v>0</v>
      </c>
      <c r="G5463" t="str">
        <f>"2018-10-17 09:45:28"</f>
        <v>2018-10-17 09:45:28</v>
      </c>
    </row>
    <row r="5464" spans="1:7" x14ac:dyDescent="0.2">
      <c r="A5464" t="s">
        <v>1</v>
      </c>
      <c r="B5464" t="str">
        <f>"13924836929"</f>
        <v>13924836929</v>
      </c>
      <c r="C5464" t="s">
        <v>1</v>
      </c>
      <c r="D5464" t="s">
        <v>1</v>
      </c>
      <c r="E5464" t="s">
        <v>1</v>
      </c>
      <c r="F5464" t="s">
        <v>0</v>
      </c>
      <c r="G5464" t="str">
        <f>"2018-10-17 09:20:00"</f>
        <v>2018-10-17 09:20:00</v>
      </c>
    </row>
    <row r="5465" spans="1:7" x14ac:dyDescent="0.2">
      <c r="A5465" t="s">
        <v>6486</v>
      </c>
      <c r="B5465" t="str">
        <f>"18335367808"</f>
        <v>18335367808</v>
      </c>
      <c r="C5465" t="str">
        <f>"140724199507200054"</f>
        <v>140724199507200054</v>
      </c>
      <c r="D5465" t="s">
        <v>1</v>
      </c>
      <c r="E5465" t="s">
        <v>1</v>
      </c>
      <c r="F5465" t="s">
        <v>0</v>
      </c>
      <c r="G5465" t="str">
        <f>"2018-10-17 10:32:29"</f>
        <v>2018-10-17 10:32:29</v>
      </c>
    </row>
    <row r="5466" spans="1:7" x14ac:dyDescent="0.2">
      <c r="A5466" t="s">
        <v>1</v>
      </c>
      <c r="B5466" t="str">
        <f>"15647703021"</f>
        <v>15647703021</v>
      </c>
      <c r="C5466" t="s">
        <v>1</v>
      </c>
      <c r="D5466" t="s">
        <v>1</v>
      </c>
      <c r="E5466" t="s">
        <v>1</v>
      </c>
      <c r="F5466" t="s">
        <v>0</v>
      </c>
      <c r="G5466" t="str">
        <f>"2018-10-17 09:18:56"</f>
        <v>2018-10-17 09:18:56</v>
      </c>
    </row>
    <row r="5467" spans="1:7" x14ac:dyDescent="0.2">
      <c r="A5467" t="s">
        <v>6487</v>
      </c>
      <c r="B5467" t="str">
        <f>"15138280828"</f>
        <v>15138280828</v>
      </c>
      <c r="C5467" t="str">
        <f>"412724198309040312"</f>
        <v>412724198309040312</v>
      </c>
      <c r="D5467" t="s">
        <v>6488</v>
      </c>
      <c r="E5467" t="s">
        <v>6489</v>
      </c>
      <c r="F5467" t="s">
        <v>0</v>
      </c>
      <c r="G5467" t="str">
        <f>"2018-10-17 09:29:13"</f>
        <v>2018-10-17 09:29:13</v>
      </c>
    </row>
    <row r="5468" spans="1:7" x14ac:dyDescent="0.2">
      <c r="A5468" t="s">
        <v>6490</v>
      </c>
      <c r="B5468" t="str">
        <f>"15970497767"</f>
        <v>15970497767</v>
      </c>
      <c r="C5468" t="str">
        <f>"360102197310151210"</f>
        <v>360102197310151210</v>
      </c>
      <c r="D5468" t="s">
        <v>1</v>
      </c>
      <c r="E5468" t="s">
        <v>1</v>
      </c>
      <c r="F5468" t="s">
        <v>0</v>
      </c>
      <c r="G5468" t="str">
        <f>"2018-10-17 09:51:55"</f>
        <v>2018-10-17 09:51:55</v>
      </c>
    </row>
    <row r="5469" spans="1:7" x14ac:dyDescent="0.2">
      <c r="A5469" t="s">
        <v>1</v>
      </c>
      <c r="B5469" t="str">
        <f>"13999684343"</f>
        <v>13999684343</v>
      </c>
      <c r="C5469" t="s">
        <v>1</v>
      </c>
      <c r="D5469" t="s">
        <v>1</v>
      </c>
      <c r="E5469" t="s">
        <v>1</v>
      </c>
      <c r="F5469" t="s">
        <v>0</v>
      </c>
      <c r="G5469" t="str">
        <f>"2018-10-17 09:20:06"</f>
        <v>2018-10-17 09:20:06</v>
      </c>
    </row>
    <row r="5470" spans="1:7" x14ac:dyDescent="0.2">
      <c r="A5470" t="s">
        <v>6491</v>
      </c>
      <c r="B5470" t="str">
        <f>"15129393021"</f>
        <v>15129393021</v>
      </c>
      <c r="C5470" t="str">
        <f>"610423199612234133"</f>
        <v>610423199612234133</v>
      </c>
      <c r="D5470" t="s">
        <v>1</v>
      </c>
      <c r="E5470" t="s">
        <v>1</v>
      </c>
      <c r="F5470" t="s">
        <v>0</v>
      </c>
      <c r="G5470" t="str">
        <f>"2018-10-17 09:18:21"</f>
        <v>2018-10-17 09:18:21</v>
      </c>
    </row>
    <row r="5471" spans="1:7" x14ac:dyDescent="0.2">
      <c r="A5471" t="s">
        <v>6492</v>
      </c>
      <c r="B5471" t="str">
        <f>"18601501295"</f>
        <v>18601501295</v>
      </c>
      <c r="C5471" t="str">
        <f>"320684199402073911"</f>
        <v>320684199402073911</v>
      </c>
      <c r="D5471" t="s">
        <v>1</v>
      </c>
      <c r="E5471" t="s">
        <v>1</v>
      </c>
      <c r="F5471" t="s">
        <v>0</v>
      </c>
      <c r="G5471" t="str">
        <f>"2018-10-17 09:17:39"</f>
        <v>2018-10-17 09:17:39</v>
      </c>
    </row>
    <row r="5472" spans="1:7" x14ac:dyDescent="0.2">
      <c r="A5472" t="s">
        <v>6493</v>
      </c>
      <c r="B5472" t="str">
        <f>"15153617958"</f>
        <v>15153617958</v>
      </c>
      <c r="C5472" t="str">
        <f>"231083198411232414"</f>
        <v>231083198411232414</v>
      </c>
      <c r="D5472" t="s">
        <v>1</v>
      </c>
      <c r="E5472" t="s">
        <v>1</v>
      </c>
      <c r="F5472" t="s">
        <v>0</v>
      </c>
      <c r="G5472" t="str">
        <f>"2018-10-17 09:17:55"</f>
        <v>2018-10-17 09:17:55</v>
      </c>
    </row>
    <row r="5473" spans="1:7" x14ac:dyDescent="0.2">
      <c r="A5473" t="s">
        <v>6494</v>
      </c>
      <c r="B5473" t="str">
        <f>"15242460253"</f>
        <v>15242460253</v>
      </c>
      <c r="C5473" t="str">
        <f>"210124198410221028"</f>
        <v>210124198410221028</v>
      </c>
      <c r="D5473" t="s">
        <v>1</v>
      </c>
      <c r="E5473" t="s">
        <v>1</v>
      </c>
      <c r="F5473" t="s">
        <v>0</v>
      </c>
      <c r="G5473" t="str">
        <f>"2018-10-17 09:17:55"</f>
        <v>2018-10-17 09:17:55</v>
      </c>
    </row>
    <row r="5474" spans="1:7" x14ac:dyDescent="0.2">
      <c r="A5474" t="s">
        <v>6495</v>
      </c>
      <c r="B5474" t="str">
        <f>"15870073130"</f>
        <v>15870073130</v>
      </c>
      <c r="C5474" t="str">
        <f>"36032119901128301X"</f>
        <v>36032119901128301X</v>
      </c>
      <c r="D5474" t="s">
        <v>1</v>
      </c>
      <c r="E5474" t="s">
        <v>1</v>
      </c>
      <c r="F5474" t="s">
        <v>0</v>
      </c>
      <c r="G5474" t="str">
        <f>"2018-10-17 09:19:44"</f>
        <v>2018-10-17 09:19:44</v>
      </c>
    </row>
    <row r="5475" spans="1:7" x14ac:dyDescent="0.2">
      <c r="A5475" t="s">
        <v>6496</v>
      </c>
      <c r="B5475" t="str">
        <f>"18521028619"</f>
        <v>18521028619</v>
      </c>
      <c r="C5475" t="str">
        <f>"362202199309163579"</f>
        <v>362202199309163579</v>
      </c>
      <c r="D5475" t="s">
        <v>1</v>
      </c>
      <c r="E5475" t="s">
        <v>1</v>
      </c>
      <c r="F5475" t="s">
        <v>0</v>
      </c>
      <c r="G5475" t="str">
        <f>"2018-10-17 09:23:11"</f>
        <v>2018-10-17 09:23:11</v>
      </c>
    </row>
    <row r="5476" spans="1:7" x14ac:dyDescent="0.2">
      <c r="A5476" t="s">
        <v>511</v>
      </c>
      <c r="B5476" t="str">
        <f>"13654567034"</f>
        <v>13654567034</v>
      </c>
      <c r="C5476" t="str">
        <f>"232101198509140827"</f>
        <v>232101198509140827</v>
      </c>
      <c r="D5476" t="s">
        <v>1</v>
      </c>
      <c r="E5476" t="s">
        <v>1</v>
      </c>
      <c r="F5476" t="s">
        <v>0</v>
      </c>
      <c r="G5476" t="str">
        <f>"2018-10-17 09:14:50"</f>
        <v>2018-10-17 09:14:50</v>
      </c>
    </row>
    <row r="5477" spans="1:7" x14ac:dyDescent="0.2">
      <c r="A5477" t="s">
        <v>1</v>
      </c>
      <c r="B5477" t="str">
        <f>"13658108950"</f>
        <v>13658108950</v>
      </c>
      <c r="C5477" t="s">
        <v>1</v>
      </c>
      <c r="D5477" t="s">
        <v>1</v>
      </c>
      <c r="E5477" t="s">
        <v>1</v>
      </c>
      <c r="F5477" t="s">
        <v>0</v>
      </c>
      <c r="G5477" t="str">
        <f>"2018-10-17 09:12:59"</f>
        <v>2018-10-17 09:12:59</v>
      </c>
    </row>
    <row r="5478" spans="1:7" x14ac:dyDescent="0.2">
      <c r="A5478" t="s">
        <v>6497</v>
      </c>
      <c r="B5478" t="str">
        <f>"15253130810"</f>
        <v>15253130810</v>
      </c>
      <c r="C5478" t="str">
        <f>"370124198406221011"</f>
        <v>370124198406221011</v>
      </c>
      <c r="D5478" t="s">
        <v>1</v>
      </c>
      <c r="E5478" t="s">
        <v>1</v>
      </c>
      <c r="F5478" t="s">
        <v>0</v>
      </c>
      <c r="G5478" t="str">
        <f>"2018-10-17 09:16:18"</f>
        <v>2018-10-17 09:16:18</v>
      </c>
    </row>
    <row r="5479" spans="1:7" x14ac:dyDescent="0.2">
      <c r="A5479" t="s">
        <v>6498</v>
      </c>
      <c r="B5479" t="str">
        <f>"13178356731"</f>
        <v>13178356731</v>
      </c>
      <c r="C5479" t="str">
        <f>"362502198012033011"</f>
        <v>362502198012033011</v>
      </c>
      <c r="D5479" t="s">
        <v>6499</v>
      </c>
      <c r="E5479" t="s">
        <v>6500</v>
      </c>
      <c r="F5479" t="s">
        <v>0</v>
      </c>
      <c r="G5479" t="str">
        <f>"2018-11-01 14:05:04"</f>
        <v>2018-11-01 14:05:04</v>
      </c>
    </row>
    <row r="5480" spans="1:7" x14ac:dyDescent="0.2">
      <c r="A5480" t="s">
        <v>6501</v>
      </c>
      <c r="B5480" t="str">
        <f>"13353893210"</f>
        <v>13353893210</v>
      </c>
      <c r="C5480" t="str">
        <f>"220402198404146412"</f>
        <v>220402198404146412</v>
      </c>
      <c r="D5480" t="s">
        <v>1</v>
      </c>
      <c r="E5480" t="s">
        <v>1</v>
      </c>
      <c r="F5480" t="s">
        <v>0</v>
      </c>
      <c r="G5480" t="str">
        <f>"2018-10-17 09:13:11"</f>
        <v>2018-10-17 09:13:11</v>
      </c>
    </row>
    <row r="5481" spans="1:7" x14ac:dyDescent="0.2">
      <c r="A5481" t="s">
        <v>1</v>
      </c>
      <c r="B5481" t="str">
        <f>"13234470014"</f>
        <v>13234470014</v>
      </c>
      <c r="C5481" t="s">
        <v>1</v>
      </c>
      <c r="D5481" t="s">
        <v>1</v>
      </c>
      <c r="E5481" t="s">
        <v>1</v>
      </c>
      <c r="F5481" t="s">
        <v>0</v>
      </c>
      <c r="G5481" t="str">
        <f>"2018-10-17 09:11:13"</f>
        <v>2018-10-17 09:11:13</v>
      </c>
    </row>
    <row r="5482" spans="1:7" x14ac:dyDescent="0.2">
      <c r="A5482" t="s">
        <v>1</v>
      </c>
      <c r="B5482" t="str">
        <f>"13464729327"</f>
        <v>13464729327</v>
      </c>
      <c r="C5482" t="s">
        <v>1</v>
      </c>
      <c r="D5482" t="s">
        <v>1</v>
      </c>
      <c r="E5482" t="s">
        <v>1</v>
      </c>
      <c r="F5482" t="s">
        <v>0</v>
      </c>
      <c r="G5482" t="str">
        <f>"2018-10-17 09:10:43"</f>
        <v>2018-10-17 09:10:43</v>
      </c>
    </row>
    <row r="5483" spans="1:7" x14ac:dyDescent="0.2">
      <c r="A5483" t="s">
        <v>1</v>
      </c>
      <c r="B5483" t="str">
        <f>"17610690137"</f>
        <v>17610690137</v>
      </c>
      <c r="C5483" t="s">
        <v>1</v>
      </c>
      <c r="D5483" t="s">
        <v>1</v>
      </c>
      <c r="E5483" t="s">
        <v>1</v>
      </c>
      <c r="F5483" t="s">
        <v>0</v>
      </c>
      <c r="G5483" t="str">
        <f>"2018-10-17 09:10:29"</f>
        <v>2018-10-17 09:10:29</v>
      </c>
    </row>
    <row r="5484" spans="1:7" x14ac:dyDescent="0.2">
      <c r="A5484" t="s">
        <v>6502</v>
      </c>
      <c r="B5484" t="str">
        <f>"15839605414"</f>
        <v>15839605414</v>
      </c>
      <c r="C5484" t="str">
        <f>"412825199402066185"</f>
        <v>412825199402066185</v>
      </c>
      <c r="D5484" t="s">
        <v>1</v>
      </c>
      <c r="E5484" t="s">
        <v>1</v>
      </c>
      <c r="F5484" t="s">
        <v>0</v>
      </c>
      <c r="G5484" t="str">
        <f>"2018-10-17 09:16:43"</f>
        <v>2018-10-17 09:16:43</v>
      </c>
    </row>
    <row r="5485" spans="1:7" x14ac:dyDescent="0.2">
      <c r="A5485" t="s">
        <v>6503</v>
      </c>
      <c r="B5485" t="str">
        <f>"13479759770"</f>
        <v>13479759770</v>
      </c>
      <c r="C5485" t="str">
        <f>"362103198211122222"</f>
        <v>362103198211122222</v>
      </c>
      <c r="D5485" t="s">
        <v>1</v>
      </c>
      <c r="E5485" t="s">
        <v>1</v>
      </c>
      <c r="F5485" t="s">
        <v>0</v>
      </c>
      <c r="G5485" t="str">
        <f>"2018-10-17 09:12:29"</f>
        <v>2018-10-17 09:12:29</v>
      </c>
    </row>
    <row r="5486" spans="1:7" x14ac:dyDescent="0.2">
      <c r="A5486" t="s">
        <v>6504</v>
      </c>
      <c r="B5486" t="str">
        <f>"18267104299"</f>
        <v>18267104299</v>
      </c>
      <c r="C5486" t="str">
        <f>"33900519890328161X"</f>
        <v>33900519890328161X</v>
      </c>
      <c r="D5486" t="s">
        <v>1</v>
      </c>
      <c r="E5486" t="s">
        <v>1</v>
      </c>
      <c r="F5486" t="s">
        <v>0</v>
      </c>
      <c r="G5486" t="str">
        <f>"2018-10-24 18:23:57"</f>
        <v>2018-10-24 18:23:57</v>
      </c>
    </row>
    <row r="5487" spans="1:7" x14ac:dyDescent="0.2">
      <c r="A5487" t="s">
        <v>6505</v>
      </c>
      <c r="B5487" t="str">
        <f>"13863899914"</f>
        <v>13863899914</v>
      </c>
      <c r="C5487" t="str">
        <f>"379009197505234816"</f>
        <v>379009197505234816</v>
      </c>
      <c r="D5487" t="s">
        <v>1</v>
      </c>
      <c r="E5487" t="s">
        <v>1</v>
      </c>
      <c r="F5487" t="s">
        <v>0</v>
      </c>
      <c r="G5487" t="str">
        <f>"2018-10-17 09:11:12"</f>
        <v>2018-10-17 09:11:12</v>
      </c>
    </row>
    <row r="5488" spans="1:7" x14ac:dyDescent="0.2">
      <c r="A5488" t="s">
        <v>1</v>
      </c>
      <c r="B5488" t="str">
        <f>"13531750004"</f>
        <v>13531750004</v>
      </c>
      <c r="C5488" t="s">
        <v>1</v>
      </c>
      <c r="D5488" t="s">
        <v>1</v>
      </c>
      <c r="E5488" t="s">
        <v>1</v>
      </c>
      <c r="F5488" t="s">
        <v>0</v>
      </c>
      <c r="G5488" t="str">
        <f>"2018-10-17 09:07:36"</f>
        <v>2018-10-17 09:07:36</v>
      </c>
    </row>
    <row r="5489" spans="1:7" x14ac:dyDescent="0.2">
      <c r="A5489" t="s">
        <v>6506</v>
      </c>
      <c r="B5489" t="str">
        <f>"18660291423"</f>
        <v>18660291423</v>
      </c>
      <c r="C5489" t="str">
        <f>"370282199712021732"</f>
        <v>370282199712021732</v>
      </c>
      <c r="D5489" t="s">
        <v>1</v>
      </c>
      <c r="E5489" t="s">
        <v>1</v>
      </c>
      <c r="F5489" t="s">
        <v>0</v>
      </c>
      <c r="G5489" t="str">
        <f>"2018-10-17 09:06:47"</f>
        <v>2018-10-17 09:06:47</v>
      </c>
    </row>
    <row r="5490" spans="1:7" x14ac:dyDescent="0.2">
      <c r="A5490" t="s">
        <v>1</v>
      </c>
      <c r="B5490" t="str">
        <f>"18928792850"</f>
        <v>18928792850</v>
      </c>
      <c r="C5490" t="s">
        <v>1</v>
      </c>
      <c r="D5490" t="s">
        <v>1</v>
      </c>
      <c r="E5490" t="s">
        <v>1</v>
      </c>
      <c r="F5490" t="s">
        <v>0</v>
      </c>
      <c r="G5490" t="str">
        <f>"2018-10-17 09:04:47"</f>
        <v>2018-10-17 09:04:47</v>
      </c>
    </row>
    <row r="5491" spans="1:7" x14ac:dyDescent="0.2">
      <c r="A5491" t="s">
        <v>6507</v>
      </c>
      <c r="B5491" t="str">
        <f>"18268974219"</f>
        <v>18268974219</v>
      </c>
      <c r="C5491" t="str">
        <f>"330802199711124426"</f>
        <v>330802199711124426</v>
      </c>
      <c r="D5491" t="s">
        <v>1</v>
      </c>
      <c r="E5491" t="s">
        <v>1</v>
      </c>
      <c r="F5491" t="s">
        <v>0</v>
      </c>
      <c r="G5491" t="str">
        <f>"2018-10-29 21:42:38"</f>
        <v>2018-10-29 21:42:38</v>
      </c>
    </row>
    <row r="5492" spans="1:7" x14ac:dyDescent="0.2">
      <c r="A5492" t="s">
        <v>6508</v>
      </c>
      <c r="B5492" t="str">
        <f>"18395905265"</f>
        <v>18395905265</v>
      </c>
      <c r="C5492" t="str">
        <f>"330702198901044128"</f>
        <v>330702198901044128</v>
      </c>
      <c r="D5492" t="s">
        <v>6509</v>
      </c>
      <c r="E5492" t="s">
        <v>6510</v>
      </c>
      <c r="F5492" t="s">
        <v>0</v>
      </c>
      <c r="G5492" t="str">
        <f>"2018-10-17 09:48:03"</f>
        <v>2018-10-17 09:48:03</v>
      </c>
    </row>
    <row r="5493" spans="1:7" x14ac:dyDescent="0.2">
      <c r="A5493" t="s">
        <v>6511</v>
      </c>
      <c r="B5493" t="str">
        <f>"18387760753"</f>
        <v>18387760753</v>
      </c>
      <c r="C5493" t="str">
        <f>"530402199208300635"</f>
        <v>530402199208300635</v>
      </c>
      <c r="D5493" t="s">
        <v>1</v>
      </c>
      <c r="E5493" t="s">
        <v>1</v>
      </c>
      <c r="F5493" t="s">
        <v>0</v>
      </c>
      <c r="G5493" t="str">
        <f>"2018-10-17 09:55:43"</f>
        <v>2018-10-17 09:55:43</v>
      </c>
    </row>
    <row r="5494" spans="1:7" x14ac:dyDescent="0.2">
      <c r="A5494" t="s">
        <v>6512</v>
      </c>
      <c r="B5494" t="str">
        <f>"15944432562"</f>
        <v>15944432562</v>
      </c>
      <c r="C5494" t="str">
        <f>"220381198403206823"</f>
        <v>220381198403206823</v>
      </c>
      <c r="D5494" t="s">
        <v>1</v>
      </c>
      <c r="E5494" t="s">
        <v>1</v>
      </c>
      <c r="F5494" t="s">
        <v>0</v>
      </c>
      <c r="G5494" t="str">
        <f>"2018-10-17 09:03:37"</f>
        <v>2018-10-17 09:03:37</v>
      </c>
    </row>
    <row r="5495" spans="1:7" x14ac:dyDescent="0.2">
      <c r="A5495" t="s">
        <v>918</v>
      </c>
      <c r="B5495" t="str">
        <f>"15189160434"</f>
        <v>15189160434</v>
      </c>
      <c r="C5495" t="str">
        <f>"321324199210132014"</f>
        <v>321324199210132014</v>
      </c>
      <c r="D5495" t="s">
        <v>6513</v>
      </c>
      <c r="E5495" t="s">
        <v>6514</v>
      </c>
      <c r="F5495" t="s">
        <v>0</v>
      </c>
      <c r="G5495" t="str">
        <f>"2018-10-17 09:03:54"</f>
        <v>2018-10-17 09:03:54</v>
      </c>
    </row>
    <row r="5496" spans="1:7" x14ac:dyDescent="0.2">
      <c r="A5496" t="s">
        <v>6515</v>
      </c>
      <c r="B5496" t="str">
        <f>"18802537201"</f>
        <v>18802537201</v>
      </c>
      <c r="C5496" t="str">
        <f>"440402199403039119"</f>
        <v>440402199403039119</v>
      </c>
      <c r="D5496" t="s">
        <v>1</v>
      </c>
      <c r="E5496" t="s">
        <v>1</v>
      </c>
      <c r="F5496" t="s">
        <v>0</v>
      </c>
      <c r="G5496" t="str">
        <f>"2018-10-17 09:03:23"</f>
        <v>2018-10-17 09:03:23</v>
      </c>
    </row>
    <row r="5497" spans="1:7" x14ac:dyDescent="0.2">
      <c r="A5497" t="s">
        <v>6516</v>
      </c>
      <c r="B5497" t="str">
        <f>"18848528279"</f>
        <v>18848528279</v>
      </c>
      <c r="C5497" t="str">
        <f>"522633199006110011"</f>
        <v>522633199006110011</v>
      </c>
      <c r="D5497" t="s">
        <v>6517</v>
      </c>
      <c r="E5497" t="s">
        <v>6518</v>
      </c>
      <c r="F5497" t="s">
        <v>0</v>
      </c>
      <c r="G5497" t="str">
        <f>"2018-10-17 09:01:59"</f>
        <v>2018-10-17 09:01:59</v>
      </c>
    </row>
    <row r="5498" spans="1:7" x14ac:dyDescent="0.2">
      <c r="A5498" t="s">
        <v>6519</v>
      </c>
      <c r="B5498" t="str">
        <f>"13402506996"</f>
        <v>13402506996</v>
      </c>
      <c r="C5498" t="str">
        <f>"32058619901213806X"</f>
        <v>32058619901213806X</v>
      </c>
      <c r="D5498" t="s">
        <v>1</v>
      </c>
      <c r="E5498" t="s">
        <v>1</v>
      </c>
      <c r="F5498" t="s">
        <v>0</v>
      </c>
      <c r="G5498" t="str">
        <f>"2018-10-17 09:03:18"</f>
        <v>2018-10-17 09:03:18</v>
      </c>
    </row>
    <row r="5499" spans="1:7" x14ac:dyDescent="0.2">
      <c r="A5499" t="s">
        <v>1</v>
      </c>
      <c r="B5499" t="str">
        <f>"13577922689"</f>
        <v>13577922689</v>
      </c>
      <c r="C5499" t="s">
        <v>1</v>
      </c>
      <c r="D5499" t="s">
        <v>1</v>
      </c>
      <c r="E5499" t="s">
        <v>1</v>
      </c>
      <c r="F5499" t="s">
        <v>0</v>
      </c>
      <c r="G5499" t="str">
        <f>"2018-10-17 09:01:18"</f>
        <v>2018-10-17 09:01:18</v>
      </c>
    </row>
    <row r="5500" spans="1:7" x14ac:dyDescent="0.2">
      <c r="A5500" t="s">
        <v>182</v>
      </c>
      <c r="B5500" t="str">
        <f>"18502565676"</f>
        <v>18502565676</v>
      </c>
      <c r="C5500" t="str">
        <f>"32011119870831321X"</f>
        <v>32011119870831321X</v>
      </c>
      <c r="D5500" t="s">
        <v>1</v>
      </c>
      <c r="E5500" t="s">
        <v>1</v>
      </c>
      <c r="F5500" t="s">
        <v>0</v>
      </c>
      <c r="G5500" t="str">
        <f>"2018-10-17 08:59:32"</f>
        <v>2018-10-17 08:59:32</v>
      </c>
    </row>
    <row r="5501" spans="1:7" x14ac:dyDescent="0.2">
      <c r="A5501" t="s">
        <v>6520</v>
      </c>
      <c r="B5501" t="str">
        <f>"18653808331"</f>
        <v>18653808331</v>
      </c>
      <c r="C5501" t="str">
        <f>"370982199606240016"</f>
        <v>370982199606240016</v>
      </c>
      <c r="D5501" t="s">
        <v>6521</v>
      </c>
      <c r="E5501" t="s">
        <v>6522</v>
      </c>
      <c r="F5501" t="s">
        <v>0</v>
      </c>
      <c r="G5501" t="str">
        <f>"2018-10-17 09:09:18"</f>
        <v>2018-10-17 09:09:18</v>
      </c>
    </row>
    <row r="5502" spans="1:7" x14ac:dyDescent="0.2">
      <c r="A5502" t="s">
        <v>6523</v>
      </c>
      <c r="B5502" t="str">
        <f>"13073088732"</f>
        <v>13073088732</v>
      </c>
      <c r="C5502" t="str">
        <f>"430422198012290014"</f>
        <v>430422198012290014</v>
      </c>
      <c r="D5502" t="s">
        <v>1</v>
      </c>
      <c r="E5502" t="s">
        <v>1</v>
      </c>
      <c r="F5502" t="s">
        <v>0</v>
      </c>
      <c r="G5502" t="str">
        <f>"2018-10-17 09:02:47"</f>
        <v>2018-10-17 09:02:47</v>
      </c>
    </row>
    <row r="5503" spans="1:7" x14ac:dyDescent="0.2">
      <c r="A5503" t="s">
        <v>6524</v>
      </c>
      <c r="B5503" t="str">
        <f>"15779019995"</f>
        <v>15779019995</v>
      </c>
      <c r="C5503" t="str">
        <f>"360781199409013413"</f>
        <v>360781199409013413</v>
      </c>
      <c r="D5503" t="s">
        <v>6525</v>
      </c>
      <c r="E5503" t="s">
        <v>6526</v>
      </c>
      <c r="F5503" t="s">
        <v>0</v>
      </c>
      <c r="G5503" t="str">
        <f>"2018-10-17 10:22:15"</f>
        <v>2018-10-17 10:22:15</v>
      </c>
    </row>
    <row r="5504" spans="1:7" x14ac:dyDescent="0.2">
      <c r="A5504" t="s">
        <v>6527</v>
      </c>
      <c r="B5504" t="str">
        <f>"18580876021"</f>
        <v>18580876021</v>
      </c>
      <c r="C5504" t="str">
        <f>"510322198910214317"</f>
        <v>510322198910214317</v>
      </c>
      <c r="D5504" t="s">
        <v>1</v>
      </c>
      <c r="E5504" t="s">
        <v>1</v>
      </c>
      <c r="F5504" t="s">
        <v>0</v>
      </c>
      <c r="G5504" t="str">
        <f>"2018-10-17 09:32:54"</f>
        <v>2018-10-17 09:32:54</v>
      </c>
    </row>
    <row r="5505" spans="1:7" x14ac:dyDescent="0.2">
      <c r="A5505" t="s">
        <v>6528</v>
      </c>
      <c r="B5505" t="str">
        <f>"18243305777"</f>
        <v>18243305777</v>
      </c>
      <c r="C5505" t="str">
        <f>"222401198304051841"</f>
        <v>222401198304051841</v>
      </c>
      <c r="D5505" t="s">
        <v>1</v>
      </c>
      <c r="E5505" t="s">
        <v>1</v>
      </c>
      <c r="F5505" t="s">
        <v>0</v>
      </c>
      <c r="G5505" t="str">
        <f>"2018-10-18 17:27:41"</f>
        <v>2018-10-18 17:27:41</v>
      </c>
    </row>
    <row r="5506" spans="1:7" x14ac:dyDescent="0.2">
      <c r="A5506" t="s">
        <v>1</v>
      </c>
      <c r="B5506" t="str">
        <f>"15901956085"</f>
        <v>15901956085</v>
      </c>
      <c r="C5506" t="s">
        <v>1</v>
      </c>
      <c r="D5506" t="s">
        <v>1</v>
      </c>
      <c r="E5506" t="s">
        <v>1</v>
      </c>
      <c r="F5506" t="s">
        <v>0</v>
      </c>
      <c r="G5506" t="str">
        <f>"2018-10-17 13:35:27"</f>
        <v>2018-10-17 13:35:27</v>
      </c>
    </row>
    <row r="5507" spans="1:7" x14ac:dyDescent="0.2">
      <c r="A5507" t="s">
        <v>6529</v>
      </c>
      <c r="B5507" t="str">
        <f>"17601258503"</f>
        <v>17601258503</v>
      </c>
      <c r="C5507" t="str">
        <f>"441522199307073773"</f>
        <v>441522199307073773</v>
      </c>
      <c r="D5507" t="s">
        <v>1</v>
      </c>
      <c r="E5507" t="s">
        <v>1</v>
      </c>
      <c r="F5507" t="s">
        <v>0</v>
      </c>
      <c r="G5507" t="str">
        <f>"2018-10-17 08:56:16"</f>
        <v>2018-10-17 08:56:16</v>
      </c>
    </row>
    <row r="5508" spans="1:7" x14ac:dyDescent="0.2">
      <c r="A5508" t="s">
        <v>1022</v>
      </c>
      <c r="B5508" t="str">
        <f>"15216155520"</f>
        <v>15216155520</v>
      </c>
      <c r="C5508" t="str">
        <f>"360731199103010339"</f>
        <v>360731199103010339</v>
      </c>
      <c r="D5508" t="s">
        <v>1</v>
      </c>
      <c r="E5508" t="s">
        <v>1</v>
      </c>
      <c r="F5508" t="s">
        <v>0</v>
      </c>
      <c r="G5508" t="str">
        <f>"2018-10-17 08:55:51"</f>
        <v>2018-10-17 08:55:51</v>
      </c>
    </row>
    <row r="5509" spans="1:7" x14ac:dyDescent="0.2">
      <c r="A5509" t="s">
        <v>6530</v>
      </c>
      <c r="B5509" t="str">
        <f>"15904935429"</f>
        <v>15904935429</v>
      </c>
      <c r="C5509" t="str">
        <f>"211422197907156612"</f>
        <v>211422197907156612</v>
      </c>
      <c r="D5509" t="s">
        <v>1</v>
      </c>
      <c r="E5509" t="s">
        <v>1</v>
      </c>
      <c r="F5509" t="s">
        <v>0</v>
      </c>
      <c r="G5509" t="str">
        <f>"2018-10-18 15:13:48"</f>
        <v>2018-10-18 15:13:48</v>
      </c>
    </row>
    <row r="5510" spans="1:7" x14ac:dyDescent="0.2">
      <c r="A5510" t="s">
        <v>1</v>
      </c>
      <c r="B5510" t="str">
        <f>"18607768426"</f>
        <v>18607768426</v>
      </c>
      <c r="C5510" t="s">
        <v>1</v>
      </c>
      <c r="D5510" t="s">
        <v>1</v>
      </c>
      <c r="E5510" t="s">
        <v>1</v>
      </c>
      <c r="F5510" t="s">
        <v>0</v>
      </c>
      <c r="G5510" t="str">
        <f>"2018-10-17 08:56:43"</f>
        <v>2018-10-17 08:56:43</v>
      </c>
    </row>
    <row r="5511" spans="1:7" x14ac:dyDescent="0.2">
      <c r="A5511" t="s">
        <v>6531</v>
      </c>
      <c r="B5511" t="str">
        <f>"18690966766"</f>
        <v>18690966766</v>
      </c>
      <c r="C5511" t="str">
        <f>"622323198610305819"</f>
        <v>622323198610305819</v>
      </c>
      <c r="D5511" t="s">
        <v>1</v>
      </c>
      <c r="E5511" t="s">
        <v>1</v>
      </c>
      <c r="F5511" t="s">
        <v>0</v>
      </c>
      <c r="G5511" t="str">
        <f>"2018-10-17 08:58:03"</f>
        <v>2018-10-17 08:58:03</v>
      </c>
    </row>
    <row r="5512" spans="1:7" x14ac:dyDescent="0.2">
      <c r="A5512" t="s">
        <v>6532</v>
      </c>
      <c r="B5512" t="str">
        <f>"18035921172"</f>
        <v>18035921172</v>
      </c>
      <c r="C5512" t="str">
        <f>"142727199702011030"</f>
        <v>142727199702011030</v>
      </c>
      <c r="D5512" t="s">
        <v>1</v>
      </c>
      <c r="E5512" t="s">
        <v>1</v>
      </c>
      <c r="F5512" t="s">
        <v>0</v>
      </c>
      <c r="G5512" t="str">
        <f>"2018-10-17 08:54:25"</f>
        <v>2018-10-17 08:54:25</v>
      </c>
    </row>
    <row r="5513" spans="1:7" x14ac:dyDescent="0.2">
      <c r="A5513" t="s">
        <v>1</v>
      </c>
      <c r="B5513" t="str">
        <f>"15906064793"</f>
        <v>15906064793</v>
      </c>
      <c r="C5513" t="s">
        <v>1</v>
      </c>
      <c r="D5513" t="s">
        <v>1</v>
      </c>
      <c r="E5513" t="s">
        <v>1</v>
      </c>
      <c r="F5513" t="s">
        <v>0</v>
      </c>
      <c r="G5513" t="str">
        <f>"2018-10-17 08:54:13"</f>
        <v>2018-10-17 08:54:13</v>
      </c>
    </row>
    <row r="5514" spans="1:7" x14ac:dyDescent="0.2">
      <c r="A5514" t="s">
        <v>823</v>
      </c>
      <c r="B5514" t="str">
        <f>"15062603932"</f>
        <v>15062603932</v>
      </c>
      <c r="C5514" t="str">
        <f>"320583198806031017"</f>
        <v>320583198806031017</v>
      </c>
      <c r="D5514" t="s">
        <v>1</v>
      </c>
      <c r="E5514" t="s">
        <v>1</v>
      </c>
      <c r="F5514" t="s">
        <v>0</v>
      </c>
      <c r="G5514" t="str">
        <f>"2018-10-17 09:04:05"</f>
        <v>2018-10-17 09:04:05</v>
      </c>
    </row>
    <row r="5515" spans="1:7" x14ac:dyDescent="0.2">
      <c r="A5515" t="s">
        <v>1316</v>
      </c>
      <c r="B5515" t="str">
        <f>"13627880016"</f>
        <v>13627880016</v>
      </c>
      <c r="C5515" t="str">
        <f>"45092319860510005X"</f>
        <v>45092319860510005X</v>
      </c>
      <c r="D5515" t="s">
        <v>6533</v>
      </c>
      <c r="E5515" t="s">
        <v>6534</v>
      </c>
      <c r="F5515" t="s">
        <v>0</v>
      </c>
      <c r="G5515" t="str">
        <f>"2018-10-17 08:53:59"</f>
        <v>2018-10-17 08:53:59</v>
      </c>
    </row>
    <row r="5516" spans="1:7" x14ac:dyDescent="0.2">
      <c r="A5516" t="s">
        <v>6535</v>
      </c>
      <c r="B5516" t="str">
        <f>"15821190842"</f>
        <v>15821190842</v>
      </c>
      <c r="C5516" t="str">
        <f>"31010719910603131X"</f>
        <v>31010719910603131X</v>
      </c>
      <c r="D5516" t="s">
        <v>1</v>
      </c>
      <c r="E5516" t="s">
        <v>1</v>
      </c>
      <c r="F5516" t="s">
        <v>0</v>
      </c>
      <c r="G5516" t="str">
        <f>"2018-10-17 09:37:54"</f>
        <v>2018-10-17 09:37:54</v>
      </c>
    </row>
    <row r="5517" spans="1:7" x14ac:dyDescent="0.2">
      <c r="A5517" t="s">
        <v>6536</v>
      </c>
      <c r="B5517" t="str">
        <f>"15955578728"</f>
        <v>15955578728</v>
      </c>
      <c r="C5517" t="str">
        <f>"342222198909297631"</f>
        <v>342222198909297631</v>
      </c>
      <c r="D5517" t="s">
        <v>1</v>
      </c>
      <c r="E5517" t="s">
        <v>1</v>
      </c>
      <c r="F5517" t="s">
        <v>0</v>
      </c>
      <c r="G5517" t="str">
        <f>"2018-10-17 08:51:29"</f>
        <v>2018-10-17 08:51:29</v>
      </c>
    </row>
    <row r="5518" spans="1:7" x14ac:dyDescent="0.2">
      <c r="A5518" t="s">
        <v>6537</v>
      </c>
      <c r="B5518" t="str">
        <f>"18976719946"</f>
        <v>18976719946</v>
      </c>
      <c r="C5518" t="str">
        <f>"460007198702210026"</f>
        <v>460007198702210026</v>
      </c>
      <c r="D5518" t="s">
        <v>6538</v>
      </c>
      <c r="E5518" t="s">
        <v>6539</v>
      </c>
      <c r="F5518" t="s">
        <v>0</v>
      </c>
      <c r="G5518" t="str">
        <f>"2018-10-19 16:04:31"</f>
        <v>2018-10-19 16:04:31</v>
      </c>
    </row>
    <row r="5519" spans="1:7" x14ac:dyDescent="0.2">
      <c r="A5519" t="s">
        <v>1</v>
      </c>
      <c r="B5519" t="str">
        <f>"13210640123"</f>
        <v>13210640123</v>
      </c>
      <c r="C5519" t="s">
        <v>1</v>
      </c>
      <c r="D5519" t="s">
        <v>1</v>
      </c>
      <c r="E5519" t="s">
        <v>1</v>
      </c>
      <c r="F5519" t="s">
        <v>0</v>
      </c>
      <c r="G5519" t="str">
        <f>"2018-10-17 09:20:05"</f>
        <v>2018-10-17 09:20:05</v>
      </c>
    </row>
    <row r="5520" spans="1:7" x14ac:dyDescent="0.2">
      <c r="A5520" t="s">
        <v>6540</v>
      </c>
      <c r="B5520" t="str">
        <f>"15001594498"</f>
        <v>15001594498</v>
      </c>
      <c r="C5520" t="str">
        <f>"341226199610265984"</f>
        <v>341226199610265984</v>
      </c>
      <c r="D5520" t="s">
        <v>1</v>
      </c>
      <c r="E5520" t="s">
        <v>1</v>
      </c>
      <c r="F5520" t="s">
        <v>0</v>
      </c>
      <c r="G5520" t="str">
        <f>"2018-10-17 09:56:27"</f>
        <v>2018-10-17 09:56:27</v>
      </c>
    </row>
    <row r="5521" spans="1:7" x14ac:dyDescent="0.2">
      <c r="A5521" t="s">
        <v>6541</v>
      </c>
      <c r="B5521" t="str">
        <f>"18754207537"</f>
        <v>18754207537</v>
      </c>
      <c r="C5521" t="str">
        <f>"370283199810054526"</f>
        <v>370283199810054526</v>
      </c>
      <c r="D5521" t="s">
        <v>1</v>
      </c>
      <c r="E5521" t="s">
        <v>1</v>
      </c>
      <c r="F5521" t="s">
        <v>0</v>
      </c>
      <c r="G5521" t="str">
        <f>"2018-10-17 08:50:17"</f>
        <v>2018-10-17 08:50:17</v>
      </c>
    </row>
    <row r="5522" spans="1:7" x14ac:dyDescent="0.2">
      <c r="A5522" t="s">
        <v>1835</v>
      </c>
      <c r="B5522" t="str">
        <f>"13463167444"</f>
        <v>13463167444</v>
      </c>
      <c r="C5522" t="str">
        <f>"131025199212123618"</f>
        <v>131025199212123618</v>
      </c>
      <c r="D5522" t="s">
        <v>1</v>
      </c>
      <c r="E5522" t="s">
        <v>1</v>
      </c>
      <c r="F5522" t="s">
        <v>0</v>
      </c>
      <c r="G5522" t="str">
        <f>"2018-10-17 08:50:25"</f>
        <v>2018-10-17 08:50:25</v>
      </c>
    </row>
    <row r="5523" spans="1:7" x14ac:dyDescent="0.2">
      <c r="A5523" t="s">
        <v>6542</v>
      </c>
      <c r="B5523" t="str">
        <f>"15976546532"</f>
        <v>15976546532</v>
      </c>
      <c r="C5523" t="str">
        <f>"440902198312060070"</f>
        <v>440902198312060070</v>
      </c>
      <c r="D5523" t="s">
        <v>6543</v>
      </c>
      <c r="E5523" t="s">
        <v>6544</v>
      </c>
      <c r="F5523" t="s">
        <v>0</v>
      </c>
      <c r="G5523" t="str">
        <f>"2018-10-17 08:49:45"</f>
        <v>2018-10-17 08:49:45</v>
      </c>
    </row>
    <row r="5524" spans="1:7" x14ac:dyDescent="0.2">
      <c r="A5524" t="s">
        <v>1</v>
      </c>
      <c r="B5524" t="str">
        <f>"15280820196"</f>
        <v>15280820196</v>
      </c>
      <c r="C5524" t="s">
        <v>1</v>
      </c>
      <c r="D5524" t="s">
        <v>1</v>
      </c>
      <c r="E5524" t="s">
        <v>1</v>
      </c>
      <c r="F5524" t="s">
        <v>0</v>
      </c>
      <c r="G5524" t="str">
        <f>"2018-10-17 08:46:45"</f>
        <v>2018-10-17 08:46:45</v>
      </c>
    </row>
    <row r="5525" spans="1:7" x14ac:dyDescent="0.2">
      <c r="A5525" t="s">
        <v>1</v>
      </c>
      <c r="B5525" t="str">
        <f>"15616400445"</f>
        <v>15616400445</v>
      </c>
      <c r="C5525" t="s">
        <v>1</v>
      </c>
      <c r="D5525" t="s">
        <v>1</v>
      </c>
      <c r="E5525" t="s">
        <v>1</v>
      </c>
      <c r="F5525" t="s">
        <v>0</v>
      </c>
      <c r="G5525" t="str">
        <f>"2018-10-17 08:46:47"</f>
        <v>2018-10-17 08:46:47</v>
      </c>
    </row>
    <row r="5526" spans="1:7" x14ac:dyDescent="0.2">
      <c r="A5526" t="s">
        <v>6545</v>
      </c>
      <c r="B5526" t="str">
        <f>"15251378729"</f>
        <v>15251378729</v>
      </c>
      <c r="C5526" t="str">
        <f>"320623198606196078"</f>
        <v>320623198606196078</v>
      </c>
      <c r="D5526" t="s">
        <v>1</v>
      </c>
      <c r="E5526" t="s">
        <v>1</v>
      </c>
      <c r="F5526" t="s">
        <v>0</v>
      </c>
      <c r="G5526" t="str">
        <f>"2018-10-17 08:45:00"</f>
        <v>2018-10-17 08:45:00</v>
      </c>
    </row>
    <row r="5527" spans="1:7" x14ac:dyDescent="0.2">
      <c r="A5527" t="s">
        <v>6546</v>
      </c>
      <c r="B5527" t="str">
        <f>"15807745078"</f>
        <v>15807745078</v>
      </c>
      <c r="C5527" t="str">
        <f>"450422199605253874"</f>
        <v>450422199605253874</v>
      </c>
      <c r="D5527" t="s">
        <v>6547</v>
      </c>
      <c r="E5527" t="s">
        <v>6548</v>
      </c>
      <c r="F5527" t="s">
        <v>0</v>
      </c>
      <c r="G5527" t="str">
        <f>"2018-10-30 14:55:49"</f>
        <v>2018-10-30 14:55:49</v>
      </c>
    </row>
    <row r="5528" spans="1:7" x14ac:dyDescent="0.2">
      <c r="A5528" t="s">
        <v>6549</v>
      </c>
      <c r="B5528" t="str">
        <f>"13653265363"</f>
        <v>13653265363</v>
      </c>
      <c r="C5528" t="str">
        <f>"230606199709114828"</f>
        <v>230606199709114828</v>
      </c>
      <c r="D5528" t="s">
        <v>1</v>
      </c>
      <c r="E5528" t="s">
        <v>1</v>
      </c>
      <c r="F5528" t="s">
        <v>0</v>
      </c>
      <c r="G5528" t="str">
        <f>"2018-10-17 08:46:16"</f>
        <v>2018-10-17 08:46:16</v>
      </c>
    </row>
    <row r="5529" spans="1:7" x14ac:dyDescent="0.2">
      <c r="A5529" t="s">
        <v>1</v>
      </c>
      <c r="B5529" t="str">
        <f>"13123482240"</f>
        <v>13123482240</v>
      </c>
      <c r="C5529" t="s">
        <v>1</v>
      </c>
      <c r="D5529" t="s">
        <v>1</v>
      </c>
      <c r="E5529" t="s">
        <v>1</v>
      </c>
      <c r="F5529" t="s">
        <v>0</v>
      </c>
      <c r="G5529" t="str">
        <f>"2018-10-17 08:42:26"</f>
        <v>2018-10-17 08:42:26</v>
      </c>
    </row>
    <row r="5530" spans="1:7" x14ac:dyDescent="0.2">
      <c r="A5530" t="s">
        <v>6550</v>
      </c>
      <c r="B5530" t="str">
        <f>"18749950710"</f>
        <v>18749950710</v>
      </c>
      <c r="C5530" t="str">
        <f>"412824199101076834"</f>
        <v>412824199101076834</v>
      </c>
      <c r="D5530" t="s">
        <v>6551</v>
      </c>
      <c r="E5530" t="s">
        <v>6552</v>
      </c>
      <c r="F5530" t="s">
        <v>0</v>
      </c>
      <c r="G5530" t="str">
        <f>"2018-10-17 08:54:37"</f>
        <v>2018-10-17 08:54:37</v>
      </c>
    </row>
    <row r="5531" spans="1:7" x14ac:dyDescent="0.2">
      <c r="A5531" t="s">
        <v>6553</v>
      </c>
      <c r="B5531" t="str">
        <f>"13763036819"</f>
        <v>13763036819</v>
      </c>
      <c r="C5531" t="str">
        <f>"440881199611286111"</f>
        <v>440881199611286111</v>
      </c>
      <c r="D5531" t="s">
        <v>1</v>
      </c>
      <c r="E5531" t="s">
        <v>1</v>
      </c>
      <c r="F5531" t="s">
        <v>0</v>
      </c>
      <c r="G5531" t="str">
        <f>"2018-10-17 08:46:28"</f>
        <v>2018-10-17 08:46:28</v>
      </c>
    </row>
    <row r="5532" spans="1:7" x14ac:dyDescent="0.2">
      <c r="A5532" t="s">
        <v>6554</v>
      </c>
      <c r="B5532" t="str">
        <f>"13315016662"</f>
        <v>13315016662</v>
      </c>
      <c r="C5532" t="str">
        <f>"130403198303251533"</f>
        <v>130403198303251533</v>
      </c>
      <c r="D5532" t="s">
        <v>1</v>
      </c>
      <c r="E5532" t="s">
        <v>1</v>
      </c>
      <c r="F5532" t="s">
        <v>0</v>
      </c>
      <c r="G5532" t="str">
        <f>"2018-10-17 08:44:48"</f>
        <v>2018-10-17 08:44:48</v>
      </c>
    </row>
    <row r="5533" spans="1:7" x14ac:dyDescent="0.2">
      <c r="A5533" t="s">
        <v>6555</v>
      </c>
      <c r="B5533" t="str">
        <f>"18746666065"</f>
        <v>18746666065</v>
      </c>
      <c r="C5533" t="str">
        <f>"230622199207290354"</f>
        <v>230622199207290354</v>
      </c>
      <c r="D5533" t="s">
        <v>6556</v>
      </c>
      <c r="E5533" t="s">
        <v>6557</v>
      </c>
      <c r="F5533" t="s">
        <v>0</v>
      </c>
      <c r="G5533" t="str">
        <f>"2018-10-17 08:49:22"</f>
        <v>2018-10-17 08:49:22</v>
      </c>
    </row>
    <row r="5534" spans="1:7" x14ac:dyDescent="0.2">
      <c r="A5534" t="s">
        <v>6558</v>
      </c>
      <c r="B5534" t="str">
        <f>"15727586820"</f>
        <v>15727586820</v>
      </c>
      <c r="C5534" t="str">
        <f>"362201198912074019"</f>
        <v>362201198912074019</v>
      </c>
      <c r="D5534" t="s">
        <v>6559</v>
      </c>
      <c r="E5534" t="s">
        <v>6560</v>
      </c>
      <c r="F5534" t="s">
        <v>0</v>
      </c>
      <c r="G5534" t="str">
        <f>"2018-10-17 08:44:38"</f>
        <v>2018-10-17 08:44:38</v>
      </c>
    </row>
    <row r="5535" spans="1:7" x14ac:dyDescent="0.2">
      <c r="A5535" t="s">
        <v>1</v>
      </c>
      <c r="B5535" t="str">
        <f>"15239631730"</f>
        <v>15239631730</v>
      </c>
      <c r="C5535" t="s">
        <v>1</v>
      </c>
      <c r="D5535" t="s">
        <v>1</v>
      </c>
      <c r="E5535" t="s">
        <v>1</v>
      </c>
      <c r="F5535" t="s">
        <v>0</v>
      </c>
      <c r="G5535" t="str">
        <f>"2018-10-17 08:39:21"</f>
        <v>2018-10-17 08:39:21</v>
      </c>
    </row>
    <row r="5536" spans="1:7" x14ac:dyDescent="0.2">
      <c r="A5536" t="s">
        <v>1</v>
      </c>
      <c r="B5536" t="str">
        <f>"15974636378"</f>
        <v>15974636378</v>
      </c>
      <c r="C5536" t="s">
        <v>1</v>
      </c>
      <c r="D5536" t="s">
        <v>1</v>
      </c>
      <c r="E5536" t="s">
        <v>1</v>
      </c>
      <c r="F5536" t="s">
        <v>0</v>
      </c>
      <c r="G5536" t="str">
        <f>"2018-10-17 08:39:44"</f>
        <v>2018-10-17 08:39:44</v>
      </c>
    </row>
    <row r="5537" spans="1:7" x14ac:dyDescent="0.2">
      <c r="A5537" t="s">
        <v>6561</v>
      </c>
      <c r="B5537" t="str">
        <f>"18772128881"</f>
        <v>18772128881</v>
      </c>
      <c r="C5537" t="str">
        <f>"420923198606090011"</f>
        <v>420923198606090011</v>
      </c>
      <c r="D5537" t="s">
        <v>6562</v>
      </c>
      <c r="E5537" t="s">
        <v>6563</v>
      </c>
      <c r="F5537" t="s">
        <v>0</v>
      </c>
      <c r="G5537" t="str">
        <f>"2018-10-17 11:15:07"</f>
        <v>2018-10-17 11:15:07</v>
      </c>
    </row>
    <row r="5538" spans="1:7" x14ac:dyDescent="0.2">
      <c r="A5538" t="s">
        <v>1</v>
      </c>
      <c r="B5538" t="str">
        <f>"17627832203"</f>
        <v>17627832203</v>
      </c>
      <c r="C5538" t="s">
        <v>1</v>
      </c>
      <c r="D5538" t="s">
        <v>1</v>
      </c>
      <c r="E5538" t="s">
        <v>1</v>
      </c>
      <c r="F5538" t="s">
        <v>0</v>
      </c>
      <c r="G5538" t="str">
        <f>"2018-10-17 08:36:47"</f>
        <v>2018-10-17 08:36:47</v>
      </c>
    </row>
    <row r="5539" spans="1:7" x14ac:dyDescent="0.2">
      <c r="A5539" t="s">
        <v>6564</v>
      </c>
      <c r="B5539" t="str">
        <f>"18671739382"</f>
        <v>18671739382</v>
      </c>
      <c r="C5539" t="str">
        <f>"42058319890519101X"</f>
        <v>42058319890519101X</v>
      </c>
      <c r="D5539" t="s">
        <v>1</v>
      </c>
      <c r="E5539" t="s">
        <v>1</v>
      </c>
      <c r="F5539" t="s">
        <v>0</v>
      </c>
      <c r="G5539" t="str">
        <f>"2018-10-17 08:39:58"</f>
        <v>2018-10-17 08:39:58</v>
      </c>
    </row>
    <row r="5540" spans="1:7" x14ac:dyDescent="0.2">
      <c r="A5540" t="s">
        <v>6565</v>
      </c>
      <c r="B5540" t="str">
        <f>"13669120539"</f>
        <v>13669120539</v>
      </c>
      <c r="C5540" t="str">
        <f>"612728199711020210"</f>
        <v>612728199711020210</v>
      </c>
      <c r="D5540" t="s">
        <v>1</v>
      </c>
      <c r="E5540" t="s">
        <v>1</v>
      </c>
      <c r="F5540" t="s">
        <v>0</v>
      </c>
      <c r="G5540" t="str">
        <f>"2018-10-17 08:35:50"</f>
        <v>2018-10-17 08:35:50</v>
      </c>
    </row>
    <row r="5541" spans="1:7" x14ac:dyDescent="0.2">
      <c r="A5541" t="s">
        <v>6566</v>
      </c>
      <c r="B5541" t="str">
        <f>"13028412171"</f>
        <v>13028412171</v>
      </c>
      <c r="C5541" t="str">
        <f>"220524199003143067"</f>
        <v>220524199003143067</v>
      </c>
      <c r="D5541" t="s">
        <v>1</v>
      </c>
      <c r="E5541" t="s">
        <v>1</v>
      </c>
      <c r="F5541" t="s">
        <v>0</v>
      </c>
      <c r="G5541" t="str">
        <f>"2018-10-17 08:35:59"</f>
        <v>2018-10-17 08:35:59</v>
      </c>
    </row>
    <row r="5542" spans="1:7" x14ac:dyDescent="0.2">
      <c r="A5542" t="s">
        <v>1</v>
      </c>
      <c r="B5542" t="str">
        <f>"18854715213"</f>
        <v>18854715213</v>
      </c>
      <c r="C5542" t="s">
        <v>1</v>
      </c>
      <c r="D5542" t="s">
        <v>1</v>
      </c>
      <c r="E5542" t="s">
        <v>1</v>
      </c>
      <c r="F5542" t="s">
        <v>0</v>
      </c>
      <c r="G5542" t="str">
        <f>"2018-10-17 08:35:27"</f>
        <v>2018-10-17 08:35:27</v>
      </c>
    </row>
    <row r="5543" spans="1:7" x14ac:dyDescent="0.2">
      <c r="A5543" t="s">
        <v>6567</v>
      </c>
      <c r="B5543" t="str">
        <f>"13921375909"</f>
        <v>13921375909</v>
      </c>
      <c r="C5543" t="str">
        <f>"320282198508154729"</f>
        <v>320282198508154729</v>
      </c>
      <c r="D5543" t="s">
        <v>1</v>
      </c>
      <c r="E5543" t="s">
        <v>1</v>
      </c>
      <c r="F5543" t="s">
        <v>0</v>
      </c>
      <c r="G5543" t="str">
        <f>"2018-10-17 14:10:56"</f>
        <v>2018-10-17 14:10:56</v>
      </c>
    </row>
    <row r="5544" spans="1:7" x14ac:dyDescent="0.2">
      <c r="A5544" t="s">
        <v>222</v>
      </c>
      <c r="B5544" t="str">
        <f>"13937730821"</f>
        <v>13937730821</v>
      </c>
      <c r="C5544" t="str">
        <f>"412923197806301528"</f>
        <v>412923197806301528</v>
      </c>
      <c r="D5544" t="s">
        <v>1</v>
      </c>
      <c r="E5544" t="s">
        <v>1</v>
      </c>
      <c r="F5544" t="s">
        <v>0</v>
      </c>
      <c r="G5544" t="str">
        <f>"2018-10-17 08:32:56"</f>
        <v>2018-10-17 08:32:56</v>
      </c>
    </row>
    <row r="5545" spans="1:7" x14ac:dyDescent="0.2">
      <c r="A5545" t="s">
        <v>1</v>
      </c>
      <c r="B5545" t="str">
        <f>"13869427711"</f>
        <v>13869427711</v>
      </c>
      <c r="C5545" t="s">
        <v>1</v>
      </c>
      <c r="D5545" t="s">
        <v>1</v>
      </c>
      <c r="E5545" t="s">
        <v>1</v>
      </c>
      <c r="F5545" t="s">
        <v>0</v>
      </c>
      <c r="G5545" t="str">
        <f>"2018-10-17 08:33:26"</f>
        <v>2018-10-17 08:33:26</v>
      </c>
    </row>
    <row r="5546" spans="1:7" x14ac:dyDescent="0.2">
      <c r="A5546" t="s">
        <v>6568</v>
      </c>
      <c r="B5546" t="str">
        <f>"18776072891"</f>
        <v>18776072891</v>
      </c>
      <c r="C5546" t="str">
        <f>"452127198309120340"</f>
        <v>452127198309120340</v>
      </c>
      <c r="D5546" t="s">
        <v>1</v>
      </c>
      <c r="E5546" t="s">
        <v>1</v>
      </c>
      <c r="F5546" t="s">
        <v>0</v>
      </c>
      <c r="G5546" t="str">
        <f>"2018-10-17 08:31:21"</f>
        <v>2018-10-17 08:31:21</v>
      </c>
    </row>
    <row r="5547" spans="1:7" x14ac:dyDescent="0.2">
      <c r="A5547" t="s">
        <v>6569</v>
      </c>
      <c r="B5547" t="str">
        <f>"17623628605"</f>
        <v>17623628605</v>
      </c>
      <c r="C5547" t="str">
        <f>"500381199604061511"</f>
        <v>500381199604061511</v>
      </c>
      <c r="D5547" t="s">
        <v>6570</v>
      </c>
      <c r="E5547" t="s">
        <v>6571</v>
      </c>
      <c r="F5547" t="s">
        <v>0</v>
      </c>
      <c r="G5547" t="str">
        <f>"2018-10-17 09:50:03"</f>
        <v>2018-10-17 09:50:03</v>
      </c>
    </row>
    <row r="5548" spans="1:7" x14ac:dyDescent="0.2">
      <c r="A5548" t="s">
        <v>6572</v>
      </c>
      <c r="B5548" t="str">
        <f>"18285258888"</f>
        <v>18285258888</v>
      </c>
      <c r="C5548" t="str">
        <f>"52213119980214081X"</f>
        <v>52213119980214081X</v>
      </c>
      <c r="D5548" t="s">
        <v>1</v>
      </c>
      <c r="E5548" t="s">
        <v>1</v>
      </c>
      <c r="F5548" t="s">
        <v>0</v>
      </c>
      <c r="G5548" t="str">
        <f>"2018-10-17 08:36:27"</f>
        <v>2018-10-17 08:36:27</v>
      </c>
    </row>
    <row r="5549" spans="1:7" x14ac:dyDescent="0.2">
      <c r="A5549" t="s">
        <v>6573</v>
      </c>
      <c r="B5549" t="str">
        <f>"15143552981"</f>
        <v>15143552981</v>
      </c>
      <c r="C5549" t="str">
        <f>"220802199512022421"</f>
        <v>220802199512022421</v>
      </c>
      <c r="D5549" t="s">
        <v>1</v>
      </c>
      <c r="E5549" t="s">
        <v>1</v>
      </c>
      <c r="F5549" t="s">
        <v>0</v>
      </c>
      <c r="G5549" t="str">
        <f>"2018-10-17 08:29:32"</f>
        <v>2018-10-17 08:29:32</v>
      </c>
    </row>
    <row r="5550" spans="1:7" x14ac:dyDescent="0.2">
      <c r="A5550" t="s">
        <v>6574</v>
      </c>
      <c r="B5550" t="str">
        <f>"15004377736"</f>
        <v>15004377736</v>
      </c>
      <c r="C5550" t="str">
        <f>"220403199008263925"</f>
        <v>220403199008263925</v>
      </c>
      <c r="D5550" t="s">
        <v>1</v>
      </c>
      <c r="E5550" t="s">
        <v>1</v>
      </c>
      <c r="F5550" t="s">
        <v>0</v>
      </c>
      <c r="G5550" t="str">
        <f>"2018-10-17 08:59:38"</f>
        <v>2018-10-17 08:59:38</v>
      </c>
    </row>
    <row r="5551" spans="1:7" x14ac:dyDescent="0.2">
      <c r="A5551" t="s">
        <v>6575</v>
      </c>
      <c r="B5551" t="str">
        <f>"15232123460"</f>
        <v>15232123460</v>
      </c>
      <c r="C5551" t="str">
        <f>"130106198806131827"</f>
        <v>130106198806131827</v>
      </c>
      <c r="D5551" t="s">
        <v>1</v>
      </c>
      <c r="E5551" t="s">
        <v>1</v>
      </c>
      <c r="F5551" t="s">
        <v>0</v>
      </c>
      <c r="G5551" t="str">
        <f>"2018-10-17 08:31:47"</f>
        <v>2018-10-17 08:31:47</v>
      </c>
    </row>
    <row r="5552" spans="1:7" x14ac:dyDescent="0.2">
      <c r="A5552" t="s">
        <v>6576</v>
      </c>
      <c r="B5552" t="str">
        <f>"15050585524"</f>
        <v>15050585524</v>
      </c>
      <c r="C5552" t="str">
        <f>"341181199010203631"</f>
        <v>341181199010203631</v>
      </c>
      <c r="D5552" t="s">
        <v>6577</v>
      </c>
      <c r="E5552" t="s">
        <v>6578</v>
      </c>
      <c r="F5552" t="s">
        <v>0</v>
      </c>
      <c r="G5552" t="str">
        <f>"2018-10-17 08:24:54"</f>
        <v>2018-10-17 08:24:54</v>
      </c>
    </row>
    <row r="5553" spans="1:7" x14ac:dyDescent="0.2">
      <c r="A5553" t="s">
        <v>6579</v>
      </c>
      <c r="B5553" t="str">
        <f>"18190796302"</f>
        <v>18190796302</v>
      </c>
      <c r="C5553" t="str">
        <f>"510781199103180022"</f>
        <v>510781199103180022</v>
      </c>
      <c r="D5553" t="s">
        <v>1</v>
      </c>
      <c r="E5553" t="s">
        <v>1</v>
      </c>
      <c r="F5553" t="s">
        <v>0</v>
      </c>
      <c r="G5553" t="str">
        <f>"2018-10-17 08:20:26"</f>
        <v>2018-10-17 08:20:26</v>
      </c>
    </row>
    <row r="5554" spans="1:7" x14ac:dyDescent="0.2">
      <c r="A5554" t="s">
        <v>6580</v>
      </c>
      <c r="B5554" t="str">
        <f>"18051365869"</f>
        <v>18051365869</v>
      </c>
      <c r="C5554" t="str">
        <f>"320304198406115557"</f>
        <v>320304198406115557</v>
      </c>
      <c r="D5554" t="s">
        <v>1</v>
      </c>
      <c r="E5554" t="s">
        <v>1</v>
      </c>
      <c r="F5554" t="s">
        <v>0</v>
      </c>
      <c r="G5554" t="str">
        <f>"2018-10-20 16:38:54"</f>
        <v>2018-10-20 16:38:54</v>
      </c>
    </row>
    <row r="5555" spans="1:7" x14ac:dyDescent="0.2">
      <c r="A5555" t="s">
        <v>363</v>
      </c>
      <c r="B5555" t="str">
        <f>"15034318080"</f>
        <v>15034318080</v>
      </c>
      <c r="C5555" t="str">
        <f>"142601199111302822"</f>
        <v>142601199111302822</v>
      </c>
      <c r="D5555" t="s">
        <v>6581</v>
      </c>
      <c r="E5555" t="s">
        <v>6582</v>
      </c>
      <c r="F5555" t="s">
        <v>0</v>
      </c>
      <c r="G5555" t="str">
        <f>"2018-10-31 16:37:21"</f>
        <v>2018-10-31 16:37:21</v>
      </c>
    </row>
    <row r="5556" spans="1:7" x14ac:dyDescent="0.2">
      <c r="A5556" t="s">
        <v>6583</v>
      </c>
      <c r="B5556" t="str">
        <f>"15198018106"</f>
        <v>15198018106</v>
      </c>
      <c r="C5556" t="str">
        <f>"51062319890121553X"</f>
        <v>51062319890121553X</v>
      </c>
      <c r="D5556" t="s">
        <v>6584</v>
      </c>
      <c r="E5556" t="s">
        <v>6585</v>
      </c>
      <c r="F5556" t="s">
        <v>0</v>
      </c>
      <c r="G5556" t="str">
        <f>"2018-10-17 09:10:15"</f>
        <v>2018-10-17 09:10:15</v>
      </c>
    </row>
    <row r="5557" spans="1:7" x14ac:dyDescent="0.2">
      <c r="A5557" t="s">
        <v>1</v>
      </c>
      <c r="B5557" t="str">
        <f>"13095313531"</f>
        <v>13095313531</v>
      </c>
      <c r="C5557" t="s">
        <v>1</v>
      </c>
      <c r="D5557" t="s">
        <v>1</v>
      </c>
      <c r="E5557" t="s">
        <v>1</v>
      </c>
      <c r="F5557" t="s">
        <v>0</v>
      </c>
      <c r="G5557" t="str">
        <f>"2018-10-17 08:16:47"</f>
        <v>2018-10-17 08:16:47</v>
      </c>
    </row>
    <row r="5558" spans="1:7" x14ac:dyDescent="0.2">
      <c r="A5558" t="s">
        <v>1</v>
      </c>
      <c r="B5558" t="str">
        <f>"13871602477"</f>
        <v>13871602477</v>
      </c>
      <c r="C5558" t="s">
        <v>1</v>
      </c>
      <c r="D5558" t="s">
        <v>1</v>
      </c>
      <c r="E5558" t="s">
        <v>1</v>
      </c>
      <c r="F5558" t="s">
        <v>0</v>
      </c>
      <c r="G5558" t="str">
        <f>"2018-10-17 08:16:38"</f>
        <v>2018-10-17 08:16:38</v>
      </c>
    </row>
    <row r="5559" spans="1:7" x14ac:dyDescent="0.2">
      <c r="A5559" t="s">
        <v>6586</v>
      </c>
      <c r="B5559" t="str">
        <f>"13923000598"</f>
        <v>13923000598</v>
      </c>
      <c r="C5559" t="str">
        <f>"441481198707270370"</f>
        <v>441481198707270370</v>
      </c>
      <c r="D5559" t="s">
        <v>1</v>
      </c>
      <c r="E5559" t="s">
        <v>1</v>
      </c>
      <c r="F5559" t="s">
        <v>0</v>
      </c>
      <c r="G5559" t="str">
        <f>"2018-10-17 08:19:14"</f>
        <v>2018-10-17 08:19:14</v>
      </c>
    </row>
    <row r="5560" spans="1:7" x14ac:dyDescent="0.2">
      <c r="A5560" t="s">
        <v>6587</v>
      </c>
      <c r="B5560" t="str">
        <f>"13596497262"</f>
        <v>13596497262</v>
      </c>
      <c r="C5560" t="str">
        <f>"220381199005061416"</f>
        <v>220381199005061416</v>
      </c>
      <c r="D5560" t="s">
        <v>1</v>
      </c>
      <c r="E5560" t="s">
        <v>1</v>
      </c>
      <c r="F5560" t="s">
        <v>0</v>
      </c>
      <c r="G5560" t="str">
        <f>"2018-10-17 08:15:48"</f>
        <v>2018-10-17 08:15:48</v>
      </c>
    </row>
    <row r="5561" spans="1:7" x14ac:dyDescent="0.2">
      <c r="A5561" t="s">
        <v>6588</v>
      </c>
      <c r="B5561" t="str">
        <f>"13988430394"</f>
        <v>13988430394</v>
      </c>
      <c r="C5561" t="str">
        <f>"532424198112041611"</f>
        <v>532424198112041611</v>
      </c>
      <c r="D5561" t="s">
        <v>1</v>
      </c>
      <c r="E5561" t="s">
        <v>1</v>
      </c>
      <c r="F5561" t="s">
        <v>0</v>
      </c>
      <c r="G5561" t="str">
        <f>"2018-10-17 08:19:48"</f>
        <v>2018-10-17 08:19:48</v>
      </c>
    </row>
    <row r="5562" spans="1:7" x14ac:dyDescent="0.2">
      <c r="A5562" t="s">
        <v>1414</v>
      </c>
      <c r="B5562" t="str">
        <f>"13940444267"</f>
        <v>13940444267</v>
      </c>
      <c r="C5562" t="str">
        <f>"220722198901064815"</f>
        <v>220722198901064815</v>
      </c>
      <c r="D5562" t="s">
        <v>1</v>
      </c>
      <c r="E5562" t="s">
        <v>1</v>
      </c>
      <c r="F5562" t="s">
        <v>0</v>
      </c>
      <c r="G5562" t="str">
        <f>"2018-10-17 08:14:16"</f>
        <v>2018-10-17 08:14:16</v>
      </c>
    </row>
    <row r="5563" spans="1:7" x14ac:dyDescent="0.2">
      <c r="A5563" t="s">
        <v>6589</v>
      </c>
      <c r="B5563" t="str">
        <f>"13722587970"</f>
        <v>13722587970</v>
      </c>
      <c r="C5563" t="str">
        <f>"130429198602078068"</f>
        <v>130429198602078068</v>
      </c>
      <c r="D5563" t="s">
        <v>1</v>
      </c>
      <c r="E5563" t="s">
        <v>1</v>
      </c>
      <c r="F5563" t="s">
        <v>0</v>
      </c>
      <c r="G5563" t="str">
        <f>"2018-10-17 08:12:02"</f>
        <v>2018-10-17 08:12:02</v>
      </c>
    </row>
    <row r="5564" spans="1:7" x14ac:dyDescent="0.2">
      <c r="A5564" t="s">
        <v>6590</v>
      </c>
      <c r="B5564" t="str">
        <f>"18391757719"</f>
        <v>18391757719</v>
      </c>
      <c r="C5564" t="str">
        <f>"610322197802042940"</f>
        <v>610322197802042940</v>
      </c>
      <c r="D5564" t="s">
        <v>1</v>
      </c>
      <c r="E5564" t="s">
        <v>1</v>
      </c>
      <c r="F5564" t="s">
        <v>0</v>
      </c>
      <c r="G5564" t="str">
        <f>"2018-10-17 08:11:29"</f>
        <v>2018-10-17 08:11:29</v>
      </c>
    </row>
    <row r="5565" spans="1:7" x14ac:dyDescent="0.2">
      <c r="A5565" t="s">
        <v>6591</v>
      </c>
      <c r="B5565" t="str">
        <f>"15605303331"</f>
        <v>15605303331</v>
      </c>
      <c r="C5565" t="str">
        <f>"372901199105040642"</f>
        <v>372901199105040642</v>
      </c>
      <c r="D5565" t="s">
        <v>1</v>
      </c>
      <c r="E5565" t="s">
        <v>1</v>
      </c>
      <c r="F5565" t="s">
        <v>0</v>
      </c>
      <c r="G5565" t="str">
        <f>"2018-10-21 10:35:26"</f>
        <v>2018-10-21 10:35:26</v>
      </c>
    </row>
    <row r="5566" spans="1:7" x14ac:dyDescent="0.2">
      <c r="A5566" t="s">
        <v>6592</v>
      </c>
      <c r="B5566" t="str">
        <f>"15127550122"</f>
        <v>15127550122</v>
      </c>
      <c r="C5566" t="str">
        <f>"152324198703072114"</f>
        <v>152324198703072114</v>
      </c>
      <c r="D5566" t="s">
        <v>1</v>
      </c>
      <c r="E5566" t="s">
        <v>1</v>
      </c>
      <c r="F5566" t="s">
        <v>0</v>
      </c>
      <c r="G5566" t="str">
        <f>"2018-10-17 08:07:37"</f>
        <v>2018-10-17 08:07:37</v>
      </c>
    </row>
    <row r="5567" spans="1:7" x14ac:dyDescent="0.2">
      <c r="A5567" t="s">
        <v>6593</v>
      </c>
      <c r="B5567" t="str">
        <f>"15255472090"</f>
        <v>15255472090</v>
      </c>
      <c r="C5567" t="str">
        <f>"341702199607014822"</f>
        <v>341702199607014822</v>
      </c>
      <c r="D5567" t="s">
        <v>6594</v>
      </c>
      <c r="E5567" t="s">
        <v>6595</v>
      </c>
      <c r="F5567" t="s">
        <v>0</v>
      </c>
      <c r="G5567" t="str">
        <f>"2018-10-17 08:06:09"</f>
        <v>2018-10-17 08:06:09</v>
      </c>
    </row>
    <row r="5568" spans="1:7" x14ac:dyDescent="0.2">
      <c r="A5568" t="s">
        <v>6596</v>
      </c>
      <c r="B5568" t="str">
        <f>"15981967520"</f>
        <v>15981967520</v>
      </c>
      <c r="C5568" t="str">
        <f>"41018519890907985X"</f>
        <v>41018519890907985X</v>
      </c>
      <c r="D5568" t="s">
        <v>1</v>
      </c>
      <c r="E5568" t="s">
        <v>1</v>
      </c>
      <c r="F5568" t="s">
        <v>0</v>
      </c>
      <c r="G5568" t="str">
        <f>"2018-10-17 08:13:24"</f>
        <v>2018-10-17 08:13:24</v>
      </c>
    </row>
    <row r="5569" spans="1:7" x14ac:dyDescent="0.2">
      <c r="A5569" t="s">
        <v>6597</v>
      </c>
      <c r="B5569" t="str">
        <f>"18914786590"</f>
        <v>18914786590</v>
      </c>
      <c r="C5569" t="str">
        <f>"320103198610040014"</f>
        <v>320103198610040014</v>
      </c>
      <c r="D5569" t="s">
        <v>6598</v>
      </c>
      <c r="E5569" t="s">
        <v>6599</v>
      </c>
      <c r="F5569" t="s">
        <v>0</v>
      </c>
      <c r="G5569" t="str">
        <f>"2018-10-28 11:15:28"</f>
        <v>2018-10-28 11:15:28</v>
      </c>
    </row>
    <row r="5570" spans="1:7" x14ac:dyDescent="0.2">
      <c r="A5570" t="s">
        <v>6600</v>
      </c>
      <c r="B5570" t="str">
        <f>"13086065816"</f>
        <v>13086065816</v>
      </c>
      <c r="C5570" t="str">
        <f>"460003199306080257"</f>
        <v>460003199306080257</v>
      </c>
      <c r="D5570" t="s">
        <v>1</v>
      </c>
      <c r="E5570" t="s">
        <v>1</v>
      </c>
      <c r="F5570" t="s">
        <v>0</v>
      </c>
      <c r="G5570" t="str">
        <f>"2018-10-17 07:54:56"</f>
        <v>2018-10-17 07:54:56</v>
      </c>
    </row>
    <row r="5571" spans="1:7" x14ac:dyDescent="0.2">
      <c r="A5571" t="s">
        <v>6601</v>
      </c>
      <c r="B5571" t="str">
        <f>"13303534638"</f>
        <v>13303534638</v>
      </c>
      <c r="C5571" t="str">
        <f>"140322198102124234"</f>
        <v>140322198102124234</v>
      </c>
      <c r="D5571" t="s">
        <v>1</v>
      </c>
      <c r="E5571" t="s">
        <v>1</v>
      </c>
      <c r="F5571" t="s">
        <v>0</v>
      </c>
      <c r="G5571" t="str">
        <f>"2018-10-17 07:51:05"</f>
        <v>2018-10-17 07:51:05</v>
      </c>
    </row>
    <row r="5572" spans="1:7" x14ac:dyDescent="0.2">
      <c r="A5572" t="s">
        <v>6602</v>
      </c>
      <c r="B5572" t="str">
        <f>"13529896100"</f>
        <v>13529896100</v>
      </c>
      <c r="C5572" t="str">
        <f>"532225198912021817"</f>
        <v>532225198912021817</v>
      </c>
      <c r="D5572" t="s">
        <v>1</v>
      </c>
      <c r="E5572" t="s">
        <v>1</v>
      </c>
      <c r="F5572" t="s">
        <v>0</v>
      </c>
      <c r="G5572" t="str">
        <f>"2018-10-19 11:38:24"</f>
        <v>2018-10-19 11:38:24</v>
      </c>
    </row>
    <row r="5573" spans="1:7" x14ac:dyDescent="0.2">
      <c r="A5573" t="s">
        <v>1</v>
      </c>
      <c r="B5573" t="str">
        <f>"18695069736"</f>
        <v>18695069736</v>
      </c>
      <c r="C5573" t="s">
        <v>1</v>
      </c>
      <c r="D5573" t="s">
        <v>1</v>
      </c>
      <c r="E5573" t="s">
        <v>1</v>
      </c>
      <c r="F5573" t="s">
        <v>0</v>
      </c>
      <c r="G5573" t="str">
        <f>"2018-10-17 07:44:35"</f>
        <v>2018-10-17 07:44:35</v>
      </c>
    </row>
    <row r="5574" spans="1:7" x14ac:dyDescent="0.2">
      <c r="A5574" t="s">
        <v>6603</v>
      </c>
      <c r="B5574" t="str">
        <f>"18234115507"</f>
        <v>18234115507</v>
      </c>
      <c r="C5574" t="str">
        <f>"410928199503265733"</f>
        <v>410928199503265733</v>
      </c>
      <c r="D5574" t="s">
        <v>1</v>
      </c>
      <c r="E5574" t="s">
        <v>1</v>
      </c>
      <c r="F5574" t="s">
        <v>0</v>
      </c>
      <c r="G5574" t="str">
        <f>"2018-10-17 08:30:21"</f>
        <v>2018-10-17 08:30:21</v>
      </c>
    </row>
    <row r="5575" spans="1:7" x14ac:dyDescent="0.2">
      <c r="A5575" t="s">
        <v>1</v>
      </c>
      <c r="B5575" t="str">
        <f>"18861208048"</f>
        <v>18861208048</v>
      </c>
      <c r="C5575" t="s">
        <v>1</v>
      </c>
      <c r="D5575" t="s">
        <v>1</v>
      </c>
      <c r="E5575" t="s">
        <v>1</v>
      </c>
      <c r="F5575" t="s">
        <v>0</v>
      </c>
      <c r="G5575" t="str">
        <f>"2018-10-17 07:44:07"</f>
        <v>2018-10-17 07:44:07</v>
      </c>
    </row>
    <row r="5576" spans="1:7" x14ac:dyDescent="0.2">
      <c r="A5576" t="s">
        <v>6604</v>
      </c>
      <c r="B5576" t="str">
        <f>"13948201740"</f>
        <v>13948201740</v>
      </c>
      <c r="C5576" t="str">
        <f>"220881198706055812"</f>
        <v>220881198706055812</v>
      </c>
      <c r="D5576" t="s">
        <v>1</v>
      </c>
      <c r="E5576" t="s">
        <v>1</v>
      </c>
      <c r="F5576" t="s">
        <v>0</v>
      </c>
      <c r="G5576" t="str">
        <f>"2018-10-17 07:43:03"</f>
        <v>2018-10-17 07:43:03</v>
      </c>
    </row>
    <row r="5577" spans="1:7" x14ac:dyDescent="0.2">
      <c r="A5577" t="s">
        <v>6605</v>
      </c>
      <c r="B5577" t="str">
        <f>"13969409449"</f>
        <v>13969409449</v>
      </c>
      <c r="C5577" t="str">
        <f>"370481198905021253"</f>
        <v>370481198905021253</v>
      </c>
      <c r="D5577" t="s">
        <v>1</v>
      </c>
      <c r="E5577" t="s">
        <v>1</v>
      </c>
      <c r="F5577" t="s">
        <v>0</v>
      </c>
      <c r="G5577" t="str">
        <f>"2018-10-17 07:43:40"</f>
        <v>2018-10-17 07:43:40</v>
      </c>
    </row>
    <row r="5578" spans="1:7" x14ac:dyDescent="0.2">
      <c r="A5578" t="s">
        <v>6606</v>
      </c>
      <c r="B5578" t="str">
        <f>"15950259601"</f>
        <v>15950259601</v>
      </c>
      <c r="C5578" t="str">
        <f>"320922198508291418"</f>
        <v>320922198508291418</v>
      </c>
      <c r="D5578" t="s">
        <v>1</v>
      </c>
      <c r="E5578" t="s">
        <v>1</v>
      </c>
      <c r="F5578" t="s">
        <v>0</v>
      </c>
      <c r="G5578" t="str">
        <f>"2018-10-17 07:41:39"</f>
        <v>2018-10-17 07:41:39</v>
      </c>
    </row>
    <row r="5579" spans="1:7" x14ac:dyDescent="0.2">
      <c r="A5579" t="s">
        <v>6607</v>
      </c>
      <c r="B5579" t="str">
        <f>"13908118788"</f>
        <v>13908118788</v>
      </c>
      <c r="C5579" t="str">
        <f>"510702197111080510"</f>
        <v>510702197111080510</v>
      </c>
      <c r="D5579" t="s">
        <v>6608</v>
      </c>
      <c r="E5579" t="s">
        <v>6609</v>
      </c>
      <c r="F5579" t="s">
        <v>0</v>
      </c>
      <c r="G5579" t="str">
        <f>"2018-10-17 07:41:33"</f>
        <v>2018-10-17 07:41:33</v>
      </c>
    </row>
    <row r="5580" spans="1:7" x14ac:dyDescent="0.2">
      <c r="A5580" t="s">
        <v>6610</v>
      </c>
      <c r="B5580" t="str">
        <f>"13242403922"</f>
        <v>13242403922</v>
      </c>
      <c r="C5580" t="str">
        <f>"360724199012067010"</f>
        <v>360724199012067010</v>
      </c>
      <c r="D5580" t="s">
        <v>1</v>
      </c>
      <c r="E5580" t="s">
        <v>1</v>
      </c>
      <c r="F5580" t="s">
        <v>0</v>
      </c>
      <c r="G5580" t="str">
        <f>"2018-10-17 08:16:10"</f>
        <v>2018-10-17 08:16:10</v>
      </c>
    </row>
    <row r="5581" spans="1:7" x14ac:dyDescent="0.2">
      <c r="A5581" t="s">
        <v>6611</v>
      </c>
      <c r="B5581" t="str">
        <f>"15042846895"</f>
        <v>15042846895</v>
      </c>
      <c r="C5581" t="str">
        <f>"211322198712141284"</f>
        <v>211322198712141284</v>
      </c>
      <c r="D5581" t="s">
        <v>6612</v>
      </c>
      <c r="E5581" t="s">
        <v>6613</v>
      </c>
      <c r="F5581" t="s">
        <v>0</v>
      </c>
      <c r="G5581" t="str">
        <f>"2018-10-17 07:38:29"</f>
        <v>2018-10-17 07:38:29</v>
      </c>
    </row>
    <row r="5582" spans="1:7" x14ac:dyDescent="0.2">
      <c r="A5582" t="s">
        <v>6614</v>
      </c>
      <c r="B5582" t="str">
        <f>"15911732873"</f>
        <v>15911732873</v>
      </c>
      <c r="C5582" t="str">
        <f>"532101199702045210"</f>
        <v>532101199702045210</v>
      </c>
      <c r="D5582" t="s">
        <v>1</v>
      </c>
      <c r="E5582" t="s">
        <v>1</v>
      </c>
      <c r="F5582" t="s">
        <v>0</v>
      </c>
      <c r="G5582" t="str">
        <f>"2018-10-17 07:41:28"</f>
        <v>2018-10-17 07:41:28</v>
      </c>
    </row>
    <row r="5583" spans="1:7" x14ac:dyDescent="0.2">
      <c r="A5583" t="s">
        <v>6615</v>
      </c>
      <c r="B5583" t="str">
        <f>"15850450500"</f>
        <v>15850450500</v>
      </c>
      <c r="C5583" t="str">
        <f>"321121198111194215"</f>
        <v>321121198111194215</v>
      </c>
      <c r="D5583" t="s">
        <v>1</v>
      </c>
      <c r="E5583" t="s">
        <v>1</v>
      </c>
      <c r="F5583" t="s">
        <v>0</v>
      </c>
      <c r="G5583" t="str">
        <f>"2018-11-02 08:53:45"</f>
        <v>2018-11-02 08:53:45</v>
      </c>
    </row>
    <row r="5584" spans="1:7" x14ac:dyDescent="0.2">
      <c r="A5584" t="s">
        <v>6616</v>
      </c>
      <c r="B5584" t="str">
        <f>"18668371723"</f>
        <v>18668371723</v>
      </c>
      <c r="C5584" t="str">
        <f>"431222198904185228"</f>
        <v>431222198904185228</v>
      </c>
      <c r="D5584" t="s">
        <v>1</v>
      </c>
      <c r="E5584" t="s">
        <v>1</v>
      </c>
      <c r="F5584" t="s">
        <v>0</v>
      </c>
      <c r="G5584" t="str">
        <f>"2018-10-17 07:34:21"</f>
        <v>2018-10-17 07:34:21</v>
      </c>
    </row>
    <row r="5585" spans="1:7" x14ac:dyDescent="0.2">
      <c r="A5585" t="s">
        <v>6617</v>
      </c>
      <c r="B5585" t="str">
        <f>"13163985235"</f>
        <v>13163985235</v>
      </c>
      <c r="C5585" t="str">
        <f>"35052119851023505X"</f>
        <v>35052119851023505X</v>
      </c>
      <c r="D5585" t="s">
        <v>1</v>
      </c>
      <c r="E5585" t="s">
        <v>1</v>
      </c>
      <c r="F5585" t="s">
        <v>0</v>
      </c>
      <c r="G5585" t="str">
        <f>"2018-10-17 07:32:27"</f>
        <v>2018-10-17 07:32:27</v>
      </c>
    </row>
    <row r="5586" spans="1:7" x14ac:dyDescent="0.2">
      <c r="A5586" t="s">
        <v>134</v>
      </c>
      <c r="B5586" t="str">
        <f>"15290648532"</f>
        <v>15290648532</v>
      </c>
      <c r="C5586" t="str">
        <f>"412725199205171896"</f>
        <v>412725199205171896</v>
      </c>
      <c r="D5586" t="s">
        <v>1</v>
      </c>
      <c r="E5586" t="s">
        <v>1</v>
      </c>
      <c r="F5586" t="s">
        <v>0</v>
      </c>
      <c r="G5586" t="str">
        <f>"2018-10-17 07:31:22"</f>
        <v>2018-10-17 07:31:22</v>
      </c>
    </row>
    <row r="5587" spans="1:7" x14ac:dyDescent="0.2">
      <c r="A5587" t="s">
        <v>1</v>
      </c>
      <c r="B5587" t="str">
        <f>"15629032535"</f>
        <v>15629032535</v>
      </c>
      <c r="C5587" t="s">
        <v>1</v>
      </c>
      <c r="D5587" t="s">
        <v>1</v>
      </c>
      <c r="E5587" t="s">
        <v>1</v>
      </c>
      <c r="F5587" t="s">
        <v>0</v>
      </c>
      <c r="G5587" t="str">
        <f>"2018-10-17 07:30:33"</f>
        <v>2018-10-17 07:30:33</v>
      </c>
    </row>
    <row r="5588" spans="1:7" x14ac:dyDescent="0.2">
      <c r="A5588" t="s">
        <v>6618</v>
      </c>
      <c r="B5588" t="str">
        <f>"13875059733"</f>
        <v>13875059733</v>
      </c>
      <c r="C5588" t="str">
        <f>"430722198712253990"</f>
        <v>430722198712253990</v>
      </c>
      <c r="D5588" t="s">
        <v>6619</v>
      </c>
      <c r="E5588" t="s">
        <v>6620</v>
      </c>
      <c r="F5588" t="s">
        <v>0</v>
      </c>
      <c r="G5588" t="str">
        <f>"2018-10-24 10:48:51"</f>
        <v>2018-10-24 10:48:51</v>
      </c>
    </row>
    <row r="5589" spans="1:7" x14ac:dyDescent="0.2">
      <c r="A5589" t="s">
        <v>6621</v>
      </c>
      <c r="B5589" t="str">
        <f>"13555222205"</f>
        <v>13555222205</v>
      </c>
      <c r="C5589" t="str">
        <f>"231123198306200217"</f>
        <v>231123198306200217</v>
      </c>
      <c r="D5589" t="s">
        <v>1</v>
      </c>
      <c r="E5589" t="s">
        <v>1</v>
      </c>
      <c r="F5589" t="s">
        <v>0</v>
      </c>
      <c r="G5589" t="str">
        <f>"2018-10-17 07:28:30"</f>
        <v>2018-10-17 07:28:30</v>
      </c>
    </row>
    <row r="5590" spans="1:7" x14ac:dyDescent="0.2">
      <c r="A5590" t="s">
        <v>6622</v>
      </c>
      <c r="B5590" t="str">
        <f>"18516261006"</f>
        <v>18516261006</v>
      </c>
      <c r="C5590" t="str">
        <f>"142422198910060619"</f>
        <v>142422198910060619</v>
      </c>
      <c r="D5590" t="s">
        <v>1</v>
      </c>
      <c r="E5590" t="s">
        <v>1</v>
      </c>
      <c r="F5590" t="s">
        <v>0</v>
      </c>
      <c r="G5590" t="str">
        <f>"2018-10-17 07:22:29"</f>
        <v>2018-10-17 07:22:29</v>
      </c>
    </row>
    <row r="5591" spans="1:7" x14ac:dyDescent="0.2">
      <c r="A5591" t="s">
        <v>6623</v>
      </c>
      <c r="B5591" t="str">
        <f>"18686428837"</f>
        <v>18686428837</v>
      </c>
      <c r="C5591" t="str">
        <f>"220282199502115316"</f>
        <v>220282199502115316</v>
      </c>
      <c r="D5591" t="s">
        <v>1</v>
      </c>
      <c r="E5591" t="s">
        <v>1</v>
      </c>
      <c r="F5591" t="s">
        <v>0</v>
      </c>
      <c r="G5591" t="str">
        <f>"2018-10-17 07:19:25"</f>
        <v>2018-10-17 07:19:25</v>
      </c>
    </row>
    <row r="5592" spans="1:7" x14ac:dyDescent="0.2">
      <c r="A5592" t="s">
        <v>6624</v>
      </c>
      <c r="B5592" t="str">
        <f>"15864491688"</f>
        <v>15864491688</v>
      </c>
      <c r="C5592" t="str">
        <f>"370322198907014238"</f>
        <v>370322198907014238</v>
      </c>
      <c r="D5592" t="s">
        <v>1</v>
      </c>
      <c r="E5592" t="s">
        <v>1</v>
      </c>
      <c r="F5592" t="s">
        <v>0</v>
      </c>
      <c r="G5592" t="str">
        <f>"2018-10-17 07:17:35"</f>
        <v>2018-10-17 07:17:35</v>
      </c>
    </row>
    <row r="5593" spans="1:7" x14ac:dyDescent="0.2">
      <c r="A5593" t="s">
        <v>6625</v>
      </c>
      <c r="B5593" t="str">
        <f>"15064871444"</f>
        <v>15064871444</v>
      </c>
      <c r="C5593" t="str">
        <f>"370205198104092011"</f>
        <v>370205198104092011</v>
      </c>
      <c r="D5593" t="s">
        <v>6626</v>
      </c>
      <c r="E5593" t="s">
        <v>6627</v>
      </c>
      <c r="F5593" t="s">
        <v>0</v>
      </c>
      <c r="G5593" t="str">
        <f>"2018-10-17 07:17:55"</f>
        <v>2018-10-17 07:17:55</v>
      </c>
    </row>
    <row r="5594" spans="1:7" x14ac:dyDescent="0.2">
      <c r="A5594" t="s">
        <v>180</v>
      </c>
      <c r="B5594" t="str">
        <f>"17862309856"</f>
        <v>17862309856</v>
      </c>
      <c r="C5594" t="str">
        <f>"340823199609274966"</f>
        <v>340823199609274966</v>
      </c>
      <c r="D5594" t="s">
        <v>1</v>
      </c>
      <c r="E5594" t="s">
        <v>1</v>
      </c>
      <c r="F5594" t="s">
        <v>0</v>
      </c>
      <c r="G5594" t="str">
        <f>"2018-10-17 07:33:22"</f>
        <v>2018-10-17 07:33:22</v>
      </c>
    </row>
    <row r="5595" spans="1:7" x14ac:dyDescent="0.2">
      <c r="A5595" t="s">
        <v>1488</v>
      </c>
      <c r="B5595" t="str">
        <f>"18792692716"</f>
        <v>18792692716</v>
      </c>
      <c r="C5595" t="str">
        <f>"610521199403154279"</f>
        <v>610521199403154279</v>
      </c>
      <c r="D5595" t="s">
        <v>6628</v>
      </c>
      <c r="E5595" t="s">
        <v>6629</v>
      </c>
      <c r="F5595" t="s">
        <v>0</v>
      </c>
      <c r="G5595" t="str">
        <f>"2018-10-17 07:09:52"</f>
        <v>2018-10-17 07:09:52</v>
      </c>
    </row>
    <row r="5596" spans="1:7" x14ac:dyDescent="0.2">
      <c r="A5596" t="s">
        <v>6630</v>
      </c>
      <c r="B5596" t="str">
        <f>"15953917851"</f>
        <v>15953917851</v>
      </c>
      <c r="C5596" t="str">
        <f>"371323198806132136"</f>
        <v>371323198806132136</v>
      </c>
      <c r="D5596" t="s">
        <v>1</v>
      </c>
      <c r="E5596" t="s">
        <v>1</v>
      </c>
      <c r="F5596" t="s">
        <v>0</v>
      </c>
      <c r="G5596" t="str">
        <f>"2018-10-17 13:40:53"</f>
        <v>2018-10-17 13:40:53</v>
      </c>
    </row>
    <row r="5597" spans="1:7" x14ac:dyDescent="0.2">
      <c r="A5597" t="s">
        <v>6631</v>
      </c>
      <c r="B5597" t="str">
        <f>"18202396982"</f>
        <v>18202396982</v>
      </c>
      <c r="C5597" t="str">
        <f>"50011219850418505X"</f>
        <v>50011219850418505X</v>
      </c>
      <c r="D5597" t="s">
        <v>6632</v>
      </c>
      <c r="E5597" t="s">
        <v>6633</v>
      </c>
      <c r="F5597" t="s">
        <v>0</v>
      </c>
      <c r="G5597" t="str">
        <f>"2018-10-17 07:12:14"</f>
        <v>2018-10-17 07:12:14</v>
      </c>
    </row>
    <row r="5598" spans="1:7" x14ac:dyDescent="0.2">
      <c r="A5598" t="s">
        <v>6634</v>
      </c>
      <c r="B5598" t="str">
        <f>"15947194012"</f>
        <v>15947194012</v>
      </c>
      <c r="C5598" t="str">
        <f>"152502199012071224"</f>
        <v>152502199012071224</v>
      </c>
      <c r="D5598" t="s">
        <v>1</v>
      </c>
      <c r="E5598" t="s">
        <v>1</v>
      </c>
      <c r="F5598" t="s">
        <v>0</v>
      </c>
      <c r="G5598" t="str">
        <f>"2018-10-17 08:13:48"</f>
        <v>2018-10-17 08:13:48</v>
      </c>
    </row>
    <row r="5599" spans="1:7" x14ac:dyDescent="0.2">
      <c r="A5599" t="s">
        <v>6635</v>
      </c>
      <c r="B5599" t="str">
        <f>"18604000801"</f>
        <v>18604000801</v>
      </c>
      <c r="C5599" t="str">
        <f>"210105197910084011"</f>
        <v>210105197910084011</v>
      </c>
      <c r="D5599" t="s">
        <v>1</v>
      </c>
      <c r="E5599" t="s">
        <v>1</v>
      </c>
      <c r="F5599" t="s">
        <v>0</v>
      </c>
      <c r="G5599" t="str">
        <f>"2018-10-28 12:06:29"</f>
        <v>2018-10-28 12:06:29</v>
      </c>
    </row>
    <row r="5600" spans="1:7" x14ac:dyDescent="0.2">
      <c r="A5600" t="s">
        <v>6636</v>
      </c>
      <c r="B5600" t="str">
        <f>"15802653068"</f>
        <v>15802653068</v>
      </c>
      <c r="C5600" t="str">
        <f>"430621199103275011"</f>
        <v>430621199103275011</v>
      </c>
      <c r="D5600" t="s">
        <v>1</v>
      </c>
      <c r="E5600" t="s">
        <v>1</v>
      </c>
      <c r="F5600" t="s">
        <v>0</v>
      </c>
      <c r="G5600" t="str">
        <f>"2018-10-17 07:03:55"</f>
        <v>2018-10-17 07:03:55</v>
      </c>
    </row>
    <row r="5601" spans="1:7" x14ac:dyDescent="0.2">
      <c r="A5601" t="s">
        <v>1</v>
      </c>
      <c r="B5601" t="str">
        <f>"13622473580"</f>
        <v>13622473580</v>
      </c>
      <c r="C5601" t="s">
        <v>1</v>
      </c>
      <c r="D5601" t="s">
        <v>1</v>
      </c>
      <c r="E5601" t="s">
        <v>1</v>
      </c>
      <c r="F5601" t="s">
        <v>0</v>
      </c>
      <c r="G5601" t="str">
        <f>"2018-10-17 06:59:01"</f>
        <v>2018-10-17 06:59:01</v>
      </c>
    </row>
    <row r="5602" spans="1:7" x14ac:dyDescent="0.2">
      <c r="A5602" t="s">
        <v>6637</v>
      </c>
      <c r="B5602" t="str">
        <f>"13757138470"</f>
        <v>13757138470</v>
      </c>
      <c r="C5602" t="str">
        <f>"362422198410111652"</f>
        <v>362422198410111652</v>
      </c>
      <c r="D5602" t="s">
        <v>1</v>
      </c>
      <c r="E5602" t="s">
        <v>1</v>
      </c>
      <c r="F5602" t="s">
        <v>0</v>
      </c>
      <c r="G5602" t="str">
        <f>"2018-10-17 22:06:43"</f>
        <v>2018-10-17 22:06:43</v>
      </c>
    </row>
    <row r="5603" spans="1:7" x14ac:dyDescent="0.2">
      <c r="A5603" t="s">
        <v>6638</v>
      </c>
      <c r="B5603" t="str">
        <f>"13941004195"</f>
        <v>13941004195</v>
      </c>
      <c r="C5603" t="str">
        <f>"211221198410281255"</f>
        <v>211221198410281255</v>
      </c>
      <c r="D5603" t="s">
        <v>1</v>
      </c>
      <c r="E5603" t="s">
        <v>1</v>
      </c>
      <c r="F5603" t="s">
        <v>0</v>
      </c>
      <c r="G5603" t="str">
        <f>"2018-10-17 06:59:49"</f>
        <v>2018-10-17 06:59:49</v>
      </c>
    </row>
    <row r="5604" spans="1:7" x14ac:dyDescent="0.2">
      <c r="A5604" t="s">
        <v>6639</v>
      </c>
      <c r="B5604" t="str">
        <f>"15137350413"</f>
        <v>15137350413</v>
      </c>
      <c r="C5604" t="str">
        <f>"410711198112242523"</f>
        <v>410711198112242523</v>
      </c>
      <c r="D5604" t="s">
        <v>1</v>
      </c>
      <c r="E5604" t="s">
        <v>1</v>
      </c>
      <c r="F5604" t="s">
        <v>0</v>
      </c>
      <c r="G5604" t="str">
        <f>"2018-10-17 09:52:35"</f>
        <v>2018-10-17 09:52:35</v>
      </c>
    </row>
    <row r="5605" spans="1:7" x14ac:dyDescent="0.2">
      <c r="A5605" t="s">
        <v>1</v>
      </c>
      <c r="B5605" t="str">
        <f>"15815280115"</f>
        <v>15815280115</v>
      </c>
      <c r="C5605" t="s">
        <v>1</v>
      </c>
      <c r="D5605" t="s">
        <v>1</v>
      </c>
      <c r="E5605" t="s">
        <v>1</v>
      </c>
      <c r="F5605" t="s">
        <v>0</v>
      </c>
      <c r="G5605" t="str">
        <f>"2018-10-17 06:51:27"</f>
        <v>2018-10-17 06:51:27</v>
      </c>
    </row>
    <row r="5606" spans="1:7" x14ac:dyDescent="0.2">
      <c r="A5606" t="s">
        <v>6640</v>
      </c>
      <c r="B5606" t="str">
        <f>"15770257119"</f>
        <v>15770257119</v>
      </c>
      <c r="C5606" t="str">
        <f>"532126198612280017"</f>
        <v>532126198612280017</v>
      </c>
      <c r="D5606" t="s">
        <v>1</v>
      </c>
      <c r="E5606" t="s">
        <v>1</v>
      </c>
      <c r="F5606" t="s">
        <v>0</v>
      </c>
      <c r="G5606" t="str">
        <f>"2018-10-17 06:47:53"</f>
        <v>2018-10-17 06:47:53</v>
      </c>
    </row>
    <row r="5607" spans="1:7" x14ac:dyDescent="0.2">
      <c r="A5607" t="s">
        <v>1</v>
      </c>
      <c r="B5607" t="str">
        <f>"18364227706"</f>
        <v>18364227706</v>
      </c>
      <c r="C5607" t="s">
        <v>1</v>
      </c>
      <c r="D5607" t="s">
        <v>1</v>
      </c>
      <c r="E5607" t="s">
        <v>1</v>
      </c>
      <c r="F5607" t="s">
        <v>0</v>
      </c>
      <c r="G5607" t="str">
        <f>"2018-10-17 06:58:59"</f>
        <v>2018-10-17 06:58:59</v>
      </c>
    </row>
    <row r="5608" spans="1:7" x14ac:dyDescent="0.2">
      <c r="A5608" t="s">
        <v>6641</v>
      </c>
      <c r="B5608" t="str">
        <f>"18853978609"</f>
        <v>18853978609</v>
      </c>
      <c r="C5608" t="str">
        <f>"371302199710240610"</f>
        <v>371302199710240610</v>
      </c>
      <c r="D5608" t="s">
        <v>6642</v>
      </c>
      <c r="E5608" t="s">
        <v>6643</v>
      </c>
      <c r="F5608" t="s">
        <v>0</v>
      </c>
      <c r="G5608" t="str">
        <f>"2018-10-17 06:42:28"</f>
        <v>2018-10-17 06:42:28</v>
      </c>
    </row>
    <row r="5609" spans="1:7" x14ac:dyDescent="0.2">
      <c r="A5609" t="s">
        <v>299</v>
      </c>
      <c r="B5609" t="str">
        <f>"15843049324"</f>
        <v>15843049324</v>
      </c>
      <c r="C5609" t="str">
        <f>"220724199202073015"</f>
        <v>220724199202073015</v>
      </c>
      <c r="D5609" t="s">
        <v>1</v>
      </c>
      <c r="E5609" t="s">
        <v>1</v>
      </c>
      <c r="F5609" t="s">
        <v>0</v>
      </c>
      <c r="G5609" t="str">
        <f>"2018-10-17 13:03:04"</f>
        <v>2018-10-17 13:03:04</v>
      </c>
    </row>
    <row r="5610" spans="1:7" x14ac:dyDescent="0.2">
      <c r="A5610" t="s">
        <v>770</v>
      </c>
      <c r="B5610" t="str">
        <f>"13946457045"</f>
        <v>13946457045</v>
      </c>
      <c r="C5610" t="str">
        <f>"230822199708193369"</f>
        <v>230822199708193369</v>
      </c>
      <c r="D5610" t="s">
        <v>1</v>
      </c>
      <c r="E5610" t="s">
        <v>1</v>
      </c>
      <c r="F5610" t="s">
        <v>0</v>
      </c>
      <c r="G5610" t="str">
        <f>"2018-10-17 06:33:42"</f>
        <v>2018-10-17 06:33:42</v>
      </c>
    </row>
    <row r="5611" spans="1:7" x14ac:dyDescent="0.2">
      <c r="A5611" t="s">
        <v>6644</v>
      </c>
      <c r="B5611" t="str">
        <f>"13173403444"</f>
        <v>13173403444</v>
      </c>
      <c r="C5611" t="str">
        <f>"371081199212282614"</f>
        <v>371081199212282614</v>
      </c>
      <c r="D5611" t="s">
        <v>1</v>
      </c>
      <c r="E5611" t="s">
        <v>1</v>
      </c>
      <c r="F5611" t="s">
        <v>0</v>
      </c>
      <c r="G5611" t="str">
        <f>"2018-10-17 06:31:32"</f>
        <v>2018-10-17 06:31:32</v>
      </c>
    </row>
    <row r="5612" spans="1:7" x14ac:dyDescent="0.2">
      <c r="A5612" t="s">
        <v>6645</v>
      </c>
      <c r="B5612" t="str">
        <f>"18066108882"</f>
        <v>18066108882</v>
      </c>
      <c r="C5612" t="str">
        <f>"320104199012311612"</f>
        <v>320104199012311612</v>
      </c>
      <c r="D5612" t="s">
        <v>6646</v>
      </c>
      <c r="E5612" t="s">
        <v>6647</v>
      </c>
      <c r="F5612" t="s">
        <v>0</v>
      </c>
      <c r="G5612" t="str">
        <f>"2018-10-17 06:35:37"</f>
        <v>2018-10-17 06:35:37</v>
      </c>
    </row>
    <row r="5613" spans="1:7" x14ac:dyDescent="0.2">
      <c r="A5613" t="s">
        <v>6648</v>
      </c>
      <c r="B5613" t="str">
        <f>"13855714977"</f>
        <v>13855714977</v>
      </c>
      <c r="C5613" t="str">
        <f>"341322199410267619"</f>
        <v>341322199410267619</v>
      </c>
      <c r="D5613" t="s">
        <v>1</v>
      </c>
      <c r="E5613" t="s">
        <v>1</v>
      </c>
      <c r="F5613" t="s">
        <v>0</v>
      </c>
      <c r="G5613" t="str">
        <f>"2018-10-17 06:19:13"</f>
        <v>2018-10-17 06:19:13</v>
      </c>
    </row>
    <row r="5614" spans="1:7" x14ac:dyDescent="0.2">
      <c r="A5614" t="s">
        <v>1</v>
      </c>
      <c r="B5614" t="str">
        <f>"17392039528"</f>
        <v>17392039528</v>
      </c>
      <c r="C5614" t="s">
        <v>1</v>
      </c>
      <c r="D5614" t="s">
        <v>1</v>
      </c>
      <c r="E5614" t="s">
        <v>1</v>
      </c>
      <c r="F5614" t="s">
        <v>0</v>
      </c>
      <c r="G5614" t="str">
        <f>"2018-10-17 06:16:54"</f>
        <v>2018-10-17 06:16:54</v>
      </c>
    </row>
    <row r="5615" spans="1:7" x14ac:dyDescent="0.2">
      <c r="A5615" t="s">
        <v>1</v>
      </c>
      <c r="B5615" t="str">
        <f>"18262181626"</f>
        <v>18262181626</v>
      </c>
      <c r="C5615" t="s">
        <v>1</v>
      </c>
      <c r="D5615" t="s">
        <v>1</v>
      </c>
      <c r="E5615" t="s">
        <v>1</v>
      </c>
      <c r="F5615" t="s">
        <v>0</v>
      </c>
      <c r="G5615" t="str">
        <f>"2018-10-17 06:11:46"</f>
        <v>2018-10-17 06:11:46</v>
      </c>
    </row>
    <row r="5616" spans="1:7" x14ac:dyDescent="0.2">
      <c r="A5616" t="s">
        <v>6649</v>
      </c>
      <c r="B5616" t="str">
        <f>"13531858237"</f>
        <v>13531858237</v>
      </c>
      <c r="C5616" t="str">
        <f>"513029198410163956"</f>
        <v>513029198410163956</v>
      </c>
      <c r="D5616" t="s">
        <v>1</v>
      </c>
      <c r="E5616" t="s">
        <v>1</v>
      </c>
      <c r="F5616" t="s">
        <v>0</v>
      </c>
      <c r="G5616" t="str">
        <f>"2018-11-02 14:52:37"</f>
        <v>2018-11-02 14:52:37</v>
      </c>
    </row>
    <row r="5617" spans="1:7" x14ac:dyDescent="0.2">
      <c r="A5617" t="s">
        <v>1</v>
      </c>
      <c r="B5617" t="str">
        <f>"15678177380"</f>
        <v>15678177380</v>
      </c>
      <c r="C5617" t="s">
        <v>1</v>
      </c>
      <c r="D5617" t="s">
        <v>1</v>
      </c>
      <c r="E5617" t="s">
        <v>1</v>
      </c>
      <c r="F5617" t="s">
        <v>0</v>
      </c>
      <c r="G5617" t="str">
        <f>"2018-10-17 06:10:22"</f>
        <v>2018-10-17 06:10:22</v>
      </c>
    </row>
    <row r="5618" spans="1:7" x14ac:dyDescent="0.2">
      <c r="A5618" t="s">
        <v>6650</v>
      </c>
      <c r="B5618" t="str">
        <f>"13553337661"</f>
        <v>13553337661</v>
      </c>
      <c r="C5618" t="str">
        <f>"440281198310080737"</f>
        <v>440281198310080737</v>
      </c>
      <c r="D5618" t="s">
        <v>1</v>
      </c>
      <c r="E5618" t="s">
        <v>1</v>
      </c>
      <c r="F5618" t="s">
        <v>0</v>
      </c>
      <c r="G5618" t="str">
        <f>"2018-10-17 09:25:17"</f>
        <v>2018-10-17 09:25:17</v>
      </c>
    </row>
    <row r="5619" spans="1:7" x14ac:dyDescent="0.2">
      <c r="A5619" t="s">
        <v>6651</v>
      </c>
      <c r="B5619" t="str">
        <f>"17778536520"</f>
        <v>17778536520</v>
      </c>
      <c r="C5619" t="str">
        <f>"51390119900128712X"</f>
        <v>51390119900128712X</v>
      </c>
      <c r="D5619" t="s">
        <v>6652</v>
      </c>
      <c r="E5619" t="s">
        <v>6653</v>
      </c>
      <c r="F5619" t="s">
        <v>0</v>
      </c>
      <c r="G5619" t="str">
        <f>"2018-10-17 06:15:02"</f>
        <v>2018-10-17 06:15:02</v>
      </c>
    </row>
    <row r="5620" spans="1:7" x14ac:dyDescent="0.2">
      <c r="A5620" t="s">
        <v>6654</v>
      </c>
      <c r="B5620" t="str">
        <f>"15825675552"</f>
        <v>15825675552</v>
      </c>
      <c r="C5620" t="str">
        <f>"330381199108181416"</f>
        <v>330381199108181416</v>
      </c>
      <c r="D5620" t="s">
        <v>1</v>
      </c>
      <c r="E5620" t="s">
        <v>1</v>
      </c>
      <c r="F5620" t="s">
        <v>0</v>
      </c>
      <c r="G5620" t="str">
        <f>"2018-10-17 06:05:40"</f>
        <v>2018-10-17 06:05:40</v>
      </c>
    </row>
    <row r="5621" spans="1:7" x14ac:dyDescent="0.2">
      <c r="A5621" t="s">
        <v>6655</v>
      </c>
      <c r="B5621" t="str">
        <f>"17676163894"</f>
        <v>17676163894</v>
      </c>
      <c r="C5621" t="str">
        <f>"440882199903043011"</f>
        <v>440882199903043011</v>
      </c>
      <c r="D5621" t="s">
        <v>1</v>
      </c>
      <c r="E5621" t="s">
        <v>1</v>
      </c>
      <c r="F5621" t="s">
        <v>0</v>
      </c>
      <c r="G5621" t="str">
        <f>"2018-10-17 06:02:24"</f>
        <v>2018-10-17 06:02:24</v>
      </c>
    </row>
    <row r="5622" spans="1:7" x14ac:dyDescent="0.2">
      <c r="A5622" t="s">
        <v>6656</v>
      </c>
      <c r="B5622" t="str">
        <f>"13972000030"</f>
        <v>13972000030</v>
      </c>
      <c r="C5622" t="str">
        <f>"420500196708061822"</f>
        <v>420500196708061822</v>
      </c>
      <c r="D5622" t="s">
        <v>6657</v>
      </c>
      <c r="E5622" t="s">
        <v>6658</v>
      </c>
      <c r="F5622" t="s">
        <v>0</v>
      </c>
      <c r="G5622" t="str">
        <f>"2018-10-17 06:00:42"</f>
        <v>2018-10-17 06:00:42</v>
      </c>
    </row>
    <row r="5623" spans="1:7" x14ac:dyDescent="0.2">
      <c r="A5623" t="s">
        <v>6659</v>
      </c>
      <c r="B5623" t="str">
        <f>"17714975776"</f>
        <v>17714975776</v>
      </c>
      <c r="C5623" t="str">
        <f>"320281198706234272"</f>
        <v>320281198706234272</v>
      </c>
      <c r="D5623" t="s">
        <v>1</v>
      </c>
      <c r="E5623" t="s">
        <v>1</v>
      </c>
      <c r="F5623" t="s">
        <v>0</v>
      </c>
      <c r="G5623" t="str">
        <f>"2018-10-19 13:09:42"</f>
        <v>2018-10-19 13:09:42</v>
      </c>
    </row>
    <row r="5624" spans="1:7" x14ac:dyDescent="0.2">
      <c r="A5624" t="s">
        <v>6660</v>
      </c>
      <c r="B5624" t="str">
        <f>"13897653172"</f>
        <v>13897653172</v>
      </c>
      <c r="C5624" t="str">
        <f>"632126199607102919"</f>
        <v>632126199607102919</v>
      </c>
      <c r="D5624" t="s">
        <v>1</v>
      </c>
      <c r="E5624" t="s">
        <v>1</v>
      </c>
      <c r="F5624" t="s">
        <v>0</v>
      </c>
      <c r="G5624" t="str">
        <f>"2018-10-17 05:53:10"</f>
        <v>2018-10-17 05:53:10</v>
      </c>
    </row>
    <row r="5625" spans="1:7" x14ac:dyDescent="0.2">
      <c r="A5625" t="s">
        <v>6661</v>
      </c>
      <c r="B5625" t="str">
        <f>"15888506222"</f>
        <v>15888506222</v>
      </c>
      <c r="C5625" t="str">
        <f>"330283199110230018"</f>
        <v>330283199110230018</v>
      </c>
      <c r="D5625" t="s">
        <v>1</v>
      </c>
      <c r="E5625" t="s">
        <v>1</v>
      </c>
      <c r="F5625" t="s">
        <v>0</v>
      </c>
      <c r="G5625" t="str">
        <f>"2018-10-17 06:05:27"</f>
        <v>2018-10-17 06:05:27</v>
      </c>
    </row>
    <row r="5626" spans="1:7" x14ac:dyDescent="0.2">
      <c r="A5626" t="s">
        <v>6662</v>
      </c>
      <c r="B5626" t="str">
        <f>"13843472819"</f>
        <v>13843472819</v>
      </c>
      <c r="C5626" t="str">
        <f>"220322199209098560"</f>
        <v>220322199209098560</v>
      </c>
      <c r="D5626" t="s">
        <v>1</v>
      </c>
      <c r="E5626" t="s">
        <v>1</v>
      </c>
      <c r="F5626" t="s">
        <v>0</v>
      </c>
      <c r="G5626" t="str">
        <f>"2018-10-17 16:26:20"</f>
        <v>2018-10-17 16:26:20</v>
      </c>
    </row>
    <row r="5627" spans="1:7" x14ac:dyDescent="0.2">
      <c r="A5627" t="s">
        <v>134</v>
      </c>
      <c r="B5627" t="str">
        <f>"17614813370"</f>
        <v>17614813370</v>
      </c>
      <c r="C5627" t="str">
        <f>"150123199409105099"</f>
        <v>150123199409105099</v>
      </c>
      <c r="D5627" t="s">
        <v>1</v>
      </c>
      <c r="E5627" t="s">
        <v>1</v>
      </c>
      <c r="F5627" t="s">
        <v>0</v>
      </c>
      <c r="G5627" t="str">
        <f>"2018-10-17 05:45:14"</f>
        <v>2018-10-17 05:45:14</v>
      </c>
    </row>
    <row r="5628" spans="1:7" x14ac:dyDescent="0.2">
      <c r="A5628" t="s">
        <v>6663</v>
      </c>
      <c r="B5628" t="str">
        <f>"15704632777"</f>
        <v>15704632777</v>
      </c>
      <c r="C5628" t="str">
        <f>"231085198506271021"</f>
        <v>231085198506271021</v>
      </c>
      <c r="D5628" t="s">
        <v>6664</v>
      </c>
      <c r="E5628" t="s">
        <v>6665</v>
      </c>
      <c r="F5628" t="s">
        <v>0</v>
      </c>
      <c r="G5628" t="str">
        <f>"2018-10-17 08:23:37"</f>
        <v>2018-10-17 08:23:37</v>
      </c>
    </row>
    <row r="5629" spans="1:7" x14ac:dyDescent="0.2">
      <c r="A5629" t="s">
        <v>1</v>
      </c>
      <c r="B5629" t="str">
        <f>"17688996312"</f>
        <v>17688996312</v>
      </c>
      <c r="C5629" t="s">
        <v>1</v>
      </c>
      <c r="D5629" t="s">
        <v>1</v>
      </c>
      <c r="E5629" t="s">
        <v>1</v>
      </c>
      <c r="F5629" t="s">
        <v>0</v>
      </c>
      <c r="G5629" t="str">
        <f>"2018-10-17 05:38:14"</f>
        <v>2018-10-17 05:38:14</v>
      </c>
    </row>
    <row r="5630" spans="1:7" x14ac:dyDescent="0.2">
      <c r="A5630" t="s">
        <v>6666</v>
      </c>
      <c r="B5630" t="str">
        <f>"18877664710"</f>
        <v>18877664710</v>
      </c>
      <c r="C5630" t="str">
        <f>"452630199611020033"</f>
        <v>452630199611020033</v>
      </c>
      <c r="D5630" t="s">
        <v>6667</v>
      </c>
      <c r="E5630" t="s">
        <v>6668</v>
      </c>
      <c r="F5630" t="s">
        <v>0</v>
      </c>
      <c r="G5630" t="str">
        <f>"2018-10-17 05:36:38"</f>
        <v>2018-10-17 05:36:38</v>
      </c>
    </row>
    <row r="5631" spans="1:7" x14ac:dyDescent="0.2">
      <c r="A5631" t="s">
        <v>6669</v>
      </c>
      <c r="B5631" t="str">
        <f>"15167057876"</f>
        <v>15167057876</v>
      </c>
      <c r="C5631" t="str">
        <f>"330802199109215018"</f>
        <v>330802199109215018</v>
      </c>
      <c r="D5631" t="s">
        <v>1</v>
      </c>
      <c r="E5631" t="s">
        <v>1</v>
      </c>
      <c r="F5631" t="s">
        <v>0</v>
      </c>
      <c r="G5631" t="str">
        <f>"2018-10-17 05:32:09"</f>
        <v>2018-10-17 05:32:09</v>
      </c>
    </row>
    <row r="5632" spans="1:7" x14ac:dyDescent="0.2">
      <c r="A5632" t="s">
        <v>69</v>
      </c>
      <c r="B5632" t="str">
        <f>"15027963144"</f>
        <v>15027963144</v>
      </c>
      <c r="C5632" t="str">
        <f>"130424199201062615"</f>
        <v>130424199201062615</v>
      </c>
      <c r="D5632" t="s">
        <v>1</v>
      </c>
      <c r="E5632" t="s">
        <v>1</v>
      </c>
      <c r="F5632" t="s">
        <v>0</v>
      </c>
      <c r="G5632" t="str">
        <f>"2018-10-17 05:27:03"</f>
        <v>2018-10-17 05:27:03</v>
      </c>
    </row>
    <row r="5633" spans="1:7" x14ac:dyDescent="0.2">
      <c r="A5633" t="s">
        <v>6670</v>
      </c>
      <c r="B5633" t="str">
        <f>"13537999437"</f>
        <v>13537999437</v>
      </c>
      <c r="C5633" t="str">
        <f>"420704199411105775"</f>
        <v>420704199411105775</v>
      </c>
      <c r="D5633" t="s">
        <v>1</v>
      </c>
      <c r="E5633" t="s">
        <v>1</v>
      </c>
      <c r="F5633" t="s">
        <v>0</v>
      </c>
      <c r="G5633" t="str">
        <f>"2018-10-17 05:25:39"</f>
        <v>2018-10-17 05:25:39</v>
      </c>
    </row>
    <row r="5634" spans="1:7" x14ac:dyDescent="0.2">
      <c r="A5634" t="s">
        <v>6671</v>
      </c>
      <c r="B5634" t="str">
        <f>"17770068775"</f>
        <v>17770068775</v>
      </c>
      <c r="C5634" t="str">
        <f>"45222619941017091X"</f>
        <v>45222619941017091X</v>
      </c>
      <c r="D5634" t="s">
        <v>1</v>
      </c>
      <c r="E5634" t="s">
        <v>1</v>
      </c>
      <c r="F5634" t="s">
        <v>0</v>
      </c>
      <c r="G5634" t="str">
        <f>"2018-10-17 05:27:21"</f>
        <v>2018-10-17 05:27:21</v>
      </c>
    </row>
    <row r="5635" spans="1:7" x14ac:dyDescent="0.2">
      <c r="A5635" t="s">
        <v>433</v>
      </c>
      <c r="B5635" t="str">
        <f>"15880821353"</f>
        <v>15880821353</v>
      </c>
      <c r="C5635" t="str">
        <f>"35052119921115203X"</f>
        <v>35052119921115203X</v>
      </c>
      <c r="D5635" t="s">
        <v>1</v>
      </c>
      <c r="E5635" t="s">
        <v>1</v>
      </c>
      <c r="F5635" t="s">
        <v>0</v>
      </c>
      <c r="G5635" t="str">
        <f>"2018-10-25 00:10:32"</f>
        <v>2018-10-25 00:10:32</v>
      </c>
    </row>
    <row r="5636" spans="1:7" x14ac:dyDescent="0.2">
      <c r="A5636" t="s">
        <v>6672</v>
      </c>
      <c r="B5636" t="str">
        <f>"13631905308"</f>
        <v>13631905308</v>
      </c>
      <c r="C5636" t="str">
        <f>"441381198608156657"</f>
        <v>441381198608156657</v>
      </c>
      <c r="D5636" t="s">
        <v>1</v>
      </c>
      <c r="E5636" t="s">
        <v>1</v>
      </c>
      <c r="F5636" t="s">
        <v>0</v>
      </c>
      <c r="G5636" t="str">
        <f>"2018-10-23 09:47:30"</f>
        <v>2018-10-23 09:47:30</v>
      </c>
    </row>
    <row r="5637" spans="1:7" x14ac:dyDescent="0.2">
      <c r="A5637" t="s">
        <v>6673</v>
      </c>
      <c r="B5637" t="str">
        <f>"17607571657"</f>
        <v>17607571657</v>
      </c>
      <c r="C5637" t="str">
        <f>"431121199605178792"</f>
        <v>431121199605178792</v>
      </c>
      <c r="D5637" t="s">
        <v>1</v>
      </c>
      <c r="E5637" t="s">
        <v>1</v>
      </c>
      <c r="F5637" t="s">
        <v>0</v>
      </c>
      <c r="G5637" t="str">
        <f>"2018-10-17 05:20:15"</f>
        <v>2018-10-17 05:20:15</v>
      </c>
    </row>
    <row r="5638" spans="1:7" x14ac:dyDescent="0.2">
      <c r="A5638" t="s">
        <v>6674</v>
      </c>
      <c r="B5638" t="str">
        <f>"13128516052"</f>
        <v>13128516052</v>
      </c>
      <c r="C5638" t="str">
        <f>"452625199012053879"</f>
        <v>452625199012053879</v>
      </c>
      <c r="D5638" t="s">
        <v>1</v>
      </c>
      <c r="E5638" t="s">
        <v>1</v>
      </c>
      <c r="F5638" t="s">
        <v>0</v>
      </c>
      <c r="G5638" t="str">
        <f>"2018-11-01 14:49:25"</f>
        <v>2018-11-01 14:49:25</v>
      </c>
    </row>
    <row r="5639" spans="1:7" x14ac:dyDescent="0.2">
      <c r="A5639" t="s">
        <v>6675</v>
      </c>
      <c r="B5639" t="str">
        <f>"13713002241"</f>
        <v>13713002241</v>
      </c>
      <c r="C5639" t="str">
        <f>"612429198504087135"</f>
        <v>612429198504087135</v>
      </c>
      <c r="D5639" t="s">
        <v>1</v>
      </c>
      <c r="E5639" t="s">
        <v>1</v>
      </c>
      <c r="F5639" t="s">
        <v>0</v>
      </c>
      <c r="G5639" t="str">
        <f>"2018-10-17 05:09:12"</f>
        <v>2018-10-17 05:09:12</v>
      </c>
    </row>
    <row r="5640" spans="1:7" x14ac:dyDescent="0.2">
      <c r="A5640" t="s">
        <v>6676</v>
      </c>
      <c r="B5640" t="str">
        <f>"13888814491"</f>
        <v>13888814491</v>
      </c>
      <c r="C5640" t="str">
        <f>"532225197611161117"</f>
        <v>532225197611161117</v>
      </c>
      <c r="D5640" t="s">
        <v>6677</v>
      </c>
      <c r="E5640" t="s">
        <v>6678</v>
      </c>
      <c r="F5640" t="s">
        <v>0</v>
      </c>
      <c r="G5640" t="str">
        <f>"2018-10-17 06:11:30"</f>
        <v>2018-10-17 06:11:30</v>
      </c>
    </row>
    <row r="5641" spans="1:7" x14ac:dyDescent="0.2">
      <c r="A5641" t="s">
        <v>1209</v>
      </c>
      <c r="B5641" t="str">
        <f>"17688995081"</f>
        <v>17688995081</v>
      </c>
      <c r="C5641" t="str">
        <f>"360722199610305434"</f>
        <v>360722199610305434</v>
      </c>
      <c r="D5641" t="s">
        <v>1</v>
      </c>
      <c r="E5641" t="s">
        <v>1</v>
      </c>
      <c r="F5641" t="s">
        <v>0</v>
      </c>
      <c r="G5641" t="str">
        <f>"2018-10-17 04:58:13"</f>
        <v>2018-10-17 04:58:13</v>
      </c>
    </row>
    <row r="5642" spans="1:7" x14ac:dyDescent="0.2">
      <c r="A5642" t="s">
        <v>1</v>
      </c>
      <c r="B5642" t="str">
        <f>"13106788222"</f>
        <v>13106788222</v>
      </c>
      <c r="C5642" t="s">
        <v>1</v>
      </c>
      <c r="D5642" t="s">
        <v>1</v>
      </c>
      <c r="E5642" t="s">
        <v>1</v>
      </c>
      <c r="F5642" t="s">
        <v>0</v>
      </c>
      <c r="G5642" t="str">
        <f>"2018-10-17 04:39:54"</f>
        <v>2018-10-17 04:39:54</v>
      </c>
    </row>
    <row r="5643" spans="1:7" x14ac:dyDescent="0.2">
      <c r="A5643" t="s">
        <v>6679</v>
      </c>
      <c r="B5643" t="str">
        <f>"17823752599"</f>
        <v>17823752599</v>
      </c>
      <c r="C5643" t="str">
        <f>"211021198510298811"</f>
        <v>211021198510298811</v>
      </c>
      <c r="D5643" t="s">
        <v>1</v>
      </c>
      <c r="E5643" t="s">
        <v>1</v>
      </c>
      <c r="F5643" t="s">
        <v>0</v>
      </c>
      <c r="G5643" t="str">
        <f>"2018-10-17 04:26:39"</f>
        <v>2018-10-17 04:26:39</v>
      </c>
    </row>
    <row r="5644" spans="1:7" x14ac:dyDescent="0.2">
      <c r="A5644" t="s">
        <v>6680</v>
      </c>
      <c r="B5644" t="str">
        <f>"13962132670"</f>
        <v>13962132670</v>
      </c>
      <c r="C5644" t="str">
        <f>"32052019790703433X"</f>
        <v>32052019790703433X</v>
      </c>
      <c r="D5644" t="s">
        <v>1</v>
      </c>
      <c r="E5644" t="s">
        <v>1</v>
      </c>
      <c r="F5644" t="s">
        <v>0</v>
      </c>
      <c r="G5644" t="str">
        <f>"2018-10-17 04:23:11"</f>
        <v>2018-10-17 04:23:11</v>
      </c>
    </row>
    <row r="5645" spans="1:7" x14ac:dyDescent="0.2">
      <c r="A5645" t="s">
        <v>1</v>
      </c>
      <c r="B5645" t="str">
        <f>"13876583596"</f>
        <v>13876583596</v>
      </c>
      <c r="C5645" t="s">
        <v>1</v>
      </c>
      <c r="D5645" t="s">
        <v>1</v>
      </c>
      <c r="E5645" t="s">
        <v>1</v>
      </c>
      <c r="F5645" t="s">
        <v>0</v>
      </c>
      <c r="G5645" t="str">
        <f>"2018-10-17 04:21:07"</f>
        <v>2018-10-17 04:21:07</v>
      </c>
    </row>
    <row r="5646" spans="1:7" x14ac:dyDescent="0.2">
      <c r="A5646" t="s">
        <v>6681</v>
      </c>
      <c r="B5646" t="str">
        <f>"15289096000"</f>
        <v>15289096000</v>
      </c>
      <c r="C5646" t="str">
        <f>"511002198311045848"</f>
        <v>511002198311045848</v>
      </c>
      <c r="D5646" t="s">
        <v>1</v>
      </c>
      <c r="E5646" t="s">
        <v>1</v>
      </c>
      <c r="F5646" t="s">
        <v>0</v>
      </c>
      <c r="G5646" t="str">
        <f>"2018-10-17 04:20:05"</f>
        <v>2018-10-17 04:20:05</v>
      </c>
    </row>
    <row r="5647" spans="1:7" x14ac:dyDescent="0.2">
      <c r="A5647" t="s">
        <v>6682</v>
      </c>
      <c r="B5647" t="str">
        <f>"18367544495"</f>
        <v>18367544495</v>
      </c>
      <c r="C5647" t="str">
        <f>"330682199201073017"</f>
        <v>330682199201073017</v>
      </c>
      <c r="D5647" t="s">
        <v>1</v>
      </c>
      <c r="E5647" t="s">
        <v>1</v>
      </c>
      <c r="F5647" t="s">
        <v>0</v>
      </c>
      <c r="G5647" t="str">
        <f>"2018-10-17 04:12:48"</f>
        <v>2018-10-17 04:12:48</v>
      </c>
    </row>
    <row r="5648" spans="1:7" x14ac:dyDescent="0.2">
      <c r="A5648" t="s">
        <v>6683</v>
      </c>
      <c r="B5648" t="str">
        <f>"15028214444"</f>
        <v>15028214444</v>
      </c>
      <c r="C5648" t="str">
        <f>"13062319841019303X"</f>
        <v>13062319841019303X</v>
      </c>
      <c r="D5648" t="s">
        <v>1</v>
      </c>
      <c r="E5648" t="s">
        <v>1</v>
      </c>
      <c r="F5648" t="s">
        <v>0</v>
      </c>
      <c r="G5648" t="str">
        <f>"2018-10-17 04:12:03"</f>
        <v>2018-10-17 04:12:03</v>
      </c>
    </row>
    <row r="5649" spans="1:7" x14ac:dyDescent="0.2">
      <c r="A5649" t="s">
        <v>6684</v>
      </c>
      <c r="B5649" t="str">
        <f>"15626460861"</f>
        <v>15626460861</v>
      </c>
      <c r="C5649" t="str">
        <f>"440882199503073123"</f>
        <v>440882199503073123</v>
      </c>
      <c r="D5649" t="s">
        <v>1</v>
      </c>
      <c r="E5649" t="s">
        <v>1</v>
      </c>
      <c r="F5649" t="s">
        <v>0</v>
      </c>
      <c r="G5649" t="str">
        <f>"2018-10-17 09:04:02"</f>
        <v>2018-10-17 09:04:02</v>
      </c>
    </row>
    <row r="5650" spans="1:7" x14ac:dyDescent="0.2">
      <c r="A5650" t="s">
        <v>6685</v>
      </c>
      <c r="B5650" t="str">
        <f>"15919437861"</f>
        <v>15919437861</v>
      </c>
      <c r="C5650" t="str">
        <f>"532329199511240037"</f>
        <v>532329199511240037</v>
      </c>
      <c r="D5650" t="s">
        <v>1</v>
      </c>
      <c r="E5650" t="s">
        <v>1</v>
      </c>
      <c r="F5650" t="s">
        <v>0</v>
      </c>
      <c r="G5650" t="str">
        <f>"2018-10-17 03:50:26"</f>
        <v>2018-10-17 03:50:26</v>
      </c>
    </row>
    <row r="5651" spans="1:7" x14ac:dyDescent="0.2">
      <c r="A5651" t="s">
        <v>6686</v>
      </c>
      <c r="B5651" t="str">
        <f>"15222226982"</f>
        <v>15222226982</v>
      </c>
      <c r="C5651" t="str">
        <f>"120224199205034010"</f>
        <v>120224199205034010</v>
      </c>
      <c r="D5651" t="s">
        <v>1</v>
      </c>
      <c r="E5651" t="s">
        <v>1</v>
      </c>
      <c r="F5651" t="s">
        <v>0</v>
      </c>
      <c r="G5651" t="str">
        <f>"2018-10-17 07:10:09"</f>
        <v>2018-10-17 07:10:09</v>
      </c>
    </row>
    <row r="5652" spans="1:7" x14ac:dyDescent="0.2">
      <c r="A5652" t="s">
        <v>6687</v>
      </c>
      <c r="B5652" t="str">
        <f>"18582800664"</f>
        <v>18582800664</v>
      </c>
      <c r="C5652" t="str">
        <f>"513022199808077812"</f>
        <v>513022199808077812</v>
      </c>
      <c r="D5652" t="s">
        <v>6688</v>
      </c>
      <c r="E5652" t="s">
        <v>6689</v>
      </c>
      <c r="F5652" t="s">
        <v>0</v>
      </c>
      <c r="G5652" t="str">
        <f>"2018-10-17 03:47:23"</f>
        <v>2018-10-17 03:47:23</v>
      </c>
    </row>
    <row r="5653" spans="1:7" x14ac:dyDescent="0.2">
      <c r="A5653" t="s">
        <v>6528</v>
      </c>
      <c r="B5653" t="str">
        <f>"13889886399"</f>
        <v>13889886399</v>
      </c>
      <c r="C5653" t="str">
        <f>"210106198508090326"</f>
        <v>210106198508090326</v>
      </c>
      <c r="D5653" t="s">
        <v>1</v>
      </c>
      <c r="E5653" t="s">
        <v>1</v>
      </c>
      <c r="F5653" t="s">
        <v>0</v>
      </c>
      <c r="G5653" t="str">
        <f>"2018-10-17 09:55:55"</f>
        <v>2018-10-17 09:55:55</v>
      </c>
    </row>
    <row r="5654" spans="1:7" x14ac:dyDescent="0.2">
      <c r="A5654" t="s">
        <v>6690</v>
      </c>
      <c r="B5654" t="str">
        <f>"15639392393"</f>
        <v>15639392393</v>
      </c>
      <c r="C5654" t="str">
        <f>"41090119950425055X"</f>
        <v>41090119950425055X</v>
      </c>
      <c r="D5654" t="s">
        <v>1</v>
      </c>
      <c r="E5654" t="s">
        <v>1</v>
      </c>
      <c r="F5654" t="s">
        <v>0</v>
      </c>
      <c r="G5654" t="str">
        <f>"2018-10-17 03:13:46"</f>
        <v>2018-10-17 03:13:46</v>
      </c>
    </row>
    <row r="5655" spans="1:7" x14ac:dyDescent="0.2">
      <c r="A5655" t="s">
        <v>6691</v>
      </c>
      <c r="B5655" t="str">
        <f>"15102785075"</f>
        <v>15102785075</v>
      </c>
      <c r="C5655" t="str">
        <f>"422202198701103476"</f>
        <v>422202198701103476</v>
      </c>
      <c r="D5655" t="s">
        <v>1</v>
      </c>
      <c r="E5655" t="s">
        <v>1</v>
      </c>
      <c r="F5655" t="s">
        <v>0</v>
      </c>
      <c r="G5655" t="str">
        <f>"2018-10-17 03:09:21"</f>
        <v>2018-10-17 03:09:21</v>
      </c>
    </row>
    <row r="5656" spans="1:7" x14ac:dyDescent="0.2">
      <c r="A5656" t="s">
        <v>6692</v>
      </c>
      <c r="B5656" t="str">
        <f>"15270292901"</f>
        <v>15270292901</v>
      </c>
      <c r="C5656" t="str">
        <f>"360424199103194975"</f>
        <v>360424199103194975</v>
      </c>
      <c r="D5656" t="s">
        <v>1</v>
      </c>
      <c r="E5656" t="s">
        <v>1</v>
      </c>
      <c r="F5656" t="s">
        <v>0</v>
      </c>
      <c r="G5656" t="str">
        <f>"2018-10-17 03:09:04"</f>
        <v>2018-10-17 03:09:04</v>
      </c>
    </row>
    <row r="5657" spans="1:7" x14ac:dyDescent="0.2">
      <c r="A5657" t="s">
        <v>6693</v>
      </c>
      <c r="B5657" t="str">
        <f>"18903063223"</f>
        <v>18903063223</v>
      </c>
      <c r="C5657" t="str">
        <f>"440981198005120219"</f>
        <v>440981198005120219</v>
      </c>
      <c r="D5657" t="s">
        <v>6694</v>
      </c>
      <c r="E5657" t="s">
        <v>6695</v>
      </c>
      <c r="F5657" t="s">
        <v>0</v>
      </c>
      <c r="G5657" t="str">
        <f>"2018-10-17 03:50:25"</f>
        <v>2018-10-17 03:50:25</v>
      </c>
    </row>
    <row r="5658" spans="1:7" x14ac:dyDescent="0.2">
      <c r="A5658" t="s">
        <v>1157</v>
      </c>
      <c r="B5658" t="str">
        <f>"18689849876"</f>
        <v>18689849876</v>
      </c>
      <c r="C5658" t="str">
        <f>"22240319900106743X"</f>
        <v>22240319900106743X</v>
      </c>
      <c r="D5658" t="s">
        <v>1</v>
      </c>
      <c r="E5658" t="s">
        <v>1</v>
      </c>
      <c r="F5658" t="s">
        <v>0</v>
      </c>
      <c r="G5658" t="str">
        <f>"2018-10-17 04:09:06"</f>
        <v>2018-10-17 04:09:06</v>
      </c>
    </row>
    <row r="5659" spans="1:7" x14ac:dyDescent="0.2">
      <c r="A5659" t="s">
        <v>6696</v>
      </c>
      <c r="B5659" t="str">
        <f>"15117769876"</f>
        <v>15117769876</v>
      </c>
      <c r="C5659" t="str">
        <f>"52250119971030733X"</f>
        <v>52250119971030733X</v>
      </c>
      <c r="D5659" t="s">
        <v>1</v>
      </c>
      <c r="E5659" t="s">
        <v>1</v>
      </c>
      <c r="F5659" t="s">
        <v>0</v>
      </c>
      <c r="G5659" t="str">
        <f>"2018-10-17 03:03:49"</f>
        <v>2018-10-17 03:03:49</v>
      </c>
    </row>
    <row r="5660" spans="1:7" x14ac:dyDescent="0.2">
      <c r="A5660" t="s">
        <v>6697</v>
      </c>
      <c r="B5660" t="str">
        <f>"13924855323"</f>
        <v>13924855323</v>
      </c>
      <c r="C5660" t="str">
        <f>"440684198401085710"</f>
        <v>440684198401085710</v>
      </c>
      <c r="D5660" t="s">
        <v>6698</v>
      </c>
      <c r="E5660" t="s">
        <v>6699</v>
      </c>
      <c r="F5660" t="s">
        <v>0</v>
      </c>
      <c r="G5660" t="str">
        <f>"2018-10-17 03:02:08"</f>
        <v>2018-10-17 03:02:08</v>
      </c>
    </row>
    <row r="5661" spans="1:7" x14ac:dyDescent="0.2">
      <c r="A5661" t="s">
        <v>1</v>
      </c>
      <c r="B5661" t="str">
        <f>"15277249301"</f>
        <v>15277249301</v>
      </c>
      <c r="C5661" t="s">
        <v>1</v>
      </c>
      <c r="D5661" t="s">
        <v>1</v>
      </c>
      <c r="E5661" t="s">
        <v>1</v>
      </c>
      <c r="F5661" t="s">
        <v>0</v>
      </c>
      <c r="G5661" t="str">
        <f>"2018-10-17 02:54:59"</f>
        <v>2018-10-17 02:54:59</v>
      </c>
    </row>
    <row r="5662" spans="1:7" x14ac:dyDescent="0.2">
      <c r="A5662" t="s">
        <v>1</v>
      </c>
      <c r="B5662" t="str">
        <f>"13726221172"</f>
        <v>13726221172</v>
      </c>
      <c r="C5662" t="s">
        <v>1</v>
      </c>
      <c r="D5662" t="s">
        <v>1</v>
      </c>
      <c r="E5662" t="s">
        <v>1</v>
      </c>
      <c r="F5662" t="s">
        <v>0</v>
      </c>
      <c r="G5662" t="str">
        <f>"2018-10-17 02:47:38"</f>
        <v>2018-10-17 02:47:38</v>
      </c>
    </row>
    <row r="5663" spans="1:7" x14ac:dyDescent="0.2">
      <c r="A5663" t="s">
        <v>6700</v>
      </c>
      <c r="B5663" t="str">
        <f>"18775355610"</f>
        <v>18775355610</v>
      </c>
      <c r="C5663" t="str">
        <f>"452122198506206037"</f>
        <v>452122198506206037</v>
      </c>
      <c r="D5663" t="s">
        <v>1</v>
      </c>
      <c r="E5663" t="s">
        <v>1</v>
      </c>
      <c r="F5663" t="s">
        <v>0</v>
      </c>
      <c r="G5663" t="str">
        <f>"2018-10-17 02:46:52"</f>
        <v>2018-10-17 02:46:52</v>
      </c>
    </row>
    <row r="5664" spans="1:7" x14ac:dyDescent="0.2">
      <c r="A5664" t="s">
        <v>1</v>
      </c>
      <c r="B5664" t="str">
        <f>"13568962221"</f>
        <v>13568962221</v>
      </c>
      <c r="C5664" t="s">
        <v>1</v>
      </c>
      <c r="D5664" t="s">
        <v>1</v>
      </c>
      <c r="E5664" t="s">
        <v>1</v>
      </c>
      <c r="F5664" t="s">
        <v>0</v>
      </c>
      <c r="G5664" t="str">
        <f>"2018-10-17 02:44:39"</f>
        <v>2018-10-17 02:44:39</v>
      </c>
    </row>
    <row r="5665" spans="1:7" x14ac:dyDescent="0.2">
      <c r="A5665" t="s">
        <v>237</v>
      </c>
      <c r="B5665" t="str">
        <f>"13602000231"</f>
        <v>13602000231</v>
      </c>
      <c r="C5665" t="str">
        <f>"120103198210184230"</f>
        <v>120103198210184230</v>
      </c>
      <c r="D5665" t="s">
        <v>1</v>
      </c>
      <c r="E5665" t="s">
        <v>1</v>
      </c>
      <c r="F5665" t="s">
        <v>0</v>
      </c>
      <c r="G5665" t="str">
        <f>"2018-10-17 02:44:32"</f>
        <v>2018-10-17 02:44:32</v>
      </c>
    </row>
    <row r="5666" spans="1:7" x14ac:dyDescent="0.2">
      <c r="A5666" t="s">
        <v>6701</v>
      </c>
      <c r="B5666" t="str">
        <f>"15001224205"</f>
        <v>15001224205</v>
      </c>
      <c r="C5666" t="str">
        <f>"210503199701220628"</f>
        <v>210503199701220628</v>
      </c>
      <c r="D5666" t="s">
        <v>1</v>
      </c>
      <c r="E5666" t="s">
        <v>1</v>
      </c>
      <c r="F5666" t="s">
        <v>0</v>
      </c>
      <c r="G5666" t="str">
        <f>"2018-10-29 13:15:55"</f>
        <v>2018-10-29 13:15:55</v>
      </c>
    </row>
    <row r="5667" spans="1:7" x14ac:dyDescent="0.2">
      <c r="A5667" t="s">
        <v>12</v>
      </c>
      <c r="B5667" t="str">
        <f>"18361225044"</f>
        <v>18361225044</v>
      </c>
      <c r="C5667" t="str">
        <f>"320323198404304038"</f>
        <v>320323198404304038</v>
      </c>
      <c r="D5667" t="s">
        <v>1</v>
      </c>
      <c r="E5667" t="s">
        <v>1</v>
      </c>
      <c r="F5667" t="s">
        <v>0</v>
      </c>
      <c r="G5667" t="str">
        <f>"2018-10-17 02:52:56"</f>
        <v>2018-10-17 02:52:56</v>
      </c>
    </row>
    <row r="5668" spans="1:7" x14ac:dyDescent="0.2">
      <c r="A5668" t="s">
        <v>609</v>
      </c>
      <c r="B5668" t="str">
        <f>"15861025421"</f>
        <v>15861025421</v>
      </c>
      <c r="C5668" t="str">
        <f>"321284199009220291"</f>
        <v>321284199009220291</v>
      </c>
      <c r="D5668" t="s">
        <v>6702</v>
      </c>
      <c r="E5668" t="s">
        <v>6703</v>
      </c>
      <c r="F5668" t="s">
        <v>0</v>
      </c>
      <c r="G5668" t="str">
        <f>"2018-10-17 06:21:13"</f>
        <v>2018-10-17 06:21:13</v>
      </c>
    </row>
    <row r="5669" spans="1:7" x14ac:dyDescent="0.2">
      <c r="A5669" t="s">
        <v>6704</v>
      </c>
      <c r="B5669" t="str">
        <f>"18874172986"</f>
        <v>18874172986</v>
      </c>
      <c r="C5669" t="str">
        <f>"430121198208136753"</f>
        <v>430121198208136753</v>
      </c>
      <c r="D5669" t="s">
        <v>1</v>
      </c>
      <c r="E5669" t="s">
        <v>1</v>
      </c>
      <c r="F5669" t="s">
        <v>0</v>
      </c>
      <c r="G5669" t="str">
        <f>"2018-10-17 02:38:29"</f>
        <v>2018-10-17 02:38:29</v>
      </c>
    </row>
    <row r="5670" spans="1:7" x14ac:dyDescent="0.2">
      <c r="A5670" t="s">
        <v>6705</v>
      </c>
      <c r="B5670" t="str">
        <f>"13099455299"</f>
        <v>13099455299</v>
      </c>
      <c r="C5670" t="str">
        <f>"532201198101120028"</f>
        <v>532201198101120028</v>
      </c>
      <c r="D5670" t="s">
        <v>6706</v>
      </c>
      <c r="E5670" t="s">
        <v>6707</v>
      </c>
      <c r="F5670" t="s">
        <v>0</v>
      </c>
      <c r="G5670" t="str">
        <f>"2018-10-17 02:35:04"</f>
        <v>2018-10-17 02:35:04</v>
      </c>
    </row>
    <row r="5671" spans="1:7" x14ac:dyDescent="0.2">
      <c r="A5671" t="s">
        <v>6708</v>
      </c>
      <c r="B5671" t="str">
        <f>"17863811500"</f>
        <v>17863811500</v>
      </c>
      <c r="C5671" t="str">
        <f>"370902199601030915"</f>
        <v>370902199601030915</v>
      </c>
      <c r="D5671" t="s">
        <v>6709</v>
      </c>
      <c r="E5671" t="s">
        <v>6710</v>
      </c>
      <c r="F5671" t="s">
        <v>0</v>
      </c>
      <c r="G5671" t="str">
        <f>"2018-10-17 11:33:26"</f>
        <v>2018-10-17 11:33:26</v>
      </c>
    </row>
    <row r="5672" spans="1:7" x14ac:dyDescent="0.2">
      <c r="A5672" t="s">
        <v>1</v>
      </c>
      <c r="B5672" t="str">
        <f>"18033913336"</f>
        <v>18033913336</v>
      </c>
      <c r="C5672" t="s">
        <v>1</v>
      </c>
      <c r="D5672" t="s">
        <v>1</v>
      </c>
      <c r="E5672" t="s">
        <v>1</v>
      </c>
      <c r="F5672" t="s">
        <v>0</v>
      </c>
      <c r="G5672" t="str">
        <f>"2018-10-17 02:29:02"</f>
        <v>2018-10-17 02:29:02</v>
      </c>
    </row>
    <row r="5673" spans="1:7" x14ac:dyDescent="0.2">
      <c r="A5673" t="s">
        <v>6711</v>
      </c>
      <c r="B5673" t="str">
        <f>"13822514639"</f>
        <v>13822514639</v>
      </c>
      <c r="C5673" t="str">
        <f>"440881199201054211"</f>
        <v>440881199201054211</v>
      </c>
      <c r="D5673" t="s">
        <v>1</v>
      </c>
      <c r="E5673" t="s">
        <v>1</v>
      </c>
      <c r="F5673" t="s">
        <v>0</v>
      </c>
      <c r="G5673" t="str">
        <f>"2018-10-18 14:46:59"</f>
        <v>2018-10-18 14:46:59</v>
      </c>
    </row>
    <row r="5674" spans="1:7" x14ac:dyDescent="0.2">
      <c r="A5674" t="s">
        <v>1</v>
      </c>
      <c r="B5674" t="str">
        <f>"13568586520"</f>
        <v>13568586520</v>
      </c>
      <c r="C5674" t="s">
        <v>1</v>
      </c>
      <c r="D5674" t="s">
        <v>1</v>
      </c>
      <c r="E5674" t="s">
        <v>1</v>
      </c>
      <c r="F5674" t="s">
        <v>0</v>
      </c>
      <c r="G5674" t="str">
        <f>"2018-10-17 02:14:21"</f>
        <v>2018-10-17 02:14:21</v>
      </c>
    </row>
    <row r="5675" spans="1:7" x14ac:dyDescent="0.2">
      <c r="A5675" t="s">
        <v>1</v>
      </c>
      <c r="B5675" t="str">
        <f>"18882368074"</f>
        <v>18882368074</v>
      </c>
      <c r="C5675" t="s">
        <v>1</v>
      </c>
      <c r="D5675" t="s">
        <v>1</v>
      </c>
      <c r="E5675" t="s">
        <v>1</v>
      </c>
      <c r="F5675" t="s">
        <v>0</v>
      </c>
      <c r="G5675" t="str">
        <f>"2018-10-17 02:10:25"</f>
        <v>2018-10-17 02:10:25</v>
      </c>
    </row>
    <row r="5676" spans="1:7" x14ac:dyDescent="0.2">
      <c r="A5676" t="s">
        <v>1</v>
      </c>
      <c r="B5676" t="str">
        <f>"15890071710"</f>
        <v>15890071710</v>
      </c>
      <c r="C5676" t="s">
        <v>1</v>
      </c>
      <c r="D5676" t="s">
        <v>1</v>
      </c>
      <c r="E5676" t="s">
        <v>1</v>
      </c>
      <c r="F5676" t="s">
        <v>0</v>
      </c>
      <c r="G5676" t="str">
        <f>"2018-10-17 02:06:09"</f>
        <v>2018-10-17 02:06:09</v>
      </c>
    </row>
    <row r="5677" spans="1:7" x14ac:dyDescent="0.2">
      <c r="A5677" t="s">
        <v>6712</v>
      </c>
      <c r="B5677" t="str">
        <f>"15828284147"</f>
        <v>15828284147</v>
      </c>
      <c r="C5677" t="str">
        <f>"510902198910016537"</f>
        <v>510902198910016537</v>
      </c>
      <c r="D5677" t="s">
        <v>1</v>
      </c>
      <c r="E5677" t="s">
        <v>1</v>
      </c>
      <c r="F5677" t="s">
        <v>0</v>
      </c>
      <c r="G5677" t="str">
        <f>"2018-10-29 21:18:06"</f>
        <v>2018-10-29 21:18:06</v>
      </c>
    </row>
    <row r="5678" spans="1:7" x14ac:dyDescent="0.2">
      <c r="A5678" t="s">
        <v>6713</v>
      </c>
      <c r="B5678" t="str">
        <f>"18320763997"</f>
        <v>18320763997</v>
      </c>
      <c r="C5678" t="str">
        <f>"452428199506060516"</f>
        <v>452428199506060516</v>
      </c>
      <c r="D5678" t="s">
        <v>1</v>
      </c>
      <c r="E5678" t="s">
        <v>1</v>
      </c>
      <c r="F5678" t="s">
        <v>0</v>
      </c>
      <c r="G5678" t="str">
        <f>"2018-10-17 02:04:18"</f>
        <v>2018-10-17 02:04:18</v>
      </c>
    </row>
    <row r="5679" spans="1:7" x14ac:dyDescent="0.2">
      <c r="A5679" t="s">
        <v>1</v>
      </c>
      <c r="B5679" t="str">
        <f>"15382786943"</f>
        <v>15382786943</v>
      </c>
      <c r="C5679" t="s">
        <v>1</v>
      </c>
      <c r="D5679" t="s">
        <v>1</v>
      </c>
      <c r="E5679" t="s">
        <v>1</v>
      </c>
      <c r="F5679" t="s">
        <v>0</v>
      </c>
      <c r="G5679" t="str">
        <f>"2018-10-17 02:03:08"</f>
        <v>2018-10-17 02:03:08</v>
      </c>
    </row>
    <row r="5680" spans="1:7" x14ac:dyDescent="0.2">
      <c r="A5680" t="s">
        <v>6714</v>
      </c>
      <c r="B5680" t="str">
        <f>"18291634267"</f>
        <v>18291634267</v>
      </c>
      <c r="C5680" t="str">
        <f>"612301197510253121"</f>
        <v>612301197510253121</v>
      </c>
      <c r="D5680" t="s">
        <v>1</v>
      </c>
      <c r="E5680" t="s">
        <v>1</v>
      </c>
      <c r="F5680" t="s">
        <v>0</v>
      </c>
      <c r="G5680" t="str">
        <f>"2018-10-17 02:00:13"</f>
        <v>2018-10-17 02:00:13</v>
      </c>
    </row>
    <row r="5681" spans="1:7" x14ac:dyDescent="0.2">
      <c r="A5681" t="s">
        <v>63</v>
      </c>
      <c r="B5681" t="str">
        <f>"13758283581"</f>
        <v>13758283581</v>
      </c>
      <c r="C5681" t="str">
        <f>"339005199705174113"</f>
        <v>339005199705174113</v>
      </c>
      <c r="D5681" t="s">
        <v>1</v>
      </c>
      <c r="E5681" t="s">
        <v>1</v>
      </c>
      <c r="F5681" t="s">
        <v>0</v>
      </c>
      <c r="G5681" t="str">
        <f>"2018-10-17 01:57:00"</f>
        <v>2018-10-17 01:57:00</v>
      </c>
    </row>
    <row r="5682" spans="1:7" x14ac:dyDescent="0.2">
      <c r="A5682" t="s">
        <v>6715</v>
      </c>
      <c r="B5682" t="str">
        <f>"18531456672"</f>
        <v>18531456672</v>
      </c>
      <c r="C5682" t="str">
        <f>"130821199411155716"</f>
        <v>130821199411155716</v>
      </c>
      <c r="D5682" t="s">
        <v>1</v>
      </c>
      <c r="E5682" t="s">
        <v>1</v>
      </c>
      <c r="F5682" t="s">
        <v>0</v>
      </c>
      <c r="G5682" t="str">
        <f>"2018-10-17 01:48:09"</f>
        <v>2018-10-17 01:48:09</v>
      </c>
    </row>
    <row r="5683" spans="1:7" x14ac:dyDescent="0.2">
      <c r="A5683" t="s">
        <v>6716</v>
      </c>
      <c r="B5683" t="str">
        <f>"15509009997"</f>
        <v>15509009997</v>
      </c>
      <c r="C5683" t="str">
        <f>"652324199109241918"</f>
        <v>652324199109241918</v>
      </c>
      <c r="D5683" t="s">
        <v>1</v>
      </c>
      <c r="E5683" t="s">
        <v>1</v>
      </c>
      <c r="F5683" t="s">
        <v>0</v>
      </c>
      <c r="G5683" t="str">
        <f>"2018-10-17 01:47:54"</f>
        <v>2018-10-17 01:47:54</v>
      </c>
    </row>
    <row r="5684" spans="1:7" x14ac:dyDescent="0.2">
      <c r="A5684" t="s">
        <v>6717</v>
      </c>
      <c r="B5684" t="str">
        <f>"13570170668"</f>
        <v>13570170668</v>
      </c>
      <c r="C5684" t="str">
        <f>"440883198110021738"</f>
        <v>440883198110021738</v>
      </c>
      <c r="D5684" t="s">
        <v>1</v>
      </c>
      <c r="E5684" t="s">
        <v>1</v>
      </c>
      <c r="F5684" t="s">
        <v>0</v>
      </c>
      <c r="G5684" t="str">
        <f>"2018-10-17 01:49:11"</f>
        <v>2018-10-17 01:49:11</v>
      </c>
    </row>
    <row r="5685" spans="1:7" x14ac:dyDescent="0.2">
      <c r="A5685" t="s">
        <v>1</v>
      </c>
      <c r="B5685" t="str">
        <f>"15382783255"</f>
        <v>15382783255</v>
      </c>
      <c r="C5685" t="s">
        <v>1</v>
      </c>
      <c r="D5685" t="s">
        <v>1</v>
      </c>
      <c r="E5685" t="s">
        <v>1</v>
      </c>
      <c r="F5685" t="s">
        <v>0</v>
      </c>
      <c r="G5685" t="str">
        <f>"2018-10-17 01:43:32"</f>
        <v>2018-10-17 01:43:32</v>
      </c>
    </row>
    <row r="5686" spans="1:7" x14ac:dyDescent="0.2">
      <c r="A5686" t="s">
        <v>6718</v>
      </c>
      <c r="B5686" t="str">
        <f>"15577061552"</f>
        <v>15577061552</v>
      </c>
      <c r="C5686" t="str">
        <f>"452226200004116913"</f>
        <v>452226200004116913</v>
      </c>
      <c r="D5686" t="s">
        <v>1</v>
      </c>
      <c r="E5686" t="s">
        <v>1</v>
      </c>
      <c r="F5686" t="s">
        <v>0</v>
      </c>
      <c r="G5686" t="str">
        <f>"2018-10-17 01:41:56"</f>
        <v>2018-10-17 01:41:56</v>
      </c>
    </row>
    <row r="5687" spans="1:7" x14ac:dyDescent="0.2">
      <c r="A5687" t="s">
        <v>6719</v>
      </c>
      <c r="B5687" t="str">
        <f>"15773975611"</f>
        <v>15773975611</v>
      </c>
      <c r="C5687" t="str">
        <f>"430521199912166629"</f>
        <v>430521199912166629</v>
      </c>
      <c r="D5687" t="s">
        <v>1</v>
      </c>
      <c r="E5687" t="s">
        <v>1</v>
      </c>
      <c r="F5687" t="s">
        <v>0</v>
      </c>
      <c r="G5687" t="str">
        <f>"2018-10-17 01:35:44"</f>
        <v>2018-10-17 01:35:44</v>
      </c>
    </row>
    <row r="5688" spans="1:7" x14ac:dyDescent="0.2">
      <c r="A5688" t="s">
        <v>6720</v>
      </c>
      <c r="B5688" t="str">
        <f>"13546888389"</f>
        <v>13546888389</v>
      </c>
      <c r="C5688" t="str">
        <f>"440582198005245411"</f>
        <v>440582198005245411</v>
      </c>
      <c r="D5688" t="s">
        <v>1</v>
      </c>
      <c r="E5688" t="s">
        <v>1</v>
      </c>
      <c r="F5688" t="s">
        <v>0</v>
      </c>
      <c r="G5688" t="str">
        <f>"2018-10-21 11:38:02"</f>
        <v>2018-10-21 11:38:02</v>
      </c>
    </row>
    <row r="5689" spans="1:7" x14ac:dyDescent="0.2">
      <c r="A5689" t="s">
        <v>6721</v>
      </c>
      <c r="B5689" t="str">
        <f>"13455528927"</f>
        <v>13455528927</v>
      </c>
      <c r="C5689" t="str">
        <f>"37068519881128231X"</f>
        <v>37068519881128231X</v>
      </c>
      <c r="D5689" t="s">
        <v>1</v>
      </c>
      <c r="E5689" t="s">
        <v>1</v>
      </c>
      <c r="F5689" t="s">
        <v>0</v>
      </c>
      <c r="G5689" t="str">
        <f>"2018-10-18 12:06:58"</f>
        <v>2018-10-18 12:06:58</v>
      </c>
    </row>
    <row r="5690" spans="1:7" x14ac:dyDescent="0.2">
      <c r="A5690" t="s">
        <v>6722</v>
      </c>
      <c r="B5690" t="str">
        <f>"18388384351"</f>
        <v>18388384351</v>
      </c>
      <c r="C5690" t="str">
        <f>"530326199805123134"</f>
        <v>530326199805123134</v>
      </c>
      <c r="D5690" t="s">
        <v>1</v>
      </c>
      <c r="E5690" t="s">
        <v>1</v>
      </c>
      <c r="F5690" t="s">
        <v>0</v>
      </c>
      <c r="G5690" t="str">
        <f>"2018-10-17 01:24:21"</f>
        <v>2018-10-17 01:24:21</v>
      </c>
    </row>
    <row r="5691" spans="1:7" x14ac:dyDescent="0.2">
      <c r="A5691" t="s">
        <v>6723</v>
      </c>
      <c r="B5691" t="str">
        <f>"13728685911"</f>
        <v>13728685911</v>
      </c>
      <c r="C5691" t="str">
        <f>"440304199406272618"</f>
        <v>440304199406272618</v>
      </c>
      <c r="D5691" t="s">
        <v>1</v>
      </c>
      <c r="E5691" t="s">
        <v>1</v>
      </c>
      <c r="F5691" t="s">
        <v>0</v>
      </c>
      <c r="G5691" t="str">
        <f>"2018-10-20 12:13:29"</f>
        <v>2018-10-20 12:13:29</v>
      </c>
    </row>
    <row r="5692" spans="1:7" x14ac:dyDescent="0.2">
      <c r="A5692" t="s">
        <v>6724</v>
      </c>
      <c r="B5692" t="str">
        <f>"15810936390"</f>
        <v>15810936390</v>
      </c>
      <c r="C5692" t="str">
        <f>"152326199303013606"</f>
        <v>152326199303013606</v>
      </c>
      <c r="D5692" t="s">
        <v>1</v>
      </c>
      <c r="E5692" t="s">
        <v>1</v>
      </c>
      <c r="F5692" t="s">
        <v>0</v>
      </c>
      <c r="G5692" t="str">
        <f>"2018-10-17 01:37:06"</f>
        <v>2018-10-17 01:37:06</v>
      </c>
    </row>
    <row r="5693" spans="1:7" x14ac:dyDescent="0.2">
      <c r="A5693" t="s">
        <v>6725</v>
      </c>
      <c r="B5693" t="str">
        <f>"13862288515"</f>
        <v>13862288515</v>
      </c>
      <c r="C5693" t="str">
        <f>"320522198707232128"</f>
        <v>320522198707232128</v>
      </c>
      <c r="D5693" t="s">
        <v>1</v>
      </c>
      <c r="E5693" t="s">
        <v>1</v>
      </c>
      <c r="F5693" t="s">
        <v>0</v>
      </c>
      <c r="G5693" t="str">
        <f>"2018-10-17 01:15:57"</f>
        <v>2018-10-17 01:15:57</v>
      </c>
    </row>
    <row r="5694" spans="1:7" x14ac:dyDescent="0.2">
      <c r="A5694" t="s">
        <v>6726</v>
      </c>
      <c r="B5694" t="str">
        <f>"13769817045"</f>
        <v>13769817045</v>
      </c>
      <c r="C5694" t="str">
        <f>"530381199808260710"</f>
        <v>530381199808260710</v>
      </c>
      <c r="D5694" t="s">
        <v>6727</v>
      </c>
      <c r="E5694" t="s">
        <v>6728</v>
      </c>
      <c r="F5694" t="s">
        <v>0</v>
      </c>
      <c r="G5694" t="str">
        <f>"2018-10-17 01:13:44"</f>
        <v>2018-10-17 01:13:44</v>
      </c>
    </row>
    <row r="5695" spans="1:7" x14ac:dyDescent="0.2">
      <c r="A5695" t="s">
        <v>6729</v>
      </c>
      <c r="B5695" t="str">
        <f>"17620560303"</f>
        <v>17620560303</v>
      </c>
      <c r="C5695" t="str">
        <f>"610481199609151816"</f>
        <v>610481199609151816</v>
      </c>
      <c r="D5695" t="s">
        <v>1</v>
      </c>
      <c r="E5695" t="s">
        <v>1</v>
      </c>
      <c r="F5695" t="s">
        <v>0</v>
      </c>
      <c r="G5695" t="str">
        <f>"2018-10-17 01:09:38"</f>
        <v>2018-10-17 01:09:38</v>
      </c>
    </row>
    <row r="5696" spans="1:7" x14ac:dyDescent="0.2">
      <c r="A5696" t="s">
        <v>6730</v>
      </c>
      <c r="B5696" t="str">
        <f>"18110317501"</f>
        <v>18110317501</v>
      </c>
      <c r="C5696" t="str">
        <f>"34050519930224101X"</f>
        <v>34050519930224101X</v>
      </c>
      <c r="D5696" t="s">
        <v>6731</v>
      </c>
      <c r="E5696" t="s">
        <v>6732</v>
      </c>
      <c r="F5696" t="s">
        <v>0</v>
      </c>
      <c r="G5696" t="str">
        <f>"2018-10-20 16:32:34"</f>
        <v>2018-10-20 16:32:34</v>
      </c>
    </row>
    <row r="5697" spans="1:7" x14ac:dyDescent="0.2">
      <c r="A5697" t="s">
        <v>1</v>
      </c>
      <c r="B5697" t="str">
        <f>"13929519914"</f>
        <v>13929519914</v>
      </c>
      <c r="C5697" t="s">
        <v>1</v>
      </c>
      <c r="D5697" t="s">
        <v>1</v>
      </c>
      <c r="E5697" t="s">
        <v>1</v>
      </c>
      <c r="F5697" t="s">
        <v>0</v>
      </c>
      <c r="G5697" t="str">
        <f>"2018-10-17 01:07:18"</f>
        <v>2018-10-17 01:07:18</v>
      </c>
    </row>
    <row r="5698" spans="1:7" x14ac:dyDescent="0.2">
      <c r="A5698" t="s">
        <v>6733</v>
      </c>
      <c r="B5698" t="str">
        <f>"18878755609"</f>
        <v>18878755609</v>
      </c>
      <c r="C5698" t="str">
        <f>"450121198910224554"</f>
        <v>450121198910224554</v>
      </c>
      <c r="D5698" t="s">
        <v>1</v>
      </c>
      <c r="E5698" t="s">
        <v>1</v>
      </c>
      <c r="F5698" t="s">
        <v>0</v>
      </c>
      <c r="G5698" t="str">
        <f>"2018-10-17 01:06:19"</f>
        <v>2018-10-17 01:06:19</v>
      </c>
    </row>
    <row r="5699" spans="1:7" x14ac:dyDescent="0.2">
      <c r="A5699" t="s">
        <v>1</v>
      </c>
      <c r="B5699" t="str">
        <f>"18922071103"</f>
        <v>18922071103</v>
      </c>
      <c r="C5699" t="s">
        <v>1</v>
      </c>
      <c r="D5699" t="s">
        <v>1</v>
      </c>
      <c r="E5699" t="s">
        <v>1</v>
      </c>
      <c r="F5699" t="s">
        <v>0</v>
      </c>
      <c r="G5699" t="str">
        <f>"2018-10-17 01:06:28"</f>
        <v>2018-10-17 01:06:28</v>
      </c>
    </row>
    <row r="5700" spans="1:7" x14ac:dyDescent="0.2">
      <c r="A5700" t="s">
        <v>1049</v>
      </c>
      <c r="B5700" t="str">
        <f>"18742407363"</f>
        <v>18742407363</v>
      </c>
      <c r="C5700" t="str">
        <f>"232131199512142316"</f>
        <v>232131199512142316</v>
      </c>
      <c r="D5700" t="s">
        <v>1</v>
      </c>
      <c r="E5700" t="s">
        <v>1</v>
      </c>
      <c r="F5700" t="s">
        <v>0</v>
      </c>
      <c r="G5700" t="str">
        <f>"2018-10-17 01:05:46"</f>
        <v>2018-10-17 01:05:46</v>
      </c>
    </row>
    <row r="5701" spans="1:7" x14ac:dyDescent="0.2">
      <c r="A5701" t="s">
        <v>6734</v>
      </c>
      <c r="B5701" t="str">
        <f>"13219785530"</f>
        <v>13219785530</v>
      </c>
      <c r="C5701" t="str">
        <f>"513101198205090312"</f>
        <v>513101198205090312</v>
      </c>
      <c r="D5701" t="s">
        <v>6735</v>
      </c>
      <c r="E5701" t="s">
        <v>6736</v>
      </c>
      <c r="F5701" t="s">
        <v>0</v>
      </c>
      <c r="G5701" t="str">
        <f>"2018-10-17 01:09:16"</f>
        <v>2018-10-17 01:09:16</v>
      </c>
    </row>
    <row r="5702" spans="1:7" x14ac:dyDescent="0.2">
      <c r="A5702" t="s">
        <v>1133</v>
      </c>
      <c r="B5702" t="str">
        <f>"13611834140"</f>
        <v>13611834140</v>
      </c>
      <c r="C5702" t="str">
        <f>"640302198304280035"</f>
        <v>640302198304280035</v>
      </c>
      <c r="D5702" t="s">
        <v>6737</v>
      </c>
      <c r="E5702" t="s">
        <v>6738</v>
      </c>
      <c r="F5702" t="s">
        <v>0</v>
      </c>
      <c r="G5702" t="str">
        <f>"2018-10-24 23:54:05"</f>
        <v>2018-10-24 23:54:05</v>
      </c>
    </row>
    <row r="5703" spans="1:7" x14ac:dyDescent="0.2">
      <c r="A5703" t="s">
        <v>6739</v>
      </c>
      <c r="B5703" t="str">
        <f>"18665069692"</f>
        <v>18665069692</v>
      </c>
      <c r="C5703" t="str">
        <f>"440232199211012023"</f>
        <v>440232199211012023</v>
      </c>
      <c r="D5703" t="s">
        <v>1</v>
      </c>
      <c r="E5703" t="s">
        <v>1</v>
      </c>
      <c r="F5703" t="s">
        <v>0</v>
      </c>
      <c r="G5703" t="str">
        <f>"2018-10-17 01:02:12"</f>
        <v>2018-10-17 01:02:12</v>
      </c>
    </row>
    <row r="5704" spans="1:7" x14ac:dyDescent="0.2">
      <c r="A5704" t="s">
        <v>1</v>
      </c>
      <c r="B5704" t="str">
        <f>"15838479605"</f>
        <v>15838479605</v>
      </c>
      <c r="C5704" t="s">
        <v>1</v>
      </c>
      <c r="D5704" t="s">
        <v>1</v>
      </c>
      <c r="E5704" t="s">
        <v>1</v>
      </c>
      <c r="F5704" t="s">
        <v>0</v>
      </c>
      <c r="G5704" t="str">
        <f>"2018-10-17 00:55:41"</f>
        <v>2018-10-17 00:55:41</v>
      </c>
    </row>
    <row r="5705" spans="1:7" x14ac:dyDescent="0.2">
      <c r="A5705" t="s">
        <v>6740</v>
      </c>
      <c r="B5705" t="str">
        <f>"13507201819"</f>
        <v>13507201819</v>
      </c>
      <c r="C5705" t="str">
        <f>"420502197909160613"</f>
        <v>420502197909160613</v>
      </c>
      <c r="D5705" t="s">
        <v>1</v>
      </c>
      <c r="E5705" t="s">
        <v>1</v>
      </c>
      <c r="F5705" t="s">
        <v>0</v>
      </c>
      <c r="G5705" t="str">
        <f>"2018-10-17 00:56:05"</f>
        <v>2018-10-17 00:56:05</v>
      </c>
    </row>
    <row r="5706" spans="1:7" x14ac:dyDescent="0.2">
      <c r="A5706" t="s">
        <v>6741</v>
      </c>
      <c r="B5706" t="str">
        <f>"15220962035"</f>
        <v>15220962035</v>
      </c>
      <c r="C5706" t="str">
        <f>"441623199312063731"</f>
        <v>441623199312063731</v>
      </c>
      <c r="D5706" t="s">
        <v>1</v>
      </c>
      <c r="E5706" t="s">
        <v>1</v>
      </c>
      <c r="F5706" t="s">
        <v>0</v>
      </c>
      <c r="G5706" t="str">
        <f>"2018-10-17 00:51:48"</f>
        <v>2018-10-17 00:51:48</v>
      </c>
    </row>
    <row r="5707" spans="1:7" x14ac:dyDescent="0.2">
      <c r="A5707" t="s">
        <v>6742</v>
      </c>
      <c r="B5707" t="str">
        <f>"13377037682"</f>
        <v>13377037682</v>
      </c>
      <c r="C5707" t="str">
        <f>"452402199909265133"</f>
        <v>452402199909265133</v>
      </c>
      <c r="D5707" t="s">
        <v>1</v>
      </c>
      <c r="E5707" t="s">
        <v>1</v>
      </c>
      <c r="F5707" t="s">
        <v>0</v>
      </c>
      <c r="G5707" t="str">
        <f>"2018-10-17 00:48:59"</f>
        <v>2018-10-17 00:48:59</v>
      </c>
    </row>
    <row r="5708" spans="1:7" x14ac:dyDescent="0.2">
      <c r="A5708" t="s">
        <v>6743</v>
      </c>
      <c r="B5708" t="str">
        <f>"18666217692"</f>
        <v>18666217692</v>
      </c>
      <c r="C5708" t="str">
        <f>"441421198403031737"</f>
        <v>441421198403031737</v>
      </c>
      <c r="D5708" t="s">
        <v>6744</v>
      </c>
      <c r="E5708" t="s">
        <v>6745</v>
      </c>
      <c r="F5708" t="s">
        <v>0</v>
      </c>
      <c r="G5708" t="str">
        <f>"2018-10-17 00:45:26"</f>
        <v>2018-10-17 00:45:26</v>
      </c>
    </row>
    <row r="5709" spans="1:7" x14ac:dyDescent="0.2">
      <c r="A5709" t="s">
        <v>6746</v>
      </c>
      <c r="B5709" t="str">
        <f>"13333370227"</f>
        <v>13333370227</v>
      </c>
      <c r="C5709" t="str">
        <f>"130131199502176613"</f>
        <v>130131199502176613</v>
      </c>
      <c r="D5709" t="s">
        <v>6747</v>
      </c>
      <c r="E5709" t="s">
        <v>6748</v>
      </c>
      <c r="F5709" t="s">
        <v>0</v>
      </c>
      <c r="G5709" t="str">
        <f>"2018-10-17 01:59:32"</f>
        <v>2018-10-17 01:59:32</v>
      </c>
    </row>
    <row r="5710" spans="1:7" x14ac:dyDescent="0.2">
      <c r="A5710" t="s">
        <v>6749</v>
      </c>
      <c r="B5710" t="str">
        <f>"17316741008"</f>
        <v>17316741008</v>
      </c>
      <c r="C5710" t="str">
        <f>"500382199906274252"</f>
        <v>500382199906274252</v>
      </c>
      <c r="D5710" t="s">
        <v>6750</v>
      </c>
      <c r="E5710" t="s">
        <v>6751</v>
      </c>
      <c r="F5710" t="s">
        <v>0</v>
      </c>
      <c r="G5710" t="str">
        <f>"2018-10-17 00:36:44"</f>
        <v>2018-10-17 00:36:44</v>
      </c>
    </row>
    <row r="5711" spans="1:7" x14ac:dyDescent="0.2">
      <c r="A5711" t="s">
        <v>6752</v>
      </c>
      <c r="B5711" t="str">
        <f>"13867731564"</f>
        <v>13867731564</v>
      </c>
      <c r="C5711" t="str">
        <f>"330326199208181830"</f>
        <v>330326199208181830</v>
      </c>
      <c r="D5711" t="s">
        <v>1</v>
      </c>
      <c r="E5711" t="s">
        <v>1</v>
      </c>
      <c r="F5711" t="s">
        <v>0</v>
      </c>
      <c r="G5711" t="str">
        <f>"2018-10-17 00:37:10"</f>
        <v>2018-10-17 00:37:10</v>
      </c>
    </row>
    <row r="5712" spans="1:7" x14ac:dyDescent="0.2">
      <c r="A5712" t="s">
        <v>1</v>
      </c>
      <c r="B5712" t="str">
        <f>"17325376796"</f>
        <v>17325376796</v>
      </c>
      <c r="C5712" t="s">
        <v>1</v>
      </c>
      <c r="D5712" t="s">
        <v>1</v>
      </c>
      <c r="E5712" t="s">
        <v>1</v>
      </c>
      <c r="F5712" t="s">
        <v>0</v>
      </c>
      <c r="G5712" t="str">
        <f>"2018-10-17 00:36:13"</f>
        <v>2018-10-17 00:36:13</v>
      </c>
    </row>
    <row r="5713" spans="1:7" x14ac:dyDescent="0.2">
      <c r="A5713" t="s">
        <v>6753</v>
      </c>
      <c r="B5713" t="str">
        <f>"15687574541"</f>
        <v>15687574541</v>
      </c>
      <c r="C5713" t="str">
        <f>"533102199806302821"</f>
        <v>533102199806302821</v>
      </c>
      <c r="D5713" t="s">
        <v>6754</v>
      </c>
      <c r="E5713" t="s">
        <v>6755</v>
      </c>
      <c r="F5713" t="s">
        <v>0</v>
      </c>
      <c r="G5713" t="str">
        <f>"2018-10-17 00:31:20"</f>
        <v>2018-10-17 00:31:20</v>
      </c>
    </row>
    <row r="5714" spans="1:7" x14ac:dyDescent="0.2">
      <c r="A5714" t="s">
        <v>6756</v>
      </c>
      <c r="B5714" t="str">
        <f>"18288782900"</f>
        <v>18288782900</v>
      </c>
      <c r="C5714" t="str">
        <f>"532930198401030622"</f>
        <v>532930198401030622</v>
      </c>
      <c r="D5714" t="s">
        <v>1</v>
      </c>
      <c r="E5714" t="s">
        <v>1</v>
      </c>
      <c r="F5714" t="s">
        <v>0</v>
      </c>
      <c r="G5714" t="str">
        <f>"2018-10-17 10:49:19"</f>
        <v>2018-10-17 10:49:19</v>
      </c>
    </row>
    <row r="5715" spans="1:7" x14ac:dyDescent="0.2">
      <c r="A5715" t="s">
        <v>6757</v>
      </c>
      <c r="B5715" t="str">
        <f>"18033960260"</f>
        <v>18033960260</v>
      </c>
      <c r="C5715" t="str">
        <f>"352202199511222534"</f>
        <v>352202199511222534</v>
      </c>
      <c r="D5715" t="s">
        <v>1</v>
      </c>
      <c r="E5715" t="s">
        <v>1</v>
      </c>
      <c r="F5715" t="s">
        <v>0</v>
      </c>
      <c r="G5715" t="str">
        <f>"2018-10-17 00:27:55"</f>
        <v>2018-10-17 00:27:55</v>
      </c>
    </row>
    <row r="5716" spans="1:7" x14ac:dyDescent="0.2">
      <c r="A5716" t="s">
        <v>1</v>
      </c>
      <c r="B5716" t="str">
        <f>"13221771284"</f>
        <v>13221771284</v>
      </c>
      <c r="C5716" t="s">
        <v>1</v>
      </c>
      <c r="D5716" t="s">
        <v>1</v>
      </c>
      <c r="E5716" t="s">
        <v>1</v>
      </c>
      <c r="F5716" t="s">
        <v>0</v>
      </c>
      <c r="G5716" t="str">
        <f>"2018-10-17 00:24:39"</f>
        <v>2018-10-17 00:24:39</v>
      </c>
    </row>
    <row r="5717" spans="1:7" x14ac:dyDescent="0.2">
      <c r="A5717" t="s">
        <v>1</v>
      </c>
      <c r="B5717" t="str">
        <f>"15069235167"</f>
        <v>15069235167</v>
      </c>
      <c r="C5717" t="s">
        <v>1</v>
      </c>
      <c r="D5717" t="s">
        <v>1</v>
      </c>
      <c r="E5717" t="s">
        <v>1</v>
      </c>
      <c r="F5717" t="s">
        <v>0</v>
      </c>
      <c r="G5717" t="str">
        <f>"2018-10-17 00:25:30"</f>
        <v>2018-10-17 00:25:30</v>
      </c>
    </row>
    <row r="5718" spans="1:7" x14ac:dyDescent="0.2">
      <c r="A5718" t="s">
        <v>6758</v>
      </c>
      <c r="B5718" t="str">
        <f>"18251421065"</f>
        <v>18251421065</v>
      </c>
      <c r="C5718" t="str">
        <f>"320911198907191212"</f>
        <v>320911198907191212</v>
      </c>
      <c r="D5718" t="s">
        <v>1</v>
      </c>
      <c r="E5718" t="s">
        <v>1</v>
      </c>
      <c r="F5718" t="s">
        <v>0</v>
      </c>
      <c r="G5718" t="str">
        <f>"2018-10-17 00:33:06"</f>
        <v>2018-10-17 00:33:06</v>
      </c>
    </row>
    <row r="5719" spans="1:7" x14ac:dyDescent="0.2">
      <c r="A5719" t="s">
        <v>6759</v>
      </c>
      <c r="B5719" t="str">
        <f>"18976482020"</f>
        <v>18976482020</v>
      </c>
      <c r="C5719" t="str">
        <f>"460007199411150830"</f>
        <v>460007199411150830</v>
      </c>
      <c r="D5719" t="s">
        <v>1</v>
      </c>
      <c r="E5719" t="s">
        <v>1</v>
      </c>
      <c r="F5719" t="s">
        <v>0</v>
      </c>
      <c r="G5719" t="str">
        <f>"2018-10-31 13:29:28"</f>
        <v>2018-10-31 13:29:28</v>
      </c>
    </row>
    <row r="5720" spans="1:7" x14ac:dyDescent="0.2">
      <c r="A5720" t="s">
        <v>1</v>
      </c>
      <c r="B5720" t="str">
        <f>"15160815215"</f>
        <v>15160815215</v>
      </c>
      <c r="C5720" t="s">
        <v>1</v>
      </c>
      <c r="D5720" t="s">
        <v>1</v>
      </c>
      <c r="E5720" t="s">
        <v>1</v>
      </c>
      <c r="F5720" t="s">
        <v>0</v>
      </c>
      <c r="G5720" t="str">
        <f>"2018-10-17 00:28:28"</f>
        <v>2018-10-17 00:28:28</v>
      </c>
    </row>
    <row r="5721" spans="1:7" x14ac:dyDescent="0.2">
      <c r="A5721" t="s">
        <v>1</v>
      </c>
      <c r="B5721" t="str">
        <f>"13143032582"</f>
        <v>13143032582</v>
      </c>
      <c r="C5721" t="s">
        <v>1</v>
      </c>
      <c r="D5721" t="s">
        <v>1</v>
      </c>
      <c r="E5721" t="s">
        <v>1</v>
      </c>
      <c r="F5721" t="s">
        <v>0</v>
      </c>
      <c r="G5721" t="str">
        <f>"2018-10-17 00:24:08"</f>
        <v>2018-10-17 00:24:08</v>
      </c>
    </row>
    <row r="5722" spans="1:7" x14ac:dyDescent="0.2">
      <c r="A5722" t="s">
        <v>162</v>
      </c>
      <c r="B5722" t="str">
        <f>"15583305604"</f>
        <v>15583305604</v>
      </c>
      <c r="C5722" t="str">
        <f>"513722199408060016"</f>
        <v>513722199408060016</v>
      </c>
      <c r="D5722" t="s">
        <v>1</v>
      </c>
      <c r="E5722" t="s">
        <v>1</v>
      </c>
      <c r="F5722" t="s">
        <v>0</v>
      </c>
      <c r="G5722" t="str">
        <f>"2018-10-17 01:14:32"</f>
        <v>2018-10-17 01:14:32</v>
      </c>
    </row>
    <row r="5723" spans="1:7" x14ac:dyDescent="0.2">
      <c r="A5723" t="s">
        <v>6760</v>
      </c>
      <c r="B5723" t="str">
        <f>"13717090034"</f>
        <v>13717090034</v>
      </c>
      <c r="C5723" t="str">
        <f>"452724198808212315"</f>
        <v>452724198808212315</v>
      </c>
      <c r="D5723" t="s">
        <v>1</v>
      </c>
      <c r="E5723" t="s">
        <v>1</v>
      </c>
      <c r="F5723" t="s">
        <v>0</v>
      </c>
      <c r="G5723" t="str">
        <f>"2018-10-17 00:24:14"</f>
        <v>2018-10-17 00:24:14</v>
      </c>
    </row>
    <row r="5724" spans="1:7" x14ac:dyDescent="0.2">
      <c r="A5724" t="s">
        <v>164</v>
      </c>
      <c r="B5724" t="str">
        <f>"15288667282"</f>
        <v>15288667282</v>
      </c>
      <c r="C5724" t="str">
        <f>"532622199207070020"</f>
        <v>532622199207070020</v>
      </c>
      <c r="D5724" t="s">
        <v>1</v>
      </c>
      <c r="E5724" t="s">
        <v>1</v>
      </c>
      <c r="F5724" t="s">
        <v>0</v>
      </c>
      <c r="G5724" t="str">
        <f>"2018-10-17 00:22:23"</f>
        <v>2018-10-17 00:22:23</v>
      </c>
    </row>
    <row r="5725" spans="1:7" x14ac:dyDescent="0.2">
      <c r="A5725" t="s">
        <v>6761</v>
      </c>
      <c r="B5725" t="str">
        <f>"13908816955"</f>
        <v>13908816955</v>
      </c>
      <c r="C5725" t="str">
        <f>"532801197605281122"</f>
        <v>532801197605281122</v>
      </c>
      <c r="D5725" t="s">
        <v>1</v>
      </c>
      <c r="E5725" t="s">
        <v>1</v>
      </c>
      <c r="F5725" t="s">
        <v>0</v>
      </c>
      <c r="G5725" t="str">
        <f>"2018-10-31 23:36:17"</f>
        <v>2018-10-31 23:36:17</v>
      </c>
    </row>
    <row r="5726" spans="1:7" x14ac:dyDescent="0.2">
      <c r="A5726" t="s">
        <v>6762</v>
      </c>
      <c r="B5726" t="str">
        <f>"15019207401"</f>
        <v>15019207401</v>
      </c>
      <c r="C5726" t="str">
        <f>"440301198408312712"</f>
        <v>440301198408312712</v>
      </c>
      <c r="D5726" t="s">
        <v>1</v>
      </c>
      <c r="E5726" t="s">
        <v>1</v>
      </c>
      <c r="F5726" t="s">
        <v>0</v>
      </c>
      <c r="G5726" t="str">
        <f>"2018-10-17 00:22:31"</f>
        <v>2018-10-17 00:22:31</v>
      </c>
    </row>
    <row r="5727" spans="1:7" x14ac:dyDescent="0.2">
      <c r="A5727" t="s">
        <v>6763</v>
      </c>
      <c r="B5727" t="str">
        <f>"18385624584"</f>
        <v>18385624584</v>
      </c>
      <c r="C5727" t="str">
        <f>"522701199703015911"</f>
        <v>522701199703015911</v>
      </c>
      <c r="D5727" t="s">
        <v>1</v>
      </c>
      <c r="E5727" t="s">
        <v>1</v>
      </c>
      <c r="F5727" t="s">
        <v>0</v>
      </c>
      <c r="G5727" t="str">
        <f>"2018-10-17 00:20:42"</f>
        <v>2018-10-17 00:20:42</v>
      </c>
    </row>
    <row r="5728" spans="1:7" x14ac:dyDescent="0.2">
      <c r="A5728" t="s">
        <v>1</v>
      </c>
      <c r="B5728" t="str">
        <f>"18231115363"</f>
        <v>18231115363</v>
      </c>
      <c r="C5728" t="s">
        <v>1</v>
      </c>
      <c r="D5728" t="s">
        <v>1</v>
      </c>
      <c r="E5728" t="s">
        <v>1</v>
      </c>
      <c r="F5728" t="s">
        <v>0</v>
      </c>
      <c r="G5728" t="str">
        <f>"2018-10-17 00:19:51"</f>
        <v>2018-10-17 00:19:51</v>
      </c>
    </row>
    <row r="5729" spans="1:7" x14ac:dyDescent="0.2">
      <c r="A5729" t="s">
        <v>6764</v>
      </c>
      <c r="B5729" t="str">
        <f>"15519606600"</f>
        <v>15519606600</v>
      </c>
      <c r="C5729" t="str">
        <f>"522130199009157230"</f>
        <v>522130199009157230</v>
      </c>
      <c r="D5729" t="s">
        <v>1</v>
      </c>
      <c r="E5729" t="s">
        <v>1</v>
      </c>
      <c r="F5729" t="s">
        <v>0</v>
      </c>
      <c r="G5729" t="str">
        <f>"2018-10-17 00:20:12"</f>
        <v>2018-10-17 00:20:12</v>
      </c>
    </row>
    <row r="5730" spans="1:7" x14ac:dyDescent="0.2">
      <c r="A5730" t="s">
        <v>1</v>
      </c>
      <c r="B5730" t="str">
        <f>"18931878264"</f>
        <v>18931878264</v>
      </c>
      <c r="C5730" t="s">
        <v>1</v>
      </c>
      <c r="D5730" t="s">
        <v>1</v>
      </c>
      <c r="E5730" t="s">
        <v>1</v>
      </c>
      <c r="F5730" t="s">
        <v>0</v>
      </c>
      <c r="G5730" t="str">
        <f>"2018-10-17 00:18:35"</f>
        <v>2018-10-17 00:18:35</v>
      </c>
    </row>
    <row r="5731" spans="1:7" x14ac:dyDescent="0.2">
      <c r="A5731" t="s">
        <v>6765</v>
      </c>
      <c r="B5731" t="str">
        <f>"13724702354"</f>
        <v>13724702354</v>
      </c>
      <c r="C5731" t="str">
        <f>"440881199605151077"</f>
        <v>440881199605151077</v>
      </c>
      <c r="D5731" t="s">
        <v>6766</v>
      </c>
      <c r="E5731" t="s">
        <v>6767</v>
      </c>
      <c r="F5731" t="s">
        <v>0</v>
      </c>
      <c r="G5731" t="str">
        <f>"2018-10-17 00:30:25"</f>
        <v>2018-10-17 00:30:25</v>
      </c>
    </row>
    <row r="5732" spans="1:7" x14ac:dyDescent="0.2">
      <c r="A5732" t="s">
        <v>6768</v>
      </c>
      <c r="B5732" t="str">
        <f>"13921578626"</f>
        <v>13921578626</v>
      </c>
      <c r="C5732" t="str">
        <f>"321181199212305990"</f>
        <v>321181199212305990</v>
      </c>
      <c r="D5732" t="s">
        <v>1</v>
      </c>
      <c r="E5732" t="s">
        <v>1</v>
      </c>
      <c r="F5732" t="s">
        <v>0</v>
      </c>
      <c r="G5732" t="str">
        <f>"2018-10-17 00:44:13"</f>
        <v>2018-10-17 00:44:13</v>
      </c>
    </row>
    <row r="5733" spans="1:7" x14ac:dyDescent="0.2">
      <c r="A5733" t="s">
        <v>6769</v>
      </c>
      <c r="B5733" t="str">
        <f>"13953290447"</f>
        <v>13953290447</v>
      </c>
      <c r="C5733" t="str">
        <f>"370214198904116516"</f>
        <v>370214198904116516</v>
      </c>
      <c r="D5733" t="s">
        <v>6770</v>
      </c>
      <c r="E5733" t="s">
        <v>6771</v>
      </c>
      <c r="F5733" t="s">
        <v>0</v>
      </c>
      <c r="G5733" t="str">
        <f>"2018-10-17 00:13:06"</f>
        <v>2018-10-17 00:13:06</v>
      </c>
    </row>
    <row r="5734" spans="1:7" x14ac:dyDescent="0.2">
      <c r="A5734" t="s">
        <v>6772</v>
      </c>
      <c r="B5734" t="str">
        <f>"17606020732"</f>
        <v>17606020732</v>
      </c>
      <c r="C5734" t="str">
        <f>"350582199008063018"</f>
        <v>350582199008063018</v>
      </c>
      <c r="D5734" t="s">
        <v>6773</v>
      </c>
      <c r="E5734" t="s">
        <v>6774</v>
      </c>
      <c r="F5734" t="s">
        <v>0</v>
      </c>
      <c r="G5734" t="str">
        <f>"2018-10-17 00:47:19"</f>
        <v>2018-10-17 00:47:19</v>
      </c>
    </row>
    <row r="5735" spans="1:7" x14ac:dyDescent="0.2">
      <c r="A5735" t="s">
        <v>6775</v>
      </c>
      <c r="B5735" t="str">
        <f>"18505213022"</f>
        <v>18505213022</v>
      </c>
      <c r="C5735" t="str">
        <f>"320802198710212014"</f>
        <v>320802198710212014</v>
      </c>
      <c r="D5735" t="s">
        <v>1</v>
      </c>
      <c r="E5735" t="s">
        <v>1</v>
      </c>
      <c r="F5735" t="s">
        <v>0</v>
      </c>
      <c r="G5735" t="str">
        <f>"2018-10-17 00:13:09"</f>
        <v>2018-10-17 00:13:09</v>
      </c>
    </row>
    <row r="5736" spans="1:7" x14ac:dyDescent="0.2">
      <c r="A5736" t="s">
        <v>6776</v>
      </c>
      <c r="B5736" t="str">
        <f>"15271308701"</f>
        <v>15271308701</v>
      </c>
      <c r="C5736" t="str">
        <f>"422302198611164510"</f>
        <v>422302198611164510</v>
      </c>
      <c r="D5736" t="s">
        <v>6777</v>
      </c>
      <c r="E5736" t="s">
        <v>6778</v>
      </c>
      <c r="F5736" t="s">
        <v>0</v>
      </c>
      <c r="G5736" t="str">
        <f>"2018-10-17 00:10:47"</f>
        <v>2018-10-17 00:10:47</v>
      </c>
    </row>
    <row r="5737" spans="1:7" x14ac:dyDescent="0.2">
      <c r="A5737" t="s">
        <v>1032</v>
      </c>
      <c r="B5737" t="str">
        <f>"18181806231"</f>
        <v>18181806231</v>
      </c>
      <c r="C5737" t="str">
        <f>"511681199207162852"</f>
        <v>511681199207162852</v>
      </c>
      <c r="D5737" t="s">
        <v>1</v>
      </c>
      <c r="E5737" t="s">
        <v>1</v>
      </c>
      <c r="F5737" t="s">
        <v>0</v>
      </c>
      <c r="G5737" t="str">
        <f>"2018-10-17 07:33:48"</f>
        <v>2018-10-17 07:33:48</v>
      </c>
    </row>
    <row r="5738" spans="1:7" x14ac:dyDescent="0.2">
      <c r="A5738" t="s">
        <v>1</v>
      </c>
      <c r="B5738" t="str">
        <f>"18568559727"</f>
        <v>18568559727</v>
      </c>
      <c r="C5738" t="s">
        <v>1</v>
      </c>
      <c r="D5738" t="s">
        <v>1</v>
      </c>
      <c r="E5738" t="s">
        <v>1</v>
      </c>
      <c r="F5738" t="s">
        <v>0</v>
      </c>
      <c r="G5738" t="str">
        <f>"2018-10-17 00:08:31"</f>
        <v>2018-10-17 00:08:31</v>
      </c>
    </row>
    <row r="5739" spans="1:7" x14ac:dyDescent="0.2">
      <c r="A5739" t="s">
        <v>6779</v>
      </c>
      <c r="B5739" t="str">
        <f>"13917629115"</f>
        <v>13917629115</v>
      </c>
      <c r="C5739" t="str">
        <f>"362329198404165370"</f>
        <v>362329198404165370</v>
      </c>
      <c r="D5739" t="s">
        <v>1</v>
      </c>
      <c r="E5739" t="s">
        <v>1</v>
      </c>
      <c r="F5739" t="s">
        <v>0</v>
      </c>
      <c r="G5739" t="str">
        <f>"2018-10-17 00:18:56"</f>
        <v>2018-10-17 00:18:56</v>
      </c>
    </row>
    <row r="5740" spans="1:7" x14ac:dyDescent="0.2">
      <c r="A5740" t="s">
        <v>426</v>
      </c>
      <c r="B5740" t="str">
        <f>"15659189582"</f>
        <v>15659189582</v>
      </c>
      <c r="C5740" t="str">
        <f>"513030198602241416"</f>
        <v>513030198602241416</v>
      </c>
      <c r="D5740" t="s">
        <v>1</v>
      </c>
      <c r="E5740" t="s">
        <v>1</v>
      </c>
      <c r="F5740" t="s">
        <v>0</v>
      </c>
      <c r="G5740" t="str">
        <f>"2018-10-17 00:54:39"</f>
        <v>2018-10-17 00:54:39</v>
      </c>
    </row>
    <row r="5741" spans="1:7" x14ac:dyDescent="0.2">
      <c r="A5741" t="s">
        <v>1</v>
      </c>
      <c r="B5741" t="str">
        <f>"13036963790"</f>
        <v>13036963790</v>
      </c>
      <c r="C5741" t="s">
        <v>1</v>
      </c>
      <c r="D5741" t="s">
        <v>1</v>
      </c>
      <c r="E5741" t="s">
        <v>1</v>
      </c>
      <c r="F5741" t="s">
        <v>0</v>
      </c>
      <c r="G5741" t="str">
        <f>"2018-10-17 00:07:49"</f>
        <v>2018-10-17 00:07:49</v>
      </c>
    </row>
    <row r="5742" spans="1:7" x14ac:dyDescent="0.2">
      <c r="A5742" t="s">
        <v>6780</v>
      </c>
      <c r="B5742" t="str">
        <f>"13559509547"</f>
        <v>13559509547</v>
      </c>
      <c r="C5742" t="str">
        <f>"350581199206181553"</f>
        <v>350581199206181553</v>
      </c>
      <c r="D5742" t="s">
        <v>1</v>
      </c>
      <c r="E5742" t="s">
        <v>1</v>
      </c>
      <c r="F5742" t="s">
        <v>0</v>
      </c>
      <c r="G5742" t="str">
        <f>"2018-10-17 00:02:50"</f>
        <v>2018-10-17 00:02:50</v>
      </c>
    </row>
    <row r="5743" spans="1:7" x14ac:dyDescent="0.2">
      <c r="A5743" t="s">
        <v>6781</v>
      </c>
      <c r="B5743" t="str">
        <f>"15706650435"</f>
        <v>15706650435</v>
      </c>
      <c r="C5743" t="str">
        <f>"440923199205224611"</f>
        <v>440923199205224611</v>
      </c>
      <c r="D5743" t="s">
        <v>1</v>
      </c>
      <c r="E5743" t="s">
        <v>1</v>
      </c>
      <c r="F5743" t="s">
        <v>0</v>
      </c>
      <c r="G5743" t="str">
        <f>"2018-10-17 00:00:11"</f>
        <v>2018-10-17 00:00:11</v>
      </c>
    </row>
    <row r="5744" spans="1:7" x14ac:dyDescent="0.2">
      <c r="A5744" t="s">
        <v>6782</v>
      </c>
      <c r="B5744" t="str">
        <f>"13802340908"</f>
        <v>13802340908</v>
      </c>
      <c r="C5744" t="str">
        <f>"440883199208310372"</f>
        <v>440883199208310372</v>
      </c>
      <c r="D5744" t="s">
        <v>1</v>
      </c>
      <c r="E5744" t="s">
        <v>1</v>
      </c>
      <c r="F5744" t="s">
        <v>0</v>
      </c>
      <c r="G5744" t="str">
        <f>"2018-10-17 00:01:32"</f>
        <v>2018-10-17 00:01:32</v>
      </c>
    </row>
    <row r="5745" spans="1:7" x14ac:dyDescent="0.2">
      <c r="A5745" t="s">
        <v>6783</v>
      </c>
      <c r="B5745" t="str">
        <f>"15700323152"</f>
        <v>15700323152</v>
      </c>
      <c r="C5745" t="str">
        <f>"511602199609241726"</f>
        <v>511602199609241726</v>
      </c>
      <c r="D5745" t="s">
        <v>6784</v>
      </c>
      <c r="E5745" t="s">
        <v>6785</v>
      </c>
      <c r="F5745" t="s">
        <v>0</v>
      </c>
      <c r="G5745" t="str">
        <f>"2018-10-17 00:00:50"</f>
        <v>2018-10-17 00:00:50</v>
      </c>
    </row>
    <row r="5746" spans="1:7" x14ac:dyDescent="0.2">
      <c r="A5746" t="s">
        <v>6786</v>
      </c>
      <c r="B5746" t="str">
        <f>"15218345511"</f>
        <v>15218345511</v>
      </c>
      <c r="C5746" t="str">
        <f>"440923198903144833"</f>
        <v>440923198903144833</v>
      </c>
      <c r="D5746" t="s">
        <v>1</v>
      </c>
      <c r="E5746" t="s">
        <v>1</v>
      </c>
      <c r="F5746" t="s">
        <v>0</v>
      </c>
      <c r="G5746" t="str">
        <f>"2018-10-16 23:59:13"</f>
        <v>2018-10-16 23:59:13</v>
      </c>
    </row>
    <row r="5747" spans="1:7" x14ac:dyDescent="0.2">
      <c r="A5747" t="s">
        <v>1</v>
      </c>
      <c r="B5747" t="str">
        <f>"18583508547"</f>
        <v>18583508547</v>
      </c>
      <c r="C5747" t="s">
        <v>1</v>
      </c>
      <c r="D5747" t="s">
        <v>1</v>
      </c>
      <c r="E5747" t="s">
        <v>1</v>
      </c>
      <c r="F5747" t="s">
        <v>0</v>
      </c>
      <c r="G5747" t="str">
        <f>"2018-10-16 23:58:52"</f>
        <v>2018-10-16 23:58:52</v>
      </c>
    </row>
    <row r="5748" spans="1:7" x14ac:dyDescent="0.2">
      <c r="A5748" t="s">
        <v>6787</v>
      </c>
      <c r="B5748" t="str">
        <f>"13891800041"</f>
        <v>13891800041</v>
      </c>
      <c r="C5748" t="str">
        <f>"610113198812300429"</f>
        <v>610113198812300429</v>
      </c>
      <c r="D5748" t="s">
        <v>1</v>
      </c>
      <c r="E5748" t="s">
        <v>1</v>
      </c>
      <c r="F5748" t="s">
        <v>0</v>
      </c>
      <c r="G5748" t="str">
        <f>"2018-11-01 18:04:12"</f>
        <v>2018-11-01 18:04:12</v>
      </c>
    </row>
    <row r="5749" spans="1:7" x14ac:dyDescent="0.2">
      <c r="A5749" t="s">
        <v>478</v>
      </c>
      <c r="B5749" t="str">
        <f>"17337066361"</f>
        <v>17337066361</v>
      </c>
      <c r="C5749" t="str">
        <f>"232332199412120029"</f>
        <v>232332199412120029</v>
      </c>
      <c r="D5749" t="s">
        <v>1</v>
      </c>
      <c r="E5749" t="s">
        <v>1</v>
      </c>
      <c r="F5749" t="s">
        <v>0</v>
      </c>
      <c r="G5749" t="str">
        <f>"2018-10-16 23:59:41"</f>
        <v>2018-10-16 23:59:41</v>
      </c>
    </row>
    <row r="5750" spans="1:7" x14ac:dyDescent="0.2">
      <c r="A5750" t="s">
        <v>6788</v>
      </c>
      <c r="B5750" t="str">
        <f>"13597417074"</f>
        <v>13597417074</v>
      </c>
      <c r="C5750" t="str">
        <f>"371322199209106579"</f>
        <v>371322199209106579</v>
      </c>
      <c r="D5750" t="s">
        <v>1</v>
      </c>
      <c r="E5750" t="s">
        <v>1</v>
      </c>
      <c r="F5750" t="s">
        <v>0</v>
      </c>
      <c r="G5750" t="str">
        <f>"2018-10-16 23:54:17"</f>
        <v>2018-10-16 23:54:17</v>
      </c>
    </row>
    <row r="5751" spans="1:7" x14ac:dyDescent="0.2">
      <c r="A5751" t="s">
        <v>1</v>
      </c>
      <c r="B5751" t="str">
        <f>"15640818381"</f>
        <v>15640818381</v>
      </c>
      <c r="C5751" t="s">
        <v>1</v>
      </c>
      <c r="D5751" t="s">
        <v>1</v>
      </c>
      <c r="E5751" t="s">
        <v>1</v>
      </c>
      <c r="F5751" t="s">
        <v>0</v>
      </c>
      <c r="G5751" t="str">
        <f>"2018-10-16 23:50:02"</f>
        <v>2018-10-16 23:50:02</v>
      </c>
    </row>
    <row r="5752" spans="1:7" x14ac:dyDescent="0.2">
      <c r="A5752" t="s">
        <v>6789</v>
      </c>
      <c r="B5752" t="str">
        <f>"13907332654"</f>
        <v>13907332654</v>
      </c>
      <c r="C5752" t="str">
        <f>"430581199012280537"</f>
        <v>430581199012280537</v>
      </c>
      <c r="D5752" t="s">
        <v>6790</v>
      </c>
      <c r="E5752" t="s">
        <v>6791</v>
      </c>
      <c r="F5752" t="s">
        <v>0</v>
      </c>
      <c r="G5752" t="str">
        <f>"2018-10-16 23:51:15"</f>
        <v>2018-10-16 23:51:15</v>
      </c>
    </row>
    <row r="5753" spans="1:7" x14ac:dyDescent="0.2">
      <c r="A5753" t="s">
        <v>6792</v>
      </c>
      <c r="B5753" t="str">
        <f>"18509947967"</f>
        <v>18509947967</v>
      </c>
      <c r="C5753" t="str">
        <f>"652322198612063541"</f>
        <v>652322198612063541</v>
      </c>
      <c r="D5753" t="s">
        <v>1</v>
      </c>
      <c r="E5753" t="s">
        <v>1</v>
      </c>
      <c r="F5753" t="s">
        <v>0</v>
      </c>
      <c r="G5753" t="str">
        <f>"2018-10-18 10:06:28"</f>
        <v>2018-10-18 10:06:28</v>
      </c>
    </row>
    <row r="5754" spans="1:7" x14ac:dyDescent="0.2">
      <c r="A5754" t="s">
        <v>1042</v>
      </c>
      <c r="B5754" t="str">
        <f>"13923771115"</f>
        <v>13923771115</v>
      </c>
      <c r="C5754" t="str">
        <f>"220822198910130437"</f>
        <v>220822198910130437</v>
      </c>
      <c r="D5754" t="s">
        <v>1</v>
      </c>
      <c r="E5754" t="s">
        <v>1</v>
      </c>
      <c r="F5754" t="s">
        <v>0</v>
      </c>
      <c r="G5754" t="str">
        <f>"2018-10-16 23:47:19"</f>
        <v>2018-10-16 23:47:19</v>
      </c>
    </row>
    <row r="5755" spans="1:7" x14ac:dyDescent="0.2">
      <c r="A5755" t="s">
        <v>6793</v>
      </c>
      <c r="B5755" t="str">
        <f>"15187799605"</f>
        <v>15187799605</v>
      </c>
      <c r="C5755" t="str">
        <f>"530422198709070373"</f>
        <v>530422198709070373</v>
      </c>
      <c r="D5755" t="s">
        <v>1</v>
      </c>
      <c r="E5755" t="s">
        <v>1</v>
      </c>
      <c r="F5755" t="s">
        <v>0</v>
      </c>
      <c r="G5755" t="str">
        <f>"2018-10-16 23:44:52"</f>
        <v>2018-10-16 23:44:52</v>
      </c>
    </row>
    <row r="5756" spans="1:7" x14ac:dyDescent="0.2">
      <c r="A5756" t="s">
        <v>6794</v>
      </c>
      <c r="B5756" t="str">
        <f>"15157096615"</f>
        <v>15157096615</v>
      </c>
      <c r="C5756" t="str">
        <f>"362323199404105411"</f>
        <v>362323199404105411</v>
      </c>
      <c r="D5756" t="s">
        <v>6795</v>
      </c>
      <c r="E5756" t="s">
        <v>6796</v>
      </c>
      <c r="F5756" t="s">
        <v>0</v>
      </c>
      <c r="G5756" t="str">
        <f>"2018-10-16 23:48:27"</f>
        <v>2018-10-16 23:48:27</v>
      </c>
    </row>
    <row r="5757" spans="1:7" x14ac:dyDescent="0.2">
      <c r="A5757" t="s">
        <v>6797</v>
      </c>
      <c r="B5757" t="str">
        <f>"13694941183"</f>
        <v>13694941183</v>
      </c>
      <c r="C5757" t="str">
        <f>"440221197803271629"</f>
        <v>440221197803271629</v>
      </c>
      <c r="D5757" t="s">
        <v>1</v>
      </c>
      <c r="E5757" t="s">
        <v>1</v>
      </c>
      <c r="F5757" t="s">
        <v>0</v>
      </c>
      <c r="G5757" t="str">
        <f>"2018-10-17 06:24:38"</f>
        <v>2018-10-17 06:24:38</v>
      </c>
    </row>
    <row r="5758" spans="1:7" x14ac:dyDescent="0.2">
      <c r="A5758" t="s">
        <v>6798</v>
      </c>
      <c r="B5758" t="str">
        <f>"15947113151"</f>
        <v>15947113151</v>
      </c>
      <c r="C5758" t="str">
        <f>"150103199710133034"</f>
        <v>150103199710133034</v>
      </c>
      <c r="D5758" t="s">
        <v>1</v>
      </c>
      <c r="E5758" t="s">
        <v>1</v>
      </c>
      <c r="F5758" t="s">
        <v>0</v>
      </c>
      <c r="G5758" t="str">
        <f>"2018-10-16 23:51:34"</f>
        <v>2018-10-16 23:51:34</v>
      </c>
    </row>
    <row r="5759" spans="1:7" x14ac:dyDescent="0.2">
      <c r="A5759" t="s">
        <v>1</v>
      </c>
      <c r="B5759" t="str">
        <f>"13277765984"</f>
        <v>13277765984</v>
      </c>
      <c r="C5759" t="s">
        <v>1</v>
      </c>
      <c r="D5759" t="s">
        <v>1</v>
      </c>
      <c r="E5759" t="s">
        <v>1</v>
      </c>
      <c r="F5759" t="s">
        <v>0</v>
      </c>
      <c r="G5759" t="str">
        <f>"2018-10-16 23:41:44"</f>
        <v>2018-10-16 23:41:44</v>
      </c>
    </row>
    <row r="5760" spans="1:7" x14ac:dyDescent="0.2">
      <c r="A5760" t="s">
        <v>6799</v>
      </c>
      <c r="B5760" t="str">
        <f>"13933187676"</f>
        <v>13933187676</v>
      </c>
      <c r="C5760" t="str">
        <f>"132331197406151532"</f>
        <v>132331197406151532</v>
      </c>
      <c r="D5760" t="s">
        <v>1</v>
      </c>
      <c r="E5760" t="s">
        <v>1</v>
      </c>
      <c r="F5760" t="s">
        <v>0</v>
      </c>
      <c r="G5760" t="str">
        <f>"2018-10-18 14:51:56"</f>
        <v>2018-10-18 14:51:56</v>
      </c>
    </row>
    <row r="5761" spans="1:7" x14ac:dyDescent="0.2">
      <c r="A5761" t="s">
        <v>1</v>
      </c>
      <c r="B5761" t="str">
        <f>"15977641820"</f>
        <v>15977641820</v>
      </c>
      <c r="C5761" t="s">
        <v>1</v>
      </c>
      <c r="D5761" t="s">
        <v>1</v>
      </c>
      <c r="E5761" t="s">
        <v>1</v>
      </c>
      <c r="F5761" t="s">
        <v>0</v>
      </c>
      <c r="G5761" t="str">
        <f>"2018-10-16 23:40:06"</f>
        <v>2018-10-16 23:40:06</v>
      </c>
    </row>
    <row r="5762" spans="1:7" x14ac:dyDescent="0.2">
      <c r="A5762" t="s">
        <v>1</v>
      </c>
      <c r="B5762" t="str">
        <f>"13024661417"</f>
        <v>13024661417</v>
      </c>
      <c r="C5762" t="s">
        <v>1</v>
      </c>
      <c r="D5762" t="s">
        <v>1</v>
      </c>
      <c r="E5762" t="s">
        <v>1</v>
      </c>
      <c r="F5762" t="s">
        <v>0</v>
      </c>
      <c r="G5762" t="str">
        <f>"2018-10-16 23:38:08"</f>
        <v>2018-10-16 23:38:08</v>
      </c>
    </row>
    <row r="5763" spans="1:7" x14ac:dyDescent="0.2">
      <c r="A5763" t="s">
        <v>6800</v>
      </c>
      <c r="B5763" t="str">
        <f>"15735641152"</f>
        <v>15735641152</v>
      </c>
      <c r="C5763" t="str">
        <f>"640321199712220289"</f>
        <v>640321199712220289</v>
      </c>
      <c r="D5763" t="s">
        <v>1</v>
      </c>
      <c r="E5763" t="s">
        <v>1</v>
      </c>
      <c r="F5763" t="s">
        <v>0</v>
      </c>
      <c r="G5763" t="str">
        <f>"2018-10-16 23:38:09"</f>
        <v>2018-10-16 23:38:09</v>
      </c>
    </row>
    <row r="5764" spans="1:7" x14ac:dyDescent="0.2">
      <c r="A5764" t="s">
        <v>1</v>
      </c>
      <c r="B5764" t="str">
        <f>"13488419081"</f>
        <v>13488419081</v>
      </c>
      <c r="C5764" t="s">
        <v>1</v>
      </c>
      <c r="D5764" t="s">
        <v>1</v>
      </c>
      <c r="E5764" t="s">
        <v>1</v>
      </c>
      <c r="F5764" t="s">
        <v>0</v>
      </c>
      <c r="G5764" t="str">
        <f>"2018-10-16 23:34:58"</f>
        <v>2018-10-16 23:34:58</v>
      </c>
    </row>
    <row r="5765" spans="1:7" x14ac:dyDescent="0.2">
      <c r="A5765" t="s">
        <v>1</v>
      </c>
      <c r="B5765" t="str">
        <f>"18311730410"</f>
        <v>18311730410</v>
      </c>
      <c r="C5765" t="s">
        <v>1</v>
      </c>
      <c r="D5765" t="s">
        <v>1</v>
      </c>
      <c r="E5765" t="s">
        <v>1</v>
      </c>
      <c r="F5765" t="s">
        <v>0</v>
      </c>
      <c r="G5765" t="str">
        <f>"2018-10-16 23:33:14"</f>
        <v>2018-10-16 23:33:14</v>
      </c>
    </row>
    <row r="5766" spans="1:7" x14ac:dyDescent="0.2">
      <c r="A5766" t="s">
        <v>1</v>
      </c>
      <c r="B5766" t="str">
        <f>"18726066014"</f>
        <v>18726066014</v>
      </c>
      <c r="C5766" t="s">
        <v>1</v>
      </c>
      <c r="D5766" t="s">
        <v>1</v>
      </c>
      <c r="E5766" t="s">
        <v>1</v>
      </c>
      <c r="F5766" t="s">
        <v>0</v>
      </c>
      <c r="G5766" t="str">
        <f>"2018-10-16 23:32:08"</f>
        <v>2018-10-16 23:32:08</v>
      </c>
    </row>
    <row r="5767" spans="1:7" x14ac:dyDescent="0.2">
      <c r="A5767" t="s">
        <v>1</v>
      </c>
      <c r="B5767" t="str">
        <f>"13199883370"</f>
        <v>13199883370</v>
      </c>
      <c r="C5767" t="s">
        <v>1</v>
      </c>
      <c r="D5767" t="s">
        <v>1</v>
      </c>
      <c r="E5767" t="s">
        <v>1</v>
      </c>
      <c r="F5767" t="s">
        <v>0</v>
      </c>
      <c r="G5767" t="str">
        <f>"2018-10-16 23:31:33"</f>
        <v>2018-10-16 23:31:33</v>
      </c>
    </row>
    <row r="5768" spans="1:7" x14ac:dyDescent="0.2">
      <c r="A5768" t="s">
        <v>1</v>
      </c>
      <c r="B5768" t="str">
        <f>"15577865284"</f>
        <v>15577865284</v>
      </c>
      <c r="C5768" t="s">
        <v>1</v>
      </c>
      <c r="D5768" t="s">
        <v>1</v>
      </c>
      <c r="E5768" t="s">
        <v>1</v>
      </c>
      <c r="F5768" t="s">
        <v>0</v>
      </c>
      <c r="G5768" t="str">
        <f>"2018-10-16 23:30:34"</f>
        <v>2018-10-16 23:30:34</v>
      </c>
    </row>
    <row r="5769" spans="1:7" x14ac:dyDescent="0.2">
      <c r="A5769" t="s">
        <v>1619</v>
      </c>
      <c r="B5769" t="str">
        <f>"13811067707"</f>
        <v>13811067707</v>
      </c>
      <c r="C5769" t="str">
        <f>"120109197802285522"</f>
        <v>120109197802285522</v>
      </c>
      <c r="D5769" t="s">
        <v>1</v>
      </c>
      <c r="E5769" t="s">
        <v>1</v>
      </c>
      <c r="F5769" t="s">
        <v>0</v>
      </c>
      <c r="G5769" t="str">
        <f>"2018-10-16 23:31:00"</f>
        <v>2018-10-16 23:31:00</v>
      </c>
    </row>
    <row r="5770" spans="1:7" x14ac:dyDescent="0.2">
      <c r="A5770" t="s">
        <v>1</v>
      </c>
      <c r="B5770" t="str">
        <f>"18559146172"</f>
        <v>18559146172</v>
      </c>
      <c r="C5770" t="s">
        <v>1</v>
      </c>
      <c r="D5770" t="s">
        <v>1</v>
      </c>
      <c r="E5770" t="s">
        <v>1</v>
      </c>
      <c r="F5770" t="s">
        <v>0</v>
      </c>
      <c r="G5770" t="str">
        <f>"2018-10-16 23:29:09"</f>
        <v>2018-10-16 23:29:09</v>
      </c>
    </row>
    <row r="5771" spans="1:7" x14ac:dyDescent="0.2">
      <c r="A5771" t="s">
        <v>6801</v>
      </c>
      <c r="B5771" t="str">
        <f>"15220003164"</f>
        <v>15220003164</v>
      </c>
      <c r="C5771" t="str">
        <f>"440785198207211623"</f>
        <v>440785198207211623</v>
      </c>
      <c r="D5771" t="s">
        <v>1</v>
      </c>
      <c r="E5771" t="s">
        <v>1</v>
      </c>
      <c r="F5771" t="s">
        <v>0</v>
      </c>
      <c r="G5771" t="str">
        <f>"2018-10-17 17:20:21"</f>
        <v>2018-10-17 17:20:21</v>
      </c>
    </row>
    <row r="5772" spans="1:7" x14ac:dyDescent="0.2">
      <c r="A5772" t="s">
        <v>6802</v>
      </c>
      <c r="B5772" t="str">
        <f>"15014169847"</f>
        <v>15014169847</v>
      </c>
      <c r="C5772" t="str">
        <f>"452327197609260819"</f>
        <v>452327197609260819</v>
      </c>
      <c r="D5772" t="s">
        <v>1</v>
      </c>
      <c r="E5772" t="s">
        <v>1</v>
      </c>
      <c r="F5772" t="s">
        <v>0</v>
      </c>
      <c r="G5772" t="str">
        <f>"2018-10-17 13:02:50"</f>
        <v>2018-10-17 13:02:50</v>
      </c>
    </row>
    <row r="5773" spans="1:7" x14ac:dyDescent="0.2">
      <c r="A5773" t="s">
        <v>1</v>
      </c>
      <c r="B5773" t="str">
        <f>"18259928559"</f>
        <v>18259928559</v>
      </c>
      <c r="C5773" t="s">
        <v>1</v>
      </c>
      <c r="D5773" t="s">
        <v>1</v>
      </c>
      <c r="E5773" t="s">
        <v>1</v>
      </c>
      <c r="F5773" t="s">
        <v>0</v>
      </c>
      <c r="G5773" t="str">
        <f>"2018-10-16 23:25:03"</f>
        <v>2018-10-16 23:25:03</v>
      </c>
    </row>
    <row r="5774" spans="1:7" x14ac:dyDescent="0.2">
      <c r="A5774" t="s">
        <v>1</v>
      </c>
      <c r="B5774" t="str">
        <f>"13721859395"</f>
        <v>13721859395</v>
      </c>
      <c r="C5774" t="s">
        <v>1</v>
      </c>
      <c r="D5774" t="s">
        <v>1</v>
      </c>
      <c r="E5774" t="s">
        <v>1</v>
      </c>
      <c r="F5774" t="s">
        <v>0</v>
      </c>
      <c r="G5774" t="str">
        <f>"2018-10-16 23:25:00"</f>
        <v>2018-10-16 23:25:00</v>
      </c>
    </row>
    <row r="5775" spans="1:7" x14ac:dyDescent="0.2">
      <c r="A5775" t="s">
        <v>6803</v>
      </c>
      <c r="B5775" t="str">
        <f>"18872881121"</f>
        <v>18872881121</v>
      </c>
      <c r="C5775" t="str">
        <f>"420703198308073778"</f>
        <v>420703198308073778</v>
      </c>
      <c r="D5775" t="s">
        <v>6804</v>
      </c>
      <c r="E5775" t="s">
        <v>6805</v>
      </c>
      <c r="F5775" t="s">
        <v>0</v>
      </c>
      <c r="G5775" t="str">
        <f>"2018-10-17 00:30:59"</f>
        <v>2018-10-17 00:30:59</v>
      </c>
    </row>
    <row r="5776" spans="1:7" x14ac:dyDescent="0.2">
      <c r="A5776" t="s">
        <v>1865</v>
      </c>
      <c r="B5776" t="str">
        <f>"17671357138"</f>
        <v>17671357138</v>
      </c>
      <c r="C5776" t="str">
        <f>"422826198801302011"</f>
        <v>422826198801302011</v>
      </c>
      <c r="D5776" t="s">
        <v>1</v>
      </c>
      <c r="E5776" t="s">
        <v>1</v>
      </c>
      <c r="F5776" t="s">
        <v>0</v>
      </c>
      <c r="G5776" t="str">
        <f>"2018-10-16 23:43:49"</f>
        <v>2018-10-16 23:43:49</v>
      </c>
    </row>
    <row r="5777" spans="1:7" x14ac:dyDescent="0.2">
      <c r="A5777" t="s">
        <v>6806</v>
      </c>
      <c r="B5777" t="str">
        <f>"18760706541"</f>
        <v>18760706541</v>
      </c>
      <c r="C5777" t="str">
        <f>"532502197909130067"</f>
        <v>532502197909130067</v>
      </c>
      <c r="D5777" t="s">
        <v>1</v>
      </c>
      <c r="E5777" t="s">
        <v>1</v>
      </c>
      <c r="F5777" t="s">
        <v>0</v>
      </c>
      <c r="G5777" t="str">
        <f>"2018-10-16 23:23:49"</f>
        <v>2018-10-16 23:23:49</v>
      </c>
    </row>
    <row r="5778" spans="1:7" x14ac:dyDescent="0.2">
      <c r="A5778" t="s">
        <v>6807</v>
      </c>
      <c r="B5778" t="str">
        <f>"18883079829"</f>
        <v>18883079829</v>
      </c>
      <c r="C5778" t="str">
        <f>"510231198003086877"</f>
        <v>510231198003086877</v>
      </c>
      <c r="D5778" t="s">
        <v>6808</v>
      </c>
      <c r="E5778" t="s">
        <v>6809</v>
      </c>
      <c r="F5778" t="s">
        <v>0</v>
      </c>
      <c r="G5778" t="str">
        <f>"2018-10-16 23:20:05"</f>
        <v>2018-10-16 23:20:05</v>
      </c>
    </row>
    <row r="5779" spans="1:7" x14ac:dyDescent="0.2">
      <c r="A5779" t="s">
        <v>1</v>
      </c>
      <c r="B5779" t="str">
        <f>"17375005230"</f>
        <v>17375005230</v>
      </c>
      <c r="C5779" t="s">
        <v>1</v>
      </c>
      <c r="D5779" t="s">
        <v>1</v>
      </c>
      <c r="E5779" t="s">
        <v>1</v>
      </c>
      <c r="F5779" t="s">
        <v>0</v>
      </c>
      <c r="G5779" t="str">
        <f>"2018-10-16 23:19:35"</f>
        <v>2018-10-16 23:19:35</v>
      </c>
    </row>
    <row r="5780" spans="1:7" x14ac:dyDescent="0.2">
      <c r="A5780" t="s">
        <v>6810</v>
      </c>
      <c r="B5780" t="str">
        <f>"18756355293"</f>
        <v>18756355293</v>
      </c>
      <c r="C5780" t="str">
        <f>"342502199403196812"</f>
        <v>342502199403196812</v>
      </c>
      <c r="D5780" t="s">
        <v>1</v>
      </c>
      <c r="E5780" t="s">
        <v>1</v>
      </c>
      <c r="F5780" t="s">
        <v>0</v>
      </c>
      <c r="G5780" t="str">
        <f>"2018-10-16 23:20:20"</f>
        <v>2018-10-16 23:20:20</v>
      </c>
    </row>
    <row r="5781" spans="1:7" x14ac:dyDescent="0.2">
      <c r="A5781" t="s">
        <v>6811</v>
      </c>
      <c r="B5781" t="str">
        <f>"13730075085"</f>
        <v>13730075085</v>
      </c>
      <c r="C5781" t="str">
        <f>"131002198306224218"</f>
        <v>131002198306224218</v>
      </c>
      <c r="D5781" t="s">
        <v>1</v>
      </c>
      <c r="E5781" t="s">
        <v>1</v>
      </c>
      <c r="F5781" t="s">
        <v>0</v>
      </c>
      <c r="G5781" t="str">
        <f>"2018-10-16 23:20:43"</f>
        <v>2018-10-16 23:20:43</v>
      </c>
    </row>
    <row r="5782" spans="1:7" x14ac:dyDescent="0.2">
      <c r="A5782" t="s">
        <v>6812</v>
      </c>
      <c r="B5782" t="str">
        <f>"15914600940"</f>
        <v>15914600940</v>
      </c>
      <c r="C5782" t="str">
        <f>"442000199111230998"</f>
        <v>442000199111230998</v>
      </c>
      <c r="D5782" t="s">
        <v>1</v>
      </c>
      <c r="E5782" t="s">
        <v>1</v>
      </c>
      <c r="F5782" t="s">
        <v>0</v>
      </c>
      <c r="G5782" t="str">
        <f>"2018-10-16 23:29:18"</f>
        <v>2018-10-16 23:29:18</v>
      </c>
    </row>
    <row r="5783" spans="1:7" x14ac:dyDescent="0.2">
      <c r="A5783" t="s">
        <v>6813</v>
      </c>
      <c r="B5783" t="str">
        <f>"15196686733"</f>
        <v>15196686733</v>
      </c>
      <c r="C5783" t="str">
        <f>"513023198808130013"</f>
        <v>513023198808130013</v>
      </c>
      <c r="D5783" t="s">
        <v>1</v>
      </c>
      <c r="E5783" t="s">
        <v>1</v>
      </c>
      <c r="F5783" t="s">
        <v>0</v>
      </c>
      <c r="G5783" t="str">
        <f>"2018-10-16 23:20:29"</f>
        <v>2018-10-16 23:20:29</v>
      </c>
    </row>
    <row r="5784" spans="1:7" x14ac:dyDescent="0.2">
      <c r="A5784" t="s">
        <v>1479</v>
      </c>
      <c r="B5784" t="str">
        <f>"15212703098"</f>
        <v>15212703098</v>
      </c>
      <c r="C5784" t="str">
        <f>"342502198710061315"</f>
        <v>342502198710061315</v>
      </c>
      <c r="D5784" t="s">
        <v>1</v>
      </c>
      <c r="E5784" t="s">
        <v>1</v>
      </c>
      <c r="F5784" t="s">
        <v>0</v>
      </c>
      <c r="G5784" t="str">
        <f>"2018-10-17 09:58:08"</f>
        <v>2018-10-17 09:58:08</v>
      </c>
    </row>
    <row r="5785" spans="1:7" x14ac:dyDescent="0.2">
      <c r="A5785" t="s">
        <v>1290</v>
      </c>
      <c r="B5785" t="str">
        <f>"18869707776"</f>
        <v>18869707776</v>
      </c>
      <c r="C5785" t="str">
        <f>"530122199406301312"</f>
        <v>530122199406301312</v>
      </c>
      <c r="D5785" t="s">
        <v>1</v>
      </c>
      <c r="E5785" t="s">
        <v>1</v>
      </c>
      <c r="F5785" t="s">
        <v>0</v>
      </c>
      <c r="G5785" t="str">
        <f>"2018-10-16 23:49:48"</f>
        <v>2018-10-16 23:49:48</v>
      </c>
    </row>
    <row r="5786" spans="1:7" x14ac:dyDescent="0.2">
      <c r="A5786" t="s">
        <v>6814</v>
      </c>
      <c r="B5786" t="str">
        <f>"15960823523"</f>
        <v>15960823523</v>
      </c>
      <c r="C5786" t="str">
        <f>"530629199904280974"</f>
        <v>530629199904280974</v>
      </c>
      <c r="D5786" t="s">
        <v>1</v>
      </c>
      <c r="E5786" t="s">
        <v>1</v>
      </c>
      <c r="F5786" t="s">
        <v>0</v>
      </c>
      <c r="G5786" t="str">
        <f>"2018-10-16 23:16:18"</f>
        <v>2018-10-16 23:16:18</v>
      </c>
    </row>
    <row r="5787" spans="1:7" x14ac:dyDescent="0.2">
      <c r="A5787" t="s">
        <v>6815</v>
      </c>
      <c r="B5787" t="str">
        <f>"13732741123"</f>
        <v>13732741123</v>
      </c>
      <c r="C5787" t="str">
        <f>"530381199201064537"</f>
        <v>530381199201064537</v>
      </c>
      <c r="D5787" t="s">
        <v>1</v>
      </c>
      <c r="E5787" t="s">
        <v>1</v>
      </c>
      <c r="F5787" t="s">
        <v>0</v>
      </c>
      <c r="G5787" t="str">
        <f>"2018-10-19 00:54:05"</f>
        <v>2018-10-19 00:54:05</v>
      </c>
    </row>
    <row r="5788" spans="1:7" x14ac:dyDescent="0.2">
      <c r="A5788" t="s">
        <v>1</v>
      </c>
      <c r="B5788" t="str">
        <f>"13413512885"</f>
        <v>13413512885</v>
      </c>
      <c r="C5788" t="s">
        <v>1</v>
      </c>
      <c r="D5788" t="s">
        <v>1</v>
      </c>
      <c r="E5788" t="s">
        <v>1</v>
      </c>
      <c r="F5788" t="s">
        <v>0</v>
      </c>
      <c r="G5788" t="str">
        <f>"2018-10-16 23:11:52"</f>
        <v>2018-10-16 23:11:52</v>
      </c>
    </row>
    <row r="5789" spans="1:7" x14ac:dyDescent="0.2">
      <c r="A5789" t="s">
        <v>6816</v>
      </c>
      <c r="B5789" t="str">
        <f>"18909581955"</f>
        <v>18909581955</v>
      </c>
      <c r="C5789" t="str">
        <f>"64011119921006151X"</f>
        <v>64011119921006151X</v>
      </c>
      <c r="D5789" t="s">
        <v>6817</v>
      </c>
      <c r="E5789" t="s">
        <v>6818</v>
      </c>
      <c r="F5789" t="s">
        <v>0</v>
      </c>
      <c r="G5789" t="str">
        <f>"2018-10-16 23:12:56"</f>
        <v>2018-10-16 23:12:56</v>
      </c>
    </row>
    <row r="5790" spans="1:7" x14ac:dyDescent="0.2">
      <c r="A5790" t="s">
        <v>6819</v>
      </c>
      <c r="B5790" t="str">
        <f>"15705238236"</f>
        <v>15705238236</v>
      </c>
      <c r="C5790" t="str">
        <f>"320811199203171511"</f>
        <v>320811199203171511</v>
      </c>
      <c r="D5790" t="s">
        <v>6820</v>
      </c>
      <c r="E5790" t="s">
        <v>6821</v>
      </c>
      <c r="F5790" t="s">
        <v>0</v>
      </c>
      <c r="G5790" t="str">
        <f>"2018-10-25 22:45:52"</f>
        <v>2018-10-25 22:45:52</v>
      </c>
    </row>
    <row r="5791" spans="1:7" x14ac:dyDescent="0.2">
      <c r="A5791" t="s">
        <v>6822</v>
      </c>
      <c r="B5791" t="str">
        <f>"18721316479"</f>
        <v>18721316479</v>
      </c>
      <c r="C5791" t="str">
        <f>"310228198001103615"</f>
        <v>310228198001103615</v>
      </c>
      <c r="D5791" t="s">
        <v>6823</v>
      </c>
      <c r="E5791" t="s">
        <v>6824</v>
      </c>
      <c r="F5791" t="s">
        <v>0</v>
      </c>
      <c r="G5791" t="str">
        <f>"2018-10-17 08:03:47"</f>
        <v>2018-10-17 08:03:47</v>
      </c>
    </row>
    <row r="5792" spans="1:7" x14ac:dyDescent="0.2">
      <c r="A5792" t="s">
        <v>3003</v>
      </c>
      <c r="B5792" t="str">
        <f>"15248034136"</f>
        <v>15248034136</v>
      </c>
      <c r="C5792" t="str">
        <f>"140212199308080026"</f>
        <v>140212199308080026</v>
      </c>
      <c r="D5792" t="s">
        <v>1</v>
      </c>
      <c r="E5792" t="s">
        <v>1</v>
      </c>
      <c r="F5792" t="s">
        <v>0</v>
      </c>
      <c r="G5792" t="str">
        <f>"2018-10-23 17:10:53"</f>
        <v>2018-10-23 17:10:53</v>
      </c>
    </row>
    <row r="5793" spans="1:7" x14ac:dyDescent="0.2">
      <c r="A5793" t="s">
        <v>6825</v>
      </c>
      <c r="B5793" t="str">
        <f>"13894846549"</f>
        <v>13894846549</v>
      </c>
      <c r="C5793" t="str">
        <f>"371081198912295016"</f>
        <v>371081198912295016</v>
      </c>
      <c r="D5793" t="s">
        <v>1</v>
      </c>
      <c r="E5793" t="s">
        <v>1</v>
      </c>
      <c r="F5793" t="s">
        <v>0</v>
      </c>
      <c r="G5793" t="str">
        <f>"2018-10-18 18:11:45"</f>
        <v>2018-10-18 18:11:45</v>
      </c>
    </row>
    <row r="5794" spans="1:7" x14ac:dyDescent="0.2">
      <c r="A5794" t="s">
        <v>6826</v>
      </c>
      <c r="B5794" t="str">
        <f>"15296715810"</f>
        <v>15296715810</v>
      </c>
      <c r="C5794" t="str">
        <f>"142703199604061834"</f>
        <v>142703199604061834</v>
      </c>
      <c r="D5794" t="s">
        <v>1</v>
      </c>
      <c r="E5794" t="s">
        <v>1</v>
      </c>
      <c r="F5794" t="s">
        <v>0</v>
      </c>
      <c r="G5794" t="str">
        <f>"2018-10-16 23:25:07"</f>
        <v>2018-10-16 23:25:07</v>
      </c>
    </row>
    <row r="5795" spans="1:7" x14ac:dyDescent="0.2">
      <c r="A5795" t="s">
        <v>6827</v>
      </c>
      <c r="B5795" t="str">
        <f>"18816705128"</f>
        <v>18816705128</v>
      </c>
      <c r="C5795" t="str">
        <f>"440881199104161074"</f>
        <v>440881199104161074</v>
      </c>
      <c r="D5795" t="s">
        <v>1</v>
      </c>
      <c r="E5795" t="s">
        <v>1</v>
      </c>
      <c r="F5795" t="s">
        <v>0</v>
      </c>
      <c r="G5795" t="str">
        <f>"2018-10-16 23:05:45"</f>
        <v>2018-10-16 23:05:45</v>
      </c>
    </row>
    <row r="5796" spans="1:7" x14ac:dyDescent="0.2">
      <c r="A5796" t="s">
        <v>6828</v>
      </c>
      <c r="B5796" t="str">
        <f>"18167770790"</f>
        <v>18167770790</v>
      </c>
      <c r="C5796" t="str">
        <f>"622323199301120217"</f>
        <v>622323199301120217</v>
      </c>
      <c r="D5796" t="s">
        <v>1</v>
      </c>
      <c r="E5796" t="s">
        <v>1</v>
      </c>
      <c r="F5796" t="s">
        <v>0</v>
      </c>
      <c r="G5796" t="str">
        <f>"2018-10-16 23:04:41"</f>
        <v>2018-10-16 23:04:41</v>
      </c>
    </row>
    <row r="5797" spans="1:7" x14ac:dyDescent="0.2">
      <c r="A5797" t="s">
        <v>6829</v>
      </c>
      <c r="B5797" t="str">
        <f>"15100440001"</f>
        <v>15100440001</v>
      </c>
      <c r="C5797" t="str">
        <f>"130429199810106566"</f>
        <v>130429199810106566</v>
      </c>
      <c r="D5797" t="s">
        <v>1</v>
      </c>
      <c r="E5797" t="s">
        <v>1</v>
      </c>
      <c r="F5797" t="s">
        <v>0</v>
      </c>
      <c r="G5797" t="str">
        <f>"2018-10-16 23:05:03"</f>
        <v>2018-10-16 23:05:03</v>
      </c>
    </row>
    <row r="5798" spans="1:7" x14ac:dyDescent="0.2">
      <c r="A5798" t="s">
        <v>6830</v>
      </c>
      <c r="B5798" t="str">
        <f>"15867792252"</f>
        <v>15867792252</v>
      </c>
      <c r="C5798" t="str">
        <f>"36052119950912421X"</f>
        <v>36052119950912421X</v>
      </c>
      <c r="D5798" t="s">
        <v>1</v>
      </c>
      <c r="E5798" t="s">
        <v>1</v>
      </c>
      <c r="F5798" t="s">
        <v>0</v>
      </c>
      <c r="G5798" t="str">
        <f>"2018-10-16 23:04:35"</f>
        <v>2018-10-16 23:04:35</v>
      </c>
    </row>
    <row r="5799" spans="1:7" x14ac:dyDescent="0.2">
      <c r="A5799" t="s">
        <v>1</v>
      </c>
      <c r="B5799" t="str">
        <f>"15070016067"</f>
        <v>15070016067</v>
      </c>
      <c r="C5799" t="s">
        <v>1</v>
      </c>
      <c r="D5799" t="s">
        <v>1</v>
      </c>
      <c r="E5799" t="s">
        <v>1</v>
      </c>
      <c r="F5799" t="s">
        <v>0</v>
      </c>
      <c r="G5799" t="str">
        <f>"2018-10-16 23:02:49"</f>
        <v>2018-10-16 23:02:49</v>
      </c>
    </row>
    <row r="5800" spans="1:7" x14ac:dyDescent="0.2">
      <c r="A5800" t="s">
        <v>1734</v>
      </c>
      <c r="B5800" t="str">
        <f>"18113401823"</f>
        <v>18113401823</v>
      </c>
      <c r="C5800" t="str">
        <f>"51072419941020201X"</f>
        <v>51072419941020201X</v>
      </c>
      <c r="D5800" t="s">
        <v>1</v>
      </c>
      <c r="E5800" t="s">
        <v>1</v>
      </c>
      <c r="F5800" t="s">
        <v>0</v>
      </c>
      <c r="G5800" t="str">
        <f>"2018-10-16 23:03:33"</f>
        <v>2018-10-16 23:03:33</v>
      </c>
    </row>
    <row r="5801" spans="1:7" x14ac:dyDescent="0.2">
      <c r="A5801" t="s">
        <v>6831</v>
      </c>
      <c r="B5801" t="str">
        <f>"18660810179"</f>
        <v>18660810179</v>
      </c>
      <c r="C5801" t="str">
        <f>"370103198502035516"</f>
        <v>370103198502035516</v>
      </c>
      <c r="D5801" t="s">
        <v>6832</v>
      </c>
      <c r="E5801" t="s">
        <v>6833</v>
      </c>
      <c r="F5801" t="s">
        <v>0</v>
      </c>
      <c r="G5801" t="str">
        <f>"2018-10-16 23:04:41"</f>
        <v>2018-10-16 23:04:41</v>
      </c>
    </row>
    <row r="5802" spans="1:7" x14ac:dyDescent="0.2">
      <c r="A5802" t="s">
        <v>6834</v>
      </c>
      <c r="B5802" t="str">
        <f>"15151772066"</f>
        <v>15151772066</v>
      </c>
      <c r="C5802" t="str">
        <f>"130423199002150747"</f>
        <v>130423199002150747</v>
      </c>
      <c r="D5802" t="s">
        <v>1</v>
      </c>
      <c r="E5802" t="s">
        <v>1</v>
      </c>
      <c r="F5802" t="s">
        <v>0</v>
      </c>
      <c r="G5802" t="str">
        <f>"2018-10-16 23:03:22"</f>
        <v>2018-10-16 23:03:22</v>
      </c>
    </row>
    <row r="5803" spans="1:7" x14ac:dyDescent="0.2">
      <c r="A5803" t="s">
        <v>1</v>
      </c>
      <c r="B5803" t="str">
        <f>"18559458370"</f>
        <v>18559458370</v>
      </c>
      <c r="C5803" t="s">
        <v>1</v>
      </c>
      <c r="D5803" t="s">
        <v>1</v>
      </c>
      <c r="E5803" t="s">
        <v>1</v>
      </c>
      <c r="F5803" t="s">
        <v>0</v>
      </c>
      <c r="G5803" t="str">
        <f>"2018-10-16 22:59:40"</f>
        <v>2018-10-16 22:59:40</v>
      </c>
    </row>
    <row r="5804" spans="1:7" x14ac:dyDescent="0.2">
      <c r="A5804" t="s">
        <v>6835</v>
      </c>
      <c r="B5804" t="str">
        <f>"18589994223"</f>
        <v>18589994223</v>
      </c>
      <c r="C5804" t="str">
        <f>"452224199508024010"</f>
        <v>452224199508024010</v>
      </c>
      <c r="D5804" t="s">
        <v>1</v>
      </c>
      <c r="E5804" t="s">
        <v>1</v>
      </c>
      <c r="F5804" t="s">
        <v>0</v>
      </c>
      <c r="G5804" t="str">
        <f>"2018-10-17 00:00:50"</f>
        <v>2018-10-17 00:00:50</v>
      </c>
    </row>
    <row r="5805" spans="1:7" x14ac:dyDescent="0.2">
      <c r="A5805" t="s">
        <v>6836</v>
      </c>
      <c r="B5805" t="str">
        <f>"13450185128"</f>
        <v>13450185128</v>
      </c>
      <c r="C5805" t="str">
        <f>"441202198602266037"</f>
        <v>441202198602266037</v>
      </c>
      <c r="D5805" t="s">
        <v>1</v>
      </c>
      <c r="E5805" t="s">
        <v>1</v>
      </c>
      <c r="F5805" t="s">
        <v>0</v>
      </c>
      <c r="G5805" t="str">
        <f>"2018-10-16 22:59:25"</f>
        <v>2018-10-16 22:59:25</v>
      </c>
    </row>
    <row r="5806" spans="1:7" x14ac:dyDescent="0.2">
      <c r="A5806" t="s">
        <v>6837</v>
      </c>
      <c r="B5806" t="str">
        <f>"15967774712"</f>
        <v>15967774712</v>
      </c>
      <c r="C5806" t="str">
        <f>"330322198909282415"</f>
        <v>330322198909282415</v>
      </c>
      <c r="D5806" t="s">
        <v>1</v>
      </c>
      <c r="E5806" t="s">
        <v>1</v>
      </c>
      <c r="F5806" t="s">
        <v>0</v>
      </c>
      <c r="G5806" t="str">
        <f>"2018-10-16 22:58:14"</f>
        <v>2018-10-16 22:58:14</v>
      </c>
    </row>
    <row r="5807" spans="1:7" x14ac:dyDescent="0.2">
      <c r="A5807" t="s">
        <v>6838</v>
      </c>
      <c r="B5807" t="str">
        <f>"15067627025"</f>
        <v>15067627025</v>
      </c>
      <c r="C5807" t="str">
        <f>"33102319860608341X"</f>
        <v>33102319860608341X</v>
      </c>
      <c r="D5807" t="s">
        <v>1</v>
      </c>
      <c r="E5807" t="s">
        <v>1</v>
      </c>
      <c r="F5807" t="s">
        <v>0</v>
      </c>
      <c r="G5807" t="str">
        <f>"2018-10-16 23:08:02"</f>
        <v>2018-10-16 23:08:02</v>
      </c>
    </row>
    <row r="5808" spans="1:7" x14ac:dyDescent="0.2">
      <c r="A5808" t="s">
        <v>6839</v>
      </c>
      <c r="B5808" t="str">
        <f>"15018874150"</f>
        <v>15018874150</v>
      </c>
      <c r="C5808" t="str">
        <f>"445221199607231017"</f>
        <v>445221199607231017</v>
      </c>
      <c r="D5808" t="s">
        <v>1</v>
      </c>
      <c r="E5808" t="s">
        <v>1</v>
      </c>
      <c r="F5808" t="s">
        <v>0</v>
      </c>
      <c r="G5808" t="str">
        <f>"2018-10-16 22:56:25"</f>
        <v>2018-10-16 22:56:25</v>
      </c>
    </row>
    <row r="5809" spans="1:7" x14ac:dyDescent="0.2">
      <c r="A5809" t="s">
        <v>6840</v>
      </c>
      <c r="B5809" t="str">
        <f>"15915154775"</f>
        <v>15915154775</v>
      </c>
      <c r="C5809" t="str">
        <f>"440582197810055413"</f>
        <v>440582197810055413</v>
      </c>
      <c r="D5809" t="s">
        <v>1</v>
      </c>
      <c r="E5809" t="s">
        <v>1</v>
      </c>
      <c r="F5809" t="s">
        <v>0</v>
      </c>
      <c r="G5809" t="str">
        <f>"2018-10-16 22:56:36"</f>
        <v>2018-10-16 22:56:36</v>
      </c>
    </row>
    <row r="5810" spans="1:7" x14ac:dyDescent="0.2">
      <c r="A5810" t="s">
        <v>687</v>
      </c>
      <c r="B5810" t="str">
        <f>"18855029080"</f>
        <v>18855029080</v>
      </c>
      <c r="C5810" t="str">
        <f>"341181199507080032"</f>
        <v>341181199507080032</v>
      </c>
      <c r="D5810" t="s">
        <v>1</v>
      </c>
      <c r="E5810" t="s">
        <v>1</v>
      </c>
      <c r="F5810" t="s">
        <v>0</v>
      </c>
      <c r="G5810" t="str">
        <f>"2018-10-16 22:56:26"</f>
        <v>2018-10-16 22:56:26</v>
      </c>
    </row>
    <row r="5811" spans="1:7" x14ac:dyDescent="0.2">
      <c r="A5811" t="s">
        <v>1</v>
      </c>
      <c r="B5811" t="str">
        <f>"18555864963"</f>
        <v>18555864963</v>
      </c>
      <c r="C5811" t="s">
        <v>1</v>
      </c>
      <c r="D5811" t="s">
        <v>1</v>
      </c>
      <c r="E5811" t="s">
        <v>1</v>
      </c>
      <c r="F5811" t="s">
        <v>0</v>
      </c>
      <c r="G5811" t="str">
        <f>"2018-10-16 22:55:22"</f>
        <v>2018-10-16 22:55:22</v>
      </c>
    </row>
    <row r="5812" spans="1:7" x14ac:dyDescent="0.2">
      <c r="A5812" t="s">
        <v>6841</v>
      </c>
      <c r="B5812" t="str">
        <f>"18672445060"</f>
        <v>18672445060</v>
      </c>
      <c r="C5812" t="str">
        <f>"422802199609085559"</f>
        <v>422802199609085559</v>
      </c>
      <c r="D5812" t="s">
        <v>6842</v>
      </c>
      <c r="E5812" t="s">
        <v>6843</v>
      </c>
      <c r="F5812" t="s">
        <v>0</v>
      </c>
      <c r="G5812" t="str">
        <f>"2018-10-19 10:41:57"</f>
        <v>2018-10-19 10:41:57</v>
      </c>
    </row>
    <row r="5813" spans="1:7" x14ac:dyDescent="0.2">
      <c r="A5813" t="s">
        <v>1</v>
      </c>
      <c r="B5813" t="str">
        <f>"15193454909"</f>
        <v>15193454909</v>
      </c>
      <c r="C5813" t="s">
        <v>1</v>
      </c>
      <c r="D5813" t="s">
        <v>1</v>
      </c>
      <c r="E5813" t="s">
        <v>1</v>
      </c>
      <c r="F5813" t="s">
        <v>0</v>
      </c>
      <c r="G5813" t="str">
        <f>"2018-10-16 22:52:33"</f>
        <v>2018-10-16 22:52:33</v>
      </c>
    </row>
    <row r="5814" spans="1:7" x14ac:dyDescent="0.2">
      <c r="A5814" t="s">
        <v>1</v>
      </c>
      <c r="B5814" t="str">
        <f>"15813601035"</f>
        <v>15813601035</v>
      </c>
      <c r="C5814" t="s">
        <v>1</v>
      </c>
      <c r="D5814" t="s">
        <v>1</v>
      </c>
      <c r="E5814" t="s">
        <v>1</v>
      </c>
      <c r="F5814" t="s">
        <v>0</v>
      </c>
      <c r="G5814" t="str">
        <f>"2018-10-16 22:52:48"</f>
        <v>2018-10-16 22:52:48</v>
      </c>
    </row>
    <row r="5815" spans="1:7" x14ac:dyDescent="0.2">
      <c r="A5815" t="s">
        <v>6844</v>
      </c>
      <c r="B5815" t="str">
        <f>"18775946146"</f>
        <v>18775946146</v>
      </c>
      <c r="C5815" t="str">
        <f>"452132199812054518"</f>
        <v>452132199812054518</v>
      </c>
      <c r="D5815" t="s">
        <v>6845</v>
      </c>
      <c r="E5815" t="s">
        <v>6846</v>
      </c>
      <c r="F5815" t="s">
        <v>0</v>
      </c>
      <c r="G5815" t="str">
        <f>"2018-10-16 22:53:37"</f>
        <v>2018-10-16 22:53:37</v>
      </c>
    </row>
    <row r="5816" spans="1:7" x14ac:dyDescent="0.2">
      <c r="A5816" t="s">
        <v>6847</v>
      </c>
      <c r="B5816" t="str">
        <f>"18288774038"</f>
        <v>18288774038</v>
      </c>
      <c r="C5816" t="str">
        <f>"532123199304191114"</f>
        <v>532123199304191114</v>
      </c>
      <c r="D5816" t="s">
        <v>1</v>
      </c>
      <c r="E5816" t="s">
        <v>1</v>
      </c>
      <c r="F5816" t="s">
        <v>0</v>
      </c>
      <c r="G5816" t="str">
        <f>"2018-10-16 22:50:58"</f>
        <v>2018-10-16 22:50:58</v>
      </c>
    </row>
    <row r="5817" spans="1:7" x14ac:dyDescent="0.2">
      <c r="A5817" t="s">
        <v>6848</v>
      </c>
      <c r="B5817" t="str">
        <f>"18854148727"</f>
        <v>18854148727</v>
      </c>
      <c r="C5817" t="str">
        <f>"372323199606153325"</f>
        <v>372323199606153325</v>
      </c>
      <c r="D5817" t="s">
        <v>1</v>
      </c>
      <c r="E5817" t="s">
        <v>1</v>
      </c>
      <c r="F5817" t="s">
        <v>0</v>
      </c>
      <c r="G5817" t="str">
        <f>"2018-10-16 22:50:28"</f>
        <v>2018-10-16 22:50:28</v>
      </c>
    </row>
    <row r="5818" spans="1:7" x14ac:dyDescent="0.2">
      <c r="A5818" t="s">
        <v>6849</v>
      </c>
      <c r="B5818" t="str">
        <f>"13710364354"</f>
        <v>13710364354</v>
      </c>
      <c r="C5818" t="str">
        <f>"441881199205241111"</f>
        <v>441881199205241111</v>
      </c>
      <c r="D5818" t="s">
        <v>6850</v>
      </c>
      <c r="E5818" t="s">
        <v>6851</v>
      </c>
      <c r="F5818" t="s">
        <v>0</v>
      </c>
      <c r="G5818" t="str">
        <f>"2018-10-16 22:50:16"</f>
        <v>2018-10-16 22:50:16</v>
      </c>
    </row>
    <row r="5819" spans="1:7" x14ac:dyDescent="0.2">
      <c r="A5819" t="s">
        <v>1</v>
      </c>
      <c r="B5819" t="str">
        <f>"15108954048"</f>
        <v>15108954048</v>
      </c>
      <c r="C5819" t="s">
        <v>1</v>
      </c>
      <c r="D5819" t="s">
        <v>1</v>
      </c>
      <c r="E5819" t="s">
        <v>1</v>
      </c>
      <c r="F5819" t="s">
        <v>0</v>
      </c>
      <c r="G5819" t="str">
        <f>"2018-10-16 22:48:45"</f>
        <v>2018-10-16 22:48:45</v>
      </c>
    </row>
    <row r="5820" spans="1:7" x14ac:dyDescent="0.2">
      <c r="A5820" t="s">
        <v>6852</v>
      </c>
      <c r="B5820" t="str">
        <f>"18685103698"</f>
        <v>18685103698</v>
      </c>
      <c r="C5820" t="str">
        <f>"340826199012296416"</f>
        <v>340826199012296416</v>
      </c>
      <c r="D5820" t="s">
        <v>1</v>
      </c>
      <c r="E5820" t="s">
        <v>1</v>
      </c>
      <c r="F5820" t="s">
        <v>0</v>
      </c>
      <c r="G5820" t="str">
        <f>"2018-10-18 18:20:47"</f>
        <v>2018-10-18 18:20:47</v>
      </c>
    </row>
    <row r="5821" spans="1:7" x14ac:dyDescent="0.2">
      <c r="A5821" t="s">
        <v>1779</v>
      </c>
      <c r="B5821" t="str">
        <f>"15896679051"</f>
        <v>15896679051</v>
      </c>
      <c r="C5821" t="str">
        <f>"41032819881126054X"</f>
        <v>41032819881126054X</v>
      </c>
      <c r="D5821" t="s">
        <v>1</v>
      </c>
      <c r="E5821" t="s">
        <v>1</v>
      </c>
      <c r="F5821" t="s">
        <v>0</v>
      </c>
      <c r="G5821" t="str">
        <f>"2018-10-16 22:54:59"</f>
        <v>2018-10-16 22:54:59</v>
      </c>
    </row>
    <row r="5822" spans="1:7" x14ac:dyDescent="0.2">
      <c r="A5822" t="s">
        <v>6853</v>
      </c>
      <c r="B5822" t="str">
        <f>"15999173486"</f>
        <v>15999173486</v>
      </c>
      <c r="C5822" t="str">
        <f>"411422198906212514"</f>
        <v>411422198906212514</v>
      </c>
      <c r="D5822" t="s">
        <v>1</v>
      </c>
      <c r="E5822" t="s">
        <v>1</v>
      </c>
      <c r="F5822" t="s">
        <v>0</v>
      </c>
      <c r="G5822" t="str">
        <f>"2018-10-16 22:49:50"</f>
        <v>2018-10-16 22:49:50</v>
      </c>
    </row>
    <row r="5823" spans="1:7" x14ac:dyDescent="0.2">
      <c r="A5823" t="s">
        <v>6854</v>
      </c>
      <c r="B5823" t="str">
        <f>"13906019116"</f>
        <v>13906019116</v>
      </c>
      <c r="C5823" t="str">
        <f>"350204199504041031"</f>
        <v>350204199504041031</v>
      </c>
      <c r="D5823" t="s">
        <v>6855</v>
      </c>
      <c r="E5823" t="s">
        <v>6856</v>
      </c>
      <c r="F5823" t="s">
        <v>0</v>
      </c>
      <c r="G5823" t="str">
        <f>"2018-10-23 00:51:29"</f>
        <v>2018-10-23 00:51:29</v>
      </c>
    </row>
    <row r="5824" spans="1:7" x14ac:dyDescent="0.2">
      <c r="A5824" t="s">
        <v>6857</v>
      </c>
      <c r="B5824" t="str">
        <f>"13723880949"</f>
        <v>13723880949</v>
      </c>
      <c r="C5824" t="str">
        <f>"511529200003125819"</f>
        <v>511529200003125819</v>
      </c>
      <c r="D5824" t="s">
        <v>1</v>
      </c>
      <c r="E5824" t="s">
        <v>1</v>
      </c>
      <c r="F5824" t="s">
        <v>0</v>
      </c>
      <c r="G5824" t="str">
        <f>"2018-10-16 22:49:31"</f>
        <v>2018-10-16 22:49:31</v>
      </c>
    </row>
    <row r="5825" spans="1:7" x14ac:dyDescent="0.2">
      <c r="A5825" t="s">
        <v>671</v>
      </c>
      <c r="B5825" t="str">
        <f>"17729685481"</f>
        <v>17729685481</v>
      </c>
      <c r="C5825" t="str">
        <f>"500384198803162416"</f>
        <v>500384198803162416</v>
      </c>
      <c r="D5825" t="s">
        <v>1</v>
      </c>
      <c r="E5825" t="s">
        <v>1</v>
      </c>
      <c r="F5825" t="s">
        <v>0</v>
      </c>
      <c r="G5825" t="str">
        <f>"2018-10-16 22:48:19"</f>
        <v>2018-10-16 22:48:19</v>
      </c>
    </row>
    <row r="5826" spans="1:7" x14ac:dyDescent="0.2">
      <c r="A5826" t="s">
        <v>6858</v>
      </c>
      <c r="B5826" t="str">
        <f>"15050726121"</f>
        <v>15050726121</v>
      </c>
      <c r="C5826" t="str">
        <f>"321023198709282639"</f>
        <v>321023198709282639</v>
      </c>
      <c r="D5826" t="s">
        <v>1</v>
      </c>
      <c r="E5826" t="s">
        <v>1</v>
      </c>
      <c r="F5826" t="s">
        <v>0</v>
      </c>
      <c r="G5826" t="str">
        <f>"2018-10-16 22:54:06"</f>
        <v>2018-10-16 22:54:06</v>
      </c>
    </row>
    <row r="5827" spans="1:7" x14ac:dyDescent="0.2">
      <c r="A5827" t="s">
        <v>6859</v>
      </c>
      <c r="B5827" t="str">
        <f>"17750593382"</f>
        <v>17750593382</v>
      </c>
      <c r="C5827" t="str">
        <f>"350622199505170518"</f>
        <v>350622199505170518</v>
      </c>
      <c r="D5827" t="s">
        <v>1</v>
      </c>
      <c r="E5827" t="s">
        <v>1</v>
      </c>
      <c r="F5827" t="s">
        <v>0</v>
      </c>
      <c r="G5827" t="str">
        <f>"2018-10-16 23:46:22"</f>
        <v>2018-10-16 23:46:22</v>
      </c>
    </row>
    <row r="5828" spans="1:7" x14ac:dyDescent="0.2">
      <c r="A5828" t="s">
        <v>6860</v>
      </c>
      <c r="B5828" t="str">
        <f>"18659856250"</f>
        <v>18659856250</v>
      </c>
      <c r="C5828" t="str">
        <f>"350425198503132415"</f>
        <v>350425198503132415</v>
      </c>
      <c r="D5828" t="s">
        <v>1</v>
      </c>
      <c r="E5828" t="s">
        <v>1</v>
      </c>
      <c r="F5828" t="s">
        <v>0</v>
      </c>
      <c r="G5828" t="str">
        <f>"2018-10-16 22:46:41"</f>
        <v>2018-10-16 22:46:41</v>
      </c>
    </row>
    <row r="5829" spans="1:7" x14ac:dyDescent="0.2">
      <c r="A5829" t="s">
        <v>1</v>
      </c>
      <c r="B5829" t="str">
        <f>"18841599872"</f>
        <v>18841599872</v>
      </c>
      <c r="C5829" t="s">
        <v>1</v>
      </c>
      <c r="D5829" t="s">
        <v>1</v>
      </c>
      <c r="E5829" t="s">
        <v>1</v>
      </c>
      <c r="F5829" t="s">
        <v>0</v>
      </c>
      <c r="G5829" t="str">
        <f>"2018-10-16 22:45:09"</f>
        <v>2018-10-16 22:45:09</v>
      </c>
    </row>
    <row r="5830" spans="1:7" x14ac:dyDescent="0.2">
      <c r="A5830" t="s">
        <v>1</v>
      </c>
      <c r="B5830" t="str">
        <f>"18559459905"</f>
        <v>18559459905</v>
      </c>
      <c r="C5830" t="s">
        <v>1</v>
      </c>
      <c r="D5830" t="s">
        <v>1</v>
      </c>
      <c r="E5830" t="s">
        <v>1</v>
      </c>
      <c r="F5830" t="s">
        <v>0</v>
      </c>
      <c r="G5830" t="str">
        <f>"2018-10-16 22:44:55"</f>
        <v>2018-10-16 22:44:55</v>
      </c>
    </row>
    <row r="5831" spans="1:7" x14ac:dyDescent="0.2">
      <c r="A5831" t="s">
        <v>455</v>
      </c>
      <c r="B5831" t="str">
        <f>"13063724336"</f>
        <v>13063724336</v>
      </c>
      <c r="C5831" t="str">
        <f>"35032219940224301X"</f>
        <v>35032219940224301X</v>
      </c>
      <c r="D5831" t="s">
        <v>1</v>
      </c>
      <c r="E5831" t="s">
        <v>1</v>
      </c>
      <c r="F5831" t="s">
        <v>0</v>
      </c>
      <c r="G5831" t="str">
        <f>"2018-10-16 22:46:58"</f>
        <v>2018-10-16 22:46:58</v>
      </c>
    </row>
    <row r="5832" spans="1:7" x14ac:dyDescent="0.2">
      <c r="A5832" t="s">
        <v>644</v>
      </c>
      <c r="B5832" t="str">
        <f>"15986398780"</f>
        <v>15986398780</v>
      </c>
      <c r="C5832" t="str">
        <f>"450802199001202933"</f>
        <v>450802199001202933</v>
      </c>
      <c r="D5832" t="s">
        <v>1</v>
      </c>
      <c r="E5832" t="s">
        <v>1</v>
      </c>
      <c r="F5832" t="s">
        <v>0</v>
      </c>
      <c r="G5832" t="str">
        <f>"2018-10-16 22:45:53"</f>
        <v>2018-10-16 22:45:53</v>
      </c>
    </row>
    <row r="5833" spans="1:7" x14ac:dyDescent="0.2">
      <c r="A5833" t="s">
        <v>1870</v>
      </c>
      <c r="B5833" t="str">
        <f>"13267345288"</f>
        <v>13267345288</v>
      </c>
      <c r="C5833" t="str">
        <f>"411323199306066352"</f>
        <v>411323199306066352</v>
      </c>
      <c r="D5833" t="s">
        <v>1</v>
      </c>
      <c r="E5833" t="s">
        <v>1</v>
      </c>
      <c r="F5833" t="s">
        <v>0</v>
      </c>
      <c r="G5833" t="str">
        <f>"2018-10-17 12:46:09"</f>
        <v>2018-10-17 12:46:09</v>
      </c>
    </row>
    <row r="5834" spans="1:7" x14ac:dyDescent="0.2">
      <c r="A5834" t="s">
        <v>6861</v>
      </c>
      <c r="B5834" t="str">
        <f>"15217098895"</f>
        <v>15217098895</v>
      </c>
      <c r="C5834" t="str">
        <f>"44088119820918223X"</f>
        <v>44088119820918223X</v>
      </c>
      <c r="D5834" t="s">
        <v>1</v>
      </c>
      <c r="E5834" t="s">
        <v>1</v>
      </c>
      <c r="F5834" t="s">
        <v>0</v>
      </c>
      <c r="G5834" t="str">
        <f>"2018-10-16 22:45:25"</f>
        <v>2018-10-16 22:45:25</v>
      </c>
    </row>
    <row r="5835" spans="1:7" x14ac:dyDescent="0.2">
      <c r="A5835" t="s">
        <v>1</v>
      </c>
      <c r="B5835" t="str">
        <f>"13959041064"</f>
        <v>13959041064</v>
      </c>
      <c r="C5835" t="s">
        <v>1</v>
      </c>
      <c r="D5835" t="s">
        <v>1</v>
      </c>
      <c r="E5835" t="s">
        <v>1</v>
      </c>
      <c r="F5835" t="s">
        <v>0</v>
      </c>
      <c r="G5835" t="str">
        <f>"2018-10-16 23:01:14"</f>
        <v>2018-10-16 23:01:14</v>
      </c>
    </row>
    <row r="5836" spans="1:7" x14ac:dyDescent="0.2">
      <c r="A5836" t="s">
        <v>6862</v>
      </c>
      <c r="B5836" t="str">
        <f>"15360114941"</f>
        <v>15360114941</v>
      </c>
      <c r="C5836" t="str">
        <f>"441323199512152011"</f>
        <v>441323199512152011</v>
      </c>
      <c r="D5836" t="s">
        <v>1</v>
      </c>
      <c r="E5836" t="s">
        <v>1</v>
      </c>
      <c r="F5836" t="s">
        <v>0</v>
      </c>
      <c r="G5836" t="str">
        <f>"2018-11-03 15:10:02"</f>
        <v>2018-11-03 15:10:02</v>
      </c>
    </row>
    <row r="5837" spans="1:7" x14ac:dyDescent="0.2">
      <c r="A5837" t="s">
        <v>6863</v>
      </c>
      <c r="B5837" t="str">
        <f>"18550901003"</f>
        <v>18550901003</v>
      </c>
      <c r="C5837" t="str">
        <f>"140322198804230314"</f>
        <v>140322198804230314</v>
      </c>
      <c r="D5837" t="s">
        <v>1</v>
      </c>
      <c r="E5837" t="s">
        <v>1</v>
      </c>
      <c r="F5837" t="s">
        <v>0</v>
      </c>
      <c r="G5837" t="str">
        <f>"2018-10-16 22:43:34"</f>
        <v>2018-10-16 22:43:34</v>
      </c>
    </row>
    <row r="5838" spans="1:7" x14ac:dyDescent="0.2">
      <c r="A5838" t="s">
        <v>6864</v>
      </c>
      <c r="B5838" t="str">
        <f>"13142158104"</f>
        <v>13142158104</v>
      </c>
      <c r="C5838" t="str">
        <f>"430281198811085710"</f>
        <v>430281198811085710</v>
      </c>
      <c r="D5838" t="s">
        <v>1</v>
      </c>
      <c r="E5838" t="s">
        <v>1</v>
      </c>
      <c r="F5838" t="s">
        <v>0</v>
      </c>
      <c r="G5838" t="str">
        <f>"2018-10-16 22:43:54"</f>
        <v>2018-10-16 22:43:54</v>
      </c>
    </row>
    <row r="5839" spans="1:7" x14ac:dyDescent="0.2">
      <c r="A5839" t="s">
        <v>1</v>
      </c>
      <c r="B5839" t="str">
        <f>"13214708635"</f>
        <v>13214708635</v>
      </c>
      <c r="C5839" t="s">
        <v>1</v>
      </c>
      <c r="D5839" t="s">
        <v>1</v>
      </c>
      <c r="E5839" t="s">
        <v>1</v>
      </c>
      <c r="F5839" t="s">
        <v>0</v>
      </c>
      <c r="G5839" t="str">
        <f>"2018-10-16 22:37:08"</f>
        <v>2018-10-16 22:37:08</v>
      </c>
    </row>
    <row r="5840" spans="1:7" x14ac:dyDescent="0.2">
      <c r="A5840" t="s">
        <v>6865</v>
      </c>
      <c r="B5840" t="str">
        <f>"18235796977"</f>
        <v>18235796977</v>
      </c>
      <c r="C5840" t="str">
        <f>"142629199512135822"</f>
        <v>142629199512135822</v>
      </c>
      <c r="D5840" t="s">
        <v>1</v>
      </c>
      <c r="E5840" t="s">
        <v>1</v>
      </c>
      <c r="F5840" t="s">
        <v>0</v>
      </c>
      <c r="G5840" t="str">
        <f>"2018-10-16 22:38:03"</f>
        <v>2018-10-16 22:38:03</v>
      </c>
    </row>
    <row r="5841" spans="1:7" x14ac:dyDescent="0.2">
      <c r="A5841" t="s">
        <v>6866</v>
      </c>
      <c r="B5841" t="str">
        <f>"18376105837"</f>
        <v>18376105837</v>
      </c>
      <c r="C5841" t="str">
        <f>"452124199302120028"</f>
        <v>452124199302120028</v>
      </c>
      <c r="D5841" t="s">
        <v>1</v>
      </c>
      <c r="E5841" t="s">
        <v>1</v>
      </c>
      <c r="F5841" t="s">
        <v>0</v>
      </c>
      <c r="G5841" t="str">
        <f>"2018-10-16 22:59:36"</f>
        <v>2018-10-16 22:59:36</v>
      </c>
    </row>
    <row r="5842" spans="1:7" x14ac:dyDescent="0.2">
      <c r="A5842" t="s">
        <v>1486</v>
      </c>
      <c r="B5842" t="str">
        <f>"13050947656"</f>
        <v>13050947656</v>
      </c>
      <c r="C5842" t="str">
        <f>"211324200110106126"</f>
        <v>211324200110106126</v>
      </c>
      <c r="D5842" t="s">
        <v>1</v>
      </c>
      <c r="E5842" t="s">
        <v>1</v>
      </c>
      <c r="F5842" t="s">
        <v>0</v>
      </c>
      <c r="G5842" t="str">
        <f>"2018-10-16 22:37:46"</f>
        <v>2018-10-16 22:37:46</v>
      </c>
    </row>
    <row r="5843" spans="1:7" x14ac:dyDescent="0.2">
      <c r="A5843" t="s">
        <v>1</v>
      </c>
      <c r="B5843" t="str">
        <f>"17611361823"</f>
        <v>17611361823</v>
      </c>
      <c r="C5843" t="s">
        <v>1</v>
      </c>
      <c r="D5843" t="s">
        <v>1</v>
      </c>
      <c r="E5843" t="s">
        <v>1</v>
      </c>
      <c r="F5843" t="s">
        <v>0</v>
      </c>
      <c r="G5843" t="str">
        <f>"2018-10-16 22:40:26"</f>
        <v>2018-10-16 22:40:26</v>
      </c>
    </row>
    <row r="5844" spans="1:7" x14ac:dyDescent="0.2">
      <c r="A5844" t="s">
        <v>6867</v>
      </c>
      <c r="B5844" t="str">
        <f>"15062460210"</f>
        <v>15062460210</v>
      </c>
      <c r="C5844" t="str">
        <f>"511324199009292070"</f>
        <v>511324199009292070</v>
      </c>
      <c r="D5844" t="s">
        <v>6868</v>
      </c>
      <c r="E5844" t="s">
        <v>6869</v>
      </c>
      <c r="F5844" t="s">
        <v>0</v>
      </c>
      <c r="G5844" t="str">
        <f>"2018-10-30 10:09:18"</f>
        <v>2018-10-30 10:09:18</v>
      </c>
    </row>
    <row r="5845" spans="1:7" x14ac:dyDescent="0.2">
      <c r="A5845" t="s">
        <v>1</v>
      </c>
      <c r="B5845" t="str">
        <f>"13107754136"</f>
        <v>13107754136</v>
      </c>
      <c r="C5845" t="s">
        <v>1</v>
      </c>
      <c r="D5845" t="s">
        <v>1</v>
      </c>
      <c r="E5845" t="s">
        <v>1</v>
      </c>
      <c r="F5845" t="s">
        <v>0</v>
      </c>
      <c r="G5845" t="str">
        <f>"2018-10-16 22:34:41"</f>
        <v>2018-10-16 22:34:41</v>
      </c>
    </row>
    <row r="5846" spans="1:7" x14ac:dyDescent="0.2">
      <c r="A5846" t="s">
        <v>6870</v>
      </c>
      <c r="B5846" t="str">
        <f>"18699127831"</f>
        <v>18699127831</v>
      </c>
      <c r="C5846" t="str">
        <f>"622426199306155712"</f>
        <v>622426199306155712</v>
      </c>
      <c r="D5846" t="s">
        <v>1</v>
      </c>
      <c r="E5846" t="s">
        <v>1</v>
      </c>
      <c r="F5846" t="s">
        <v>0</v>
      </c>
      <c r="G5846" t="str">
        <f>"2018-10-16 22:37:45"</f>
        <v>2018-10-16 22:37:45</v>
      </c>
    </row>
    <row r="5847" spans="1:7" x14ac:dyDescent="0.2">
      <c r="A5847" t="s">
        <v>6871</v>
      </c>
      <c r="B5847" t="str">
        <f>"17794233903"</f>
        <v>17794233903</v>
      </c>
      <c r="C5847" t="str">
        <f>"622301199411073310"</f>
        <v>622301199411073310</v>
      </c>
      <c r="D5847" t="s">
        <v>1</v>
      </c>
      <c r="E5847" t="s">
        <v>1</v>
      </c>
      <c r="F5847" t="s">
        <v>0</v>
      </c>
      <c r="G5847" t="str">
        <f>"2018-10-16 22:33:53"</f>
        <v>2018-10-16 22:33:53</v>
      </c>
    </row>
    <row r="5848" spans="1:7" x14ac:dyDescent="0.2">
      <c r="A5848" t="s">
        <v>1</v>
      </c>
      <c r="B5848" t="str">
        <f>"13205769054"</f>
        <v>13205769054</v>
      </c>
      <c r="C5848" t="s">
        <v>1</v>
      </c>
      <c r="D5848" t="s">
        <v>1</v>
      </c>
      <c r="E5848" t="s">
        <v>1</v>
      </c>
      <c r="F5848" t="s">
        <v>0</v>
      </c>
      <c r="G5848" t="str">
        <f>"2018-10-16 22:32:18"</f>
        <v>2018-10-16 22:32:18</v>
      </c>
    </row>
    <row r="5849" spans="1:7" x14ac:dyDescent="0.2">
      <c r="A5849" t="s">
        <v>6872</v>
      </c>
      <c r="B5849" t="str">
        <f>"13456252881"</f>
        <v>13456252881</v>
      </c>
      <c r="C5849" t="str">
        <f>"330282199107192210"</f>
        <v>330282199107192210</v>
      </c>
      <c r="D5849" t="s">
        <v>1</v>
      </c>
      <c r="E5849" t="s">
        <v>1</v>
      </c>
      <c r="F5849" t="s">
        <v>0</v>
      </c>
      <c r="G5849" t="str">
        <f>"2018-10-16 22:33:13"</f>
        <v>2018-10-16 22:33:13</v>
      </c>
    </row>
    <row r="5850" spans="1:7" x14ac:dyDescent="0.2">
      <c r="A5850" t="s">
        <v>1</v>
      </c>
      <c r="B5850" t="str">
        <f>"15770119716"</f>
        <v>15770119716</v>
      </c>
      <c r="C5850" t="s">
        <v>1</v>
      </c>
      <c r="D5850" t="s">
        <v>1</v>
      </c>
      <c r="E5850" t="s">
        <v>1</v>
      </c>
      <c r="F5850" t="s">
        <v>0</v>
      </c>
      <c r="G5850" t="str">
        <f>"2018-10-16 22:31:30"</f>
        <v>2018-10-16 22:31:30</v>
      </c>
    </row>
    <row r="5851" spans="1:7" x14ac:dyDescent="0.2">
      <c r="A5851" t="s">
        <v>6873</v>
      </c>
      <c r="B5851" t="str">
        <f>"18325086099"</f>
        <v>18325086099</v>
      </c>
      <c r="C5851" t="str">
        <f>"512301197311290815"</f>
        <v>512301197311290815</v>
      </c>
      <c r="D5851" t="s">
        <v>1</v>
      </c>
      <c r="E5851" t="s">
        <v>1</v>
      </c>
      <c r="F5851" t="s">
        <v>0</v>
      </c>
      <c r="G5851" t="str">
        <f>"2018-11-02 17:07:00"</f>
        <v>2018-11-02 17:07:00</v>
      </c>
    </row>
    <row r="5852" spans="1:7" x14ac:dyDescent="0.2">
      <c r="A5852" t="s">
        <v>1</v>
      </c>
      <c r="B5852" t="str">
        <f>"13672703988"</f>
        <v>13672703988</v>
      </c>
      <c r="C5852" t="s">
        <v>1</v>
      </c>
      <c r="D5852" t="s">
        <v>1</v>
      </c>
      <c r="E5852" t="s">
        <v>1</v>
      </c>
      <c r="F5852" t="s">
        <v>0</v>
      </c>
      <c r="G5852" t="str">
        <f>"2018-10-16 22:30:25"</f>
        <v>2018-10-16 22:30:25</v>
      </c>
    </row>
    <row r="5853" spans="1:7" x14ac:dyDescent="0.2">
      <c r="A5853" t="s">
        <v>1</v>
      </c>
      <c r="B5853" t="str">
        <f>"17699071829"</f>
        <v>17699071829</v>
      </c>
      <c r="C5853" t="s">
        <v>1</v>
      </c>
      <c r="D5853" t="s">
        <v>1</v>
      </c>
      <c r="E5853" t="s">
        <v>1</v>
      </c>
      <c r="F5853" t="s">
        <v>0</v>
      </c>
      <c r="G5853" t="str">
        <f>"2018-10-16 22:29:43"</f>
        <v>2018-10-16 22:29:43</v>
      </c>
    </row>
    <row r="5854" spans="1:7" x14ac:dyDescent="0.2">
      <c r="A5854" t="s">
        <v>1</v>
      </c>
      <c r="B5854" t="str">
        <f>"15732793689"</f>
        <v>15732793689</v>
      </c>
      <c r="C5854" t="s">
        <v>1</v>
      </c>
      <c r="D5854" t="s">
        <v>1</v>
      </c>
      <c r="E5854" t="s">
        <v>1</v>
      </c>
      <c r="F5854" t="s">
        <v>0</v>
      </c>
      <c r="G5854" t="str">
        <f>"2018-10-16 22:28:21"</f>
        <v>2018-10-16 22:28:21</v>
      </c>
    </row>
    <row r="5855" spans="1:7" x14ac:dyDescent="0.2">
      <c r="A5855" t="s">
        <v>288</v>
      </c>
      <c r="B5855" t="str">
        <f>"15195039142"</f>
        <v>15195039142</v>
      </c>
      <c r="C5855" t="str">
        <f>"321283200108151438"</f>
        <v>321283200108151438</v>
      </c>
      <c r="D5855" t="s">
        <v>1</v>
      </c>
      <c r="E5855" t="s">
        <v>1</v>
      </c>
      <c r="F5855" t="s">
        <v>0</v>
      </c>
      <c r="G5855" t="str">
        <f>"2018-10-16 22:28:52"</f>
        <v>2018-10-16 22:28:52</v>
      </c>
    </row>
    <row r="5856" spans="1:7" x14ac:dyDescent="0.2">
      <c r="A5856" t="s">
        <v>6874</v>
      </c>
      <c r="B5856" t="str">
        <f>"15559337809"</f>
        <v>15559337809</v>
      </c>
      <c r="C5856" t="str">
        <f>"652325198509262058"</f>
        <v>652325198509262058</v>
      </c>
      <c r="D5856" t="s">
        <v>6875</v>
      </c>
      <c r="E5856" t="s">
        <v>6876</v>
      </c>
      <c r="F5856" t="s">
        <v>0</v>
      </c>
      <c r="G5856" t="str">
        <f>"2018-10-16 22:29:57"</f>
        <v>2018-10-16 22:29:57</v>
      </c>
    </row>
    <row r="5857" spans="1:7" x14ac:dyDescent="0.2">
      <c r="A5857" t="s">
        <v>1</v>
      </c>
      <c r="B5857" t="str">
        <f>"15209875006"</f>
        <v>15209875006</v>
      </c>
      <c r="C5857" t="s">
        <v>1</v>
      </c>
      <c r="D5857" t="s">
        <v>1</v>
      </c>
      <c r="E5857" t="s">
        <v>1</v>
      </c>
      <c r="F5857" t="s">
        <v>0</v>
      </c>
      <c r="G5857" t="str">
        <f>"2018-10-16 22:27:04"</f>
        <v>2018-10-16 22:27:04</v>
      </c>
    </row>
    <row r="5858" spans="1:7" x14ac:dyDescent="0.2">
      <c r="A5858" t="s">
        <v>6877</v>
      </c>
      <c r="B5858" t="str">
        <f>"13878733007"</f>
        <v>13878733007</v>
      </c>
      <c r="C5858" t="str">
        <f>"452128198602284033"</f>
        <v>452128198602284033</v>
      </c>
      <c r="D5858" t="s">
        <v>1</v>
      </c>
      <c r="E5858" t="s">
        <v>1</v>
      </c>
      <c r="F5858" t="s">
        <v>0</v>
      </c>
      <c r="G5858" t="str">
        <f>"2018-10-16 22:28:42"</f>
        <v>2018-10-16 22:28:42</v>
      </c>
    </row>
    <row r="5859" spans="1:7" x14ac:dyDescent="0.2">
      <c r="A5859" t="s">
        <v>6878</v>
      </c>
      <c r="B5859" t="str">
        <f>"18648838584"</f>
        <v>18648838584</v>
      </c>
      <c r="C5859" t="str">
        <f>"450921199602203258"</f>
        <v>450921199602203258</v>
      </c>
      <c r="D5859" t="s">
        <v>6879</v>
      </c>
      <c r="E5859" t="s">
        <v>6879</v>
      </c>
      <c r="F5859" t="s">
        <v>0</v>
      </c>
      <c r="G5859" t="str">
        <f>"2018-10-17 20:04:05"</f>
        <v>2018-10-17 20:04:05</v>
      </c>
    </row>
    <row r="5860" spans="1:7" x14ac:dyDescent="0.2">
      <c r="A5860" t="s">
        <v>1</v>
      </c>
      <c r="B5860" t="str">
        <f>"15680695207"</f>
        <v>15680695207</v>
      </c>
      <c r="C5860" t="s">
        <v>1</v>
      </c>
      <c r="D5860" t="s">
        <v>1</v>
      </c>
      <c r="E5860" t="s">
        <v>1</v>
      </c>
      <c r="F5860" t="s">
        <v>0</v>
      </c>
      <c r="G5860" t="str">
        <f>"2018-10-16 22:26:27"</f>
        <v>2018-10-16 22:26:27</v>
      </c>
    </row>
    <row r="5861" spans="1:7" x14ac:dyDescent="0.2">
      <c r="A5861" t="s">
        <v>6880</v>
      </c>
      <c r="B5861" t="str">
        <f>"18520149390"</f>
        <v>18520149390</v>
      </c>
      <c r="C5861" t="str">
        <f>"429006198309104897"</f>
        <v>429006198309104897</v>
      </c>
      <c r="D5861" t="s">
        <v>1</v>
      </c>
      <c r="E5861" t="s">
        <v>1</v>
      </c>
      <c r="F5861" t="s">
        <v>0</v>
      </c>
      <c r="G5861" t="str">
        <f>"2018-10-16 22:28:24"</f>
        <v>2018-10-16 22:28:24</v>
      </c>
    </row>
    <row r="5862" spans="1:7" x14ac:dyDescent="0.2">
      <c r="A5862" t="s">
        <v>6881</v>
      </c>
      <c r="B5862" t="str">
        <f>"18899598362"</f>
        <v>18899598362</v>
      </c>
      <c r="C5862" t="str">
        <f>"652324199603053138"</f>
        <v>652324199603053138</v>
      </c>
      <c r="D5862" t="s">
        <v>6882</v>
      </c>
      <c r="E5862" t="s">
        <v>6883</v>
      </c>
      <c r="F5862" t="s">
        <v>0</v>
      </c>
      <c r="G5862" t="str">
        <f>"2018-10-16 22:26:12"</f>
        <v>2018-10-16 22:26:12</v>
      </c>
    </row>
    <row r="5863" spans="1:7" x14ac:dyDescent="0.2">
      <c r="A5863" t="s">
        <v>6884</v>
      </c>
      <c r="B5863" t="str">
        <f>"18707594202"</f>
        <v>18707594202</v>
      </c>
      <c r="C5863" t="str">
        <f>"440881199212083544"</f>
        <v>440881199212083544</v>
      </c>
      <c r="D5863" t="s">
        <v>1</v>
      </c>
      <c r="E5863" t="s">
        <v>1</v>
      </c>
      <c r="F5863" t="s">
        <v>0</v>
      </c>
      <c r="G5863" t="str">
        <f>"2018-10-16 22:28:47"</f>
        <v>2018-10-16 22:28:47</v>
      </c>
    </row>
    <row r="5864" spans="1:7" x14ac:dyDescent="0.2">
      <c r="A5864" t="s">
        <v>6885</v>
      </c>
      <c r="B5864" t="str">
        <f>"13599290827"</f>
        <v>13599290827</v>
      </c>
      <c r="C5864" t="str">
        <f>"350521198209266033"</f>
        <v>350521198209266033</v>
      </c>
      <c r="D5864" t="s">
        <v>1</v>
      </c>
      <c r="E5864" t="s">
        <v>1</v>
      </c>
      <c r="F5864" t="s">
        <v>0</v>
      </c>
      <c r="G5864" t="str">
        <f>"2018-10-16 22:28:07"</f>
        <v>2018-10-16 22:28:07</v>
      </c>
    </row>
    <row r="5865" spans="1:7" x14ac:dyDescent="0.2">
      <c r="A5865" t="s">
        <v>287</v>
      </c>
      <c r="B5865" t="str">
        <f>"17389356386"</f>
        <v>17389356386</v>
      </c>
      <c r="C5865" t="str">
        <f>"622421200111065518"</f>
        <v>622421200111065518</v>
      </c>
      <c r="D5865" t="s">
        <v>1</v>
      </c>
      <c r="E5865" t="s">
        <v>1</v>
      </c>
      <c r="F5865" t="s">
        <v>0</v>
      </c>
      <c r="G5865" t="str">
        <f>"2018-10-16 22:35:02"</f>
        <v>2018-10-16 22:35:02</v>
      </c>
    </row>
    <row r="5866" spans="1:7" x14ac:dyDescent="0.2">
      <c r="A5866" t="s">
        <v>6886</v>
      </c>
      <c r="B5866" t="str">
        <f>"18341776688"</f>
        <v>18341776688</v>
      </c>
      <c r="C5866" t="str">
        <f>"21080319840406101X"</f>
        <v>21080319840406101X</v>
      </c>
      <c r="D5866" t="s">
        <v>1</v>
      </c>
      <c r="E5866" t="s">
        <v>1</v>
      </c>
      <c r="F5866" t="s">
        <v>0</v>
      </c>
      <c r="G5866" t="str">
        <f>"2018-10-16 22:26:44"</f>
        <v>2018-10-16 22:26:44</v>
      </c>
    </row>
    <row r="5867" spans="1:7" x14ac:dyDescent="0.2">
      <c r="A5867" t="s">
        <v>1085</v>
      </c>
      <c r="B5867" t="str">
        <f>"13150311598"</f>
        <v>13150311598</v>
      </c>
      <c r="C5867" t="str">
        <f>"61042519861206411X"</f>
        <v>61042519861206411X</v>
      </c>
      <c r="D5867" t="s">
        <v>1</v>
      </c>
      <c r="E5867" t="s">
        <v>1</v>
      </c>
      <c r="F5867" t="s">
        <v>0</v>
      </c>
      <c r="G5867" t="str">
        <f>"2018-10-16 22:26:22"</f>
        <v>2018-10-16 22:26:22</v>
      </c>
    </row>
    <row r="5868" spans="1:7" x14ac:dyDescent="0.2">
      <c r="A5868" t="s">
        <v>6887</v>
      </c>
      <c r="B5868" t="str">
        <f>"13147201873"</f>
        <v>13147201873</v>
      </c>
      <c r="C5868" t="str">
        <f>"420116198801192761"</f>
        <v>420116198801192761</v>
      </c>
      <c r="D5868" t="s">
        <v>1</v>
      </c>
      <c r="E5868" t="s">
        <v>1</v>
      </c>
      <c r="F5868" t="s">
        <v>0</v>
      </c>
      <c r="G5868" t="str">
        <f>"2018-10-16 22:25:38"</f>
        <v>2018-10-16 22:25:38</v>
      </c>
    </row>
    <row r="5869" spans="1:7" x14ac:dyDescent="0.2">
      <c r="A5869" t="s">
        <v>6888</v>
      </c>
      <c r="B5869" t="str">
        <f>"13878611627"</f>
        <v>13878611627</v>
      </c>
      <c r="C5869" t="str">
        <f>"452123199107153434"</f>
        <v>452123199107153434</v>
      </c>
      <c r="D5869" t="s">
        <v>1</v>
      </c>
      <c r="E5869" t="s">
        <v>1</v>
      </c>
      <c r="F5869" t="s">
        <v>0</v>
      </c>
      <c r="G5869" t="str">
        <f>"2018-10-16 22:24:07"</f>
        <v>2018-10-16 22:24:07</v>
      </c>
    </row>
    <row r="5870" spans="1:7" x14ac:dyDescent="0.2">
      <c r="A5870" t="s">
        <v>1158</v>
      </c>
      <c r="B5870" t="str">
        <f>"18664829629"</f>
        <v>18664829629</v>
      </c>
      <c r="C5870" t="str">
        <f>"452124198806292742"</f>
        <v>452124198806292742</v>
      </c>
      <c r="D5870" t="s">
        <v>1</v>
      </c>
      <c r="E5870" t="s">
        <v>1</v>
      </c>
      <c r="F5870" t="s">
        <v>0</v>
      </c>
      <c r="G5870" t="str">
        <f>"2018-10-18 22:38:08"</f>
        <v>2018-10-18 22:38:08</v>
      </c>
    </row>
    <row r="5871" spans="1:7" x14ac:dyDescent="0.2">
      <c r="A5871" t="s">
        <v>6889</v>
      </c>
      <c r="B5871" t="str">
        <f>"15067323068"</f>
        <v>15067323068</v>
      </c>
      <c r="C5871" t="str">
        <f>"330424199601272619"</f>
        <v>330424199601272619</v>
      </c>
      <c r="D5871" t="s">
        <v>1</v>
      </c>
      <c r="E5871" t="s">
        <v>1</v>
      </c>
      <c r="F5871" t="s">
        <v>0</v>
      </c>
      <c r="G5871" t="str">
        <f>"2018-10-16 22:21:18"</f>
        <v>2018-10-16 22:21:18</v>
      </c>
    </row>
    <row r="5872" spans="1:7" x14ac:dyDescent="0.2">
      <c r="A5872" t="s">
        <v>6890</v>
      </c>
      <c r="B5872" t="str">
        <f>"15966415831"</f>
        <v>15966415831</v>
      </c>
      <c r="C5872" t="str">
        <f>"371311198912095521"</f>
        <v>371311198912095521</v>
      </c>
      <c r="D5872" t="s">
        <v>1</v>
      </c>
      <c r="E5872" t="s">
        <v>1</v>
      </c>
      <c r="F5872" t="s">
        <v>0</v>
      </c>
      <c r="G5872" t="str">
        <f>"2018-10-19 14:36:20"</f>
        <v>2018-10-19 14:36:20</v>
      </c>
    </row>
    <row r="5873" spans="1:7" x14ac:dyDescent="0.2">
      <c r="A5873" t="s">
        <v>6891</v>
      </c>
      <c r="B5873" t="str">
        <f>"13657142062"</f>
        <v>13657142062</v>
      </c>
      <c r="C5873" t="str">
        <f>"420281199110126156"</f>
        <v>420281199110126156</v>
      </c>
      <c r="D5873" t="s">
        <v>6892</v>
      </c>
      <c r="E5873" t="s">
        <v>6893</v>
      </c>
      <c r="F5873" t="s">
        <v>0</v>
      </c>
      <c r="G5873" t="str">
        <f>"2018-10-18 19:10:54"</f>
        <v>2018-10-18 19:10:54</v>
      </c>
    </row>
    <row r="5874" spans="1:7" x14ac:dyDescent="0.2">
      <c r="A5874" t="s">
        <v>6894</v>
      </c>
      <c r="B5874" t="str">
        <f>"13537167970"</f>
        <v>13537167970</v>
      </c>
      <c r="C5874" t="str">
        <f>"43112419881003424X"</f>
        <v>43112419881003424X</v>
      </c>
      <c r="D5874" t="s">
        <v>1</v>
      </c>
      <c r="E5874" t="s">
        <v>1</v>
      </c>
      <c r="F5874" t="s">
        <v>0</v>
      </c>
      <c r="G5874" t="str">
        <f>"2018-10-16 22:22:03"</f>
        <v>2018-10-16 22:22:03</v>
      </c>
    </row>
    <row r="5875" spans="1:7" x14ac:dyDescent="0.2">
      <c r="A5875" t="s">
        <v>1</v>
      </c>
      <c r="B5875" t="str">
        <f>"15679449717"</f>
        <v>15679449717</v>
      </c>
      <c r="C5875" t="s">
        <v>1</v>
      </c>
      <c r="D5875" t="s">
        <v>1</v>
      </c>
      <c r="E5875" t="s">
        <v>1</v>
      </c>
      <c r="F5875" t="s">
        <v>0</v>
      </c>
      <c r="G5875" t="str">
        <f>"2018-10-16 22:17:45"</f>
        <v>2018-10-16 22:17:45</v>
      </c>
    </row>
    <row r="5876" spans="1:7" x14ac:dyDescent="0.2">
      <c r="A5876" t="s">
        <v>6895</v>
      </c>
      <c r="B5876" t="str">
        <f>"15709828958"</f>
        <v>15709828958</v>
      </c>
      <c r="C5876" t="str">
        <f>"632126199205022510"</f>
        <v>632126199205022510</v>
      </c>
      <c r="D5876" t="s">
        <v>6896</v>
      </c>
      <c r="E5876" t="s">
        <v>6897</v>
      </c>
      <c r="F5876" t="s">
        <v>0</v>
      </c>
      <c r="G5876" t="str">
        <f>"2018-10-16 22:18:00"</f>
        <v>2018-10-16 22:18:00</v>
      </c>
    </row>
    <row r="5877" spans="1:7" x14ac:dyDescent="0.2">
      <c r="A5877" t="s">
        <v>6898</v>
      </c>
      <c r="B5877" t="str">
        <f>"13215111625"</f>
        <v>13215111625</v>
      </c>
      <c r="C5877" t="str">
        <f>"431230198209050911"</f>
        <v>431230198209050911</v>
      </c>
      <c r="D5877" t="s">
        <v>1</v>
      </c>
      <c r="E5877" t="s">
        <v>1</v>
      </c>
      <c r="F5877" t="s">
        <v>0</v>
      </c>
      <c r="G5877" t="str">
        <f>"2018-10-24 14:47:16"</f>
        <v>2018-10-24 14:47:16</v>
      </c>
    </row>
    <row r="5878" spans="1:7" x14ac:dyDescent="0.2">
      <c r="A5878" t="s">
        <v>1505</v>
      </c>
      <c r="B5878" t="str">
        <f>"13971581973"</f>
        <v>13971581973</v>
      </c>
      <c r="C5878" t="str">
        <f>"420107198002281518"</f>
        <v>420107198002281518</v>
      </c>
      <c r="D5878" t="s">
        <v>1</v>
      </c>
      <c r="E5878" t="s">
        <v>1</v>
      </c>
      <c r="F5878" t="s">
        <v>0</v>
      </c>
      <c r="G5878" t="str">
        <f>"2018-10-16 22:15:23"</f>
        <v>2018-10-16 22:15:23</v>
      </c>
    </row>
    <row r="5879" spans="1:7" x14ac:dyDescent="0.2">
      <c r="A5879" t="s">
        <v>6899</v>
      </c>
      <c r="B5879" t="str">
        <f>"18251061688"</f>
        <v>18251061688</v>
      </c>
      <c r="C5879" t="str">
        <f>"321323198612280676"</f>
        <v>321323198612280676</v>
      </c>
      <c r="D5879" t="s">
        <v>6900</v>
      </c>
      <c r="E5879" t="s">
        <v>6901</v>
      </c>
      <c r="F5879" t="s">
        <v>0</v>
      </c>
      <c r="G5879" t="str">
        <f>"2018-10-16 22:14:41"</f>
        <v>2018-10-16 22:14:41</v>
      </c>
    </row>
    <row r="5880" spans="1:7" x14ac:dyDescent="0.2">
      <c r="A5880" t="s">
        <v>6902</v>
      </c>
      <c r="B5880" t="str">
        <f>"17771883777"</f>
        <v>17771883777</v>
      </c>
      <c r="C5880" t="str">
        <f>"420202198208100050"</f>
        <v>420202198208100050</v>
      </c>
      <c r="D5880" t="s">
        <v>1</v>
      </c>
      <c r="E5880" t="s">
        <v>1</v>
      </c>
      <c r="F5880" t="s">
        <v>0</v>
      </c>
      <c r="G5880" t="str">
        <f>"2018-10-16 22:19:00"</f>
        <v>2018-10-16 22:19:00</v>
      </c>
    </row>
    <row r="5881" spans="1:7" x14ac:dyDescent="0.2">
      <c r="A5881" t="s">
        <v>6903</v>
      </c>
      <c r="B5881" t="str">
        <f>"13532983898"</f>
        <v>13532983898</v>
      </c>
      <c r="C5881" t="str">
        <f>"441900199103166170"</f>
        <v>441900199103166170</v>
      </c>
      <c r="D5881" t="s">
        <v>1</v>
      </c>
      <c r="E5881" t="s">
        <v>1</v>
      </c>
      <c r="F5881" t="s">
        <v>0</v>
      </c>
      <c r="G5881" t="str">
        <f>"2018-10-16 22:16:13"</f>
        <v>2018-10-16 22:16:13</v>
      </c>
    </row>
    <row r="5882" spans="1:7" x14ac:dyDescent="0.2">
      <c r="A5882" t="s">
        <v>6904</v>
      </c>
      <c r="B5882" t="str">
        <f>"15650551568"</f>
        <v>15650551568</v>
      </c>
      <c r="C5882" t="str">
        <f>"370827199505040031"</f>
        <v>370827199505040031</v>
      </c>
      <c r="D5882" t="s">
        <v>6905</v>
      </c>
      <c r="E5882" t="s">
        <v>6906</v>
      </c>
      <c r="F5882" t="s">
        <v>0</v>
      </c>
      <c r="G5882" t="str">
        <f>"2018-10-16 22:12:23"</f>
        <v>2018-10-16 22:12:23</v>
      </c>
    </row>
    <row r="5883" spans="1:7" x14ac:dyDescent="0.2">
      <c r="A5883" t="s">
        <v>1</v>
      </c>
      <c r="B5883" t="str">
        <f>"18722765100"</f>
        <v>18722765100</v>
      </c>
      <c r="C5883" t="s">
        <v>1</v>
      </c>
      <c r="D5883" t="s">
        <v>1</v>
      </c>
      <c r="E5883" t="s">
        <v>1</v>
      </c>
      <c r="F5883" t="s">
        <v>0</v>
      </c>
      <c r="G5883" t="str">
        <f>"2018-10-16 22:12:07"</f>
        <v>2018-10-16 22:12:07</v>
      </c>
    </row>
    <row r="5884" spans="1:7" x14ac:dyDescent="0.2">
      <c r="A5884" t="s">
        <v>1</v>
      </c>
      <c r="B5884" t="str">
        <f>"15147935895"</f>
        <v>15147935895</v>
      </c>
      <c r="C5884" t="s">
        <v>1</v>
      </c>
      <c r="D5884" t="s">
        <v>1</v>
      </c>
      <c r="E5884" t="s">
        <v>1</v>
      </c>
      <c r="F5884" t="s">
        <v>0</v>
      </c>
      <c r="G5884" t="str">
        <f>"2018-10-16 22:11:50"</f>
        <v>2018-10-16 22:11:50</v>
      </c>
    </row>
    <row r="5885" spans="1:7" x14ac:dyDescent="0.2">
      <c r="A5885" t="s">
        <v>1</v>
      </c>
      <c r="B5885" t="str">
        <f>"18125396369"</f>
        <v>18125396369</v>
      </c>
      <c r="C5885" t="s">
        <v>1</v>
      </c>
      <c r="D5885" t="s">
        <v>1</v>
      </c>
      <c r="E5885" t="s">
        <v>1</v>
      </c>
      <c r="F5885" t="s">
        <v>0</v>
      </c>
      <c r="G5885" t="str">
        <f>"2018-10-16 22:13:03"</f>
        <v>2018-10-16 22:13:03</v>
      </c>
    </row>
    <row r="5886" spans="1:7" x14ac:dyDescent="0.2">
      <c r="A5886" t="s">
        <v>505</v>
      </c>
      <c r="B5886" t="str">
        <f>"18398719838"</f>
        <v>18398719838</v>
      </c>
      <c r="C5886" t="str">
        <f>"510321199609216194"</f>
        <v>510321199609216194</v>
      </c>
      <c r="D5886" t="s">
        <v>1</v>
      </c>
      <c r="E5886" t="s">
        <v>1</v>
      </c>
      <c r="F5886" t="s">
        <v>0</v>
      </c>
      <c r="G5886" t="str">
        <f>"2018-10-23 22:58:04"</f>
        <v>2018-10-23 22:58:04</v>
      </c>
    </row>
    <row r="5887" spans="1:7" x14ac:dyDescent="0.2">
      <c r="A5887" t="s">
        <v>6907</v>
      </c>
      <c r="B5887" t="str">
        <f>"18062111135"</f>
        <v>18062111135</v>
      </c>
      <c r="C5887" t="str">
        <f>"422202199107142434"</f>
        <v>422202199107142434</v>
      </c>
      <c r="D5887" t="s">
        <v>1</v>
      </c>
      <c r="E5887" t="s">
        <v>1</v>
      </c>
      <c r="F5887" t="s">
        <v>0</v>
      </c>
      <c r="G5887" t="str">
        <f>"2018-10-16 22:12:39"</f>
        <v>2018-10-16 22:12:39</v>
      </c>
    </row>
    <row r="5888" spans="1:7" x14ac:dyDescent="0.2">
      <c r="A5888" t="s">
        <v>1</v>
      </c>
      <c r="B5888" t="str">
        <f>"17797476597"</f>
        <v>17797476597</v>
      </c>
      <c r="C5888" t="s">
        <v>1</v>
      </c>
      <c r="D5888" t="s">
        <v>1</v>
      </c>
      <c r="E5888" t="s">
        <v>1</v>
      </c>
      <c r="F5888" t="s">
        <v>0</v>
      </c>
      <c r="G5888" t="str">
        <f>"2018-10-16 22:09:10"</f>
        <v>2018-10-16 22:09:10</v>
      </c>
    </row>
    <row r="5889" spans="1:7" x14ac:dyDescent="0.2">
      <c r="A5889" t="s">
        <v>1</v>
      </c>
      <c r="B5889" t="str">
        <f>"18361267569"</f>
        <v>18361267569</v>
      </c>
      <c r="C5889" t="s">
        <v>1</v>
      </c>
      <c r="D5889" t="s">
        <v>1</v>
      </c>
      <c r="E5889" t="s">
        <v>1</v>
      </c>
      <c r="F5889" t="s">
        <v>0</v>
      </c>
      <c r="G5889" t="str">
        <f>"2018-10-16 22:08:38"</f>
        <v>2018-10-16 22:08:38</v>
      </c>
    </row>
    <row r="5890" spans="1:7" x14ac:dyDescent="0.2">
      <c r="A5890" t="s">
        <v>6908</v>
      </c>
      <c r="B5890" t="str">
        <f>"13578238491"</f>
        <v>13578238491</v>
      </c>
      <c r="C5890" t="str">
        <f>"53310219960624281X"</f>
        <v>53310219960624281X</v>
      </c>
      <c r="D5890" t="s">
        <v>6909</v>
      </c>
      <c r="E5890" t="s">
        <v>6910</v>
      </c>
      <c r="F5890" t="s">
        <v>0</v>
      </c>
      <c r="G5890" t="str">
        <f>"2018-10-16 22:07:13"</f>
        <v>2018-10-16 22:07:13</v>
      </c>
    </row>
    <row r="5891" spans="1:7" x14ac:dyDescent="0.2">
      <c r="A5891" t="s">
        <v>6911</v>
      </c>
      <c r="B5891" t="str">
        <f>"18396350817"</f>
        <v>18396350817</v>
      </c>
      <c r="C5891" t="str">
        <f>"350822199701281013"</f>
        <v>350822199701281013</v>
      </c>
      <c r="D5891" t="s">
        <v>1</v>
      </c>
      <c r="E5891" t="s">
        <v>1</v>
      </c>
      <c r="F5891" t="s">
        <v>0</v>
      </c>
      <c r="G5891" t="str">
        <f>"2018-10-16 22:13:33"</f>
        <v>2018-10-16 22:13:33</v>
      </c>
    </row>
    <row r="5892" spans="1:7" x14ac:dyDescent="0.2">
      <c r="A5892" t="s">
        <v>613</v>
      </c>
      <c r="B5892" t="str">
        <f>"13880946687"</f>
        <v>13880946687</v>
      </c>
      <c r="C5892" t="str">
        <f>"512501197206293951"</f>
        <v>512501197206293951</v>
      </c>
      <c r="D5892" t="s">
        <v>6912</v>
      </c>
      <c r="E5892" t="s">
        <v>6913</v>
      </c>
      <c r="F5892" t="s">
        <v>0</v>
      </c>
      <c r="G5892" t="str">
        <f>"2018-10-16 22:10:15"</f>
        <v>2018-10-16 22:10:15</v>
      </c>
    </row>
    <row r="5893" spans="1:7" x14ac:dyDescent="0.2">
      <c r="A5893" t="s">
        <v>1</v>
      </c>
      <c r="B5893" t="str">
        <f>"15658746436"</f>
        <v>15658746436</v>
      </c>
      <c r="C5893" t="s">
        <v>1</v>
      </c>
      <c r="D5893" t="s">
        <v>1</v>
      </c>
      <c r="E5893" t="s">
        <v>1</v>
      </c>
      <c r="F5893" t="s">
        <v>0</v>
      </c>
      <c r="G5893" t="str">
        <f>"2018-10-16 22:04:07"</f>
        <v>2018-10-16 22:04:07</v>
      </c>
    </row>
    <row r="5894" spans="1:7" x14ac:dyDescent="0.2">
      <c r="A5894" t="s">
        <v>6914</v>
      </c>
      <c r="B5894" t="str">
        <f>"13388170932"</f>
        <v>13388170932</v>
      </c>
      <c r="C5894" t="str">
        <f>"510104199209044904"</f>
        <v>510104199209044904</v>
      </c>
      <c r="D5894" t="s">
        <v>1</v>
      </c>
      <c r="E5894" t="s">
        <v>1</v>
      </c>
      <c r="F5894" t="s">
        <v>0</v>
      </c>
      <c r="G5894" t="str">
        <f>"2018-10-16 22:28:44"</f>
        <v>2018-10-16 22:28:44</v>
      </c>
    </row>
    <row r="5895" spans="1:7" x14ac:dyDescent="0.2">
      <c r="A5895" t="s">
        <v>6915</v>
      </c>
      <c r="B5895" t="str">
        <f>"15022979295"</f>
        <v>15022979295</v>
      </c>
      <c r="C5895" t="str">
        <f>"620422199212162519"</f>
        <v>620422199212162519</v>
      </c>
      <c r="D5895" t="s">
        <v>1</v>
      </c>
      <c r="E5895" t="s">
        <v>1</v>
      </c>
      <c r="F5895" t="s">
        <v>0</v>
      </c>
      <c r="G5895" t="str">
        <f>"2018-10-16 22:07:07"</f>
        <v>2018-10-16 22:07:07</v>
      </c>
    </row>
    <row r="5896" spans="1:7" x14ac:dyDescent="0.2">
      <c r="A5896" t="s">
        <v>1</v>
      </c>
      <c r="B5896" t="str">
        <f>"17373623525"</f>
        <v>17373623525</v>
      </c>
      <c r="C5896" t="s">
        <v>1</v>
      </c>
      <c r="D5896" t="s">
        <v>1</v>
      </c>
      <c r="E5896" t="s">
        <v>1</v>
      </c>
      <c r="F5896" t="s">
        <v>0</v>
      </c>
      <c r="G5896" t="str">
        <f>"2018-10-16 22:01:50"</f>
        <v>2018-10-16 22:01:50</v>
      </c>
    </row>
    <row r="5897" spans="1:7" x14ac:dyDescent="0.2">
      <c r="A5897" t="s">
        <v>1</v>
      </c>
      <c r="B5897" t="str">
        <f>"13801211324"</f>
        <v>13801211324</v>
      </c>
      <c r="C5897" t="s">
        <v>1</v>
      </c>
      <c r="D5897" t="s">
        <v>1</v>
      </c>
      <c r="E5897" t="s">
        <v>1</v>
      </c>
      <c r="F5897" t="s">
        <v>0</v>
      </c>
      <c r="G5897" t="str">
        <f>"2018-10-16 22:01:33"</f>
        <v>2018-10-16 22:01:33</v>
      </c>
    </row>
    <row r="5898" spans="1:7" x14ac:dyDescent="0.2">
      <c r="A5898" t="s">
        <v>1</v>
      </c>
      <c r="B5898" t="str">
        <f>"18633409222"</f>
        <v>18633409222</v>
      </c>
      <c r="C5898" t="s">
        <v>1</v>
      </c>
      <c r="D5898" t="s">
        <v>1</v>
      </c>
      <c r="E5898" t="s">
        <v>1</v>
      </c>
      <c r="F5898" t="s">
        <v>0</v>
      </c>
      <c r="G5898" t="str">
        <f>"2018-10-16 22:02:05"</f>
        <v>2018-10-16 22:02:05</v>
      </c>
    </row>
    <row r="5899" spans="1:7" x14ac:dyDescent="0.2">
      <c r="A5899" t="s">
        <v>1</v>
      </c>
      <c r="B5899" t="str">
        <f>"18750293037"</f>
        <v>18750293037</v>
      </c>
      <c r="C5899" t="s">
        <v>1</v>
      </c>
      <c r="D5899" t="s">
        <v>1</v>
      </c>
      <c r="E5899" t="s">
        <v>1</v>
      </c>
      <c r="F5899" t="s">
        <v>0</v>
      </c>
      <c r="G5899" t="str">
        <f>"2018-10-16 22:00:36"</f>
        <v>2018-10-16 22:00:36</v>
      </c>
    </row>
    <row r="5900" spans="1:7" x14ac:dyDescent="0.2">
      <c r="A5900" t="s">
        <v>6916</v>
      </c>
      <c r="B5900" t="str">
        <f>"15959252042"</f>
        <v>15959252042</v>
      </c>
      <c r="C5900" t="str">
        <f>"350426199109122535"</f>
        <v>350426199109122535</v>
      </c>
      <c r="D5900" t="s">
        <v>1</v>
      </c>
      <c r="E5900" t="s">
        <v>1</v>
      </c>
      <c r="F5900" t="s">
        <v>0</v>
      </c>
      <c r="G5900" t="str">
        <f>"2018-10-16 22:00:38"</f>
        <v>2018-10-16 22:00:38</v>
      </c>
    </row>
    <row r="5901" spans="1:7" x14ac:dyDescent="0.2">
      <c r="A5901" t="s">
        <v>1</v>
      </c>
      <c r="B5901" t="str">
        <f>"15677884115"</f>
        <v>15677884115</v>
      </c>
      <c r="C5901" t="s">
        <v>1</v>
      </c>
      <c r="D5901" t="s">
        <v>1</v>
      </c>
      <c r="E5901" t="s">
        <v>1</v>
      </c>
      <c r="F5901" t="s">
        <v>0</v>
      </c>
      <c r="G5901" t="str">
        <f>"2018-10-16 21:59:19"</f>
        <v>2018-10-16 21:59:19</v>
      </c>
    </row>
    <row r="5902" spans="1:7" x14ac:dyDescent="0.2">
      <c r="A5902" t="s">
        <v>1</v>
      </c>
      <c r="B5902" t="str">
        <f>"13275032303"</f>
        <v>13275032303</v>
      </c>
      <c r="C5902" t="s">
        <v>1</v>
      </c>
      <c r="D5902" t="s">
        <v>1</v>
      </c>
      <c r="E5902" t="s">
        <v>1</v>
      </c>
      <c r="F5902" t="s">
        <v>0</v>
      </c>
      <c r="G5902" t="str">
        <f>"2018-10-16 21:57:59"</f>
        <v>2018-10-16 21:57:59</v>
      </c>
    </row>
    <row r="5903" spans="1:7" x14ac:dyDescent="0.2">
      <c r="A5903" t="s">
        <v>6917</v>
      </c>
      <c r="B5903" t="str">
        <f>"15859845158"</f>
        <v>15859845158</v>
      </c>
      <c r="C5903" t="str">
        <f>"350426199803316516"</f>
        <v>350426199803316516</v>
      </c>
      <c r="D5903" t="s">
        <v>1</v>
      </c>
      <c r="E5903" t="s">
        <v>1</v>
      </c>
      <c r="F5903" t="s">
        <v>0</v>
      </c>
      <c r="G5903" t="str">
        <f>"2018-10-26 10:05:35"</f>
        <v>2018-10-26 10:05:35</v>
      </c>
    </row>
    <row r="5904" spans="1:7" x14ac:dyDescent="0.2">
      <c r="A5904" t="s">
        <v>6918</v>
      </c>
      <c r="B5904" t="str">
        <f>"15175759237"</f>
        <v>15175759237</v>
      </c>
      <c r="C5904" t="str">
        <f>"13063519880716307X"</f>
        <v>13063519880716307X</v>
      </c>
      <c r="D5904" t="s">
        <v>1</v>
      </c>
      <c r="E5904" t="s">
        <v>1</v>
      </c>
      <c r="F5904" t="s">
        <v>0</v>
      </c>
      <c r="G5904" t="str">
        <f>"2018-10-16 21:57:55"</f>
        <v>2018-10-16 21:57:55</v>
      </c>
    </row>
    <row r="5905" spans="1:7" x14ac:dyDescent="0.2">
      <c r="A5905" t="s">
        <v>1</v>
      </c>
      <c r="B5905" t="str">
        <f>"14795344199"</f>
        <v>14795344199</v>
      </c>
      <c r="C5905" t="s">
        <v>1</v>
      </c>
      <c r="D5905" t="s">
        <v>1</v>
      </c>
      <c r="E5905" t="s">
        <v>1</v>
      </c>
      <c r="F5905" t="s">
        <v>0</v>
      </c>
      <c r="G5905" t="str">
        <f>"2018-10-16 21:56:47"</f>
        <v>2018-10-16 21:56:47</v>
      </c>
    </row>
    <row r="5906" spans="1:7" x14ac:dyDescent="0.2">
      <c r="A5906" t="s">
        <v>1</v>
      </c>
      <c r="B5906" t="str">
        <f>"17101670849"</f>
        <v>17101670849</v>
      </c>
      <c r="C5906" t="s">
        <v>1</v>
      </c>
      <c r="D5906" t="s">
        <v>1</v>
      </c>
      <c r="E5906" t="s">
        <v>1</v>
      </c>
      <c r="F5906" t="s">
        <v>0</v>
      </c>
      <c r="G5906" t="str">
        <f>"2018-10-16 21:56:42"</f>
        <v>2018-10-16 21:56:42</v>
      </c>
    </row>
    <row r="5907" spans="1:7" x14ac:dyDescent="0.2">
      <c r="A5907" t="s">
        <v>6919</v>
      </c>
      <c r="B5907" t="str">
        <f>"18685173418"</f>
        <v>18685173418</v>
      </c>
      <c r="C5907" t="str">
        <f>"520103198912064449"</f>
        <v>520103198912064449</v>
      </c>
      <c r="D5907" t="s">
        <v>1</v>
      </c>
      <c r="E5907" t="s">
        <v>1</v>
      </c>
      <c r="F5907" t="s">
        <v>0</v>
      </c>
      <c r="G5907" t="str">
        <f>"2018-10-16 22:25:34"</f>
        <v>2018-10-16 22:25:34</v>
      </c>
    </row>
    <row r="5908" spans="1:7" x14ac:dyDescent="0.2">
      <c r="A5908" t="s">
        <v>6920</v>
      </c>
      <c r="B5908" t="str">
        <f>"13899988483"</f>
        <v>13899988483</v>
      </c>
      <c r="C5908" t="str">
        <f>"650103199406210013"</f>
        <v>650103199406210013</v>
      </c>
      <c r="D5908" t="s">
        <v>1</v>
      </c>
      <c r="E5908" t="s">
        <v>1</v>
      </c>
      <c r="F5908" t="s">
        <v>0</v>
      </c>
      <c r="G5908" t="str">
        <f>"2018-10-16 22:10:43"</f>
        <v>2018-10-16 22:10:43</v>
      </c>
    </row>
    <row r="5909" spans="1:7" x14ac:dyDescent="0.2">
      <c r="A5909" t="s">
        <v>6921</v>
      </c>
      <c r="B5909" t="str">
        <f>"13363790953"</f>
        <v>13363790953</v>
      </c>
      <c r="C5909" t="str">
        <f>"13053419930911661X"</f>
        <v>13053419930911661X</v>
      </c>
      <c r="D5909" t="s">
        <v>1</v>
      </c>
      <c r="E5909" t="s">
        <v>1</v>
      </c>
      <c r="F5909" t="s">
        <v>0</v>
      </c>
      <c r="G5909" t="str">
        <f>"2018-10-16 22:00:30"</f>
        <v>2018-10-16 22:00:30</v>
      </c>
    </row>
    <row r="5910" spans="1:7" x14ac:dyDescent="0.2">
      <c r="A5910" t="s">
        <v>1</v>
      </c>
      <c r="B5910" t="str">
        <f>"13632424475"</f>
        <v>13632424475</v>
      </c>
      <c r="C5910" t="s">
        <v>1</v>
      </c>
      <c r="D5910" t="s">
        <v>1</v>
      </c>
      <c r="E5910" t="s">
        <v>1</v>
      </c>
      <c r="F5910" t="s">
        <v>0</v>
      </c>
      <c r="G5910" t="str">
        <f>"2018-10-16 21:56:39"</f>
        <v>2018-10-16 21:56:39</v>
      </c>
    </row>
    <row r="5911" spans="1:7" x14ac:dyDescent="0.2">
      <c r="A5911" t="s">
        <v>1</v>
      </c>
      <c r="B5911" t="str">
        <f>"13318773635"</f>
        <v>13318773635</v>
      </c>
      <c r="C5911" t="s">
        <v>1</v>
      </c>
      <c r="D5911" t="s">
        <v>1</v>
      </c>
      <c r="E5911" t="s">
        <v>1</v>
      </c>
      <c r="F5911" t="s">
        <v>0</v>
      </c>
      <c r="G5911" t="str">
        <f>"2018-10-16 21:55:17"</f>
        <v>2018-10-16 21:55:17</v>
      </c>
    </row>
    <row r="5912" spans="1:7" x14ac:dyDescent="0.2">
      <c r="A5912" t="s">
        <v>1</v>
      </c>
      <c r="B5912" t="str">
        <f>"15092917031"</f>
        <v>15092917031</v>
      </c>
      <c r="C5912" t="s">
        <v>1</v>
      </c>
      <c r="D5912" t="s">
        <v>1</v>
      </c>
      <c r="E5912" t="s">
        <v>1</v>
      </c>
      <c r="F5912" t="s">
        <v>0</v>
      </c>
      <c r="G5912" t="str">
        <f>"2018-10-16 21:55:05"</f>
        <v>2018-10-16 21:55:05</v>
      </c>
    </row>
    <row r="5913" spans="1:7" x14ac:dyDescent="0.2">
      <c r="A5913" t="s">
        <v>1</v>
      </c>
      <c r="B5913" t="str">
        <f>"18852099692"</f>
        <v>18852099692</v>
      </c>
      <c r="C5913" t="s">
        <v>1</v>
      </c>
      <c r="D5913" t="s">
        <v>1</v>
      </c>
      <c r="E5913" t="s">
        <v>1</v>
      </c>
      <c r="F5913" t="s">
        <v>0</v>
      </c>
      <c r="G5913" t="str">
        <f>"2018-10-16 21:58:56"</f>
        <v>2018-10-16 21:58:56</v>
      </c>
    </row>
    <row r="5914" spans="1:7" x14ac:dyDescent="0.2">
      <c r="A5914" t="s">
        <v>1</v>
      </c>
      <c r="B5914" t="str">
        <f>"13420103797"</f>
        <v>13420103797</v>
      </c>
      <c r="C5914" t="s">
        <v>1</v>
      </c>
      <c r="D5914" t="s">
        <v>1</v>
      </c>
      <c r="E5914" t="s">
        <v>1</v>
      </c>
      <c r="F5914" t="s">
        <v>0</v>
      </c>
      <c r="G5914" t="str">
        <f>"2018-10-16 21:56:57"</f>
        <v>2018-10-16 21:56:57</v>
      </c>
    </row>
    <row r="5915" spans="1:7" x14ac:dyDescent="0.2">
      <c r="A5915" t="s">
        <v>6922</v>
      </c>
      <c r="B5915" t="str">
        <f>"13201270073"</f>
        <v>13201270073</v>
      </c>
      <c r="C5915" t="str">
        <f>"610481199407235819"</f>
        <v>610481199407235819</v>
      </c>
      <c r="D5915" t="s">
        <v>1</v>
      </c>
      <c r="E5915" t="s">
        <v>1</v>
      </c>
      <c r="F5915" t="s">
        <v>0</v>
      </c>
      <c r="G5915" t="str">
        <f>"2018-10-16 21:55:55"</f>
        <v>2018-10-16 21:55:55</v>
      </c>
    </row>
    <row r="5916" spans="1:7" x14ac:dyDescent="0.2">
      <c r="A5916" t="s">
        <v>6923</v>
      </c>
      <c r="B5916" t="str">
        <f>"15318068279"</f>
        <v>15318068279</v>
      </c>
      <c r="C5916" t="str">
        <f>"370402198603204868"</f>
        <v>370402198603204868</v>
      </c>
      <c r="D5916" t="s">
        <v>1</v>
      </c>
      <c r="E5916" t="s">
        <v>1</v>
      </c>
      <c r="F5916" t="s">
        <v>0</v>
      </c>
      <c r="G5916" t="str">
        <f>"2018-10-16 22:54:30"</f>
        <v>2018-10-16 22:54:30</v>
      </c>
    </row>
    <row r="5917" spans="1:7" x14ac:dyDescent="0.2">
      <c r="A5917" t="s">
        <v>1</v>
      </c>
      <c r="B5917" t="str">
        <f>"18150672386"</f>
        <v>18150672386</v>
      </c>
      <c r="C5917" t="s">
        <v>1</v>
      </c>
      <c r="D5917" t="s">
        <v>1</v>
      </c>
      <c r="E5917" t="s">
        <v>1</v>
      </c>
      <c r="F5917" t="s">
        <v>0</v>
      </c>
      <c r="G5917" t="str">
        <f>"2018-10-16 21:55:20"</f>
        <v>2018-10-16 21:55:20</v>
      </c>
    </row>
    <row r="5918" spans="1:7" x14ac:dyDescent="0.2">
      <c r="A5918" t="s">
        <v>6924</v>
      </c>
      <c r="B5918" t="str">
        <f>"18658657719"</f>
        <v>18658657719</v>
      </c>
      <c r="C5918" t="str">
        <f>"411424198910054558"</f>
        <v>411424198910054558</v>
      </c>
      <c r="D5918" t="s">
        <v>1</v>
      </c>
      <c r="E5918" t="s">
        <v>1</v>
      </c>
      <c r="F5918" t="s">
        <v>0</v>
      </c>
      <c r="G5918" t="str">
        <f>"2018-10-16 22:09:03"</f>
        <v>2018-10-16 22:09:03</v>
      </c>
    </row>
    <row r="5919" spans="1:7" x14ac:dyDescent="0.2">
      <c r="A5919" t="s">
        <v>6925</v>
      </c>
      <c r="B5919" t="str">
        <f>"13852334760"</f>
        <v>13852334760</v>
      </c>
      <c r="C5919" t="str">
        <f>"320821198801272193"</f>
        <v>320821198801272193</v>
      </c>
      <c r="D5919" t="s">
        <v>6926</v>
      </c>
      <c r="E5919" t="s">
        <v>6927</v>
      </c>
      <c r="F5919" t="s">
        <v>0</v>
      </c>
      <c r="G5919" t="str">
        <f>"2018-10-16 21:58:39"</f>
        <v>2018-10-16 21:58:39</v>
      </c>
    </row>
    <row r="5920" spans="1:7" x14ac:dyDescent="0.2">
      <c r="A5920" t="s">
        <v>6928</v>
      </c>
      <c r="B5920" t="str">
        <f>"13784696614"</f>
        <v>13784696614</v>
      </c>
      <c r="C5920" t="str">
        <f>"130229199303166619"</f>
        <v>130229199303166619</v>
      </c>
      <c r="D5920" t="s">
        <v>1</v>
      </c>
      <c r="E5920" t="s">
        <v>1</v>
      </c>
      <c r="F5920" t="s">
        <v>0</v>
      </c>
      <c r="G5920" t="str">
        <f>"2018-10-16 21:58:51"</f>
        <v>2018-10-16 21:58:51</v>
      </c>
    </row>
    <row r="5921" spans="1:7" x14ac:dyDescent="0.2">
      <c r="A5921" t="s">
        <v>1450</v>
      </c>
      <c r="B5921" t="str">
        <f>"18331629130"</f>
        <v>18331629130</v>
      </c>
      <c r="C5921" t="str">
        <f>"120224198403134034"</f>
        <v>120224198403134034</v>
      </c>
      <c r="D5921" t="s">
        <v>1</v>
      </c>
      <c r="E5921" t="s">
        <v>1</v>
      </c>
      <c r="F5921" t="s">
        <v>0</v>
      </c>
      <c r="G5921" t="str">
        <f>"2018-10-16 21:54:23"</f>
        <v>2018-10-16 21:54:23</v>
      </c>
    </row>
    <row r="5922" spans="1:7" x14ac:dyDescent="0.2">
      <c r="A5922" t="s">
        <v>1</v>
      </c>
      <c r="B5922" t="str">
        <f>"15884528751"</f>
        <v>15884528751</v>
      </c>
      <c r="C5922" t="s">
        <v>1</v>
      </c>
      <c r="D5922" t="s">
        <v>1</v>
      </c>
      <c r="E5922" t="s">
        <v>1</v>
      </c>
      <c r="F5922" t="s">
        <v>0</v>
      </c>
      <c r="G5922" t="str">
        <f>"2018-10-16 21:53:20"</f>
        <v>2018-10-16 21:53:20</v>
      </c>
    </row>
    <row r="5923" spans="1:7" x14ac:dyDescent="0.2">
      <c r="A5923" t="s">
        <v>2848</v>
      </c>
      <c r="B5923" t="str">
        <f>"13680207127"</f>
        <v>13680207127</v>
      </c>
      <c r="C5923" t="str">
        <f>"362429199504240614"</f>
        <v>362429199504240614</v>
      </c>
      <c r="D5923" t="s">
        <v>1</v>
      </c>
      <c r="E5923" t="s">
        <v>1</v>
      </c>
      <c r="F5923" t="s">
        <v>0</v>
      </c>
      <c r="G5923" t="str">
        <f>"2018-10-16 21:55:35"</f>
        <v>2018-10-16 21:55:35</v>
      </c>
    </row>
    <row r="5924" spans="1:7" x14ac:dyDescent="0.2">
      <c r="A5924" t="s">
        <v>6929</v>
      </c>
      <c r="B5924" t="str">
        <f>"13434428377"</f>
        <v>13434428377</v>
      </c>
      <c r="C5924" t="str">
        <f>"360722199305125429"</f>
        <v>360722199305125429</v>
      </c>
      <c r="D5924" t="s">
        <v>1</v>
      </c>
      <c r="E5924" t="s">
        <v>1</v>
      </c>
      <c r="F5924" t="s">
        <v>0</v>
      </c>
      <c r="G5924" t="str">
        <f>"2018-10-16 21:49:32"</f>
        <v>2018-10-16 21:49:32</v>
      </c>
    </row>
    <row r="5925" spans="1:7" x14ac:dyDescent="0.2">
      <c r="A5925" t="s">
        <v>1</v>
      </c>
      <c r="B5925" t="str">
        <f>"17862935391"</f>
        <v>17862935391</v>
      </c>
      <c r="C5925" t="s">
        <v>1</v>
      </c>
      <c r="D5925" t="s">
        <v>1</v>
      </c>
      <c r="E5925" t="s">
        <v>1</v>
      </c>
      <c r="F5925" t="s">
        <v>0</v>
      </c>
      <c r="G5925" t="str">
        <f>"2018-10-16 21:48:57"</f>
        <v>2018-10-16 21:48:57</v>
      </c>
    </row>
    <row r="5926" spans="1:7" x14ac:dyDescent="0.2">
      <c r="A5926" t="s">
        <v>6930</v>
      </c>
      <c r="B5926" t="str">
        <f>"15932784229"</f>
        <v>15932784229</v>
      </c>
      <c r="C5926" t="str">
        <f>"132132199906213239"</f>
        <v>132132199906213239</v>
      </c>
      <c r="D5926" t="s">
        <v>1</v>
      </c>
      <c r="E5926" t="s">
        <v>1</v>
      </c>
      <c r="F5926" t="s">
        <v>0</v>
      </c>
      <c r="G5926" t="str">
        <f>"2018-10-16 21:50:16"</f>
        <v>2018-10-16 21:50:16</v>
      </c>
    </row>
    <row r="5927" spans="1:7" x14ac:dyDescent="0.2">
      <c r="A5927" t="s">
        <v>1</v>
      </c>
      <c r="B5927" t="str">
        <f>"18605684826"</f>
        <v>18605684826</v>
      </c>
      <c r="C5927" t="s">
        <v>1</v>
      </c>
      <c r="D5927" t="s">
        <v>1</v>
      </c>
      <c r="E5927" t="s">
        <v>1</v>
      </c>
      <c r="F5927" t="s">
        <v>0</v>
      </c>
      <c r="G5927" t="str">
        <f>"2018-10-16 21:48:11"</f>
        <v>2018-10-16 21:48:11</v>
      </c>
    </row>
    <row r="5928" spans="1:7" x14ac:dyDescent="0.2">
      <c r="A5928" t="s">
        <v>59</v>
      </c>
      <c r="B5928" t="str">
        <f>"13218009617"</f>
        <v>13218009617</v>
      </c>
      <c r="C5928" t="str">
        <f>"522224199507100825"</f>
        <v>522224199507100825</v>
      </c>
      <c r="D5928" t="s">
        <v>1</v>
      </c>
      <c r="E5928" t="s">
        <v>1</v>
      </c>
      <c r="F5928" t="s">
        <v>0</v>
      </c>
      <c r="G5928" t="str">
        <f>"2018-10-16 21:47:49"</f>
        <v>2018-10-16 21:47:49</v>
      </c>
    </row>
    <row r="5929" spans="1:7" x14ac:dyDescent="0.2">
      <c r="A5929" t="s">
        <v>1</v>
      </c>
      <c r="B5929" t="str">
        <f>"18567957513"</f>
        <v>18567957513</v>
      </c>
      <c r="C5929" t="s">
        <v>1</v>
      </c>
      <c r="D5929" t="s">
        <v>1</v>
      </c>
      <c r="E5929" t="s">
        <v>1</v>
      </c>
      <c r="F5929" t="s">
        <v>0</v>
      </c>
      <c r="G5929" t="str">
        <f>"2018-10-16 21:47:18"</f>
        <v>2018-10-16 21:47:18</v>
      </c>
    </row>
    <row r="5930" spans="1:7" x14ac:dyDescent="0.2">
      <c r="A5930" t="s">
        <v>6931</v>
      </c>
      <c r="B5930" t="str">
        <f>"13916246076"</f>
        <v>13916246076</v>
      </c>
      <c r="C5930" t="str">
        <f>"310227199109061216"</f>
        <v>310227199109061216</v>
      </c>
      <c r="D5930" t="s">
        <v>1</v>
      </c>
      <c r="E5930" t="s">
        <v>1</v>
      </c>
      <c r="F5930" t="s">
        <v>0</v>
      </c>
      <c r="G5930" t="str">
        <f>"2018-10-18 01:20:31"</f>
        <v>2018-10-18 01:20:31</v>
      </c>
    </row>
    <row r="5931" spans="1:7" x14ac:dyDescent="0.2">
      <c r="A5931" t="s">
        <v>1</v>
      </c>
      <c r="B5931" t="str">
        <f>"18398486890"</f>
        <v>18398486890</v>
      </c>
      <c r="C5931" t="s">
        <v>1</v>
      </c>
      <c r="D5931" t="s">
        <v>1</v>
      </c>
      <c r="E5931" t="s">
        <v>1</v>
      </c>
      <c r="F5931" t="s">
        <v>0</v>
      </c>
      <c r="G5931" t="str">
        <f>"2018-10-16 21:47:03"</f>
        <v>2018-10-16 21:47:03</v>
      </c>
    </row>
    <row r="5932" spans="1:7" x14ac:dyDescent="0.2">
      <c r="A5932" t="s">
        <v>766</v>
      </c>
      <c r="B5932" t="str">
        <f>"13881773384"</f>
        <v>13881773384</v>
      </c>
      <c r="C5932" t="str">
        <f>"510181197703260024"</f>
        <v>510181197703260024</v>
      </c>
      <c r="D5932" t="s">
        <v>1</v>
      </c>
      <c r="E5932" t="s">
        <v>1</v>
      </c>
      <c r="F5932" t="s">
        <v>0</v>
      </c>
      <c r="G5932" t="str">
        <f>"2018-10-16 21:48:27"</f>
        <v>2018-10-16 21:48:27</v>
      </c>
    </row>
    <row r="5933" spans="1:7" x14ac:dyDescent="0.2">
      <c r="A5933" t="s">
        <v>6932</v>
      </c>
      <c r="B5933" t="str">
        <f>"13345570677"</f>
        <v>13345570677</v>
      </c>
      <c r="C5933" t="str">
        <f>"341322200209130819"</f>
        <v>341322200209130819</v>
      </c>
      <c r="D5933" t="s">
        <v>1</v>
      </c>
      <c r="E5933" t="s">
        <v>1</v>
      </c>
      <c r="F5933" t="s">
        <v>0</v>
      </c>
      <c r="G5933" t="str">
        <f>"2018-10-16 21:50:12"</f>
        <v>2018-10-16 21:50:12</v>
      </c>
    </row>
    <row r="5934" spans="1:7" x14ac:dyDescent="0.2">
      <c r="A5934" t="s">
        <v>857</v>
      </c>
      <c r="B5934" t="str">
        <f>"15814698083"</f>
        <v>15814698083</v>
      </c>
      <c r="C5934" t="str">
        <f>"450802199704143124"</f>
        <v>450802199704143124</v>
      </c>
      <c r="D5934" t="s">
        <v>1</v>
      </c>
      <c r="E5934" t="s">
        <v>1</v>
      </c>
      <c r="F5934" t="s">
        <v>0</v>
      </c>
      <c r="G5934" t="str">
        <f>"2018-10-16 21:50:04"</f>
        <v>2018-10-16 21:50:04</v>
      </c>
    </row>
    <row r="5935" spans="1:7" x14ac:dyDescent="0.2">
      <c r="A5935" t="s">
        <v>1</v>
      </c>
      <c r="B5935" t="str">
        <f>"13535458821"</f>
        <v>13535458821</v>
      </c>
      <c r="C5935" t="s">
        <v>1</v>
      </c>
      <c r="D5935" t="s">
        <v>1</v>
      </c>
      <c r="E5935" t="s">
        <v>1</v>
      </c>
      <c r="F5935" t="s">
        <v>0</v>
      </c>
      <c r="G5935" t="str">
        <f>"2018-10-16 21:46:09"</f>
        <v>2018-10-16 21:46:09</v>
      </c>
    </row>
    <row r="5936" spans="1:7" x14ac:dyDescent="0.2">
      <c r="A5936" t="s">
        <v>6933</v>
      </c>
      <c r="B5936" t="str">
        <f>"18111211727"</f>
        <v>18111211727</v>
      </c>
      <c r="C5936" t="str">
        <f>"511622198912026413"</f>
        <v>511622198912026413</v>
      </c>
      <c r="D5936" t="s">
        <v>1</v>
      </c>
      <c r="E5936" t="s">
        <v>1</v>
      </c>
      <c r="F5936" t="s">
        <v>0</v>
      </c>
      <c r="G5936" t="str">
        <f>"2018-10-16 21:46:38"</f>
        <v>2018-10-16 21:46:38</v>
      </c>
    </row>
    <row r="5937" spans="1:7" x14ac:dyDescent="0.2">
      <c r="A5937" t="s">
        <v>6934</v>
      </c>
      <c r="B5937" t="str">
        <f>"13679812905"</f>
        <v>13679812905</v>
      </c>
      <c r="C5937" t="str">
        <f>"440684198206086929"</f>
        <v>440684198206086929</v>
      </c>
      <c r="D5937" t="s">
        <v>1</v>
      </c>
      <c r="E5937" t="s">
        <v>1</v>
      </c>
      <c r="F5937" t="s">
        <v>0</v>
      </c>
      <c r="G5937" t="str">
        <f>"2018-10-16 21:48:25"</f>
        <v>2018-10-16 21:48:25</v>
      </c>
    </row>
    <row r="5938" spans="1:7" x14ac:dyDescent="0.2">
      <c r="A5938" t="s">
        <v>6935</v>
      </c>
      <c r="B5938" t="str">
        <f>"15882108682"</f>
        <v>15882108682</v>
      </c>
      <c r="C5938" t="str">
        <f>"510105198603311777"</f>
        <v>510105198603311777</v>
      </c>
      <c r="D5938" t="s">
        <v>1</v>
      </c>
      <c r="E5938" t="s">
        <v>1</v>
      </c>
      <c r="F5938" t="s">
        <v>0</v>
      </c>
      <c r="G5938" t="str">
        <f>"2018-10-16 21:55:50"</f>
        <v>2018-10-16 21:55:50</v>
      </c>
    </row>
    <row r="5939" spans="1:7" x14ac:dyDescent="0.2">
      <c r="A5939" t="s">
        <v>6936</v>
      </c>
      <c r="B5939" t="str">
        <f>"18052218266"</f>
        <v>18052218266</v>
      </c>
      <c r="C5939" t="str">
        <f>"320321199410167238"</f>
        <v>320321199410167238</v>
      </c>
      <c r="D5939" t="s">
        <v>1</v>
      </c>
      <c r="E5939" t="s">
        <v>1</v>
      </c>
      <c r="F5939" t="s">
        <v>0</v>
      </c>
      <c r="G5939" t="str">
        <f>"2018-10-16 22:25:56"</f>
        <v>2018-10-16 22:25:56</v>
      </c>
    </row>
    <row r="5940" spans="1:7" x14ac:dyDescent="0.2">
      <c r="A5940" t="s">
        <v>6937</v>
      </c>
      <c r="B5940" t="str">
        <f>"15219595097"</f>
        <v>15219595097</v>
      </c>
      <c r="C5940" t="str">
        <f>"440802198907132517"</f>
        <v>440802198907132517</v>
      </c>
      <c r="D5940" t="s">
        <v>1</v>
      </c>
      <c r="E5940" t="s">
        <v>1</v>
      </c>
      <c r="F5940" t="s">
        <v>0</v>
      </c>
      <c r="G5940" t="str">
        <f>"2018-10-16 21:42:22"</f>
        <v>2018-10-16 21:42:22</v>
      </c>
    </row>
    <row r="5941" spans="1:7" x14ac:dyDescent="0.2">
      <c r="A5941" t="s">
        <v>6938</v>
      </c>
      <c r="B5941" t="str">
        <f>"15663421567"</f>
        <v>15663421567</v>
      </c>
      <c r="C5941" t="str">
        <f>"230183197907036214"</f>
        <v>230183197907036214</v>
      </c>
      <c r="D5941" t="s">
        <v>1</v>
      </c>
      <c r="E5941" t="s">
        <v>1</v>
      </c>
      <c r="F5941" t="s">
        <v>0</v>
      </c>
      <c r="G5941" t="str">
        <f>"2018-10-16 21:42:06"</f>
        <v>2018-10-16 21:42:06</v>
      </c>
    </row>
    <row r="5942" spans="1:7" x14ac:dyDescent="0.2">
      <c r="A5942" t="s">
        <v>6939</v>
      </c>
      <c r="B5942" t="str">
        <f>"15160512312"</f>
        <v>15160512312</v>
      </c>
      <c r="C5942" t="str">
        <f>"350681199312012011"</f>
        <v>350681199312012011</v>
      </c>
      <c r="D5942" t="s">
        <v>6940</v>
      </c>
      <c r="E5942" t="s">
        <v>6941</v>
      </c>
      <c r="F5942" t="s">
        <v>0</v>
      </c>
      <c r="G5942" t="str">
        <f>"2018-10-16 23:31:29"</f>
        <v>2018-10-16 23:31:29</v>
      </c>
    </row>
    <row r="5943" spans="1:7" x14ac:dyDescent="0.2">
      <c r="A5943" t="s">
        <v>1</v>
      </c>
      <c r="B5943" t="str">
        <f>"15932902929"</f>
        <v>15932902929</v>
      </c>
      <c r="C5943" t="s">
        <v>1</v>
      </c>
      <c r="D5943" t="s">
        <v>1</v>
      </c>
      <c r="E5943" t="s">
        <v>1</v>
      </c>
      <c r="F5943" t="s">
        <v>0</v>
      </c>
      <c r="G5943" t="str">
        <f>"2018-10-16 21:39:41"</f>
        <v>2018-10-16 21:39:41</v>
      </c>
    </row>
    <row r="5944" spans="1:7" x14ac:dyDescent="0.2">
      <c r="A5944" t="s">
        <v>6942</v>
      </c>
      <c r="B5944" t="str">
        <f>"15106118710"</f>
        <v>15106118710</v>
      </c>
      <c r="C5944" t="str">
        <f>"320723199310023426"</f>
        <v>320723199310023426</v>
      </c>
      <c r="D5944" t="s">
        <v>1</v>
      </c>
      <c r="E5944" t="s">
        <v>1</v>
      </c>
      <c r="F5944" t="s">
        <v>0</v>
      </c>
      <c r="G5944" t="str">
        <f>"2018-10-30 18:41:39"</f>
        <v>2018-10-30 18:41:39</v>
      </c>
    </row>
    <row r="5945" spans="1:7" x14ac:dyDescent="0.2">
      <c r="A5945" t="s">
        <v>1</v>
      </c>
      <c r="B5945" t="str">
        <f>"13008670071"</f>
        <v>13008670071</v>
      </c>
      <c r="C5945" t="s">
        <v>1</v>
      </c>
      <c r="D5945" t="s">
        <v>1</v>
      </c>
      <c r="E5945" t="s">
        <v>1</v>
      </c>
      <c r="F5945" t="s">
        <v>0</v>
      </c>
      <c r="G5945" t="str">
        <f>"2018-10-27 21:29:24"</f>
        <v>2018-10-27 21:29:24</v>
      </c>
    </row>
    <row r="5946" spans="1:7" x14ac:dyDescent="0.2">
      <c r="A5946" t="s">
        <v>6943</v>
      </c>
      <c r="B5946" t="str">
        <f>"18793363545"</f>
        <v>18793363545</v>
      </c>
      <c r="C5946" t="str">
        <f>"622722197404281079"</f>
        <v>622722197404281079</v>
      </c>
      <c r="D5946" t="s">
        <v>6944</v>
      </c>
      <c r="E5946" t="s">
        <v>6945</v>
      </c>
      <c r="F5946" t="s">
        <v>0</v>
      </c>
      <c r="G5946" t="str">
        <f>"2018-11-02 16:53:32"</f>
        <v>2018-11-02 16:53:32</v>
      </c>
    </row>
    <row r="5947" spans="1:7" x14ac:dyDescent="0.2">
      <c r="A5947" t="s">
        <v>1</v>
      </c>
      <c r="B5947" t="str">
        <f>"13766408621"</f>
        <v>13766408621</v>
      </c>
      <c r="C5947" t="s">
        <v>1</v>
      </c>
      <c r="D5947" t="s">
        <v>1</v>
      </c>
      <c r="E5947" t="s">
        <v>1</v>
      </c>
      <c r="F5947" t="s">
        <v>0</v>
      </c>
      <c r="G5947" t="str">
        <f>"2018-10-16 21:37:31"</f>
        <v>2018-10-16 21:37:31</v>
      </c>
    </row>
    <row r="5948" spans="1:7" x14ac:dyDescent="0.2">
      <c r="A5948" t="s">
        <v>6946</v>
      </c>
      <c r="B5948" t="str">
        <f>"17662868635"</f>
        <v>17662868635</v>
      </c>
      <c r="C5948" t="str">
        <f>"371302199603214329"</f>
        <v>371302199603214329</v>
      </c>
      <c r="D5948" t="s">
        <v>1</v>
      </c>
      <c r="E5948" t="s">
        <v>1</v>
      </c>
      <c r="F5948" t="s">
        <v>0</v>
      </c>
      <c r="G5948" t="str">
        <f>"2018-10-16 21:46:17"</f>
        <v>2018-10-16 21:46:17</v>
      </c>
    </row>
    <row r="5949" spans="1:7" x14ac:dyDescent="0.2">
      <c r="A5949" t="s">
        <v>6947</v>
      </c>
      <c r="B5949" t="str">
        <f>"13231655000"</f>
        <v>13231655000</v>
      </c>
      <c r="C5949" t="str">
        <f>"211102198212143017"</f>
        <v>211102198212143017</v>
      </c>
      <c r="D5949" t="s">
        <v>1</v>
      </c>
      <c r="E5949" t="s">
        <v>1</v>
      </c>
      <c r="F5949" t="s">
        <v>0</v>
      </c>
      <c r="G5949" t="str">
        <f>"2018-10-16 21:39:19"</f>
        <v>2018-10-16 21:39:19</v>
      </c>
    </row>
    <row r="5950" spans="1:7" x14ac:dyDescent="0.2">
      <c r="A5950" t="s">
        <v>6948</v>
      </c>
      <c r="B5950" t="str">
        <f>"13577624840"</f>
        <v>13577624840</v>
      </c>
      <c r="C5950" t="str">
        <f>"532621199209123310"</f>
        <v>532621199209123310</v>
      </c>
      <c r="D5950" t="s">
        <v>1</v>
      </c>
      <c r="E5950" t="s">
        <v>1</v>
      </c>
      <c r="F5950" t="s">
        <v>0</v>
      </c>
      <c r="G5950" t="str">
        <f>"2018-10-16 21:37:44"</f>
        <v>2018-10-16 21:37:44</v>
      </c>
    </row>
    <row r="5951" spans="1:7" x14ac:dyDescent="0.2">
      <c r="A5951" t="s">
        <v>1554</v>
      </c>
      <c r="B5951" t="str">
        <f>"13330604189"</f>
        <v>13330604189</v>
      </c>
      <c r="C5951" t="str">
        <f>"513101197610266030"</f>
        <v>513101197610266030</v>
      </c>
      <c r="D5951" t="s">
        <v>6949</v>
      </c>
      <c r="E5951" t="s">
        <v>6950</v>
      </c>
      <c r="F5951" t="s">
        <v>0</v>
      </c>
      <c r="G5951" t="str">
        <f>"2018-10-16 21:35:46"</f>
        <v>2018-10-16 21:35:46</v>
      </c>
    </row>
    <row r="5952" spans="1:7" x14ac:dyDescent="0.2">
      <c r="A5952" t="s">
        <v>6951</v>
      </c>
      <c r="B5952" t="str">
        <f>"15693266612"</f>
        <v>15693266612</v>
      </c>
      <c r="C5952" t="str">
        <f>"622429198910203420"</f>
        <v>622429198910203420</v>
      </c>
      <c r="D5952" t="s">
        <v>1</v>
      </c>
      <c r="E5952" t="s">
        <v>1</v>
      </c>
      <c r="F5952" t="s">
        <v>0</v>
      </c>
      <c r="G5952" t="str">
        <f>"2018-10-16 21:34:48"</f>
        <v>2018-10-16 21:34:48</v>
      </c>
    </row>
    <row r="5953" spans="1:7" x14ac:dyDescent="0.2">
      <c r="A5953" t="s">
        <v>1</v>
      </c>
      <c r="B5953" t="str">
        <f>"15847678487"</f>
        <v>15847678487</v>
      </c>
      <c r="C5953" t="s">
        <v>1</v>
      </c>
      <c r="D5953" t="s">
        <v>1</v>
      </c>
      <c r="E5953" t="s">
        <v>1</v>
      </c>
      <c r="F5953" t="s">
        <v>0</v>
      </c>
      <c r="G5953" t="str">
        <f>"2018-10-16 21:32:40"</f>
        <v>2018-10-16 21:32:40</v>
      </c>
    </row>
    <row r="5954" spans="1:7" x14ac:dyDescent="0.2">
      <c r="A5954" t="s">
        <v>6952</v>
      </c>
      <c r="B5954" t="str">
        <f>"18011013103"</f>
        <v>18011013103</v>
      </c>
      <c r="C5954" t="str">
        <f>"510525199606145972"</f>
        <v>510525199606145972</v>
      </c>
      <c r="D5954" t="s">
        <v>1</v>
      </c>
      <c r="E5954" t="s">
        <v>1</v>
      </c>
      <c r="F5954" t="s">
        <v>0</v>
      </c>
      <c r="G5954" t="str">
        <f>"2018-10-21 13:03:07"</f>
        <v>2018-10-21 13:03:07</v>
      </c>
    </row>
    <row r="5955" spans="1:7" x14ac:dyDescent="0.2">
      <c r="A5955" t="s">
        <v>6953</v>
      </c>
      <c r="B5955" t="str">
        <f>"18814881898"</f>
        <v>18814881898</v>
      </c>
      <c r="C5955" t="str">
        <f>"422325198410292916"</f>
        <v>422325198410292916</v>
      </c>
      <c r="D5955" t="s">
        <v>1</v>
      </c>
      <c r="E5955" t="s">
        <v>1</v>
      </c>
      <c r="F5955" t="s">
        <v>0</v>
      </c>
      <c r="G5955" t="str">
        <f>"2018-10-16 21:32:06"</f>
        <v>2018-10-16 21:32:06</v>
      </c>
    </row>
    <row r="5956" spans="1:7" x14ac:dyDescent="0.2">
      <c r="A5956" t="s">
        <v>6954</v>
      </c>
      <c r="B5956" t="str">
        <f>"13486016882"</f>
        <v>13486016882</v>
      </c>
      <c r="C5956" t="str">
        <f>"330282198801062577"</f>
        <v>330282198801062577</v>
      </c>
      <c r="D5956" t="s">
        <v>6955</v>
      </c>
      <c r="E5956" t="s">
        <v>6955</v>
      </c>
      <c r="F5956" t="s">
        <v>0</v>
      </c>
      <c r="G5956" t="str">
        <f>"2018-10-16 21:30:22"</f>
        <v>2018-10-16 21:30:22</v>
      </c>
    </row>
    <row r="5957" spans="1:7" x14ac:dyDescent="0.2">
      <c r="A5957" t="s">
        <v>6956</v>
      </c>
      <c r="B5957" t="str">
        <f>"13258016110"</f>
        <v>13258016110</v>
      </c>
      <c r="C5957" t="str">
        <f>"370830199608242216"</f>
        <v>370830199608242216</v>
      </c>
      <c r="D5957" t="s">
        <v>1</v>
      </c>
      <c r="E5957" t="s">
        <v>1</v>
      </c>
      <c r="F5957" t="s">
        <v>0</v>
      </c>
      <c r="G5957" t="str">
        <f>"2018-10-16 21:33:24"</f>
        <v>2018-10-16 21:33:24</v>
      </c>
    </row>
    <row r="5958" spans="1:7" x14ac:dyDescent="0.2">
      <c r="A5958" t="s">
        <v>1124</v>
      </c>
      <c r="B5958" t="str">
        <f>"13437930765"</f>
        <v>13437930765</v>
      </c>
      <c r="C5958" t="str">
        <f>"36232919900806621X"</f>
        <v>36232919900806621X</v>
      </c>
      <c r="D5958" t="s">
        <v>1</v>
      </c>
      <c r="E5958" t="s">
        <v>1</v>
      </c>
      <c r="F5958" t="s">
        <v>0</v>
      </c>
      <c r="G5958" t="str">
        <f>"2018-10-16 21:37:41"</f>
        <v>2018-10-16 21:37:41</v>
      </c>
    </row>
    <row r="5959" spans="1:7" x14ac:dyDescent="0.2">
      <c r="A5959" t="s">
        <v>6957</v>
      </c>
      <c r="B5959" t="str">
        <f>"17587065879"</f>
        <v>17587065879</v>
      </c>
      <c r="C5959" t="str">
        <f>"532621197909230011"</f>
        <v>532621197909230011</v>
      </c>
      <c r="D5959" t="s">
        <v>1</v>
      </c>
      <c r="E5959" t="s">
        <v>1</v>
      </c>
      <c r="F5959" t="s">
        <v>0</v>
      </c>
      <c r="G5959" t="str">
        <f>"2018-10-16 21:30:15"</f>
        <v>2018-10-16 21:30:15</v>
      </c>
    </row>
    <row r="5960" spans="1:7" x14ac:dyDescent="0.2">
      <c r="A5960" t="s">
        <v>6958</v>
      </c>
      <c r="B5960" t="str">
        <f>"13280199678"</f>
        <v>13280199678</v>
      </c>
      <c r="C5960" t="str">
        <f>"370725198602023994"</f>
        <v>370725198602023994</v>
      </c>
      <c r="D5960" t="s">
        <v>1</v>
      </c>
      <c r="E5960" t="s">
        <v>1</v>
      </c>
      <c r="F5960" t="s">
        <v>0</v>
      </c>
      <c r="G5960" t="str">
        <f>"2018-10-26 15:49:02"</f>
        <v>2018-10-26 15:49:02</v>
      </c>
    </row>
    <row r="5961" spans="1:7" x14ac:dyDescent="0.2">
      <c r="A5961" t="s">
        <v>305</v>
      </c>
      <c r="B5961" t="str">
        <f>"18062079980"</f>
        <v>18062079980</v>
      </c>
      <c r="C5961" t="str">
        <f>"420114199210270512"</f>
        <v>420114199210270512</v>
      </c>
      <c r="D5961" t="s">
        <v>1</v>
      </c>
      <c r="E5961" t="s">
        <v>1</v>
      </c>
      <c r="F5961" t="s">
        <v>0</v>
      </c>
      <c r="G5961" t="str">
        <f>"2018-10-17 20:27:43"</f>
        <v>2018-10-17 20:27:43</v>
      </c>
    </row>
    <row r="5962" spans="1:7" x14ac:dyDescent="0.2">
      <c r="A5962" t="s">
        <v>256</v>
      </c>
      <c r="B5962" t="str">
        <f>"15734742200"</f>
        <v>15734742200</v>
      </c>
      <c r="C5962" t="str">
        <f>"152631199111236917"</f>
        <v>152631199111236917</v>
      </c>
      <c r="D5962" t="s">
        <v>6959</v>
      </c>
      <c r="E5962" t="s">
        <v>6960</v>
      </c>
      <c r="F5962" t="s">
        <v>0</v>
      </c>
      <c r="G5962" t="str">
        <f>"2018-10-16 21:32:58"</f>
        <v>2018-10-16 21:32:58</v>
      </c>
    </row>
    <row r="5963" spans="1:7" x14ac:dyDescent="0.2">
      <c r="A5963" t="s">
        <v>1</v>
      </c>
      <c r="B5963" t="str">
        <f>"15980777136"</f>
        <v>15980777136</v>
      </c>
      <c r="C5963" t="s">
        <v>1</v>
      </c>
      <c r="D5963" t="s">
        <v>1</v>
      </c>
      <c r="E5963" t="s">
        <v>1</v>
      </c>
      <c r="F5963" t="s">
        <v>0</v>
      </c>
      <c r="G5963" t="str">
        <f>"2018-10-16 21:26:55"</f>
        <v>2018-10-16 21:26:55</v>
      </c>
    </row>
    <row r="5964" spans="1:7" x14ac:dyDescent="0.2">
      <c r="A5964" t="s">
        <v>6961</v>
      </c>
      <c r="B5964" t="str">
        <f>"15566877581"</f>
        <v>15566877581</v>
      </c>
      <c r="C5964" t="str">
        <f>"230124197909137027"</f>
        <v>230124197909137027</v>
      </c>
      <c r="D5964" t="s">
        <v>1</v>
      </c>
      <c r="E5964" t="s">
        <v>1</v>
      </c>
      <c r="F5964" t="s">
        <v>0</v>
      </c>
      <c r="G5964" t="str">
        <f>"2018-10-16 21:28:40"</f>
        <v>2018-10-16 21:28:40</v>
      </c>
    </row>
    <row r="5965" spans="1:7" x14ac:dyDescent="0.2">
      <c r="A5965" t="s">
        <v>6962</v>
      </c>
      <c r="B5965" t="str">
        <f>"13425398054"</f>
        <v>13425398054</v>
      </c>
      <c r="C5965" t="str">
        <f>"441223199007072621"</f>
        <v>441223199007072621</v>
      </c>
      <c r="D5965" t="s">
        <v>1</v>
      </c>
      <c r="E5965" t="s">
        <v>1</v>
      </c>
      <c r="F5965" t="s">
        <v>0</v>
      </c>
      <c r="G5965" t="str">
        <f>"2018-10-16 21:28:14"</f>
        <v>2018-10-16 21:28:14</v>
      </c>
    </row>
    <row r="5966" spans="1:7" x14ac:dyDescent="0.2">
      <c r="A5966" t="s">
        <v>1</v>
      </c>
      <c r="B5966" t="str">
        <f>"13767193307"</f>
        <v>13767193307</v>
      </c>
      <c r="C5966" t="s">
        <v>1</v>
      </c>
      <c r="D5966" t="s">
        <v>1</v>
      </c>
      <c r="E5966" t="s">
        <v>1</v>
      </c>
      <c r="F5966" t="s">
        <v>0</v>
      </c>
      <c r="G5966" t="str">
        <f>"2018-10-16 21:26:23"</f>
        <v>2018-10-16 21:26:23</v>
      </c>
    </row>
    <row r="5967" spans="1:7" x14ac:dyDescent="0.2">
      <c r="A5967" t="s">
        <v>1</v>
      </c>
      <c r="B5967" t="str">
        <f>"13483137456"</f>
        <v>13483137456</v>
      </c>
      <c r="C5967" t="s">
        <v>1</v>
      </c>
      <c r="D5967" t="s">
        <v>1</v>
      </c>
      <c r="E5967" t="s">
        <v>1</v>
      </c>
      <c r="F5967" t="s">
        <v>0</v>
      </c>
      <c r="G5967" t="str">
        <f>"2018-10-16 21:26:49"</f>
        <v>2018-10-16 21:26:49</v>
      </c>
    </row>
    <row r="5968" spans="1:7" x14ac:dyDescent="0.2">
      <c r="A5968" t="s">
        <v>6963</v>
      </c>
      <c r="B5968" t="str">
        <f>"17744321553"</f>
        <v>17744321553</v>
      </c>
      <c r="C5968" t="str">
        <f>"511381198402030256"</f>
        <v>511381198402030256</v>
      </c>
      <c r="D5968" t="s">
        <v>6964</v>
      </c>
      <c r="E5968" t="s">
        <v>6965</v>
      </c>
      <c r="F5968" t="s">
        <v>0</v>
      </c>
      <c r="G5968" t="str">
        <f>"2018-10-22 22:06:25"</f>
        <v>2018-10-22 22:06:25</v>
      </c>
    </row>
    <row r="5969" spans="1:7" x14ac:dyDescent="0.2">
      <c r="A5969" t="s">
        <v>6966</v>
      </c>
      <c r="B5969" t="str">
        <f>"18874503838"</f>
        <v>18874503838</v>
      </c>
      <c r="C5969" t="str">
        <f>"431281198111123625"</f>
        <v>431281198111123625</v>
      </c>
      <c r="D5969" t="s">
        <v>1</v>
      </c>
      <c r="E5969" t="s">
        <v>1</v>
      </c>
      <c r="F5969" t="s">
        <v>0</v>
      </c>
      <c r="G5969" t="str">
        <f>"2018-10-16 21:25:24"</f>
        <v>2018-10-16 21:25:24</v>
      </c>
    </row>
    <row r="5970" spans="1:7" x14ac:dyDescent="0.2">
      <c r="A5970" t="s">
        <v>6967</v>
      </c>
      <c r="B5970" t="str">
        <f>"15050987568"</f>
        <v>15050987568</v>
      </c>
      <c r="C5970" t="str">
        <f>"321323199211085583"</f>
        <v>321323199211085583</v>
      </c>
      <c r="D5970" t="s">
        <v>1</v>
      </c>
      <c r="E5970" t="s">
        <v>1</v>
      </c>
      <c r="F5970" t="s">
        <v>0</v>
      </c>
      <c r="G5970" t="str">
        <f>"2018-10-18 21:38:45"</f>
        <v>2018-10-18 21:38:45</v>
      </c>
    </row>
    <row r="5971" spans="1:7" x14ac:dyDescent="0.2">
      <c r="A5971" t="s">
        <v>1</v>
      </c>
      <c r="B5971" t="str">
        <f>"13587714510"</f>
        <v>13587714510</v>
      </c>
      <c r="C5971" t="s">
        <v>1</v>
      </c>
      <c r="D5971" t="s">
        <v>1</v>
      </c>
      <c r="E5971" t="s">
        <v>1</v>
      </c>
      <c r="F5971" t="s">
        <v>0</v>
      </c>
      <c r="G5971" t="str">
        <f>"2018-10-16 21:27:09"</f>
        <v>2018-10-16 21:27:09</v>
      </c>
    </row>
    <row r="5972" spans="1:7" x14ac:dyDescent="0.2">
      <c r="A5972" t="s">
        <v>1</v>
      </c>
      <c r="B5972" t="str">
        <f>"18559715162"</f>
        <v>18559715162</v>
      </c>
      <c r="C5972" t="s">
        <v>1</v>
      </c>
      <c r="D5972" t="s">
        <v>1</v>
      </c>
      <c r="E5972" t="s">
        <v>1</v>
      </c>
      <c r="F5972" t="s">
        <v>0</v>
      </c>
      <c r="G5972" t="str">
        <f>"2018-10-16 21:24:55"</f>
        <v>2018-10-16 21:24:55</v>
      </c>
    </row>
    <row r="5973" spans="1:7" x14ac:dyDescent="0.2">
      <c r="A5973" t="s">
        <v>6968</v>
      </c>
      <c r="B5973" t="str">
        <f>"18772943086"</f>
        <v>18772943086</v>
      </c>
      <c r="C5973" t="str">
        <f>"420302198004100345"</f>
        <v>420302198004100345</v>
      </c>
      <c r="D5973" t="s">
        <v>1</v>
      </c>
      <c r="E5973" t="s">
        <v>1</v>
      </c>
      <c r="F5973" t="s">
        <v>0</v>
      </c>
      <c r="G5973" t="str">
        <f>"2018-10-16 21:25:49"</f>
        <v>2018-10-16 21:25:49</v>
      </c>
    </row>
    <row r="5974" spans="1:7" x14ac:dyDescent="0.2">
      <c r="A5974" t="s">
        <v>6969</v>
      </c>
      <c r="B5974" t="str">
        <f>"18824856318"</f>
        <v>18824856318</v>
      </c>
      <c r="C5974" t="str">
        <f>"441381199604291821"</f>
        <v>441381199604291821</v>
      </c>
      <c r="D5974" t="s">
        <v>1</v>
      </c>
      <c r="E5974" t="s">
        <v>1</v>
      </c>
      <c r="F5974" t="s">
        <v>0</v>
      </c>
      <c r="G5974" t="str">
        <f>"2018-10-16 21:33:56"</f>
        <v>2018-10-16 21:33:56</v>
      </c>
    </row>
    <row r="5975" spans="1:7" x14ac:dyDescent="0.2">
      <c r="A5975" t="s">
        <v>6970</v>
      </c>
      <c r="B5975" t="str">
        <f>"18720024560"</f>
        <v>18720024560</v>
      </c>
      <c r="C5975" t="str">
        <f>"362202199804150839"</f>
        <v>362202199804150839</v>
      </c>
      <c r="D5975" t="s">
        <v>1</v>
      </c>
      <c r="E5975" t="s">
        <v>1</v>
      </c>
      <c r="F5975" t="s">
        <v>0</v>
      </c>
      <c r="G5975" t="str">
        <f>"2018-10-16 21:59:58"</f>
        <v>2018-10-16 21:59:58</v>
      </c>
    </row>
    <row r="5976" spans="1:7" x14ac:dyDescent="0.2">
      <c r="A5976" t="s">
        <v>1</v>
      </c>
      <c r="B5976" t="str">
        <f>"13555816135"</f>
        <v>13555816135</v>
      </c>
      <c r="C5976" t="s">
        <v>1</v>
      </c>
      <c r="D5976" t="s">
        <v>1</v>
      </c>
      <c r="E5976" t="s">
        <v>1</v>
      </c>
      <c r="F5976" t="s">
        <v>0</v>
      </c>
      <c r="G5976" t="str">
        <f>"2018-10-18 08:28:00"</f>
        <v>2018-10-18 08:28:00</v>
      </c>
    </row>
    <row r="5977" spans="1:7" x14ac:dyDescent="0.2">
      <c r="A5977" t="s">
        <v>6971</v>
      </c>
      <c r="B5977" t="str">
        <f>"15812300611"</f>
        <v>15812300611</v>
      </c>
      <c r="C5977" t="str">
        <f>"440881198410021032"</f>
        <v>440881198410021032</v>
      </c>
      <c r="D5977" t="s">
        <v>1</v>
      </c>
      <c r="E5977" t="s">
        <v>1</v>
      </c>
      <c r="F5977" t="s">
        <v>0</v>
      </c>
      <c r="G5977" t="str">
        <f>"2018-10-17 17:43:54"</f>
        <v>2018-10-17 17:43:54</v>
      </c>
    </row>
    <row r="5978" spans="1:7" x14ac:dyDescent="0.2">
      <c r="A5978" t="s">
        <v>1</v>
      </c>
      <c r="B5978" t="str">
        <f>"17665662405"</f>
        <v>17665662405</v>
      </c>
      <c r="C5978" t="s">
        <v>1</v>
      </c>
      <c r="D5978" t="s">
        <v>1</v>
      </c>
      <c r="E5978" t="s">
        <v>1</v>
      </c>
      <c r="F5978" t="s">
        <v>0</v>
      </c>
      <c r="G5978" t="str">
        <f>"2018-10-17 13:25:27"</f>
        <v>2018-10-17 13:25:27</v>
      </c>
    </row>
    <row r="5979" spans="1:7" x14ac:dyDescent="0.2">
      <c r="A5979" t="s">
        <v>6972</v>
      </c>
      <c r="B5979" t="str">
        <f>"13313918795"</f>
        <v>13313918795</v>
      </c>
      <c r="C5979" t="str">
        <f>"350781200008102435"</f>
        <v>350781200008102435</v>
      </c>
      <c r="D5979" t="s">
        <v>1</v>
      </c>
      <c r="E5979" t="s">
        <v>1</v>
      </c>
      <c r="F5979" t="s">
        <v>0</v>
      </c>
      <c r="G5979" t="str">
        <f>"2018-10-16 22:09:13"</f>
        <v>2018-10-16 22:09:13</v>
      </c>
    </row>
    <row r="5980" spans="1:7" x14ac:dyDescent="0.2">
      <c r="A5980" t="s">
        <v>6973</v>
      </c>
      <c r="B5980" t="str">
        <f>"13764953181"</f>
        <v>13764953181</v>
      </c>
      <c r="C5980" t="str">
        <f>"340828198910066215"</f>
        <v>340828198910066215</v>
      </c>
      <c r="D5980" t="s">
        <v>1</v>
      </c>
      <c r="E5980" t="s">
        <v>1</v>
      </c>
      <c r="F5980" t="s">
        <v>0</v>
      </c>
      <c r="G5980" t="str">
        <f>"2018-10-23 14:49:39"</f>
        <v>2018-10-23 14:49:39</v>
      </c>
    </row>
    <row r="5981" spans="1:7" x14ac:dyDescent="0.2">
      <c r="A5981" t="s">
        <v>6974</v>
      </c>
      <c r="B5981" t="str">
        <f>"15010751962"</f>
        <v>15010751962</v>
      </c>
      <c r="C5981" t="str">
        <f>"421087199011085326"</f>
        <v>421087199011085326</v>
      </c>
      <c r="D5981" t="s">
        <v>1</v>
      </c>
      <c r="E5981" t="s">
        <v>1</v>
      </c>
      <c r="F5981" t="s">
        <v>0</v>
      </c>
      <c r="G5981" t="str">
        <f>"2018-10-16 22:34:29"</f>
        <v>2018-10-16 22:34:29</v>
      </c>
    </row>
    <row r="5982" spans="1:7" x14ac:dyDescent="0.2">
      <c r="A5982" t="s">
        <v>1757</v>
      </c>
      <c r="B5982" t="str">
        <f>"18152426544"</f>
        <v>18152426544</v>
      </c>
      <c r="C5982" t="str">
        <f>"640381198706080314"</f>
        <v>640381198706080314</v>
      </c>
      <c r="D5982" t="s">
        <v>1</v>
      </c>
      <c r="E5982" t="s">
        <v>1</v>
      </c>
      <c r="F5982" t="s">
        <v>0</v>
      </c>
      <c r="G5982" t="str">
        <f>"2018-10-16 21:46:30"</f>
        <v>2018-10-16 21:46:30</v>
      </c>
    </row>
    <row r="5983" spans="1:7" x14ac:dyDescent="0.2">
      <c r="A5983" t="s">
        <v>6975</v>
      </c>
      <c r="B5983" t="str">
        <f>"13278872780"</f>
        <v>13278872780</v>
      </c>
      <c r="C5983" t="str">
        <f>"430102198402073013"</f>
        <v>430102198402073013</v>
      </c>
      <c r="D5983" t="s">
        <v>1</v>
      </c>
      <c r="E5983" t="s">
        <v>1</v>
      </c>
      <c r="F5983" t="s">
        <v>0</v>
      </c>
      <c r="G5983" t="str">
        <f>"2018-10-16 21:19:24"</f>
        <v>2018-10-16 21:19:24</v>
      </c>
    </row>
    <row r="5984" spans="1:7" x14ac:dyDescent="0.2">
      <c r="A5984" t="s">
        <v>6976</v>
      </c>
      <c r="B5984" t="str">
        <f>"15292606099"</f>
        <v>15292606099</v>
      </c>
      <c r="C5984" t="str">
        <f>"652323198709161718"</f>
        <v>652323198709161718</v>
      </c>
      <c r="D5984" t="s">
        <v>1</v>
      </c>
      <c r="E5984" t="s">
        <v>1</v>
      </c>
      <c r="F5984" t="s">
        <v>0</v>
      </c>
      <c r="G5984" t="str">
        <f>"2018-10-16 23:43:45"</f>
        <v>2018-10-16 23:43:45</v>
      </c>
    </row>
    <row r="5985" spans="1:7" x14ac:dyDescent="0.2">
      <c r="A5985" t="s">
        <v>1</v>
      </c>
      <c r="B5985" t="str">
        <f>"13221481664"</f>
        <v>13221481664</v>
      </c>
      <c r="C5985" t="s">
        <v>1</v>
      </c>
      <c r="D5985" t="s">
        <v>1</v>
      </c>
      <c r="E5985" t="s">
        <v>1</v>
      </c>
      <c r="F5985" t="s">
        <v>0</v>
      </c>
      <c r="G5985" t="str">
        <f>"2018-10-16 21:18:50"</f>
        <v>2018-10-16 21:18:50</v>
      </c>
    </row>
    <row r="5986" spans="1:7" x14ac:dyDescent="0.2">
      <c r="A5986" t="s">
        <v>6977</v>
      </c>
      <c r="B5986" t="str">
        <f>"15277538880"</f>
        <v>15277538880</v>
      </c>
      <c r="C5986" t="str">
        <f>"450803199007076647"</f>
        <v>450803199007076647</v>
      </c>
      <c r="D5986" t="s">
        <v>1</v>
      </c>
      <c r="E5986" t="s">
        <v>1</v>
      </c>
      <c r="F5986" t="s">
        <v>0</v>
      </c>
      <c r="G5986" t="str">
        <f>"2018-10-16 22:08:16"</f>
        <v>2018-10-16 22:08:16</v>
      </c>
    </row>
    <row r="5987" spans="1:7" x14ac:dyDescent="0.2">
      <c r="A5987" t="s">
        <v>1</v>
      </c>
      <c r="B5987" t="str">
        <f>"15914345359"</f>
        <v>15914345359</v>
      </c>
      <c r="C5987" t="s">
        <v>1</v>
      </c>
      <c r="D5987" t="s">
        <v>1</v>
      </c>
      <c r="E5987" t="s">
        <v>1</v>
      </c>
      <c r="F5987" t="s">
        <v>0</v>
      </c>
      <c r="G5987" t="str">
        <f>"2018-10-16 21:17:35"</f>
        <v>2018-10-16 21:17:35</v>
      </c>
    </row>
    <row r="5988" spans="1:7" x14ac:dyDescent="0.2">
      <c r="A5988" t="s">
        <v>6978</v>
      </c>
      <c r="B5988" t="str">
        <f>"13913842249"</f>
        <v>13913842249</v>
      </c>
      <c r="C5988" t="str">
        <f>"320102198310040817"</f>
        <v>320102198310040817</v>
      </c>
      <c r="D5988" t="s">
        <v>6979</v>
      </c>
      <c r="E5988" t="s">
        <v>6980</v>
      </c>
      <c r="F5988" t="s">
        <v>0</v>
      </c>
      <c r="G5988" t="str">
        <f>"2018-10-16 21:17:14"</f>
        <v>2018-10-16 21:17:14</v>
      </c>
    </row>
    <row r="5989" spans="1:7" x14ac:dyDescent="0.2">
      <c r="A5989" t="s">
        <v>6981</v>
      </c>
      <c r="B5989" t="str">
        <f>"15257336569"</f>
        <v>15257336569</v>
      </c>
      <c r="C5989" t="str">
        <f>"33041119930630521X"</f>
        <v>33041119930630521X</v>
      </c>
      <c r="D5989" t="s">
        <v>1</v>
      </c>
      <c r="E5989" t="s">
        <v>1</v>
      </c>
      <c r="F5989" t="s">
        <v>0</v>
      </c>
      <c r="G5989" t="str">
        <f>"2018-10-22 00:11:55"</f>
        <v>2018-10-22 00:11:55</v>
      </c>
    </row>
    <row r="5990" spans="1:7" x14ac:dyDescent="0.2">
      <c r="A5990" t="s">
        <v>906</v>
      </c>
      <c r="B5990" t="str">
        <f>"15699051897"</f>
        <v>15699051897</v>
      </c>
      <c r="C5990" t="str">
        <f>"652324199409101319"</f>
        <v>652324199409101319</v>
      </c>
      <c r="D5990" t="s">
        <v>6982</v>
      </c>
      <c r="E5990" t="s">
        <v>6983</v>
      </c>
      <c r="F5990" t="s">
        <v>0</v>
      </c>
      <c r="G5990" t="str">
        <f>"2018-10-18 16:45:08"</f>
        <v>2018-10-18 16:45:08</v>
      </c>
    </row>
    <row r="5991" spans="1:7" x14ac:dyDescent="0.2">
      <c r="A5991" t="s">
        <v>1058</v>
      </c>
      <c r="B5991" t="str">
        <f>"13205452970"</f>
        <v>13205452970</v>
      </c>
      <c r="C5991" t="str">
        <f>"370683198706281216"</f>
        <v>370683198706281216</v>
      </c>
      <c r="D5991" t="s">
        <v>1</v>
      </c>
      <c r="E5991" t="s">
        <v>1</v>
      </c>
      <c r="F5991" t="s">
        <v>0</v>
      </c>
      <c r="G5991" t="str">
        <f>"2018-10-16 21:18:31"</f>
        <v>2018-10-16 21:18:31</v>
      </c>
    </row>
    <row r="5992" spans="1:7" x14ac:dyDescent="0.2">
      <c r="A5992" t="s">
        <v>6984</v>
      </c>
      <c r="B5992" t="str">
        <f>"13577014274"</f>
        <v>13577014274</v>
      </c>
      <c r="C5992" t="str">
        <f>"532501198108241240"</f>
        <v>532501198108241240</v>
      </c>
      <c r="D5992" t="s">
        <v>6985</v>
      </c>
      <c r="E5992" t="s">
        <v>6986</v>
      </c>
      <c r="F5992" t="s">
        <v>0</v>
      </c>
      <c r="G5992" t="str">
        <f>"2018-10-16 21:40:34"</f>
        <v>2018-10-16 21:40:34</v>
      </c>
    </row>
    <row r="5993" spans="1:7" x14ac:dyDescent="0.2">
      <c r="A5993" t="s">
        <v>6987</v>
      </c>
      <c r="B5993" t="str">
        <f>"15126671262"</f>
        <v>15126671262</v>
      </c>
      <c r="C5993" t="str">
        <f>"532122199808241828"</f>
        <v>532122199808241828</v>
      </c>
      <c r="D5993" t="s">
        <v>1</v>
      </c>
      <c r="E5993" t="s">
        <v>1</v>
      </c>
      <c r="F5993" t="s">
        <v>0</v>
      </c>
      <c r="G5993" t="str">
        <f>"2018-10-16 21:15:49"</f>
        <v>2018-10-16 21:15:49</v>
      </c>
    </row>
    <row r="5994" spans="1:7" x14ac:dyDescent="0.2">
      <c r="A5994" t="s">
        <v>6988</v>
      </c>
      <c r="B5994" t="str">
        <f>"18102485878"</f>
        <v>18102485878</v>
      </c>
      <c r="C5994" t="str">
        <f>"210103197807081557"</f>
        <v>210103197807081557</v>
      </c>
      <c r="D5994" t="s">
        <v>1</v>
      </c>
      <c r="E5994" t="s">
        <v>1</v>
      </c>
      <c r="F5994" t="s">
        <v>0</v>
      </c>
      <c r="G5994" t="str">
        <f>"2018-10-16 21:17:39"</f>
        <v>2018-10-16 21:17:39</v>
      </c>
    </row>
    <row r="5995" spans="1:7" x14ac:dyDescent="0.2">
      <c r="A5995" t="s">
        <v>6989</v>
      </c>
      <c r="B5995" t="str">
        <f>"18070210823"</f>
        <v>18070210823</v>
      </c>
      <c r="C5995" t="str">
        <f>"360425198407120213"</f>
        <v>360425198407120213</v>
      </c>
      <c r="D5995" t="s">
        <v>1</v>
      </c>
      <c r="E5995" t="s">
        <v>1</v>
      </c>
      <c r="F5995" t="s">
        <v>0</v>
      </c>
      <c r="G5995" t="str">
        <f>"2018-10-21 14:57:49"</f>
        <v>2018-10-21 14:57:49</v>
      </c>
    </row>
    <row r="5996" spans="1:7" x14ac:dyDescent="0.2">
      <c r="A5996" t="s">
        <v>6990</v>
      </c>
      <c r="B5996" t="str">
        <f>"18374404332"</f>
        <v>18374404332</v>
      </c>
      <c r="C5996" t="str">
        <f>"430204199804084017"</f>
        <v>430204199804084017</v>
      </c>
      <c r="D5996" t="s">
        <v>1</v>
      </c>
      <c r="E5996" t="s">
        <v>1</v>
      </c>
      <c r="F5996" t="s">
        <v>0</v>
      </c>
      <c r="G5996" t="str">
        <f>"2018-10-23 15:05:33"</f>
        <v>2018-10-23 15:05:33</v>
      </c>
    </row>
    <row r="5997" spans="1:7" x14ac:dyDescent="0.2">
      <c r="A5997" t="s">
        <v>9</v>
      </c>
      <c r="B5997" t="str">
        <f>"15051170338"</f>
        <v>15051170338</v>
      </c>
      <c r="C5997" t="str">
        <f>"320705198506132029"</f>
        <v>320705198506132029</v>
      </c>
      <c r="D5997" t="s">
        <v>1</v>
      </c>
      <c r="E5997" t="s">
        <v>1</v>
      </c>
      <c r="F5997" t="s">
        <v>0</v>
      </c>
      <c r="G5997" t="str">
        <f>"2018-10-16 21:14:33"</f>
        <v>2018-10-16 21:14:33</v>
      </c>
    </row>
    <row r="5998" spans="1:7" x14ac:dyDescent="0.2">
      <c r="A5998" t="s">
        <v>1</v>
      </c>
      <c r="B5998" t="str">
        <f>"15023947797"</f>
        <v>15023947797</v>
      </c>
      <c r="C5998" t="s">
        <v>1</v>
      </c>
      <c r="D5998" t="s">
        <v>1</v>
      </c>
      <c r="E5998" t="s">
        <v>1</v>
      </c>
      <c r="F5998" t="s">
        <v>0</v>
      </c>
      <c r="G5998" t="str">
        <f>"2018-10-16 21:14:16"</f>
        <v>2018-10-16 21:14:16</v>
      </c>
    </row>
    <row r="5999" spans="1:7" x14ac:dyDescent="0.2">
      <c r="A5999" t="s">
        <v>6991</v>
      </c>
      <c r="B5999" t="str">
        <f>"18765570572"</f>
        <v>18765570572</v>
      </c>
      <c r="C5999" t="str">
        <f>"371402199702015347"</f>
        <v>371402199702015347</v>
      </c>
      <c r="D5999" t="s">
        <v>1</v>
      </c>
      <c r="E5999" t="s">
        <v>1</v>
      </c>
      <c r="F5999" t="s">
        <v>0</v>
      </c>
      <c r="G5999" t="str">
        <f>"2018-11-04 20:31:50"</f>
        <v>2018-11-04 20:31:50</v>
      </c>
    </row>
    <row r="6000" spans="1:7" x14ac:dyDescent="0.2">
      <c r="A6000" t="s">
        <v>6992</v>
      </c>
      <c r="B6000" t="str">
        <f>"18163770171"</f>
        <v>18163770171</v>
      </c>
      <c r="C6000" t="str">
        <f>"43011119910115171X"</f>
        <v>43011119910115171X</v>
      </c>
      <c r="D6000" t="s">
        <v>1</v>
      </c>
      <c r="E6000" t="s">
        <v>1</v>
      </c>
      <c r="F6000" t="s">
        <v>0</v>
      </c>
      <c r="G6000" t="str">
        <f>"2018-10-24 10:58:57"</f>
        <v>2018-10-24 10:58:57</v>
      </c>
    </row>
    <row r="6001" spans="1:7" x14ac:dyDescent="0.2">
      <c r="A6001" t="s">
        <v>1</v>
      </c>
      <c r="B6001" t="str">
        <f>"13299205974"</f>
        <v>13299205974</v>
      </c>
      <c r="C6001" t="s">
        <v>1</v>
      </c>
      <c r="D6001" t="s">
        <v>1</v>
      </c>
      <c r="E6001" t="s">
        <v>1</v>
      </c>
      <c r="F6001" t="s">
        <v>0</v>
      </c>
      <c r="G6001" t="str">
        <f>"2018-10-16 21:12:15"</f>
        <v>2018-10-16 21:12:15</v>
      </c>
    </row>
    <row r="6002" spans="1:7" x14ac:dyDescent="0.2">
      <c r="A6002" t="s">
        <v>6993</v>
      </c>
      <c r="B6002" t="str">
        <f>"18605603245"</f>
        <v>18605603245</v>
      </c>
      <c r="C6002" t="str">
        <f>"342423199303040876"</f>
        <v>342423199303040876</v>
      </c>
      <c r="D6002" t="s">
        <v>6994</v>
      </c>
      <c r="E6002" t="s">
        <v>6995</v>
      </c>
      <c r="F6002" t="s">
        <v>0</v>
      </c>
      <c r="G6002" t="str">
        <f>"2018-10-17 10:06:01"</f>
        <v>2018-10-17 10:06:01</v>
      </c>
    </row>
    <row r="6003" spans="1:7" x14ac:dyDescent="0.2">
      <c r="A6003" t="s">
        <v>6996</v>
      </c>
      <c r="B6003" t="str">
        <f>"13128770288"</f>
        <v>13128770288</v>
      </c>
      <c r="C6003" t="str">
        <f>"441621199701091215"</f>
        <v>441621199701091215</v>
      </c>
      <c r="D6003" t="s">
        <v>1</v>
      </c>
      <c r="E6003" t="s">
        <v>1</v>
      </c>
      <c r="F6003" t="s">
        <v>0</v>
      </c>
      <c r="G6003" t="str">
        <f>"2018-10-16 21:43:56"</f>
        <v>2018-10-16 21:43:56</v>
      </c>
    </row>
    <row r="6004" spans="1:7" x14ac:dyDescent="0.2">
      <c r="A6004" t="s">
        <v>1</v>
      </c>
      <c r="B6004" t="str">
        <f>"13457081875"</f>
        <v>13457081875</v>
      </c>
      <c r="C6004" t="s">
        <v>1</v>
      </c>
      <c r="D6004" t="s">
        <v>1</v>
      </c>
      <c r="E6004" t="s">
        <v>1</v>
      </c>
      <c r="F6004" t="s">
        <v>0</v>
      </c>
      <c r="G6004" t="str">
        <f>"2018-10-16 21:11:08"</f>
        <v>2018-10-16 21:11:08</v>
      </c>
    </row>
    <row r="6005" spans="1:7" x14ac:dyDescent="0.2">
      <c r="A6005" t="s">
        <v>1</v>
      </c>
      <c r="B6005" t="str">
        <f>"15928838175"</f>
        <v>15928838175</v>
      </c>
      <c r="C6005" t="s">
        <v>1</v>
      </c>
      <c r="D6005" t="s">
        <v>1</v>
      </c>
      <c r="E6005" t="s">
        <v>1</v>
      </c>
      <c r="F6005" t="s">
        <v>0</v>
      </c>
      <c r="G6005" t="str">
        <f>"2018-10-16 21:11:00"</f>
        <v>2018-10-16 21:11:00</v>
      </c>
    </row>
    <row r="6006" spans="1:7" x14ac:dyDescent="0.2">
      <c r="A6006" t="s">
        <v>6997</v>
      </c>
      <c r="B6006" t="str">
        <f>"15934596720"</f>
        <v>15934596720</v>
      </c>
      <c r="C6006" t="str">
        <f>"142631199102213930"</f>
        <v>142631199102213930</v>
      </c>
      <c r="D6006" t="s">
        <v>1</v>
      </c>
      <c r="E6006" t="s">
        <v>1</v>
      </c>
      <c r="F6006" t="s">
        <v>0</v>
      </c>
      <c r="G6006" t="str">
        <f>"2018-10-27 19:52:50"</f>
        <v>2018-10-27 19:52:50</v>
      </c>
    </row>
    <row r="6007" spans="1:7" x14ac:dyDescent="0.2">
      <c r="A6007" t="s">
        <v>6998</v>
      </c>
      <c r="B6007" t="str">
        <f>"15765348183"</f>
        <v>15765348183</v>
      </c>
      <c r="C6007" t="str">
        <f>"362532199208252147"</f>
        <v>362532199208252147</v>
      </c>
      <c r="D6007" t="s">
        <v>1</v>
      </c>
      <c r="E6007" t="s">
        <v>1</v>
      </c>
      <c r="F6007" t="s">
        <v>0</v>
      </c>
      <c r="G6007" t="str">
        <f>"2018-10-28 18:48:47"</f>
        <v>2018-10-28 18:48:47</v>
      </c>
    </row>
    <row r="6008" spans="1:7" x14ac:dyDescent="0.2">
      <c r="A6008" t="s">
        <v>771</v>
      </c>
      <c r="B6008" t="str">
        <f>"18724846708"</f>
        <v>18724846708</v>
      </c>
      <c r="C6008" t="str">
        <f>"530122199001263012"</f>
        <v>530122199001263012</v>
      </c>
      <c r="D6008" t="s">
        <v>1</v>
      </c>
      <c r="E6008" t="s">
        <v>1</v>
      </c>
      <c r="F6008" t="s">
        <v>0</v>
      </c>
      <c r="G6008" t="str">
        <f>"2018-10-16 21:26:22"</f>
        <v>2018-10-16 21:26:22</v>
      </c>
    </row>
    <row r="6009" spans="1:7" x14ac:dyDescent="0.2">
      <c r="A6009" t="s">
        <v>1</v>
      </c>
      <c r="B6009" t="str">
        <f>"13097944143"</f>
        <v>13097944143</v>
      </c>
      <c r="C6009" t="s">
        <v>1</v>
      </c>
      <c r="D6009" t="s">
        <v>1</v>
      </c>
      <c r="E6009" t="s">
        <v>1</v>
      </c>
      <c r="F6009" t="s">
        <v>0</v>
      </c>
      <c r="G6009" t="str">
        <f>"2018-10-16 21:09:52"</f>
        <v>2018-10-16 21:09:52</v>
      </c>
    </row>
    <row r="6010" spans="1:7" x14ac:dyDescent="0.2">
      <c r="A6010" t="s">
        <v>1</v>
      </c>
      <c r="B6010" t="str">
        <f>"13809080203"</f>
        <v>13809080203</v>
      </c>
      <c r="C6010" t="s">
        <v>1</v>
      </c>
      <c r="D6010" t="s">
        <v>1</v>
      </c>
      <c r="E6010" t="s">
        <v>1</v>
      </c>
      <c r="F6010" t="s">
        <v>0</v>
      </c>
      <c r="G6010" t="str">
        <f>"2018-10-16 21:09:34"</f>
        <v>2018-10-16 21:09:34</v>
      </c>
    </row>
    <row r="6011" spans="1:7" x14ac:dyDescent="0.2">
      <c r="A6011" t="s">
        <v>786</v>
      </c>
      <c r="B6011" t="str">
        <f>"13604654168"</f>
        <v>13604654168</v>
      </c>
      <c r="C6011" t="str">
        <f>"230602198303276210"</f>
        <v>230602198303276210</v>
      </c>
      <c r="D6011" t="s">
        <v>6999</v>
      </c>
      <c r="E6011" t="s">
        <v>7000</v>
      </c>
      <c r="F6011" t="s">
        <v>0</v>
      </c>
      <c r="G6011" t="str">
        <f>"2018-10-16 21:37:04"</f>
        <v>2018-10-16 21:37:04</v>
      </c>
    </row>
    <row r="6012" spans="1:7" x14ac:dyDescent="0.2">
      <c r="A6012" t="s">
        <v>7001</v>
      </c>
      <c r="B6012" t="str">
        <f>"15216368765"</f>
        <v>15216368765</v>
      </c>
      <c r="C6012" t="str">
        <f>"370786199601100641"</f>
        <v>370786199601100641</v>
      </c>
      <c r="D6012" t="s">
        <v>1</v>
      </c>
      <c r="E6012" t="s">
        <v>1</v>
      </c>
      <c r="F6012" t="s">
        <v>0</v>
      </c>
      <c r="G6012" t="str">
        <f>"2018-10-16 21:28:09"</f>
        <v>2018-10-16 21:28:09</v>
      </c>
    </row>
    <row r="6013" spans="1:7" x14ac:dyDescent="0.2">
      <c r="A6013" t="s">
        <v>7002</v>
      </c>
      <c r="B6013" t="str">
        <f>"15286063294"</f>
        <v>15286063294</v>
      </c>
      <c r="C6013" t="str">
        <f>"522225199406030422"</f>
        <v>522225199406030422</v>
      </c>
      <c r="D6013" t="s">
        <v>1</v>
      </c>
      <c r="E6013" t="s">
        <v>1</v>
      </c>
      <c r="F6013" t="s">
        <v>0</v>
      </c>
      <c r="G6013" t="str">
        <f>"2018-10-16 21:08:19"</f>
        <v>2018-10-16 21:08:19</v>
      </c>
    </row>
    <row r="6014" spans="1:7" x14ac:dyDescent="0.2">
      <c r="A6014" t="s">
        <v>1</v>
      </c>
      <c r="B6014" t="str">
        <f>"18976461761"</f>
        <v>18976461761</v>
      </c>
      <c r="C6014" t="s">
        <v>1</v>
      </c>
      <c r="D6014" t="s">
        <v>1</v>
      </c>
      <c r="E6014" t="s">
        <v>1</v>
      </c>
      <c r="F6014" t="s">
        <v>0</v>
      </c>
      <c r="G6014" t="str">
        <f>"2018-10-16 21:08:05"</f>
        <v>2018-10-16 21:08:05</v>
      </c>
    </row>
    <row r="6015" spans="1:7" x14ac:dyDescent="0.2">
      <c r="A6015" t="s">
        <v>7003</v>
      </c>
      <c r="B6015" t="str">
        <f>"13724706772"</f>
        <v>13724706772</v>
      </c>
      <c r="C6015" t="str">
        <f>"440823198704052738"</f>
        <v>440823198704052738</v>
      </c>
      <c r="D6015" t="s">
        <v>1</v>
      </c>
      <c r="E6015" t="s">
        <v>1</v>
      </c>
      <c r="F6015" t="s">
        <v>0</v>
      </c>
      <c r="G6015" t="str">
        <f>"2018-10-16 21:09:18"</f>
        <v>2018-10-16 21:09:18</v>
      </c>
    </row>
    <row r="6016" spans="1:7" x14ac:dyDescent="0.2">
      <c r="A6016" t="s">
        <v>1</v>
      </c>
      <c r="B6016" t="str">
        <f>"15272626476"</f>
        <v>15272626476</v>
      </c>
      <c r="C6016" t="s">
        <v>1</v>
      </c>
      <c r="D6016" t="s">
        <v>1</v>
      </c>
      <c r="E6016" t="s">
        <v>1</v>
      </c>
      <c r="F6016" t="s">
        <v>0</v>
      </c>
      <c r="G6016" t="str">
        <f>"2018-10-16 21:06:43"</f>
        <v>2018-10-16 21:06:43</v>
      </c>
    </row>
    <row r="6017" spans="1:7" x14ac:dyDescent="0.2">
      <c r="A6017" t="s">
        <v>7004</v>
      </c>
      <c r="B6017" t="str">
        <f>"15022999538"</f>
        <v>15022999538</v>
      </c>
      <c r="C6017" t="str">
        <f>"650102198506165212"</f>
        <v>650102198506165212</v>
      </c>
      <c r="D6017" t="s">
        <v>1</v>
      </c>
      <c r="E6017" t="s">
        <v>1</v>
      </c>
      <c r="F6017" t="s">
        <v>0</v>
      </c>
      <c r="G6017" t="str">
        <f>"2018-10-16 21:11:09"</f>
        <v>2018-10-16 21:11:09</v>
      </c>
    </row>
    <row r="6018" spans="1:7" x14ac:dyDescent="0.2">
      <c r="A6018" t="s">
        <v>7005</v>
      </c>
      <c r="B6018" t="str">
        <f>"15846664209"</f>
        <v>15846664209</v>
      </c>
      <c r="C6018" t="str">
        <f>"23233119920323041X"</f>
        <v>23233119920323041X</v>
      </c>
      <c r="D6018" t="s">
        <v>1</v>
      </c>
      <c r="E6018" t="s">
        <v>1</v>
      </c>
      <c r="F6018" t="s">
        <v>0</v>
      </c>
      <c r="G6018" t="str">
        <f>"2018-10-16 21:09:22"</f>
        <v>2018-10-16 21:09:22</v>
      </c>
    </row>
    <row r="6019" spans="1:7" x14ac:dyDescent="0.2">
      <c r="A6019" t="s">
        <v>7006</v>
      </c>
      <c r="B6019" t="str">
        <f>"13453253095"</f>
        <v>13453253095</v>
      </c>
      <c r="C6019" t="str">
        <f>"142401197907205235"</f>
        <v>142401197907205235</v>
      </c>
      <c r="D6019" t="s">
        <v>1</v>
      </c>
      <c r="E6019" t="s">
        <v>1</v>
      </c>
      <c r="F6019" t="s">
        <v>0</v>
      </c>
      <c r="G6019" t="str">
        <f>"2018-10-16 21:07:29"</f>
        <v>2018-10-16 21:07:29</v>
      </c>
    </row>
    <row r="6020" spans="1:7" x14ac:dyDescent="0.2">
      <c r="A6020" t="s">
        <v>7007</v>
      </c>
      <c r="B6020" t="str">
        <f>"15801558147"</f>
        <v>15801558147</v>
      </c>
      <c r="C6020" t="str">
        <f>"412828197606263340"</f>
        <v>412828197606263340</v>
      </c>
      <c r="D6020" t="s">
        <v>1</v>
      </c>
      <c r="E6020" t="s">
        <v>1</v>
      </c>
      <c r="F6020" t="s">
        <v>0</v>
      </c>
      <c r="G6020" t="str">
        <f>"2018-10-30 20:45:03"</f>
        <v>2018-10-30 20:45:03</v>
      </c>
    </row>
    <row r="6021" spans="1:7" x14ac:dyDescent="0.2">
      <c r="A6021" t="s">
        <v>7008</v>
      </c>
      <c r="B6021" t="str">
        <f>"15607185129"</f>
        <v>15607185129</v>
      </c>
      <c r="C6021" t="str">
        <f>"420106196807285211"</f>
        <v>420106196807285211</v>
      </c>
      <c r="D6021" t="s">
        <v>1</v>
      </c>
      <c r="E6021" t="s">
        <v>1</v>
      </c>
      <c r="F6021" t="s">
        <v>0</v>
      </c>
      <c r="G6021" t="str">
        <f>"2018-10-16 21:06:45"</f>
        <v>2018-10-16 21:06:45</v>
      </c>
    </row>
    <row r="6022" spans="1:7" x14ac:dyDescent="0.2">
      <c r="A6022" t="s">
        <v>1</v>
      </c>
      <c r="B6022" t="str">
        <f>"15952223442"</f>
        <v>15952223442</v>
      </c>
      <c r="C6022" t="s">
        <v>1</v>
      </c>
      <c r="D6022" t="s">
        <v>1</v>
      </c>
      <c r="E6022" t="s">
        <v>1</v>
      </c>
      <c r="F6022" t="s">
        <v>0</v>
      </c>
      <c r="G6022" t="str">
        <f>"2018-10-16 21:09:57"</f>
        <v>2018-10-16 21:09:57</v>
      </c>
    </row>
    <row r="6023" spans="1:7" x14ac:dyDescent="0.2">
      <c r="A6023" t="s">
        <v>7009</v>
      </c>
      <c r="B6023" t="str">
        <f>"17620703509"</f>
        <v>17620703509</v>
      </c>
      <c r="C6023" t="str">
        <f>"440181199108203632"</f>
        <v>440181199108203632</v>
      </c>
      <c r="D6023" t="s">
        <v>1</v>
      </c>
      <c r="E6023" t="s">
        <v>1</v>
      </c>
      <c r="F6023" t="s">
        <v>0</v>
      </c>
      <c r="G6023" t="str">
        <f>"2018-10-16 21:05:42"</f>
        <v>2018-10-16 21:05:42</v>
      </c>
    </row>
    <row r="6024" spans="1:7" x14ac:dyDescent="0.2">
      <c r="A6024" t="s">
        <v>319</v>
      </c>
      <c r="B6024" t="str">
        <f>"18735052956"</f>
        <v>18735052956</v>
      </c>
      <c r="C6024" t="str">
        <f>"142202198207130623"</f>
        <v>142202198207130623</v>
      </c>
      <c r="D6024" t="s">
        <v>1</v>
      </c>
      <c r="E6024" t="s">
        <v>1</v>
      </c>
      <c r="F6024" t="s">
        <v>0</v>
      </c>
      <c r="G6024" t="str">
        <f>"2018-10-16 21:05:31"</f>
        <v>2018-10-16 21:05:31</v>
      </c>
    </row>
    <row r="6025" spans="1:7" x14ac:dyDescent="0.2">
      <c r="A6025" t="s">
        <v>7010</v>
      </c>
      <c r="B6025" t="str">
        <f>"15007770923"</f>
        <v>15007770923</v>
      </c>
      <c r="C6025" t="str">
        <f>"450703200010142123"</f>
        <v>450703200010142123</v>
      </c>
      <c r="D6025" t="s">
        <v>1</v>
      </c>
      <c r="E6025" t="s">
        <v>1</v>
      </c>
      <c r="F6025" t="s">
        <v>0</v>
      </c>
      <c r="G6025" t="str">
        <f>"2018-10-16 21:02:43"</f>
        <v>2018-10-16 21:02:43</v>
      </c>
    </row>
    <row r="6026" spans="1:7" x14ac:dyDescent="0.2">
      <c r="A6026" t="s">
        <v>7011</v>
      </c>
      <c r="B6026" t="str">
        <f>"13577025314"</f>
        <v>13577025314</v>
      </c>
      <c r="C6026" t="str">
        <f>"532233199407243114"</f>
        <v>532233199407243114</v>
      </c>
      <c r="D6026" t="s">
        <v>7012</v>
      </c>
      <c r="E6026" t="s">
        <v>7013</v>
      </c>
      <c r="F6026" t="s">
        <v>0</v>
      </c>
      <c r="G6026" t="str">
        <f>"2018-11-02 02:37:23"</f>
        <v>2018-11-02 02:37:23</v>
      </c>
    </row>
    <row r="6027" spans="1:7" x14ac:dyDescent="0.2">
      <c r="A6027" t="s">
        <v>7014</v>
      </c>
      <c r="B6027" t="str">
        <f>"15285876641"</f>
        <v>15285876641</v>
      </c>
      <c r="C6027" t="str">
        <f>"520202198009202031"</f>
        <v>520202198009202031</v>
      </c>
      <c r="D6027" t="s">
        <v>7015</v>
      </c>
      <c r="E6027" t="s">
        <v>7016</v>
      </c>
      <c r="F6027" t="s">
        <v>0</v>
      </c>
      <c r="G6027" t="str">
        <f>"2018-10-16 21:04:14"</f>
        <v>2018-10-16 21:04:14</v>
      </c>
    </row>
    <row r="6028" spans="1:7" x14ac:dyDescent="0.2">
      <c r="A6028" t="s">
        <v>7017</v>
      </c>
      <c r="B6028" t="str">
        <f>"15173462661"</f>
        <v>15173462661</v>
      </c>
      <c r="C6028" t="str">
        <f>"430421199710029508"</f>
        <v>430421199710029508</v>
      </c>
      <c r="D6028" t="s">
        <v>1</v>
      </c>
      <c r="E6028" t="s">
        <v>1</v>
      </c>
      <c r="F6028" t="s">
        <v>0</v>
      </c>
      <c r="G6028" t="str">
        <f>"2018-10-16 21:02:53"</f>
        <v>2018-10-16 21:02:53</v>
      </c>
    </row>
    <row r="6029" spans="1:7" x14ac:dyDescent="0.2">
      <c r="A6029" t="s">
        <v>7018</v>
      </c>
      <c r="B6029" t="str">
        <f>"13795816063"</f>
        <v>13795816063</v>
      </c>
      <c r="C6029" t="str">
        <f>"51152519970226194X"</f>
        <v>51152519970226194X</v>
      </c>
      <c r="D6029" t="s">
        <v>1</v>
      </c>
      <c r="E6029" t="s">
        <v>1</v>
      </c>
      <c r="F6029" t="s">
        <v>0</v>
      </c>
      <c r="G6029" t="str">
        <f>"2018-10-16 21:04:50"</f>
        <v>2018-10-16 21:04:50</v>
      </c>
    </row>
    <row r="6030" spans="1:7" x14ac:dyDescent="0.2">
      <c r="A6030" t="s">
        <v>1</v>
      </c>
      <c r="B6030" t="str">
        <f>"18795624354"</f>
        <v>18795624354</v>
      </c>
      <c r="C6030" t="s">
        <v>1</v>
      </c>
      <c r="D6030" t="s">
        <v>1</v>
      </c>
      <c r="E6030" t="s">
        <v>1</v>
      </c>
      <c r="F6030" t="s">
        <v>0</v>
      </c>
      <c r="G6030" t="str">
        <f>"2018-10-16 21:00:28"</f>
        <v>2018-10-16 21:00:28</v>
      </c>
    </row>
    <row r="6031" spans="1:7" x14ac:dyDescent="0.2">
      <c r="A6031" t="s">
        <v>7019</v>
      </c>
      <c r="B6031" t="str">
        <f>"13001848775"</f>
        <v>13001848775</v>
      </c>
      <c r="C6031" t="str">
        <f>"130281198704233529"</f>
        <v>130281198704233529</v>
      </c>
      <c r="D6031" t="s">
        <v>1</v>
      </c>
      <c r="E6031" t="s">
        <v>1</v>
      </c>
      <c r="F6031" t="s">
        <v>0</v>
      </c>
      <c r="G6031" t="str">
        <f>"2018-10-23 13:56:37"</f>
        <v>2018-10-23 13:56:37</v>
      </c>
    </row>
    <row r="6032" spans="1:7" x14ac:dyDescent="0.2">
      <c r="A6032" t="s">
        <v>1</v>
      </c>
      <c r="B6032" t="str">
        <f>"13093849963"</f>
        <v>13093849963</v>
      </c>
      <c r="C6032" t="s">
        <v>1</v>
      </c>
      <c r="D6032" t="s">
        <v>1</v>
      </c>
      <c r="E6032" t="s">
        <v>1</v>
      </c>
      <c r="F6032" t="s">
        <v>0</v>
      </c>
      <c r="G6032" t="str">
        <f>"2018-10-16 20:58:58"</f>
        <v>2018-10-16 20:58:58</v>
      </c>
    </row>
    <row r="6033" spans="1:7" x14ac:dyDescent="0.2">
      <c r="A6033" t="s">
        <v>1389</v>
      </c>
      <c r="B6033" t="str">
        <f>"15979817015"</f>
        <v>15979817015</v>
      </c>
      <c r="C6033" t="str">
        <f>"360722198505184517"</f>
        <v>360722198505184517</v>
      </c>
      <c r="D6033" t="s">
        <v>1</v>
      </c>
      <c r="E6033" t="s">
        <v>1</v>
      </c>
      <c r="F6033" t="s">
        <v>0</v>
      </c>
      <c r="G6033" t="str">
        <f>"2018-10-16 21:04:15"</f>
        <v>2018-10-16 21:04:15</v>
      </c>
    </row>
    <row r="6034" spans="1:7" x14ac:dyDescent="0.2">
      <c r="A6034" t="s">
        <v>7020</v>
      </c>
      <c r="B6034" t="str">
        <f>"13732865255"</f>
        <v>13732865255</v>
      </c>
      <c r="C6034" t="str">
        <f>"220521199710297429"</f>
        <v>220521199710297429</v>
      </c>
      <c r="D6034" t="s">
        <v>1</v>
      </c>
      <c r="E6034" t="s">
        <v>1</v>
      </c>
      <c r="F6034" t="s">
        <v>0</v>
      </c>
      <c r="G6034" t="str">
        <f>"2018-10-16 21:04:39"</f>
        <v>2018-10-16 21:04:39</v>
      </c>
    </row>
    <row r="6035" spans="1:7" x14ac:dyDescent="0.2">
      <c r="A6035" t="s">
        <v>7021</v>
      </c>
      <c r="B6035" t="str">
        <f>"13887459815"</f>
        <v>13887459815</v>
      </c>
      <c r="C6035" t="str">
        <f>"532201197011295444"</f>
        <v>532201197011295444</v>
      </c>
      <c r="D6035" t="s">
        <v>1</v>
      </c>
      <c r="E6035" t="s">
        <v>1</v>
      </c>
      <c r="F6035" t="s">
        <v>0</v>
      </c>
      <c r="G6035" t="str">
        <f>"2018-10-16 21:00:27"</f>
        <v>2018-10-16 21:00:27</v>
      </c>
    </row>
    <row r="6036" spans="1:7" x14ac:dyDescent="0.2">
      <c r="A6036" t="s">
        <v>1</v>
      </c>
      <c r="B6036" t="str">
        <f>"13289365543"</f>
        <v>13289365543</v>
      </c>
      <c r="C6036" t="s">
        <v>1</v>
      </c>
      <c r="D6036" t="s">
        <v>1</v>
      </c>
      <c r="E6036" t="s">
        <v>1</v>
      </c>
      <c r="F6036" t="s">
        <v>0</v>
      </c>
      <c r="G6036" t="str">
        <f>"2018-10-16 20:57:54"</f>
        <v>2018-10-16 20:57:54</v>
      </c>
    </row>
    <row r="6037" spans="1:7" x14ac:dyDescent="0.2">
      <c r="A6037" t="s">
        <v>1</v>
      </c>
      <c r="B6037" t="str">
        <f>"13514774782"</f>
        <v>13514774782</v>
      </c>
      <c r="C6037" t="s">
        <v>1</v>
      </c>
      <c r="D6037" t="s">
        <v>1</v>
      </c>
      <c r="E6037" t="s">
        <v>1</v>
      </c>
      <c r="F6037" t="s">
        <v>0</v>
      </c>
      <c r="G6037" t="str">
        <f>"2018-10-16 20:59:59"</f>
        <v>2018-10-16 20:59:59</v>
      </c>
    </row>
    <row r="6038" spans="1:7" x14ac:dyDescent="0.2">
      <c r="A6038" t="s">
        <v>1</v>
      </c>
      <c r="B6038" t="str">
        <f>"13565757812"</f>
        <v>13565757812</v>
      </c>
      <c r="C6038" t="s">
        <v>1</v>
      </c>
      <c r="D6038" t="s">
        <v>1</v>
      </c>
      <c r="E6038" t="s">
        <v>1</v>
      </c>
      <c r="F6038" t="s">
        <v>0</v>
      </c>
      <c r="G6038" t="str">
        <f>"2018-10-16 20:56:26"</f>
        <v>2018-10-16 20:56:26</v>
      </c>
    </row>
    <row r="6039" spans="1:7" x14ac:dyDescent="0.2">
      <c r="A6039" t="s">
        <v>7022</v>
      </c>
      <c r="B6039" t="str">
        <f>"15900819454"</f>
        <v>15900819454</v>
      </c>
      <c r="C6039" t="str">
        <f>"310226199005030312"</f>
        <v>310226199005030312</v>
      </c>
      <c r="D6039" t="s">
        <v>7023</v>
      </c>
      <c r="E6039" t="s">
        <v>7024</v>
      </c>
      <c r="F6039" t="s">
        <v>0</v>
      </c>
      <c r="G6039" t="str">
        <f>"2018-10-16 22:28:10"</f>
        <v>2018-10-16 22:28:10</v>
      </c>
    </row>
    <row r="6040" spans="1:7" x14ac:dyDescent="0.2">
      <c r="A6040" t="s">
        <v>1</v>
      </c>
      <c r="B6040" t="str">
        <f>"18260371006"</f>
        <v>18260371006</v>
      </c>
      <c r="C6040" t="s">
        <v>1</v>
      </c>
      <c r="D6040" t="s">
        <v>1</v>
      </c>
      <c r="E6040" t="s">
        <v>1</v>
      </c>
      <c r="F6040" t="s">
        <v>0</v>
      </c>
      <c r="G6040" t="str">
        <f>"2018-10-16 20:56:09"</f>
        <v>2018-10-16 20:56:09</v>
      </c>
    </row>
    <row r="6041" spans="1:7" x14ac:dyDescent="0.2">
      <c r="A6041" t="s">
        <v>7025</v>
      </c>
      <c r="B6041" t="str">
        <f>"13812872555"</f>
        <v>13812872555</v>
      </c>
      <c r="C6041" t="str">
        <f>"51303019830112091X"</f>
        <v>51303019830112091X</v>
      </c>
      <c r="D6041" t="s">
        <v>1</v>
      </c>
      <c r="E6041" t="s">
        <v>1</v>
      </c>
      <c r="F6041" t="s">
        <v>0</v>
      </c>
      <c r="G6041" t="str">
        <f>"2018-10-16 23:01:01"</f>
        <v>2018-10-16 23:01:01</v>
      </c>
    </row>
    <row r="6042" spans="1:7" x14ac:dyDescent="0.2">
      <c r="A6042" t="s">
        <v>1</v>
      </c>
      <c r="B6042" t="str">
        <f>"17877180668"</f>
        <v>17877180668</v>
      </c>
      <c r="C6042" t="s">
        <v>1</v>
      </c>
      <c r="D6042" t="s">
        <v>1</v>
      </c>
      <c r="E6042" t="s">
        <v>1</v>
      </c>
      <c r="F6042" t="s">
        <v>0</v>
      </c>
      <c r="G6042" t="str">
        <f>"2018-10-16 21:22:45"</f>
        <v>2018-10-16 21:22:45</v>
      </c>
    </row>
    <row r="6043" spans="1:7" x14ac:dyDescent="0.2">
      <c r="A6043" t="s">
        <v>7026</v>
      </c>
      <c r="B6043" t="str">
        <f>"18798737769"</f>
        <v>18798737769</v>
      </c>
      <c r="C6043" t="str">
        <f>"520103198711124417"</f>
        <v>520103198711124417</v>
      </c>
      <c r="D6043" t="s">
        <v>1</v>
      </c>
      <c r="E6043" t="s">
        <v>1</v>
      </c>
      <c r="F6043" t="s">
        <v>0</v>
      </c>
      <c r="G6043" t="str">
        <f>"2018-10-16 20:58:52"</f>
        <v>2018-10-16 20:58:52</v>
      </c>
    </row>
    <row r="6044" spans="1:7" x14ac:dyDescent="0.2">
      <c r="A6044" t="s">
        <v>7027</v>
      </c>
      <c r="B6044" t="str">
        <f>"13985911122"</f>
        <v>13985911122</v>
      </c>
      <c r="C6044" t="str">
        <f>"520201197001081684"</f>
        <v>520201197001081684</v>
      </c>
      <c r="D6044" t="s">
        <v>7028</v>
      </c>
      <c r="E6044" t="s">
        <v>7029</v>
      </c>
      <c r="F6044" t="s">
        <v>0</v>
      </c>
      <c r="G6044" t="str">
        <f>"2018-10-16 20:57:40"</f>
        <v>2018-10-16 20:57:40</v>
      </c>
    </row>
    <row r="6045" spans="1:7" x14ac:dyDescent="0.2">
      <c r="A6045" t="s">
        <v>1178</v>
      </c>
      <c r="B6045" t="str">
        <f>"13853348998"</f>
        <v>13853348998</v>
      </c>
      <c r="C6045" t="str">
        <f>"370302198706270520"</f>
        <v>370302198706270520</v>
      </c>
      <c r="D6045" t="s">
        <v>1</v>
      </c>
      <c r="E6045" t="s">
        <v>1</v>
      </c>
      <c r="F6045" t="s">
        <v>0</v>
      </c>
      <c r="G6045" t="str">
        <f>"2018-10-18 20:36:31"</f>
        <v>2018-10-18 20:36:31</v>
      </c>
    </row>
    <row r="6046" spans="1:7" x14ac:dyDescent="0.2">
      <c r="A6046" t="s">
        <v>7030</v>
      </c>
      <c r="B6046" t="str">
        <f>"18051349796"</f>
        <v>18051349796</v>
      </c>
      <c r="C6046" t="str">
        <f>"320305199001301539"</f>
        <v>320305199001301539</v>
      </c>
      <c r="D6046" t="s">
        <v>7031</v>
      </c>
      <c r="E6046" t="s">
        <v>7032</v>
      </c>
      <c r="F6046" t="s">
        <v>0</v>
      </c>
      <c r="G6046" t="str">
        <f>"2018-10-16 20:56:54"</f>
        <v>2018-10-16 20:56:54</v>
      </c>
    </row>
    <row r="6047" spans="1:7" x14ac:dyDescent="0.2">
      <c r="A6047" t="s">
        <v>1</v>
      </c>
      <c r="B6047" t="str">
        <f>"18196694963"</f>
        <v>18196694963</v>
      </c>
      <c r="C6047" t="s">
        <v>1</v>
      </c>
      <c r="D6047" t="s">
        <v>1</v>
      </c>
      <c r="E6047" t="s">
        <v>1</v>
      </c>
      <c r="F6047" t="s">
        <v>0</v>
      </c>
      <c r="G6047" t="str">
        <f>"2018-10-16 20:54:28"</f>
        <v>2018-10-16 20:54:28</v>
      </c>
    </row>
    <row r="6048" spans="1:7" x14ac:dyDescent="0.2">
      <c r="A6048" t="s">
        <v>7033</v>
      </c>
      <c r="B6048" t="str">
        <f>"13891122810"</f>
        <v>13891122810</v>
      </c>
      <c r="C6048" t="str">
        <f>"610202199411240024"</f>
        <v>610202199411240024</v>
      </c>
      <c r="D6048" t="s">
        <v>7034</v>
      </c>
      <c r="E6048" t="s">
        <v>7035</v>
      </c>
      <c r="F6048" t="s">
        <v>0</v>
      </c>
      <c r="G6048" t="str">
        <f>"2018-10-19 13:47:52"</f>
        <v>2018-10-19 13:47:52</v>
      </c>
    </row>
    <row r="6049" spans="1:7" x14ac:dyDescent="0.2">
      <c r="A6049" t="s">
        <v>805</v>
      </c>
      <c r="B6049" t="str">
        <f>"13889270671"</f>
        <v>13889270671</v>
      </c>
      <c r="C6049" t="str">
        <f>"211422199707082910"</f>
        <v>211422199707082910</v>
      </c>
      <c r="D6049" t="s">
        <v>1</v>
      </c>
      <c r="E6049" t="s">
        <v>1</v>
      </c>
      <c r="F6049" t="s">
        <v>0</v>
      </c>
      <c r="G6049" t="str">
        <f>"2018-10-16 21:05:29"</f>
        <v>2018-10-16 21:05:29</v>
      </c>
    </row>
    <row r="6050" spans="1:7" x14ac:dyDescent="0.2">
      <c r="A6050" t="s">
        <v>7036</v>
      </c>
      <c r="B6050" t="str">
        <f>"13580991160"</f>
        <v>13580991160</v>
      </c>
      <c r="C6050" t="str">
        <f>"350424199212142216"</f>
        <v>350424199212142216</v>
      </c>
      <c r="D6050" t="s">
        <v>1</v>
      </c>
      <c r="E6050" t="s">
        <v>1</v>
      </c>
      <c r="F6050" t="s">
        <v>0</v>
      </c>
      <c r="G6050" t="str">
        <f>"2018-10-16 20:56:18"</f>
        <v>2018-10-16 20:56:18</v>
      </c>
    </row>
    <row r="6051" spans="1:7" x14ac:dyDescent="0.2">
      <c r="A6051" t="s">
        <v>7037</v>
      </c>
      <c r="B6051" t="str">
        <f>"18296880200"</f>
        <v>18296880200</v>
      </c>
      <c r="C6051" t="str">
        <f>"360728199005271350"</f>
        <v>360728199005271350</v>
      </c>
      <c r="D6051" t="s">
        <v>1</v>
      </c>
      <c r="E6051" t="s">
        <v>1</v>
      </c>
      <c r="F6051" t="s">
        <v>0</v>
      </c>
      <c r="G6051" t="str">
        <f>"2018-10-16 20:54:28"</f>
        <v>2018-10-16 20:54:28</v>
      </c>
    </row>
    <row r="6052" spans="1:7" x14ac:dyDescent="0.2">
      <c r="A6052" t="s">
        <v>1</v>
      </c>
      <c r="B6052" t="str">
        <f>"15578040430"</f>
        <v>15578040430</v>
      </c>
      <c r="C6052" t="s">
        <v>1</v>
      </c>
      <c r="D6052" t="s">
        <v>1</v>
      </c>
      <c r="E6052" t="s">
        <v>1</v>
      </c>
      <c r="F6052" t="s">
        <v>0</v>
      </c>
      <c r="G6052" t="str">
        <f>"2018-10-16 20:53:10"</f>
        <v>2018-10-16 20:53:10</v>
      </c>
    </row>
    <row r="6053" spans="1:7" x14ac:dyDescent="0.2">
      <c r="A6053" t="s">
        <v>33</v>
      </c>
      <c r="B6053" t="str">
        <f>"15990631180"</f>
        <v>15990631180</v>
      </c>
      <c r="C6053" t="str">
        <f>"332624198208035113"</f>
        <v>332624198208035113</v>
      </c>
      <c r="D6053" t="s">
        <v>1</v>
      </c>
      <c r="E6053" t="s">
        <v>1</v>
      </c>
      <c r="F6053" t="s">
        <v>0</v>
      </c>
      <c r="G6053" t="str">
        <f>"2018-10-16 21:02:53"</f>
        <v>2018-10-16 21:02:53</v>
      </c>
    </row>
    <row r="6054" spans="1:7" x14ac:dyDescent="0.2">
      <c r="A6054" t="s">
        <v>1</v>
      </c>
      <c r="B6054" t="str">
        <f>"15995145998"</f>
        <v>15995145998</v>
      </c>
      <c r="C6054" t="s">
        <v>1</v>
      </c>
      <c r="D6054" t="s">
        <v>1</v>
      </c>
      <c r="E6054" t="s">
        <v>1</v>
      </c>
      <c r="F6054" t="s">
        <v>0</v>
      </c>
      <c r="G6054" t="str">
        <f>"2018-10-16 20:53:44"</f>
        <v>2018-10-16 20:53:44</v>
      </c>
    </row>
    <row r="6055" spans="1:7" x14ac:dyDescent="0.2">
      <c r="A6055" t="s">
        <v>7038</v>
      </c>
      <c r="B6055" t="str">
        <f>"18213075947"</f>
        <v>18213075947</v>
      </c>
      <c r="C6055" t="str">
        <f>"530326199807231518"</f>
        <v>530326199807231518</v>
      </c>
      <c r="D6055" t="s">
        <v>1</v>
      </c>
      <c r="E6055" t="s">
        <v>1</v>
      </c>
      <c r="F6055" t="s">
        <v>0</v>
      </c>
      <c r="G6055" t="str">
        <f>"2018-10-16 20:52:06"</f>
        <v>2018-10-16 20:52:06</v>
      </c>
    </row>
    <row r="6056" spans="1:7" x14ac:dyDescent="0.2">
      <c r="A6056" t="s">
        <v>1</v>
      </c>
      <c r="B6056" t="str">
        <f>"13028974967"</f>
        <v>13028974967</v>
      </c>
      <c r="C6056" t="s">
        <v>1</v>
      </c>
      <c r="D6056" t="s">
        <v>1</v>
      </c>
      <c r="E6056" t="s">
        <v>1</v>
      </c>
      <c r="F6056" t="s">
        <v>0</v>
      </c>
      <c r="G6056" t="str">
        <f>"2018-10-16 20:51:37"</f>
        <v>2018-10-16 20:51:37</v>
      </c>
    </row>
    <row r="6057" spans="1:7" x14ac:dyDescent="0.2">
      <c r="A6057" t="s">
        <v>1</v>
      </c>
      <c r="B6057" t="str">
        <f>"13157004304"</f>
        <v>13157004304</v>
      </c>
      <c r="C6057" t="s">
        <v>1</v>
      </c>
      <c r="D6057" t="s">
        <v>1</v>
      </c>
      <c r="E6057" t="s">
        <v>1</v>
      </c>
      <c r="F6057" t="s">
        <v>0</v>
      </c>
      <c r="G6057" t="str">
        <f>"2018-10-16 20:51:26"</f>
        <v>2018-10-16 20:51:26</v>
      </c>
    </row>
    <row r="6058" spans="1:7" x14ac:dyDescent="0.2">
      <c r="A6058" t="s">
        <v>7039</v>
      </c>
      <c r="B6058" t="str">
        <f>"15917977264"</f>
        <v>15917977264</v>
      </c>
      <c r="C6058" t="str">
        <f>"445221199104207832"</f>
        <v>445221199104207832</v>
      </c>
      <c r="D6058" t="s">
        <v>1</v>
      </c>
      <c r="E6058" t="s">
        <v>1</v>
      </c>
      <c r="F6058" t="s">
        <v>0</v>
      </c>
      <c r="G6058" t="str">
        <f>"2018-10-16 20:56:40"</f>
        <v>2018-10-16 20:56:40</v>
      </c>
    </row>
    <row r="6059" spans="1:7" x14ac:dyDescent="0.2">
      <c r="A6059" t="s">
        <v>7040</v>
      </c>
      <c r="B6059" t="str">
        <f>"15883718657"</f>
        <v>15883718657</v>
      </c>
      <c r="C6059" t="str">
        <f>"513030198312103218"</f>
        <v>513030198312103218</v>
      </c>
      <c r="D6059" t="s">
        <v>7041</v>
      </c>
      <c r="E6059" t="s">
        <v>7042</v>
      </c>
      <c r="F6059" t="s">
        <v>0</v>
      </c>
      <c r="G6059" t="str">
        <f>"2018-10-21 07:03:22"</f>
        <v>2018-10-21 07:03:22</v>
      </c>
    </row>
    <row r="6060" spans="1:7" x14ac:dyDescent="0.2">
      <c r="A6060" t="s">
        <v>7043</v>
      </c>
      <c r="B6060" t="str">
        <f>"18085059570"</f>
        <v>18085059570</v>
      </c>
      <c r="C6060" t="str">
        <f>"52263319980309101X"</f>
        <v>52263319980309101X</v>
      </c>
      <c r="D6060" t="s">
        <v>1</v>
      </c>
      <c r="E6060" t="s">
        <v>1</v>
      </c>
      <c r="F6060" t="s">
        <v>0</v>
      </c>
      <c r="G6060" t="str">
        <f>"2018-10-16 20:50:55"</f>
        <v>2018-10-16 20:50:55</v>
      </c>
    </row>
    <row r="6061" spans="1:7" x14ac:dyDescent="0.2">
      <c r="A6061" t="s">
        <v>7044</v>
      </c>
      <c r="B6061" t="str">
        <f>"17721102023"</f>
        <v>17721102023</v>
      </c>
      <c r="C6061" t="str">
        <f>"340123198708246212"</f>
        <v>340123198708246212</v>
      </c>
      <c r="D6061" t="s">
        <v>1</v>
      </c>
      <c r="E6061" t="s">
        <v>1</v>
      </c>
      <c r="F6061" t="s">
        <v>0</v>
      </c>
      <c r="G6061" t="str">
        <f>"2018-10-16 20:49:51"</f>
        <v>2018-10-16 20:49:51</v>
      </c>
    </row>
    <row r="6062" spans="1:7" x14ac:dyDescent="0.2">
      <c r="A6062" t="s">
        <v>7045</v>
      </c>
      <c r="B6062" t="str">
        <f>"18878663465"</f>
        <v>18878663465</v>
      </c>
      <c r="C6062" t="str">
        <f>"452126199112042412"</f>
        <v>452126199112042412</v>
      </c>
      <c r="D6062" t="s">
        <v>1</v>
      </c>
      <c r="E6062" t="s">
        <v>1</v>
      </c>
      <c r="F6062" t="s">
        <v>0</v>
      </c>
      <c r="G6062" t="str">
        <f>"2018-10-16 20:51:56"</f>
        <v>2018-10-16 20:51:56</v>
      </c>
    </row>
    <row r="6063" spans="1:7" x14ac:dyDescent="0.2">
      <c r="A6063" t="s">
        <v>1</v>
      </c>
      <c r="B6063" t="str">
        <f>"13058875430"</f>
        <v>13058875430</v>
      </c>
      <c r="C6063" t="s">
        <v>1</v>
      </c>
      <c r="D6063" t="s">
        <v>1</v>
      </c>
      <c r="E6063" t="s">
        <v>1</v>
      </c>
      <c r="F6063" t="s">
        <v>0</v>
      </c>
      <c r="G6063" t="str">
        <f>"2018-10-16 20:48:31"</f>
        <v>2018-10-16 20:48:31</v>
      </c>
    </row>
    <row r="6064" spans="1:7" x14ac:dyDescent="0.2">
      <c r="A6064" t="s">
        <v>1</v>
      </c>
      <c r="B6064" t="str">
        <f>"13769826937"</f>
        <v>13769826937</v>
      </c>
      <c r="C6064" t="s">
        <v>1</v>
      </c>
      <c r="D6064" t="s">
        <v>1</v>
      </c>
      <c r="E6064" t="s">
        <v>1</v>
      </c>
      <c r="F6064" t="s">
        <v>0</v>
      </c>
      <c r="G6064" t="str">
        <f>"2018-10-16 20:48:21"</f>
        <v>2018-10-16 20:48:21</v>
      </c>
    </row>
    <row r="6065" spans="1:7" x14ac:dyDescent="0.2">
      <c r="A6065" t="s">
        <v>7046</v>
      </c>
      <c r="B6065" t="str">
        <f>"18218056144"</f>
        <v>18218056144</v>
      </c>
      <c r="C6065" t="str">
        <f>"450881199709235015"</f>
        <v>450881199709235015</v>
      </c>
      <c r="D6065" t="s">
        <v>1</v>
      </c>
      <c r="E6065" t="s">
        <v>1</v>
      </c>
      <c r="F6065" t="s">
        <v>0</v>
      </c>
      <c r="G6065" t="str">
        <f>"2018-10-16 20:54:10"</f>
        <v>2018-10-16 20:54:10</v>
      </c>
    </row>
    <row r="6066" spans="1:7" x14ac:dyDescent="0.2">
      <c r="A6066" t="s">
        <v>1</v>
      </c>
      <c r="B6066" t="str">
        <f>"18533967182"</f>
        <v>18533967182</v>
      </c>
      <c r="C6066" t="s">
        <v>1</v>
      </c>
      <c r="D6066" t="s">
        <v>1</v>
      </c>
      <c r="E6066" t="s">
        <v>1</v>
      </c>
      <c r="F6066" t="s">
        <v>0</v>
      </c>
      <c r="G6066" t="str">
        <f>"2018-10-16 20:48:04"</f>
        <v>2018-10-16 20:48:04</v>
      </c>
    </row>
    <row r="6067" spans="1:7" x14ac:dyDescent="0.2">
      <c r="A6067" t="s">
        <v>1</v>
      </c>
      <c r="B6067" t="str">
        <f>"15202910991"</f>
        <v>15202910991</v>
      </c>
      <c r="C6067" t="s">
        <v>1</v>
      </c>
      <c r="D6067" t="s">
        <v>1</v>
      </c>
      <c r="E6067" t="s">
        <v>1</v>
      </c>
      <c r="F6067" t="s">
        <v>0</v>
      </c>
      <c r="G6067" t="str">
        <f>"2018-10-16 20:47:58"</f>
        <v>2018-10-16 20:47:58</v>
      </c>
    </row>
    <row r="6068" spans="1:7" x14ac:dyDescent="0.2">
      <c r="A6068" t="s">
        <v>7047</v>
      </c>
      <c r="B6068" t="str">
        <f>"15078883682"</f>
        <v>15078883682</v>
      </c>
      <c r="C6068" t="str">
        <f>"452723198012040857"</f>
        <v>452723198012040857</v>
      </c>
      <c r="D6068" t="s">
        <v>1</v>
      </c>
      <c r="E6068" t="s">
        <v>1</v>
      </c>
      <c r="F6068" t="s">
        <v>0</v>
      </c>
      <c r="G6068" t="str">
        <f>"2018-10-16 20:53:37"</f>
        <v>2018-10-16 20:53:37</v>
      </c>
    </row>
    <row r="6069" spans="1:7" x14ac:dyDescent="0.2">
      <c r="A6069" t="s">
        <v>7048</v>
      </c>
      <c r="B6069" t="str">
        <f>"15996681407"</f>
        <v>15996681407</v>
      </c>
      <c r="C6069" t="str">
        <f>"320623198803218627"</f>
        <v>320623198803218627</v>
      </c>
      <c r="D6069" t="s">
        <v>1</v>
      </c>
      <c r="E6069" t="s">
        <v>1</v>
      </c>
      <c r="F6069" t="s">
        <v>0</v>
      </c>
      <c r="G6069" t="str">
        <f>"2018-10-16 20:49:00"</f>
        <v>2018-10-16 20:49:00</v>
      </c>
    </row>
    <row r="6070" spans="1:7" x14ac:dyDescent="0.2">
      <c r="A6070" t="s">
        <v>7049</v>
      </c>
      <c r="B6070" t="str">
        <f>"15963139008"</f>
        <v>15963139008</v>
      </c>
      <c r="C6070" t="str">
        <f>"370124199110104590"</f>
        <v>370124199110104590</v>
      </c>
      <c r="D6070" t="s">
        <v>1</v>
      </c>
      <c r="E6070" t="s">
        <v>1</v>
      </c>
      <c r="F6070" t="s">
        <v>0</v>
      </c>
      <c r="G6070" t="str">
        <f>"2018-11-05 01:02:33"</f>
        <v>2018-11-05 01:02:33</v>
      </c>
    </row>
    <row r="6071" spans="1:7" x14ac:dyDescent="0.2">
      <c r="A6071" t="s">
        <v>1</v>
      </c>
      <c r="B6071" t="str">
        <f>"15577751462"</f>
        <v>15577751462</v>
      </c>
      <c r="C6071" t="s">
        <v>1</v>
      </c>
      <c r="D6071" t="s">
        <v>1</v>
      </c>
      <c r="E6071" t="s">
        <v>1</v>
      </c>
      <c r="F6071" t="s">
        <v>0</v>
      </c>
      <c r="G6071" t="str">
        <f>"2018-10-16 20:46:35"</f>
        <v>2018-10-16 20:46:35</v>
      </c>
    </row>
    <row r="6072" spans="1:7" x14ac:dyDescent="0.2">
      <c r="A6072" t="s">
        <v>1733</v>
      </c>
      <c r="B6072" t="str">
        <f>"18861838186"</f>
        <v>18861838186</v>
      </c>
      <c r="C6072" t="str">
        <f>"320922197609213617"</f>
        <v>320922197609213617</v>
      </c>
      <c r="D6072" t="s">
        <v>7050</v>
      </c>
      <c r="E6072" t="s">
        <v>7051</v>
      </c>
      <c r="F6072" t="s">
        <v>0</v>
      </c>
      <c r="G6072" t="str">
        <f>"2018-10-27 07:22:46"</f>
        <v>2018-10-27 07:22:46</v>
      </c>
    </row>
    <row r="6073" spans="1:7" x14ac:dyDescent="0.2">
      <c r="A6073" t="s">
        <v>7052</v>
      </c>
      <c r="B6073" t="str">
        <f>"17649831997"</f>
        <v>17649831997</v>
      </c>
      <c r="C6073" t="str">
        <f>"220182199706128615"</f>
        <v>220182199706128615</v>
      </c>
      <c r="D6073" t="s">
        <v>1</v>
      </c>
      <c r="E6073" t="s">
        <v>1</v>
      </c>
      <c r="F6073" t="s">
        <v>0</v>
      </c>
      <c r="G6073" t="str">
        <f>"2018-10-20 18:10:04"</f>
        <v>2018-10-20 18:10:04</v>
      </c>
    </row>
    <row r="6074" spans="1:7" x14ac:dyDescent="0.2">
      <c r="A6074" t="s">
        <v>7053</v>
      </c>
      <c r="B6074" t="str">
        <f>"18842326748"</f>
        <v>18842326748</v>
      </c>
      <c r="C6074" t="str">
        <f>"210727199909264824"</f>
        <v>210727199909264824</v>
      </c>
      <c r="D6074" t="s">
        <v>1</v>
      </c>
      <c r="E6074" t="s">
        <v>1</v>
      </c>
      <c r="F6074" t="s">
        <v>0</v>
      </c>
      <c r="G6074" t="str">
        <f>"2018-10-16 20:46:36"</f>
        <v>2018-10-16 20:46:36</v>
      </c>
    </row>
    <row r="6075" spans="1:7" x14ac:dyDescent="0.2">
      <c r="A6075" t="s">
        <v>7054</v>
      </c>
      <c r="B6075" t="str">
        <f>"18513690201"</f>
        <v>18513690201</v>
      </c>
      <c r="C6075" t="str">
        <f>"622821198612080857"</f>
        <v>622821198612080857</v>
      </c>
      <c r="D6075" t="s">
        <v>1</v>
      </c>
      <c r="E6075" t="s">
        <v>1</v>
      </c>
      <c r="F6075" t="s">
        <v>0</v>
      </c>
      <c r="G6075" t="str">
        <f>"2018-10-17 07:29:00"</f>
        <v>2018-10-17 07:29:00</v>
      </c>
    </row>
    <row r="6076" spans="1:7" x14ac:dyDescent="0.2">
      <c r="A6076" t="s">
        <v>1</v>
      </c>
      <c r="B6076" t="str">
        <f>"13768867719"</f>
        <v>13768867719</v>
      </c>
      <c r="C6076" t="s">
        <v>1</v>
      </c>
      <c r="D6076" t="s">
        <v>1</v>
      </c>
      <c r="E6076" t="s">
        <v>1</v>
      </c>
      <c r="F6076" t="s">
        <v>0</v>
      </c>
      <c r="G6076" t="str">
        <f>"2018-10-16 20:44:45"</f>
        <v>2018-10-16 20:44:45</v>
      </c>
    </row>
    <row r="6077" spans="1:7" x14ac:dyDescent="0.2">
      <c r="A6077" t="s">
        <v>7055</v>
      </c>
      <c r="B6077" t="str">
        <f>"18505119837"</f>
        <v>18505119837</v>
      </c>
      <c r="C6077" t="str">
        <f>"422801199901212619"</f>
        <v>422801199901212619</v>
      </c>
      <c r="D6077" t="s">
        <v>1</v>
      </c>
      <c r="E6077" t="s">
        <v>1</v>
      </c>
      <c r="F6077" t="s">
        <v>0</v>
      </c>
      <c r="G6077" t="str">
        <f>"2018-10-16 20:46:26"</f>
        <v>2018-10-16 20:46:26</v>
      </c>
    </row>
    <row r="6078" spans="1:7" x14ac:dyDescent="0.2">
      <c r="A6078" t="s">
        <v>1</v>
      </c>
      <c r="B6078" t="str">
        <f>"15256585327"</f>
        <v>15256585327</v>
      </c>
      <c r="C6078" t="s">
        <v>1</v>
      </c>
      <c r="D6078" t="s">
        <v>1</v>
      </c>
      <c r="E6078" t="s">
        <v>1</v>
      </c>
      <c r="F6078" t="s">
        <v>0</v>
      </c>
      <c r="G6078" t="str">
        <f>"2018-10-16 20:43:08"</f>
        <v>2018-10-16 20:43:08</v>
      </c>
    </row>
    <row r="6079" spans="1:7" x14ac:dyDescent="0.2">
      <c r="A6079" t="s">
        <v>1</v>
      </c>
      <c r="B6079" t="str">
        <f>"18792991587"</f>
        <v>18792991587</v>
      </c>
      <c r="C6079" t="s">
        <v>1</v>
      </c>
      <c r="D6079" t="s">
        <v>1</v>
      </c>
      <c r="E6079" t="s">
        <v>1</v>
      </c>
      <c r="F6079" t="s">
        <v>0</v>
      </c>
      <c r="G6079" t="str">
        <f>"2018-10-16 22:47:57"</f>
        <v>2018-10-16 22:47:57</v>
      </c>
    </row>
    <row r="6080" spans="1:7" x14ac:dyDescent="0.2">
      <c r="A6080" t="s">
        <v>1</v>
      </c>
      <c r="B6080" t="str">
        <f>"18271235638"</f>
        <v>18271235638</v>
      </c>
      <c r="C6080" t="s">
        <v>1</v>
      </c>
      <c r="D6080" t="s">
        <v>1</v>
      </c>
      <c r="E6080" t="s">
        <v>1</v>
      </c>
      <c r="F6080" t="s">
        <v>0</v>
      </c>
      <c r="G6080" t="str">
        <f>"2018-10-16 20:41:55"</f>
        <v>2018-10-16 20:41:55</v>
      </c>
    </row>
    <row r="6081" spans="1:7" x14ac:dyDescent="0.2">
      <c r="A6081" t="s">
        <v>7056</v>
      </c>
      <c r="B6081" t="str">
        <f>"17777952641"</f>
        <v>17777952641</v>
      </c>
      <c r="C6081" t="str">
        <f>"450702200003256310"</f>
        <v>450702200003256310</v>
      </c>
      <c r="D6081" t="s">
        <v>1</v>
      </c>
      <c r="E6081" t="s">
        <v>1</v>
      </c>
      <c r="F6081" t="s">
        <v>0</v>
      </c>
      <c r="G6081" t="str">
        <f>"2018-10-16 20:43:15"</f>
        <v>2018-10-16 20:43:15</v>
      </c>
    </row>
    <row r="6082" spans="1:7" x14ac:dyDescent="0.2">
      <c r="A6082" t="s">
        <v>7057</v>
      </c>
      <c r="B6082" t="str">
        <f>"13236677460"</f>
        <v>13236677460</v>
      </c>
      <c r="C6082" t="str">
        <f>"21011319930615473X"</f>
        <v>21011319930615473X</v>
      </c>
      <c r="D6082" t="s">
        <v>1</v>
      </c>
      <c r="E6082" t="s">
        <v>1</v>
      </c>
      <c r="F6082" t="s">
        <v>0</v>
      </c>
      <c r="G6082" t="str">
        <f>"2018-10-16 20:43:02"</f>
        <v>2018-10-16 20:43:02</v>
      </c>
    </row>
    <row r="6083" spans="1:7" x14ac:dyDescent="0.2">
      <c r="A6083" t="s">
        <v>7058</v>
      </c>
      <c r="B6083" t="str">
        <f>"13400573599"</f>
        <v>13400573599</v>
      </c>
      <c r="C6083" t="str">
        <f>"352203198407221517"</f>
        <v>352203198407221517</v>
      </c>
      <c r="D6083" t="s">
        <v>1</v>
      </c>
      <c r="E6083" t="s">
        <v>1</v>
      </c>
      <c r="F6083" t="s">
        <v>0</v>
      </c>
      <c r="G6083" t="str">
        <f>"2018-10-16 20:40:42"</f>
        <v>2018-10-16 20:40:42</v>
      </c>
    </row>
    <row r="6084" spans="1:7" x14ac:dyDescent="0.2">
      <c r="A6084" t="s">
        <v>7059</v>
      </c>
      <c r="B6084" t="str">
        <f>"18323023199"</f>
        <v>18323023199</v>
      </c>
      <c r="C6084" t="str">
        <f>"450802199011150540"</f>
        <v>450802199011150540</v>
      </c>
      <c r="D6084" t="s">
        <v>1</v>
      </c>
      <c r="E6084" t="s">
        <v>1</v>
      </c>
      <c r="F6084" t="s">
        <v>0</v>
      </c>
      <c r="G6084" t="str">
        <f>"2018-11-03 22:42:13"</f>
        <v>2018-11-03 22:42:13</v>
      </c>
    </row>
    <row r="6085" spans="1:7" x14ac:dyDescent="0.2">
      <c r="A6085" t="s">
        <v>1</v>
      </c>
      <c r="B6085" t="str">
        <f>"13117774694"</f>
        <v>13117774694</v>
      </c>
      <c r="C6085" t="s">
        <v>1</v>
      </c>
      <c r="D6085" t="s">
        <v>1</v>
      </c>
      <c r="E6085" t="s">
        <v>1</v>
      </c>
      <c r="F6085" t="s">
        <v>0</v>
      </c>
      <c r="G6085" t="str">
        <f>"2018-10-16 20:37:59"</f>
        <v>2018-10-16 20:37:59</v>
      </c>
    </row>
    <row r="6086" spans="1:7" x14ac:dyDescent="0.2">
      <c r="A6086" t="s">
        <v>7060</v>
      </c>
      <c r="B6086" t="str">
        <f>"18097533825"</f>
        <v>18097533825</v>
      </c>
      <c r="C6086" t="str">
        <f>"652823197908110019"</f>
        <v>652823197908110019</v>
      </c>
      <c r="D6086" t="s">
        <v>1</v>
      </c>
      <c r="E6086" t="s">
        <v>1</v>
      </c>
      <c r="F6086" t="s">
        <v>0</v>
      </c>
      <c r="G6086" t="str">
        <f>"2018-10-16 20:42:23"</f>
        <v>2018-10-16 20:42:23</v>
      </c>
    </row>
    <row r="6087" spans="1:7" x14ac:dyDescent="0.2">
      <c r="A6087" t="s">
        <v>7061</v>
      </c>
      <c r="B6087" t="str">
        <f>"17817877278"</f>
        <v>17817877278</v>
      </c>
      <c r="C6087" t="str">
        <f>"440229199006294211"</f>
        <v>440229199006294211</v>
      </c>
      <c r="D6087" t="s">
        <v>7062</v>
      </c>
      <c r="E6087" t="s">
        <v>7063</v>
      </c>
      <c r="F6087" t="s">
        <v>0</v>
      </c>
      <c r="G6087" t="str">
        <f>"2018-11-03 00:41:55"</f>
        <v>2018-11-03 00:41:55</v>
      </c>
    </row>
    <row r="6088" spans="1:7" x14ac:dyDescent="0.2">
      <c r="A6088" t="s">
        <v>7064</v>
      </c>
      <c r="B6088" t="str">
        <f>"18508783779"</f>
        <v>18508783779</v>
      </c>
      <c r="C6088" t="str">
        <f>"530321199512140545"</f>
        <v>530321199512140545</v>
      </c>
      <c r="D6088" t="s">
        <v>7065</v>
      </c>
      <c r="E6088" t="s">
        <v>7066</v>
      </c>
      <c r="F6088" t="s">
        <v>0</v>
      </c>
      <c r="G6088" t="str">
        <f>"2018-10-16 20:47:01"</f>
        <v>2018-10-16 20:47:01</v>
      </c>
    </row>
    <row r="6089" spans="1:7" x14ac:dyDescent="0.2">
      <c r="A6089" t="s">
        <v>7067</v>
      </c>
      <c r="B6089" t="str">
        <f>"13160818405"</f>
        <v>13160818405</v>
      </c>
      <c r="C6089" t="str">
        <f>"440105199209181843"</f>
        <v>440105199209181843</v>
      </c>
      <c r="D6089" t="s">
        <v>1</v>
      </c>
      <c r="E6089" t="s">
        <v>1</v>
      </c>
      <c r="F6089" t="s">
        <v>0</v>
      </c>
      <c r="G6089" t="str">
        <f>"2018-10-16 20:40:46"</f>
        <v>2018-10-16 20:40:46</v>
      </c>
    </row>
    <row r="6090" spans="1:7" x14ac:dyDescent="0.2">
      <c r="A6090" t="s">
        <v>7068</v>
      </c>
      <c r="B6090" t="str">
        <f>"17728174540"</f>
        <v>17728174540</v>
      </c>
      <c r="C6090" t="str">
        <f>"421222199802236816"</f>
        <v>421222199802236816</v>
      </c>
      <c r="D6090" t="s">
        <v>7069</v>
      </c>
      <c r="E6090" t="s">
        <v>7070</v>
      </c>
      <c r="F6090" t="s">
        <v>0</v>
      </c>
      <c r="G6090" t="str">
        <f>"2018-10-16 20:36:19"</f>
        <v>2018-10-16 20:36:19</v>
      </c>
    </row>
    <row r="6091" spans="1:7" x14ac:dyDescent="0.2">
      <c r="A6091" t="s">
        <v>1</v>
      </c>
      <c r="B6091" t="str">
        <f>"13936707742"</f>
        <v>13936707742</v>
      </c>
      <c r="C6091" t="s">
        <v>1</v>
      </c>
      <c r="D6091" t="s">
        <v>1</v>
      </c>
      <c r="E6091" t="s">
        <v>1</v>
      </c>
      <c r="F6091" t="s">
        <v>0</v>
      </c>
      <c r="G6091" t="str">
        <f>"2018-10-16 20:36:46"</f>
        <v>2018-10-16 20:36:46</v>
      </c>
    </row>
    <row r="6092" spans="1:7" x14ac:dyDescent="0.2">
      <c r="A6092" t="s">
        <v>1</v>
      </c>
      <c r="B6092" t="str">
        <f>"14760692227"</f>
        <v>14760692227</v>
      </c>
      <c r="C6092" t="s">
        <v>1</v>
      </c>
      <c r="D6092" t="s">
        <v>1</v>
      </c>
      <c r="E6092" t="s">
        <v>1</v>
      </c>
      <c r="F6092" t="s">
        <v>0</v>
      </c>
      <c r="G6092" t="str">
        <f>"2018-10-17 08:45:33"</f>
        <v>2018-10-17 08:45:33</v>
      </c>
    </row>
    <row r="6093" spans="1:7" x14ac:dyDescent="0.2">
      <c r="A6093" t="s">
        <v>7071</v>
      </c>
      <c r="B6093" t="str">
        <f>"13420537401"</f>
        <v>13420537401</v>
      </c>
      <c r="C6093" t="str">
        <f>"440202198908270628"</f>
        <v>440202198908270628</v>
      </c>
      <c r="D6093" t="s">
        <v>1</v>
      </c>
      <c r="E6093" t="s">
        <v>1</v>
      </c>
      <c r="F6093" t="s">
        <v>0</v>
      </c>
      <c r="G6093" t="str">
        <f>"2018-10-16 20:36:54"</f>
        <v>2018-10-16 20:36:54</v>
      </c>
    </row>
    <row r="6094" spans="1:7" x14ac:dyDescent="0.2">
      <c r="A6094" t="s">
        <v>1</v>
      </c>
      <c r="B6094" t="str">
        <f>"13828613880"</f>
        <v>13828613880</v>
      </c>
      <c r="C6094" t="s">
        <v>1</v>
      </c>
      <c r="D6094" t="s">
        <v>1</v>
      </c>
      <c r="E6094" t="s">
        <v>1</v>
      </c>
      <c r="F6094" t="s">
        <v>0</v>
      </c>
      <c r="G6094" t="str">
        <f>"2018-10-16 20:35:52"</f>
        <v>2018-10-16 20:35:52</v>
      </c>
    </row>
    <row r="6095" spans="1:7" x14ac:dyDescent="0.2">
      <c r="A6095" t="s">
        <v>7072</v>
      </c>
      <c r="B6095" t="str">
        <f>"15760020024"</f>
        <v>15760020024</v>
      </c>
      <c r="C6095" t="str">
        <f>"510623199109148921"</f>
        <v>510623199109148921</v>
      </c>
      <c r="D6095" t="s">
        <v>7073</v>
      </c>
      <c r="E6095" t="s">
        <v>7074</v>
      </c>
      <c r="F6095" t="s">
        <v>0</v>
      </c>
      <c r="G6095" t="str">
        <f>"2018-10-17 08:43:40"</f>
        <v>2018-10-17 08:43:40</v>
      </c>
    </row>
    <row r="6096" spans="1:7" x14ac:dyDescent="0.2">
      <c r="A6096" t="s">
        <v>7075</v>
      </c>
      <c r="B6096" t="str">
        <f>"18932061551"</f>
        <v>18932061551</v>
      </c>
      <c r="C6096" t="str">
        <f>"522230199004101399"</f>
        <v>522230199004101399</v>
      </c>
      <c r="D6096" t="s">
        <v>1</v>
      </c>
      <c r="E6096" t="s">
        <v>1</v>
      </c>
      <c r="F6096" t="s">
        <v>0</v>
      </c>
      <c r="G6096" t="str">
        <f>"2018-10-16 20:37:35"</f>
        <v>2018-10-16 20:37:35</v>
      </c>
    </row>
    <row r="6097" spans="1:7" x14ac:dyDescent="0.2">
      <c r="A6097" t="s">
        <v>7076</v>
      </c>
      <c r="B6097" t="str">
        <f>"13186642293"</f>
        <v>13186642293</v>
      </c>
      <c r="C6097" t="str">
        <f>"421127199307085025"</f>
        <v>421127199307085025</v>
      </c>
      <c r="D6097" t="s">
        <v>1</v>
      </c>
      <c r="E6097" t="s">
        <v>1</v>
      </c>
      <c r="F6097" t="s">
        <v>0</v>
      </c>
      <c r="G6097" t="str">
        <f>"2018-10-16 20:36:39"</f>
        <v>2018-10-16 20:36:39</v>
      </c>
    </row>
    <row r="6098" spans="1:7" x14ac:dyDescent="0.2">
      <c r="A6098" t="s">
        <v>7077</v>
      </c>
      <c r="B6098" t="str">
        <f>"15959295200"</f>
        <v>15959295200</v>
      </c>
      <c r="C6098" t="str">
        <f>"352202198309240515"</f>
        <v>352202198309240515</v>
      </c>
      <c r="D6098" t="s">
        <v>1</v>
      </c>
      <c r="E6098" t="s">
        <v>1</v>
      </c>
      <c r="F6098" t="s">
        <v>0</v>
      </c>
      <c r="G6098" t="str">
        <f>"2018-10-16 20:35:54"</f>
        <v>2018-10-16 20:35:54</v>
      </c>
    </row>
    <row r="6099" spans="1:7" x14ac:dyDescent="0.2">
      <c r="A6099" t="s">
        <v>1</v>
      </c>
      <c r="B6099" t="str">
        <f>"13766674328"</f>
        <v>13766674328</v>
      </c>
      <c r="C6099" t="s">
        <v>1</v>
      </c>
      <c r="D6099" t="s">
        <v>1</v>
      </c>
      <c r="E6099" t="s">
        <v>1</v>
      </c>
      <c r="F6099" t="s">
        <v>0</v>
      </c>
      <c r="G6099" t="str">
        <f>"2018-10-16 20:34:18"</f>
        <v>2018-10-16 20:34:18</v>
      </c>
    </row>
    <row r="6100" spans="1:7" x14ac:dyDescent="0.2">
      <c r="A6100" t="s">
        <v>1</v>
      </c>
      <c r="B6100" t="str">
        <f>"18155152529"</f>
        <v>18155152529</v>
      </c>
      <c r="C6100" t="s">
        <v>1</v>
      </c>
      <c r="D6100" t="s">
        <v>1</v>
      </c>
      <c r="E6100" t="s">
        <v>1</v>
      </c>
      <c r="F6100" t="s">
        <v>0</v>
      </c>
      <c r="G6100" t="str">
        <f>"2018-10-16 20:32:49"</f>
        <v>2018-10-16 20:32:49</v>
      </c>
    </row>
    <row r="6101" spans="1:7" x14ac:dyDescent="0.2">
      <c r="A6101" t="s">
        <v>7078</v>
      </c>
      <c r="B6101" t="str">
        <f>"13864345720"</f>
        <v>13864345720</v>
      </c>
      <c r="C6101" t="str">
        <f>"370302198906272918"</f>
        <v>370302198906272918</v>
      </c>
      <c r="D6101" t="s">
        <v>1</v>
      </c>
      <c r="E6101" t="s">
        <v>1</v>
      </c>
      <c r="F6101" t="s">
        <v>0</v>
      </c>
      <c r="G6101" t="str">
        <f>"2018-10-16 20:31:46"</f>
        <v>2018-10-16 20:31:46</v>
      </c>
    </row>
    <row r="6102" spans="1:7" x14ac:dyDescent="0.2">
      <c r="A6102" t="s">
        <v>7079</v>
      </c>
      <c r="B6102" t="str">
        <f>"18098803552"</f>
        <v>18098803552</v>
      </c>
      <c r="C6102" t="str">
        <f>"210281198803046817"</f>
        <v>210281198803046817</v>
      </c>
      <c r="D6102" t="s">
        <v>1</v>
      </c>
      <c r="E6102" t="s">
        <v>1</v>
      </c>
      <c r="F6102" t="s">
        <v>0</v>
      </c>
      <c r="G6102" t="str">
        <f>"2018-10-16 20:32:29"</f>
        <v>2018-10-16 20:32:29</v>
      </c>
    </row>
    <row r="6103" spans="1:7" x14ac:dyDescent="0.2">
      <c r="A6103" t="s">
        <v>7080</v>
      </c>
      <c r="B6103" t="str">
        <f>"17610372877"</f>
        <v>17610372877</v>
      </c>
      <c r="C6103" t="str">
        <f>"211203199012204053"</f>
        <v>211203199012204053</v>
      </c>
      <c r="D6103" t="s">
        <v>7081</v>
      </c>
      <c r="E6103" t="s">
        <v>7082</v>
      </c>
      <c r="F6103" t="s">
        <v>0</v>
      </c>
      <c r="G6103" t="str">
        <f>"2018-10-17 08:34:41"</f>
        <v>2018-10-17 08:34:41</v>
      </c>
    </row>
    <row r="6104" spans="1:7" x14ac:dyDescent="0.2">
      <c r="A6104" t="s">
        <v>136</v>
      </c>
      <c r="B6104" t="str">
        <f>"18251192595"</f>
        <v>18251192595</v>
      </c>
      <c r="C6104" t="str">
        <f>"513822198909057115"</f>
        <v>513822198909057115</v>
      </c>
      <c r="D6104" t="s">
        <v>1</v>
      </c>
      <c r="E6104" t="s">
        <v>1</v>
      </c>
      <c r="F6104" t="s">
        <v>0</v>
      </c>
      <c r="G6104" t="str">
        <f>"2018-10-16 20:31:39"</f>
        <v>2018-10-16 20:31:39</v>
      </c>
    </row>
    <row r="6105" spans="1:7" x14ac:dyDescent="0.2">
      <c r="A6105" t="s">
        <v>1</v>
      </c>
      <c r="B6105" t="str">
        <f>"15997122806"</f>
        <v>15997122806</v>
      </c>
      <c r="C6105" t="s">
        <v>1</v>
      </c>
      <c r="D6105" t="s">
        <v>1</v>
      </c>
      <c r="E6105" t="s">
        <v>1</v>
      </c>
      <c r="F6105" t="s">
        <v>0</v>
      </c>
      <c r="G6105" t="str">
        <f>"2018-10-16 20:29:41"</f>
        <v>2018-10-16 20:29:41</v>
      </c>
    </row>
    <row r="6106" spans="1:7" x14ac:dyDescent="0.2">
      <c r="A6106" t="s">
        <v>7083</v>
      </c>
      <c r="B6106" t="str">
        <f>"15933070606"</f>
        <v>15933070606</v>
      </c>
      <c r="C6106" t="str">
        <f>"130634198309273157"</f>
        <v>130634198309273157</v>
      </c>
      <c r="D6106" t="s">
        <v>1</v>
      </c>
      <c r="E6106" t="s">
        <v>1</v>
      </c>
      <c r="F6106" t="s">
        <v>0</v>
      </c>
      <c r="G6106" t="str">
        <f>"2018-10-17 10:23:58"</f>
        <v>2018-10-17 10:23:58</v>
      </c>
    </row>
    <row r="6107" spans="1:7" x14ac:dyDescent="0.2">
      <c r="A6107" t="s">
        <v>1753</v>
      </c>
      <c r="B6107" t="str">
        <f>"13939229926"</f>
        <v>13939229926</v>
      </c>
      <c r="C6107" t="str">
        <f>"410603199504180017"</f>
        <v>410603199504180017</v>
      </c>
      <c r="D6107" t="s">
        <v>1</v>
      </c>
      <c r="E6107" t="s">
        <v>1</v>
      </c>
      <c r="F6107" t="s">
        <v>0</v>
      </c>
      <c r="G6107" t="str">
        <f>"2018-10-16 20:30:07"</f>
        <v>2018-10-16 20:30:07</v>
      </c>
    </row>
    <row r="6108" spans="1:7" x14ac:dyDescent="0.2">
      <c r="A6108" t="s">
        <v>7084</v>
      </c>
      <c r="B6108" t="str">
        <f>"15197955799"</f>
        <v>15197955799</v>
      </c>
      <c r="C6108" t="str">
        <f>"430527197309200019"</f>
        <v>430527197309200019</v>
      </c>
      <c r="D6108" t="s">
        <v>1</v>
      </c>
      <c r="E6108" t="s">
        <v>1</v>
      </c>
      <c r="F6108" t="s">
        <v>0</v>
      </c>
      <c r="G6108" t="str">
        <f>"2018-10-16 20:29:29"</f>
        <v>2018-10-16 20:29:29</v>
      </c>
    </row>
    <row r="6109" spans="1:7" x14ac:dyDescent="0.2">
      <c r="A6109" t="s">
        <v>7085</v>
      </c>
      <c r="B6109" t="str">
        <f>"13413548669"</f>
        <v>13413548669</v>
      </c>
      <c r="C6109" t="str">
        <f>"441802198801150240"</f>
        <v>441802198801150240</v>
      </c>
      <c r="D6109" t="s">
        <v>1</v>
      </c>
      <c r="E6109" t="s">
        <v>1</v>
      </c>
      <c r="F6109" t="s">
        <v>0</v>
      </c>
      <c r="G6109" t="str">
        <f>"2018-10-19 14:27:38"</f>
        <v>2018-10-19 14:27:38</v>
      </c>
    </row>
    <row r="6110" spans="1:7" x14ac:dyDescent="0.2">
      <c r="A6110" t="s">
        <v>7086</v>
      </c>
      <c r="B6110" t="str">
        <f>"17634951490"</f>
        <v>17634951490</v>
      </c>
      <c r="C6110" t="str">
        <f>"142402199906251518"</f>
        <v>142402199906251518</v>
      </c>
      <c r="D6110" t="s">
        <v>1</v>
      </c>
      <c r="E6110" t="s">
        <v>1</v>
      </c>
      <c r="F6110" t="s">
        <v>0</v>
      </c>
      <c r="G6110" t="str">
        <f>"2018-10-16 20:29:12"</f>
        <v>2018-10-16 20:29:12</v>
      </c>
    </row>
    <row r="6111" spans="1:7" x14ac:dyDescent="0.2">
      <c r="A6111" t="s">
        <v>7087</v>
      </c>
      <c r="B6111" t="str">
        <f>"15287237865"</f>
        <v>15287237865</v>
      </c>
      <c r="C6111" t="str">
        <f>"532527199710032941"</f>
        <v>532527199710032941</v>
      </c>
      <c r="D6111" t="s">
        <v>1</v>
      </c>
      <c r="E6111" t="s">
        <v>1</v>
      </c>
      <c r="F6111" t="s">
        <v>0</v>
      </c>
      <c r="G6111" t="str">
        <f>"2018-10-16 20:26:25"</f>
        <v>2018-10-16 20:26:25</v>
      </c>
    </row>
    <row r="6112" spans="1:7" x14ac:dyDescent="0.2">
      <c r="A6112" t="s">
        <v>7088</v>
      </c>
      <c r="B6112" t="str">
        <f>"18218944590"</f>
        <v>18218944590</v>
      </c>
      <c r="C6112" t="str">
        <f>"440881199603061019"</f>
        <v>440881199603061019</v>
      </c>
      <c r="D6112" t="s">
        <v>1</v>
      </c>
      <c r="E6112" t="s">
        <v>1</v>
      </c>
      <c r="F6112" t="s">
        <v>0</v>
      </c>
      <c r="G6112" t="str">
        <f>"2018-10-16 20:25:58"</f>
        <v>2018-10-16 20:25:58</v>
      </c>
    </row>
    <row r="6113" spans="1:7" x14ac:dyDescent="0.2">
      <c r="A6113" t="s">
        <v>1</v>
      </c>
      <c r="B6113" t="str">
        <f>"15676544621"</f>
        <v>15676544621</v>
      </c>
      <c r="C6113" t="s">
        <v>1</v>
      </c>
      <c r="D6113" t="s">
        <v>1</v>
      </c>
      <c r="E6113" t="s">
        <v>1</v>
      </c>
      <c r="F6113" t="s">
        <v>0</v>
      </c>
      <c r="G6113" t="str">
        <f>"2018-10-16 20:24:35"</f>
        <v>2018-10-16 20:24:35</v>
      </c>
    </row>
    <row r="6114" spans="1:7" x14ac:dyDescent="0.2">
      <c r="A6114" t="s">
        <v>7089</v>
      </c>
      <c r="B6114" t="str">
        <f>"15888262622"</f>
        <v>15888262622</v>
      </c>
      <c r="C6114" t="str">
        <f>"330381199011230912"</f>
        <v>330381199011230912</v>
      </c>
      <c r="D6114" t="s">
        <v>1</v>
      </c>
      <c r="E6114" t="s">
        <v>1</v>
      </c>
      <c r="F6114" t="s">
        <v>0</v>
      </c>
      <c r="G6114" t="str">
        <f>"2018-10-16 20:46:16"</f>
        <v>2018-10-16 20:46:16</v>
      </c>
    </row>
    <row r="6115" spans="1:7" x14ac:dyDescent="0.2">
      <c r="A6115" t="s">
        <v>1</v>
      </c>
      <c r="B6115" t="str">
        <f>"17691163161"</f>
        <v>17691163161</v>
      </c>
      <c r="C6115" t="s">
        <v>1</v>
      </c>
      <c r="D6115" t="s">
        <v>1</v>
      </c>
      <c r="E6115" t="s">
        <v>1</v>
      </c>
      <c r="F6115" t="s">
        <v>0</v>
      </c>
      <c r="G6115" t="str">
        <f>"2018-10-16 20:23:46"</f>
        <v>2018-10-16 20:23:46</v>
      </c>
    </row>
    <row r="6116" spans="1:7" x14ac:dyDescent="0.2">
      <c r="A6116" t="s">
        <v>7090</v>
      </c>
      <c r="B6116" t="str">
        <f>"15841395369"</f>
        <v>15841395369</v>
      </c>
      <c r="C6116" t="str">
        <f>"210411199309142711"</f>
        <v>210411199309142711</v>
      </c>
      <c r="D6116" t="s">
        <v>1</v>
      </c>
      <c r="E6116" t="s">
        <v>1</v>
      </c>
      <c r="F6116" t="s">
        <v>0</v>
      </c>
      <c r="G6116" t="str">
        <f>"2018-10-16 20:31:48"</f>
        <v>2018-10-16 20:31:48</v>
      </c>
    </row>
    <row r="6117" spans="1:7" x14ac:dyDescent="0.2">
      <c r="A6117" t="s">
        <v>1</v>
      </c>
      <c r="B6117" t="str">
        <f>"13106914542"</f>
        <v>13106914542</v>
      </c>
      <c r="C6117" t="s">
        <v>1</v>
      </c>
      <c r="D6117" t="s">
        <v>1</v>
      </c>
      <c r="E6117" t="s">
        <v>1</v>
      </c>
      <c r="F6117" t="s">
        <v>0</v>
      </c>
      <c r="G6117" t="str">
        <f>"2018-10-16 20:23:25"</f>
        <v>2018-10-16 20:23:25</v>
      </c>
    </row>
    <row r="6118" spans="1:7" x14ac:dyDescent="0.2">
      <c r="A6118" t="s">
        <v>7091</v>
      </c>
      <c r="B6118" t="str">
        <f>"15162151340"</f>
        <v>15162151340</v>
      </c>
      <c r="C6118" t="str">
        <f>"320304198703035510"</f>
        <v>320304198703035510</v>
      </c>
      <c r="D6118" t="s">
        <v>7092</v>
      </c>
      <c r="E6118" t="s">
        <v>7093</v>
      </c>
      <c r="F6118" t="s">
        <v>0</v>
      </c>
      <c r="G6118" t="str">
        <f>"2018-10-28 10:01:52"</f>
        <v>2018-10-28 10:01:52</v>
      </c>
    </row>
    <row r="6119" spans="1:7" x14ac:dyDescent="0.2">
      <c r="A6119" t="s">
        <v>7094</v>
      </c>
      <c r="B6119" t="str">
        <f>"15048758387"</f>
        <v>15048758387</v>
      </c>
      <c r="C6119" t="str">
        <f>"152725198710080014"</f>
        <v>152725198710080014</v>
      </c>
      <c r="D6119" t="s">
        <v>1</v>
      </c>
      <c r="E6119" t="s">
        <v>1</v>
      </c>
      <c r="F6119" t="s">
        <v>0</v>
      </c>
      <c r="G6119" t="str">
        <f>"2018-10-19 10:55:39"</f>
        <v>2018-10-19 10:55:39</v>
      </c>
    </row>
    <row r="6120" spans="1:7" x14ac:dyDescent="0.2">
      <c r="A6120" t="s">
        <v>7095</v>
      </c>
      <c r="B6120" t="str">
        <f>"15894929127"</f>
        <v>15894929127</v>
      </c>
      <c r="C6120" t="str">
        <f>"140624199211191536"</f>
        <v>140624199211191536</v>
      </c>
      <c r="D6120" t="s">
        <v>1</v>
      </c>
      <c r="E6120" t="s">
        <v>1</v>
      </c>
      <c r="F6120" t="s">
        <v>0</v>
      </c>
      <c r="G6120" t="str">
        <f>"2018-10-16 20:38:54"</f>
        <v>2018-10-16 20:38:54</v>
      </c>
    </row>
    <row r="6121" spans="1:7" x14ac:dyDescent="0.2">
      <c r="A6121" t="s">
        <v>1</v>
      </c>
      <c r="B6121" t="str">
        <f>"13058611489"</f>
        <v>13058611489</v>
      </c>
      <c r="C6121" t="s">
        <v>1</v>
      </c>
      <c r="D6121" t="s">
        <v>1</v>
      </c>
      <c r="E6121" t="s">
        <v>1</v>
      </c>
      <c r="F6121" t="s">
        <v>0</v>
      </c>
      <c r="G6121" t="str">
        <f>"2018-10-16 20:21:09"</f>
        <v>2018-10-16 20:21:09</v>
      </c>
    </row>
    <row r="6122" spans="1:7" x14ac:dyDescent="0.2">
      <c r="A6122" t="s">
        <v>7096</v>
      </c>
      <c r="B6122" t="str">
        <f>"17875835435"</f>
        <v>17875835435</v>
      </c>
      <c r="C6122" t="str">
        <f>"440881200004280434"</f>
        <v>440881200004280434</v>
      </c>
      <c r="D6122" t="s">
        <v>1</v>
      </c>
      <c r="E6122" t="s">
        <v>1</v>
      </c>
      <c r="F6122" t="s">
        <v>0</v>
      </c>
      <c r="G6122" t="str">
        <f>"2018-10-16 20:22:45"</f>
        <v>2018-10-16 20:22:45</v>
      </c>
    </row>
    <row r="6123" spans="1:7" x14ac:dyDescent="0.2">
      <c r="A6123" t="s">
        <v>1</v>
      </c>
      <c r="B6123" t="str">
        <f>"13257744953"</f>
        <v>13257744953</v>
      </c>
      <c r="C6123" t="s">
        <v>1</v>
      </c>
      <c r="D6123" t="s">
        <v>1</v>
      </c>
      <c r="E6123" t="s">
        <v>1</v>
      </c>
      <c r="F6123" t="s">
        <v>0</v>
      </c>
      <c r="G6123" t="str">
        <f>"2018-10-16 20:19:50"</f>
        <v>2018-10-16 20:19:50</v>
      </c>
    </row>
    <row r="6124" spans="1:7" x14ac:dyDescent="0.2">
      <c r="A6124" t="s">
        <v>1</v>
      </c>
      <c r="B6124" t="str">
        <f>"15270356978"</f>
        <v>15270356978</v>
      </c>
      <c r="C6124" t="s">
        <v>1</v>
      </c>
      <c r="D6124" t="s">
        <v>1</v>
      </c>
      <c r="E6124" t="s">
        <v>1</v>
      </c>
      <c r="F6124" t="s">
        <v>0</v>
      </c>
      <c r="G6124" t="str">
        <f>"2018-10-16 20:28:11"</f>
        <v>2018-10-16 20:28:11</v>
      </c>
    </row>
    <row r="6125" spans="1:7" x14ac:dyDescent="0.2">
      <c r="A6125" t="s">
        <v>1211</v>
      </c>
      <c r="B6125" t="str">
        <f>"13870690657"</f>
        <v>13870690657</v>
      </c>
      <c r="C6125" t="str">
        <f>"360103198801161211"</f>
        <v>360103198801161211</v>
      </c>
      <c r="D6125" t="s">
        <v>1</v>
      </c>
      <c r="E6125" t="s">
        <v>1</v>
      </c>
      <c r="F6125" t="s">
        <v>0</v>
      </c>
      <c r="G6125" t="str">
        <f>"2018-10-16 20:18:32"</f>
        <v>2018-10-16 20:18:32</v>
      </c>
    </row>
    <row r="6126" spans="1:7" x14ac:dyDescent="0.2">
      <c r="A6126" t="s">
        <v>1</v>
      </c>
      <c r="B6126" t="str">
        <f>"15577625574"</f>
        <v>15577625574</v>
      </c>
      <c r="C6126" t="s">
        <v>1</v>
      </c>
      <c r="D6126" t="s">
        <v>1</v>
      </c>
      <c r="E6126" t="s">
        <v>1</v>
      </c>
      <c r="F6126" t="s">
        <v>0</v>
      </c>
      <c r="G6126" t="str">
        <f>"2018-10-16 20:16:12"</f>
        <v>2018-10-16 20:16:12</v>
      </c>
    </row>
    <row r="6127" spans="1:7" x14ac:dyDescent="0.2">
      <c r="A6127" t="s">
        <v>1</v>
      </c>
      <c r="B6127" t="str">
        <f>"15678214414"</f>
        <v>15678214414</v>
      </c>
      <c r="C6127" t="s">
        <v>1</v>
      </c>
      <c r="D6127" t="s">
        <v>1</v>
      </c>
      <c r="E6127" t="s">
        <v>1</v>
      </c>
      <c r="F6127" t="s">
        <v>0</v>
      </c>
      <c r="G6127" t="str">
        <f>"2018-10-16 20:15:07"</f>
        <v>2018-10-16 20:15:07</v>
      </c>
    </row>
    <row r="6128" spans="1:7" x14ac:dyDescent="0.2">
      <c r="A6128" t="s">
        <v>6302</v>
      </c>
      <c r="B6128" t="str">
        <f>"15062111456"</f>
        <v>15062111456</v>
      </c>
      <c r="C6128" t="str">
        <f>"320382199010290221"</f>
        <v>320382199010290221</v>
      </c>
      <c r="D6128" t="s">
        <v>1</v>
      </c>
      <c r="E6128" t="s">
        <v>1</v>
      </c>
      <c r="F6128" t="s">
        <v>0</v>
      </c>
      <c r="G6128" t="str">
        <f>"2018-10-16 20:39:12"</f>
        <v>2018-10-16 20:39:12</v>
      </c>
    </row>
    <row r="6129" spans="1:7" x14ac:dyDescent="0.2">
      <c r="A6129" t="s">
        <v>1867</v>
      </c>
      <c r="B6129" t="str">
        <f>"13871874500"</f>
        <v>13871874500</v>
      </c>
      <c r="C6129" t="str">
        <f>"420922197702255313"</f>
        <v>420922197702255313</v>
      </c>
      <c r="D6129" t="s">
        <v>1</v>
      </c>
      <c r="E6129" t="s">
        <v>1</v>
      </c>
      <c r="F6129" t="s">
        <v>0</v>
      </c>
      <c r="G6129" t="str">
        <f>"2018-10-16 20:15:57"</f>
        <v>2018-10-16 20:15:57</v>
      </c>
    </row>
    <row r="6130" spans="1:7" x14ac:dyDescent="0.2">
      <c r="A6130" t="s">
        <v>7097</v>
      </c>
      <c r="B6130" t="str">
        <f>"13699899966"</f>
        <v>13699899966</v>
      </c>
      <c r="C6130" t="str">
        <f>"440982198203102974"</f>
        <v>440982198203102974</v>
      </c>
      <c r="D6130" t="s">
        <v>7098</v>
      </c>
      <c r="E6130" t="s">
        <v>7099</v>
      </c>
      <c r="F6130" t="s">
        <v>0</v>
      </c>
      <c r="G6130" t="str">
        <f>"2018-11-05 00:27:54"</f>
        <v>2018-11-05 00:27:54</v>
      </c>
    </row>
    <row r="6131" spans="1:7" x14ac:dyDescent="0.2">
      <c r="A6131" t="s">
        <v>1</v>
      </c>
      <c r="B6131" t="str">
        <f>"13407037860"</f>
        <v>13407037860</v>
      </c>
      <c r="C6131" t="s">
        <v>1</v>
      </c>
      <c r="D6131" t="s">
        <v>1</v>
      </c>
      <c r="E6131" t="s">
        <v>1</v>
      </c>
      <c r="F6131" t="s">
        <v>0</v>
      </c>
      <c r="G6131" t="str">
        <f>"2018-10-16 20:13:51"</f>
        <v>2018-10-16 20:13:51</v>
      </c>
    </row>
    <row r="6132" spans="1:7" x14ac:dyDescent="0.2">
      <c r="A6132" t="s">
        <v>1</v>
      </c>
      <c r="B6132" t="str">
        <f>"15532605211"</f>
        <v>15532605211</v>
      </c>
      <c r="C6132" t="s">
        <v>1</v>
      </c>
      <c r="D6132" t="s">
        <v>1</v>
      </c>
      <c r="E6132" t="s">
        <v>1</v>
      </c>
      <c r="F6132" t="s">
        <v>0</v>
      </c>
      <c r="G6132" t="str">
        <f>"2018-10-16 20:11:59"</f>
        <v>2018-10-16 20:11:59</v>
      </c>
    </row>
    <row r="6133" spans="1:7" x14ac:dyDescent="0.2">
      <c r="A6133" t="s">
        <v>7100</v>
      </c>
      <c r="B6133" t="str">
        <f>"13160219109"</f>
        <v>13160219109</v>
      </c>
      <c r="C6133" t="str">
        <f>"321102198303196355"</f>
        <v>321102198303196355</v>
      </c>
      <c r="D6133" t="s">
        <v>7101</v>
      </c>
      <c r="E6133" t="s">
        <v>7102</v>
      </c>
      <c r="F6133" t="s">
        <v>0</v>
      </c>
      <c r="G6133" t="str">
        <f>"2018-10-18 15:50:38"</f>
        <v>2018-10-18 15:50:38</v>
      </c>
    </row>
    <row r="6134" spans="1:7" x14ac:dyDescent="0.2">
      <c r="A6134" t="s">
        <v>7103</v>
      </c>
      <c r="B6134" t="str">
        <f>"15831999452"</f>
        <v>15831999452</v>
      </c>
      <c r="C6134" t="str">
        <f>"130131198208016614"</f>
        <v>130131198208016614</v>
      </c>
      <c r="D6134" t="s">
        <v>1</v>
      </c>
      <c r="E6134" t="s">
        <v>1</v>
      </c>
      <c r="F6134" t="s">
        <v>0</v>
      </c>
      <c r="G6134" t="str">
        <f>"2018-10-16 20:12:21"</f>
        <v>2018-10-16 20:12:21</v>
      </c>
    </row>
    <row r="6135" spans="1:7" x14ac:dyDescent="0.2">
      <c r="A6135" t="s">
        <v>7104</v>
      </c>
      <c r="B6135" t="str">
        <f>"15935200939"</f>
        <v>15935200939</v>
      </c>
      <c r="C6135" t="str">
        <f>"150981199804204027"</f>
        <v>150981199804204027</v>
      </c>
      <c r="D6135" t="s">
        <v>1</v>
      </c>
      <c r="E6135" t="s">
        <v>1</v>
      </c>
      <c r="F6135" t="s">
        <v>0</v>
      </c>
      <c r="G6135" t="str">
        <f>"2018-10-16 20:12:11"</f>
        <v>2018-10-16 20:12:11</v>
      </c>
    </row>
    <row r="6136" spans="1:7" x14ac:dyDescent="0.2">
      <c r="A6136" t="s">
        <v>7105</v>
      </c>
      <c r="B6136" t="str">
        <f>"18549902412"</f>
        <v>18549902412</v>
      </c>
      <c r="C6136" t="str">
        <f>"320922199904067818"</f>
        <v>320922199904067818</v>
      </c>
      <c r="D6136" t="s">
        <v>1</v>
      </c>
      <c r="E6136" t="s">
        <v>1</v>
      </c>
      <c r="F6136" t="s">
        <v>0</v>
      </c>
      <c r="G6136" t="str">
        <f>"2018-10-16 20:10:09"</f>
        <v>2018-10-16 20:10:09</v>
      </c>
    </row>
    <row r="6137" spans="1:7" x14ac:dyDescent="0.2">
      <c r="A6137" t="s">
        <v>7106</v>
      </c>
      <c r="B6137" t="str">
        <f>"18274116901"</f>
        <v>18274116901</v>
      </c>
      <c r="C6137" t="str">
        <f>"430626199802133911"</f>
        <v>430626199802133911</v>
      </c>
      <c r="D6137" t="s">
        <v>1</v>
      </c>
      <c r="E6137" t="s">
        <v>1</v>
      </c>
      <c r="F6137" t="s">
        <v>0</v>
      </c>
      <c r="G6137" t="str">
        <f>"2018-10-16 21:15:34"</f>
        <v>2018-10-16 21:15:34</v>
      </c>
    </row>
    <row r="6138" spans="1:7" x14ac:dyDescent="0.2">
      <c r="A6138" t="s">
        <v>1</v>
      </c>
      <c r="B6138" t="str">
        <f>"17581703468"</f>
        <v>17581703468</v>
      </c>
      <c r="C6138" t="s">
        <v>1</v>
      </c>
      <c r="D6138" t="s">
        <v>1</v>
      </c>
      <c r="E6138" t="s">
        <v>1</v>
      </c>
      <c r="F6138" t="s">
        <v>0</v>
      </c>
      <c r="G6138" t="str">
        <f>"2018-10-16 20:08:14"</f>
        <v>2018-10-16 20:08:14</v>
      </c>
    </row>
    <row r="6139" spans="1:7" x14ac:dyDescent="0.2">
      <c r="A6139" t="s">
        <v>7107</v>
      </c>
      <c r="B6139" t="str">
        <f>"13472173489"</f>
        <v>13472173489</v>
      </c>
      <c r="C6139" t="str">
        <f>"130131198508075114"</f>
        <v>130131198508075114</v>
      </c>
      <c r="D6139" t="s">
        <v>1</v>
      </c>
      <c r="E6139" t="s">
        <v>1</v>
      </c>
      <c r="F6139" t="s">
        <v>0</v>
      </c>
      <c r="G6139" t="str">
        <f>"2018-10-16 20:11:23"</f>
        <v>2018-10-16 20:11:23</v>
      </c>
    </row>
    <row r="6140" spans="1:7" x14ac:dyDescent="0.2">
      <c r="A6140" t="s">
        <v>3853</v>
      </c>
      <c r="B6140" t="str">
        <f>"18940404343"</f>
        <v>18940404343</v>
      </c>
      <c r="C6140" t="str">
        <f>"210502198711141842"</f>
        <v>210502198711141842</v>
      </c>
      <c r="D6140" t="s">
        <v>1</v>
      </c>
      <c r="E6140" t="s">
        <v>1</v>
      </c>
      <c r="F6140" t="s">
        <v>0</v>
      </c>
      <c r="G6140" t="str">
        <f>"2018-10-16 20:14:04"</f>
        <v>2018-10-16 20:14:04</v>
      </c>
    </row>
    <row r="6141" spans="1:7" x14ac:dyDescent="0.2">
      <c r="A6141" t="s">
        <v>7108</v>
      </c>
      <c r="B6141" t="str">
        <f>"15016386166"</f>
        <v>15016386166</v>
      </c>
      <c r="C6141" t="str">
        <f>"441284199611262117"</f>
        <v>441284199611262117</v>
      </c>
      <c r="D6141" t="s">
        <v>1</v>
      </c>
      <c r="E6141" t="s">
        <v>1</v>
      </c>
      <c r="F6141" t="s">
        <v>0</v>
      </c>
      <c r="G6141" t="str">
        <f>"2018-10-16 20:09:04"</f>
        <v>2018-10-16 20:09:04</v>
      </c>
    </row>
    <row r="6142" spans="1:7" x14ac:dyDescent="0.2">
      <c r="A6142" t="s">
        <v>268</v>
      </c>
      <c r="B6142" t="str">
        <f>"17716671812"</f>
        <v>17716671812</v>
      </c>
      <c r="C6142" t="str">
        <f>"522427199603259836"</f>
        <v>522427199603259836</v>
      </c>
      <c r="D6142" t="s">
        <v>7109</v>
      </c>
      <c r="E6142" t="s">
        <v>7110</v>
      </c>
      <c r="F6142" t="s">
        <v>0</v>
      </c>
      <c r="G6142" t="str">
        <f>"2018-10-16 20:09:50"</f>
        <v>2018-10-16 20:09:50</v>
      </c>
    </row>
    <row r="6143" spans="1:7" x14ac:dyDescent="0.2">
      <c r="A6143" t="s">
        <v>7111</v>
      </c>
      <c r="B6143" t="str">
        <f>"15004339433"</f>
        <v>15004339433</v>
      </c>
      <c r="C6143" t="str">
        <f>"222403199404260445"</f>
        <v>222403199404260445</v>
      </c>
      <c r="D6143" t="s">
        <v>1</v>
      </c>
      <c r="E6143" t="s">
        <v>1</v>
      </c>
      <c r="F6143" t="s">
        <v>0</v>
      </c>
      <c r="G6143" t="str">
        <f>"2018-10-16 20:08:41"</f>
        <v>2018-10-16 20:08:41</v>
      </c>
    </row>
    <row r="6144" spans="1:7" x14ac:dyDescent="0.2">
      <c r="A6144" t="s">
        <v>1</v>
      </c>
      <c r="B6144" t="str">
        <f>"17623510859"</f>
        <v>17623510859</v>
      </c>
      <c r="C6144" t="s">
        <v>1</v>
      </c>
      <c r="D6144" t="s">
        <v>1</v>
      </c>
      <c r="E6144" t="s">
        <v>1</v>
      </c>
      <c r="F6144" t="s">
        <v>0</v>
      </c>
      <c r="G6144" t="str">
        <f>"2018-10-16 20:07:07"</f>
        <v>2018-10-16 20:07:07</v>
      </c>
    </row>
    <row r="6145" spans="1:7" x14ac:dyDescent="0.2">
      <c r="A6145" t="s">
        <v>7112</v>
      </c>
      <c r="B6145" t="str">
        <f>"17351428687"</f>
        <v>17351428687</v>
      </c>
      <c r="C6145" t="str">
        <f>"342626197901123277"</f>
        <v>342626197901123277</v>
      </c>
      <c r="D6145" t="s">
        <v>1</v>
      </c>
      <c r="E6145" t="s">
        <v>1</v>
      </c>
      <c r="F6145" t="s">
        <v>0</v>
      </c>
      <c r="G6145" t="str">
        <f>"2018-10-16 20:07:50"</f>
        <v>2018-10-16 20:07:50</v>
      </c>
    </row>
    <row r="6146" spans="1:7" x14ac:dyDescent="0.2">
      <c r="A6146" t="s">
        <v>7113</v>
      </c>
      <c r="B6146" t="str">
        <f>"18671917617"</f>
        <v>18671917617</v>
      </c>
      <c r="C6146" t="str">
        <f>"420381199104203923"</f>
        <v>420381199104203923</v>
      </c>
      <c r="D6146" t="s">
        <v>1</v>
      </c>
      <c r="E6146" t="s">
        <v>1</v>
      </c>
      <c r="F6146" t="s">
        <v>0</v>
      </c>
      <c r="G6146" t="str">
        <f>"2018-10-16 20:08:37"</f>
        <v>2018-10-16 20:08:37</v>
      </c>
    </row>
    <row r="6147" spans="1:7" x14ac:dyDescent="0.2">
      <c r="A6147" t="s">
        <v>7114</v>
      </c>
      <c r="B6147" t="str">
        <f>"15177720003"</f>
        <v>15177720003</v>
      </c>
      <c r="C6147" t="str">
        <f>"452702199210094373"</f>
        <v>452702199210094373</v>
      </c>
      <c r="D6147" t="s">
        <v>7115</v>
      </c>
      <c r="E6147" t="s">
        <v>7116</v>
      </c>
      <c r="F6147" t="s">
        <v>0</v>
      </c>
      <c r="G6147" t="str">
        <f>"2018-10-16 20:07:58"</f>
        <v>2018-10-16 20:07:58</v>
      </c>
    </row>
    <row r="6148" spans="1:7" x14ac:dyDescent="0.2">
      <c r="A6148" t="s">
        <v>865</v>
      </c>
      <c r="B6148" t="str">
        <f>"15227510342"</f>
        <v>15227510342</v>
      </c>
      <c r="C6148" t="str">
        <f>"130984199005255413"</f>
        <v>130984199005255413</v>
      </c>
      <c r="D6148" t="s">
        <v>1</v>
      </c>
      <c r="E6148" t="s">
        <v>1</v>
      </c>
      <c r="F6148" t="s">
        <v>0</v>
      </c>
      <c r="G6148" t="str">
        <f>"2018-10-16 20:07:13"</f>
        <v>2018-10-16 20:07:13</v>
      </c>
    </row>
    <row r="6149" spans="1:7" x14ac:dyDescent="0.2">
      <c r="A6149" t="s">
        <v>7117</v>
      </c>
      <c r="B6149" t="str">
        <f>"13226019357"</f>
        <v>13226019357</v>
      </c>
      <c r="C6149" t="str">
        <f>"513022199612167496"</f>
        <v>513022199612167496</v>
      </c>
      <c r="D6149" t="s">
        <v>1</v>
      </c>
      <c r="E6149" t="s">
        <v>1</v>
      </c>
      <c r="F6149" t="s">
        <v>0</v>
      </c>
      <c r="G6149" t="str">
        <f>"2018-10-16 20:07:11"</f>
        <v>2018-10-16 20:07:11</v>
      </c>
    </row>
    <row r="6150" spans="1:7" x14ac:dyDescent="0.2">
      <c r="A6150" t="s">
        <v>1</v>
      </c>
      <c r="B6150" t="str">
        <f>"18300189117"</f>
        <v>18300189117</v>
      </c>
      <c r="C6150" t="s">
        <v>1</v>
      </c>
      <c r="D6150" t="s">
        <v>1</v>
      </c>
      <c r="E6150" t="s">
        <v>1</v>
      </c>
      <c r="F6150" t="s">
        <v>0</v>
      </c>
      <c r="G6150" t="str">
        <f>"2018-10-16 20:05:46"</f>
        <v>2018-10-16 20:05:46</v>
      </c>
    </row>
    <row r="6151" spans="1:7" x14ac:dyDescent="0.2">
      <c r="A6151" t="s">
        <v>790</v>
      </c>
      <c r="B6151" t="str">
        <f>"15803003012"</f>
        <v>15803003012</v>
      </c>
      <c r="C6151" t="str">
        <f>"50010919870608251X"</f>
        <v>50010919870608251X</v>
      </c>
      <c r="D6151" t="s">
        <v>7118</v>
      </c>
      <c r="E6151" t="s">
        <v>7119</v>
      </c>
      <c r="F6151" t="s">
        <v>0</v>
      </c>
      <c r="G6151" t="str">
        <f>"2018-10-16 20:03:44"</f>
        <v>2018-10-16 20:03:44</v>
      </c>
    </row>
    <row r="6152" spans="1:7" x14ac:dyDescent="0.2">
      <c r="A6152" t="s">
        <v>1</v>
      </c>
      <c r="B6152" t="str">
        <f>"18745422398"</f>
        <v>18745422398</v>
      </c>
      <c r="C6152" t="s">
        <v>1</v>
      </c>
      <c r="D6152" t="s">
        <v>1</v>
      </c>
      <c r="E6152" t="s">
        <v>1</v>
      </c>
      <c r="F6152" t="s">
        <v>0</v>
      </c>
      <c r="G6152" t="str">
        <f>"2018-10-16 20:03:21"</f>
        <v>2018-10-16 20:03:21</v>
      </c>
    </row>
    <row r="6153" spans="1:7" x14ac:dyDescent="0.2">
      <c r="A6153" t="s">
        <v>7120</v>
      </c>
      <c r="B6153" t="str">
        <f>"18288944557"</f>
        <v>18288944557</v>
      </c>
      <c r="C6153" t="str">
        <f>"533024199206014511"</f>
        <v>533024199206014511</v>
      </c>
      <c r="D6153" t="s">
        <v>1</v>
      </c>
      <c r="E6153" t="s">
        <v>1</v>
      </c>
      <c r="F6153" t="s">
        <v>0</v>
      </c>
      <c r="G6153" t="str">
        <f>"2018-10-16 20:58:59"</f>
        <v>2018-10-16 20:58:59</v>
      </c>
    </row>
    <row r="6154" spans="1:7" x14ac:dyDescent="0.2">
      <c r="A6154" t="s">
        <v>7121</v>
      </c>
      <c r="B6154" t="str">
        <f>"18707886660"</f>
        <v>18707886660</v>
      </c>
      <c r="C6154" t="str">
        <f>"452701199808021324"</f>
        <v>452701199808021324</v>
      </c>
      <c r="D6154" t="s">
        <v>1</v>
      </c>
      <c r="E6154" t="s">
        <v>1</v>
      </c>
      <c r="F6154" t="s">
        <v>0</v>
      </c>
      <c r="G6154" t="str">
        <f>"2018-10-16 20:08:28"</f>
        <v>2018-10-16 20:08:28</v>
      </c>
    </row>
    <row r="6155" spans="1:7" x14ac:dyDescent="0.2">
      <c r="A6155" t="s">
        <v>1</v>
      </c>
      <c r="B6155" t="str">
        <f>"15104356349"</f>
        <v>15104356349</v>
      </c>
      <c r="C6155" t="s">
        <v>1</v>
      </c>
      <c r="D6155" t="s">
        <v>1</v>
      </c>
      <c r="E6155" t="s">
        <v>1</v>
      </c>
      <c r="F6155" t="s">
        <v>0</v>
      </c>
      <c r="G6155" t="str">
        <f>"2018-10-16 20:02:39"</f>
        <v>2018-10-16 20:02:39</v>
      </c>
    </row>
    <row r="6156" spans="1:7" x14ac:dyDescent="0.2">
      <c r="A6156" t="s">
        <v>7122</v>
      </c>
      <c r="B6156" t="str">
        <f>"17520205239"</f>
        <v>17520205239</v>
      </c>
      <c r="C6156" t="str">
        <f>"410822199910115528"</f>
        <v>410822199910115528</v>
      </c>
      <c r="D6156" t="s">
        <v>1</v>
      </c>
      <c r="E6156" t="s">
        <v>1</v>
      </c>
      <c r="F6156" t="s">
        <v>0</v>
      </c>
      <c r="G6156" t="str">
        <f>"2018-10-16 20:07:04"</f>
        <v>2018-10-16 20:07:04</v>
      </c>
    </row>
    <row r="6157" spans="1:7" x14ac:dyDescent="0.2">
      <c r="A6157" t="s">
        <v>7123</v>
      </c>
      <c r="B6157" t="str">
        <f>"15941669918"</f>
        <v>15941669918</v>
      </c>
      <c r="C6157" t="str">
        <f>"210727200002041847"</f>
        <v>210727200002041847</v>
      </c>
      <c r="D6157" t="s">
        <v>1</v>
      </c>
      <c r="E6157" t="s">
        <v>1</v>
      </c>
      <c r="F6157" t="s">
        <v>0</v>
      </c>
      <c r="G6157" t="str">
        <f>"2018-10-16 21:39:32"</f>
        <v>2018-10-16 21:39:32</v>
      </c>
    </row>
    <row r="6158" spans="1:7" x14ac:dyDescent="0.2">
      <c r="A6158" t="s">
        <v>1</v>
      </c>
      <c r="B6158" t="str">
        <f>"15397720312"</f>
        <v>15397720312</v>
      </c>
      <c r="C6158" t="s">
        <v>1</v>
      </c>
      <c r="D6158" t="s">
        <v>1</v>
      </c>
      <c r="E6158" t="s">
        <v>1</v>
      </c>
      <c r="F6158" t="s">
        <v>0</v>
      </c>
      <c r="G6158" t="str">
        <f>"2018-10-16 20:09:43"</f>
        <v>2018-10-16 20:09:43</v>
      </c>
    </row>
    <row r="6159" spans="1:7" x14ac:dyDescent="0.2">
      <c r="A6159" t="s">
        <v>7124</v>
      </c>
      <c r="B6159" t="str">
        <f>"13569590741"</f>
        <v>13569590741</v>
      </c>
      <c r="C6159" t="str">
        <f>"410423198804182022"</f>
        <v>410423198804182022</v>
      </c>
      <c r="D6159" t="s">
        <v>1</v>
      </c>
      <c r="E6159" t="s">
        <v>1</v>
      </c>
      <c r="F6159" t="s">
        <v>0</v>
      </c>
      <c r="G6159" t="str">
        <f>"2018-11-05 08:02:47"</f>
        <v>2018-11-05 08:02:47</v>
      </c>
    </row>
    <row r="6160" spans="1:7" x14ac:dyDescent="0.2">
      <c r="A6160" t="s">
        <v>1</v>
      </c>
      <c r="B6160" t="str">
        <f>"17839650803"</f>
        <v>17839650803</v>
      </c>
      <c r="C6160" t="s">
        <v>1</v>
      </c>
      <c r="D6160" t="s">
        <v>1</v>
      </c>
      <c r="E6160" t="s">
        <v>1</v>
      </c>
      <c r="F6160" t="s">
        <v>0</v>
      </c>
      <c r="G6160" t="str">
        <f>"2018-10-16 20:00:24"</f>
        <v>2018-10-16 20:00:24</v>
      </c>
    </row>
    <row r="6161" spans="1:7" x14ac:dyDescent="0.2">
      <c r="A6161" t="s">
        <v>1</v>
      </c>
      <c r="B6161" t="str">
        <f>"18520979860"</f>
        <v>18520979860</v>
      </c>
      <c r="C6161" t="s">
        <v>1</v>
      </c>
      <c r="D6161" t="s">
        <v>1</v>
      </c>
      <c r="E6161" t="s">
        <v>1</v>
      </c>
      <c r="F6161" t="s">
        <v>0</v>
      </c>
      <c r="G6161" t="str">
        <f>"2018-10-16 20:00:16"</f>
        <v>2018-10-16 20:00:16</v>
      </c>
    </row>
    <row r="6162" spans="1:7" x14ac:dyDescent="0.2">
      <c r="A6162" t="s">
        <v>1</v>
      </c>
      <c r="B6162" t="str">
        <f>"15137786408"</f>
        <v>15137786408</v>
      </c>
      <c r="C6162" t="s">
        <v>1</v>
      </c>
      <c r="D6162" t="s">
        <v>1</v>
      </c>
      <c r="E6162" t="s">
        <v>1</v>
      </c>
      <c r="F6162" t="s">
        <v>0</v>
      </c>
      <c r="G6162" t="str">
        <f>"2018-11-01 16:58:21"</f>
        <v>2018-11-01 16:58:21</v>
      </c>
    </row>
    <row r="6163" spans="1:7" x14ac:dyDescent="0.2">
      <c r="A6163" t="s">
        <v>1</v>
      </c>
      <c r="B6163" t="str">
        <f>"14747902327"</f>
        <v>14747902327</v>
      </c>
      <c r="C6163" t="s">
        <v>1</v>
      </c>
      <c r="D6163" t="s">
        <v>1</v>
      </c>
      <c r="E6163" t="s">
        <v>1</v>
      </c>
      <c r="F6163" t="s">
        <v>0</v>
      </c>
      <c r="G6163" t="str">
        <f>"2018-10-16 19:59:14"</f>
        <v>2018-10-16 19:59:14</v>
      </c>
    </row>
    <row r="6164" spans="1:7" x14ac:dyDescent="0.2">
      <c r="A6164" t="s">
        <v>118</v>
      </c>
      <c r="B6164" t="str">
        <f>"15842422509"</f>
        <v>15842422509</v>
      </c>
      <c r="C6164" t="str">
        <f>"232321199003017857"</f>
        <v>232321199003017857</v>
      </c>
      <c r="D6164" t="s">
        <v>1</v>
      </c>
      <c r="E6164" t="s">
        <v>1</v>
      </c>
      <c r="F6164" t="s">
        <v>0</v>
      </c>
      <c r="G6164" t="str">
        <f>"2018-10-16 20:04:47"</f>
        <v>2018-10-16 20:04:47</v>
      </c>
    </row>
    <row r="6165" spans="1:7" x14ac:dyDescent="0.2">
      <c r="A6165" t="s">
        <v>1</v>
      </c>
      <c r="B6165" t="str">
        <f>"13026904343"</f>
        <v>13026904343</v>
      </c>
      <c r="C6165" t="s">
        <v>1</v>
      </c>
      <c r="D6165" t="s">
        <v>1</v>
      </c>
      <c r="E6165" t="s">
        <v>1</v>
      </c>
      <c r="F6165" t="s">
        <v>0</v>
      </c>
      <c r="G6165" t="str">
        <f>"2018-10-16 19:58:46"</f>
        <v>2018-10-16 19:58:46</v>
      </c>
    </row>
    <row r="6166" spans="1:7" x14ac:dyDescent="0.2">
      <c r="A6166" t="s">
        <v>7125</v>
      </c>
      <c r="B6166" t="str">
        <f>"18230825250"</f>
        <v>18230825250</v>
      </c>
      <c r="C6166" t="str">
        <f>"522424199102100414"</f>
        <v>522424199102100414</v>
      </c>
      <c r="D6166" t="s">
        <v>1</v>
      </c>
      <c r="E6166" t="s">
        <v>1</v>
      </c>
      <c r="F6166" t="s">
        <v>0</v>
      </c>
      <c r="G6166" t="str">
        <f>"2018-10-16 19:58:57"</f>
        <v>2018-10-16 19:58:57</v>
      </c>
    </row>
    <row r="6167" spans="1:7" x14ac:dyDescent="0.2">
      <c r="A6167" t="s">
        <v>7126</v>
      </c>
      <c r="B6167" t="str">
        <f>"13727934177"</f>
        <v>13727934177</v>
      </c>
      <c r="C6167" t="str">
        <f>"445121197810137013"</f>
        <v>445121197810137013</v>
      </c>
      <c r="D6167" t="s">
        <v>1</v>
      </c>
      <c r="E6167" t="s">
        <v>1</v>
      </c>
      <c r="F6167" t="s">
        <v>0</v>
      </c>
      <c r="G6167" t="str">
        <f>"2018-10-16 20:00:00"</f>
        <v>2018-10-16 20:00:00</v>
      </c>
    </row>
    <row r="6168" spans="1:7" x14ac:dyDescent="0.2">
      <c r="A6168" t="s">
        <v>7127</v>
      </c>
      <c r="B6168" t="str">
        <f>"15911411819"</f>
        <v>15911411819</v>
      </c>
      <c r="C6168" t="str">
        <f>"530328199410022737"</f>
        <v>530328199410022737</v>
      </c>
      <c r="D6168" t="s">
        <v>1</v>
      </c>
      <c r="E6168" t="s">
        <v>1</v>
      </c>
      <c r="F6168" t="s">
        <v>0</v>
      </c>
      <c r="G6168" t="str">
        <f>"2018-10-16 20:01:39"</f>
        <v>2018-10-16 20:01:39</v>
      </c>
    </row>
    <row r="6169" spans="1:7" x14ac:dyDescent="0.2">
      <c r="A6169" t="s">
        <v>7128</v>
      </c>
      <c r="B6169" t="str">
        <f>"13655215214"</f>
        <v>13655215214</v>
      </c>
      <c r="C6169" t="str">
        <f>"320321199210161755"</f>
        <v>320321199210161755</v>
      </c>
      <c r="D6169" t="s">
        <v>1</v>
      </c>
      <c r="E6169" t="s">
        <v>1</v>
      </c>
      <c r="F6169" t="s">
        <v>0</v>
      </c>
      <c r="G6169" t="str">
        <f>"2018-10-16 19:56:12"</f>
        <v>2018-10-16 19:56:12</v>
      </c>
    </row>
    <row r="6170" spans="1:7" x14ac:dyDescent="0.2">
      <c r="A6170" t="s">
        <v>4253</v>
      </c>
      <c r="B6170" t="str">
        <f>"18276591596"</f>
        <v>18276591596</v>
      </c>
      <c r="C6170" t="str">
        <f>"450802199007153191"</f>
        <v>450802199007153191</v>
      </c>
      <c r="D6170" t="s">
        <v>1</v>
      </c>
      <c r="E6170" t="s">
        <v>1</v>
      </c>
      <c r="F6170" t="s">
        <v>0</v>
      </c>
      <c r="G6170" t="str">
        <f>"2018-10-16 19:57:17"</f>
        <v>2018-10-16 19:57:17</v>
      </c>
    </row>
    <row r="6171" spans="1:7" x14ac:dyDescent="0.2">
      <c r="A6171" t="s">
        <v>7129</v>
      </c>
      <c r="B6171" t="str">
        <f>"18812101943"</f>
        <v>18812101943</v>
      </c>
      <c r="C6171" t="str">
        <f>"130427198112106545"</f>
        <v>130427198112106545</v>
      </c>
      <c r="D6171" t="s">
        <v>1</v>
      </c>
      <c r="E6171" t="s">
        <v>1</v>
      </c>
      <c r="F6171" t="s">
        <v>0</v>
      </c>
      <c r="G6171" t="str">
        <f>"2018-10-16 19:57:12"</f>
        <v>2018-10-16 19:57:12</v>
      </c>
    </row>
    <row r="6172" spans="1:7" x14ac:dyDescent="0.2">
      <c r="A6172" t="s">
        <v>1</v>
      </c>
      <c r="B6172" t="str">
        <f>"18303907815"</f>
        <v>18303907815</v>
      </c>
      <c r="C6172" t="s">
        <v>1</v>
      </c>
      <c r="D6172" t="s">
        <v>1</v>
      </c>
      <c r="E6172" t="s">
        <v>1</v>
      </c>
      <c r="F6172" t="s">
        <v>0</v>
      </c>
      <c r="G6172" t="str">
        <f>"2018-10-16 19:55:20"</f>
        <v>2018-10-16 19:55:20</v>
      </c>
    </row>
    <row r="6173" spans="1:7" x14ac:dyDescent="0.2">
      <c r="A6173" t="s">
        <v>7130</v>
      </c>
      <c r="B6173" t="str">
        <f>"18305612034"</f>
        <v>18305612034</v>
      </c>
      <c r="C6173" t="str">
        <f>"340602199101072818"</f>
        <v>340602199101072818</v>
      </c>
      <c r="D6173" t="s">
        <v>7131</v>
      </c>
      <c r="E6173" t="s">
        <v>7132</v>
      </c>
      <c r="F6173" t="s">
        <v>0</v>
      </c>
      <c r="G6173" t="str">
        <f>"2018-10-16 19:57:02"</f>
        <v>2018-10-16 19:57:02</v>
      </c>
    </row>
    <row r="6174" spans="1:7" x14ac:dyDescent="0.2">
      <c r="A6174" t="s">
        <v>7133</v>
      </c>
      <c r="B6174" t="str">
        <f>"15004778232"</f>
        <v>15004778232</v>
      </c>
      <c r="C6174" t="str">
        <f>"152723198601100319"</f>
        <v>152723198601100319</v>
      </c>
      <c r="D6174" t="s">
        <v>1</v>
      </c>
      <c r="E6174" t="s">
        <v>1</v>
      </c>
      <c r="F6174" t="s">
        <v>0</v>
      </c>
      <c r="G6174" t="str">
        <f>"2018-10-16 19:57:57"</f>
        <v>2018-10-16 19:57:57</v>
      </c>
    </row>
    <row r="6175" spans="1:7" x14ac:dyDescent="0.2">
      <c r="A6175" t="s">
        <v>7134</v>
      </c>
      <c r="B6175" t="str">
        <f>"18830788864"</f>
        <v>18830788864</v>
      </c>
      <c r="C6175" t="str">
        <f>"130633198511191378"</f>
        <v>130633198511191378</v>
      </c>
      <c r="D6175" t="s">
        <v>1</v>
      </c>
      <c r="E6175" t="s">
        <v>1</v>
      </c>
      <c r="F6175" t="s">
        <v>0</v>
      </c>
      <c r="G6175" t="str">
        <f>"2018-10-16 19:56:27"</f>
        <v>2018-10-16 19:56:27</v>
      </c>
    </row>
    <row r="6176" spans="1:7" x14ac:dyDescent="0.2">
      <c r="A6176" t="s">
        <v>7135</v>
      </c>
      <c r="B6176" t="str">
        <f>"18035445380"</f>
        <v>18035445380</v>
      </c>
      <c r="C6176" t="str">
        <f>"142427196812011541"</f>
        <v>142427196812011541</v>
      </c>
      <c r="D6176" t="s">
        <v>1</v>
      </c>
      <c r="E6176" t="s">
        <v>1</v>
      </c>
      <c r="F6176" t="s">
        <v>0</v>
      </c>
      <c r="G6176" t="str">
        <f>"2018-10-16 19:56:35"</f>
        <v>2018-10-16 19:56:35</v>
      </c>
    </row>
    <row r="6177" spans="1:7" x14ac:dyDescent="0.2">
      <c r="A6177" t="s">
        <v>7136</v>
      </c>
      <c r="B6177" t="str">
        <f>"17398189600"</f>
        <v>17398189600</v>
      </c>
      <c r="C6177" t="str">
        <f>"511522198711180013"</f>
        <v>511522198711180013</v>
      </c>
      <c r="D6177" t="s">
        <v>1</v>
      </c>
      <c r="E6177" t="s">
        <v>1</v>
      </c>
      <c r="F6177" t="s">
        <v>0</v>
      </c>
      <c r="G6177" t="str">
        <f>"2018-10-16 19:53:59"</f>
        <v>2018-10-16 19:53:59</v>
      </c>
    </row>
    <row r="6178" spans="1:7" x14ac:dyDescent="0.2">
      <c r="A6178" t="s">
        <v>7137</v>
      </c>
      <c r="B6178" t="str">
        <f>"15100213228"</f>
        <v>15100213228</v>
      </c>
      <c r="C6178" t="str">
        <f>"130604197006231213"</f>
        <v>130604197006231213</v>
      </c>
      <c r="D6178" t="s">
        <v>1</v>
      </c>
      <c r="E6178" t="s">
        <v>1</v>
      </c>
      <c r="F6178" t="s">
        <v>0</v>
      </c>
      <c r="G6178" t="str">
        <f>"2018-10-16 19:53:23"</f>
        <v>2018-10-16 19:53:23</v>
      </c>
    </row>
    <row r="6179" spans="1:7" x14ac:dyDescent="0.2">
      <c r="A6179" t="s">
        <v>84</v>
      </c>
      <c r="B6179" t="str">
        <f>"13079255051"</f>
        <v>13079255051</v>
      </c>
      <c r="C6179" t="str">
        <f>"211203199107134019"</f>
        <v>211203199107134019</v>
      </c>
      <c r="D6179" t="s">
        <v>1</v>
      </c>
      <c r="E6179" t="s">
        <v>1</v>
      </c>
      <c r="F6179" t="s">
        <v>0</v>
      </c>
      <c r="G6179" t="str">
        <f>"2018-10-16 19:54:49"</f>
        <v>2018-10-16 19:54:49</v>
      </c>
    </row>
    <row r="6180" spans="1:7" x14ac:dyDescent="0.2">
      <c r="A6180" t="s">
        <v>7138</v>
      </c>
      <c r="B6180" t="str">
        <f>"18774005741"</f>
        <v>18774005741</v>
      </c>
      <c r="C6180" t="str">
        <f>"431281199412131228"</f>
        <v>431281199412131228</v>
      </c>
      <c r="D6180" t="s">
        <v>1</v>
      </c>
      <c r="E6180" t="s">
        <v>1</v>
      </c>
      <c r="F6180" t="s">
        <v>0</v>
      </c>
      <c r="G6180" t="str">
        <f>"2018-10-16 19:53:05"</f>
        <v>2018-10-16 19:53:05</v>
      </c>
    </row>
    <row r="6181" spans="1:7" x14ac:dyDescent="0.2">
      <c r="A6181" t="s">
        <v>7139</v>
      </c>
      <c r="B6181" t="str">
        <f>"17872516828"</f>
        <v>17872516828</v>
      </c>
      <c r="C6181" t="str">
        <f>"430624199402071819"</f>
        <v>430624199402071819</v>
      </c>
      <c r="D6181" t="s">
        <v>1</v>
      </c>
      <c r="E6181" t="s">
        <v>1</v>
      </c>
      <c r="F6181" t="s">
        <v>0</v>
      </c>
      <c r="G6181" t="str">
        <f>"2018-10-16 19:56:51"</f>
        <v>2018-10-16 19:56:51</v>
      </c>
    </row>
    <row r="6182" spans="1:7" x14ac:dyDescent="0.2">
      <c r="A6182" t="s">
        <v>7140</v>
      </c>
      <c r="B6182" t="str">
        <f>"15703162229"</f>
        <v>15703162229</v>
      </c>
      <c r="C6182" t="str">
        <f>"132825199012042033"</f>
        <v>132825199012042033</v>
      </c>
      <c r="D6182" t="s">
        <v>1</v>
      </c>
      <c r="E6182" t="s">
        <v>1</v>
      </c>
      <c r="F6182" t="s">
        <v>0</v>
      </c>
      <c r="G6182" t="str">
        <f>"2018-10-16 19:50:35"</f>
        <v>2018-10-16 19:50:35</v>
      </c>
    </row>
    <row r="6183" spans="1:7" x14ac:dyDescent="0.2">
      <c r="A6183" t="s">
        <v>7141</v>
      </c>
      <c r="B6183" t="str">
        <f>"15145911828"</f>
        <v>15145911828</v>
      </c>
      <c r="C6183" t="str">
        <f>"230521197909152334"</f>
        <v>230521197909152334</v>
      </c>
      <c r="D6183" t="s">
        <v>1</v>
      </c>
      <c r="E6183" t="s">
        <v>1</v>
      </c>
      <c r="F6183" t="s">
        <v>0</v>
      </c>
      <c r="G6183" t="str">
        <f>"2018-10-16 19:51:13"</f>
        <v>2018-10-16 19:51:13</v>
      </c>
    </row>
    <row r="6184" spans="1:7" x14ac:dyDescent="0.2">
      <c r="A6184" t="s">
        <v>7142</v>
      </c>
      <c r="B6184" t="str">
        <f>"13799016497"</f>
        <v>13799016497</v>
      </c>
      <c r="C6184" t="str">
        <f>"350305200005201421"</f>
        <v>350305200005201421</v>
      </c>
      <c r="D6184" t="s">
        <v>1</v>
      </c>
      <c r="E6184" t="s">
        <v>1</v>
      </c>
      <c r="F6184" t="s">
        <v>0</v>
      </c>
      <c r="G6184" t="str">
        <f>"2018-10-16 19:50:49"</f>
        <v>2018-10-16 19:50:49</v>
      </c>
    </row>
    <row r="6185" spans="1:7" x14ac:dyDescent="0.2">
      <c r="A6185" t="s">
        <v>7143</v>
      </c>
      <c r="B6185" t="str">
        <f>"18064239981"</f>
        <v>18064239981</v>
      </c>
      <c r="C6185" t="str">
        <f>"420521198302191513"</f>
        <v>420521198302191513</v>
      </c>
      <c r="D6185" t="s">
        <v>1</v>
      </c>
      <c r="E6185" t="s">
        <v>1</v>
      </c>
      <c r="F6185" t="s">
        <v>0</v>
      </c>
      <c r="G6185" t="str">
        <f>"2018-10-16 19:53:16"</f>
        <v>2018-10-16 19:53:16</v>
      </c>
    </row>
    <row r="6186" spans="1:7" x14ac:dyDescent="0.2">
      <c r="A6186" t="s">
        <v>195</v>
      </c>
      <c r="B6186" t="str">
        <f>"17783597878"</f>
        <v>17783597878</v>
      </c>
      <c r="C6186" t="str">
        <f>"500383198612180746"</f>
        <v>500383198612180746</v>
      </c>
      <c r="D6186" t="s">
        <v>1</v>
      </c>
      <c r="E6186" t="s">
        <v>1</v>
      </c>
      <c r="F6186" t="s">
        <v>0</v>
      </c>
      <c r="G6186" t="str">
        <f>"2018-10-16 21:32:11"</f>
        <v>2018-10-16 21:32:11</v>
      </c>
    </row>
    <row r="6187" spans="1:7" x14ac:dyDescent="0.2">
      <c r="A6187" t="s">
        <v>7144</v>
      </c>
      <c r="B6187" t="str">
        <f>"17380215316"</f>
        <v>17380215316</v>
      </c>
      <c r="C6187" t="str">
        <f>"510623197908102410"</f>
        <v>510623197908102410</v>
      </c>
      <c r="D6187" t="s">
        <v>1</v>
      </c>
      <c r="E6187" t="s">
        <v>1</v>
      </c>
      <c r="F6187" t="s">
        <v>0</v>
      </c>
      <c r="G6187" t="str">
        <f>"2018-10-16 19:47:50"</f>
        <v>2018-10-16 19:47:50</v>
      </c>
    </row>
    <row r="6188" spans="1:7" x14ac:dyDescent="0.2">
      <c r="A6188" t="s">
        <v>7145</v>
      </c>
      <c r="B6188" t="str">
        <f>"13712050373"</f>
        <v>13712050373</v>
      </c>
      <c r="C6188" t="str">
        <f>"44162220000412794X"</f>
        <v>44162220000412794X</v>
      </c>
      <c r="D6188" t="s">
        <v>1</v>
      </c>
      <c r="E6188" t="s">
        <v>1</v>
      </c>
      <c r="F6188" t="s">
        <v>0</v>
      </c>
      <c r="G6188" t="str">
        <f>"2018-10-25 19:26:52"</f>
        <v>2018-10-25 19:26:52</v>
      </c>
    </row>
    <row r="6189" spans="1:7" x14ac:dyDescent="0.2">
      <c r="A6189" t="s">
        <v>7146</v>
      </c>
      <c r="B6189" t="str">
        <f>"13101481902"</f>
        <v>13101481902</v>
      </c>
      <c r="C6189" t="str">
        <f>"352227199302162149"</f>
        <v>352227199302162149</v>
      </c>
      <c r="D6189" t="s">
        <v>1</v>
      </c>
      <c r="E6189" t="s">
        <v>1</v>
      </c>
      <c r="F6189" t="s">
        <v>0</v>
      </c>
      <c r="G6189" t="str">
        <f>"2018-10-16 19:46:55"</f>
        <v>2018-10-16 19:46:55</v>
      </c>
    </row>
    <row r="6190" spans="1:7" x14ac:dyDescent="0.2">
      <c r="A6190" t="s">
        <v>1</v>
      </c>
      <c r="B6190" t="str">
        <f>"13928850291"</f>
        <v>13928850291</v>
      </c>
      <c r="C6190" t="s">
        <v>1</v>
      </c>
      <c r="D6190" t="s">
        <v>1</v>
      </c>
      <c r="E6190" t="s">
        <v>1</v>
      </c>
      <c r="F6190" t="s">
        <v>0</v>
      </c>
      <c r="G6190" t="str">
        <f>"2018-10-25 12:43:48"</f>
        <v>2018-10-25 12:43:48</v>
      </c>
    </row>
    <row r="6191" spans="1:7" x14ac:dyDescent="0.2">
      <c r="A6191" t="s">
        <v>1</v>
      </c>
      <c r="B6191" t="str">
        <f>"17585229330"</f>
        <v>17585229330</v>
      </c>
      <c r="C6191" t="s">
        <v>1</v>
      </c>
      <c r="D6191" t="s">
        <v>1</v>
      </c>
      <c r="E6191" t="s">
        <v>1</v>
      </c>
      <c r="F6191" t="s">
        <v>0</v>
      </c>
      <c r="G6191" t="str">
        <f>"2018-10-16 19:47:24"</f>
        <v>2018-10-16 19:47:24</v>
      </c>
    </row>
    <row r="6192" spans="1:7" x14ac:dyDescent="0.2">
      <c r="A6192" t="s">
        <v>263</v>
      </c>
      <c r="B6192" t="str">
        <f>"15239848598"</f>
        <v>15239848598</v>
      </c>
      <c r="C6192" t="str">
        <f>"411221198911063018"</f>
        <v>411221198911063018</v>
      </c>
      <c r="D6192" t="s">
        <v>1</v>
      </c>
      <c r="E6192" t="s">
        <v>1</v>
      </c>
      <c r="F6192" t="s">
        <v>0</v>
      </c>
      <c r="G6192" t="str">
        <f>"2018-10-16 19:46:18"</f>
        <v>2018-10-16 19:46:18</v>
      </c>
    </row>
    <row r="6193" spans="1:7" x14ac:dyDescent="0.2">
      <c r="A6193" t="s">
        <v>7147</v>
      </c>
      <c r="B6193" t="str">
        <f>"15863713761"</f>
        <v>15863713761</v>
      </c>
      <c r="C6193" t="str">
        <f>"370882198610083711"</f>
        <v>370882198610083711</v>
      </c>
      <c r="D6193" t="s">
        <v>1</v>
      </c>
      <c r="E6193" t="s">
        <v>1</v>
      </c>
      <c r="F6193" t="s">
        <v>0</v>
      </c>
      <c r="G6193" t="str">
        <f>"2018-10-16 19:44:19"</f>
        <v>2018-10-16 19:44:19</v>
      </c>
    </row>
    <row r="6194" spans="1:7" x14ac:dyDescent="0.2">
      <c r="A6194" t="s">
        <v>1</v>
      </c>
      <c r="B6194" t="str">
        <f>"15172075293"</f>
        <v>15172075293</v>
      </c>
      <c r="C6194" t="s">
        <v>1</v>
      </c>
      <c r="D6194" t="s">
        <v>1</v>
      </c>
      <c r="E6194" t="s">
        <v>1</v>
      </c>
      <c r="F6194" t="s">
        <v>0</v>
      </c>
      <c r="G6194" t="str">
        <f>"2018-10-16 19:43:57"</f>
        <v>2018-10-16 19:43:57</v>
      </c>
    </row>
    <row r="6195" spans="1:7" x14ac:dyDescent="0.2">
      <c r="A6195" t="s">
        <v>7148</v>
      </c>
      <c r="B6195" t="str">
        <f>"18770664221"</f>
        <v>18770664221</v>
      </c>
      <c r="C6195" t="str">
        <f>"362432198601224011"</f>
        <v>362432198601224011</v>
      </c>
      <c r="D6195" t="s">
        <v>7149</v>
      </c>
      <c r="E6195" t="s">
        <v>7149</v>
      </c>
      <c r="F6195" t="s">
        <v>0</v>
      </c>
      <c r="G6195" t="str">
        <f>"2018-10-16 19:44:52"</f>
        <v>2018-10-16 19:44:52</v>
      </c>
    </row>
    <row r="6196" spans="1:7" x14ac:dyDescent="0.2">
      <c r="A6196" t="s">
        <v>1</v>
      </c>
      <c r="B6196" t="str">
        <f>"13852691590"</f>
        <v>13852691590</v>
      </c>
      <c r="C6196" t="s">
        <v>1</v>
      </c>
      <c r="D6196" t="s">
        <v>1</v>
      </c>
      <c r="E6196" t="s">
        <v>1</v>
      </c>
      <c r="F6196" t="s">
        <v>0</v>
      </c>
      <c r="G6196" t="str">
        <f>"2018-10-16 19:42:11"</f>
        <v>2018-10-16 19:42:11</v>
      </c>
    </row>
    <row r="6197" spans="1:7" x14ac:dyDescent="0.2">
      <c r="A6197" t="s">
        <v>7150</v>
      </c>
      <c r="B6197" t="str">
        <f>"18223505881"</f>
        <v>18223505881</v>
      </c>
      <c r="C6197" t="str">
        <f>"500110199102243212"</f>
        <v>500110199102243212</v>
      </c>
      <c r="D6197" t="s">
        <v>1</v>
      </c>
      <c r="E6197" t="s">
        <v>1</v>
      </c>
      <c r="F6197" t="s">
        <v>0</v>
      </c>
      <c r="G6197" t="str">
        <f>"2018-10-16 19:43:51"</f>
        <v>2018-10-16 19:43:51</v>
      </c>
    </row>
    <row r="6198" spans="1:7" x14ac:dyDescent="0.2">
      <c r="A6198" t="s">
        <v>7151</v>
      </c>
      <c r="B6198" t="str">
        <f>"17781309850"</f>
        <v>17781309850</v>
      </c>
      <c r="C6198" t="str">
        <f>"513225199510052313"</f>
        <v>513225199510052313</v>
      </c>
      <c r="D6198" t="s">
        <v>1</v>
      </c>
      <c r="E6198" t="s">
        <v>1</v>
      </c>
      <c r="F6198" t="s">
        <v>0</v>
      </c>
      <c r="G6198" t="str">
        <f>"2018-10-16 19:41:19"</f>
        <v>2018-10-16 19:41:19</v>
      </c>
    </row>
    <row r="6199" spans="1:7" x14ac:dyDescent="0.2">
      <c r="A6199" t="s">
        <v>1</v>
      </c>
      <c r="B6199" t="str">
        <f>"18697605201"</f>
        <v>18697605201</v>
      </c>
      <c r="C6199" t="s">
        <v>1</v>
      </c>
      <c r="D6199" t="s">
        <v>1</v>
      </c>
      <c r="E6199" t="s">
        <v>1</v>
      </c>
      <c r="F6199" t="s">
        <v>0</v>
      </c>
      <c r="G6199" t="str">
        <f>"2018-10-16 19:40:25"</f>
        <v>2018-10-16 19:40:25</v>
      </c>
    </row>
    <row r="6200" spans="1:7" x14ac:dyDescent="0.2">
      <c r="A6200" t="s">
        <v>787</v>
      </c>
      <c r="B6200" t="str">
        <f>"18661147715"</f>
        <v>18661147715</v>
      </c>
      <c r="C6200" t="str">
        <f>"433125198901241007"</f>
        <v>433125198901241007</v>
      </c>
      <c r="D6200" t="s">
        <v>1</v>
      </c>
      <c r="E6200" t="s">
        <v>1</v>
      </c>
      <c r="F6200" t="s">
        <v>0</v>
      </c>
      <c r="G6200" t="str">
        <f>"2018-10-18 21:19:29"</f>
        <v>2018-10-18 21:19:29</v>
      </c>
    </row>
    <row r="6201" spans="1:7" x14ac:dyDescent="0.2">
      <c r="A6201" t="s">
        <v>7152</v>
      </c>
      <c r="B6201" t="str">
        <f>"13265999907"</f>
        <v>13265999907</v>
      </c>
      <c r="C6201" t="str">
        <f>"442000199308182619"</f>
        <v>442000199308182619</v>
      </c>
      <c r="D6201" t="s">
        <v>1</v>
      </c>
      <c r="E6201" t="s">
        <v>1</v>
      </c>
      <c r="F6201" t="s">
        <v>0</v>
      </c>
      <c r="G6201" t="str">
        <f>"2018-10-16 19:45:45"</f>
        <v>2018-10-16 19:45:45</v>
      </c>
    </row>
    <row r="6202" spans="1:7" x14ac:dyDescent="0.2">
      <c r="A6202" t="s">
        <v>7153</v>
      </c>
      <c r="B6202" t="str">
        <f>"15032013101"</f>
        <v>15032013101</v>
      </c>
      <c r="C6202" t="str">
        <f>"130421198310063912"</f>
        <v>130421198310063912</v>
      </c>
      <c r="D6202" t="s">
        <v>1</v>
      </c>
      <c r="E6202" t="s">
        <v>1</v>
      </c>
      <c r="F6202" t="s">
        <v>0</v>
      </c>
      <c r="G6202" t="str">
        <f>"2018-10-16 19:42:39"</f>
        <v>2018-10-16 19:42:39</v>
      </c>
    </row>
    <row r="6203" spans="1:7" x14ac:dyDescent="0.2">
      <c r="A6203" t="s">
        <v>1109</v>
      </c>
      <c r="B6203" t="str">
        <f>"18156371393"</f>
        <v>18156371393</v>
      </c>
      <c r="C6203" t="str">
        <f>"342502198908297016"</f>
        <v>342502198908297016</v>
      </c>
      <c r="D6203" t="s">
        <v>1</v>
      </c>
      <c r="E6203" t="s">
        <v>1</v>
      </c>
      <c r="F6203" t="s">
        <v>0</v>
      </c>
      <c r="G6203" t="str">
        <f>"2018-10-16 19:39:14"</f>
        <v>2018-10-16 19:39:14</v>
      </c>
    </row>
    <row r="6204" spans="1:7" x14ac:dyDescent="0.2">
      <c r="A6204" t="s">
        <v>1</v>
      </c>
      <c r="B6204" t="str">
        <f>"15540308726"</f>
        <v>15540308726</v>
      </c>
      <c r="C6204" t="s">
        <v>1</v>
      </c>
      <c r="D6204" t="s">
        <v>1</v>
      </c>
      <c r="E6204" t="s">
        <v>1</v>
      </c>
      <c r="F6204" t="s">
        <v>0</v>
      </c>
      <c r="G6204" t="str">
        <f>"2018-10-16 19:40:37"</f>
        <v>2018-10-16 19:40:37</v>
      </c>
    </row>
    <row r="6205" spans="1:7" x14ac:dyDescent="0.2">
      <c r="A6205" t="s">
        <v>7154</v>
      </c>
      <c r="B6205" t="str">
        <f>"17322101507"</f>
        <v>17322101507</v>
      </c>
      <c r="C6205" t="str">
        <f>"612323199604062913"</f>
        <v>612323199604062913</v>
      </c>
      <c r="D6205" t="s">
        <v>1</v>
      </c>
      <c r="E6205" t="s">
        <v>1</v>
      </c>
      <c r="F6205" t="s">
        <v>0</v>
      </c>
      <c r="G6205" t="str">
        <f>"2018-10-16 19:38:49"</f>
        <v>2018-10-16 19:38:49</v>
      </c>
    </row>
    <row r="6206" spans="1:7" x14ac:dyDescent="0.2">
      <c r="A6206" t="s">
        <v>1</v>
      </c>
      <c r="B6206" t="str">
        <f>"15133241290"</f>
        <v>15133241290</v>
      </c>
      <c r="C6206" t="s">
        <v>1</v>
      </c>
      <c r="D6206" t="s">
        <v>1</v>
      </c>
      <c r="E6206" t="s">
        <v>1</v>
      </c>
      <c r="F6206" t="s">
        <v>0</v>
      </c>
      <c r="G6206" t="str">
        <f>"2018-10-16 19:37:12"</f>
        <v>2018-10-16 19:37:12</v>
      </c>
    </row>
    <row r="6207" spans="1:7" x14ac:dyDescent="0.2">
      <c r="A6207" t="s">
        <v>7155</v>
      </c>
      <c r="B6207" t="str">
        <f>"17631271330"</f>
        <v>17631271330</v>
      </c>
      <c r="C6207" t="str">
        <f>"36222919970416001X"</f>
        <v>36222919970416001X</v>
      </c>
      <c r="D6207" t="s">
        <v>1</v>
      </c>
      <c r="E6207" t="s">
        <v>1</v>
      </c>
      <c r="F6207" t="s">
        <v>0</v>
      </c>
      <c r="G6207" t="str">
        <f>"2018-10-23 17:45:30"</f>
        <v>2018-10-23 17:45:30</v>
      </c>
    </row>
    <row r="6208" spans="1:7" x14ac:dyDescent="0.2">
      <c r="A6208" t="s">
        <v>7156</v>
      </c>
      <c r="B6208" t="str">
        <f>"15955194822"</f>
        <v>15955194822</v>
      </c>
      <c r="C6208" t="str">
        <f>"53322319791122152X"</f>
        <v>53322319791122152X</v>
      </c>
      <c r="D6208" t="s">
        <v>7157</v>
      </c>
      <c r="E6208" t="s">
        <v>7158</v>
      </c>
      <c r="F6208" t="s">
        <v>0</v>
      </c>
      <c r="G6208" t="str">
        <f>"2018-10-16 19:39:20"</f>
        <v>2018-10-16 19:39:20</v>
      </c>
    </row>
    <row r="6209" spans="1:7" x14ac:dyDescent="0.2">
      <c r="A6209" t="s">
        <v>7159</v>
      </c>
      <c r="B6209" t="str">
        <f>"15124564098"</f>
        <v>15124564098</v>
      </c>
      <c r="C6209" t="str">
        <f>"230421198809150613"</f>
        <v>230421198809150613</v>
      </c>
      <c r="D6209" t="s">
        <v>1</v>
      </c>
      <c r="E6209" t="s">
        <v>1</v>
      </c>
      <c r="F6209" t="s">
        <v>0</v>
      </c>
      <c r="G6209" t="str">
        <f>"2018-10-16 19:51:27"</f>
        <v>2018-10-16 19:51:27</v>
      </c>
    </row>
    <row r="6210" spans="1:7" x14ac:dyDescent="0.2">
      <c r="A6210" t="s">
        <v>1</v>
      </c>
      <c r="B6210" t="str">
        <f>"13727705448"</f>
        <v>13727705448</v>
      </c>
      <c r="C6210" t="s">
        <v>1</v>
      </c>
      <c r="D6210" t="s">
        <v>1</v>
      </c>
      <c r="E6210" t="s">
        <v>1</v>
      </c>
      <c r="F6210" t="s">
        <v>0</v>
      </c>
      <c r="G6210" t="str">
        <f>"2018-10-16 19:36:38"</f>
        <v>2018-10-16 19:36:38</v>
      </c>
    </row>
    <row r="6211" spans="1:7" x14ac:dyDescent="0.2">
      <c r="A6211" t="s">
        <v>1</v>
      </c>
      <c r="B6211" t="str">
        <f>"13078043304"</f>
        <v>13078043304</v>
      </c>
      <c r="C6211" t="s">
        <v>1</v>
      </c>
      <c r="D6211" t="s">
        <v>1</v>
      </c>
      <c r="E6211" t="s">
        <v>1</v>
      </c>
      <c r="F6211" t="s">
        <v>0</v>
      </c>
      <c r="G6211" t="str">
        <f>"2018-10-16 19:36:27"</f>
        <v>2018-10-16 19:36:27</v>
      </c>
    </row>
    <row r="6212" spans="1:7" x14ac:dyDescent="0.2">
      <c r="A6212" t="s">
        <v>7160</v>
      </c>
      <c r="B6212" t="str">
        <f>"18877977810"</f>
        <v>18877977810</v>
      </c>
      <c r="C6212" t="str">
        <f>"450923199003164878"</f>
        <v>450923199003164878</v>
      </c>
      <c r="D6212" t="s">
        <v>1</v>
      </c>
      <c r="E6212" t="s">
        <v>1</v>
      </c>
      <c r="F6212" t="s">
        <v>0</v>
      </c>
      <c r="G6212" t="str">
        <f>"2018-10-16 19:51:01"</f>
        <v>2018-10-16 19:51:01</v>
      </c>
    </row>
    <row r="6213" spans="1:7" x14ac:dyDescent="0.2">
      <c r="A6213" t="s">
        <v>7161</v>
      </c>
      <c r="B6213" t="str">
        <f>"18289716163"</f>
        <v>18289716163</v>
      </c>
      <c r="C6213" t="str">
        <f>"460027199712100015"</f>
        <v>460027199712100015</v>
      </c>
      <c r="D6213" t="s">
        <v>1</v>
      </c>
      <c r="E6213" t="s">
        <v>1</v>
      </c>
      <c r="F6213" t="s">
        <v>0</v>
      </c>
      <c r="G6213" t="str">
        <f>"2018-10-16 19:34:47"</f>
        <v>2018-10-16 19:34:47</v>
      </c>
    </row>
    <row r="6214" spans="1:7" x14ac:dyDescent="0.2">
      <c r="A6214" t="s">
        <v>7162</v>
      </c>
      <c r="B6214" t="str">
        <f>"18374719435"</f>
        <v>18374719435</v>
      </c>
      <c r="C6214" t="str">
        <f>"430481199106173438"</f>
        <v>430481199106173438</v>
      </c>
      <c r="D6214" t="s">
        <v>1</v>
      </c>
      <c r="E6214" t="s">
        <v>1</v>
      </c>
      <c r="F6214" t="s">
        <v>0</v>
      </c>
      <c r="G6214" t="str">
        <f>"2018-10-16 19:36:37"</f>
        <v>2018-10-16 19:36:37</v>
      </c>
    </row>
    <row r="6215" spans="1:7" x14ac:dyDescent="0.2">
      <c r="A6215" t="s">
        <v>1</v>
      </c>
      <c r="B6215" t="str">
        <f>"18644836770"</f>
        <v>18644836770</v>
      </c>
      <c r="C6215" t="s">
        <v>1</v>
      </c>
      <c r="D6215" t="s">
        <v>1</v>
      </c>
      <c r="E6215" t="s">
        <v>1</v>
      </c>
      <c r="F6215" t="s">
        <v>0</v>
      </c>
      <c r="G6215" t="str">
        <f>"2018-10-16 19:36:45"</f>
        <v>2018-10-16 19:36:45</v>
      </c>
    </row>
    <row r="6216" spans="1:7" x14ac:dyDescent="0.2">
      <c r="A6216" t="s">
        <v>1</v>
      </c>
      <c r="B6216" t="str">
        <f>"13802899234"</f>
        <v>13802899234</v>
      </c>
      <c r="C6216" t="s">
        <v>1</v>
      </c>
      <c r="D6216" t="s">
        <v>1</v>
      </c>
      <c r="E6216" t="s">
        <v>1</v>
      </c>
      <c r="F6216" t="s">
        <v>0</v>
      </c>
      <c r="G6216" t="str">
        <f>"2018-10-23 15:26:03"</f>
        <v>2018-10-23 15:26:03</v>
      </c>
    </row>
    <row r="6217" spans="1:7" x14ac:dyDescent="0.2">
      <c r="A6217" t="s">
        <v>1</v>
      </c>
      <c r="B6217" t="str">
        <f>"15914731124"</f>
        <v>15914731124</v>
      </c>
      <c r="C6217" t="s">
        <v>1</v>
      </c>
      <c r="D6217" t="s">
        <v>1</v>
      </c>
      <c r="E6217" t="s">
        <v>1</v>
      </c>
      <c r="F6217" t="s">
        <v>0</v>
      </c>
      <c r="G6217" t="str">
        <f>"2018-10-16 19:35:37"</f>
        <v>2018-10-16 19:35:37</v>
      </c>
    </row>
    <row r="6218" spans="1:7" x14ac:dyDescent="0.2">
      <c r="A6218" t="s">
        <v>401</v>
      </c>
      <c r="B6218" t="str">
        <f>"15641515023"</f>
        <v>15641515023</v>
      </c>
      <c r="C6218" t="str">
        <f>"220284198411045234"</f>
        <v>220284198411045234</v>
      </c>
      <c r="D6218" t="s">
        <v>7163</v>
      </c>
      <c r="E6218" t="s">
        <v>7164</v>
      </c>
      <c r="F6218" t="s">
        <v>0</v>
      </c>
      <c r="G6218" t="str">
        <f>"2018-10-16 19:36:14"</f>
        <v>2018-10-16 19:36:14</v>
      </c>
    </row>
    <row r="6219" spans="1:7" x14ac:dyDescent="0.2">
      <c r="A6219" t="s">
        <v>7165</v>
      </c>
      <c r="B6219" t="str">
        <f>"18259779891"</f>
        <v>18259779891</v>
      </c>
      <c r="C6219" t="str">
        <f>"350424199001160246"</f>
        <v>350424199001160246</v>
      </c>
      <c r="D6219" t="s">
        <v>1</v>
      </c>
      <c r="E6219" t="s">
        <v>1</v>
      </c>
      <c r="F6219" t="s">
        <v>0</v>
      </c>
      <c r="G6219" t="str">
        <f>"2018-10-16 19:35:22"</f>
        <v>2018-10-16 19:35:22</v>
      </c>
    </row>
    <row r="6220" spans="1:7" x14ac:dyDescent="0.2">
      <c r="A6220" t="s">
        <v>1665</v>
      </c>
      <c r="B6220" t="str">
        <f>"13137213293"</f>
        <v>13137213293</v>
      </c>
      <c r="C6220" t="str">
        <f>"410522199209287720"</f>
        <v>410522199209287720</v>
      </c>
      <c r="D6220" t="s">
        <v>1</v>
      </c>
      <c r="E6220" t="s">
        <v>1</v>
      </c>
      <c r="F6220" t="s">
        <v>0</v>
      </c>
      <c r="G6220" t="str">
        <f>"2018-10-16 19:33:31"</f>
        <v>2018-10-16 19:33:31</v>
      </c>
    </row>
    <row r="6221" spans="1:7" x14ac:dyDescent="0.2">
      <c r="A6221" t="s">
        <v>7166</v>
      </c>
      <c r="B6221" t="str">
        <f>"13557763033"</f>
        <v>13557763033</v>
      </c>
      <c r="C6221" t="str">
        <f>"452623199001200359"</f>
        <v>452623199001200359</v>
      </c>
      <c r="D6221" t="s">
        <v>1</v>
      </c>
      <c r="E6221" t="s">
        <v>1</v>
      </c>
      <c r="F6221" t="s">
        <v>0</v>
      </c>
      <c r="G6221" t="str">
        <f>"2018-10-16 19:36:21"</f>
        <v>2018-10-16 19:36:21</v>
      </c>
    </row>
    <row r="6222" spans="1:7" x14ac:dyDescent="0.2">
      <c r="A6222" t="s">
        <v>1</v>
      </c>
      <c r="B6222" t="str">
        <f>"13858221320"</f>
        <v>13858221320</v>
      </c>
      <c r="C6222" t="s">
        <v>1</v>
      </c>
      <c r="D6222" t="s">
        <v>1</v>
      </c>
      <c r="E6222" t="s">
        <v>1</v>
      </c>
      <c r="F6222" t="s">
        <v>0</v>
      </c>
      <c r="G6222" t="str">
        <f>"2018-10-16 19:29:59"</f>
        <v>2018-10-16 19:29:59</v>
      </c>
    </row>
    <row r="6223" spans="1:7" x14ac:dyDescent="0.2">
      <c r="A6223" t="s">
        <v>286</v>
      </c>
      <c r="B6223" t="str">
        <f>"15935000880"</f>
        <v>15935000880</v>
      </c>
      <c r="C6223" t="str">
        <f>"142202198604280019"</f>
        <v>142202198604280019</v>
      </c>
      <c r="D6223" t="s">
        <v>1</v>
      </c>
      <c r="E6223" t="s">
        <v>1</v>
      </c>
      <c r="F6223" t="s">
        <v>0</v>
      </c>
      <c r="G6223" t="str">
        <f>"2018-10-17 11:25:45"</f>
        <v>2018-10-17 11:25:45</v>
      </c>
    </row>
    <row r="6224" spans="1:7" x14ac:dyDescent="0.2">
      <c r="A6224" t="s">
        <v>1</v>
      </c>
      <c r="B6224" t="str">
        <f>"18708895695"</f>
        <v>18708895695</v>
      </c>
      <c r="C6224" t="s">
        <v>1</v>
      </c>
      <c r="D6224" t="s">
        <v>1</v>
      </c>
      <c r="E6224" t="s">
        <v>1</v>
      </c>
      <c r="F6224" t="s">
        <v>0</v>
      </c>
      <c r="G6224" t="str">
        <f>"2018-10-16 19:31:28"</f>
        <v>2018-10-16 19:31:28</v>
      </c>
    </row>
    <row r="6225" spans="1:7" x14ac:dyDescent="0.2">
      <c r="A6225" t="s">
        <v>7167</v>
      </c>
      <c r="B6225" t="str">
        <f>"17365581829"</f>
        <v>17365581829</v>
      </c>
      <c r="C6225" t="str">
        <f>"510603198402020310"</f>
        <v>510603198402020310</v>
      </c>
      <c r="D6225" t="s">
        <v>1</v>
      </c>
      <c r="E6225" t="s">
        <v>1</v>
      </c>
      <c r="F6225" t="s">
        <v>0</v>
      </c>
      <c r="G6225" t="str">
        <f>"2018-10-17 16:03:30"</f>
        <v>2018-10-17 16:03:30</v>
      </c>
    </row>
    <row r="6226" spans="1:7" x14ac:dyDescent="0.2">
      <c r="A6226" t="s">
        <v>7168</v>
      </c>
      <c r="B6226" t="str">
        <f>"15880093934"</f>
        <v>15880093934</v>
      </c>
      <c r="C6226" t="str">
        <f>"411329198905150330"</f>
        <v>411329198905150330</v>
      </c>
      <c r="D6226" t="s">
        <v>1</v>
      </c>
      <c r="E6226" t="s">
        <v>1</v>
      </c>
      <c r="F6226" t="s">
        <v>0</v>
      </c>
      <c r="G6226" t="str">
        <f>"2018-10-16 20:16:49"</f>
        <v>2018-10-16 20:16:49</v>
      </c>
    </row>
    <row r="6227" spans="1:7" x14ac:dyDescent="0.2">
      <c r="A6227" t="s">
        <v>7169</v>
      </c>
      <c r="B6227" t="str">
        <f>"17623413577"</f>
        <v>17623413577</v>
      </c>
      <c r="C6227" t="str">
        <f>"440582199208062054"</f>
        <v>440582199208062054</v>
      </c>
      <c r="D6227" t="s">
        <v>1</v>
      </c>
      <c r="E6227" t="s">
        <v>1</v>
      </c>
      <c r="F6227" t="s">
        <v>0</v>
      </c>
      <c r="G6227" t="str">
        <f>"2018-10-16 19:30:36"</f>
        <v>2018-10-16 19:30:36</v>
      </c>
    </row>
    <row r="6228" spans="1:7" x14ac:dyDescent="0.2">
      <c r="A6228" t="s">
        <v>1243</v>
      </c>
      <c r="B6228" t="str">
        <f>"18676707482"</f>
        <v>18676707482</v>
      </c>
      <c r="C6228" t="str">
        <f>"430581199811238300"</f>
        <v>430581199811238300</v>
      </c>
      <c r="D6228" t="s">
        <v>1</v>
      </c>
      <c r="E6228" t="s">
        <v>1</v>
      </c>
      <c r="F6228" t="s">
        <v>0</v>
      </c>
      <c r="G6228" t="str">
        <f>"2018-10-16 19:29:21"</f>
        <v>2018-10-16 19:29:21</v>
      </c>
    </row>
    <row r="6229" spans="1:7" x14ac:dyDescent="0.2">
      <c r="A6229" t="s">
        <v>548</v>
      </c>
      <c r="B6229" t="str">
        <f>"13620788940"</f>
        <v>13620788940</v>
      </c>
      <c r="C6229" t="str">
        <f>"220322199809277802"</f>
        <v>220322199809277802</v>
      </c>
      <c r="D6229" t="s">
        <v>1</v>
      </c>
      <c r="E6229" t="s">
        <v>1</v>
      </c>
      <c r="F6229" t="s">
        <v>0</v>
      </c>
      <c r="G6229" t="str">
        <f>"2018-11-02 11:36:13"</f>
        <v>2018-11-02 11:36:13</v>
      </c>
    </row>
    <row r="6230" spans="1:7" x14ac:dyDescent="0.2">
      <c r="A6230" t="s">
        <v>7170</v>
      </c>
      <c r="B6230" t="str">
        <f>"13203957700"</f>
        <v>13203957700</v>
      </c>
      <c r="C6230" t="str">
        <f>"410811198605250121"</f>
        <v>410811198605250121</v>
      </c>
      <c r="D6230" t="s">
        <v>1</v>
      </c>
      <c r="E6230" t="s">
        <v>1</v>
      </c>
      <c r="F6230" t="s">
        <v>0</v>
      </c>
      <c r="G6230" t="str">
        <f>"2018-10-16 19:30:14"</f>
        <v>2018-10-16 19:30:14</v>
      </c>
    </row>
    <row r="6231" spans="1:7" x14ac:dyDescent="0.2">
      <c r="A6231" t="s">
        <v>1</v>
      </c>
      <c r="B6231" t="str">
        <f>"13266071105"</f>
        <v>13266071105</v>
      </c>
      <c r="C6231" t="s">
        <v>1</v>
      </c>
      <c r="D6231" t="s">
        <v>1</v>
      </c>
      <c r="E6231" t="s">
        <v>1</v>
      </c>
      <c r="F6231" t="s">
        <v>0</v>
      </c>
      <c r="G6231" t="str">
        <f>"2018-10-16 19:30:57"</f>
        <v>2018-10-16 19:30:57</v>
      </c>
    </row>
    <row r="6232" spans="1:7" x14ac:dyDescent="0.2">
      <c r="A6232" t="s">
        <v>1</v>
      </c>
      <c r="B6232" t="str">
        <f>"15956089676"</f>
        <v>15956089676</v>
      </c>
      <c r="C6232" t="s">
        <v>1</v>
      </c>
      <c r="D6232" t="s">
        <v>1</v>
      </c>
      <c r="E6232" t="s">
        <v>1</v>
      </c>
      <c r="F6232" t="s">
        <v>0</v>
      </c>
      <c r="G6232" t="str">
        <f>"2018-10-16 19:27:45"</f>
        <v>2018-10-16 19:27:45</v>
      </c>
    </row>
    <row r="6233" spans="1:7" x14ac:dyDescent="0.2">
      <c r="A6233" t="s">
        <v>339</v>
      </c>
      <c r="B6233" t="str">
        <f>"15083102390"</f>
        <v>15083102390</v>
      </c>
      <c r="C6233" t="str">
        <f>"410727199111271563"</f>
        <v>410727199111271563</v>
      </c>
      <c r="D6233" t="s">
        <v>1</v>
      </c>
      <c r="E6233" t="s">
        <v>1</v>
      </c>
      <c r="F6233" t="s">
        <v>0</v>
      </c>
      <c r="G6233" t="str">
        <f>"2018-10-16 19:28:08"</f>
        <v>2018-10-16 19:28:08</v>
      </c>
    </row>
    <row r="6234" spans="1:7" x14ac:dyDescent="0.2">
      <c r="A6234" t="s">
        <v>7171</v>
      </c>
      <c r="B6234" t="str">
        <f>"18604337526"</f>
        <v>18604337526</v>
      </c>
      <c r="C6234" t="str">
        <f>"222401199110030617"</f>
        <v>222401199110030617</v>
      </c>
      <c r="D6234" t="s">
        <v>1</v>
      </c>
      <c r="E6234" t="s">
        <v>1</v>
      </c>
      <c r="F6234" t="s">
        <v>0</v>
      </c>
      <c r="G6234" t="str">
        <f>"2018-10-16 19:30:03"</f>
        <v>2018-10-16 19:30:03</v>
      </c>
    </row>
    <row r="6235" spans="1:7" x14ac:dyDescent="0.2">
      <c r="A6235" t="s">
        <v>7172</v>
      </c>
      <c r="B6235" t="str">
        <f>"18235349302"</f>
        <v>18235349302</v>
      </c>
      <c r="C6235" t="str">
        <f>"140322199108230323"</f>
        <v>140322199108230323</v>
      </c>
      <c r="D6235" t="s">
        <v>1</v>
      </c>
      <c r="E6235" t="s">
        <v>1</v>
      </c>
      <c r="F6235" t="s">
        <v>0</v>
      </c>
      <c r="G6235" t="str">
        <f>"2018-10-16 19:27:25"</f>
        <v>2018-10-16 19:27:25</v>
      </c>
    </row>
    <row r="6236" spans="1:7" x14ac:dyDescent="0.2">
      <c r="A6236" t="s">
        <v>7173</v>
      </c>
      <c r="B6236" t="str">
        <f>"13543174137"</f>
        <v>13543174137</v>
      </c>
      <c r="C6236" t="str">
        <f>"441501199410244022"</f>
        <v>441501199410244022</v>
      </c>
      <c r="D6236" t="s">
        <v>1</v>
      </c>
      <c r="E6236" t="s">
        <v>1</v>
      </c>
      <c r="F6236" t="s">
        <v>0</v>
      </c>
      <c r="G6236" t="str">
        <f>"2018-10-16 19:47:02"</f>
        <v>2018-10-16 19:47:02</v>
      </c>
    </row>
    <row r="6237" spans="1:7" x14ac:dyDescent="0.2">
      <c r="A6237" t="s">
        <v>1344</v>
      </c>
      <c r="B6237" t="str">
        <f>"13405044123"</f>
        <v>13405044123</v>
      </c>
      <c r="C6237" t="str">
        <f>"610323199507081619"</f>
        <v>610323199507081619</v>
      </c>
      <c r="D6237" t="s">
        <v>1</v>
      </c>
      <c r="E6237" t="s">
        <v>1</v>
      </c>
      <c r="F6237" t="s">
        <v>0</v>
      </c>
      <c r="G6237" t="str">
        <f>"2018-10-16 19:27:45"</f>
        <v>2018-10-16 19:27:45</v>
      </c>
    </row>
    <row r="6238" spans="1:7" x14ac:dyDescent="0.2">
      <c r="A6238" t="s">
        <v>1</v>
      </c>
      <c r="B6238" t="str">
        <f>"13845283892"</f>
        <v>13845283892</v>
      </c>
      <c r="C6238" t="s">
        <v>1</v>
      </c>
      <c r="D6238" t="s">
        <v>1</v>
      </c>
      <c r="E6238" t="s">
        <v>1</v>
      </c>
      <c r="F6238" t="s">
        <v>0</v>
      </c>
      <c r="G6238" t="str">
        <f>"2018-10-16 19:24:31"</f>
        <v>2018-10-16 19:24:31</v>
      </c>
    </row>
    <row r="6239" spans="1:7" x14ac:dyDescent="0.2">
      <c r="A6239" t="s">
        <v>323</v>
      </c>
      <c r="B6239" t="str">
        <f>"15196449441"</f>
        <v>15196449441</v>
      </c>
      <c r="C6239" t="str">
        <f>"51110219951017401X"</f>
        <v>51110219951017401X</v>
      </c>
      <c r="D6239" t="s">
        <v>1</v>
      </c>
      <c r="E6239" t="s">
        <v>1</v>
      </c>
      <c r="F6239" t="s">
        <v>0</v>
      </c>
      <c r="G6239" t="str">
        <f>"2018-11-01 16:49:32"</f>
        <v>2018-11-01 16:49:32</v>
      </c>
    </row>
    <row r="6240" spans="1:7" x14ac:dyDescent="0.2">
      <c r="A6240" t="s">
        <v>7174</v>
      </c>
      <c r="B6240" t="str">
        <f>"15725041673"</f>
        <v>15725041673</v>
      </c>
      <c r="C6240" t="str">
        <f>"371122198810068328"</f>
        <v>371122198810068328</v>
      </c>
      <c r="D6240" t="s">
        <v>1</v>
      </c>
      <c r="E6240" t="s">
        <v>1</v>
      </c>
      <c r="F6240" t="s">
        <v>0</v>
      </c>
      <c r="G6240" t="str">
        <f>"2018-10-16 20:34:54"</f>
        <v>2018-10-16 20:34:54</v>
      </c>
    </row>
    <row r="6241" spans="1:7" x14ac:dyDescent="0.2">
      <c r="A6241" t="s">
        <v>1</v>
      </c>
      <c r="B6241" t="str">
        <f>"18218435763"</f>
        <v>18218435763</v>
      </c>
      <c r="C6241" t="s">
        <v>1</v>
      </c>
      <c r="D6241" t="s">
        <v>1</v>
      </c>
      <c r="E6241" t="s">
        <v>1</v>
      </c>
      <c r="F6241" t="s">
        <v>0</v>
      </c>
      <c r="G6241" t="str">
        <f>"2018-10-30 14:45:41"</f>
        <v>2018-10-30 14:45:41</v>
      </c>
    </row>
    <row r="6242" spans="1:7" x14ac:dyDescent="0.2">
      <c r="A6242" t="s">
        <v>7175</v>
      </c>
      <c r="B6242" t="str">
        <f>"15068635312"</f>
        <v>15068635312</v>
      </c>
      <c r="C6242" t="str">
        <f>"37061219910105356X"</f>
        <v>37061219910105356X</v>
      </c>
      <c r="D6242" t="s">
        <v>1</v>
      </c>
      <c r="E6242" t="s">
        <v>1</v>
      </c>
      <c r="F6242" t="s">
        <v>0</v>
      </c>
      <c r="G6242" t="str">
        <f>"2018-10-16 19:24:49"</f>
        <v>2018-10-16 19:24:49</v>
      </c>
    </row>
    <row r="6243" spans="1:7" x14ac:dyDescent="0.2">
      <c r="A6243" t="s">
        <v>7176</v>
      </c>
      <c r="B6243" t="str">
        <f>"15035100750"</f>
        <v>15035100750</v>
      </c>
      <c r="C6243" t="str">
        <f>"14012319960105391X"</f>
        <v>14012319960105391X</v>
      </c>
      <c r="D6243" t="s">
        <v>1</v>
      </c>
      <c r="E6243" t="s">
        <v>1</v>
      </c>
      <c r="F6243" t="s">
        <v>0</v>
      </c>
      <c r="G6243" t="str">
        <f>"2018-10-16 19:24:38"</f>
        <v>2018-10-16 19:24:38</v>
      </c>
    </row>
    <row r="6244" spans="1:7" x14ac:dyDescent="0.2">
      <c r="A6244" t="s">
        <v>7177</v>
      </c>
      <c r="B6244" t="str">
        <f>"13379806442"</f>
        <v>13379806442</v>
      </c>
      <c r="C6244" t="str">
        <f>"460028197110102475"</f>
        <v>460028197110102475</v>
      </c>
      <c r="D6244" t="s">
        <v>7178</v>
      </c>
      <c r="E6244" t="s">
        <v>7179</v>
      </c>
      <c r="F6244" t="s">
        <v>0</v>
      </c>
      <c r="G6244" t="str">
        <f>"2018-10-16 19:24:40"</f>
        <v>2018-10-16 19:24:40</v>
      </c>
    </row>
    <row r="6245" spans="1:7" x14ac:dyDescent="0.2">
      <c r="A6245" t="s">
        <v>7180</v>
      </c>
      <c r="B6245" t="str">
        <f>"15278553255"</f>
        <v>15278553255</v>
      </c>
      <c r="C6245" t="str">
        <f>"450922198802091678"</f>
        <v>450922198802091678</v>
      </c>
      <c r="D6245" t="s">
        <v>1</v>
      </c>
      <c r="E6245" t="s">
        <v>1</v>
      </c>
      <c r="F6245" t="s">
        <v>0</v>
      </c>
      <c r="G6245" t="str">
        <f>"2018-11-01 13:13:07"</f>
        <v>2018-11-01 13:13:07</v>
      </c>
    </row>
    <row r="6246" spans="1:7" x14ac:dyDescent="0.2">
      <c r="A6246" t="s">
        <v>7181</v>
      </c>
      <c r="B6246" t="str">
        <f>"15769865157"</f>
        <v>15769865157</v>
      </c>
      <c r="C6246" t="str">
        <f>"532624198611140519"</f>
        <v>532624198611140519</v>
      </c>
      <c r="D6246" t="s">
        <v>1</v>
      </c>
      <c r="E6246" t="s">
        <v>1</v>
      </c>
      <c r="F6246" t="s">
        <v>0</v>
      </c>
      <c r="G6246" t="str">
        <f>"2018-10-16 19:25:29"</f>
        <v>2018-10-16 19:25:29</v>
      </c>
    </row>
    <row r="6247" spans="1:7" x14ac:dyDescent="0.2">
      <c r="A6247" t="s">
        <v>1</v>
      </c>
      <c r="B6247" t="str">
        <f>"18288405919"</f>
        <v>18288405919</v>
      </c>
      <c r="C6247" t="s">
        <v>1</v>
      </c>
      <c r="D6247" t="s">
        <v>1</v>
      </c>
      <c r="E6247" t="s">
        <v>1</v>
      </c>
      <c r="F6247" t="s">
        <v>0</v>
      </c>
      <c r="G6247" t="str">
        <f>"2018-10-16 19:23:42"</f>
        <v>2018-10-16 19:23:42</v>
      </c>
    </row>
    <row r="6248" spans="1:7" x14ac:dyDescent="0.2">
      <c r="A6248" t="s">
        <v>1</v>
      </c>
      <c r="B6248" t="str">
        <f>"15886914241"</f>
        <v>15886914241</v>
      </c>
      <c r="C6248" t="s">
        <v>1</v>
      </c>
      <c r="D6248" t="s">
        <v>1</v>
      </c>
      <c r="E6248" t="s">
        <v>1</v>
      </c>
      <c r="F6248" t="s">
        <v>0</v>
      </c>
      <c r="G6248" t="str">
        <f>"2018-10-16 19:22:02"</f>
        <v>2018-10-16 19:22:02</v>
      </c>
    </row>
    <row r="6249" spans="1:7" x14ac:dyDescent="0.2">
      <c r="A6249" t="s">
        <v>7182</v>
      </c>
      <c r="B6249" t="str">
        <f>"13507788435"</f>
        <v>13507788435</v>
      </c>
      <c r="C6249" t="str">
        <f>"452701198905090925"</f>
        <v>452701198905090925</v>
      </c>
      <c r="D6249" t="s">
        <v>1</v>
      </c>
      <c r="E6249" t="s">
        <v>1</v>
      </c>
      <c r="F6249" t="s">
        <v>0</v>
      </c>
      <c r="G6249" t="str">
        <f>"2018-10-16 19:23:17"</f>
        <v>2018-10-16 19:23:17</v>
      </c>
    </row>
    <row r="6250" spans="1:7" x14ac:dyDescent="0.2">
      <c r="A6250" t="s">
        <v>7183</v>
      </c>
      <c r="B6250" t="str">
        <f>"15292439752"</f>
        <v>15292439752</v>
      </c>
      <c r="C6250" t="str">
        <f>"65010319930730601X"</f>
        <v>65010319930730601X</v>
      </c>
      <c r="D6250" t="s">
        <v>7184</v>
      </c>
      <c r="E6250" t="s">
        <v>7185</v>
      </c>
      <c r="F6250" t="s">
        <v>0</v>
      </c>
      <c r="G6250" t="str">
        <f>"2018-10-17 00:15:00"</f>
        <v>2018-10-17 00:15:00</v>
      </c>
    </row>
    <row r="6251" spans="1:7" x14ac:dyDescent="0.2">
      <c r="A6251" t="s">
        <v>1</v>
      </c>
      <c r="B6251" t="str">
        <f>"13004093344"</f>
        <v>13004093344</v>
      </c>
      <c r="C6251" t="s">
        <v>1</v>
      </c>
      <c r="D6251" t="s">
        <v>1</v>
      </c>
      <c r="E6251" t="s">
        <v>1</v>
      </c>
      <c r="F6251" t="s">
        <v>0</v>
      </c>
      <c r="G6251" t="str">
        <f>"2018-10-16 19:20:37"</f>
        <v>2018-10-16 19:20:37</v>
      </c>
    </row>
    <row r="6252" spans="1:7" x14ac:dyDescent="0.2">
      <c r="A6252" t="s">
        <v>1</v>
      </c>
      <c r="B6252" t="str">
        <f>"18593186758"</f>
        <v>18593186758</v>
      </c>
      <c r="C6252" t="s">
        <v>1</v>
      </c>
      <c r="D6252" t="s">
        <v>1</v>
      </c>
      <c r="E6252" t="s">
        <v>1</v>
      </c>
      <c r="F6252" t="s">
        <v>0</v>
      </c>
      <c r="G6252" t="str">
        <f>"2018-10-16 19:22:19"</f>
        <v>2018-10-16 19:22:19</v>
      </c>
    </row>
    <row r="6253" spans="1:7" x14ac:dyDescent="0.2">
      <c r="A6253" t="s">
        <v>7186</v>
      </c>
      <c r="B6253" t="str">
        <f>"15148959323"</f>
        <v>15148959323</v>
      </c>
      <c r="C6253" t="str">
        <f>"152223199402170514"</f>
        <v>152223199402170514</v>
      </c>
      <c r="D6253" t="s">
        <v>1</v>
      </c>
      <c r="E6253" t="s">
        <v>1</v>
      </c>
      <c r="F6253" t="s">
        <v>0</v>
      </c>
      <c r="G6253" t="str">
        <f>"2018-10-16 19:35:18"</f>
        <v>2018-10-16 19:35:18</v>
      </c>
    </row>
    <row r="6254" spans="1:7" x14ac:dyDescent="0.2">
      <c r="A6254" t="s">
        <v>7187</v>
      </c>
      <c r="B6254" t="str">
        <f>"13840210895"</f>
        <v>13840210895</v>
      </c>
      <c r="C6254" t="str">
        <f>"210123198911090816"</f>
        <v>210123198911090816</v>
      </c>
      <c r="D6254" t="s">
        <v>7188</v>
      </c>
      <c r="E6254" t="s">
        <v>7189</v>
      </c>
      <c r="F6254" t="s">
        <v>0</v>
      </c>
      <c r="G6254" t="str">
        <f>"2018-10-16 19:19:27"</f>
        <v>2018-10-16 19:19:27</v>
      </c>
    </row>
    <row r="6255" spans="1:7" x14ac:dyDescent="0.2">
      <c r="A6255" t="s">
        <v>1</v>
      </c>
      <c r="B6255" t="str">
        <f>"13246757633"</f>
        <v>13246757633</v>
      </c>
      <c r="C6255" t="s">
        <v>1</v>
      </c>
      <c r="D6255" t="s">
        <v>1</v>
      </c>
      <c r="E6255" t="s">
        <v>1</v>
      </c>
      <c r="F6255" t="s">
        <v>0</v>
      </c>
      <c r="G6255" t="str">
        <f>"2018-10-16 19:18:00"</f>
        <v>2018-10-16 19:18:00</v>
      </c>
    </row>
    <row r="6256" spans="1:7" x14ac:dyDescent="0.2">
      <c r="A6256" t="s">
        <v>7190</v>
      </c>
      <c r="B6256" t="str">
        <f>"18065657662"</f>
        <v>18065657662</v>
      </c>
      <c r="C6256" t="str">
        <f>"350600197908131524"</f>
        <v>350600197908131524</v>
      </c>
      <c r="D6256" t="s">
        <v>1</v>
      </c>
      <c r="E6256" t="s">
        <v>1</v>
      </c>
      <c r="F6256" t="s">
        <v>0</v>
      </c>
      <c r="G6256" t="str">
        <f>"2018-10-17 09:37:01"</f>
        <v>2018-10-17 09:37:01</v>
      </c>
    </row>
    <row r="6257" spans="1:7" x14ac:dyDescent="0.2">
      <c r="A6257" t="s">
        <v>1</v>
      </c>
      <c r="B6257" t="str">
        <f>"18981661886"</f>
        <v>18981661886</v>
      </c>
      <c r="C6257" t="s">
        <v>1</v>
      </c>
      <c r="D6257" t="s">
        <v>1</v>
      </c>
      <c r="E6257" t="s">
        <v>1</v>
      </c>
      <c r="F6257" t="s">
        <v>0</v>
      </c>
      <c r="G6257" t="str">
        <f>"2018-10-16 19:17:17"</f>
        <v>2018-10-16 19:17:17</v>
      </c>
    </row>
    <row r="6258" spans="1:7" x14ac:dyDescent="0.2">
      <c r="A6258" t="s">
        <v>7191</v>
      </c>
      <c r="B6258" t="str">
        <f>"15778625726"</f>
        <v>15778625726</v>
      </c>
      <c r="C6258" t="str">
        <f>"450881199406136538"</f>
        <v>450881199406136538</v>
      </c>
      <c r="D6258" t="s">
        <v>1</v>
      </c>
      <c r="E6258" t="s">
        <v>1</v>
      </c>
      <c r="F6258" t="s">
        <v>0</v>
      </c>
      <c r="G6258" t="str">
        <f>"2018-10-16 19:20:02"</f>
        <v>2018-10-16 19:20:02</v>
      </c>
    </row>
    <row r="6259" spans="1:7" x14ac:dyDescent="0.2">
      <c r="A6259" t="s">
        <v>7192</v>
      </c>
      <c r="B6259" t="str">
        <f>"15827775125"</f>
        <v>15827775125</v>
      </c>
      <c r="C6259" t="str">
        <f>"421002199005130035"</f>
        <v>421002199005130035</v>
      </c>
      <c r="D6259" t="s">
        <v>1</v>
      </c>
      <c r="E6259" t="s">
        <v>1</v>
      </c>
      <c r="F6259" t="s">
        <v>0</v>
      </c>
      <c r="G6259" t="str">
        <f>"2018-10-16 19:54:47"</f>
        <v>2018-10-16 19:54:47</v>
      </c>
    </row>
    <row r="6260" spans="1:7" x14ac:dyDescent="0.2">
      <c r="A6260" t="s">
        <v>7193</v>
      </c>
      <c r="B6260" t="str">
        <f>"15877986964"</f>
        <v>15877986964</v>
      </c>
      <c r="C6260" t="str">
        <f>"530122199601142329"</f>
        <v>530122199601142329</v>
      </c>
      <c r="D6260" t="s">
        <v>1</v>
      </c>
      <c r="E6260" t="s">
        <v>1</v>
      </c>
      <c r="F6260" t="s">
        <v>0</v>
      </c>
      <c r="G6260" t="str">
        <f>"2018-10-16 19:24:54"</f>
        <v>2018-10-16 19:24:54</v>
      </c>
    </row>
    <row r="6261" spans="1:7" x14ac:dyDescent="0.2">
      <c r="A6261" t="s">
        <v>1</v>
      </c>
      <c r="B6261" t="str">
        <f>"13915253804"</f>
        <v>13915253804</v>
      </c>
      <c r="C6261" t="s">
        <v>1</v>
      </c>
      <c r="D6261" t="s">
        <v>1</v>
      </c>
      <c r="E6261" t="s">
        <v>1</v>
      </c>
      <c r="F6261" t="s">
        <v>0</v>
      </c>
      <c r="G6261" t="str">
        <f>"2018-10-16 19:19:45"</f>
        <v>2018-10-16 19:19:45</v>
      </c>
    </row>
    <row r="6262" spans="1:7" x14ac:dyDescent="0.2">
      <c r="A6262" t="s">
        <v>7194</v>
      </c>
      <c r="B6262" t="str">
        <f>"18682114623"</f>
        <v>18682114623</v>
      </c>
      <c r="C6262" t="str">
        <f>"441424199710144612"</f>
        <v>441424199710144612</v>
      </c>
      <c r="D6262" t="s">
        <v>1</v>
      </c>
      <c r="E6262" t="s">
        <v>1</v>
      </c>
      <c r="F6262" t="s">
        <v>0</v>
      </c>
      <c r="G6262" t="str">
        <f>"2018-10-18 14:46:50"</f>
        <v>2018-10-18 14:46:50</v>
      </c>
    </row>
    <row r="6263" spans="1:7" x14ac:dyDescent="0.2">
      <c r="A6263" t="s">
        <v>1</v>
      </c>
      <c r="B6263" t="str">
        <f>"18320649008"</f>
        <v>18320649008</v>
      </c>
      <c r="C6263" t="s">
        <v>1</v>
      </c>
      <c r="D6263" t="s">
        <v>1</v>
      </c>
      <c r="E6263" t="s">
        <v>1</v>
      </c>
      <c r="F6263" t="s">
        <v>0</v>
      </c>
      <c r="G6263" t="str">
        <f>"2018-10-16 19:15:28"</f>
        <v>2018-10-16 19:15:28</v>
      </c>
    </row>
    <row r="6264" spans="1:7" x14ac:dyDescent="0.2">
      <c r="A6264" t="s">
        <v>1425</v>
      </c>
      <c r="B6264" t="str">
        <f>"13641982497"</f>
        <v>13641982497</v>
      </c>
      <c r="C6264" t="str">
        <f>"371325199001272315"</f>
        <v>371325199001272315</v>
      </c>
      <c r="D6264" t="s">
        <v>1</v>
      </c>
      <c r="E6264" t="s">
        <v>1</v>
      </c>
      <c r="F6264" t="s">
        <v>0</v>
      </c>
      <c r="G6264" t="str">
        <f>"2018-10-16 19:47:27"</f>
        <v>2018-10-16 19:47:27</v>
      </c>
    </row>
    <row r="6265" spans="1:7" x14ac:dyDescent="0.2">
      <c r="A6265" t="s">
        <v>1</v>
      </c>
      <c r="B6265" t="str">
        <f>"18276717501"</f>
        <v>18276717501</v>
      </c>
      <c r="C6265" t="s">
        <v>1</v>
      </c>
      <c r="D6265" t="s">
        <v>1</v>
      </c>
      <c r="E6265" t="s">
        <v>1</v>
      </c>
      <c r="F6265" t="s">
        <v>0</v>
      </c>
      <c r="G6265" t="str">
        <f>"2018-10-16 19:13:56"</f>
        <v>2018-10-16 19:13:56</v>
      </c>
    </row>
    <row r="6266" spans="1:7" x14ac:dyDescent="0.2">
      <c r="A6266" t="s">
        <v>7195</v>
      </c>
      <c r="B6266" t="str">
        <f>"18061335353"</f>
        <v>18061335353</v>
      </c>
      <c r="C6266" t="str">
        <f>"320722198711021279"</f>
        <v>320722198711021279</v>
      </c>
      <c r="D6266" t="s">
        <v>7196</v>
      </c>
      <c r="E6266" t="s">
        <v>7197</v>
      </c>
      <c r="F6266" t="s">
        <v>0</v>
      </c>
      <c r="G6266" t="str">
        <f>"2018-10-16 19:16:16"</f>
        <v>2018-10-16 19:16:16</v>
      </c>
    </row>
    <row r="6267" spans="1:7" x14ac:dyDescent="0.2">
      <c r="A6267" t="s">
        <v>1</v>
      </c>
      <c r="B6267" t="str">
        <f>"15162247377"</f>
        <v>15162247377</v>
      </c>
      <c r="C6267" t="s">
        <v>1</v>
      </c>
      <c r="D6267" t="s">
        <v>1</v>
      </c>
      <c r="E6267" t="s">
        <v>1</v>
      </c>
      <c r="F6267" t="s">
        <v>0</v>
      </c>
      <c r="G6267" t="str">
        <f>"2018-10-16 19:13:04"</f>
        <v>2018-10-16 19:13:04</v>
      </c>
    </row>
    <row r="6268" spans="1:7" x14ac:dyDescent="0.2">
      <c r="A6268" t="s">
        <v>493</v>
      </c>
      <c r="B6268" t="str">
        <f>"17802014809"</f>
        <v>17802014809</v>
      </c>
      <c r="C6268" t="str">
        <f>"440881199609027129"</f>
        <v>440881199609027129</v>
      </c>
      <c r="D6268" t="s">
        <v>1</v>
      </c>
      <c r="E6268" t="s">
        <v>1</v>
      </c>
      <c r="F6268" t="s">
        <v>0</v>
      </c>
      <c r="G6268" t="str">
        <f>"2018-10-17 18:22:03"</f>
        <v>2018-10-17 18:22:03</v>
      </c>
    </row>
    <row r="6269" spans="1:7" x14ac:dyDescent="0.2">
      <c r="A6269" t="s">
        <v>171</v>
      </c>
      <c r="B6269" t="str">
        <f>"13594799257"</f>
        <v>13594799257</v>
      </c>
      <c r="C6269" t="str">
        <f>"500233198611247735"</f>
        <v>500233198611247735</v>
      </c>
      <c r="D6269" t="s">
        <v>1</v>
      </c>
      <c r="E6269" t="s">
        <v>1</v>
      </c>
      <c r="F6269" t="s">
        <v>0</v>
      </c>
      <c r="G6269" t="str">
        <f>"2018-10-16 19:31:30"</f>
        <v>2018-10-16 19:31:30</v>
      </c>
    </row>
    <row r="6270" spans="1:7" x14ac:dyDescent="0.2">
      <c r="A6270" t="s">
        <v>7198</v>
      </c>
      <c r="B6270" t="str">
        <f>"15120825656"</f>
        <v>15120825656</v>
      </c>
      <c r="C6270" t="str">
        <f>"460022199108205134"</f>
        <v>460022199108205134</v>
      </c>
      <c r="D6270" t="s">
        <v>1</v>
      </c>
      <c r="E6270" t="s">
        <v>1</v>
      </c>
      <c r="F6270" t="s">
        <v>0</v>
      </c>
      <c r="G6270" t="str">
        <f>"2018-10-16 19:13:33"</f>
        <v>2018-10-16 19:13:33</v>
      </c>
    </row>
    <row r="6271" spans="1:7" x14ac:dyDescent="0.2">
      <c r="A6271" t="s">
        <v>1</v>
      </c>
      <c r="B6271" t="str">
        <f>"13114935222"</f>
        <v>13114935222</v>
      </c>
      <c r="C6271" t="s">
        <v>1</v>
      </c>
      <c r="D6271" t="s">
        <v>1</v>
      </c>
      <c r="E6271" t="s">
        <v>1</v>
      </c>
      <c r="F6271" t="s">
        <v>0</v>
      </c>
      <c r="G6271" t="str">
        <f>"2018-10-17 11:17:18"</f>
        <v>2018-10-17 11:17:18</v>
      </c>
    </row>
    <row r="6272" spans="1:7" x14ac:dyDescent="0.2">
      <c r="A6272" t="s">
        <v>7199</v>
      </c>
      <c r="B6272" t="str">
        <f>"15627813956"</f>
        <v>15627813956</v>
      </c>
      <c r="C6272" t="str">
        <f>"360111198110100145"</f>
        <v>360111198110100145</v>
      </c>
      <c r="D6272" t="s">
        <v>1</v>
      </c>
      <c r="E6272" t="s">
        <v>1</v>
      </c>
      <c r="F6272" t="s">
        <v>0</v>
      </c>
      <c r="G6272" t="str">
        <f>"2018-10-16 19:14:18"</f>
        <v>2018-10-16 19:14:18</v>
      </c>
    </row>
    <row r="6273" spans="1:7" x14ac:dyDescent="0.2">
      <c r="A6273" t="s">
        <v>88</v>
      </c>
      <c r="B6273" t="str">
        <f>"18040237067"</f>
        <v>18040237067</v>
      </c>
      <c r="C6273" t="str">
        <f>"210123199201221628"</f>
        <v>210123199201221628</v>
      </c>
      <c r="D6273" t="s">
        <v>1</v>
      </c>
      <c r="E6273" t="s">
        <v>1</v>
      </c>
      <c r="F6273" t="s">
        <v>0</v>
      </c>
      <c r="G6273" t="str">
        <f>"2018-10-16 19:13:46"</f>
        <v>2018-10-16 19:13:46</v>
      </c>
    </row>
    <row r="6274" spans="1:7" x14ac:dyDescent="0.2">
      <c r="A6274" t="s">
        <v>7200</v>
      </c>
      <c r="B6274" t="str">
        <f>"15957231963"</f>
        <v>15957231963</v>
      </c>
      <c r="C6274" t="str">
        <f>"330521198902050528"</f>
        <v>330521198902050528</v>
      </c>
      <c r="D6274" t="s">
        <v>7201</v>
      </c>
      <c r="E6274" t="s">
        <v>7202</v>
      </c>
      <c r="F6274" t="s">
        <v>0</v>
      </c>
      <c r="G6274" t="str">
        <f>"2018-10-16 19:12:07"</f>
        <v>2018-10-16 19:12:07</v>
      </c>
    </row>
    <row r="6275" spans="1:7" x14ac:dyDescent="0.2">
      <c r="A6275" t="s">
        <v>1</v>
      </c>
      <c r="B6275" t="str">
        <f>"13778707208"</f>
        <v>13778707208</v>
      </c>
      <c r="C6275" t="s">
        <v>1</v>
      </c>
      <c r="D6275" t="s">
        <v>1</v>
      </c>
      <c r="E6275" t="s">
        <v>1</v>
      </c>
      <c r="F6275" t="s">
        <v>0</v>
      </c>
      <c r="G6275" t="str">
        <f>"2018-10-16 19:16:17"</f>
        <v>2018-10-16 19:16:17</v>
      </c>
    </row>
    <row r="6276" spans="1:7" x14ac:dyDescent="0.2">
      <c r="A6276" t="s">
        <v>7203</v>
      </c>
      <c r="B6276" t="str">
        <f>"13135858223"</f>
        <v>13135858223</v>
      </c>
      <c r="C6276" t="str">
        <f>"422823198202020638"</f>
        <v>422823198202020638</v>
      </c>
      <c r="D6276" t="s">
        <v>1</v>
      </c>
      <c r="E6276" t="s">
        <v>1</v>
      </c>
      <c r="F6276" t="s">
        <v>0</v>
      </c>
      <c r="G6276" t="str">
        <f>"2018-10-16 19:12:46"</f>
        <v>2018-10-16 19:12:46</v>
      </c>
    </row>
    <row r="6277" spans="1:7" x14ac:dyDescent="0.2">
      <c r="A6277" t="s">
        <v>7204</v>
      </c>
      <c r="B6277" t="str">
        <f>"18034329993"</f>
        <v>18034329993</v>
      </c>
      <c r="C6277" t="str">
        <f>"130728198405240046"</f>
        <v>130728198405240046</v>
      </c>
      <c r="D6277" t="s">
        <v>1</v>
      </c>
      <c r="E6277" t="s">
        <v>1</v>
      </c>
      <c r="F6277" t="s">
        <v>0</v>
      </c>
      <c r="G6277" t="str">
        <f>"2018-10-16 19:10:10"</f>
        <v>2018-10-16 19:10:10</v>
      </c>
    </row>
    <row r="6278" spans="1:7" x14ac:dyDescent="0.2">
      <c r="A6278" t="s">
        <v>7205</v>
      </c>
      <c r="B6278" t="str">
        <f>"15930880997"</f>
        <v>15930880997</v>
      </c>
      <c r="C6278" t="str">
        <f>"130126199209230915"</f>
        <v>130126199209230915</v>
      </c>
      <c r="D6278" t="s">
        <v>1</v>
      </c>
      <c r="E6278" t="s">
        <v>1</v>
      </c>
      <c r="F6278" t="s">
        <v>0</v>
      </c>
      <c r="G6278" t="str">
        <f>"2018-10-16 19:10:08"</f>
        <v>2018-10-16 19:10:08</v>
      </c>
    </row>
    <row r="6279" spans="1:7" x14ac:dyDescent="0.2">
      <c r="A6279" t="s">
        <v>1</v>
      </c>
      <c r="B6279" t="str">
        <f>"18443550046"</f>
        <v>18443550046</v>
      </c>
      <c r="C6279" t="s">
        <v>1</v>
      </c>
      <c r="D6279" t="s">
        <v>1</v>
      </c>
      <c r="E6279" t="s">
        <v>1</v>
      </c>
      <c r="F6279" t="s">
        <v>0</v>
      </c>
      <c r="G6279" t="str">
        <f>"2018-10-16 19:08:11"</f>
        <v>2018-10-16 19:08:11</v>
      </c>
    </row>
    <row r="6280" spans="1:7" x14ac:dyDescent="0.2">
      <c r="A6280" t="s">
        <v>1</v>
      </c>
      <c r="B6280" t="str">
        <f>"15891819101"</f>
        <v>15891819101</v>
      </c>
      <c r="C6280" t="s">
        <v>1</v>
      </c>
      <c r="D6280" t="s">
        <v>1</v>
      </c>
      <c r="E6280" t="s">
        <v>1</v>
      </c>
      <c r="F6280" t="s">
        <v>0</v>
      </c>
      <c r="G6280" t="str">
        <f>"2018-10-16 19:07:34"</f>
        <v>2018-10-16 19:07:34</v>
      </c>
    </row>
    <row r="6281" spans="1:7" x14ac:dyDescent="0.2">
      <c r="A6281" t="s">
        <v>1844</v>
      </c>
      <c r="B6281" t="str">
        <f>"13812922594"</f>
        <v>13812922594</v>
      </c>
      <c r="C6281" t="str">
        <f>"321281198710267297"</f>
        <v>321281198710267297</v>
      </c>
      <c r="D6281" t="s">
        <v>1</v>
      </c>
      <c r="E6281" t="s">
        <v>1</v>
      </c>
      <c r="F6281" t="s">
        <v>0</v>
      </c>
      <c r="G6281" t="str">
        <f>"2018-10-18 15:45:53"</f>
        <v>2018-10-18 15:45:53</v>
      </c>
    </row>
    <row r="6282" spans="1:7" x14ac:dyDescent="0.2">
      <c r="A6282" t="s">
        <v>7206</v>
      </c>
      <c r="B6282" t="str">
        <f>"18954559637"</f>
        <v>18954559637</v>
      </c>
      <c r="C6282" t="str">
        <f>"370681199604186826"</f>
        <v>370681199604186826</v>
      </c>
      <c r="D6282" t="s">
        <v>1</v>
      </c>
      <c r="E6282" t="s">
        <v>1</v>
      </c>
      <c r="F6282" t="s">
        <v>0</v>
      </c>
      <c r="G6282" t="str">
        <f>"2018-10-17 09:35:50"</f>
        <v>2018-10-17 09:35:50</v>
      </c>
    </row>
    <row r="6283" spans="1:7" x14ac:dyDescent="0.2">
      <c r="A6283" t="s">
        <v>7207</v>
      </c>
      <c r="B6283" t="str">
        <f>"15605178252"</f>
        <v>15605178252</v>
      </c>
      <c r="C6283" t="str">
        <f>"320882199605151818"</f>
        <v>320882199605151818</v>
      </c>
      <c r="D6283" t="s">
        <v>1</v>
      </c>
      <c r="E6283" t="s">
        <v>1</v>
      </c>
      <c r="F6283" t="s">
        <v>0</v>
      </c>
      <c r="G6283" t="str">
        <f>"2018-10-16 19:11:57"</f>
        <v>2018-10-16 19:11:57</v>
      </c>
    </row>
    <row r="6284" spans="1:7" x14ac:dyDescent="0.2">
      <c r="A6284" t="s">
        <v>7208</v>
      </c>
      <c r="B6284" t="str">
        <f>"13674480385"</f>
        <v>13674480385</v>
      </c>
      <c r="C6284" t="str">
        <f>"220322199906040946"</f>
        <v>220322199906040946</v>
      </c>
      <c r="D6284" t="s">
        <v>1</v>
      </c>
      <c r="E6284" t="s">
        <v>1</v>
      </c>
      <c r="F6284" t="s">
        <v>0</v>
      </c>
      <c r="G6284" t="str">
        <f>"2018-10-16 19:08:45"</f>
        <v>2018-10-16 19:08:45</v>
      </c>
    </row>
    <row r="6285" spans="1:7" x14ac:dyDescent="0.2">
      <c r="A6285" t="s">
        <v>7209</v>
      </c>
      <c r="B6285" t="str">
        <f>"18107714168"</f>
        <v>18107714168</v>
      </c>
      <c r="C6285" t="str">
        <f>"452727198003052851"</f>
        <v>452727198003052851</v>
      </c>
      <c r="D6285" t="s">
        <v>7210</v>
      </c>
      <c r="E6285" t="s">
        <v>7211</v>
      </c>
      <c r="F6285" t="s">
        <v>0</v>
      </c>
      <c r="G6285" t="str">
        <f>"2018-10-16 19:14:05"</f>
        <v>2018-10-16 19:14:05</v>
      </c>
    </row>
    <row r="6286" spans="1:7" x14ac:dyDescent="0.2">
      <c r="A6286" t="s">
        <v>7212</v>
      </c>
      <c r="B6286" t="str">
        <f>"15599292828"</f>
        <v>15599292828</v>
      </c>
      <c r="C6286" t="str">
        <f>"522121199209020216"</f>
        <v>522121199209020216</v>
      </c>
      <c r="D6286" t="s">
        <v>1</v>
      </c>
      <c r="E6286" t="s">
        <v>1</v>
      </c>
      <c r="F6286" t="s">
        <v>0</v>
      </c>
      <c r="G6286" t="str">
        <f>"2018-10-16 19:03:21"</f>
        <v>2018-10-16 19:03:21</v>
      </c>
    </row>
    <row r="6287" spans="1:7" x14ac:dyDescent="0.2">
      <c r="A6287" t="s">
        <v>1</v>
      </c>
      <c r="B6287" t="str">
        <f>"15043028164"</f>
        <v>15043028164</v>
      </c>
      <c r="C6287" t="s">
        <v>1</v>
      </c>
      <c r="D6287" t="s">
        <v>1</v>
      </c>
      <c r="E6287" t="s">
        <v>1</v>
      </c>
      <c r="F6287" t="s">
        <v>0</v>
      </c>
      <c r="G6287" t="str">
        <f>"2018-10-16 19:02:49"</f>
        <v>2018-10-16 19:02:49</v>
      </c>
    </row>
    <row r="6288" spans="1:7" x14ac:dyDescent="0.2">
      <c r="A6288" t="s">
        <v>7213</v>
      </c>
      <c r="B6288" t="str">
        <f>"13588503789"</f>
        <v>13588503789</v>
      </c>
      <c r="C6288" t="str">
        <f>"342502199111073810"</f>
        <v>342502199111073810</v>
      </c>
      <c r="D6288" t="s">
        <v>1</v>
      </c>
      <c r="E6288" t="s">
        <v>1</v>
      </c>
      <c r="F6288" t="s">
        <v>0</v>
      </c>
      <c r="G6288" t="str">
        <f>"2018-10-16 19:52:24"</f>
        <v>2018-10-16 19:52:24</v>
      </c>
    </row>
    <row r="6289" spans="1:7" x14ac:dyDescent="0.2">
      <c r="A6289" t="s">
        <v>558</v>
      </c>
      <c r="B6289" t="str">
        <f>"17663671412"</f>
        <v>17663671412</v>
      </c>
      <c r="C6289" t="str">
        <f>"370705199604120017"</f>
        <v>370705199604120017</v>
      </c>
      <c r="D6289" t="s">
        <v>1</v>
      </c>
      <c r="E6289" t="s">
        <v>1</v>
      </c>
      <c r="F6289" t="s">
        <v>0</v>
      </c>
      <c r="G6289" t="str">
        <f>"2018-10-17 17:20:59"</f>
        <v>2018-10-17 17:20:59</v>
      </c>
    </row>
    <row r="6290" spans="1:7" x14ac:dyDescent="0.2">
      <c r="A6290" t="s">
        <v>7214</v>
      </c>
      <c r="B6290" t="str">
        <f>"13002024425"</f>
        <v>13002024425</v>
      </c>
      <c r="C6290" t="str">
        <f>"440823199408154611"</f>
        <v>440823199408154611</v>
      </c>
      <c r="D6290" t="s">
        <v>7215</v>
      </c>
      <c r="E6290" t="s">
        <v>7216</v>
      </c>
      <c r="F6290" t="s">
        <v>0</v>
      </c>
      <c r="G6290" t="str">
        <f>"2018-10-16 19:04:02"</f>
        <v>2018-10-16 19:04:02</v>
      </c>
    </row>
    <row r="6291" spans="1:7" x14ac:dyDescent="0.2">
      <c r="A6291" t="s">
        <v>7217</v>
      </c>
      <c r="B6291" t="str">
        <f>"18711484520"</f>
        <v>18711484520</v>
      </c>
      <c r="C6291" t="str">
        <f>"430481199206130574"</f>
        <v>430481199206130574</v>
      </c>
      <c r="D6291" t="s">
        <v>7218</v>
      </c>
      <c r="E6291" t="s">
        <v>7219</v>
      </c>
      <c r="F6291" t="s">
        <v>0</v>
      </c>
      <c r="G6291" t="str">
        <f>"2018-10-16 23:42:46"</f>
        <v>2018-10-16 23:42:46</v>
      </c>
    </row>
    <row r="6292" spans="1:7" x14ac:dyDescent="0.2">
      <c r="A6292" t="s">
        <v>1</v>
      </c>
      <c r="B6292" t="str">
        <f>"18027207849"</f>
        <v>18027207849</v>
      </c>
      <c r="C6292" t="s">
        <v>1</v>
      </c>
      <c r="D6292" t="s">
        <v>1</v>
      </c>
      <c r="E6292" t="s">
        <v>1</v>
      </c>
      <c r="F6292" t="s">
        <v>0</v>
      </c>
      <c r="G6292" t="str">
        <f>"2018-10-16 19:01:06"</f>
        <v>2018-10-16 19:01:06</v>
      </c>
    </row>
    <row r="6293" spans="1:7" x14ac:dyDescent="0.2">
      <c r="A6293" t="s">
        <v>7220</v>
      </c>
      <c r="B6293" t="str">
        <f>"18357905822"</f>
        <v>18357905822</v>
      </c>
      <c r="C6293" t="str">
        <f>"330781199212116384"</f>
        <v>330781199212116384</v>
      </c>
      <c r="D6293" t="s">
        <v>1</v>
      </c>
      <c r="E6293" t="s">
        <v>1</v>
      </c>
      <c r="F6293" t="s">
        <v>0</v>
      </c>
      <c r="G6293" t="str">
        <f>"2018-10-16 19:03:04"</f>
        <v>2018-10-16 19:03:04</v>
      </c>
    </row>
    <row r="6294" spans="1:7" x14ac:dyDescent="0.2">
      <c r="A6294" t="s">
        <v>7221</v>
      </c>
      <c r="B6294" t="str">
        <f>"13959049881"</f>
        <v>13959049881</v>
      </c>
      <c r="C6294" t="str">
        <f>"420800197112303684"</f>
        <v>420800197112303684</v>
      </c>
      <c r="D6294" t="s">
        <v>1</v>
      </c>
      <c r="E6294" t="s">
        <v>1</v>
      </c>
      <c r="F6294" t="s">
        <v>0</v>
      </c>
      <c r="G6294" t="str">
        <f>"2018-10-16 19:00:35"</f>
        <v>2018-10-16 19:00:35</v>
      </c>
    </row>
    <row r="6295" spans="1:7" x14ac:dyDescent="0.2">
      <c r="A6295" t="s">
        <v>7222</v>
      </c>
      <c r="B6295" t="str">
        <f>"18578966901"</f>
        <v>18578966901</v>
      </c>
      <c r="C6295" t="str">
        <f>"450923199601055938"</f>
        <v>450923199601055938</v>
      </c>
      <c r="D6295" t="s">
        <v>7223</v>
      </c>
      <c r="E6295" t="s">
        <v>7224</v>
      </c>
      <c r="F6295" t="s">
        <v>0</v>
      </c>
      <c r="G6295" t="str">
        <f>"2018-10-16 19:03:58"</f>
        <v>2018-10-16 19:03:58</v>
      </c>
    </row>
    <row r="6296" spans="1:7" x14ac:dyDescent="0.2">
      <c r="A6296" t="s">
        <v>7225</v>
      </c>
      <c r="B6296" t="str">
        <f>"13986894566"</f>
        <v>13986894566</v>
      </c>
      <c r="C6296" t="str">
        <f>"420302198609240324"</f>
        <v>420302198609240324</v>
      </c>
      <c r="D6296" t="s">
        <v>7226</v>
      </c>
      <c r="E6296" t="s">
        <v>7227</v>
      </c>
      <c r="F6296" t="s">
        <v>0</v>
      </c>
      <c r="G6296" t="str">
        <f>"2018-10-16 19:01:24"</f>
        <v>2018-10-16 19:01:24</v>
      </c>
    </row>
    <row r="6297" spans="1:7" x14ac:dyDescent="0.2">
      <c r="A6297" t="s">
        <v>1</v>
      </c>
      <c r="B6297" t="str">
        <f>"15296110971"</f>
        <v>15296110971</v>
      </c>
      <c r="C6297" t="s">
        <v>1</v>
      </c>
      <c r="D6297" t="s">
        <v>1</v>
      </c>
      <c r="E6297" t="s">
        <v>1</v>
      </c>
      <c r="F6297" t="s">
        <v>0</v>
      </c>
      <c r="G6297" t="str">
        <f>"2018-10-16 19:14:56"</f>
        <v>2018-10-16 19:14:56</v>
      </c>
    </row>
    <row r="6298" spans="1:7" x14ac:dyDescent="0.2">
      <c r="A6298" t="s">
        <v>7228</v>
      </c>
      <c r="B6298" t="str">
        <f>"13080517455"</f>
        <v>13080517455</v>
      </c>
      <c r="C6298" t="str">
        <f>"510921199801185693"</f>
        <v>510921199801185693</v>
      </c>
      <c r="D6298" t="s">
        <v>1</v>
      </c>
      <c r="E6298" t="s">
        <v>1</v>
      </c>
      <c r="F6298" t="s">
        <v>0</v>
      </c>
      <c r="G6298" t="str">
        <f>"2018-10-16 19:05:43"</f>
        <v>2018-10-16 19:05:43</v>
      </c>
    </row>
    <row r="6299" spans="1:7" x14ac:dyDescent="0.2">
      <c r="A6299" t="s">
        <v>868</v>
      </c>
      <c r="B6299" t="str">
        <f>"17600653063"</f>
        <v>17600653063</v>
      </c>
      <c r="C6299" t="str">
        <f>"210422199210142526"</f>
        <v>210422199210142526</v>
      </c>
      <c r="D6299" t="s">
        <v>1</v>
      </c>
      <c r="E6299" t="s">
        <v>1</v>
      </c>
      <c r="F6299" t="s">
        <v>0</v>
      </c>
      <c r="G6299" t="str">
        <f>"2018-10-28 15:07:32"</f>
        <v>2018-10-28 15:07:32</v>
      </c>
    </row>
    <row r="6300" spans="1:7" x14ac:dyDescent="0.2">
      <c r="A6300" t="s">
        <v>1</v>
      </c>
      <c r="B6300" t="str">
        <f>"17192447094"</f>
        <v>17192447094</v>
      </c>
      <c r="C6300" t="s">
        <v>1</v>
      </c>
      <c r="D6300" t="s">
        <v>1</v>
      </c>
      <c r="E6300" t="s">
        <v>1</v>
      </c>
      <c r="F6300" t="s">
        <v>0</v>
      </c>
      <c r="G6300" t="str">
        <f>"2018-10-16 18:58:38"</f>
        <v>2018-10-16 18:58:38</v>
      </c>
    </row>
    <row r="6301" spans="1:7" x14ac:dyDescent="0.2">
      <c r="A6301" t="s">
        <v>7229</v>
      </c>
      <c r="B6301" t="str">
        <f>"15901791279"</f>
        <v>15901791279</v>
      </c>
      <c r="C6301" t="str">
        <f>"142723198903270266"</f>
        <v>142723198903270266</v>
      </c>
      <c r="D6301" t="s">
        <v>1</v>
      </c>
      <c r="E6301" t="s">
        <v>1</v>
      </c>
      <c r="F6301" t="s">
        <v>0</v>
      </c>
      <c r="G6301" t="str">
        <f>"2018-10-16 19:01:47"</f>
        <v>2018-10-16 19:01:47</v>
      </c>
    </row>
    <row r="6302" spans="1:7" x14ac:dyDescent="0.2">
      <c r="A6302" t="s">
        <v>7230</v>
      </c>
      <c r="B6302" t="str">
        <f>"13772643585"</f>
        <v>13772643585</v>
      </c>
      <c r="C6302" t="str">
        <f>"61032219770806123X"</f>
        <v>61032219770806123X</v>
      </c>
      <c r="D6302" t="s">
        <v>1</v>
      </c>
      <c r="E6302" t="s">
        <v>1</v>
      </c>
      <c r="F6302" t="s">
        <v>0</v>
      </c>
      <c r="G6302" t="str">
        <f>"2018-10-16 18:59:12"</f>
        <v>2018-10-16 18:59:12</v>
      </c>
    </row>
    <row r="6303" spans="1:7" x14ac:dyDescent="0.2">
      <c r="A6303" t="s">
        <v>7231</v>
      </c>
      <c r="B6303" t="str">
        <f>"13509780915"</f>
        <v>13509780915</v>
      </c>
      <c r="C6303" t="str">
        <f>"140225198805270514"</f>
        <v>140225198805270514</v>
      </c>
      <c r="D6303" t="s">
        <v>1</v>
      </c>
      <c r="E6303" t="s">
        <v>1</v>
      </c>
      <c r="F6303" t="s">
        <v>0</v>
      </c>
      <c r="G6303" t="str">
        <f>"2018-10-31 19:37:50"</f>
        <v>2018-10-31 19:37:50</v>
      </c>
    </row>
    <row r="6304" spans="1:7" x14ac:dyDescent="0.2">
      <c r="A6304" t="s">
        <v>7232</v>
      </c>
      <c r="B6304" t="str">
        <f>"13903679697"</f>
        <v>13903679697</v>
      </c>
      <c r="C6304" t="str">
        <f>"230306198103114929"</f>
        <v>230306198103114929</v>
      </c>
      <c r="D6304" t="s">
        <v>1</v>
      </c>
      <c r="E6304" t="s">
        <v>1</v>
      </c>
      <c r="F6304" t="s">
        <v>0</v>
      </c>
      <c r="G6304" t="str">
        <f>"2018-10-16 19:01:02"</f>
        <v>2018-10-16 19:01:02</v>
      </c>
    </row>
    <row r="6305" spans="1:7" x14ac:dyDescent="0.2">
      <c r="A6305" t="s">
        <v>7233</v>
      </c>
      <c r="B6305" t="str">
        <f>"13599997136"</f>
        <v>13599997136</v>
      </c>
      <c r="C6305" t="str">
        <f>"350581198907092014"</f>
        <v>350581198907092014</v>
      </c>
      <c r="D6305" t="s">
        <v>1</v>
      </c>
      <c r="E6305" t="s">
        <v>1</v>
      </c>
      <c r="F6305" t="s">
        <v>0</v>
      </c>
      <c r="G6305" t="str">
        <f>"2018-10-16 19:01:17"</f>
        <v>2018-10-16 19:01:17</v>
      </c>
    </row>
    <row r="6306" spans="1:7" x14ac:dyDescent="0.2">
      <c r="A6306" t="s">
        <v>1151</v>
      </c>
      <c r="B6306" t="str">
        <f>"13685413636"</f>
        <v>13685413636</v>
      </c>
      <c r="C6306" t="str">
        <f>"370404198402241446"</f>
        <v>370404198402241446</v>
      </c>
      <c r="D6306" t="s">
        <v>7234</v>
      </c>
      <c r="E6306" t="s">
        <v>7235</v>
      </c>
      <c r="F6306" t="s">
        <v>0</v>
      </c>
      <c r="G6306" t="str">
        <f>"2018-10-16 18:57:23"</f>
        <v>2018-10-16 18:57:23</v>
      </c>
    </row>
    <row r="6307" spans="1:7" x14ac:dyDescent="0.2">
      <c r="A6307" t="s">
        <v>7236</v>
      </c>
      <c r="B6307" t="str">
        <f>"18319782132"</f>
        <v>18319782132</v>
      </c>
      <c r="C6307" t="str">
        <f>"44092119881017423X"</f>
        <v>44092119881017423X</v>
      </c>
      <c r="D6307" t="s">
        <v>1</v>
      </c>
      <c r="E6307" t="s">
        <v>1</v>
      </c>
      <c r="F6307" t="s">
        <v>0</v>
      </c>
      <c r="G6307" t="str">
        <f>"2018-10-22 20:29:36"</f>
        <v>2018-10-22 20:29:36</v>
      </c>
    </row>
    <row r="6308" spans="1:7" x14ac:dyDescent="0.2">
      <c r="A6308" t="s">
        <v>220</v>
      </c>
      <c r="B6308" t="str">
        <f>"13333727380"</f>
        <v>13333727380</v>
      </c>
      <c r="C6308" t="str">
        <f>"410522199211110350"</f>
        <v>410522199211110350</v>
      </c>
      <c r="D6308" t="s">
        <v>1</v>
      </c>
      <c r="E6308" t="s">
        <v>1</v>
      </c>
      <c r="F6308" t="s">
        <v>0</v>
      </c>
      <c r="G6308" t="str">
        <f>"2018-10-26 17:14:26"</f>
        <v>2018-10-26 17:14:26</v>
      </c>
    </row>
    <row r="6309" spans="1:7" x14ac:dyDescent="0.2">
      <c r="A6309" t="s">
        <v>7237</v>
      </c>
      <c r="B6309" t="str">
        <f>"13839509720"</f>
        <v>13839509720</v>
      </c>
      <c r="C6309" t="str">
        <f>"411102198412100190"</f>
        <v>411102198412100190</v>
      </c>
      <c r="D6309" t="s">
        <v>1</v>
      </c>
      <c r="E6309" t="s">
        <v>1</v>
      </c>
      <c r="F6309" t="s">
        <v>0</v>
      </c>
      <c r="G6309" t="str">
        <f>"2018-10-16 18:57:34"</f>
        <v>2018-10-16 18:57:34</v>
      </c>
    </row>
    <row r="6310" spans="1:7" x14ac:dyDescent="0.2">
      <c r="A6310" t="s">
        <v>7238</v>
      </c>
      <c r="B6310" t="str">
        <f>"15033363622"</f>
        <v>15033363622</v>
      </c>
      <c r="C6310" t="str">
        <f>"130926199102220411"</f>
        <v>130926199102220411</v>
      </c>
      <c r="D6310" t="s">
        <v>1</v>
      </c>
      <c r="E6310" t="s">
        <v>1</v>
      </c>
      <c r="F6310" t="s">
        <v>0</v>
      </c>
      <c r="G6310" t="str">
        <f>"2018-10-16 18:56:19"</f>
        <v>2018-10-16 18:56:19</v>
      </c>
    </row>
    <row r="6311" spans="1:7" x14ac:dyDescent="0.2">
      <c r="A6311" t="s">
        <v>529</v>
      </c>
      <c r="B6311" t="str">
        <f>"18188348912"</f>
        <v>18188348912</v>
      </c>
      <c r="C6311" t="str">
        <f>"511132200005163516"</f>
        <v>511132200005163516</v>
      </c>
      <c r="D6311" t="s">
        <v>1</v>
      </c>
      <c r="E6311" t="s">
        <v>1</v>
      </c>
      <c r="F6311" t="s">
        <v>0</v>
      </c>
      <c r="G6311" t="str">
        <f>"2018-10-16 19:10:46"</f>
        <v>2018-10-16 19:10:46</v>
      </c>
    </row>
    <row r="6312" spans="1:7" x14ac:dyDescent="0.2">
      <c r="A6312" t="s">
        <v>1</v>
      </c>
      <c r="B6312" t="str">
        <f>"13197104247"</f>
        <v>13197104247</v>
      </c>
      <c r="C6312" t="s">
        <v>1</v>
      </c>
      <c r="D6312" t="s">
        <v>1</v>
      </c>
      <c r="E6312" t="s">
        <v>1</v>
      </c>
      <c r="F6312" t="s">
        <v>0</v>
      </c>
      <c r="G6312" t="str">
        <f>"2018-10-16 18:54:35"</f>
        <v>2018-10-16 18:54:35</v>
      </c>
    </row>
    <row r="6313" spans="1:7" x14ac:dyDescent="0.2">
      <c r="A6313" t="s">
        <v>7239</v>
      </c>
      <c r="B6313" t="str">
        <f>"13648866917"</f>
        <v>13648866917</v>
      </c>
      <c r="C6313" t="str">
        <f>"530103198505260321"</f>
        <v>530103198505260321</v>
      </c>
      <c r="D6313" t="s">
        <v>1</v>
      </c>
      <c r="E6313" t="s">
        <v>1</v>
      </c>
      <c r="F6313" t="s">
        <v>0</v>
      </c>
      <c r="G6313" t="str">
        <f>"2018-10-16 18:57:14"</f>
        <v>2018-10-16 18:57:14</v>
      </c>
    </row>
    <row r="6314" spans="1:7" x14ac:dyDescent="0.2">
      <c r="A6314" t="s">
        <v>646</v>
      </c>
      <c r="B6314" t="str">
        <f>"15037405526"</f>
        <v>15037405526</v>
      </c>
      <c r="C6314" t="str">
        <f>"411081199004165651"</f>
        <v>411081199004165651</v>
      </c>
      <c r="D6314" t="s">
        <v>7240</v>
      </c>
      <c r="E6314" t="s">
        <v>7241</v>
      </c>
      <c r="F6314" t="s">
        <v>0</v>
      </c>
      <c r="G6314" t="str">
        <f>"2018-10-16 18:54:31"</f>
        <v>2018-10-16 18:54:31</v>
      </c>
    </row>
    <row r="6315" spans="1:7" x14ac:dyDescent="0.2">
      <c r="A6315" t="s">
        <v>7242</v>
      </c>
      <c r="B6315" t="str">
        <f>"15244449537"</f>
        <v>15244449537</v>
      </c>
      <c r="C6315" t="str">
        <f>"370724198606245221"</f>
        <v>370724198606245221</v>
      </c>
      <c r="D6315" t="s">
        <v>1</v>
      </c>
      <c r="E6315" t="s">
        <v>1</v>
      </c>
      <c r="F6315" t="s">
        <v>0</v>
      </c>
      <c r="G6315" t="str">
        <f>"2018-10-16 18:54:32"</f>
        <v>2018-10-16 18:54:32</v>
      </c>
    </row>
    <row r="6316" spans="1:7" x14ac:dyDescent="0.2">
      <c r="A6316" t="s">
        <v>1</v>
      </c>
      <c r="B6316" t="str">
        <f>"18380647345"</f>
        <v>18380647345</v>
      </c>
      <c r="C6316" t="s">
        <v>1</v>
      </c>
      <c r="D6316" t="s">
        <v>1</v>
      </c>
      <c r="E6316" t="s">
        <v>1</v>
      </c>
      <c r="F6316" t="s">
        <v>0</v>
      </c>
      <c r="G6316" t="str">
        <f>"2018-10-16 18:52:54"</f>
        <v>2018-10-16 18:52:54</v>
      </c>
    </row>
    <row r="6317" spans="1:7" x14ac:dyDescent="0.2">
      <c r="A6317" t="s">
        <v>7243</v>
      </c>
      <c r="B6317" t="str">
        <f>"13546391400"</f>
        <v>13546391400</v>
      </c>
      <c r="C6317" t="str">
        <f>"140106198408141220"</f>
        <v>140106198408141220</v>
      </c>
      <c r="D6317" t="s">
        <v>7244</v>
      </c>
      <c r="E6317" t="s">
        <v>7245</v>
      </c>
      <c r="F6317" t="s">
        <v>0</v>
      </c>
      <c r="G6317" t="str">
        <f>"2018-10-16 18:53:44"</f>
        <v>2018-10-16 18:53:44</v>
      </c>
    </row>
    <row r="6318" spans="1:7" x14ac:dyDescent="0.2">
      <c r="A6318" t="s">
        <v>7246</v>
      </c>
      <c r="B6318" t="str">
        <f>"18851314075"</f>
        <v>18851314075</v>
      </c>
      <c r="C6318" t="str">
        <f>"32061119840511267X"</f>
        <v>32061119840511267X</v>
      </c>
      <c r="D6318" t="s">
        <v>1</v>
      </c>
      <c r="E6318" t="s">
        <v>1</v>
      </c>
      <c r="F6318" t="s">
        <v>0</v>
      </c>
      <c r="G6318" t="str">
        <f>"2018-10-21 12:16:08"</f>
        <v>2018-10-21 12:16:08</v>
      </c>
    </row>
    <row r="6319" spans="1:7" x14ac:dyDescent="0.2">
      <c r="A6319" t="s">
        <v>1</v>
      </c>
      <c r="B6319" t="str">
        <f>"17681972015"</f>
        <v>17681972015</v>
      </c>
      <c r="C6319" t="s">
        <v>1</v>
      </c>
      <c r="D6319" t="s">
        <v>1</v>
      </c>
      <c r="E6319" t="s">
        <v>1</v>
      </c>
      <c r="F6319" t="s">
        <v>0</v>
      </c>
      <c r="G6319" t="str">
        <f>"2018-10-16 18:52:18"</f>
        <v>2018-10-16 18:52:18</v>
      </c>
    </row>
    <row r="6320" spans="1:7" x14ac:dyDescent="0.2">
      <c r="A6320" t="s">
        <v>1</v>
      </c>
      <c r="B6320" t="str">
        <f>"13408579632"</f>
        <v>13408579632</v>
      </c>
      <c r="C6320" t="s">
        <v>1</v>
      </c>
      <c r="D6320" t="s">
        <v>1</v>
      </c>
      <c r="E6320" t="s">
        <v>1</v>
      </c>
      <c r="F6320" t="s">
        <v>0</v>
      </c>
      <c r="G6320" t="str">
        <f>"2018-10-16 18:52:17"</f>
        <v>2018-10-16 18:52:17</v>
      </c>
    </row>
    <row r="6321" spans="1:7" x14ac:dyDescent="0.2">
      <c r="A6321" t="s">
        <v>1</v>
      </c>
      <c r="B6321" t="str">
        <f>"15119456250"</f>
        <v>15119456250</v>
      </c>
      <c r="C6321" t="s">
        <v>1</v>
      </c>
      <c r="D6321" t="s">
        <v>1</v>
      </c>
      <c r="E6321" t="s">
        <v>1</v>
      </c>
      <c r="F6321" t="s">
        <v>0</v>
      </c>
      <c r="G6321" t="str">
        <f>"2018-10-16 18:51:54"</f>
        <v>2018-10-16 18:51:54</v>
      </c>
    </row>
    <row r="6322" spans="1:7" x14ac:dyDescent="0.2">
      <c r="A6322" t="s">
        <v>1</v>
      </c>
      <c r="B6322" t="str">
        <f>"13295702494"</f>
        <v>13295702494</v>
      </c>
      <c r="C6322" t="s">
        <v>1</v>
      </c>
      <c r="D6322" t="s">
        <v>1</v>
      </c>
      <c r="E6322" t="s">
        <v>1</v>
      </c>
      <c r="F6322" t="s">
        <v>0</v>
      </c>
      <c r="G6322" t="str">
        <f>"2018-10-16 18:51:47"</f>
        <v>2018-10-16 18:51:47</v>
      </c>
    </row>
    <row r="6323" spans="1:7" x14ac:dyDescent="0.2">
      <c r="A6323" t="s">
        <v>1</v>
      </c>
      <c r="B6323" t="str">
        <f>"15916742569"</f>
        <v>15916742569</v>
      </c>
      <c r="C6323" t="s">
        <v>1</v>
      </c>
      <c r="D6323" t="s">
        <v>1</v>
      </c>
      <c r="E6323" t="s">
        <v>1</v>
      </c>
      <c r="F6323" t="s">
        <v>0</v>
      </c>
      <c r="G6323" t="str">
        <f>"2018-10-16 18:51:32"</f>
        <v>2018-10-16 18:51:32</v>
      </c>
    </row>
    <row r="6324" spans="1:7" x14ac:dyDescent="0.2">
      <c r="A6324" t="s">
        <v>1033</v>
      </c>
      <c r="B6324" t="str">
        <f>"15096851209"</f>
        <v>15096851209</v>
      </c>
      <c r="C6324" t="str">
        <f>"532528199612090343"</f>
        <v>532528199612090343</v>
      </c>
      <c r="D6324" t="s">
        <v>1</v>
      </c>
      <c r="E6324" t="s">
        <v>1</v>
      </c>
      <c r="F6324" t="s">
        <v>0</v>
      </c>
      <c r="G6324" t="str">
        <f>"2018-10-31 05:35:20"</f>
        <v>2018-10-31 05:35:20</v>
      </c>
    </row>
    <row r="6325" spans="1:7" x14ac:dyDescent="0.2">
      <c r="A6325" t="s">
        <v>1</v>
      </c>
      <c r="B6325" t="str">
        <f>"15613227855"</f>
        <v>15613227855</v>
      </c>
      <c r="C6325" t="s">
        <v>1</v>
      </c>
      <c r="D6325" t="s">
        <v>1</v>
      </c>
      <c r="E6325" t="s">
        <v>1</v>
      </c>
      <c r="F6325" t="s">
        <v>0</v>
      </c>
      <c r="G6325" t="str">
        <f>"2018-10-16 18:51:20"</f>
        <v>2018-10-16 18:51:20</v>
      </c>
    </row>
    <row r="6326" spans="1:7" x14ac:dyDescent="0.2">
      <c r="A6326" t="s">
        <v>1</v>
      </c>
      <c r="B6326" t="str">
        <f>"13277716164"</f>
        <v>13277716164</v>
      </c>
      <c r="C6326" t="s">
        <v>1</v>
      </c>
      <c r="D6326" t="s">
        <v>1</v>
      </c>
      <c r="E6326" t="s">
        <v>1</v>
      </c>
      <c r="F6326" t="s">
        <v>0</v>
      </c>
      <c r="G6326" t="str">
        <f>"2018-10-16 18:51:18"</f>
        <v>2018-10-16 18:51:18</v>
      </c>
    </row>
    <row r="6327" spans="1:7" x14ac:dyDescent="0.2">
      <c r="A6327" t="s">
        <v>7247</v>
      </c>
      <c r="B6327" t="str">
        <f>"13860595952"</f>
        <v>13860595952</v>
      </c>
      <c r="C6327" t="str">
        <f>"350426199310012012"</f>
        <v>350426199310012012</v>
      </c>
      <c r="D6327" t="s">
        <v>1</v>
      </c>
      <c r="E6327" t="s">
        <v>1</v>
      </c>
      <c r="F6327" t="s">
        <v>0</v>
      </c>
      <c r="G6327" t="str">
        <f>"2018-10-16 18:52:11"</f>
        <v>2018-10-16 18:52:11</v>
      </c>
    </row>
    <row r="6328" spans="1:7" x14ac:dyDescent="0.2">
      <c r="A6328" t="s">
        <v>7248</v>
      </c>
      <c r="B6328" t="str">
        <f>"15774658234"</f>
        <v>15774658234</v>
      </c>
      <c r="C6328" t="str">
        <f>"232301199707206212"</f>
        <v>232301199707206212</v>
      </c>
      <c r="D6328" t="s">
        <v>1</v>
      </c>
      <c r="E6328" t="s">
        <v>1</v>
      </c>
      <c r="F6328" t="s">
        <v>0</v>
      </c>
      <c r="G6328" t="str">
        <f>"2018-10-16 18:52:53"</f>
        <v>2018-10-16 18:52:53</v>
      </c>
    </row>
    <row r="6329" spans="1:7" x14ac:dyDescent="0.2">
      <c r="A6329" t="s">
        <v>7249</v>
      </c>
      <c r="B6329" t="str">
        <f>"17868846765"</f>
        <v>17868846765</v>
      </c>
      <c r="C6329" t="str">
        <f>"612321198801113655"</f>
        <v>612321198801113655</v>
      </c>
      <c r="D6329" t="s">
        <v>1</v>
      </c>
      <c r="E6329" t="s">
        <v>1</v>
      </c>
      <c r="F6329" t="s">
        <v>0</v>
      </c>
      <c r="G6329" t="str">
        <f>"2018-10-16 18:51:17"</f>
        <v>2018-10-16 18:51:17</v>
      </c>
    </row>
    <row r="6330" spans="1:7" x14ac:dyDescent="0.2">
      <c r="A6330" t="s">
        <v>7250</v>
      </c>
      <c r="B6330" t="str">
        <f>"13333858533"</f>
        <v>13333858533</v>
      </c>
      <c r="C6330" t="str">
        <f>"410108199309040056"</f>
        <v>410108199309040056</v>
      </c>
      <c r="D6330" t="s">
        <v>1</v>
      </c>
      <c r="E6330" t="s">
        <v>1</v>
      </c>
      <c r="F6330" t="s">
        <v>0</v>
      </c>
      <c r="G6330" t="str">
        <f>"2018-10-16 18:51:09"</f>
        <v>2018-10-16 18:51:09</v>
      </c>
    </row>
    <row r="6331" spans="1:7" x14ac:dyDescent="0.2">
      <c r="A6331" t="s">
        <v>7251</v>
      </c>
      <c r="B6331" t="str">
        <f>"13988441473"</f>
        <v>13988441473</v>
      </c>
      <c r="C6331" t="str">
        <f>"530402199306200953"</f>
        <v>530402199306200953</v>
      </c>
      <c r="D6331" t="s">
        <v>1</v>
      </c>
      <c r="E6331" t="s">
        <v>1</v>
      </c>
      <c r="F6331" t="s">
        <v>0</v>
      </c>
      <c r="G6331" t="str">
        <f>"2018-10-16 18:49:06"</f>
        <v>2018-10-16 18:49:06</v>
      </c>
    </row>
    <row r="6332" spans="1:7" x14ac:dyDescent="0.2">
      <c r="A6332" t="s">
        <v>1</v>
      </c>
      <c r="B6332" t="str">
        <f>"13767331291"</f>
        <v>13767331291</v>
      </c>
      <c r="C6332" t="s">
        <v>1</v>
      </c>
      <c r="D6332" t="s">
        <v>1</v>
      </c>
      <c r="E6332" t="s">
        <v>1</v>
      </c>
      <c r="F6332" t="s">
        <v>0</v>
      </c>
      <c r="G6332" t="str">
        <f>"2018-10-16 18:48:59"</f>
        <v>2018-10-16 18:48:59</v>
      </c>
    </row>
    <row r="6333" spans="1:7" x14ac:dyDescent="0.2">
      <c r="A6333" t="s">
        <v>1060</v>
      </c>
      <c r="B6333" t="str">
        <f>"18329885824"</f>
        <v>18329885824</v>
      </c>
      <c r="C6333" t="str">
        <f>"612501199402285441"</f>
        <v>612501199402285441</v>
      </c>
      <c r="D6333" t="s">
        <v>1</v>
      </c>
      <c r="E6333" t="s">
        <v>1</v>
      </c>
      <c r="F6333" t="s">
        <v>0</v>
      </c>
      <c r="G6333" t="str">
        <f>"2018-10-16 18:50:09"</f>
        <v>2018-10-16 18:50:09</v>
      </c>
    </row>
    <row r="6334" spans="1:7" x14ac:dyDescent="0.2">
      <c r="A6334" t="s">
        <v>7252</v>
      </c>
      <c r="B6334" t="str">
        <f>"13070449888"</f>
        <v>13070449888</v>
      </c>
      <c r="C6334" t="str">
        <f>"65010419791108254X"</f>
        <v>65010419791108254X</v>
      </c>
      <c r="D6334" t="s">
        <v>1</v>
      </c>
      <c r="E6334" t="s">
        <v>1</v>
      </c>
      <c r="F6334" t="s">
        <v>0</v>
      </c>
      <c r="G6334" t="str">
        <f>"2018-10-16 19:04:48"</f>
        <v>2018-10-16 19:04:48</v>
      </c>
    </row>
    <row r="6335" spans="1:7" x14ac:dyDescent="0.2">
      <c r="A6335" t="s">
        <v>7253</v>
      </c>
      <c r="B6335" t="str">
        <f>"18702847232"</f>
        <v>18702847232</v>
      </c>
      <c r="C6335" t="str">
        <f>"511521199406165392"</f>
        <v>511521199406165392</v>
      </c>
      <c r="D6335" t="s">
        <v>1</v>
      </c>
      <c r="E6335" t="s">
        <v>1</v>
      </c>
      <c r="F6335" t="s">
        <v>0</v>
      </c>
      <c r="G6335" t="str">
        <f>"2018-10-16 19:06:15"</f>
        <v>2018-10-16 19:06:15</v>
      </c>
    </row>
    <row r="6336" spans="1:7" x14ac:dyDescent="0.2">
      <c r="A6336" t="s">
        <v>7254</v>
      </c>
      <c r="B6336" t="str">
        <f>"15893832379"</f>
        <v>15893832379</v>
      </c>
      <c r="C6336" t="str">
        <f>"410721199704155033"</f>
        <v>410721199704155033</v>
      </c>
      <c r="D6336" t="s">
        <v>1</v>
      </c>
      <c r="E6336" t="s">
        <v>1</v>
      </c>
      <c r="F6336" t="s">
        <v>0</v>
      </c>
      <c r="G6336" t="str">
        <f>"2018-10-16 18:47:18"</f>
        <v>2018-10-16 18:47:18</v>
      </c>
    </row>
    <row r="6337" spans="1:7" x14ac:dyDescent="0.2">
      <c r="A6337" t="s">
        <v>1</v>
      </c>
      <c r="B6337" t="str">
        <f>"18312264331"</f>
        <v>18312264331</v>
      </c>
      <c r="C6337" t="s">
        <v>1</v>
      </c>
      <c r="D6337" t="s">
        <v>1</v>
      </c>
      <c r="E6337" t="s">
        <v>1</v>
      </c>
      <c r="F6337" t="s">
        <v>0</v>
      </c>
      <c r="G6337" t="str">
        <f>"2018-10-16 18:46:36"</f>
        <v>2018-10-16 18:46:36</v>
      </c>
    </row>
    <row r="6338" spans="1:7" x14ac:dyDescent="0.2">
      <c r="A6338" t="s">
        <v>7255</v>
      </c>
      <c r="B6338" t="str">
        <f>"13808731141"</f>
        <v>13808731141</v>
      </c>
      <c r="C6338" t="str">
        <f>"530328199511232717"</f>
        <v>530328199511232717</v>
      </c>
      <c r="D6338" t="s">
        <v>1</v>
      </c>
      <c r="E6338" t="s">
        <v>1</v>
      </c>
      <c r="F6338" t="s">
        <v>0</v>
      </c>
      <c r="G6338" t="str">
        <f>"2018-10-16 18:48:12"</f>
        <v>2018-10-16 18:48:12</v>
      </c>
    </row>
    <row r="6339" spans="1:7" x14ac:dyDescent="0.2">
      <c r="A6339" t="s">
        <v>7256</v>
      </c>
      <c r="B6339" t="str">
        <f>"13211600045"</f>
        <v>13211600045</v>
      </c>
      <c r="C6339" t="str">
        <f>"530128199804254214"</f>
        <v>530128199804254214</v>
      </c>
      <c r="D6339" t="s">
        <v>1</v>
      </c>
      <c r="E6339" t="s">
        <v>1</v>
      </c>
      <c r="F6339" t="s">
        <v>0</v>
      </c>
      <c r="G6339" t="str">
        <f>"2018-11-02 16:26:57"</f>
        <v>2018-11-02 16:26:57</v>
      </c>
    </row>
    <row r="6340" spans="1:7" x14ac:dyDescent="0.2">
      <c r="A6340" t="s">
        <v>7257</v>
      </c>
      <c r="B6340" t="str">
        <f>"18093655500"</f>
        <v>18093655500</v>
      </c>
      <c r="C6340" t="str">
        <f>"622326198904267335"</f>
        <v>622326198904267335</v>
      </c>
      <c r="D6340" t="s">
        <v>1</v>
      </c>
      <c r="E6340" t="s">
        <v>1</v>
      </c>
      <c r="F6340" t="s">
        <v>0</v>
      </c>
      <c r="G6340" t="str">
        <f>"2018-10-16 18:45:40"</f>
        <v>2018-10-16 18:45:40</v>
      </c>
    </row>
    <row r="6341" spans="1:7" x14ac:dyDescent="0.2">
      <c r="A6341" t="s">
        <v>1254</v>
      </c>
      <c r="B6341" t="str">
        <f>"15590700989"</f>
        <v>15590700989</v>
      </c>
      <c r="C6341" t="str">
        <f>"220721198709114011"</f>
        <v>220721198709114011</v>
      </c>
      <c r="D6341" t="s">
        <v>1</v>
      </c>
      <c r="E6341" t="s">
        <v>1</v>
      </c>
      <c r="F6341" t="s">
        <v>0</v>
      </c>
      <c r="G6341" t="str">
        <f>"2018-10-16 18:44:21"</f>
        <v>2018-10-16 18:44:21</v>
      </c>
    </row>
    <row r="6342" spans="1:7" x14ac:dyDescent="0.2">
      <c r="A6342" t="s">
        <v>7258</v>
      </c>
      <c r="B6342" t="str">
        <f>"15813042119"</f>
        <v>15813042119</v>
      </c>
      <c r="C6342" t="str">
        <f>"440921199502103848"</f>
        <v>440921199502103848</v>
      </c>
      <c r="D6342" t="s">
        <v>1</v>
      </c>
      <c r="E6342" t="s">
        <v>1</v>
      </c>
      <c r="F6342" t="s">
        <v>0</v>
      </c>
      <c r="G6342" t="str">
        <f>"2018-10-16 18:42:50"</f>
        <v>2018-10-16 18:42:50</v>
      </c>
    </row>
    <row r="6343" spans="1:7" x14ac:dyDescent="0.2">
      <c r="A6343" t="s">
        <v>1</v>
      </c>
      <c r="B6343" t="str">
        <f>"15809003001"</f>
        <v>15809003001</v>
      </c>
      <c r="C6343" t="s">
        <v>1</v>
      </c>
      <c r="D6343" t="s">
        <v>1</v>
      </c>
      <c r="E6343" t="s">
        <v>1</v>
      </c>
      <c r="F6343" t="s">
        <v>0</v>
      </c>
      <c r="G6343" t="str">
        <f>"2018-10-16 18:43:58"</f>
        <v>2018-10-16 18:43:58</v>
      </c>
    </row>
    <row r="6344" spans="1:7" x14ac:dyDescent="0.2">
      <c r="A6344" t="s">
        <v>7259</v>
      </c>
      <c r="B6344" t="str">
        <f>"13956835037"</f>
        <v>13956835037</v>
      </c>
      <c r="C6344" t="str">
        <f>"342201199303136211"</f>
        <v>342201199303136211</v>
      </c>
      <c r="D6344" t="s">
        <v>1</v>
      </c>
      <c r="E6344" t="s">
        <v>1</v>
      </c>
      <c r="F6344" t="s">
        <v>0</v>
      </c>
      <c r="G6344" t="str">
        <f>"2018-10-16 18:44:31"</f>
        <v>2018-10-16 18:44:31</v>
      </c>
    </row>
    <row r="6345" spans="1:7" x14ac:dyDescent="0.2">
      <c r="A6345" t="s">
        <v>7260</v>
      </c>
      <c r="B6345" t="str">
        <f>"13205048357"</f>
        <v>13205048357</v>
      </c>
      <c r="C6345" t="str">
        <f>"350721199308124933"</f>
        <v>350721199308124933</v>
      </c>
      <c r="D6345" t="s">
        <v>1</v>
      </c>
      <c r="E6345" t="s">
        <v>1</v>
      </c>
      <c r="F6345" t="s">
        <v>0</v>
      </c>
      <c r="G6345" t="str">
        <f>"2018-10-16 18:42:28"</f>
        <v>2018-10-16 18:42:28</v>
      </c>
    </row>
    <row r="6346" spans="1:7" x14ac:dyDescent="0.2">
      <c r="A6346" t="s">
        <v>7261</v>
      </c>
      <c r="B6346" t="str">
        <f>"13510659458"</f>
        <v>13510659458</v>
      </c>
      <c r="C6346" t="str">
        <f>"421087198509292758"</f>
        <v>421087198509292758</v>
      </c>
      <c r="D6346" t="s">
        <v>1</v>
      </c>
      <c r="E6346" t="s">
        <v>1</v>
      </c>
      <c r="F6346" t="s">
        <v>0</v>
      </c>
      <c r="G6346" t="str">
        <f>"2018-10-27 11:48:10"</f>
        <v>2018-10-27 11:48:10</v>
      </c>
    </row>
    <row r="6347" spans="1:7" x14ac:dyDescent="0.2">
      <c r="A6347" t="s">
        <v>1</v>
      </c>
      <c r="B6347" t="str">
        <f>"17101670740"</f>
        <v>17101670740</v>
      </c>
      <c r="C6347" t="s">
        <v>1</v>
      </c>
      <c r="D6347" t="s">
        <v>1</v>
      </c>
      <c r="E6347" t="s">
        <v>1</v>
      </c>
      <c r="F6347" t="s">
        <v>0</v>
      </c>
      <c r="G6347" t="str">
        <f>"2018-10-16 18:41:35"</f>
        <v>2018-10-16 18:41:35</v>
      </c>
    </row>
    <row r="6348" spans="1:7" x14ac:dyDescent="0.2">
      <c r="A6348" t="s">
        <v>7262</v>
      </c>
      <c r="B6348" t="str">
        <f>"15564076930"</f>
        <v>15564076930</v>
      </c>
      <c r="C6348" t="str">
        <f>"372301199005015420"</f>
        <v>372301199005015420</v>
      </c>
      <c r="D6348" t="s">
        <v>1</v>
      </c>
      <c r="E6348" t="s">
        <v>1</v>
      </c>
      <c r="F6348" t="s">
        <v>0</v>
      </c>
      <c r="G6348" t="str">
        <f>"2018-10-16 18:41:06"</f>
        <v>2018-10-16 18:41:06</v>
      </c>
    </row>
    <row r="6349" spans="1:7" x14ac:dyDescent="0.2">
      <c r="A6349" t="s">
        <v>7263</v>
      </c>
      <c r="B6349" t="str">
        <f>"15811633389"</f>
        <v>15811633389</v>
      </c>
      <c r="C6349" t="str">
        <f>"441625198211077219"</f>
        <v>441625198211077219</v>
      </c>
      <c r="D6349" t="s">
        <v>1</v>
      </c>
      <c r="E6349" t="s">
        <v>1</v>
      </c>
      <c r="F6349" t="s">
        <v>0</v>
      </c>
      <c r="G6349" t="str">
        <f>"2018-10-30 16:23:41"</f>
        <v>2018-10-30 16:23:41</v>
      </c>
    </row>
    <row r="6350" spans="1:7" x14ac:dyDescent="0.2">
      <c r="A6350" t="s">
        <v>7264</v>
      </c>
      <c r="B6350" t="str">
        <f>"18887615545"</f>
        <v>18887615545</v>
      </c>
      <c r="C6350" t="str">
        <f>"532626198711190313"</f>
        <v>532626198711190313</v>
      </c>
      <c r="D6350" t="s">
        <v>1</v>
      </c>
      <c r="E6350" t="s">
        <v>1</v>
      </c>
      <c r="F6350" t="s">
        <v>0</v>
      </c>
      <c r="G6350" t="str">
        <f>"2018-10-25 16:13:46"</f>
        <v>2018-10-25 16:13:46</v>
      </c>
    </row>
    <row r="6351" spans="1:7" x14ac:dyDescent="0.2">
      <c r="A6351" t="s">
        <v>7265</v>
      </c>
      <c r="B6351" t="str">
        <f>"18696990690"</f>
        <v>18696990690</v>
      </c>
      <c r="C6351" t="str">
        <f>"500242198803210968"</f>
        <v>500242198803210968</v>
      </c>
      <c r="D6351" t="s">
        <v>1</v>
      </c>
      <c r="E6351" t="s">
        <v>1</v>
      </c>
      <c r="F6351" t="s">
        <v>0</v>
      </c>
      <c r="G6351" t="str">
        <f>"2018-10-16 18:53:16"</f>
        <v>2018-10-16 18:53:16</v>
      </c>
    </row>
    <row r="6352" spans="1:7" x14ac:dyDescent="0.2">
      <c r="A6352" t="s">
        <v>1</v>
      </c>
      <c r="B6352" t="str">
        <f>"18202022040"</f>
        <v>18202022040</v>
      </c>
      <c r="C6352" t="s">
        <v>1</v>
      </c>
      <c r="D6352" t="s">
        <v>1</v>
      </c>
      <c r="E6352" t="s">
        <v>1</v>
      </c>
      <c r="F6352" t="s">
        <v>0</v>
      </c>
      <c r="G6352" t="str">
        <f>"2018-10-16 18:38:25"</f>
        <v>2018-10-16 18:38:25</v>
      </c>
    </row>
    <row r="6353" spans="1:7" x14ac:dyDescent="0.2">
      <c r="A6353" t="s">
        <v>413</v>
      </c>
      <c r="B6353" t="str">
        <f>"17683971625"</f>
        <v>17683971625</v>
      </c>
      <c r="C6353" t="str">
        <f>"42280119971119005X"</f>
        <v>42280119971119005X</v>
      </c>
      <c r="D6353" t="s">
        <v>7266</v>
      </c>
      <c r="E6353" t="s">
        <v>7267</v>
      </c>
      <c r="F6353" t="s">
        <v>0</v>
      </c>
      <c r="G6353" t="str">
        <f>"2018-10-16 18:37:26"</f>
        <v>2018-10-16 18:37:26</v>
      </c>
    </row>
    <row r="6354" spans="1:7" x14ac:dyDescent="0.2">
      <c r="A6354" t="s">
        <v>1</v>
      </c>
      <c r="B6354" t="str">
        <f>"13676584702"</f>
        <v>13676584702</v>
      </c>
      <c r="C6354" t="s">
        <v>1</v>
      </c>
      <c r="D6354" t="s">
        <v>1</v>
      </c>
      <c r="E6354" t="s">
        <v>1</v>
      </c>
      <c r="F6354" t="s">
        <v>0</v>
      </c>
      <c r="G6354" t="str">
        <f>"2018-10-16 18:40:54"</f>
        <v>2018-10-16 18:40:54</v>
      </c>
    </row>
    <row r="6355" spans="1:7" x14ac:dyDescent="0.2">
      <c r="A6355" t="s">
        <v>7268</v>
      </c>
      <c r="B6355" t="str">
        <f>"13894936761"</f>
        <v>13894936761</v>
      </c>
      <c r="C6355" t="str">
        <f>"220722199310091410"</f>
        <v>220722199310091410</v>
      </c>
      <c r="D6355" t="s">
        <v>1</v>
      </c>
      <c r="E6355" t="s">
        <v>1</v>
      </c>
      <c r="F6355" t="s">
        <v>0</v>
      </c>
      <c r="G6355" t="str">
        <f>"2018-10-16 18:48:35"</f>
        <v>2018-10-16 18:48:35</v>
      </c>
    </row>
    <row r="6356" spans="1:7" x14ac:dyDescent="0.2">
      <c r="A6356" t="s">
        <v>7269</v>
      </c>
      <c r="B6356" t="str">
        <f>"18581459735"</f>
        <v>18581459735</v>
      </c>
      <c r="C6356" t="str">
        <f>"511221198106245453"</f>
        <v>511221198106245453</v>
      </c>
      <c r="D6356" t="s">
        <v>7270</v>
      </c>
      <c r="E6356" t="s">
        <v>7271</v>
      </c>
      <c r="F6356" t="s">
        <v>0</v>
      </c>
      <c r="G6356" t="str">
        <f>"2018-10-16 18:37:59"</f>
        <v>2018-10-16 18:37:59</v>
      </c>
    </row>
    <row r="6357" spans="1:7" x14ac:dyDescent="0.2">
      <c r="A6357" t="s">
        <v>1</v>
      </c>
      <c r="B6357" t="str">
        <f>"13123841134"</f>
        <v>13123841134</v>
      </c>
      <c r="C6357" t="s">
        <v>1</v>
      </c>
      <c r="D6357" t="s">
        <v>1</v>
      </c>
      <c r="E6357" t="s">
        <v>1</v>
      </c>
      <c r="F6357" t="s">
        <v>0</v>
      </c>
      <c r="G6357" t="str">
        <f>"2018-10-16 18:36:56"</f>
        <v>2018-10-16 18:36:56</v>
      </c>
    </row>
    <row r="6358" spans="1:7" x14ac:dyDescent="0.2">
      <c r="A6358" t="s">
        <v>7272</v>
      </c>
      <c r="B6358" t="str">
        <f>"13471053134"</f>
        <v>13471053134</v>
      </c>
      <c r="C6358" t="str">
        <f>"452132198807270326"</f>
        <v>452132198807270326</v>
      </c>
      <c r="D6358" t="s">
        <v>1</v>
      </c>
      <c r="E6358" t="s">
        <v>1</v>
      </c>
      <c r="F6358" t="s">
        <v>0</v>
      </c>
      <c r="G6358" t="str">
        <f>"2018-10-16 18:41:43"</f>
        <v>2018-10-16 18:41:43</v>
      </c>
    </row>
    <row r="6359" spans="1:7" x14ac:dyDescent="0.2">
      <c r="A6359" t="s">
        <v>7273</v>
      </c>
      <c r="B6359" t="str">
        <f>"13654143399"</f>
        <v>13654143399</v>
      </c>
      <c r="C6359" t="str">
        <f>"210122199002073910"</f>
        <v>210122199002073910</v>
      </c>
      <c r="D6359" t="s">
        <v>1</v>
      </c>
      <c r="E6359" t="s">
        <v>1</v>
      </c>
      <c r="F6359" t="s">
        <v>0</v>
      </c>
      <c r="G6359" t="str">
        <f>"2018-10-16 20:30:01"</f>
        <v>2018-10-16 20:30:01</v>
      </c>
    </row>
    <row r="6360" spans="1:7" x14ac:dyDescent="0.2">
      <c r="A6360" t="s">
        <v>7274</v>
      </c>
      <c r="B6360" t="str">
        <f>"15158034026"</f>
        <v>15158034026</v>
      </c>
      <c r="C6360" t="str">
        <f>"330822199210125418"</f>
        <v>330822199210125418</v>
      </c>
      <c r="D6360" t="s">
        <v>7275</v>
      </c>
      <c r="E6360" t="s">
        <v>7276</v>
      </c>
      <c r="F6360" t="s">
        <v>0</v>
      </c>
      <c r="G6360" t="str">
        <f>"2018-10-16 18:38:16"</f>
        <v>2018-10-16 18:38:16</v>
      </c>
    </row>
    <row r="6361" spans="1:7" x14ac:dyDescent="0.2">
      <c r="A6361" t="s">
        <v>1</v>
      </c>
      <c r="B6361" t="str">
        <f>"13771872560"</f>
        <v>13771872560</v>
      </c>
      <c r="C6361" t="s">
        <v>1</v>
      </c>
      <c r="D6361" t="s">
        <v>1</v>
      </c>
      <c r="E6361" t="s">
        <v>1</v>
      </c>
      <c r="F6361" t="s">
        <v>0</v>
      </c>
      <c r="G6361" t="str">
        <f>"2018-10-16 18:36:35"</f>
        <v>2018-10-16 18:36:35</v>
      </c>
    </row>
    <row r="6362" spans="1:7" x14ac:dyDescent="0.2">
      <c r="A6362" t="s">
        <v>1</v>
      </c>
      <c r="B6362" t="str">
        <f>"18754616649"</f>
        <v>18754616649</v>
      </c>
      <c r="C6362" t="s">
        <v>1</v>
      </c>
      <c r="D6362" t="s">
        <v>1</v>
      </c>
      <c r="E6362" t="s">
        <v>1</v>
      </c>
      <c r="F6362" t="s">
        <v>0</v>
      </c>
      <c r="G6362" t="str">
        <f>"2018-10-16 18:35:43"</f>
        <v>2018-10-16 18:35:43</v>
      </c>
    </row>
    <row r="6363" spans="1:7" x14ac:dyDescent="0.2">
      <c r="A6363" t="s">
        <v>1794</v>
      </c>
      <c r="B6363" t="str">
        <f>"13291096211"</f>
        <v>13291096211</v>
      </c>
      <c r="C6363" t="str">
        <f>"610126199106246310"</f>
        <v>610126199106246310</v>
      </c>
      <c r="D6363" t="s">
        <v>1</v>
      </c>
      <c r="E6363" t="s">
        <v>1</v>
      </c>
      <c r="F6363" t="s">
        <v>0</v>
      </c>
      <c r="G6363" t="str">
        <f>"2018-10-16 18:48:16"</f>
        <v>2018-10-16 18:48:16</v>
      </c>
    </row>
    <row r="6364" spans="1:7" x14ac:dyDescent="0.2">
      <c r="A6364" t="s">
        <v>7277</v>
      </c>
      <c r="B6364" t="str">
        <f>"18273478974"</f>
        <v>18273478974</v>
      </c>
      <c r="C6364" t="str">
        <f>"430424199508252916"</f>
        <v>430424199508252916</v>
      </c>
      <c r="D6364" t="s">
        <v>1</v>
      </c>
      <c r="E6364" t="s">
        <v>1</v>
      </c>
      <c r="F6364" t="s">
        <v>0</v>
      </c>
      <c r="G6364" t="str">
        <f>"2018-10-16 18:37:07"</f>
        <v>2018-10-16 18:37:07</v>
      </c>
    </row>
    <row r="6365" spans="1:7" x14ac:dyDescent="0.2">
      <c r="A6365" t="s">
        <v>7278</v>
      </c>
      <c r="B6365" t="str">
        <f>"14729043657"</f>
        <v>14729043657</v>
      </c>
      <c r="C6365" t="str">
        <f>"610425199811182818"</f>
        <v>610425199811182818</v>
      </c>
      <c r="D6365" t="s">
        <v>1</v>
      </c>
      <c r="E6365" t="s">
        <v>1</v>
      </c>
      <c r="F6365" t="s">
        <v>0</v>
      </c>
      <c r="G6365" t="str">
        <f>"2018-10-16 18:35:01"</f>
        <v>2018-10-16 18:35:01</v>
      </c>
    </row>
    <row r="6366" spans="1:7" x14ac:dyDescent="0.2">
      <c r="A6366" t="s">
        <v>1</v>
      </c>
      <c r="B6366" t="str">
        <f>"13700675213"</f>
        <v>13700675213</v>
      </c>
      <c r="C6366" t="s">
        <v>1</v>
      </c>
      <c r="D6366" t="s">
        <v>1</v>
      </c>
      <c r="E6366" t="s">
        <v>1</v>
      </c>
      <c r="F6366" t="s">
        <v>0</v>
      </c>
      <c r="G6366" t="str">
        <f>"2018-10-16 18:31:21"</f>
        <v>2018-10-16 18:31:21</v>
      </c>
    </row>
    <row r="6367" spans="1:7" x14ac:dyDescent="0.2">
      <c r="A6367" t="s">
        <v>1700</v>
      </c>
      <c r="B6367" t="str">
        <f>"18782100376"</f>
        <v>18782100376</v>
      </c>
      <c r="C6367" t="str">
        <f>"511123198507098156"</f>
        <v>511123198507098156</v>
      </c>
      <c r="D6367" t="s">
        <v>1</v>
      </c>
      <c r="E6367" t="s">
        <v>1</v>
      </c>
      <c r="F6367" t="s">
        <v>0</v>
      </c>
      <c r="G6367" t="str">
        <f>"2018-10-16 18:33:38"</f>
        <v>2018-10-16 18:33:38</v>
      </c>
    </row>
    <row r="6368" spans="1:7" x14ac:dyDescent="0.2">
      <c r="A6368" t="s">
        <v>1</v>
      </c>
      <c r="B6368" t="str">
        <f>"17128755248"</f>
        <v>17128755248</v>
      </c>
      <c r="C6368" t="s">
        <v>1</v>
      </c>
      <c r="D6368" t="s">
        <v>1</v>
      </c>
      <c r="E6368" t="s">
        <v>1</v>
      </c>
      <c r="F6368" t="s">
        <v>0</v>
      </c>
      <c r="G6368" t="str">
        <f>"2018-10-16 18:31:06"</f>
        <v>2018-10-16 18:31:06</v>
      </c>
    </row>
    <row r="6369" spans="1:7" x14ac:dyDescent="0.2">
      <c r="A6369" t="s">
        <v>7279</v>
      </c>
      <c r="B6369" t="str">
        <f>"15857397868"</f>
        <v>15857397868</v>
      </c>
      <c r="C6369" t="str">
        <f>"42032419790315317X"</f>
        <v>42032419790315317X</v>
      </c>
      <c r="D6369" t="s">
        <v>1</v>
      </c>
      <c r="E6369" t="s">
        <v>1</v>
      </c>
      <c r="F6369" t="s">
        <v>0</v>
      </c>
      <c r="G6369" t="str">
        <f>"2018-10-16 18:32:24"</f>
        <v>2018-10-16 18:32:24</v>
      </c>
    </row>
    <row r="6370" spans="1:7" x14ac:dyDescent="0.2">
      <c r="A6370" t="s">
        <v>1</v>
      </c>
      <c r="B6370" t="str">
        <f>"18985866057"</f>
        <v>18985866057</v>
      </c>
      <c r="C6370" t="s">
        <v>1</v>
      </c>
      <c r="D6370" t="s">
        <v>1</v>
      </c>
      <c r="E6370" t="s">
        <v>1</v>
      </c>
      <c r="F6370" t="s">
        <v>0</v>
      </c>
      <c r="G6370" t="str">
        <f>"2018-10-16 18:30:35"</f>
        <v>2018-10-16 18:30:35</v>
      </c>
    </row>
    <row r="6371" spans="1:7" x14ac:dyDescent="0.2">
      <c r="A6371" t="s">
        <v>7280</v>
      </c>
      <c r="B6371" t="str">
        <f>"13943876689"</f>
        <v>13943876689</v>
      </c>
      <c r="C6371" t="str">
        <f>"220721198302063427"</f>
        <v>220721198302063427</v>
      </c>
      <c r="D6371" t="s">
        <v>1</v>
      </c>
      <c r="E6371" t="s">
        <v>1</v>
      </c>
      <c r="F6371" t="s">
        <v>0</v>
      </c>
      <c r="G6371" t="str">
        <f>"2018-10-16 18:32:24"</f>
        <v>2018-10-16 18:32:24</v>
      </c>
    </row>
    <row r="6372" spans="1:7" x14ac:dyDescent="0.2">
      <c r="A6372" t="s">
        <v>56</v>
      </c>
      <c r="B6372" t="str">
        <f>"18566952114"</f>
        <v>18566952114</v>
      </c>
      <c r="C6372" t="str">
        <f>"421126199912218117"</f>
        <v>421126199912218117</v>
      </c>
      <c r="D6372" t="s">
        <v>1</v>
      </c>
      <c r="E6372" t="s">
        <v>1</v>
      </c>
      <c r="F6372" t="s">
        <v>0</v>
      </c>
      <c r="G6372" t="str">
        <f>"2018-10-16 18:33:02"</f>
        <v>2018-10-16 18:33:02</v>
      </c>
    </row>
    <row r="6373" spans="1:7" x14ac:dyDescent="0.2">
      <c r="A6373" t="s">
        <v>7281</v>
      </c>
      <c r="B6373" t="str">
        <f>"18660730261"</f>
        <v>18660730261</v>
      </c>
      <c r="C6373" t="str">
        <f>"370829199006114916"</f>
        <v>370829199006114916</v>
      </c>
      <c r="D6373" t="s">
        <v>1</v>
      </c>
      <c r="E6373" t="s">
        <v>1</v>
      </c>
      <c r="F6373" t="s">
        <v>0</v>
      </c>
      <c r="G6373" t="str">
        <f>"2018-10-16 18:31:12"</f>
        <v>2018-10-16 18:31:12</v>
      </c>
    </row>
    <row r="6374" spans="1:7" x14ac:dyDescent="0.2">
      <c r="A6374" t="s">
        <v>7282</v>
      </c>
      <c r="B6374" t="str">
        <f>"15087786863"</f>
        <v>15087786863</v>
      </c>
      <c r="C6374" t="str">
        <f>"532122199201080335"</f>
        <v>532122199201080335</v>
      </c>
      <c r="D6374" t="s">
        <v>1</v>
      </c>
      <c r="E6374" t="s">
        <v>1</v>
      </c>
      <c r="F6374" t="s">
        <v>0</v>
      </c>
      <c r="G6374" t="str">
        <f>"2018-10-16 18:32:00"</f>
        <v>2018-10-16 18:32:00</v>
      </c>
    </row>
    <row r="6375" spans="1:7" x14ac:dyDescent="0.2">
      <c r="A6375" t="s">
        <v>7283</v>
      </c>
      <c r="B6375" t="str">
        <f>"15872602926"</f>
        <v>15872602926</v>
      </c>
      <c r="C6375" t="str">
        <f>"420527199302084374"</f>
        <v>420527199302084374</v>
      </c>
      <c r="D6375" t="s">
        <v>1</v>
      </c>
      <c r="E6375" t="s">
        <v>1</v>
      </c>
      <c r="F6375" t="s">
        <v>0</v>
      </c>
      <c r="G6375" t="str">
        <f>"2018-10-16 18:30:17"</f>
        <v>2018-10-16 18:30:17</v>
      </c>
    </row>
    <row r="6376" spans="1:7" x14ac:dyDescent="0.2">
      <c r="A6376" t="s">
        <v>7284</v>
      </c>
      <c r="B6376" t="str">
        <f>"18653170303"</f>
        <v>18653170303</v>
      </c>
      <c r="C6376" t="str">
        <f>"370832198309100013"</f>
        <v>370832198309100013</v>
      </c>
      <c r="D6376" t="s">
        <v>1</v>
      </c>
      <c r="E6376" t="s">
        <v>1</v>
      </c>
      <c r="F6376" t="s">
        <v>0</v>
      </c>
      <c r="G6376" t="str">
        <f>"2018-11-01 16:09:32"</f>
        <v>2018-11-01 16:09:32</v>
      </c>
    </row>
    <row r="6377" spans="1:7" x14ac:dyDescent="0.2">
      <c r="A6377" t="s">
        <v>7285</v>
      </c>
      <c r="B6377" t="str">
        <f>"13840021002"</f>
        <v>13840021002</v>
      </c>
      <c r="C6377" t="str">
        <f>"210103198202204213"</f>
        <v>210103198202204213</v>
      </c>
      <c r="D6377" t="s">
        <v>1</v>
      </c>
      <c r="E6377" t="s">
        <v>1</v>
      </c>
      <c r="F6377" t="s">
        <v>0</v>
      </c>
      <c r="G6377" t="str">
        <f>"2018-10-16 18:31:07"</f>
        <v>2018-10-16 18:31:07</v>
      </c>
    </row>
    <row r="6378" spans="1:7" x14ac:dyDescent="0.2">
      <c r="A6378" t="s">
        <v>7286</v>
      </c>
      <c r="B6378" t="str">
        <f>"18692095266"</f>
        <v>18692095266</v>
      </c>
      <c r="C6378" t="str">
        <f>"430423198112123236"</f>
        <v>430423198112123236</v>
      </c>
      <c r="D6378" t="s">
        <v>1</v>
      </c>
      <c r="E6378" t="s">
        <v>1</v>
      </c>
      <c r="F6378" t="s">
        <v>0</v>
      </c>
      <c r="G6378" t="str">
        <f>"2018-10-16 18:27:02"</f>
        <v>2018-10-16 18:27:02</v>
      </c>
    </row>
    <row r="6379" spans="1:7" x14ac:dyDescent="0.2">
      <c r="A6379" t="s">
        <v>7287</v>
      </c>
      <c r="B6379" t="str">
        <f>"15764333500"</f>
        <v>15764333500</v>
      </c>
      <c r="C6379" t="str">
        <f>"220182198508275513"</f>
        <v>220182198508275513</v>
      </c>
      <c r="D6379" t="s">
        <v>1</v>
      </c>
      <c r="E6379" t="s">
        <v>1</v>
      </c>
      <c r="F6379" t="s">
        <v>0</v>
      </c>
      <c r="G6379" t="str">
        <f>"2018-10-16 18:26:55"</f>
        <v>2018-10-16 18:26:55</v>
      </c>
    </row>
    <row r="6380" spans="1:7" x14ac:dyDescent="0.2">
      <c r="A6380" t="s">
        <v>172</v>
      </c>
      <c r="B6380" t="str">
        <f>"15926776184"</f>
        <v>15926776184</v>
      </c>
      <c r="C6380" t="str">
        <f>"422126198610123514"</f>
        <v>422126198610123514</v>
      </c>
      <c r="D6380" t="s">
        <v>1</v>
      </c>
      <c r="E6380" t="s">
        <v>1</v>
      </c>
      <c r="F6380" t="s">
        <v>0</v>
      </c>
      <c r="G6380" t="str">
        <f>"2018-10-17 10:29:09"</f>
        <v>2018-10-17 10:29:09</v>
      </c>
    </row>
    <row r="6381" spans="1:7" x14ac:dyDescent="0.2">
      <c r="A6381" t="s">
        <v>21</v>
      </c>
      <c r="B6381" t="str">
        <f>"15099682776"</f>
        <v>15099682776</v>
      </c>
      <c r="C6381" t="str">
        <f>"652323199401100016"</f>
        <v>652323199401100016</v>
      </c>
      <c r="D6381" t="s">
        <v>1</v>
      </c>
      <c r="E6381" t="s">
        <v>1</v>
      </c>
      <c r="F6381" t="s">
        <v>0</v>
      </c>
      <c r="G6381" t="str">
        <f>"2018-10-16 18:48:46"</f>
        <v>2018-10-16 18:48:46</v>
      </c>
    </row>
    <row r="6382" spans="1:7" x14ac:dyDescent="0.2">
      <c r="A6382" t="s">
        <v>7288</v>
      </c>
      <c r="B6382" t="str">
        <f>"18558909220"</f>
        <v>18558909220</v>
      </c>
      <c r="C6382" t="str">
        <f>"362102198111080030"</f>
        <v>362102198111080030</v>
      </c>
      <c r="D6382" t="s">
        <v>1</v>
      </c>
      <c r="E6382" t="s">
        <v>1</v>
      </c>
      <c r="F6382" t="s">
        <v>0</v>
      </c>
      <c r="G6382" t="str">
        <f>"2018-10-16 18:26:11"</f>
        <v>2018-10-16 18:26:11</v>
      </c>
    </row>
    <row r="6383" spans="1:7" x14ac:dyDescent="0.2">
      <c r="A6383" t="s">
        <v>1</v>
      </c>
      <c r="B6383" t="str">
        <f>"18677905412"</f>
        <v>18677905412</v>
      </c>
      <c r="C6383" t="s">
        <v>1</v>
      </c>
      <c r="D6383" t="s">
        <v>1</v>
      </c>
      <c r="E6383" t="s">
        <v>1</v>
      </c>
      <c r="F6383" t="s">
        <v>0</v>
      </c>
      <c r="G6383" t="str">
        <f>"2018-10-16 18:22:31"</f>
        <v>2018-10-16 18:22:31</v>
      </c>
    </row>
    <row r="6384" spans="1:7" x14ac:dyDescent="0.2">
      <c r="A6384" t="s">
        <v>1</v>
      </c>
      <c r="B6384" t="str">
        <f>"13535196838"</f>
        <v>13535196838</v>
      </c>
      <c r="C6384" t="s">
        <v>1</v>
      </c>
      <c r="D6384" t="s">
        <v>1</v>
      </c>
      <c r="E6384" t="s">
        <v>1</v>
      </c>
      <c r="F6384" t="s">
        <v>0</v>
      </c>
      <c r="G6384" t="str">
        <f>"2018-10-16 18:22:22"</f>
        <v>2018-10-16 18:22:22</v>
      </c>
    </row>
    <row r="6385" spans="1:7" x14ac:dyDescent="0.2">
      <c r="A6385" t="s">
        <v>190</v>
      </c>
      <c r="B6385" t="str">
        <f>"15946329137"</f>
        <v>15946329137</v>
      </c>
      <c r="C6385" t="str">
        <f>"231084198504173720"</f>
        <v>231084198504173720</v>
      </c>
      <c r="D6385" t="s">
        <v>1</v>
      </c>
      <c r="E6385" t="s">
        <v>1</v>
      </c>
      <c r="F6385" t="s">
        <v>0</v>
      </c>
      <c r="G6385" t="str">
        <f>"2018-10-16 19:04:47"</f>
        <v>2018-10-16 19:04:47</v>
      </c>
    </row>
    <row r="6386" spans="1:7" x14ac:dyDescent="0.2">
      <c r="A6386" t="s">
        <v>1</v>
      </c>
      <c r="B6386" t="str">
        <f>"13276824876"</f>
        <v>13276824876</v>
      </c>
      <c r="C6386" t="s">
        <v>1</v>
      </c>
      <c r="D6386" t="s">
        <v>1</v>
      </c>
      <c r="E6386" t="s">
        <v>1</v>
      </c>
      <c r="F6386" t="s">
        <v>0</v>
      </c>
      <c r="G6386" t="str">
        <f>"2018-10-16 18:20:11"</f>
        <v>2018-10-16 18:20:11</v>
      </c>
    </row>
    <row r="6387" spans="1:7" x14ac:dyDescent="0.2">
      <c r="A6387" t="s">
        <v>377</v>
      </c>
      <c r="B6387" t="str">
        <f>"15803121806"</f>
        <v>15803121806</v>
      </c>
      <c r="C6387" t="str">
        <f>"130626198210153219"</f>
        <v>130626198210153219</v>
      </c>
      <c r="D6387" t="s">
        <v>1</v>
      </c>
      <c r="E6387" t="s">
        <v>1</v>
      </c>
      <c r="F6387" t="s">
        <v>0</v>
      </c>
      <c r="G6387" t="str">
        <f>"2018-10-16 18:21:41"</f>
        <v>2018-10-16 18:21:41</v>
      </c>
    </row>
    <row r="6388" spans="1:7" x14ac:dyDescent="0.2">
      <c r="A6388" t="s">
        <v>7289</v>
      </c>
      <c r="B6388" t="str">
        <f>"15923456973"</f>
        <v>15923456973</v>
      </c>
      <c r="C6388" t="str">
        <f>"500233198509033116"</f>
        <v>500233198509033116</v>
      </c>
      <c r="D6388" t="s">
        <v>1</v>
      </c>
      <c r="E6388" t="s">
        <v>1</v>
      </c>
      <c r="F6388" t="s">
        <v>0</v>
      </c>
      <c r="G6388" t="str">
        <f>"2018-10-16 18:21:57"</f>
        <v>2018-10-16 18:21:57</v>
      </c>
    </row>
    <row r="6389" spans="1:7" x14ac:dyDescent="0.2">
      <c r="A6389" t="s">
        <v>7290</v>
      </c>
      <c r="B6389" t="str">
        <f>"15773816872"</f>
        <v>15773816872</v>
      </c>
      <c r="C6389" t="str">
        <f>"43250119960121401X"</f>
        <v>43250119960121401X</v>
      </c>
      <c r="D6389" t="s">
        <v>1</v>
      </c>
      <c r="E6389" t="s">
        <v>1</v>
      </c>
      <c r="F6389" t="s">
        <v>0</v>
      </c>
      <c r="G6389" t="str">
        <f>"2018-10-16 18:21:27"</f>
        <v>2018-10-16 18:21:27</v>
      </c>
    </row>
    <row r="6390" spans="1:7" x14ac:dyDescent="0.2">
      <c r="A6390" t="s">
        <v>1</v>
      </c>
      <c r="B6390" t="str">
        <f>"13256565948"</f>
        <v>13256565948</v>
      </c>
      <c r="C6390" t="s">
        <v>1</v>
      </c>
      <c r="D6390" t="s">
        <v>1</v>
      </c>
      <c r="E6390" t="s">
        <v>1</v>
      </c>
      <c r="F6390" t="s">
        <v>0</v>
      </c>
      <c r="G6390" t="str">
        <f>"2018-10-16 18:18:48"</f>
        <v>2018-10-16 18:18:48</v>
      </c>
    </row>
    <row r="6391" spans="1:7" x14ac:dyDescent="0.2">
      <c r="A6391" t="s">
        <v>7291</v>
      </c>
      <c r="B6391" t="str">
        <f>"13450250163"</f>
        <v>13450250163</v>
      </c>
      <c r="C6391" t="str">
        <f>"440181199009291833"</f>
        <v>440181199009291833</v>
      </c>
      <c r="D6391" t="s">
        <v>7292</v>
      </c>
      <c r="E6391" t="s">
        <v>7293</v>
      </c>
      <c r="F6391" t="s">
        <v>0</v>
      </c>
      <c r="G6391" t="str">
        <f>"2018-10-18 15:25:04"</f>
        <v>2018-10-18 15:25:04</v>
      </c>
    </row>
    <row r="6392" spans="1:7" x14ac:dyDescent="0.2">
      <c r="A6392" t="s">
        <v>7294</v>
      </c>
      <c r="B6392" t="str">
        <f>"13516649320"</f>
        <v>13516649320</v>
      </c>
      <c r="C6392" t="str">
        <f>"44060219920131091X"</f>
        <v>44060219920131091X</v>
      </c>
      <c r="D6392" t="s">
        <v>1</v>
      </c>
      <c r="E6392" t="s">
        <v>1</v>
      </c>
      <c r="F6392" t="s">
        <v>0</v>
      </c>
      <c r="G6392" t="str">
        <f>"2018-10-16 23:45:59"</f>
        <v>2018-10-16 23:45:59</v>
      </c>
    </row>
    <row r="6393" spans="1:7" x14ac:dyDescent="0.2">
      <c r="A6393" t="s">
        <v>7295</v>
      </c>
      <c r="B6393" t="str">
        <f>"18356987553"</f>
        <v>18356987553</v>
      </c>
      <c r="C6393" t="str">
        <f>"342921199303301110"</f>
        <v>342921199303301110</v>
      </c>
      <c r="D6393" t="s">
        <v>1</v>
      </c>
      <c r="E6393" t="s">
        <v>1</v>
      </c>
      <c r="F6393" t="s">
        <v>0</v>
      </c>
      <c r="G6393" t="str">
        <f>"2018-10-16 18:17:47"</f>
        <v>2018-10-16 18:17:47</v>
      </c>
    </row>
    <row r="6394" spans="1:7" x14ac:dyDescent="0.2">
      <c r="A6394" t="s">
        <v>7296</v>
      </c>
      <c r="B6394" t="str">
        <f>"15005939919"</f>
        <v>15005939919</v>
      </c>
      <c r="C6394" t="str">
        <f>"350124197901022652"</f>
        <v>350124197901022652</v>
      </c>
      <c r="D6394" t="s">
        <v>1</v>
      </c>
      <c r="E6394" t="s">
        <v>1</v>
      </c>
      <c r="F6394" t="s">
        <v>0</v>
      </c>
      <c r="G6394" t="str">
        <f>"2018-10-28 11:46:33"</f>
        <v>2018-10-28 11:46:33</v>
      </c>
    </row>
    <row r="6395" spans="1:7" x14ac:dyDescent="0.2">
      <c r="A6395" t="s">
        <v>1</v>
      </c>
      <c r="B6395" t="str">
        <f>"15138006509"</f>
        <v>15138006509</v>
      </c>
      <c r="C6395" t="s">
        <v>1</v>
      </c>
      <c r="D6395" t="s">
        <v>1</v>
      </c>
      <c r="E6395" t="s">
        <v>1</v>
      </c>
      <c r="F6395" t="s">
        <v>0</v>
      </c>
      <c r="G6395" t="str">
        <f>"2018-10-16 18:16:42"</f>
        <v>2018-10-16 18:16:42</v>
      </c>
    </row>
    <row r="6396" spans="1:7" x14ac:dyDescent="0.2">
      <c r="A6396" t="s">
        <v>7297</v>
      </c>
      <c r="B6396" t="str">
        <f>"13812462025"</f>
        <v>13812462025</v>
      </c>
      <c r="C6396" t="str">
        <f>"321183199103252917"</f>
        <v>321183199103252917</v>
      </c>
      <c r="D6396" t="s">
        <v>1</v>
      </c>
      <c r="E6396" t="s">
        <v>1</v>
      </c>
      <c r="F6396" t="s">
        <v>0</v>
      </c>
      <c r="G6396" t="str">
        <f>"2018-10-16 18:16:21"</f>
        <v>2018-10-16 18:16:21</v>
      </c>
    </row>
    <row r="6397" spans="1:7" x14ac:dyDescent="0.2">
      <c r="A6397" t="s">
        <v>839</v>
      </c>
      <c r="B6397" t="str">
        <f>"13905415887"</f>
        <v>13905415887</v>
      </c>
      <c r="C6397" t="str">
        <f>"370126198502080434"</f>
        <v>370126198502080434</v>
      </c>
      <c r="D6397" t="s">
        <v>1</v>
      </c>
      <c r="E6397" t="s">
        <v>1</v>
      </c>
      <c r="F6397" t="s">
        <v>0</v>
      </c>
      <c r="G6397" t="str">
        <f>"2018-10-16 18:17:49"</f>
        <v>2018-10-16 18:17:49</v>
      </c>
    </row>
    <row r="6398" spans="1:7" x14ac:dyDescent="0.2">
      <c r="A6398" t="s">
        <v>7298</v>
      </c>
      <c r="B6398" t="str">
        <f>"15945489673"</f>
        <v>15945489673</v>
      </c>
      <c r="C6398" t="str">
        <f>"231084199002130514"</f>
        <v>231084199002130514</v>
      </c>
      <c r="D6398" t="s">
        <v>1</v>
      </c>
      <c r="E6398" t="s">
        <v>1</v>
      </c>
      <c r="F6398" t="s">
        <v>0</v>
      </c>
      <c r="G6398" t="str">
        <f>"2018-10-16 19:38:33"</f>
        <v>2018-10-16 19:38:33</v>
      </c>
    </row>
    <row r="6399" spans="1:7" x14ac:dyDescent="0.2">
      <c r="A6399" t="s">
        <v>7299</v>
      </c>
      <c r="B6399" t="str">
        <f>"17779735484"</f>
        <v>17779735484</v>
      </c>
      <c r="C6399" t="str">
        <f>"360782199902181716"</f>
        <v>360782199902181716</v>
      </c>
      <c r="D6399" t="s">
        <v>1</v>
      </c>
      <c r="E6399" t="s">
        <v>1</v>
      </c>
      <c r="F6399" t="s">
        <v>0</v>
      </c>
      <c r="G6399" t="str">
        <f>"2018-10-20 16:16:08"</f>
        <v>2018-10-20 16:16:08</v>
      </c>
    </row>
    <row r="6400" spans="1:7" x14ac:dyDescent="0.2">
      <c r="A6400" t="s">
        <v>1</v>
      </c>
      <c r="B6400" t="str">
        <f>"18934774626"</f>
        <v>18934774626</v>
      </c>
      <c r="C6400" t="s">
        <v>1</v>
      </c>
      <c r="D6400" t="s">
        <v>1</v>
      </c>
      <c r="E6400" t="s">
        <v>1</v>
      </c>
      <c r="F6400" t="s">
        <v>0</v>
      </c>
      <c r="G6400" t="str">
        <f>"2018-10-16 18:13:51"</f>
        <v>2018-10-16 18:13:51</v>
      </c>
    </row>
    <row r="6401" spans="1:7" x14ac:dyDescent="0.2">
      <c r="A6401" t="s">
        <v>7300</v>
      </c>
      <c r="B6401" t="str">
        <f>"18016052538"</f>
        <v>18016052538</v>
      </c>
      <c r="C6401" t="str">
        <f>"310113197412055713"</f>
        <v>310113197412055713</v>
      </c>
      <c r="D6401" t="s">
        <v>1</v>
      </c>
      <c r="E6401" t="s">
        <v>1</v>
      </c>
      <c r="F6401" t="s">
        <v>0</v>
      </c>
      <c r="G6401" t="str">
        <f>"2018-10-16 18:14:25"</f>
        <v>2018-10-16 18:14:25</v>
      </c>
    </row>
    <row r="6402" spans="1:7" x14ac:dyDescent="0.2">
      <c r="A6402" t="s">
        <v>7301</v>
      </c>
      <c r="B6402" t="str">
        <f>"15606701296"</f>
        <v>15606701296</v>
      </c>
      <c r="C6402" t="str">
        <f>"330881199906195510"</f>
        <v>330881199906195510</v>
      </c>
      <c r="D6402" t="s">
        <v>1</v>
      </c>
      <c r="E6402" t="s">
        <v>1</v>
      </c>
      <c r="F6402" t="s">
        <v>0</v>
      </c>
      <c r="G6402" t="str">
        <f>"2018-10-16 18:13:41"</f>
        <v>2018-10-16 18:13:41</v>
      </c>
    </row>
    <row r="6403" spans="1:7" x14ac:dyDescent="0.2">
      <c r="A6403" t="s">
        <v>7302</v>
      </c>
      <c r="B6403" t="str">
        <f>"17692541003"</f>
        <v>17692541003</v>
      </c>
      <c r="C6403" t="str">
        <f>"130225199810030913"</f>
        <v>130225199810030913</v>
      </c>
      <c r="D6403" t="s">
        <v>1</v>
      </c>
      <c r="E6403" t="s">
        <v>1</v>
      </c>
      <c r="F6403" t="s">
        <v>0</v>
      </c>
      <c r="G6403" t="str">
        <f>"2018-10-25 21:26:52"</f>
        <v>2018-10-25 21:26:52</v>
      </c>
    </row>
    <row r="6404" spans="1:7" x14ac:dyDescent="0.2">
      <c r="A6404" t="s">
        <v>7303</v>
      </c>
      <c r="B6404" t="str">
        <f>"13508576104"</f>
        <v>13508576104</v>
      </c>
      <c r="C6404" t="str">
        <f>"522401198910118816"</f>
        <v>522401198910118816</v>
      </c>
      <c r="D6404" t="s">
        <v>1</v>
      </c>
      <c r="E6404" t="s">
        <v>1</v>
      </c>
      <c r="F6404" t="s">
        <v>0</v>
      </c>
      <c r="G6404" t="str">
        <f>"2018-10-16 18:12:21"</f>
        <v>2018-10-16 18:12:21</v>
      </c>
    </row>
    <row r="6405" spans="1:7" x14ac:dyDescent="0.2">
      <c r="A6405" t="s">
        <v>7304</v>
      </c>
      <c r="B6405" t="str">
        <f>"14785212301"</f>
        <v>14785212301</v>
      </c>
      <c r="C6405" t="str">
        <f>"522731199608300616"</f>
        <v>522731199608300616</v>
      </c>
      <c r="D6405" t="s">
        <v>1</v>
      </c>
      <c r="E6405" t="s">
        <v>1</v>
      </c>
      <c r="F6405" t="s">
        <v>0</v>
      </c>
      <c r="G6405" t="str">
        <f>"2018-10-16 18:10:31"</f>
        <v>2018-10-16 18:10:31</v>
      </c>
    </row>
    <row r="6406" spans="1:7" x14ac:dyDescent="0.2">
      <c r="A6406" t="s">
        <v>7305</v>
      </c>
      <c r="B6406" t="str">
        <f>"17697670046"</f>
        <v>17697670046</v>
      </c>
      <c r="C6406" t="str">
        <f>"632124199809117892"</f>
        <v>632124199809117892</v>
      </c>
      <c r="D6406" t="s">
        <v>1</v>
      </c>
      <c r="E6406" t="s">
        <v>1</v>
      </c>
      <c r="F6406" t="s">
        <v>0</v>
      </c>
      <c r="G6406" t="str">
        <f>"2018-10-16 18:06:57"</f>
        <v>2018-10-16 18:06:57</v>
      </c>
    </row>
    <row r="6407" spans="1:7" x14ac:dyDescent="0.2">
      <c r="A6407" t="s">
        <v>7306</v>
      </c>
      <c r="B6407" t="str">
        <f>"18987357331"</f>
        <v>18987357331</v>
      </c>
      <c r="C6407" t="str">
        <f>"510521196302173254"</f>
        <v>510521196302173254</v>
      </c>
      <c r="D6407" t="s">
        <v>1</v>
      </c>
      <c r="E6407" t="s">
        <v>1</v>
      </c>
      <c r="F6407" t="s">
        <v>0</v>
      </c>
      <c r="G6407" t="str">
        <f>"2018-10-16 19:52:44"</f>
        <v>2018-10-16 19:52:44</v>
      </c>
    </row>
    <row r="6408" spans="1:7" x14ac:dyDescent="0.2">
      <c r="A6408" t="s">
        <v>7307</v>
      </c>
      <c r="B6408" t="str">
        <f>"13804949195"</f>
        <v>13804949195</v>
      </c>
      <c r="C6408" t="str">
        <f>"210283199410064632"</f>
        <v>210283199410064632</v>
      </c>
      <c r="D6408" t="s">
        <v>7308</v>
      </c>
      <c r="E6408" t="s">
        <v>7309</v>
      </c>
      <c r="F6408" t="s">
        <v>0</v>
      </c>
      <c r="G6408" t="str">
        <f>"2018-10-16 18:08:15"</f>
        <v>2018-10-16 18:08:15</v>
      </c>
    </row>
    <row r="6409" spans="1:7" x14ac:dyDescent="0.2">
      <c r="A6409" t="s">
        <v>7310</v>
      </c>
      <c r="B6409" t="str">
        <f>"13526100531"</f>
        <v>13526100531</v>
      </c>
      <c r="C6409" t="str">
        <f>"410502198905310015"</f>
        <v>410502198905310015</v>
      </c>
      <c r="D6409" t="s">
        <v>7311</v>
      </c>
      <c r="E6409" t="s">
        <v>7312</v>
      </c>
      <c r="F6409" t="s">
        <v>0</v>
      </c>
      <c r="G6409" t="str">
        <f>"2018-10-17 09:39:13"</f>
        <v>2018-10-17 09:39:13</v>
      </c>
    </row>
    <row r="6410" spans="1:7" x14ac:dyDescent="0.2">
      <c r="A6410" t="s">
        <v>7313</v>
      </c>
      <c r="B6410" t="str">
        <f>"18334686165"</f>
        <v>18334686165</v>
      </c>
      <c r="C6410" t="str">
        <f>"14052519850405382X"</f>
        <v>14052519850405382X</v>
      </c>
      <c r="D6410" t="s">
        <v>1</v>
      </c>
      <c r="E6410" t="s">
        <v>1</v>
      </c>
      <c r="F6410" t="s">
        <v>0</v>
      </c>
      <c r="G6410" t="str">
        <f>"2018-10-16 18:04:59"</f>
        <v>2018-10-16 18:04:59</v>
      </c>
    </row>
    <row r="6411" spans="1:7" x14ac:dyDescent="0.2">
      <c r="A6411" t="s">
        <v>7314</v>
      </c>
      <c r="B6411" t="str">
        <f>"13148946262"</f>
        <v>13148946262</v>
      </c>
      <c r="C6411" t="str">
        <f>"440281199610232418"</f>
        <v>440281199610232418</v>
      </c>
      <c r="D6411" t="s">
        <v>1</v>
      </c>
      <c r="E6411" t="s">
        <v>1</v>
      </c>
      <c r="F6411" t="s">
        <v>0</v>
      </c>
      <c r="G6411" t="str">
        <f>"2018-10-16 18:03:19"</f>
        <v>2018-10-16 18:03:19</v>
      </c>
    </row>
    <row r="6412" spans="1:7" x14ac:dyDescent="0.2">
      <c r="A6412" t="s">
        <v>7315</v>
      </c>
      <c r="B6412" t="str">
        <f>"18711456520"</f>
        <v>18711456520</v>
      </c>
      <c r="C6412" t="str">
        <f>"430482198508010019"</f>
        <v>430482198508010019</v>
      </c>
      <c r="D6412" t="s">
        <v>7316</v>
      </c>
      <c r="E6412" t="s">
        <v>7317</v>
      </c>
      <c r="F6412" t="s">
        <v>0</v>
      </c>
      <c r="G6412" t="str">
        <f>"2018-11-03 17:09:00"</f>
        <v>2018-11-03 17:09:00</v>
      </c>
    </row>
    <row r="6413" spans="1:7" x14ac:dyDescent="0.2">
      <c r="A6413" t="s">
        <v>7318</v>
      </c>
      <c r="B6413" t="str">
        <f>"15645897455"</f>
        <v>15645897455</v>
      </c>
      <c r="C6413" t="str">
        <f>"239005199406132024"</f>
        <v>239005199406132024</v>
      </c>
      <c r="D6413" t="s">
        <v>1</v>
      </c>
      <c r="E6413" t="s">
        <v>1</v>
      </c>
      <c r="F6413" t="s">
        <v>0</v>
      </c>
      <c r="G6413" t="str">
        <f>"2018-10-16 18:01:32"</f>
        <v>2018-10-16 18:01:32</v>
      </c>
    </row>
    <row r="6414" spans="1:7" x14ac:dyDescent="0.2">
      <c r="A6414" t="s">
        <v>819</v>
      </c>
      <c r="B6414" t="str">
        <f>"13259398389"</f>
        <v>13259398389</v>
      </c>
      <c r="C6414" t="str">
        <f>"612427199703100832"</f>
        <v>612427199703100832</v>
      </c>
      <c r="D6414" t="s">
        <v>1</v>
      </c>
      <c r="E6414" t="s">
        <v>1</v>
      </c>
      <c r="F6414" t="s">
        <v>0</v>
      </c>
      <c r="G6414" t="str">
        <f>"2018-10-16 18:01:59"</f>
        <v>2018-10-16 18:01:59</v>
      </c>
    </row>
    <row r="6415" spans="1:7" x14ac:dyDescent="0.2">
      <c r="A6415" t="s">
        <v>1</v>
      </c>
      <c r="B6415" t="str">
        <f>"18170681221"</f>
        <v>18170681221</v>
      </c>
      <c r="C6415" t="s">
        <v>1</v>
      </c>
      <c r="D6415" t="s">
        <v>1</v>
      </c>
      <c r="E6415" t="s">
        <v>1</v>
      </c>
      <c r="F6415" t="s">
        <v>0</v>
      </c>
      <c r="G6415" t="str">
        <f>"2018-10-16 17:59:47"</f>
        <v>2018-10-16 17:59:47</v>
      </c>
    </row>
    <row r="6416" spans="1:7" x14ac:dyDescent="0.2">
      <c r="A6416" t="s">
        <v>7319</v>
      </c>
      <c r="B6416" t="str">
        <f>"15024071213"</f>
        <v>15024071213</v>
      </c>
      <c r="C6416" t="str">
        <f>"522128198508222512"</f>
        <v>522128198508222512</v>
      </c>
      <c r="D6416" t="s">
        <v>1</v>
      </c>
      <c r="E6416" t="s">
        <v>1</v>
      </c>
      <c r="F6416" t="s">
        <v>0</v>
      </c>
      <c r="G6416" t="str">
        <f>"2018-10-16 18:09:55"</f>
        <v>2018-10-16 18:09:55</v>
      </c>
    </row>
    <row r="6417" spans="1:7" x14ac:dyDescent="0.2">
      <c r="A6417" t="s">
        <v>7320</v>
      </c>
      <c r="B6417" t="str">
        <f>"15258792176"</f>
        <v>15258792176</v>
      </c>
      <c r="C6417" t="str">
        <f>"330325197801305931"</f>
        <v>330325197801305931</v>
      </c>
      <c r="D6417" t="s">
        <v>1</v>
      </c>
      <c r="E6417" t="s">
        <v>1</v>
      </c>
      <c r="F6417" t="s">
        <v>0</v>
      </c>
      <c r="G6417" t="str">
        <f>"2018-10-16 18:00:35"</f>
        <v>2018-10-16 18:00:35</v>
      </c>
    </row>
    <row r="6418" spans="1:7" x14ac:dyDescent="0.2">
      <c r="A6418" t="s">
        <v>7321</v>
      </c>
      <c r="B6418" t="str">
        <f>"18912613427"</f>
        <v>18912613427</v>
      </c>
      <c r="C6418" t="str">
        <f>"320925198111106156"</f>
        <v>320925198111106156</v>
      </c>
      <c r="D6418" t="s">
        <v>1</v>
      </c>
      <c r="E6418" t="s">
        <v>1</v>
      </c>
      <c r="F6418" t="s">
        <v>0</v>
      </c>
      <c r="G6418" t="str">
        <f>"2018-10-16 18:06:59"</f>
        <v>2018-10-16 18:06:59</v>
      </c>
    </row>
    <row r="6419" spans="1:7" x14ac:dyDescent="0.2">
      <c r="A6419" t="s">
        <v>1</v>
      </c>
      <c r="B6419" t="str">
        <f>"18590397302"</f>
        <v>18590397302</v>
      </c>
      <c r="C6419" t="s">
        <v>1</v>
      </c>
      <c r="D6419" t="s">
        <v>1</v>
      </c>
      <c r="E6419" t="s">
        <v>1</v>
      </c>
      <c r="F6419" t="s">
        <v>0</v>
      </c>
      <c r="G6419" t="str">
        <f>"2018-10-16 17:58:08"</f>
        <v>2018-10-16 17:58:08</v>
      </c>
    </row>
    <row r="6420" spans="1:7" x14ac:dyDescent="0.2">
      <c r="A6420" t="s">
        <v>1708</v>
      </c>
      <c r="B6420" t="str">
        <f>"13995796711"</f>
        <v>13995796711</v>
      </c>
      <c r="C6420" t="str">
        <f>"420682198603312022"</f>
        <v>420682198603312022</v>
      </c>
      <c r="D6420" t="s">
        <v>1</v>
      </c>
      <c r="E6420" t="s">
        <v>1</v>
      </c>
      <c r="F6420" t="s">
        <v>0</v>
      </c>
      <c r="G6420" t="str">
        <f>"2018-10-16 17:58:45"</f>
        <v>2018-10-16 17:58:45</v>
      </c>
    </row>
    <row r="6421" spans="1:7" x14ac:dyDescent="0.2">
      <c r="A6421" t="s">
        <v>7322</v>
      </c>
      <c r="B6421" t="str">
        <f>"15936974564"</f>
        <v>15936974564</v>
      </c>
      <c r="C6421" t="str">
        <f>"412724199701202915"</f>
        <v>412724199701202915</v>
      </c>
      <c r="D6421" t="s">
        <v>1</v>
      </c>
      <c r="E6421" t="s">
        <v>1</v>
      </c>
      <c r="F6421" t="s">
        <v>0</v>
      </c>
      <c r="G6421" t="str">
        <f>"2018-10-16 19:04:02"</f>
        <v>2018-10-16 19:04:02</v>
      </c>
    </row>
    <row r="6422" spans="1:7" x14ac:dyDescent="0.2">
      <c r="A6422" t="s">
        <v>7323</v>
      </c>
      <c r="B6422" t="str">
        <f>"15138052209"</f>
        <v>15138052209</v>
      </c>
      <c r="C6422" t="str">
        <f>"410822199208215027"</f>
        <v>410822199208215027</v>
      </c>
      <c r="D6422" t="s">
        <v>1</v>
      </c>
      <c r="E6422" t="s">
        <v>1</v>
      </c>
      <c r="F6422" t="s">
        <v>0</v>
      </c>
      <c r="G6422" t="str">
        <f>"2018-10-31 15:34:39"</f>
        <v>2018-10-31 15:34:39</v>
      </c>
    </row>
    <row r="6423" spans="1:7" x14ac:dyDescent="0.2">
      <c r="A6423" t="s">
        <v>7324</v>
      </c>
      <c r="B6423" t="str">
        <f>"17608530330"</f>
        <v>17608530330</v>
      </c>
      <c r="C6423" t="str">
        <f>"522124199503305617"</f>
        <v>522124199503305617</v>
      </c>
      <c r="D6423" t="s">
        <v>7325</v>
      </c>
      <c r="E6423" t="s">
        <v>7326</v>
      </c>
      <c r="F6423" t="s">
        <v>0</v>
      </c>
      <c r="G6423" t="str">
        <f>"2018-10-16 17:58:28"</f>
        <v>2018-10-16 17:58:28</v>
      </c>
    </row>
    <row r="6424" spans="1:7" x14ac:dyDescent="0.2">
      <c r="A6424" t="s">
        <v>7327</v>
      </c>
      <c r="B6424" t="str">
        <f>"15098998037"</f>
        <v>15098998037</v>
      </c>
      <c r="C6424" t="str">
        <f>"370105199312126510"</f>
        <v>370105199312126510</v>
      </c>
      <c r="D6424" t="s">
        <v>1</v>
      </c>
      <c r="E6424" t="s">
        <v>1</v>
      </c>
      <c r="F6424" t="s">
        <v>0</v>
      </c>
      <c r="G6424" t="str">
        <f>"2018-10-16 17:57:50"</f>
        <v>2018-10-16 17:57:50</v>
      </c>
    </row>
    <row r="6425" spans="1:7" x14ac:dyDescent="0.2">
      <c r="A6425" t="s">
        <v>7328</v>
      </c>
      <c r="B6425" t="str">
        <f>"13182279750"</f>
        <v>13182279750</v>
      </c>
      <c r="C6425" t="str">
        <f>"321081199207144226"</f>
        <v>321081199207144226</v>
      </c>
      <c r="D6425" t="s">
        <v>7329</v>
      </c>
      <c r="E6425" t="s">
        <v>7330</v>
      </c>
      <c r="F6425" t="s">
        <v>0</v>
      </c>
      <c r="G6425" t="str">
        <f>"2018-10-16 18:02:15"</f>
        <v>2018-10-16 18:02:15</v>
      </c>
    </row>
    <row r="6426" spans="1:7" x14ac:dyDescent="0.2">
      <c r="A6426" t="s">
        <v>7331</v>
      </c>
      <c r="B6426" t="str">
        <f>"13828683258"</f>
        <v>13828683258</v>
      </c>
      <c r="C6426" t="str">
        <f>"44092319870314373X"</f>
        <v>44092319870314373X</v>
      </c>
      <c r="D6426" t="s">
        <v>1</v>
      </c>
      <c r="E6426" t="s">
        <v>1</v>
      </c>
      <c r="F6426" t="s">
        <v>0</v>
      </c>
      <c r="G6426" t="str">
        <f>"2018-10-16 17:57:05"</f>
        <v>2018-10-16 17:57:05</v>
      </c>
    </row>
    <row r="6427" spans="1:7" x14ac:dyDescent="0.2">
      <c r="A6427" t="s">
        <v>7332</v>
      </c>
      <c r="B6427" t="str">
        <f>"15228250304"</f>
        <v>15228250304</v>
      </c>
      <c r="C6427" t="str">
        <f>"51052519900518305X"</f>
        <v>51052519900518305X</v>
      </c>
      <c r="D6427" t="s">
        <v>1</v>
      </c>
      <c r="E6427" t="s">
        <v>1</v>
      </c>
      <c r="F6427" t="s">
        <v>0</v>
      </c>
      <c r="G6427" t="str">
        <f>"2018-10-16 18:30:17"</f>
        <v>2018-10-16 18:30:17</v>
      </c>
    </row>
    <row r="6428" spans="1:7" x14ac:dyDescent="0.2">
      <c r="A6428" t="s">
        <v>7333</v>
      </c>
      <c r="B6428" t="str">
        <f>"13133960370"</f>
        <v>13133960370</v>
      </c>
      <c r="C6428" t="str">
        <f>"362422199607174838"</f>
        <v>362422199607174838</v>
      </c>
      <c r="D6428" t="s">
        <v>1</v>
      </c>
      <c r="E6428" t="s">
        <v>1</v>
      </c>
      <c r="F6428" t="s">
        <v>0</v>
      </c>
      <c r="G6428" t="str">
        <f>"2018-10-16 17:55:26"</f>
        <v>2018-10-16 17:55:26</v>
      </c>
    </row>
    <row r="6429" spans="1:7" x14ac:dyDescent="0.2">
      <c r="A6429" t="s">
        <v>7334</v>
      </c>
      <c r="B6429" t="str">
        <f>"15241240330"</f>
        <v>15241240330</v>
      </c>
      <c r="C6429" t="str">
        <f>"210381199011291638"</f>
        <v>210381199011291638</v>
      </c>
      <c r="D6429" t="s">
        <v>1</v>
      </c>
      <c r="E6429" t="s">
        <v>1</v>
      </c>
      <c r="F6429" t="s">
        <v>0</v>
      </c>
      <c r="G6429" t="str">
        <f>"2018-10-16 17:57:43"</f>
        <v>2018-10-16 17:57:43</v>
      </c>
    </row>
    <row r="6430" spans="1:7" x14ac:dyDescent="0.2">
      <c r="A6430" t="s">
        <v>7335</v>
      </c>
      <c r="B6430" t="str">
        <f>"17690791758"</f>
        <v>17690791758</v>
      </c>
      <c r="C6430" t="str">
        <f>"620121199510126011"</f>
        <v>620121199510126011</v>
      </c>
      <c r="D6430" t="s">
        <v>1</v>
      </c>
      <c r="E6430" t="s">
        <v>1</v>
      </c>
      <c r="F6430" t="s">
        <v>0</v>
      </c>
      <c r="G6430" t="str">
        <f>"2018-10-16 17:54:49"</f>
        <v>2018-10-16 17:54:49</v>
      </c>
    </row>
    <row r="6431" spans="1:7" x14ac:dyDescent="0.2">
      <c r="A6431" t="s">
        <v>1</v>
      </c>
      <c r="B6431" t="str">
        <f>"13568892239"</f>
        <v>13568892239</v>
      </c>
      <c r="C6431" t="s">
        <v>1</v>
      </c>
      <c r="D6431" t="s">
        <v>1</v>
      </c>
      <c r="E6431" t="s">
        <v>1</v>
      </c>
      <c r="F6431" t="s">
        <v>0</v>
      </c>
      <c r="G6431" t="str">
        <f>"2018-10-16 17:52:49"</f>
        <v>2018-10-16 17:52:49</v>
      </c>
    </row>
    <row r="6432" spans="1:7" x14ac:dyDescent="0.2">
      <c r="A6432" t="s">
        <v>1</v>
      </c>
      <c r="B6432" t="str">
        <f>"15805035881"</f>
        <v>15805035881</v>
      </c>
      <c r="C6432" t="s">
        <v>1</v>
      </c>
      <c r="D6432" t="s">
        <v>1</v>
      </c>
      <c r="E6432" t="s">
        <v>1</v>
      </c>
      <c r="F6432" t="s">
        <v>0</v>
      </c>
      <c r="G6432" t="str">
        <f>"2018-10-16 17:52:27"</f>
        <v>2018-10-16 17:52:27</v>
      </c>
    </row>
    <row r="6433" spans="1:7" x14ac:dyDescent="0.2">
      <c r="A6433" t="s">
        <v>1</v>
      </c>
      <c r="B6433" t="str">
        <f>"18246024215"</f>
        <v>18246024215</v>
      </c>
      <c r="C6433" t="s">
        <v>1</v>
      </c>
      <c r="D6433" t="s">
        <v>1</v>
      </c>
      <c r="E6433" t="s">
        <v>1</v>
      </c>
      <c r="F6433" t="s">
        <v>0</v>
      </c>
      <c r="G6433" t="str">
        <f>"2018-10-16 18:01:53"</f>
        <v>2018-10-16 18:01:53</v>
      </c>
    </row>
    <row r="6434" spans="1:7" x14ac:dyDescent="0.2">
      <c r="A6434" t="s">
        <v>1</v>
      </c>
      <c r="B6434" t="str">
        <f>"13173947120"</f>
        <v>13173947120</v>
      </c>
      <c r="C6434" t="s">
        <v>1</v>
      </c>
      <c r="D6434" t="s">
        <v>1</v>
      </c>
      <c r="E6434" t="s">
        <v>1</v>
      </c>
      <c r="F6434" t="s">
        <v>0</v>
      </c>
      <c r="G6434" t="str">
        <f>"2018-10-16 17:51:40"</f>
        <v>2018-10-16 17:51:40</v>
      </c>
    </row>
    <row r="6435" spans="1:7" x14ac:dyDescent="0.2">
      <c r="A6435" t="s">
        <v>7336</v>
      </c>
      <c r="B6435" t="str">
        <f>"13869343303"</f>
        <v>13869343303</v>
      </c>
      <c r="C6435" t="str">
        <f>"370322198904060212"</f>
        <v>370322198904060212</v>
      </c>
      <c r="D6435" t="s">
        <v>1</v>
      </c>
      <c r="E6435" t="s">
        <v>1</v>
      </c>
      <c r="F6435" t="s">
        <v>0</v>
      </c>
      <c r="G6435" t="str">
        <f>"2018-10-16 17:52:24"</f>
        <v>2018-10-16 17:52:24</v>
      </c>
    </row>
    <row r="6436" spans="1:7" x14ac:dyDescent="0.2">
      <c r="A6436" t="s">
        <v>7337</v>
      </c>
      <c r="B6436" t="str">
        <f>"15153565397"</f>
        <v>15153565397</v>
      </c>
      <c r="C6436" t="str">
        <f>"37068219890311471X"</f>
        <v>37068219890311471X</v>
      </c>
      <c r="D6436" t="s">
        <v>1</v>
      </c>
      <c r="E6436" t="s">
        <v>1</v>
      </c>
      <c r="F6436" t="s">
        <v>0</v>
      </c>
      <c r="G6436" t="str">
        <f>"2018-10-16 18:00:03"</f>
        <v>2018-10-16 18:00:03</v>
      </c>
    </row>
    <row r="6437" spans="1:7" x14ac:dyDescent="0.2">
      <c r="A6437" t="s">
        <v>1</v>
      </c>
      <c r="B6437" t="str">
        <f>"15310511105"</f>
        <v>15310511105</v>
      </c>
      <c r="C6437" t="s">
        <v>1</v>
      </c>
      <c r="D6437" t="s">
        <v>1</v>
      </c>
      <c r="E6437" t="s">
        <v>1</v>
      </c>
      <c r="F6437" t="s">
        <v>0</v>
      </c>
      <c r="G6437" t="str">
        <f>"2018-10-16 17:52:21"</f>
        <v>2018-10-16 17:52:21</v>
      </c>
    </row>
    <row r="6438" spans="1:7" x14ac:dyDescent="0.2">
      <c r="A6438" t="s">
        <v>7338</v>
      </c>
      <c r="B6438" t="str">
        <f>"13904602182"</f>
        <v>13904602182</v>
      </c>
      <c r="C6438" t="str">
        <f>"230106198408060860"</f>
        <v>230106198408060860</v>
      </c>
      <c r="D6438" t="s">
        <v>1</v>
      </c>
      <c r="E6438" t="s">
        <v>1</v>
      </c>
      <c r="F6438" t="s">
        <v>0</v>
      </c>
      <c r="G6438" t="str">
        <f>"2018-10-16 17:52:49"</f>
        <v>2018-10-16 17:52:49</v>
      </c>
    </row>
    <row r="6439" spans="1:7" x14ac:dyDescent="0.2">
      <c r="A6439" t="s">
        <v>7339</v>
      </c>
      <c r="B6439" t="str">
        <f>"13573517637"</f>
        <v>13573517637</v>
      </c>
      <c r="C6439" t="str">
        <f>"370611198502172323"</f>
        <v>370611198502172323</v>
      </c>
      <c r="D6439" t="s">
        <v>1</v>
      </c>
      <c r="E6439" t="s">
        <v>1</v>
      </c>
      <c r="F6439" t="s">
        <v>0</v>
      </c>
      <c r="G6439" t="str">
        <f>"2018-10-30 21:44:20"</f>
        <v>2018-10-30 21:44:20</v>
      </c>
    </row>
    <row r="6440" spans="1:7" x14ac:dyDescent="0.2">
      <c r="A6440" t="s">
        <v>7340</v>
      </c>
      <c r="B6440" t="str">
        <f>"15963873209"</f>
        <v>15963873209</v>
      </c>
      <c r="C6440" t="str">
        <f>"370481198910161939"</f>
        <v>370481198910161939</v>
      </c>
      <c r="D6440" t="s">
        <v>1</v>
      </c>
      <c r="E6440" t="s">
        <v>1</v>
      </c>
      <c r="F6440" t="s">
        <v>0</v>
      </c>
      <c r="G6440" t="str">
        <f>"2018-10-16 17:51:39"</f>
        <v>2018-10-16 17:51:39</v>
      </c>
    </row>
    <row r="6441" spans="1:7" x14ac:dyDescent="0.2">
      <c r="A6441" t="s">
        <v>7341</v>
      </c>
      <c r="B6441" t="str">
        <f>"18161663623"</f>
        <v>18161663623</v>
      </c>
      <c r="C6441" t="str">
        <f>"640324199510290034"</f>
        <v>640324199510290034</v>
      </c>
      <c r="D6441" t="s">
        <v>1</v>
      </c>
      <c r="E6441" t="s">
        <v>1</v>
      </c>
      <c r="F6441" t="s">
        <v>0</v>
      </c>
      <c r="G6441" t="str">
        <f>"2018-10-16 17:49:56"</f>
        <v>2018-10-16 17:49:56</v>
      </c>
    </row>
    <row r="6442" spans="1:7" x14ac:dyDescent="0.2">
      <c r="A6442" t="s">
        <v>7342</v>
      </c>
      <c r="B6442" t="str">
        <f>"15897239989"</f>
        <v>15897239989</v>
      </c>
      <c r="C6442" t="str">
        <f>"632122199402105010"</f>
        <v>632122199402105010</v>
      </c>
      <c r="D6442" t="s">
        <v>7343</v>
      </c>
      <c r="E6442" t="s">
        <v>7344</v>
      </c>
      <c r="F6442" t="s">
        <v>0</v>
      </c>
      <c r="G6442" t="str">
        <f>"2018-10-16 17:52:04"</f>
        <v>2018-10-16 17:52:04</v>
      </c>
    </row>
    <row r="6443" spans="1:7" x14ac:dyDescent="0.2">
      <c r="A6443" t="s">
        <v>1</v>
      </c>
      <c r="B6443" t="str">
        <f>"18457346989"</f>
        <v>18457346989</v>
      </c>
      <c r="C6443" t="s">
        <v>1</v>
      </c>
      <c r="D6443" t="s">
        <v>1</v>
      </c>
      <c r="E6443" t="s">
        <v>1</v>
      </c>
      <c r="F6443" t="s">
        <v>0</v>
      </c>
      <c r="G6443" t="str">
        <f>"2018-10-16 18:40:45"</f>
        <v>2018-10-16 18:40:45</v>
      </c>
    </row>
    <row r="6444" spans="1:7" x14ac:dyDescent="0.2">
      <c r="A6444" t="s">
        <v>7345</v>
      </c>
      <c r="B6444" t="str">
        <f>"13320866206"</f>
        <v>13320866206</v>
      </c>
      <c r="C6444" t="str">
        <f>"510602197006091511"</f>
        <v>510602197006091511</v>
      </c>
      <c r="D6444" t="s">
        <v>1</v>
      </c>
      <c r="E6444" t="s">
        <v>1</v>
      </c>
      <c r="F6444" t="s">
        <v>0</v>
      </c>
      <c r="G6444" t="str">
        <f>"2018-10-16 17:51:45"</f>
        <v>2018-10-16 17:51:45</v>
      </c>
    </row>
    <row r="6445" spans="1:7" x14ac:dyDescent="0.2">
      <c r="A6445" t="s">
        <v>1220</v>
      </c>
      <c r="B6445" t="str">
        <f>"13659758719"</f>
        <v>13659758719</v>
      </c>
      <c r="C6445" t="str">
        <f>"440981198908065919"</f>
        <v>440981198908065919</v>
      </c>
      <c r="D6445" t="s">
        <v>1</v>
      </c>
      <c r="E6445" t="s">
        <v>1</v>
      </c>
      <c r="F6445" t="s">
        <v>0</v>
      </c>
      <c r="G6445" t="str">
        <f>"2018-10-16 17:52:44"</f>
        <v>2018-10-16 17:52:44</v>
      </c>
    </row>
    <row r="6446" spans="1:7" x14ac:dyDescent="0.2">
      <c r="A6446" t="s">
        <v>1</v>
      </c>
      <c r="B6446" t="str">
        <f>"13363636874"</f>
        <v>13363636874</v>
      </c>
      <c r="C6446" t="s">
        <v>1</v>
      </c>
      <c r="D6446" t="s">
        <v>1</v>
      </c>
      <c r="E6446" t="s">
        <v>1</v>
      </c>
      <c r="F6446" t="s">
        <v>0</v>
      </c>
      <c r="G6446" t="str">
        <f>"2018-10-16 17:48:51"</f>
        <v>2018-10-16 17:48:51</v>
      </c>
    </row>
    <row r="6447" spans="1:7" x14ac:dyDescent="0.2">
      <c r="A6447" t="s">
        <v>76</v>
      </c>
      <c r="B6447" t="str">
        <f>"13751566530"</f>
        <v>13751566530</v>
      </c>
      <c r="C6447" t="str">
        <f>"511523199810046603"</f>
        <v>511523199810046603</v>
      </c>
      <c r="D6447" t="s">
        <v>1</v>
      </c>
      <c r="E6447" t="s">
        <v>1</v>
      </c>
      <c r="F6447" t="s">
        <v>0</v>
      </c>
      <c r="G6447" t="str">
        <f>"2018-10-16 17:50:04"</f>
        <v>2018-10-16 17:50:04</v>
      </c>
    </row>
    <row r="6448" spans="1:7" x14ac:dyDescent="0.2">
      <c r="A6448" t="s">
        <v>1</v>
      </c>
      <c r="B6448" t="str">
        <f>"13986658001"</f>
        <v>13986658001</v>
      </c>
      <c r="C6448" t="s">
        <v>1</v>
      </c>
      <c r="D6448" t="s">
        <v>1</v>
      </c>
      <c r="E6448" t="s">
        <v>1</v>
      </c>
      <c r="F6448" t="s">
        <v>0</v>
      </c>
      <c r="G6448" t="str">
        <f>"2018-10-16 17:58:51"</f>
        <v>2018-10-16 17:58:51</v>
      </c>
    </row>
    <row r="6449" spans="1:7" x14ac:dyDescent="0.2">
      <c r="A6449" t="s">
        <v>7346</v>
      </c>
      <c r="B6449" t="str">
        <f>"18685671344"</f>
        <v>18685671344</v>
      </c>
      <c r="C6449" t="str">
        <f>"522223198612052035"</f>
        <v>522223198612052035</v>
      </c>
      <c r="D6449" t="s">
        <v>1</v>
      </c>
      <c r="E6449" t="s">
        <v>1</v>
      </c>
      <c r="F6449" t="s">
        <v>0</v>
      </c>
      <c r="G6449" t="str">
        <f>"2018-10-16 18:00:06"</f>
        <v>2018-10-16 18:00:06</v>
      </c>
    </row>
    <row r="6450" spans="1:7" x14ac:dyDescent="0.2">
      <c r="A6450" t="s">
        <v>1</v>
      </c>
      <c r="B6450" t="str">
        <f>"18723802283"</f>
        <v>18723802283</v>
      </c>
      <c r="C6450" t="s">
        <v>1</v>
      </c>
      <c r="D6450" t="s">
        <v>1</v>
      </c>
      <c r="E6450" t="s">
        <v>1</v>
      </c>
      <c r="F6450" t="s">
        <v>0</v>
      </c>
      <c r="G6450" t="str">
        <f>"2018-10-16 17:48:02"</f>
        <v>2018-10-16 17:48:02</v>
      </c>
    </row>
    <row r="6451" spans="1:7" x14ac:dyDescent="0.2">
      <c r="A6451" t="s">
        <v>7347</v>
      </c>
      <c r="B6451" t="str">
        <f>"15640849766"</f>
        <v>15640849766</v>
      </c>
      <c r="C6451" t="str">
        <f>"342422199301080157"</f>
        <v>342422199301080157</v>
      </c>
      <c r="D6451" t="s">
        <v>1</v>
      </c>
      <c r="E6451" t="s">
        <v>1</v>
      </c>
      <c r="F6451" t="s">
        <v>0</v>
      </c>
      <c r="G6451" t="str">
        <f>"2018-10-16 18:26:30"</f>
        <v>2018-10-16 18:26:30</v>
      </c>
    </row>
    <row r="6452" spans="1:7" x14ac:dyDescent="0.2">
      <c r="A6452" t="s">
        <v>7348</v>
      </c>
      <c r="B6452" t="str">
        <f>"15263530860"</f>
        <v>15263530860</v>
      </c>
      <c r="C6452" t="str">
        <f>"371502199307030323"</f>
        <v>371502199307030323</v>
      </c>
      <c r="D6452" t="s">
        <v>1</v>
      </c>
      <c r="E6452" t="s">
        <v>1</v>
      </c>
      <c r="F6452" t="s">
        <v>0</v>
      </c>
      <c r="G6452" t="str">
        <f>"2018-10-16 17:54:12"</f>
        <v>2018-10-16 17:54:12</v>
      </c>
    </row>
    <row r="6453" spans="1:7" x14ac:dyDescent="0.2">
      <c r="A6453" t="s">
        <v>1</v>
      </c>
      <c r="B6453" t="str">
        <f>"13799385077"</f>
        <v>13799385077</v>
      </c>
      <c r="C6453" t="s">
        <v>1</v>
      </c>
      <c r="D6453" t="s">
        <v>1</v>
      </c>
      <c r="E6453" t="s">
        <v>1</v>
      </c>
      <c r="F6453" t="s">
        <v>0</v>
      </c>
      <c r="G6453" t="str">
        <f>"2018-10-16 17:45:47"</f>
        <v>2018-10-16 17:45:47</v>
      </c>
    </row>
    <row r="6454" spans="1:7" x14ac:dyDescent="0.2">
      <c r="A6454" t="s">
        <v>7349</v>
      </c>
      <c r="B6454" t="str">
        <f>"18975252316"</f>
        <v>18975252316</v>
      </c>
      <c r="C6454" t="str">
        <f>"430302198110275028"</f>
        <v>430302198110275028</v>
      </c>
      <c r="D6454" t="s">
        <v>1</v>
      </c>
      <c r="E6454" t="s">
        <v>1</v>
      </c>
      <c r="F6454" t="s">
        <v>0</v>
      </c>
      <c r="G6454" t="str">
        <f>"2018-10-19 09:41:53"</f>
        <v>2018-10-19 09:41:53</v>
      </c>
    </row>
    <row r="6455" spans="1:7" x14ac:dyDescent="0.2">
      <c r="A6455" t="s">
        <v>7350</v>
      </c>
      <c r="B6455" t="str">
        <f>"18361268505"</f>
        <v>18361268505</v>
      </c>
      <c r="C6455" t="str">
        <f>"510502198707077033"</f>
        <v>510502198707077033</v>
      </c>
      <c r="D6455" t="s">
        <v>1</v>
      </c>
      <c r="E6455" t="s">
        <v>1</v>
      </c>
      <c r="F6455" t="s">
        <v>0</v>
      </c>
      <c r="G6455" t="str">
        <f>"2018-10-16 18:01:15"</f>
        <v>2018-10-16 18:01:15</v>
      </c>
    </row>
    <row r="6456" spans="1:7" x14ac:dyDescent="0.2">
      <c r="A6456" t="s">
        <v>7351</v>
      </c>
      <c r="B6456" t="str">
        <f>"18370970140"</f>
        <v>18370970140</v>
      </c>
      <c r="C6456" t="str">
        <f>"360729199108130928"</f>
        <v>360729199108130928</v>
      </c>
      <c r="D6456" t="s">
        <v>1</v>
      </c>
      <c r="E6456" t="s">
        <v>1</v>
      </c>
      <c r="F6456" t="s">
        <v>0</v>
      </c>
      <c r="G6456" t="str">
        <f>"2018-10-16 20:52:26"</f>
        <v>2018-10-16 20:52:26</v>
      </c>
    </row>
    <row r="6457" spans="1:7" x14ac:dyDescent="0.2">
      <c r="A6457" t="s">
        <v>1</v>
      </c>
      <c r="B6457" t="str">
        <f>"18367472903"</f>
        <v>18367472903</v>
      </c>
      <c r="C6457" t="s">
        <v>1</v>
      </c>
      <c r="D6457" t="s">
        <v>1</v>
      </c>
      <c r="E6457" t="s">
        <v>1</v>
      </c>
      <c r="F6457" t="s">
        <v>0</v>
      </c>
      <c r="G6457" t="str">
        <f>"2018-10-16 17:41:56"</f>
        <v>2018-10-16 17:41:56</v>
      </c>
    </row>
    <row r="6458" spans="1:7" x14ac:dyDescent="0.2">
      <c r="A6458" t="s">
        <v>7352</v>
      </c>
      <c r="B6458" t="str">
        <f>"13584292132"</f>
        <v>13584292132</v>
      </c>
      <c r="C6458" t="str">
        <f>"130434198904084851"</f>
        <v>130434198904084851</v>
      </c>
      <c r="D6458" t="s">
        <v>7353</v>
      </c>
      <c r="E6458" t="s">
        <v>7354</v>
      </c>
      <c r="F6458" t="s">
        <v>0</v>
      </c>
      <c r="G6458" t="str">
        <f>"2018-10-16 17:41:46"</f>
        <v>2018-10-16 17:41:46</v>
      </c>
    </row>
    <row r="6459" spans="1:7" x14ac:dyDescent="0.2">
      <c r="A6459" t="s">
        <v>7355</v>
      </c>
      <c r="B6459" t="str">
        <f>"15295227747"</f>
        <v>15295227747</v>
      </c>
      <c r="C6459" t="str">
        <f>"321284198304280014"</f>
        <v>321284198304280014</v>
      </c>
      <c r="D6459" t="s">
        <v>7356</v>
      </c>
      <c r="E6459" t="s">
        <v>7357</v>
      </c>
      <c r="F6459" t="s">
        <v>0</v>
      </c>
      <c r="G6459" t="str">
        <f>"2018-10-16 17:43:06"</f>
        <v>2018-10-16 17:43:06</v>
      </c>
    </row>
    <row r="6460" spans="1:7" x14ac:dyDescent="0.2">
      <c r="A6460" t="s">
        <v>1</v>
      </c>
      <c r="B6460" t="str">
        <f>"13481746919"</f>
        <v>13481746919</v>
      </c>
      <c r="C6460" t="s">
        <v>1</v>
      </c>
      <c r="D6460" t="s">
        <v>1</v>
      </c>
      <c r="E6460" t="s">
        <v>1</v>
      </c>
      <c r="F6460" t="s">
        <v>0</v>
      </c>
      <c r="G6460" t="str">
        <f>"2018-10-16 17:41:27"</f>
        <v>2018-10-16 17:41:27</v>
      </c>
    </row>
    <row r="6461" spans="1:7" x14ac:dyDescent="0.2">
      <c r="A6461" t="s">
        <v>7358</v>
      </c>
      <c r="B6461" t="str">
        <f>"15176282895"</f>
        <v>15176282895</v>
      </c>
      <c r="C6461" t="str">
        <f>"130634199609072511"</f>
        <v>130634199609072511</v>
      </c>
      <c r="D6461" t="s">
        <v>1</v>
      </c>
      <c r="E6461" t="s">
        <v>1</v>
      </c>
      <c r="F6461" t="s">
        <v>0</v>
      </c>
      <c r="G6461" t="str">
        <f>"2018-10-16 17:42:16"</f>
        <v>2018-10-16 17:42:16</v>
      </c>
    </row>
    <row r="6462" spans="1:7" x14ac:dyDescent="0.2">
      <c r="A6462" t="s">
        <v>7359</v>
      </c>
      <c r="B6462" t="str">
        <f>"13911782455"</f>
        <v>13911782455</v>
      </c>
      <c r="C6462" t="str">
        <f>"110221198109225014"</f>
        <v>110221198109225014</v>
      </c>
      <c r="D6462" t="s">
        <v>1</v>
      </c>
      <c r="E6462" t="s">
        <v>1</v>
      </c>
      <c r="F6462" t="s">
        <v>0</v>
      </c>
      <c r="G6462" t="str">
        <f>"2018-10-20 10:41:49"</f>
        <v>2018-10-20 10:41:49</v>
      </c>
    </row>
    <row r="6463" spans="1:7" x14ac:dyDescent="0.2">
      <c r="A6463" t="s">
        <v>1</v>
      </c>
      <c r="B6463" t="str">
        <f>"18807483988"</f>
        <v>18807483988</v>
      </c>
      <c r="C6463" t="s">
        <v>1</v>
      </c>
      <c r="D6463" t="s">
        <v>1</v>
      </c>
      <c r="E6463" t="s">
        <v>1</v>
      </c>
      <c r="F6463" t="s">
        <v>0</v>
      </c>
      <c r="G6463" t="str">
        <f>"2018-10-16 17:40:39"</f>
        <v>2018-10-16 17:40:39</v>
      </c>
    </row>
    <row r="6464" spans="1:7" x14ac:dyDescent="0.2">
      <c r="A6464" t="s">
        <v>4616</v>
      </c>
      <c r="B6464" t="str">
        <f>"18769377744"</f>
        <v>18769377744</v>
      </c>
      <c r="C6464" t="str">
        <f>"230125198411152917"</f>
        <v>230125198411152917</v>
      </c>
      <c r="D6464" t="s">
        <v>1</v>
      </c>
      <c r="E6464" t="s">
        <v>1</v>
      </c>
      <c r="F6464" t="s">
        <v>0</v>
      </c>
      <c r="G6464" t="str">
        <f>"2018-10-16 17:48:43"</f>
        <v>2018-10-16 17:48:43</v>
      </c>
    </row>
    <row r="6465" spans="1:7" x14ac:dyDescent="0.2">
      <c r="A6465" t="s">
        <v>7360</v>
      </c>
      <c r="B6465" t="str">
        <f>"18748867162"</f>
        <v>18748867162</v>
      </c>
      <c r="C6465" t="str">
        <f>"52232519971226007X"</f>
        <v>52232519971226007X</v>
      </c>
      <c r="D6465" t="s">
        <v>1</v>
      </c>
      <c r="E6465" t="s">
        <v>1</v>
      </c>
      <c r="F6465" t="s">
        <v>0</v>
      </c>
      <c r="G6465" t="str">
        <f>"2018-10-16 17:40:10"</f>
        <v>2018-10-16 17:40:10</v>
      </c>
    </row>
    <row r="6466" spans="1:7" x14ac:dyDescent="0.2">
      <c r="A6466" t="s">
        <v>1624</v>
      </c>
      <c r="B6466" t="str">
        <f>"18087657394"</f>
        <v>18087657394</v>
      </c>
      <c r="C6466" t="str">
        <f>"532627198910080324"</f>
        <v>532627198910080324</v>
      </c>
      <c r="D6466" t="s">
        <v>1</v>
      </c>
      <c r="E6466" t="s">
        <v>1</v>
      </c>
      <c r="F6466" t="s">
        <v>0</v>
      </c>
      <c r="G6466" t="str">
        <f>"2018-10-16 17:43:46"</f>
        <v>2018-10-16 17:43:46</v>
      </c>
    </row>
    <row r="6467" spans="1:7" x14ac:dyDescent="0.2">
      <c r="A6467" t="s">
        <v>1</v>
      </c>
      <c r="B6467" t="str">
        <f>"18028289268"</f>
        <v>18028289268</v>
      </c>
      <c r="C6467" t="s">
        <v>1</v>
      </c>
      <c r="D6467" t="s">
        <v>1</v>
      </c>
      <c r="E6467" t="s">
        <v>1</v>
      </c>
      <c r="F6467" t="s">
        <v>0</v>
      </c>
      <c r="G6467" t="str">
        <f>"2018-10-16 17:39:55"</f>
        <v>2018-10-16 17:39:55</v>
      </c>
    </row>
    <row r="6468" spans="1:7" x14ac:dyDescent="0.2">
      <c r="A6468" t="s">
        <v>7361</v>
      </c>
      <c r="B6468" t="str">
        <f>"18586140934"</f>
        <v>18586140934</v>
      </c>
      <c r="C6468" t="str">
        <f>"150221199705236512"</f>
        <v>150221199705236512</v>
      </c>
      <c r="D6468" t="s">
        <v>1</v>
      </c>
      <c r="E6468" t="s">
        <v>1</v>
      </c>
      <c r="F6468" t="s">
        <v>0</v>
      </c>
      <c r="G6468" t="str">
        <f>"2018-10-16 17:43:47"</f>
        <v>2018-10-16 17:43:47</v>
      </c>
    </row>
    <row r="6469" spans="1:7" x14ac:dyDescent="0.2">
      <c r="A6469" t="s">
        <v>7362</v>
      </c>
      <c r="B6469" t="str">
        <f>"18759809311"</f>
        <v>18759809311</v>
      </c>
      <c r="C6469" t="str">
        <f>"350425199304170317"</f>
        <v>350425199304170317</v>
      </c>
      <c r="D6469" t="s">
        <v>1</v>
      </c>
      <c r="E6469" t="s">
        <v>1</v>
      </c>
      <c r="F6469" t="s">
        <v>0</v>
      </c>
      <c r="G6469" t="str">
        <f>"2018-10-27 22:29:36"</f>
        <v>2018-10-27 22:29:36</v>
      </c>
    </row>
    <row r="6470" spans="1:7" x14ac:dyDescent="0.2">
      <c r="A6470" t="s">
        <v>1</v>
      </c>
      <c r="B6470" t="str">
        <f>"13062172971"</f>
        <v>13062172971</v>
      </c>
      <c r="C6470" t="s">
        <v>1</v>
      </c>
      <c r="D6470" t="s">
        <v>1</v>
      </c>
      <c r="E6470" t="s">
        <v>1</v>
      </c>
      <c r="F6470" t="s">
        <v>0</v>
      </c>
      <c r="G6470" t="str">
        <f>"2018-10-16 17:41:33"</f>
        <v>2018-10-16 17:41:33</v>
      </c>
    </row>
    <row r="6471" spans="1:7" x14ac:dyDescent="0.2">
      <c r="A6471" t="s">
        <v>1</v>
      </c>
      <c r="B6471" t="str">
        <f>"18093681063"</f>
        <v>18093681063</v>
      </c>
      <c r="C6471" t="s">
        <v>1</v>
      </c>
      <c r="D6471" t="s">
        <v>1</v>
      </c>
      <c r="E6471" t="s">
        <v>1</v>
      </c>
      <c r="F6471" t="s">
        <v>0</v>
      </c>
      <c r="G6471" t="str">
        <f>"2018-10-16 17:37:58"</f>
        <v>2018-10-16 17:37:58</v>
      </c>
    </row>
    <row r="6472" spans="1:7" x14ac:dyDescent="0.2">
      <c r="A6472" t="s">
        <v>7363</v>
      </c>
      <c r="B6472" t="str">
        <f>"13616473444"</f>
        <v>13616473444</v>
      </c>
      <c r="C6472" t="str">
        <f>"370523199609250728"</f>
        <v>370523199609250728</v>
      </c>
      <c r="D6472" t="s">
        <v>7364</v>
      </c>
      <c r="E6472" t="s">
        <v>7365</v>
      </c>
      <c r="F6472" t="s">
        <v>0</v>
      </c>
      <c r="G6472" t="str">
        <f>"2018-10-16 19:13:02"</f>
        <v>2018-10-16 19:13:02</v>
      </c>
    </row>
    <row r="6473" spans="1:7" x14ac:dyDescent="0.2">
      <c r="A6473" t="s">
        <v>7366</v>
      </c>
      <c r="B6473" t="str">
        <f>"15766956823"</f>
        <v>15766956823</v>
      </c>
      <c r="C6473" t="str">
        <f>"44138119870518211X"</f>
        <v>44138119870518211X</v>
      </c>
      <c r="D6473" t="s">
        <v>1</v>
      </c>
      <c r="E6473" t="s">
        <v>1</v>
      </c>
      <c r="F6473" t="s">
        <v>0</v>
      </c>
      <c r="G6473" t="str">
        <f>"2018-10-21 19:02:59"</f>
        <v>2018-10-21 19:02:59</v>
      </c>
    </row>
    <row r="6474" spans="1:7" x14ac:dyDescent="0.2">
      <c r="A6474" t="s">
        <v>455</v>
      </c>
      <c r="B6474" t="str">
        <f>"15512227772"</f>
        <v>15512227772</v>
      </c>
      <c r="C6474" t="str">
        <f>"130684199206294519"</f>
        <v>130684199206294519</v>
      </c>
      <c r="D6474" t="s">
        <v>7367</v>
      </c>
      <c r="E6474" t="s">
        <v>7368</v>
      </c>
      <c r="F6474" t="s">
        <v>0</v>
      </c>
      <c r="G6474" t="str">
        <f>"2018-10-16 17:38:30"</f>
        <v>2018-10-16 17:38:30</v>
      </c>
    </row>
    <row r="6475" spans="1:7" x14ac:dyDescent="0.2">
      <c r="A6475" t="s">
        <v>1</v>
      </c>
      <c r="B6475" t="str">
        <f>"18858552211"</f>
        <v>18858552211</v>
      </c>
      <c r="C6475" t="s">
        <v>1</v>
      </c>
      <c r="D6475" t="s">
        <v>1</v>
      </c>
      <c r="E6475" t="s">
        <v>1</v>
      </c>
      <c r="F6475" t="s">
        <v>0</v>
      </c>
      <c r="G6475" t="str">
        <f>"2018-10-16 17:35:39"</f>
        <v>2018-10-16 17:35:39</v>
      </c>
    </row>
    <row r="6476" spans="1:7" x14ac:dyDescent="0.2">
      <c r="A6476" t="s">
        <v>1</v>
      </c>
      <c r="B6476" t="str">
        <f>"15259036421"</f>
        <v>15259036421</v>
      </c>
      <c r="C6476" t="s">
        <v>1</v>
      </c>
      <c r="D6476" t="s">
        <v>1</v>
      </c>
      <c r="E6476" t="s">
        <v>1</v>
      </c>
      <c r="F6476" t="s">
        <v>0</v>
      </c>
      <c r="G6476" t="str">
        <f>"2018-10-16 17:34:24"</f>
        <v>2018-10-16 17:34:24</v>
      </c>
    </row>
    <row r="6477" spans="1:7" x14ac:dyDescent="0.2">
      <c r="A6477" t="s">
        <v>7369</v>
      </c>
      <c r="B6477" t="str">
        <f>"13677139017"</f>
        <v>13677139017</v>
      </c>
      <c r="C6477" t="str">
        <f>"421125199511141327"</f>
        <v>421125199511141327</v>
      </c>
      <c r="D6477" t="s">
        <v>1</v>
      </c>
      <c r="E6477" t="s">
        <v>1</v>
      </c>
      <c r="F6477" t="s">
        <v>0</v>
      </c>
      <c r="G6477" t="str">
        <f>"2018-10-16 17:57:10"</f>
        <v>2018-10-16 17:57:10</v>
      </c>
    </row>
    <row r="6478" spans="1:7" x14ac:dyDescent="0.2">
      <c r="A6478" t="s">
        <v>758</v>
      </c>
      <c r="B6478" t="str">
        <f>"13076710916"</f>
        <v>13076710916</v>
      </c>
      <c r="C6478" t="str">
        <f>"429004199003204950"</f>
        <v>429004199003204950</v>
      </c>
      <c r="D6478" t="s">
        <v>1</v>
      </c>
      <c r="E6478" t="s">
        <v>1</v>
      </c>
      <c r="F6478" t="s">
        <v>0</v>
      </c>
      <c r="G6478" t="str">
        <f>"2018-10-21 13:36:55"</f>
        <v>2018-10-21 13:36:55</v>
      </c>
    </row>
    <row r="6479" spans="1:7" x14ac:dyDescent="0.2">
      <c r="A6479" t="s">
        <v>7370</v>
      </c>
      <c r="B6479" t="str">
        <f>"15677968563"</f>
        <v>15677968563</v>
      </c>
      <c r="C6479" t="str">
        <f>"140522199507215316"</f>
        <v>140522199507215316</v>
      </c>
      <c r="D6479" t="s">
        <v>1</v>
      </c>
      <c r="E6479" t="s">
        <v>1</v>
      </c>
      <c r="F6479" t="s">
        <v>0</v>
      </c>
      <c r="G6479" t="str">
        <f>"2018-10-16 17:38:20"</f>
        <v>2018-10-16 17:38:20</v>
      </c>
    </row>
    <row r="6480" spans="1:7" x14ac:dyDescent="0.2">
      <c r="A6480" t="s">
        <v>1</v>
      </c>
      <c r="B6480" t="str">
        <f>"18778789871"</f>
        <v>18778789871</v>
      </c>
      <c r="C6480" t="s">
        <v>1</v>
      </c>
      <c r="D6480" t="s">
        <v>1</v>
      </c>
      <c r="E6480" t="s">
        <v>1</v>
      </c>
      <c r="F6480" t="s">
        <v>0</v>
      </c>
      <c r="G6480" t="str">
        <f>"2018-10-16 17:33:01"</f>
        <v>2018-10-16 17:33:01</v>
      </c>
    </row>
    <row r="6481" spans="1:7" x14ac:dyDescent="0.2">
      <c r="A6481" t="s">
        <v>7371</v>
      </c>
      <c r="B6481" t="str">
        <f>"15759483695"</f>
        <v>15759483695</v>
      </c>
      <c r="C6481" t="str">
        <f>"522501198204105511"</f>
        <v>522501198204105511</v>
      </c>
      <c r="D6481" t="s">
        <v>1</v>
      </c>
      <c r="E6481" t="s">
        <v>1</v>
      </c>
      <c r="F6481" t="s">
        <v>0</v>
      </c>
      <c r="G6481" t="str">
        <f>"2018-10-16 17:46:27"</f>
        <v>2018-10-16 17:46:27</v>
      </c>
    </row>
    <row r="6482" spans="1:7" x14ac:dyDescent="0.2">
      <c r="A6482" t="s">
        <v>7372</v>
      </c>
      <c r="B6482" t="str">
        <f>"15990012605"</f>
        <v>15990012605</v>
      </c>
      <c r="C6482" t="str">
        <f>"430402198507030016"</f>
        <v>430402198507030016</v>
      </c>
      <c r="D6482" t="s">
        <v>1</v>
      </c>
      <c r="E6482" t="s">
        <v>1</v>
      </c>
      <c r="F6482" t="s">
        <v>0</v>
      </c>
      <c r="G6482" t="str">
        <f>"2018-10-16 17:31:54"</f>
        <v>2018-10-16 17:31:54</v>
      </c>
    </row>
    <row r="6483" spans="1:7" x14ac:dyDescent="0.2">
      <c r="A6483" t="s">
        <v>1215</v>
      </c>
      <c r="B6483" t="str">
        <f>"18177506664"</f>
        <v>18177506664</v>
      </c>
      <c r="C6483" t="str">
        <f>"45098119910501062X"</f>
        <v>45098119910501062X</v>
      </c>
      <c r="D6483" t="s">
        <v>1</v>
      </c>
      <c r="E6483" t="s">
        <v>1</v>
      </c>
      <c r="F6483" t="s">
        <v>0</v>
      </c>
      <c r="G6483" t="str">
        <f>"2018-10-16 17:29:28"</f>
        <v>2018-10-16 17:29:28</v>
      </c>
    </row>
    <row r="6484" spans="1:7" x14ac:dyDescent="0.2">
      <c r="A6484" t="s">
        <v>7373</v>
      </c>
      <c r="B6484" t="str">
        <f>"13806196611"</f>
        <v>13806196611</v>
      </c>
      <c r="C6484" t="str">
        <f>"320283198708284217"</f>
        <v>320283198708284217</v>
      </c>
      <c r="D6484" t="s">
        <v>7374</v>
      </c>
      <c r="E6484" t="s">
        <v>7375</v>
      </c>
      <c r="F6484" t="s">
        <v>0</v>
      </c>
      <c r="G6484" t="str">
        <f>"2018-10-23 15:42:55"</f>
        <v>2018-10-23 15:42:55</v>
      </c>
    </row>
    <row r="6485" spans="1:7" x14ac:dyDescent="0.2">
      <c r="A6485" t="s">
        <v>7376</v>
      </c>
      <c r="B6485" t="str">
        <f>"18681159342"</f>
        <v>18681159342</v>
      </c>
      <c r="C6485" t="str">
        <f>"441625199506063847"</f>
        <v>441625199506063847</v>
      </c>
      <c r="D6485" t="s">
        <v>1</v>
      </c>
      <c r="E6485" t="s">
        <v>1</v>
      </c>
      <c r="F6485" t="s">
        <v>0</v>
      </c>
      <c r="G6485" t="str">
        <f>"2018-10-16 17:32:22"</f>
        <v>2018-10-16 17:32:22</v>
      </c>
    </row>
    <row r="6486" spans="1:7" x14ac:dyDescent="0.2">
      <c r="A6486" t="s">
        <v>1</v>
      </c>
      <c r="B6486" t="str">
        <f>"15578060423"</f>
        <v>15578060423</v>
      </c>
      <c r="C6486" t="s">
        <v>1</v>
      </c>
      <c r="D6486" t="s">
        <v>1</v>
      </c>
      <c r="E6486" t="s">
        <v>1</v>
      </c>
      <c r="F6486" t="s">
        <v>0</v>
      </c>
      <c r="G6486" t="str">
        <f>"2018-10-16 17:29:12"</f>
        <v>2018-10-16 17:29:12</v>
      </c>
    </row>
    <row r="6487" spans="1:7" x14ac:dyDescent="0.2">
      <c r="A6487" t="s">
        <v>7377</v>
      </c>
      <c r="B6487" t="str">
        <f>"15676160692"</f>
        <v>15676160692</v>
      </c>
      <c r="C6487" t="str">
        <f>"452428198305282521"</f>
        <v>452428198305282521</v>
      </c>
      <c r="D6487" t="s">
        <v>7378</v>
      </c>
      <c r="E6487" t="s">
        <v>7379</v>
      </c>
      <c r="F6487" t="s">
        <v>0</v>
      </c>
      <c r="G6487" t="str">
        <f>"2018-10-16 17:30:55"</f>
        <v>2018-10-16 17:30:55</v>
      </c>
    </row>
    <row r="6488" spans="1:7" x14ac:dyDescent="0.2">
      <c r="A6488" t="s">
        <v>7380</v>
      </c>
      <c r="B6488" t="str">
        <f>"15048762257"</f>
        <v>15048762257</v>
      </c>
      <c r="C6488" t="str">
        <f>"622301198804013314"</f>
        <v>622301198804013314</v>
      </c>
      <c r="D6488" t="s">
        <v>1</v>
      </c>
      <c r="E6488" t="s">
        <v>1</v>
      </c>
      <c r="F6488" t="s">
        <v>0</v>
      </c>
      <c r="G6488" t="str">
        <f>"2018-10-16 17:29:33"</f>
        <v>2018-10-16 17:29:33</v>
      </c>
    </row>
    <row r="6489" spans="1:7" x14ac:dyDescent="0.2">
      <c r="A6489" t="s">
        <v>700</v>
      </c>
      <c r="B6489" t="str">
        <f>"18249695836"</f>
        <v>18249695836</v>
      </c>
      <c r="C6489" t="str">
        <f>"232303199402116825"</f>
        <v>232303199402116825</v>
      </c>
      <c r="D6489" t="s">
        <v>1</v>
      </c>
      <c r="E6489" t="s">
        <v>1</v>
      </c>
      <c r="F6489" t="s">
        <v>0</v>
      </c>
      <c r="G6489" t="str">
        <f>"2018-10-16 17:29:21"</f>
        <v>2018-10-16 17:29:21</v>
      </c>
    </row>
    <row r="6490" spans="1:7" x14ac:dyDescent="0.2">
      <c r="A6490" t="s">
        <v>7381</v>
      </c>
      <c r="B6490" t="str">
        <f>"15892005126"</f>
        <v>15892005126</v>
      </c>
      <c r="C6490" t="str">
        <f>"350625199108301616"</f>
        <v>350625199108301616</v>
      </c>
      <c r="D6490" t="s">
        <v>7382</v>
      </c>
      <c r="E6490" t="s">
        <v>7383</v>
      </c>
      <c r="F6490" t="s">
        <v>0</v>
      </c>
      <c r="G6490" t="str">
        <f>"2018-10-16 17:33:01"</f>
        <v>2018-10-16 17:33:01</v>
      </c>
    </row>
    <row r="6491" spans="1:7" x14ac:dyDescent="0.2">
      <c r="A6491" t="s">
        <v>23</v>
      </c>
      <c r="B6491" t="str">
        <f>"15595108063"</f>
        <v>15595108063</v>
      </c>
      <c r="C6491" t="str">
        <f>"640322199201193510"</f>
        <v>640322199201193510</v>
      </c>
      <c r="D6491" t="s">
        <v>1</v>
      </c>
      <c r="E6491" t="s">
        <v>1</v>
      </c>
      <c r="F6491" t="s">
        <v>0</v>
      </c>
      <c r="G6491" t="str">
        <f>"2018-10-31 16:59:01"</f>
        <v>2018-10-31 16:59:01</v>
      </c>
    </row>
    <row r="6492" spans="1:7" x14ac:dyDescent="0.2">
      <c r="A6492" t="s">
        <v>7384</v>
      </c>
      <c r="B6492" t="str">
        <f>"15399880809"</f>
        <v>15399880809</v>
      </c>
      <c r="C6492" t="str">
        <f>"612501198410265323"</f>
        <v>612501198410265323</v>
      </c>
      <c r="D6492" t="s">
        <v>1</v>
      </c>
      <c r="E6492" t="s">
        <v>1</v>
      </c>
      <c r="F6492" t="s">
        <v>0</v>
      </c>
      <c r="G6492" t="str">
        <f>"2018-10-16 17:28:18"</f>
        <v>2018-10-16 17:28:18</v>
      </c>
    </row>
    <row r="6493" spans="1:7" x14ac:dyDescent="0.2">
      <c r="A6493" t="s">
        <v>1</v>
      </c>
      <c r="B6493" t="str">
        <f>"18083153399"</f>
        <v>18083153399</v>
      </c>
      <c r="C6493" t="s">
        <v>1</v>
      </c>
      <c r="D6493" t="s">
        <v>1</v>
      </c>
      <c r="E6493" t="s">
        <v>1</v>
      </c>
      <c r="F6493" t="s">
        <v>0</v>
      </c>
      <c r="G6493" t="str">
        <f>"2018-10-16 17:27:41"</f>
        <v>2018-10-16 17:27:41</v>
      </c>
    </row>
    <row r="6494" spans="1:7" x14ac:dyDescent="0.2">
      <c r="A6494" t="s">
        <v>1</v>
      </c>
      <c r="B6494" t="str">
        <f>"17074975792"</f>
        <v>17074975792</v>
      </c>
      <c r="C6494" t="s">
        <v>1</v>
      </c>
      <c r="D6494" t="s">
        <v>1</v>
      </c>
      <c r="E6494" t="s">
        <v>1</v>
      </c>
      <c r="F6494" t="s">
        <v>0</v>
      </c>
      <c r="G6494" t="str">
        <f>"2018-10-16 17:27:28"</f>
        <v>2018-10-16 17:27:28</v>
      </c>
    </row>
    <row r="6495" spans="1:7" x14ac:dyDescent="0.2">
      <c r="A6495" t="s">
        <v>1</v>
      </c>
      <c r="B6495" t="str">
        <f>"13618743811"</f>
        <v>13618743811</v>
      </c>
      <c r="C6495" t="s">
        <v>1</v>
      </c>
      <c r="D6495" t="s">
        <v>1</v>
      </c>
      <c r="E6495" t="s">
        <v>1</v>
      </c>
      <c r="F6495" t="s">
        <v>0</v>
      </c>
      <c r="G6495" t="str">
        <f>"2018-10-16 17:26:45"</f>
        <v>2018-10-16 17:26:45</v>
      </c>
    </row>
    <row r="6496" spans="1:7" x14ac:dyDescent="0.2">
      <c r="A6496" t="s">
        <v>717</v>
      </c>
      <c r="B6496" t="str">
        <f>"18608315635"</f>
        <v>18608315635</v>
      </c>
      <c r="C6496" t="str">
        <f>"511502199109274112"</f>
        <v>511502199109274112</v>
      </c>
      <c r="D6496" t="s">
        <v>7385</v>
      </c>
      <c r="E6496" t="s">
        <v>7386</v>
      </c>
      <c r="F6496" t="s">
        <v>0</v>
      </c>
      <c r="G6496" t="str">
        <f>"2018-10-16 17:29:01"</f>
        <v>2018-10-16 17:29:01</v>
      </c>
    </row>
    <row r="6497" spans="1:7" x14ac:dyDescent="0.2">
      <c r="A6497" t="s">
        <v>7387</v>
      </c>
      <c r="B6497" t="str">
        <f>"15399897803"</f>
        <v>15399897803</v>
      </c>
      <c r="C6497" t="str">
        <f>"43250219870109001X"</f>
        <v>43250219870109001X</v>
      </c>
      <c r="D6497" t="s">
        <v>7388</v>
      </c>
      <c r="E6497" t="s">
        <v>7389</v>
      </c>
      <c r="F6497" t="s">
        <v>0</v>
      </c>
      <c r="G6497" t="str">
        <f>"2018-10-22 09:37:18"</f>
        <v>2018-10-22 09:37:18</v>
      </c>
    </row>
    <row r="6498" spans="1:7" x14ac:dyDescent="0.2">
      <c r="A6498" t="s">
        <v>1</v>
      </c>
      <c r="B6498" t="str">
        <f>"13237762147"</f>
        <v>13237762147</v>
      </c>
      <c r="C6498" t="s">
        <v>1</v>
      </c>
      <c r="D6498" t="s">
        <v>1</v>
      </c>
      <c r="E6498" t="s">
        <v>1</v>
      </c>
      <c r="F6498" t="s">
        <v>0</v>
      </c>
      <c r="G6498" t="str">
        <f>"2018-10-16 17:25:02"</f>
        <v>2018-10-16 17:25:02</v>
      </c>
    </row>
    <row r="6499" spans="1:7" x14ac:dyDescent="0.2">
      <c r="A6499" t="s">
        <v>1</v>
      </c>
      <c r="B6499" t="str">
        <f>"13289055972"</f>
        <v>13289055972</v>
      </c>
      <c r="C6499" t="s">
        <v>1</v>
      </c>
      <c r="D6499" t="s">
        <v>1</v>
      </c>
      <c r="E6499" t="s">
        <v>1</v>
      </c>
      <c r="F6499" t="s">
        <v>0</v>
      </c>
      <c r="G6499" t="str">
        <f>"2018-10-16 17:24:59"</f>
        <v>2018-10-16 17:24:59</v>
      </c>
    </row>
    <row r="6500" spans="1:7" x14ac:dyDescent="0.2">
      <c r="A6500" t="s">
        <v>7390</v>
      </c>
      <c r="B6500" t="str">
        <f>"18583502559"</f>
        <v>18583502559</v>
      </c>
      <c r="C6500" t="str">
        <f>"510703199412263412"</f>
        <v>510703199412263412</v>
      </c>
      <c r="D6500" t="s">
        <v>1</v>
      </c>
      <c r="E6500" t="s">
        <v>1</v>
      </c>
      <c r="F6500" t="s">
        <v>0</v>
      </c>
      <c r="G6500" t="str">
        <f>"2018-10-16 17:26:28"</f>
        <v>2018-10-16 17:26:28</v>
      </c>
    </row>
    <row r="6501" spans="1:7" x14ac:dyDescent="0.2">
      <c r="A6501" t="s">
        <v>21</v>
      </c>
      <c r="B6501" t="str">
        <f>"18063533076"</f>
        <v>18063533076</v>
      </c>
      <c r="C6501" t="str">
        <f>"371502199005221175"</f>
        <v>371502199005221175</v>
      </c>
      <c r="D6501" t="s">
        <v>1</v>
      </c>
      <c r="E6501" t="s">
        <v>1</v>
      </c>
      <c r="F6501" t="s">
        <v>0</v>
      </c>
      <c r="G6501" t="str">
        <f>"2018-10-16 17:26:05"</f>
        <v>2018-10-16 17:26:05</v>
      </c>
    </row>
    <row r="6502" spans="1:7" x14ac:dyDescent="0.2">
      <c r="A6502" t="s">
        <v>7391</v>
      </c>
      <c r="B6502" t="str">
        <f>"13927090106"</f>
        <v>13927090106</v>
      </c>
      <c r="C6502" t="str">
        <f>"445201199308080073"</f>
        <v>445201199308080073</v>
      </c>
      <c r="D6502" t="s">
        <v>1</v>
      </c>
      <c r="E6502" t="s">
        <v>1</v>
      </c>
      <c r="F6502" t="s">
        <v>0</v>
      </c>
      <c r="G6502" t="str">
        <f>"2018-10-16 17:25:23"</f>
        <v>2018-10-16 17:25:23</v>
      </c>
    </row>
    <row r="6503" spans="1:7" x14ac:dyDescent="0.2">
      <c r="A6503" t="s">
        <v>662</v>
      </c>
      <c r="B6503" t="str">
        <f>"13998909923"</f>
        <v>13998909923</v>
      </c>
      <c r="C6503" t="str">
        <f>"211421199002094827"</f>
        <v>211421199002094827</v>
      </c>
      <c r="D6503" t="s">
        <v>7392</v>
      </c>
      <c r="E6503" t="s">
        <v>7393</v>
      </c>
      <c r="F6503" t="s">
        <v>0</v>
      </c>
      <c r="G6503" t="str">
        <f>"2018-10-16 17:42:17"</f>
        <v>2018-10-16 17:42:17</v>
      </c>
    </row>
    <row r="6504" spans="1:7" x14ac:dyDescent="0.2">
      <c r="A6504" t="s">
        <v>7394</v>
      </c>
      <c r="B6504" t="str">
        <f>"18332987929"</f>
        <v>18332987929</v>
      </c>
      <c r="C6504" t="str">
        <f>"130227198701216485"</f>
        <v>130227198701216485</v>
      </c>
      <c r="D6504" t="s">
        <v>1</v>
      </c>
      <c r="E6504" t="s">
        <v>1</v>
      </c>
      <c r="F6504" t="s">
        <v>0</v>
      </c>
      <c r="G6504" t="str">
        <f>"2018-10-16 17:38:25"</f>
        <v>2018-10-16 17:38:25</v>
      </c>
    </row>
    <row r="6505" spans="1:7" x14ac:dyDescent="0.2">
      <c r="A6505" t="s">
        <v>1</v>
      </c>
      <c r="B6505" t="str">
        <f>"17637695280"</f>
        <v>17637695280</v>
      </c>
      <c r="C6505" t="s">
        <v>1</v>
      </c>
      <c r="D6505" t="s">
        <v>1</v>
      </c>
      <c r="E6505" t="s">
        <v>1</v>
      </c>
      <c r="F6505" t="s">
        <v>0</v>
      </c>
      <c r="G6505" t="str">
        <f>"2018-10-16 17:22:12"</f>
        <v>2018-10-16 17:22:12</v>
      </c>
    </row>
    <row r="6506" spans="1:7" x14ac:dyDescent="0.2">
      <c r="A6506" t="s">
        <v>7395</v>
      </c>
      <c r="B6506" t="str">
        <f>"15846505143"</f>
        <v>15846505143</v>
      </c>
      <c r="C6506" t="str">
        <f>"230104198808204242"</f>
        <v>230104198808204242</v>
      </c>
      <c r="D6506" t="s">
        <v>1</v>
      </c>
      <c r="E6506" t="s">
        <v>1</v>
      </c>
      <c r="F6506" t="s">
        <v>0</v>
      </c>
      <c r="G6506" t="str">
        <f>"2018-10-16 17:24:28"</f>
        <v>2018-10-16 17:24:28</v>
      </c>
    </row>
    <row r="6507" spans="1:7" x14ac:dyDescent="0.2">
      <c r="A6507" t="s">
        <v>1749</v>
      </c>
      <c r="B6507" t="str">
        <f>"17786048727"</f>
        <v>17786048727</v>
      </c>
      <c r="C6507" t="str">
        <f>"36048119901016001X"</f>
        <v>36048119901016001X</v>
      </c>
      <c r="D6507" t="s">
        <v>7396</v>
      </c>
      <c r="E6507" t="s">
        <v>7397</v>
      </c>
      <c r="F6507" t="s">
        <v>0</v>
      </c>
      <c r="G6507" t="str">
        <f>"2018-10-16 17:22:41"</f>
        <v>2018-10-16 17:22:41</v>
      </c>
    </row>
    <row r="6508" spans="1:7" x14ac:dyDescent="0.2">
      <c r="A6508" t="s">
        <v>7398</v>
      </c>
      <c r="B6508" t="str">
        <f>"15848510678"</f>
        <v>15848510678</v>
      </c>
      <c r="C6508" t="str">
        <f>"152302198006040012"</f>
        <v>152302198006040012</v>
      </c>
      <c r="D6508" t="s">
        <v>7399</v>
      </c>
      <c r="E6508" t="s">
        <v>7400</v>
      </c>
      <c r="F6508" t="s">
        <v>0</v>
      </c>
      <c r="G6508" t="str">
        <f>"2018-10-16 17:34:43"</f>
        <v>2018-10-16 17:34:43</v>
      </c>
    </row>
    <row r="6509" spans="1:7" x14ac:dyDescent="0.2">
      <c r="A6509" t="s">
        <v>7401</v>
      </c>
      <c r="B6509" t="str">
        <f>"17313140569"</f>
        <v>17313140569</v>
      </c>
      <c r="C6509" t="str">
        <f>"510121199104073270"</f>
        <v>510121199104073270</v>
      </c>
      <c r="D6509" t="s">
        <v>1</v>
      </c>
      <c r="E6509" t="s">
        <v>1</v>
      </c>
      <c r="F6509" t="s">
        <v>0</v>
      </c>
      <c r="G6509" t="str">
        <f>"2018-10-16 18:03:37"</f>
        <v>2018-10-16 18:03:37</v>
      </c>
    </row>
    <row r="6510" spans="1:7" x14ac:dyDescent="0.2">
      <c r="A6510" t="s">
        <v>7402</v>
      </c>
      <c r="B6510" t="str">
        <f>"17674606126"</f>
        <v>17674606126</v>
      </c>
      <c r="C6510" t="str">
        <f>"431121199406150033"</f>
        <v>431121199406150033</v>
      </c>
      <c r="D6510" t="s">
        <v>1</v>
      </c>
      <c r="E6510" t="s">
        <v>1</v>
      </c>
      <c r="F6510" t="s">
        <v>0</v>
      </c>
      <c r="G6510" t="str">
        <f>"2018-10-16 17:21:59"</f>
        <v>2018-10-16 17:21:59</v>
      </c>
    </row>
    <row r="6511" spans="1:7" x14ac:dyDescent="0.2">
      <c r="A6511" t="s">
        <v>7403</v>
      </c>
      <c r="B6511" t="str">
        <f>"13481981881"</f>
        <v>13481981881</v>
      </c>
      <c r="C6511" t="str">
        <f>"452224198605064044"</f>
        <v>452224198605064044</v>
      </c>
      <c r="D6511" t="s">
        <v>1</v>
      </c>
      <c r="E6511" t="s">
        <v>1</v>
      </c>
      <c r="F6511" t="s">
        <v>0</v>
      </c>
      <c r="G6511" t="str">
        <f>"2018-10-16 17:32:06"</f>
        <v>2018-10-16 17:32:06</v>
      </c>
    </row>
    <row r="6512" spans="1:7" x14ac:dyDescent="0.2">
      <c r="A6512" t="s">
        <v>7404</v>
      </c>
      <c r="B6512" t="str">
        <f>"13307160159"</f>
        <v>13307160159</v>
      </c>
      <c r="C6512" t="str">
        <f>"422202199209020016"</f>
        <v>422202199209020016</v>
      </c>
      <c r="D6512" t="s">
        <v>1</v>
      </c>
      <c r="E6512" t="s">
        <v>1</v>
      </c>
      <c r="F6512" t="s">
        <v>0</v>
      </c>
      <c r="G6512" t="str">
        <f>"2018-10-16 17:23:59"</f>
        <v>2018-10-16 17:23:59</v>
      </c>
    </row>
    <row r="6513" spans="1:7" x14ac:dyDescent="0.2">
      <c r="A6513" t="s">
        <v>7405</v>
      </c>
      <c r="B6513" t="str">
        <f>"18451880216"</f>
        <v>18451880216</v>
      </c>
      <c r="C6513" t="str">
        <f>"321322199605082039"</f>
        <v>321322199605082039</v>
      </c>
      <c r="D6513" t="s">
        <v>1</v>
      </c>
      <c r="E6513" t="s">
        <v>1</v>
      </c>
      <c r="F6513" t="s">
        <v>0</v>
      </c>
      <c r="G6513" t="str">
        <f>"2018-10-16 17:21:43"</f>
        <v>2018-10-16 17:21:43</v>
      </c>
    </row>
    <row r="6514" spans="1:7" x14ac:dyDescent="0.2">
      <c r="A6514" t="s">
        <v>1162</v>
      </c>
      <c r="B6514" t="str">
        <f>"18650488261"</f>
        <v>18650488261</v>
      </c>
      <c r="C6514" t="str">
        <f>"350102198810122822"</f>
        <v>350102198810122822</v>
      </c>
      <c r="D6514" t="s">
        <v>1</v>
      </c>
      <c r="E6514" t="s">
        <v>1</v>
      </c>
      <c r="F6514" t="s">
        <v>0</v>
      </c>
      <c r="G6514" t="str">
        <f>"2018-10-16 17:24:29"</f>
        <v>2018-10-16 17:24:29</v>
      </c>
    </row>
    <row r="6515" spans="1:7" x14ac:dyDescent="0.2">
      <c r="A6515" t="s">
        <v>1</v>
      </c>
      <c r="B6515" t="str">
        <f>"15841521234"</f>
        <v>15841521234</v>
      </c>
      <c r="C6515" t="s">
        <v>1</v>
      </c>
      <c r="D6515" t="s">
        <v>1</v>
      </c>
      <c r="E6515" t="s">
        <v>1</v>
      </c>
      <c r="F6515" t="s">
        <v>0</v>
      </c>
      <c r="G6515" t="str">
        <f>"2018-10-16 17:18:06"</f>
        <v>2018-10-16 17:18:06</v>
      </c>
    </row>
    <row r="6516" spans="1:7" x14ac:dyDescent="0.2">
      <c r="A6516" t="s">
        <v>7406</v>
      </c>
      <c r="B6516" t="str">
        <f>"13375641333"</f>
        <v>13375641333</v>
      </c>
      <c r="C6516" t="str">
        <f>"370406198910106032"</f>
        <v>370406198910106032</v>
      </c>
      <c r="D6516" t="s">
        <v>7407</v>
      </c>
      <c r="E6516" t="s">
        <v>7408</v>
      </c>
      <c r="F6516" t="s">
        <v>0</v>
      </c>
      <c r="G6516" t="str">
        <f>"2018-10-16 17:21:38"</f>
        <v>2018-10-16 17:21:38</v>
      </c>
    </row>
    <row r="6517" spans="1:7" x14ac:dyDescent="0.2">
      <c r="A6517" t="s">
        <v>7409</v>
      </c>
      <c r="B6517" t="str">
        <f>"17323317000"</f>
        <v>17323317000</v>
      </c>
      <c r="C6517" t="str">
        <f>"513021199510134216"</f>
        <v>513021199510134216</v>
      </c>
      <c r="D6517" t="s">
        <v>1</v>
      </c>
      <c r="E6517" t="s">
        <v>1</v>
      </c>
      <c r="F6517" t="s">
        <v>0</v>
      </c>
      <c r="G6517" t="str">
        <f>"2018-10-16 17:17:43"</f>
        <v>2018-10-16 17:17:43</v>
      </c>
    </row>
    <row r="6518" spans="1:7" x14ac:dyDescent="0.2">
      <c r="A6518" t="s">
        <v>209</v>
      </c>
      <c r="B6518" t="str">
        <f>"13825772405"</f>
        <v>13825772405</v>
      </c>
      <c r="C6518" t="str">
        <f>"430481198711039371"</f>
        <v>430481198711039371</v>
      </c>
      <c r="D6518" t="s">
        <v>1</v>
      </c>
      <c r="E6518" t="s">
        <v>1</v>
      </c>
      <c r="F6518" t="s">
        <v>0</v>
      </c>
      <c r="G6518" t="str">
        <f>"2018-10-16 17:19:52"</f>
        <v>2018-10-16 17:19:52</v>
      </c>
    </row>
    <row r="6519" spans="1:7" x14ac:dyDescent="0.2">
      <c r="A6519" t="s">
        <v>7410</v>
      </c>
      <c r="B6519" t="str">
        <f>"18672270808"</f>
        <v>18672270808</v>
      </c>
      <c r="C6519" t="str">
        <f>"429001198406081613"</f>
        <v>429001198406081613</v>
      </c>
      <c r="D6519" t="s">
        <v>1</v>
      </c>
      <c r="E6519" t="s">
        <v>1</v>
      </c>
      <c r="F6519" t="s">
        <v>0</v>
      </c>
      <c r="G6519" t="str">
        <f>"2018-10-16 17:18:00"</f>
        <v>2018-10-16 17:18:00</v>
      </c>
    </row>
    <row r="6520" spans="1:7" x14ac:dyDescent="0.2">
      <c r="A6520" t="s">
        <v>7411</v>
      </c>
      <c r="B6520" t="str">
        <f>"18302040925"</f>
        <v>18302040925</v>
      </c>
      <c r="C6520" t="str">
        <f>"360731199111162930"</f>
        <v>360731199111162930</v>
      </c>
      <c r="D6520" t="s">
        <v>1</v>
      </c>
      <c r="E6520" t="s">
        <v>1</v>
      </c>
      <c r="F6520" t="s">
        <v>0</v>
      </c>
      <c r="G6520" t="str">
        <f>"2018-10-16 17:18:53"</f>
        <v>2018-10-16 17:18:53</v>
      </c>
    </row>
    <row r="6521" spans="1:7" x14ac:dyDescent="0.2">
      <c r="A6521" t="s">
        <v>7412</v>
      </c>
      <c r="B6521" t="str">
        <f>"17363304746"</f>
        <v>17363304746</v>
      </c>
      <c r="C6521" t="str">
        <f>"532723199608290034"</f>
        <v>532723199608290034</v>
      </c>
      <c r="D6521" t="s">
        <v>1</v>
      </c>
      <c r="E6521" t="s">
        <v>1</v>
      </c>
      <c r="F6521" t="s">
        <v>0</v>
      </c>
      <c r="G6521" t="str">
        <f>"2018-10-16 17:21:31"</f>
        <v>2018-10-16 17:21:31</v>
      </c>
    </row>
    <row r="6522" spans="1:7" x14ac:dyDescent="0.2">
      <c r="A6522" t="s">
        <v>455</v>
      </c>
      <c r="B6522" t="str">
        <f>"15243637678"</f>
        <v>15243637678</v>
      </c>
      <c r="C6522" t="str">
        <f>"430124198608066570"</f>
        <v>430124198608066570</v>
      </c>
      <c r="D6522" t="s">
        <v>1</v>
      </c>
      <c r="E6522" t="s">
        <v>1</v>
      </c>
      <c r="F6522" t="s">
        <v>0</v>
      </c>
      <c r="G6522" t="str">
        <f>"2018-10-16 17:45:31"</f>
        <v>2018-10-16 17:45:31</v>
      </c>
    </row>
    <row r="6523" spans="1:7" x14ac:dyDescent="0.2">
      <c r="A6523" t="s">
        <v>7413</v>
      </c>
      <c r="B6523" t="str">
        <f>"13529246808"</f>
        <v>13529246808</v>
      </c>
      <c r="C6523" t="str">
        <f>"532729199207033641"</f>
        <v>532729199207033641</v>
      </c>
      <c r="D6523" t="s">
        <v>7414</v>
      </c>
      <c r="E6523" t="s">
        <v>7415</v>
      </c>
      <c r="F6523" t="s">
        <v>0</v>
      </c>
      <c r="G6523" t="str">
        <f>"2018-10-16 17:18:21"</f>
        <v>2018-10-16 17:18:21</v>
      </c>
    </row>
    <row r="6524" spans="1:7" x14ac:dyDescent="0.2">
      <c r="A6524" t="s">
        <v>7416</v>
      </c>
      <c r="B6524" t="str">
        <f>"13232876408"</f>
        <v>13232876408</v>
      </c>
      <c r="C6524" t="str">
        <f>"45213019930411151X"</f>
        <v>45213019930411151X</v>
      </c>
      <c r="D6524" t="s">
        <v>1</v>
      </c>
      <c r="E6524" t="s">
        <v>1</v>
      </c>
      <c r="F6524" t="s">
        <v>0</v>
      </c>
      <c r="G6524" t="str">
        <f>"2018-10-16 17:16:25"</f>
        <v>2018-10-16 17:16:25</v>
      </c>
    </row>
    <row r="6525" spans="1:7" x14ac:dyDescent="0.2">
      <c r="A6525" t="s">
        <v>7417</v>
      </c>
      <c r="B6525" t="str">
        <f>"15161701931"</f>
        <v>15161701931</v>
      </c>
      <c r="C6525" t="str">
        <f>"320829198308290014"</f>
        <v>320829198308290014</v>
      </c>
      <c r="D6525" t="s">
        <v>7418</v>
      </c>
      <c r="E6525" t="s">
        <v>7419</v>
      </c>
      <c r="F6525" t="s">
        <v>0</v>
      </c>
      <c r="G6525" t="str">
        <f>"2018-10-16 17:20:35"</f>
        <v>2018-10-16 17:20:35</v>
      </c>
    </row>
    <row r="6526" spans="1:7" x14ac:dyDescent="0.2">
      <c r="A6526" t="s">
        <v>7420</v>
      </c>
      <c r="B6526" t="str">
        <f>"18702344517"</f>
        <v>18702344517</v>
      </c>
      <c r="C6526" t="str">
        <f>"500221199206296030"</f>
        <v>500221199206296030</v>
      </c>
      <c r="D6526" t="s">
        <v>7421</v>
      </c>
      <c r="E6526" t="s">
        <v>7422</v>
      </c>
      <c r="F6526" t="s">
        <v>0</v>
      </c>
      <c r="G6526" t="str">
        <f>"2018-10-19 14:38:20"</f>
        <v>2018-10-19 14:38:20</v>
      </c>
    </row>
    <row r="6527" spans="1:7" x14ac:dyDescent="0.2">
      <c r="A6527" t="s">
        <v>1515</v>
      </c>
      <c r="B6527" t="str">
        <f>"13030002760"</f>
        <v>13030002760</v>
      </c>
      <c r="C6527" t="str">
        <f>"230106197212061242"</f>
        <v>230106197212061242</v>
      </c>
      <c r="D6527" t="s">
        <v>1</v>
      </c>
      <c r="E6527" t="s">
        <v>1</v>
      </c>
      <c r="F6527" t="s">
        <v>0</v>
      </c>
      <c r="G6527" t="str">
        <f>"2018-10-16 17:29:59"</f>
        <v>2018-10-16 17:29:59</v>
      </c>
    </row>
    <row r="6528" spans="1:7" x14ac:dyDescent="0.2">
      <c r="A6528" t="s">
        <v>1</v>
      </c>
      <c r="B6528" t="str">
        <f>"15270389756"</f>
        <v>15270389756</v>
      </c>
      <c r="C6528" t="s">
        <v>1</v>
      </c>
      <c r="D6528" t="s">
        <v>1</v>
      </c>
      <c r="E6528" t="s">
        <v>1</v>
      </c>
      <c r="F6528" t="s">
        <v>0</v>
      </c>
      <c r="G6528" t="str">
        <f>"2018-10-16 17:15:26"</f>
        <v>2018-10-16 17:15:26</v>
      </c>
    </row>
    <row r="6529" spans="1:7" x14ac:dyDescent="0.2">
      <c r="A6529" t="s">
        <v>1</v>
      </c>
      <c r="B6529" t="str">
        <f>"13424684997"</f>
        <v>13424684997</v>
      </c>
      <c r="C6529" t="s">
        <v>1</v>
      </c>
      <c r="D6529" t="s">
        <v>1</v>
      </c>
      <c r="E6529" t="s">
        <v>1</v>
      </c>
      <c r="F6529" t="s">
        <v>0</v>
      </c>
      <c r="G6529" t="str">
        <f>"2018-10-16 17:17:48"</f>
        <v>2018-10-16 17:17:48</v>
      </c>
    </row>
    <row r="6530" spans="1:7" x14ac:dyDescent="0.2">
      <c r="A6530" t="s">
        <v>7423</v>
      </c>
      <c r="B6530" t="str">
        <f>"13790697065"</f>
        <v>13790697065</v>
      </c>
      <c r="C6530" t="str">
        <f>"450411198601051032"</f>
        <v>450411198601051032</v>
      </c>
      <c r="D6530" t="s">
        <v>1</v>
      </c>
      <c r="E6530" t="s">
        <v>1</v>
      </c>
      <c r="F6530" t="s">
        <v>0</v>
      </c>
      <c r="G6530" t="str">
        <f>"2018-10-16 17:20:50"</f>
        <v>2018-10-16 17:20:50</v>
      </c>
    </row>
    <row r="6531" spans="1:7" x14ac:dyDescent="0.2">
      <c r="A6531" t="s">
        <v>7424</v>
      </c>
      <c r="B6531" t="str">
        <f>"15957024934"</f>
        <v>15957024934</v>
      </c>
      <c r="C6531" t="str">
        <f>"330825198707124570"</f>
        <v>330825198707124570</v>
      </c>
      <c r="D6531" t="s">
        <v>1</v>
      </c>
      <c r="E6531" t="s">
        <v>1</v>
      </c>
      <c r="F6531" t="s">
        <v>0</v>
      </c>
      <c r="G6531" t="str">
        <f>"2018-10-16 17:40:08"</f>
        <v>2018-10-16 17:40:08</v>
      </c>
    </row>
    <row r="6532" spans="1:7" x14ac:dyDescent="0.2">
      <c r="A6532" t="s">
        <v>1</v>
      </c>
      <c r="B6532" t="str">
        <f>"13975609979"</f>
        <v>13975609979</v>
      </c>
      <c r="C6532" t="s">
        <v>1</v>
      </c>
      <c r="D6532" t="s">
        <v>1</v>
      </c>
      <c r="E6532" t="s">
        <v>1</v>
      </c>
      <c r="F6532" t="s">
        <v>0</v>
      </c>
      <c r="G6532" t="str">
        <f>"2018-10-16 17:13:28"</f>
        <v>2018-10-16 17:13:28</v>
      </c>
    </row>
    <row r="6533" spans="1:7" x14ac:dyDescent="0.2">
      <c r="A6533" t="s">
        <v>82</v>
      </c>
      <c r="B6533" t="str">
        <f>"18336374860"</f>
        <v>18336374860</v>
      </c>
      <c r="C6533" t="str">
        <f>"41133019960205312X"</f>
        <v>41133019960205312X</v>
      </c>
      <c r="D6533" t="s">
        <v>7425</v>
      </c>
      <c r="E6533" t="s">
        <v>7426</v>
      </c>
      <c r="F6533" t="s">
        <v>0</v>
      </c>
      <c r="G6533" t="str">
        <f>"2018-10-16 17:14:19"</f>
        <v>2018-10-16 17:14:19</v>
      </c>
    </row>
    <row r="6534" spans="1:7" x14ac:dyDescent="0.2">
      <c r="A6534" t="s">
        <v>4439</v>
      </c>
      <c r="B6534" t="str">
        <f>"17600443836"</f>
        <v>17600443836</v>
      </c>
      <c r="C6534" t="str">
        <f>"13028119910315001X"</f>
        <v>13028119910315001X</v>
      </c>
      <c r="D6534" t="s">
        <v>1</v>
      </c>
      <c r="E6534" t="s">
        <v>1</v>
      </c>
      <c r="F6534" t="s">
        <v>0</v>
      </c>
      <c r="G6534" t="str">
        <f>"2018-10-17 15:18:40"</f>
        <v>2018-10-17 15:18:40</v>
      </c>
    </row>
    <row r="6535" spans="1:7" x14ac:dyDescent="0.2">
      <c r="A6535" t="s">
        <v>1</v>
      </c>
      <c r="B6535" t="str">
        <f>"18725601167"</f>
        <v>18725601167</v>
      </c>
      <c r="C6535" t="s">
        <v>1</v>
      </c>
      <c r="D6535" t="s">
        <v>1</v>
      </c>
      <c r="E6535" t="s">
        <v>1</v>
      </c>
      <c r="F6535" t="s">
        <v>0</v>
      </c>
      <c r="G6535" t="str">
        <f>"2018-10-16 17:12:50"</f>
        <v>2018-10-16 17:12:50</v>
      </c>
    </row>
    <row r="6536" spans="1:7" x14ac:dyDescent="0.2">
      <c r="A6536" t="s">
        <v>491</v>
      </c>
      <c r="B6536" t="str">
        <f>"15966189617"</f>
        <v>15966189617</v>
      </c>
      <c r="C6536" t="str">
        <f>"370785198903218484"</f>
        <v>370785198903218484</v>
      </c>
      <c r="D6536" t="s">
        <v>1</v>
      </c>
      <c r="E6536" t="s">
        <v>1</v>
      </c>
      <c r="F6536" t="s">
        <v>0</v>
      </c>
      <c r="G6536" t="str">
        <f>"2018-10-16 17:15:48"</f>
        <v>2018-10-16 17:15:48</v>
      </c>
    </row>
    <row r="6537" spans="1:7" x14ac:dyDescent="0.2">
      <c r="A6537" t="s">
        <v>1046</v>
      </c>
      <c r="B6537" t="str">
        <f>"15068306807"</f>
        <v>15068306807</v>
      </c>
      <c r="C6537" t="str">
        <f>"511023199705255510"</f>
        <v>511023199705255510</v>
      </c>
      <c r="D6537" t="s">
        <v>1</v>
      </c>
      <c r="E6537" t="s">
        <v>1</v>
      </c>
      <c r="F6537" t="s">
        <v>0</v>
      </c>
      <c r="G6537" t="str">
        <f>"2018-10-16 17:14:43"</f>
        <v>2018-10-16 17:14:43</v>
      </c>
    </row>
    <row r="6538" spans="1:7" x14ac:dyDescent="0.2">
      <c r="A6538" t="s">
        <v>1</v>
      </c>
      <c r="B6538" t="str">
        <f>"13730472778"</f>
        <v>13730472778</v>
      </c>
      <c r="C6538" t="s">
        <v>1</v>
      </c>
      <c r="D6538" t="s">
        <v>1</v>
      </c>
      <c r="E6538" t="s">
        <v>1</v>
      </c>
      <c r="F6538" t="s">
        <v>0</v>
      </c>
      <c r="G6538" t="str">
        <f>"2018-10-16 17:11:29"</f>
        <v>2018-10-16 17:11:29</v>
      </c>
    </row>
    <row r="6539" spans="1:7" x14ac:dyDescent="0.2">
      <c r="A6539" t="s">
        <v>1</v>
      </c>
      <c r="B6539" t="str">
        <f>"18521055529"</f>
        <v>18521055529</v>
      </c>
      <c r="C6539" t="s">
        <v>1</v>
      </c>
      <c r="D6539" t="s">
        <v>1</v>
      </c>
      <c r="E6539" t="s">
        <v>1</v>
      </c>
      <c r="F6539" t="s">
        <v>0</v>
      </c>
      <c r="G6539" t="str">
        <f>"2018-10-16 17:11:28"</f>
        <v>2018-10-16 17:11:28</v>
      </c>
    </row>
    <row r="6540" spans="1:7" x14ac:dyDescent="0.2">
      <c r="A6540" t="s">
        <v>1</v>
      </c>
      <c r="B6540" t="str">
        <f>"17353544609"</f>
        <v>17353544609</v>
      </c>
      <c r="C6540" t="s">
        <v>1</v>
      </c>
      <c r="D6540" t="s">
        <v>1</v>
      </c>
      <c r="E6540" t="s">
        <v>1</v>
      </c>
      <c r="F6540" t="s">
        <v>0</v>
      </c>
      <c r="G6540" t="str">
        <f>"2018-10-16 17:11:28"</f>
        <v>2018-10-16 17:11:28</v>
      </c>
    </row>
    <row r="6541" spans="1:7" x14ac:dyDescent="0.2">
      <c r="A6541" t="s">
        <v>7427</v>
      </c>
      <c r="B6541" t="str">
        <f>"18806172762"</f>
        <v>18806172762</v>
      </c>
      <c r="C6541" t="str">
        <f>"411526199602165419"</f>
        <v>411526199602165419</v>
      </c>
      <c r="D6541" t="s">
        <v>1</v>
      </c>
      <c r="E6541" t="s">
        <v>1</v>
      </c>
      <c r="F6541" t="s">
        <v>0</v>
      </c>
      <c r="G6541" t="str">
        <f>"2018-10-16 17:13:04"</f>
        <v>2018-10-16 17:13:04</v>
      </c>
    </row>
    <row r="6542" spans="1:7" x14ac:dyDescent="0.2">
      <c r="A6542" t="s">
        <v>7428</v>
      </c>
      <c r="B6542" t="str">
        <f>"15236367389"</f>
        <v>15236367389</v>
      </c>
      <c r="C6542" t="str">
        <f>"412826199206225261"</f>
        <v>412826199206225261</v>
      </c>
      <c r="D6542" t="s">
        <v>1</v>
      </c>
      <c r="E6542" t="s">
        <v>1</v>
      </c>
      <c r="F6542" t="s">
        <v>0</v>
      </c>
      <c r="G6542" t="str">
        <f>"2018-10-16 17:13:09"</f>
        <v>2018-10-16 17:13:09</v>
      </c>
    </row>
    <row r="6543" spans="1:7" x14ac:dyDescent="0.2">
      <c r="A6543" t="s">
        <v>1</v>
      </c>
      <c r="B6543" t="str">
        <f>"18561456187"</f>
        <v>18561456187</v>
      </c>
      <c r="C6543" t="s">
        <v>1</v>
      </c>
      <c r="D6543" t="s">
        <v>1</v>
      </c>
      <c r="E6543" t="s">
        <v>1</v>
      </c>
      <c r="F6543" t="s">
        <v>0</v>
      </c>
      <c r="G6543" t="str">
        <f>"2018-10-16 17:10:40"</f>
        <v>2018-10-16 17:10:40</v>
      </c>
    </row>
    <row r="6544" spans="1:7" x14ac:dyDescent="0.2">
      <c r="A6544" t="s">
        <v>7429</v>
      </c>
      <c r="B6544" t="str">
        <f>"15090092575"</f>
        <v>15090092575</v>
      </c>
      <c r="C6544" t="str">
        <f>"410725199201199830"</f>
        <v>410725199201199830</v>
      </c>
      <c r="D6544" t="s">
        <v>7430</v>
      </c>
      <c r="E6544" t="s">
        <v>7431</v>
      </c>
      <c r="F6544" t="s">
        <v>0</v>
      </c>
      <c r="G6544" t="str">
        <f>"2018-10-17 15:48:25"</f>
        <v>2018-10-17 15:48:25</v>
      </c>
    </row>
    <row r="6545" spans="1:7" x14ac:dyDescent="0.2">
      <c r="A6545" t="s">
        <v>7432</v>
      </c>
      <c r="B6545" t="str">
        <f>"13919789480"</f>
        <v>13919789480</v>
      </c>
      <c r="C6545" t="str">
        <f>"620102198809033617"</f>
        <v>620102198809033617</v>
      </c>
      <c r="D6545" t="s">
        <v>7433</v>
      </c>
      <c r="E6545" t="s">
        <v>7434</v>
      </c>
      <c r="F6545" t="s">
        <v>0</v>
      </c>
      <c r="G6545" t="str">
        <f>"2018-10-22 14:43:03"</f>
        <v>2018-10-22 14:43:03</v>
      </c>
    </row>
    <row r="6546" spans="1:7" x14ac:dyDescent="0.2">
      <c r="A6546" t="s">
        <v>1</v>
      </c>
      <c r="B6546" t="str">
        <f>"15831377722"</f>
        <v>15831377722</v>
      </c>
      <c r="C6546" t="s">
        <v>1</v>
      </c>
      <c r="D6546" t="s">
        <v>1</v>
      </c>
      <c r="E6546" t="s">
        <v>1</v>
      </c>
      <c r="F6546" t="s">
        <v>0</v>
      </c>
      <c r="G6546" t="str">
        <f>"2018-10-16 17:09:53"</f>
        <v>2018-10-16 17:09:53</v>
      </c>
    </row>
    <row r="6547" spans="1:7" x14ac:dyDescent="0.2">
      <c r="A6547" t="s">
        <v>982</v>
      </c>
      <c r="B6547" t="str">
        <f>"13675432129"</f>
        <v>13675432129</v>
      </c>
      <c r="C6547" t="str">
        <f>"372330199811080034"</f>
        <v>372330199811080034</v>
      </c>
      <c r="D6547" t="s">
        <v>1</v>
      </c>
      <c r="E6547" t="s">
        <v>1</v>
      </c>
      <c r="F6547" t="s">
        <v>0</v>
      </c>
      <c r="G6547" t="str">
        <f>"2018-10-21 16:48:30"</f>
        <v>2018-10-21 16:48:30</v>
      </c>
    </row>
    <row r="6548" spans="1:7" x14ac:dyDescent="0.2">
      <c r="A6548" t="s">
        <v>7435</v>
      </c>
      <c r="B6548" t="str">
        <f>"18692720286"</f>
        <v>18692720286</v>
      </c>
      <c r="C6548" t="str">
        <f>"430921198511284816"</f>
        <v>430921198511284816</v>
      </c>
      <c r="D6548" t="s">
        <v>1</v>
      </c>
      <c r="E6548" t="s">
        <v>1</v>
      </c>
      <c r="F6548" t="s">
        <v>0</v>
      </c>
      <c r="G6548" t="str">
        <f>"2018-10-29 01:15:05"</f>
        <v>2018-10-29 01:15:05</v>
      </c>
    </row>
    <row r="6549" spans="1:7" x14ac:dyDescent="0.2">
      <c r="A6549" t="s">
        <v>7436</v>
      </c>
      <c r="B6549" t="str">
        <f>"13593713730"</f>
        <v>13593713730</v>
      </c>
      <c r="C6549" t="str">
        <f>"420381199309303012"</f>
        <v>420381199309303012</v>
      </c>
      <c r="D6549" t="s">
        <v>1</v>
      </c>
      <c r="E6549" t="s">
        <v>1</v>
      </c>
      <c r="F6549" t="s">
        <v>0</v>
      </c>
      <c r="G6549" t="str">
        <f>"2018-10-16 17:11:10"</f>
        <v>2018-10-16 17:11:10</v>
      </c>
    </row>
    <row r="6550" spans="1:7" x14ac:dyDescent="0.2">
      <c r="A6550" t="s">
        <v>7437</v>
      </c>
      <c r="B6550" t="str">
        <f>"13572089474"</f>
        <v>13572089474</v>
      </c>
      <c r="C6550" t="str">
        <f>"610115199312202774"</f>
        <v>610115199312202774</v>
      </c>
      <c r="D6550" t="s">
        <v>1</v>
      </c>
      <c r="E6550" t="s">
        <v>1</v>
      </c>
      <c r="F6550" t="s">
        <v>0</v>
      </c>
      <c r="G6550" t="str">
        <f>"2018-10-16 17:10:15"</f>
        <v>2018-10-16 17:10:15</v>
      </c>
    </row>
    <row r="6551" spans="1:7" x14ac:dyDescent="0.2">
      <c r="A6551" t="s">
        <v>1</v>
      </c>
      <c r="B6551" t="str">
        <f>"15577383224"</f>
        <v>15577383224</v>
      </c>
      <c r="C6551" t="s">
        <v>1</v>
      </c>
      <c r="D6551" t="s">
        <v>1</v>
      </c>
      <c r="E6551" t="s">
        <v>1</v>
      </c>
      <c r="F6551" t="s">
        <v>0</v>
      </c>
      <c r="G6551" t="str">
        <f>"2018-10-16 17:09:04"</f>
        <v>2018-10-16 17:09:04</v>
      </c>
    </row>
    <row r="6552" spans="1:7" x14ac:dyDescent="0.2">
      <c r="A6552" t="s">
        <v>1558</v>
      </c>
      <c r="B6552" t="str">
        <f>"13724696546"</f>
        <v>13724696546</v>
      </c>
      <c r="C6552" t="str">
        <f>"430703199212122017"</f>
        <v>430703199212122017</v>
      </c>
      <c r="D6552" t="s">
        <v>7438</v>
      </c>
      <c r="E6552" t="s">
        <v>7439</v>
      </c>
      <c r="F6552" t="s">
        <v>0</v>
      </c>
      <c r="G6552" t="str">
        <f>"2018-10-16 17:08:51"</f>
        <v>2018-10-16 17:08:51</v>
      </c>
    </row>
    <row r="6553" spans="1:7" x14ac:dyDescent="0.2">
      <c r="A6553" t="s">
        <v>7440</v>
      </c>
      <c r="B6553" t="str">
        <f>"13677363951"</f>
        <v>13677363951</v>
      </c>
      <c r="C6553" t="str">
        <f>"430181198704165429"</f>
        <v>430181198704165429</v>
      </c>
      <c r="D6553" t="s">
        <v>1</v>
      </c>
      <c r="E6553" t="s">
        <v>1</v>
      </c>
      <c r="F6553" t="s">
        <v>0</v>
      </c>
      <c r="G6553" t="str">
        <f>"2018-10-16 17:09:57"</f>
        <v>2018-10-16 17:09:57</v>
      </c>
    </row>
    <row r="6554" spans="1:7" x14ac:dyDescent="0.2">
      <c r="A6554" t="s">
        <v>1</v>
      </c>
      <c r="B6554" t="str">
        <f>"18081345341"</f>
        <v>18081345341</v>
      </c>
      <c r="C6554" t="s">
        <v>1</v>
      </c>
      <c r="D6554" t="s">
        <v>1</v>
      </c>
      <c r="E6554" t="s">
        <v>1</v>
      </c>
      <c r="F6554" t="s">
        <v>0</v>
      </c>
      <c r="G6554" t="str">
        <f>"2018-10-16 17:08:29"</f>
        <v>2018-10-16 17:08:29</v>
      </c>
    </row>
    <row r="6555" spans="1:7" x14ac:dyDescent="0.2">
      <c r="A6555" t="s">
        <v>7441</v>
      </c>
      <c r="B6555" t="str">
        <f>"15809272520"</f>
        <v>15809272520</v>
      </c>
      <c r="C6555" t="str">
        <f>"61052819841120511X"</f>
        <v>61052819841120511X</v>
      </c>
      <c r="D6555" t="s">
        <v>1</v>
      </c>
      <c r="E6555" t="s">
        <v>1</v>
      </c>
      <c r="F6555" t="s">
        <v>0</v>
      </c>
      <c r="G6555" t="str">
        <f>"2018-10-25 11:40:08"</f>
        <v>2018-10-25 11:40:08</v>
      </c>
    </row>
    <row r="6556" spans="1:7" x14ac:dyDescent="0.2">
      <c r="A6556" t="s">
        <v>7442</v>
      </c>
      <c r="B6556" t="str">
        <f>"15675865099"</f>
        <v>15675865099</v>
      </c>
      <c r="C6556" t="str">
        <f>"43052319880317111X"</f>
        <v>43052319880317111X</v>
      </c>
      <c r="D6556" t="s">
        <v>1</v>
      </c>
      <c r="E6556" t="s">
        <v>1</v>
      </c>
      <c r="F6556" t="s">
        <v>0</v>
      </c>
      <c r="G6556" t="str">
        <f>"2018-10-16 17:09:09"</f>
        <v>2018-10-16 17:09:09</v>
      </c>
    </row>
    <row r="6557" spans="1:7" x14ac:dyDescent="0.2">
      <c r="A6557" t="s">
        <v>7443</v>
      </c>
      <c r="B6557" t="str">
        <f>"15188350086"</f>
        <v>15188350086</v>
      </c>
      <c r="C6557" t="str">
        <f>"410185198811202522"</f>
        <v>410185198811202522</v>
      </c>
      <c r="D6557" t="s">
        <v>7444</v>
      </c>
      <c r="E6557" t="s">
        <v>7445</v>
      </c>
      <c r="F6557" t="s">
        <v>0</v>
      </c>
      <c r="G6557" t="str">
        <f>"2018-10-16 17:08:27"</f>
        <v>2018-10-16 17:08:27</v>
      </c>
    </row>
    <row r="6558" spans="1:7" x14ac:dyDescent="0.2">
      <c r="A6558" t="s">
        <v>561</v>
      </c>
      <c r="B6558" t="str">
        <f>"13897490394"</f>
        <v>13897490394</v>
      </c>
      <c r="C6558" t="str">
        <f>"62230119900228140X"</f>
        <v>62230119900228140X</v>
      </c>
      <c r="D6558" t="s">
        <v>1</v>
      </c>
      <c r="E6558" t="s">
        <v>1</v>
      </c>
      <c r="F6558" t="s">
        <v>0</v>
      </c>
      <c r="G6558" t="str">
        <f>"2018-10-17 09:12:37"</f>
        <v>2018-10-17 09:12:37</v>
      </c>
    </row>
    <row r="6559" spans="1:7" x14ac:dyDescent="0.2">
      <c r="A6559" t="s">
        <v>7446</v>
      </c>
      <c r="B6559" t="str">
        <f>"15054970867"</f>
        <v>15054970867</v>
      </c>
      <c r="C6559" t="str">
        <f>"370983197801041837"</f>
        <v>370983197801041837</v>
      </c>
      <c r="D6559" t="s">
        <v>1</v>
      </c>
      <c r="E6559" t="s">
        <v>1</v>
      </c>
      <c r="F6559" t="s">
        <v>0</v>
      </c>
      <c r="G6559" t="str">
        <f>"2018-10-16 17:07:42"</f>
        <v>2018-10-16 17:07:42</v>
      </c>
    </row>
    <row r="6560" spans="1:7" x14ac:dyDescent="0.2">
      <c r="A6560" t="s">
        <v>7447</v>
      </c>
      <c r="B6560" t="str">
        <f>"18735053350"</f>
        <v>18735053350</v>
      </c>
      <c r="C6560" t="str">
        <f>"140981199201290032"</f>
        <v>140981199201290032</v>
      </c>
      <c r="D6560" t="s">
        <v>1</v>
      </c>
      <c r="E6560" t="s">
        <v>1</v>
      </c>
      <c r="F6560" t="s">
        <v>0</v>
      </c>
      <c r="G6560" t="str">
        <f>"2018-10-16 17:08:07"</f>
        <v>2018-10-16 17:08:07</v>
      </c>
    </row>
    <row r="6561" spans="1:7" x14ac:dyDescent="0.2">
      <c r="A6561" t="s">
        <v>7448</v>
      </c>
      <c r="B6561" t="str">
        <f>"18615757138"</f>
        <v>18615757138</v>
      </c>
      <c r="C6561" t="str">
        <f>"510112198912011819"</f>
        <v>510112198912011819</v>
      </c>
      <c r="D6561" t="s">
        <v>1</v>
      </c>
      <c r="E6561" t="s">
        <v>1</v>
      </c>
      <c r="F6561" t="s">
        <v>0</v>
      </c>
      <c r="G6561" t="str">
        <f>"2018-10-26 13:11:04"</f>
        <v>2018-10-26 13:11:04</v>
      </c>
    </row>
    <row r="6562" spans="1:7" x14ac:dyDescent="0.2">
      <c r="A6562" t="s">
        <v>7449</v>
      </c>
      <c r="B6562" t="str">
        <f>"15251303731"</f>
        <v>15251303731</v>
      </c>
      <c r="C6562" t="str">
        <f>"320611199805173126"</f>
        <v>320611199805173126</v>
      </c>
      <c r="D6562" t="s">
        <v>7450</v>
      </c>
      <c r="E6562" t="s">
        <v>7451</v>
      </c>
      <c r="F6562" t="s">
        <v>0</v>
      </c>
      <c r="G6562" t="str">
        <f>"2018-10-16 17:06:59"</f>
        <v>2018-10-16 17:06:59</v>
      </c>
    </row>
    <row r="6563" spans="1:7" x14ac:dyDescent="0.2">
      <c r="A6563" t="s">
        <v>7452</v>
      </c>
      <c r="B6563" t="str">
        <f>"15861122558"</f>
        <v>15861122558</v>
      </c>
      <c r="C6563" t="str">
        <f>"320481199109206017"</f>
        <v>320481199109206017</v>
      </c>
      <c r="D6563" t="s">
        <v>1</v>
      </c>
      <c r="E6563" t="s">
        <v>1</v>
      </c>
      <c r="F6563" t="s">
        <v>0</v>
      </c>
      <c r="G6563" t="str">
        <f>"2018-10-16 17:06:32"</f>
        <v>2018-10-16 17:06:32</v>
      </c>
    </row>
    <row r="6564" spans="1:7" x14ac:dyDescent="0.2">
      <c r="A6564" t="s">
        <v>1</v>
      </c>
      <c r="B6564" t="str">
        <f>"17683140080"</f>
        <v>17683140080</v>
      </c>
      <c r="C6564" t="s">
        <v>1</v>
      </c>
      <c r="D6564" t="s">
        <v>1</v>
      </c>
      <c r="E6564" t="s">
        <v>1</v>
      </c>
      <c r="F6564" t="s">
        <v>0</v>
      </c>
      <c r="G6564" t="str">
        <f>"2018-10-16 17:06:37"</f>
        <v>2018-10-16 17:06:37</v>
      </c>
    </row>
    <row r="6565" spans="1:7" x14ac:dyDescent="0.2">
      <c r="A6565" t="s">
        <v>1</v>
      </c>
      <c r="B6565" t="str">
        <f>"15209880127"</f>
        <v>15209880127</v>
      </c>
      <c r="C6565" t="s">
        <v>1</v>
      </c>
      <c r="D6565" t="s">
        <v>1</v>
      </c>
      <c r="E6565" t="s">
        <v>1</v>
      </c>
      <c r="F6565" t="s">
        <v>0</v>
      </c>
      <c r="G6565" t="str">
        <f>"2018-10-21 14:51:50"</f>
        <v>2018-10-21 14:51:50</v>
      </c>
    </row>
    <row r="6566" spans="1:7" x14ac:dyDescent="0.2">
      <c r="A6566" t="s">
        <v>124</v>
      </c>
      <c r="B6566" t="str">
        <f>"18145690077"</f>
        <v>18145690077</v>
      </c>
      <c r="C6566" t="str">
        <f>"230119198407204780"</f>
        <v>230119198407204780</v>
      </c>
      <c r="D6566" t="s">
        <v>1</v>
      </c>
      <c r="E6566" t="s">
        <v>1</v>
      </c>
      <c r="F6566" t="s">
        <v>0</v>
      </c>
      <c r="G6566" t="str">
        <f>"2018-10-16 17:11:37"</f>
        <v>2018-10-16 17:11:37</v>
      </c>
    </row>
    <row r="6567" spans="1:7" x14ac:dyDescent="0.2">
      <c r="A6567" t="s">
        <v>276</v>
      </c>
      <c r="B6567" t="str">
        <f>"15679079396"</f>
        <v>15679079396</v>
      </c>
      <c r="C6567" t="str">
        <f>"360502200001035634"</f>
        <v>360502200001035634</v>
      </c>
      <c r="D6567" t="s">
        <v>7453</v>
      </c>
      <c r="E6567" t="s">
        <v>7454</v>
      </c>
      <c r="F6567" t="s">
        <v>0</v>
      </c>
      <c r="G6567" t="str">
        <f>"2018-10-16 17:06:26"</f>
        <v>2018-10-16 17:06:26</v>
      </c>
    </row>
    <row r="6568" spans="1:7" x14ac:dyDescent="0.2">
      <c r="A6568" t="s">
        <v>7455</v>
      </c>
      <c r="B6568" t="str">
        <f>"15109534248"</f>
        <v>15109534248</v>
      </c>
      <c r="C6568" t="str">
        <f>"610429199605282215"</f>
        <v>610429199605282215</v>
      </c>
      <c r="D6568" t="s">
        <v>7456</v>
      </c>
      <c r="E6568" t="s">
        <v>7457</v>
      </c>
      <c r="F6568" t="s">
        <v>0</v>
      </c>
      <c r="G6568" t="str">
        <f>"2018-10-16 17:04:23"</f>
        <v>2018-10-16 17:04:23</v>
      </c>
    </row>
    <row r="6569" spans="1:7" x14ac:dyDescent="0.2">
      <c r="A6569" t="s">
        <v>7458</v>
      </c>
      <c r="B6569" t="str">
        <f>"15219187325"</f>
        <v>15219187325</v>
      </c>
      <c r="C6569" t="str">
        <f>"441424199206082838"</f>
        <v>441424199206082838</v>
      </c>
      <c r="D6569" t="s">
        <v>1</v>
      </c>
      <c r="E6569" t="s">
        <v>1</v>
      </c>
      <c r="F6569" t="s">
        <v>0</v>
      </c>
      <c r="G6569" t="str">
        <f>"2018-10-16 22:45:23"</f>
        <v>2018-10-16 22:45:23</v>
      </c>
    </row>
    <row r="6570" spans="1:7" x14ac:dyDescent="0.2">
      <c r="A6570" t="s">
        <v>7459</v>
      </c>
      <c r="B6570" t="str">
        <f>"18252448176"</f>
        <v>18252448176</v>
      </c>
      <c r="C6570" t="str">
        <f>"321322198910150638"</f>
        <v>321322198910150638</v>
      </c>
      <c r="D6570" t="s">
        <v>1</v>
      </c>
      <c r="E6570" t="s">
        <v>1</v>
      </c>
      <c r="F6570" t="s">
        <v>0</v>
      </c>
      <c r="G6570" t="str">
        <f>"2018-10-16 17:13:26"</f>
        <v>2018-10-16 17:13:26</v>
      </c>
    </row>
    <row r="6571" spans="1:7" x14ac:dyDescent="0.2">
      <c r="A6571" t="s">
        <v>1493</v>
      </c>
      <c r="B6571" t="str">
        <f>"13460711696"</f>
        <v>13460711696</v>
      </c>
      <c r="C6571" t="str">
        <f>"410211199210035058"</f>
        <v>410211199210035058</v>
      </c>
      <c r="D6571" t="s">
        <v>1</v>
      </c>
      <c r="E6571" t="s">
        <v>1</v>
      </c>
      <c r="F6571" t="s">
        <v>0</v>
      </c>
      <c r="G6571" t="str">
        <f>"2018-10-29 15:28:11"</f>
        <v>2018-10-29 15:28:11</v>
      </c>
    </row>
    <row r="6572" spans="1:7" x14ac:dyDescent="0.2">
      <c r="A6572" t="s">
        <v>1</v>
      </c>
      <c r="B6572" t="str">
        <f>"18734852363"</f>
        <v>18734852363</v>
      </c>
      <c r="C6572" t="s">
        <v>1</v>
      </c>
      <c r="D6572" t="s">
        <v>1</v>
      </c>
      <c r="E6572" t="s">
        <v>1</v>
      </c>
      <c r="F6572" t="s">
        <v>0</v>
      </c>
      <c r="G6572" t="str">
        <f>"2018-10-16 17:03:28"</f>
        <v>2018-10-16 17:03:28</v>
      </c>
    </row>
    <row r="6573" spans="1:7" x14ac:dyDescent="0.2">
      <c r="A6573" t="s">
        <v>7460</v>
      </c>
      <c r="B6573" t="str">
        <f>"13998145061"</f>
        <v>13998145061</v>
      </c>
      <c r="C6573" t="str">
        <f>"210181198106068054"</f>
        <v>210181198106068054</v>
      </c>
      <c r="D6573" t="s">
        <v>7461</v>
      </c>
      <c r="E6573" t="s">
        <v>7462</v>
      </c>
      <c r="F6573" t="s">
        <v>0</v>
      </c>
      <c r="G6573" t="str">
        <f>"2018-10-16 17:05:38"</f>
        <v>2018-10-16 17:05:38</v>
      </c>
    </row>
    <row r="6574" spans="1:7" x14ac:dyDescent="0.2">
      <c r="A6574" t="s">
        <v>1</v>
      </c>
      <c r="B6574" t="str">
        <f>"13512279797"</f>
        <v>13512279797</v>
      </c>
      <c r="C6574" t="s">
        <v>1</v>
      </c>
      <c r="D6574" t="s">
        <v>1</v>
      </c>
      <c r="E6574" t="s">
        <v>1</v>
      </c>
      <c r="F6574" t="s">
        <v>0</v>
      </c>
      <c r="G6574" t="str">
        <f>"2018-10-16 17:03:12"</f>
        <v>2018-10-16 17:03:12</v>
      </c>
    </row>
    <row r="6575" spans="1:7" x14ac:dyDescent="0.2">
      <c r="A6575" t="s">
        <v>7463</v>
      </c>
      <c r="B6575" t="str">
        <f>"14787054531"</f>
        <v>14787054531</v>
      </c>
      <c r="C6575" t="str">
        <f>"532128199612015712"</f>
        <v>532128199612015712</v>
      </c>
      <c r="D6575" t="s">
        <v>7464</v>
      </c>
      <c r="E6575" t="s">
        <v>7465</v>
      </c>
      <c r="F6575" t="s">
        <v>0</v>
      </c>
      <c r="G6575" t="str">
        <f>"2018-10-16 17:03:07"</f>
        <v>2018-10-16 17:03:07</v>
      </c>
    </row>
    <row r="6576" spans="1:7" x14ac:dyDescent="0.2">
      <c r="A6576" t="s">
        <v>7466</v>
      </c>
      <c r="B6576" t="str">
        <f>"13978379955"</f>
        <v>13978379955</v>
      </c>
      <c r="C6576" t="str">
        <f>"450303198001030558"</f>
        <v>450303198001030558</v>
      </c>
      <c r="D6576" t="s">
        <v>7467</v>
      </c>
      <c r="E6576" t="s">
        <v>7468</v>
      </c>
      <c r="F6576" t="s">
        <v>0</v>
      </c>
      <c r="G6576" t="str">
        <f>"2018-10-31 11:40:54"</f>
        <v>2018-10-31 11:40:54</v>
      </c>
    </row>
    <row r="6577" spans="1:7" x14ac:dyDescent="0.2">
      <c r="A6577" t="s">
        <v>7469</v>
      </c>
      <c r="B6577" t="str">
        <f>"13514041953"</f>
        <v>13514041953</v>
      </c>
      <c r="C6577" t="str">
        <f>"350322199411246511"</f>
        <v>350322199411246511</v>
      </c>
      <c r="D6577" t="s">
        <v>7470</v>
      </c>
      <c r="E6577" t="s">
        <v>7471</v>
      </c>
      <c r="F6577" t="s">
        <v>0</v>
      </c>
      <c r="G6577" t="str">
        <f>"2018-10-16 17:08:19"</f>
        <v>2018-10-16 17:08:19</v>
      </c>
    </row>
    <row r="6578" spans="1:7" x14ac:dyDescent="0.2">
      <c r="A6578" t="s">
        <v>550</v>
      </c>
      <c r="B6578" t="str">
        <f>"13755143341"</f>
        <v>13755143341</v>
      </c>
      <c r="C6578" t="str">
        <f>"430111198906075027"</f>
        <v>430111198906075027</v>
      </c>
      <c r="D6578" t="s">
        <v>1</v>
      </c>
      <c r="E6578" t="s">
        <v>1</v>
      </c>
      <c r="F6578" t="s">
        <v>0</v>
      </c>
      <c r="G6578" t="str">
        <f>"2018-10-16 17:03:55"</f>
        <v>2018-10-16 17:03:55</v>
      </c>
    </row>
    <row r="6579" spans="1:7" x14ac:dyDescent="0.2">
      <c r="A6579" t="s">
        <v>1</v>
      </c>
      <c r="B6579" t="str">
        <f>"17847903711"</f>
        <v>17847903711</v>
      </c>
      <c r="C6579" t="s">
        <v>1</v>
      </c>
      <c r="D6579" t="s">
        <v>1</v>
      </c>
      <c r="E6579" t="s">
        <v>1</v>
      </c>
      <c r="F6579" t="s">
        <v>0</v>
      </c>
      <c r="G6579" t="str">
        <f>"2018-10-16 22:20:00"</f>
        <v>2018-10-16 22:20:00</v>
      </c>
    </row>
    <row r="6580" spans="1:7" x14ac:dyDescent="0.2">
      <c r="A6580" t="s">
        <v>256</v>
      </c>
      <c r="B6580" t="str">
        <f>"18671180989"</f>
        <v>18671180989</v>
      </c>
      <c r="C6580" t="str">
        <f>"420323198709155532"</f>
        <v>420323198709155532</v>
      </c>
      <c r="D6580" t="s">
        <v>1</v>
      </c>
      <c r="E6580" t="s">
        <v>1</v>
      </c>
      <c r="F6580" t="s">
        <v>0</v>
      </c>
      <c r="G6580" t="str">
        <f>"2018-10-16 17:03:27"</f>
        <v>2018-10-16 17:03:27</v>
      </c>
    </row>
    <row r="6581" spans="1:7" x14ac:dyDescent="0.2">
      <c r="A6581" t="s">
        <v>7472</v>
      </c>
      <c r="B6581" t="str">
        <f>"13672534439"</f>
        <v>13672534439</v>
      </c>
      <c r="C6581" t="str">
        <f>"441282198008195717"</f>
        <v>441282198008195717</v>
      </c>
      <c r="D6581" t="s">
        <v>1</v>
      </c>
      <c r="E6581" t="s">
        <v>1</v>
      </c>
      <c r="F6581" t="s">
        <v>0</v>
      </c>
      <c r="G6581" t="str">
        <f>"2018-10-16 17:02:35"</f>
        <v>2018-10-16 17:02:35</v>
      </c>
    </row>
    <row r="6582" spans="1:7" x14ac:dyDescent="0.2">
      <c r="A6582" t="s">
        <v>1</v>
      </c>
      <c r="B6582" t="str">
        <f>"15825085649"</f>
        <v>15825085649</v>
      </c>
      <c r="C6582" t="s">
        <v>1</v>
      </c>
      <c r="D6582" t="s">
        <v>1</v>
      </c>
      <c r="E6582" t="s">
        <v>1</v>
      </c>
      <c r="F6582" t="s">
        <v>0</v>
      </c>
      <c r="G6582" t="str">
        <f>"2018-10-17 10:29:50"</f>
        <v>2018-10-17 10:29:50</v>
      </c>
    </row>
    <row r="6583" spans="1:7" x14ac:dyDescent="0.2">
      <c r="A6583" t="s">
        <v>7473</v>
      </c>
      <c r="B6583" t="str">
        <f>"13111069911"</f>
        <v>13111069911</v>
      </c>
      <c r="C6583" t="str">
        <f>"142228198201306898"</f>
        <v>142228198201306898</v>
      </c>
      <c r="D6583" t="s">
        <v>1</v>
      </c>
      <c r="E6583" t="s">
        <v>1</v>
      </c>
      <c r="F6583" t="s">
        <v>0</v>
      </c>
      <c r="G6583" t="str">
        <f>"2018-10-16 17:00:43"</f>
        <v>2018-10-16 17:00:43</v>
      </c>
    </row>
    <row r="6584" spans="1:7" x14ac:dyDescent="0.2">
      <c r="A6584" t="s">
        <v>976</v>
      </c>
      <c r="B6584" t="str">
        <f>"18130468808"</f>
        <v>18130468808</v>
      </c>
      <c r="C6584" t="str">
        <f>"34032319860311007X"</f>
        <v>34032319860311007X</v>
      </c>
      <c r="D6584" t="s">
        <v>1</v>
      </c>
      <c r="E6584" t="s">
        <v>1</v>
      </c>
      <c r="F6584" t="s">
        <v>0</v>
      </c>
      <c r="G6584" t="str">
        <f>"2018-10-16 17:01:40"</f>
        <v>2018-10-16 17:01:40</v>
      </c>
    </row>
    <row r="6585" spans="1:7" x14ac:dyDescent="0.2">
      <c r="A6585" t="s">
        <v>7474</v>
      </c>
      <c r="B6585" t="str">
        <f>"18326850319"</f>
        <v>18326850319</v>
      </c>
      <c r="C6585" t="str">
        <f>"341202198310141730"</f>
        <v>341202198310141730</v>
      </c>
      <c r="D6585" t="s">
        <v>1</v>
      </c>
      <c r="E6585" t="s">
        <v>1</v>
      </c>
      <c r="F6585" t="s">
        <v>0</v>
      </c>
      <c r="G6585" t="str">
        <f>"2018-10-16 17:01:02"</f>
        <v>2018-10-16 17:01:02</v>
      </c>
    </row>
    <row r="6586" spans="1:7" x14ac:dyDescent="0.2">
      <c r="A6586" t="s">
        <v>7475</v>
      </c>
      <c r="B6586" t="str">
        <f>"15713466706"</f>
        <v>15713466706</v>
      </c>
      <c r="C6586" t="str">
        <f>"130225199411053333"</f>
        <v>130225199411053333</v>
      </c>
      <c r="D6586" t="s">
        <v>1</v>
      </c>
      <c r="E6586" t="s">
        <v>1</v>
      </c>
      <c r="F6586" t="s">
        <v>0</v>
      </c>
      <c r="G6586" t="str">
        <f>"2018-10-17 12:12:33"</f>
        <v>2018-10-17 12:12:33</v>
      </c>
    </row>
    <row r="6587" spans="1:7" x14ac:dyDescent="0.2">
      <c r="A6587" t="s">
        <v>62</v>
      </c>
      <c r="B6587" t="str">
        <f>"13088897960"</f>
        <v>13088897960</v>
      </c>
      <c r="C6587" t="str">
        <f>"430482198908214010"</f>
        <v>430482198908214010</v>
      </c>
      <c r="D6587" t="s">
        <v>1</v>
      </c>
      <c r="E6587" t="s">
        <v>1</v>
      </c>
      <c r="F6587" t="s">
        <v>0</v>
      </c>
      <c r="G6587" t="str">
        <f>"2018-10-17 12:28:24"</f>
        <v>2018-10-17 12:28:24</v>
      </c>
    </row>
    <row r="6588" spans="1:7" x14ac:dyDescent="0.2">
      <c r="A6588" t="s">
        <v>7476</v>
      </c>
      <c r="B6588" t="str">
        <f>"17633004567"</f>
        <v>17633004567</v>
      </c>
      <c r="C6588" t="str">
        <f>"130204198501252145"</f>
        <v>130204198501252145</v>
      </c>
      <c r="D6588" t="s">
        <v>1</v>
      </c>
      <c r="E6588" t="s">
        <v>1</v>
      </c>
      <c r="F6588" t="s">
        <v>0</v>
      </c>
      <c r="G6588" t="str">
        <f>"2018-10-16 17:14:44"</f>
        <v>2018-10-16 17:14:44</v>
      </c>
    </row>
    <row r="6589" spans="1:7" x14ac:dyDescent="0.2">
      <c r="A6589" t="s">
        <v>1</v>
      </c>
      <c r="B6589" t="str">
        <f>"13960244877"</f>
        <v>13960244877</v>
      </c>
      <c r="C6589" t="s">
        <v>1</v>
      </c>
      <c r="D6589" t="s">
        <v>1</v>
      </c>
      <c r="E6589" t="s">
        <v>1</v>
      </c>
      <c r="F6589" t="s">
        <v>0</v>
      </c>
      <c r="G6589" t="str">
        <f>"2018-10-16 17:00:17"</f>
        <v>2018-10-16 17:00:17</v>
      </c>
    </row>
    <row r="6590" spans="1:7" x14ac:dyDescent="0.2">
      <c r="A6590" t="s">
        <v>7477</v>
      </c>
      <c r="B6590" t="str">
        <f>"13870795526"</f>
        <v>13870795526</v>
      </c>
      <c r="C6590" t="str">
        <f>"362132197810034360"</f>
        <v>362132197810034360</v>
      </c>
      <c r="D6590" t="s">
        <v>1</v>
      </c>
      <c r="E6590" t="s">
        <v>1</v>
      </c>
      <c r="F6590" t="s">
        <v>0</v>
      </c>
      <c r="G6590" t="str">
        <f>"2018-10-16 17:05:52"</f>
        <v>2018-10-16 17:05:52</v>
      </c>
    </row>
    <row r="6591" spans="1:7" x14ac:dyDescent="0.2">
      <c r="A6591" t="s">
        <v>7478</v>
      </c>
      <c r="B6591" t="str">
        <f>"18686132810"</f>
        <v>18686132810</v>
      </c>
      <c r="C6591" t="str">
        <f>"15020719950428561X"</f>
        <v>15020719950428561X</v>
      </c>
      <c r="D6591" t="s">
        <v>7479</v>
      </c>
      <c r="E6591" t="s">
        <v>7480</v>
      </c>
      <c r="F6591" t="s">
        <v>0</v>
      </c>
      <c r="G6591" t="str">
        <f>"2018-10-16 16:59:41"</f>
        <v>2018-10-16 16:59:41</v>
      </c>
    </row>
    <row r="6592" spans="1:7" x14ac:dyDescent="0.2">
      <c r="A6592" t="s">
        <v>7481</v>
      </c>
      <c r="B6592" t="str">
        <f>"18214004539"</f>
        <v>18214004539</v>
      </c>
      <c r="C6592" t="str">
        <f>"53272219981126031X"</f>
        <v>53272219981126031X</v>
      </c>
      <c r="D6592" t="s">
        <v>1</v>
      </c>
      <c r="E6592" t="s">
        <v>1</v>
      </c>
      <c r="F6592" t="s">
        <v>0</v>
      </c>
      <c r="G6592" t="str">
        <f>"2018-10-16 16:58:44"</f>
        <v>2018-10-16 16:58:44</v>
      </c>
    </row>
    <row r="6593" spans="1:7" x14ac:dyDescent="0.2">
      <c r="A6593" t="s">
        <v>1</v>
      </c>
      <c r="B6593" t="str">
        <f>"18715227646"</f>
        <v>18715227646</v>
      </c>
      <c r="C6593" t="s">
        <v>1</v>
      </c>
      <c r="D6593" t="s">
        <v>1</v>
      </c>
      <c r="E6593" t="s">
        <v>1</v>
      </c>
      <c r="F6593" t="s">
        <v>0</v>
      </c>
      <c r="G6593" t="str">
        <f>"2018-10-16 16:58:42"</f>
        <v>2018-10-16 16:58:42</v>
      </c>
    </row>
    <row r="6594" spans="1:7" x14ac:dyDescent="0.2">
      <c r="A6594" t="s">
        <v>1</v>
      </c>
      <c r="B6594" t="str">
        <f>"17684291195"</f>
        <v>17684291195</v>
      </c>
      <c r="C6594" t="s">
        <v>1</v>
      </c>
      <c r="D6594" t="s">
        <v>1</v>
      </c>
      <c r="E6594" t="s">
        <v>1</v>
      </c>
      <c r="F6594" t="s">
        <v>0</v>
      </c>
      <c r="G6594" t="str">
        <f>"2018-10-16 17:06:08"</f>
        <v>2018-10-16 17:06:08</v>
      </c>
    </row>
    <row r="6595" spans="1:7" x14ac:dyDescent="0.2">
      <c r="A6595" t="s">
        <v>7482</v>
      </c>
      <c r="B6595" t="str">
        <f>"15981898997"</f>
        <v>15981898997</v>
      </c>
      <c r="C6595" t="str">
        <f>"410185198706031514"</f>
        <v>410185198706031514</v>
      </c>
      <c r="D6595" t="s">
        <v>7483</v>
      </c>
      <c r="E6595" t="s">
        <v>7484</v>
      </c>
      <c r="F6595" t="s">
        <v>0</v>
      </c>
      <c r="G6595" t="str">
        <f>"2018-10-16 17:30:46"</f>
        <v>2018-10-16 17:30:46</v>
      </c>
    </row>
    <row r="6596" spans="1:7" x14ac:dyDescent="0.2">
      <c r="A6596" t="s">
        <v>1</v>
      </c>
      <c r="B6596" t="str">
        <f>"15285156331"</f>
        <v>15285156331</v>
      </c>
      <c r="C6596" t="s">
        <v>1</v>
      </c>
      <c r="D6596" t="s">
        <v>1</v>
      </c>
      <c r="E6596" t="s">
        <v>1</v>
      </c>
      <c r="F6596" t="s">
        <v>0</v>
      </c>
      <c r="G6596" t="str">
        <f>"2018-10-16 16:58:20"</f>
        <v>2018-10-16 16:58:20</v>
      </c>
    </row>
    <row r="6597" spans="1:7" x14ac:dyDescent="0.2">
      <c r="A6597" t="s">
        <v>1</v>
      </c>
      <c r="B6597" t="str">
        <f>"15978979470"</f>
        <v>15978979470</v>
      </c>
      <c r="C6597" t="s">
        <v>1</v>
      </c>
      <c r="D6597" t="s">
        <v>1</v>
      </c>
      <c r="E6597" t="s">
        <v>1</v>
      </c>
      <c r="F6597" t="s">
        <v>0</v>
      </c>
      <c r="G6597" t="str">
        <f>"2018-10-16 16:58:16"</f>
        <v>2018-10-16 16:58:16</v>
      </c>
    </row>
    <row r="6598" spans="1:7" x14ac:dyDescent="0.2">
      <c r="A6598" t="s">
        <v>7485</v>
      </c>
      <c r="B6598" t="str">
        <f>"18954997000"</f>
        <v>18954997000</v>
      </c>
      <c r="C6598" t="str">
        <f>"371302199003120222"</f>
        <v>371302199003120222</v>
      </c>
      <c r="D6598" t="s">
        <v>1</v>
      </c>
      <c r="E6598" t="s">
        <v>1</v>
      </c>
      <c r="F6598" t="s">
        <v>0</v>
      </c>
      <c r="G6598" t="str">
        <f>"2018-10-16 17:02:12"</f>
        <v>2018-10-16 17:02:12</v>
      </c>
    </row>
    <row r="6599" spans="1:7" x14ac:dyDescent="0.2">
      <c r="A6599" t="s">
        <v>7486</v>
      </c>
      <c r="B6599" t="str">
        <f>"13041262185"</f>
        <v>13041262185</v>
      </c>
      <c r="C6599" t="str">
        <f>"141127198210260059"</f>
        <v>141127198210260059</v>
      </c>
      <c r="D6599" t="s">
        <v>1</v>
      </c>
      <c r="E6599" t="s">
        <v>1</v>
      </c>
      <c r="F6599" t="s">
        <v>0</v>
      </c>
      <c r="G6599" t="str">
        <f>"2018-10-16 16:57:18"</f>
        <v>2018-10-16 16:57:18</v>
      </c>
    </row>
    <row r="6600" spans="1:7" x14ac:dyDescent="0.2">
      <c r="A6600" t="s">
        <v>1</v>
      </c>
      <c r="B6600" t="str">
        <f>"18717172026"</f>
        <v>18717172026</v>
      </c>
      <c r="C6600" t="s">
        <v>1</v>
      </c>
      <c r="D6600" t="s">
        <v>1</v>
      </c>
      <c r="E6600" t="s">
        <v>1</v>
      </c>
      <c r="F6600" t="s">
        <v>0</v>
      </c>
      <c r="G6600" t="str">
        <f>"2018-10-16 16:56:49"</f>
        <v>2018-10-16 16:56:49</v>
      </c>
    </row>
    <row r="6601" spans="1:7" x14ac:dyDescent="0.2">
      <c r="A6601" t="s">
        <v>7487</v>
      </c>
      <c r="B6601" t="str">
        <f>"15727196786"</f>
        <v>15727196786</v>
      </c>
      <c r="C6601" t="str">
        <f>"420321199309052413"</f>
        <v>420321199309052413</v>
      </c>
      <c r="D6601" t="s">
        <v>1</v>
      </c>
      <c r="E6601" t="s">
        <v>1</v>
      </c>
      <c r="F6601" t="s">
        <v>0</v>
      </c>
      <c r="G6601" t="str">
        <f>"2018-10-16 17:06:14"</f>
        <v>2018-10-16 17:06:14</v>
      </c>
    </row>
    <row r="6602" spans="1:7" x14ac:dyDescent="0.2">
      <c r="A6602" t="s">
        <v>7488</v>
      </c>
      <c r="B6602" t="str">
        <f>"15704221962"</f>
        <v>15704221962</v>
      </c>
      <c r="C6602" t="str">
        <f>"210727197811041842"</f>
        <v>210727197811041842</v>
      </c>
      <c r="D6602" t="s">
        <v>1</v>
      </c>
      <c r="E6602" t="s">
        <v>1</v>
      </c>
      <c r="F6602" t="s">
        <v>0</v>
      </c>
      <c r="G6602" t="str">
        <f>"2018-10-16 17:09:52"</f>
        <v>2018-10-16 17:09:52</v>
      </c>
    </row>
    <row r="6603" spans="1:7" x14ac:dyDescent="0.2">
      <c r="A6603" t="s">
        <v>1</v>
      </c>
      <c r="B6603" t="str">
        <f>"13905153457"</f>
        <v>13905153457</v>
      </c>
      <c r="C6603" t="s">
        <v>1</v>
      </c>
      <c r="D6603" t="s">
        <v>1</v>
      </c>
      <c r="E6603" t="s">
        <v>1</v>
      </c>
      <c r="F6603" t="s">
        <v>0</v>
      </c>
      <c r="G6603" t="str">
        <f>"2018-10-16 16:57:45"</f>
        <v>2018-10-16 16:57:45</v>
      </c>
    </row>
    <row r="6604" spans="1:7" x14ac:dyDescent="0.2">
      <c r="A6604" t="s">
        <v>7489</v>
      </c>
      <c r="B6604" t="str">
        <f>"17731098088"</f>
        <v>17731098088</v>
      </c>
      <c r="C6604" t="str">
        <f>"130425198805220014"</f>
        <v>130425198805220014</v>
      </c>
      <c r="D6604" t="s">
        <v>1</v>
      </c>
      <c r="E6604" t="s">
        <v>1</v>
      </c>
      <c r="F6604" t="s">
        <v>0</v>
      </c>
      <c r="G6604" t="str">
        <f>"2018-10-16 17:37:49"</f>
        <v>2018-10-16 17:37:49</v>
      </c>
    </row>
    <row r="6605" spans="1:7" x14ac:dyDescent="0.2">
      <c r="A6605" t="s">
        <v>1</v>
      </c>
      <c r="B6605" t="str">
        <f>"18679269795"</f>
        <v>18679269795</v>
      </c>
      <c r="C6605" t="s">
        <v>1</v>
      </c>
      <c r="D6605" t="s">
        <v>1</v>
      </c>
      <c r="E6605" t="s">
        <v>1</v>
      </c>
      <c r="F6605" t="s">
        <v>0</v>
      </c>
      <c r="G6605" t="str">
        <f>"2018-10-16 16:57:01"</f>
        <v>2018-10-16 16:57:01</v>
      </c>
    </row>
    <row r="6606" spans="1:7" x14ac:dyDescent="0.2">
      <c r="A6606" t="s">
        <v>7490</v>
      </c>
      <c r="B6606" t="str">
        <f>"15804635234"</f>
        <v>15804635234</v>
      </c>
      <c r="C6606" t="str">
        <f>"232101198602111027"</f>
        <v>232101198602111027</v>
      </c>
      <c r="D6606" t="s">
        <v>1</v>
      </c>
      <c r="E6606" t="s">
        <v>1</v>
      </c>
      <c r="F6606" t="s">
        <v>0</v>
      </c>
      <c r="G6606" t="str">
        <f>"2018-10-16 16:54:45"</f>
        <v>2018-10-16 16:54:45</v>
      </c>
    </row>
    <row r="6607" spans="1:7" x14ac:dyDescent="0.2">
      <c r="A6607" t="s">
        <v>826</v>
      </c>
      <c r="B6607" t="str">
        <f>"15163816750"</f>
        <v>15163816750</v>
      </c>
      <c r="C6607" t="str">
        <f>"370902199306294512"</f>
        <v>370902199306294512</v>
      </c>
      <c r="D6607" t="s">
        <v>1</v>
      </c>
      <c r="E6607" t="s">
        <v>1</v>
      </c>
      <c r="F6607" t="s">
        <v>0</v>
      </c>
      <c r="G6607" t="str">
        <f>"2018-10-16 16:59:54"</f>
        <v>2018-10-16 16:59:54</v>
      </c>
    </row>
    <row r="6608" spans="1:7" x14ac:dyDescent="0.2">
      <c r="A6608" t="s">
        <v>672</v>
      </c>
      <c r="B6608" t="str">
        <f>"18701536822"</f>
        <v>18701536822</v>
      </c>
      <c r="C6608" t="str">
        <f>"152527199512233311"</f>
        <v>152527199512233311</v>
      </c>
      <c r="D6608" t="s">
        <v>1</v>
      </c>
      <c r="E6608" t="s">
        <v>1</v>
      </c>
      <c r="F6608" t="s">
        <v>0</v>
      </c>
      <c r="G6608" t="str">
        <f>"2018-10-16 17:06:11"</f>
        <v>2018-10-16 17:06:11</v>
      </c>
    </row>
    <row r="6609" spans="1:7" x14ac:dyDescent="0.2">
      <c r="A6609" t="s">
        <v>7491</v>
      </c>
      <c r="B6609" t="str">
        <f>"13586184212"</f>
        <v>13586184212</v>
      </c>
      <c r="C6609" t="str">
        <f>"410329199008036558"</f>
        <v>410329199008036558</v>
      </c>
      <c r="D6609" t="s">
        <v>7492</v>
      </c>
      <c r="E6609" t="s">
        <v>7493</v>
      </c>
      <c r="F6609" t="s">
        <v>0</v>
      </c>
      <c r="G6609" t="str">
        <f>"2018-10-23 16:52:12"</f>
        <v>2018-10-23 16:52:12</v>
      </c>
    </row>
    <row r="6610" spans="1:7" x14ac:dyDescent="0.2">
      <c r="A6610" t="s">
        <v>1</v>
      </c>
      <c r="B6610" t="str">
        <f>"13097794089"</f>
        <v>13097794089</v>
      </c>
      <c r="C6610" t="s">
        <v>1</v>
      </c>
      <c r="D6610" t="s">
        <v>1</v>
      </c>
      <c r="E6610" t="s">
        <v>1</v>
      </c>
      <c r="F6610" t="s">
        <v>0</v>
      </c>
      <c r="G6610" t="str">
        <f>"2018-10-16 16:51:45"</f>
        <v>2018-10-16 16:51:45</v>
      </c>
    </row>
    <row r="6611" spans="1:7" x14ac:dyDescent="0.2">
      <c r="A6611" t="s">
        <v>759</v>
      </c>
      <c r="B6611" t="str">
        <f>"18988183078"</f>
        <v>18988183078</v>
      </c>
      <c r="C6611" t="str">
        <f>"53282219931230001X"</f>
        <v>53282219931230001X</v>
      </c>
      <c r="D6611" t="s">
        <v>7494</v>
      </c>
      <c r="E6611" t="s">
        <v>7495</v>
      </c>
      <c r="F6611" t="s">
        <v>0</v>
      </c>
      <c r="G6611" t="str">
        <f>"2018-10-16 16:53:17"</f>
        <v>2018-10-16 16:53:17</v>
      </c>
    </row>
    <row r="6612" spans="1:7" x14ac:dyDescent="0.2">
      <c r="A6612" t="s">
        <v>7496</v>
      </c>
      <c r="B6612" t="str">
        <f>"15218231502"</f>
        <v>15218231502</v>
      </c>
      <c r="C6612" t="str">
        <f>"440881198909155400"</f>
        <v>440881198909155400</v>
      </c>
      <c r="D6612" t="s">
        <v>1</v>
      </c>
      <c r="E6612" t="s">
        <v>1</v>
      </c>
      <c r="F6612" t="s">
        <v>0</v>
      </c>
      <c r="G6612" t="str">
        <f>"2018-10-16 16:54:01"</f>
        <v>2018-10-16 16:54:01</v>
      </c>
    </row>
    <row r="6613" spans="1:7" x14ac:dyDescent="0.2">
      <c r="A6613" t="s">
        <v>7497</v>
      </c>
      <c r="B6613" t="str">
        <f>"15814837206"</f>
        <v>15814837206</v>
      </c>
      <c r="C6613" t="str">
        <f>"441422199603270039"</f>
        <v>441422199603270039</v>
      </c>
      <c r="D6613" t="s">
        <v>1</v>
      </c>
      <c r="E6613" t="s">
        <v>1</v>
      </c>
      <c r="F6613" t="s">
        <v>0</v>
      </c>
      <c r="G6613" t="str">
        <f>"2018-10-16 16:52:24"</f>
        <v>2018-10-16 16:52:24</v>
      </c>
    </row>
    <row r="6614" spans="1:7" x14ac:dyDescent="0.2">
      <c r="A6614" t="s">
        <v>1</v>
      </c>
      <c r="B6614" t="str">
        <f>"15659621750"</f>
        <v>15659621750</v>
      </c>
      <c r="C6614" t="s">
        <v>1</v>
      </c>
      <c r="D6614" t="s">
        <v>1</v>
      </c>
      <c r="E6614" t="s">
        <v>1</v>
      </c>
      <c r="F6614" t="s">
        <v>0</v>
      </c>
      <c r="G6614" t="str">
        <f>"2018-10-16 16:50:51"</f>
        <v>2018-10-16 16:50:51</v>
      </c>
    </row>
    <row r="6615" spans="1:7" x14ac:dyDescent="0.2">
      <c r="A6615" t="s">
        <v>7498</v>
      </c>
      <c r="B6615" t="str">
        <f>"13463486103"</f>
        <v>13463486103</v>
      </c>
      <c r="C6615" t="str">
        <f>"130803199403120625"</f>
        <v>130803199403120625</v>
      </c>
      <c r="D6615" t="s">
        <v>1</v>
      </c>
      <c r="E6615" t="s">
        <v>1</v>
      </c>
      <c r="F6615" t="s">
        <v>0</v>
      </c>
      <c r="G6615" t="str">
        <f>"2018-10-16 17:01:05"</f>
        <v>2018-10-16 17:01:05</v>
      </c>
    </row>
    <row r="6616" spans="1:7" x14ac:dyDescent="0.2">
      <c r="A6616" t="s">
        <v>7499</v>
      </c>
      <c r="B6616" t="str">
        <f>"17749012779"</f>
        <v>17749012779</v>
      </c>
      <c r="C6616" t="str">
        <f>"370181198911014133"</f>
        <v>370181198911014133</v>
      </c>
      <c r="D6616" t="s">
        <v>1</v>
      </c>
      <c r="E6616" t="s">
        <v>1</v>
      </c>
      <c r="F6616" t="s">
        <v>0</v>
      </c>
      <c r="G6616" t="str">
        <f>"2018-10-16 16:53:53"</f>
        <v>2018-10-16 16:53:53</v>
      </c>
    </row>
    <row r="6617" spans="1:7" x14ac:dyDescent="0.2">
      <c r="A6617" t="s">
        <v>7500</v>
      </c>
      <c r="B6617" t="str">
        <f>"15696284583"</f>
        <v>15696284583</v>
      </c>
      <c r="C6617" t="str">
        <f>"500103198704106524"</f>
        <v>500103198704106524</v>
      </c>
      <c r="D6617" t="s">
        <v>7501</v>
      </c>
      <c r="E6617" t="s">
        <v>7502</v>
      </c>
      <c r="F6617" t="s">
        <v>0</v>
      </c>
      <c r="G6617" t="str">
        <f>"2018-10-18 16:04:09"</f>
        <v>2018-10-18 16:04:09</v>
      </c>
    </row>
    <row r="6618" spans="1:7" x14ac:dyDescent="0.2">
      <c r="A6618" t="s">
        <v>7503</v>
      </c>
      <c r="B6618" t="str">
        <f>"13555090310"</f>
        <v>13555090310</v>
      </c>
      <c r="C6618" t="str">
        <f>"232722199508232614"</f>
        <v>232722199508232614</v>
      </c>
      <c r="D6618" t="s">
        <v>1</v>
      </c>
      <c r="E6618" t="s">
        <v>1</v>
      </c>
      <c r="F6618" t="s">
        <v>0</v>
      </c>
      <c r="G6618" t="str">
        <f>"2018-10-16 16:50:20"</f>
        <v>2018-10-16 16:50:20</v>
      </c>
    </row>
    <row r="6619" spans="1:7" x14ac:dyDescent="0.2">
      <c r="A6619" t="s">
        <v>1</v>
      </c>
      <c r="B6619" t="str">
        <f>"18204067611"</f>
        <v>18204067611</v>
      </c>
      <c r="C6619" t="s">
        <v>1</v>
      </c>
      <c r="D6619" t="s">
        <v>1</v>
      </c>
      <c r="E6619" t="s">
        <v>1</v>
      </c>
      <c r="F6619" t="s">
        <v>0</v>
      </c>
      <c r="G6619" t="str">
        <f>"2018-10-16 16:48:26"</f>
        <v>2018-10-16 16:48:26</v>
      </c>
    </row>
    <row r="6620" spans="1:7" x14ac:dyDescent="0.2">
      <c r="A6620" t="s">
        <v>1</v>
      </c>
      <c r="B6620" t="str">
        <f>"15925997313"</f>
        <v>15925997313</v>
      </c>
      <c r="C6620" t="s">
        <v>1</v>
      </c>
      <c r="D6620" t="s">
        <v>1</v>
      </c>
      <c r="E6620" t="s">
        <v>1</v>
      </c>
      <c r="F6620" t="s">
        <v>0</v>
      </c>
      <c r="G6620" t="str">
        <f>"2018-10-16 18:44:27"</f>
        <v>2018-10-16 18:44:27</v>
      </c>
    </row>
    <row r="6621" spans="1:7" x14ac:dyDescent="0.2">
      <c r="A6621" t="s">
        <v>7504</v>
      </c>
      <c r="B6621" t="str">
        <f>"18458221110"</f>
        <v>18458221110</v>
      </c>
      <c r="C6621" t="str">
        <f>"331021199312222770"</f>
        <v>331021199312222770</v>
      </c>
      <c r="D6621" t="s">
        <v>7505</v>
      </c>
      <c r="E6621" t="s">
        <v>7506</v>
      </c>
      <c r="F6621" t="s">
        <v>0</v>
      </c>
      <c r="G6621" t="str">
        <f>"2018-10-16 16:47:52"</f>
        <v>2018-10-16 16:47:52</v>
      </c>
    </row>
    <row r="6622" spans="1:7" x14ac:dyDescent="0.2">
      <c r="A6622" t="s">
        <v>1</v>
      </c>
      <c r="B6622" t="str">
        <f>"18464319627"</f>
        <v>18464319627</v>
      </c>
      <c r="C6622" t="s">
        <v>1</v>
      </c>
      <c r="D6622" t="s">
        <v>1</v>
      </c>
      <c r="E6622" t="s">
        <v>1</v>
      </c>
      <c r="F6622" t="s">
        <v>0</v>
      </c>
      <c r="G6622" t="str">
        <f>"2018-10-16 16:46:51"</f>
        <v>2018-10-16 16:46:51</v>
      </c>
    </row>
    <row r="6623" spans="1:7" x14ac:dyDescent="0.2">
      <c r="A6623" t="s">
        <v>1</v>
      </c>
      <c r="B6623" t="str">
        <f>"18831458021"</f>
        <v>18831458021</v>
      </c>
      <c r="C6623" t="s">
        <v>1</v>
      </c>
      <c r="D6623" t="s">
        <v>1</v>
      </c>
      <c r="E6623" t="s">
        <v>1</v>
      </c>
      <c r="F6623" t="s">
        <v>0</v>
      </c>
      <c r="G6623" t="str">
        <f>"2018-10-16 16:46:16"</f>
        <v>2018-10-16 16:46:16</v>
      </c>
    </row>
    <row r="6624" spans="1:7" x14ac:dyDescent="0.2">
      <c r="A6624" t="s">
        <v>7507</v>
      </c>
      <c r="B6624" t="str">
        <f>"15087282615"</f>
        <v>15087282615</v>
      </c>
      <c r="C6624" t="str">
        <f>"532928199109181311"</f>
        <v>532928199109181311</v>
      </c>
      <c r="D6624" t="s">
        <v>1</v>
      </c>
      <c r="E6624" t="s">
        <v>1</v>
      </c>
      <c r="F6624" t="s">
        <v>0</v>
      </c>
      <c r="G6624" t="str">
        <f>"2018-10-16 16:47:19"</f>
        <v>2018-10-16 16:47:19</v>
      </c>
    </row>
    <row r="6625" spans="1:7" x14ac:dyDescent="0.2">
      <c r="A6625" t="s">
        <v>7508</v>
      </c>
      <c r="B6625" t="str">
        <f>"13652379510"</f>
        <v>13652379510</v>
      </c>
      <c r="C6625" t="str">
        <f>"362426199610259010"</f>
        <v>362426199610259010</v>
      </c>
      <c r="D6625" t="s">
        <v>1</v>
      </c>
      <c r="E6625" t="s">
        <v>1</v>
      </c>
      <c r="F6625" t="s">
        <v>0</v>
      </c>
      <c r="G6625" t="str">
        <f>"2018-10-16 16:47:30"</f>
        <v>2018-10-16 16:47:30</v>
      </c>
    </row>
    <row r="6626" spans="1:7" x14ac:dyDescent="0.2">
      <c r="A6626" t="s">
        <v>1</v>
      </c>
      <c r="B6626" t="str">
        <f>"13570863707"</f>
        <v>13570863707</v>
      </c>
      <c r="C6626" t="s">
        <v>1</v>
      </c>
      <c r="D6626" t="s">
        <v>1</v>
      </c>
      <c r="E6626" t="s">
        <v>1</v>
      </c>
      <c r="F6626" t="s">
        <v>0</v>
      </c>
      <c r="G6626" t="str">
        <f>"2018-10-16 16:45:43"</f>
        <v>2018-10-16 16:45:43</v>
      </c>
    </row>
    <row r="6627" spans="1:7" x14ac:dyDescent="0.2">
      <c r="A6627" t="s">
        <v>7509</v>
      </c>
      <c r="B6627" t="str">
        <f>"18344854369"</f>
        <v>18344854369</v>
      </c>
      <c r="C6627" t="str">
        <f>"320721198706103070"</f>
        <v>320721198706103070</v>
      </c>
      <c r="D6627" t="s">
        <v>1</v>
      </c>
      <c r="E6627" t="s">
        <v>1</v>
      </c>
      <c r="F6627" t="s">
        <v>0</v>
      </c>
      <c r="G6627" t="str">
        <f>"2018-10-16 16:48:08"</f>
        <v>2018-10-16 16:48:08</v>
      </c>
    </row>
    <row r="6628" spans="1:7" x14ac:dyDescent="0.2">
      <c r="A6628" t="s">
        <v>1045</v>
      </c>
      <c r="B6628" t="str">
        <f>"13171591171"</f>
        <v>13171591171</v>
      </c>
      <c r="C6628" t="str">
        <f>"130185198510183412"</f>
        <v>130185198510183412</v>
      </c>
      <c r="D6628" t="s">
        <v>7510</v>
      </c>
      <c r="E6628" t="s">
        <v>7511</v>
      </c>
      <c r="F6628" t="s">
        <v>0</v>
      </c>
      <c r="G6628" t="str">
        <f>"2018-10-16 16:46:56"</f>
        <v>2018-10-16 16:46:56</v>
      </c>
    </row>
    <row r="6629" spans="1:7" x14ac:dyDescent="0.2">
      <c r="A6629" t="s">
        <v>1</v>
      </c>
      <c r="B6629" t="str">
        <f>"13034244317"</f>
        <v>13034244317</v>
      </c>
      <c r="C6629" t="s">
        <v>1</v>
      </c>
      <c r="D6629" t="s">
        <v>1</v>
      </c>
      <c r="E6629" t="s">
        <v>1</v>
      </c>
      <c r="F6629" t="s">
        <v>0</v>
      </c>
      <c r="G6629" t="str">
        <f>"2018-10-16 16:45:29"</f>
        <v>2018-10-16 16:45:29</v>
      </c>
    </row>
    <row r="6630" spans="1:7" x14ac:dyDescent="0.2">
      <c r="A6630" t="s">
        <v>7512</v>
      </c>
      <c r="B6630" t="str">
        <f>"18092742868"</f>
        <v>18092742868</v>
      </c>
      <c r="C6630" t="str">
        <f>"612522197609063013"</f>
        <v>612522197609063013</v>
      </c>
      <c r="D6630" t="s">
        <v>1</v>
      </c>
      <c r="E6630" t="s">
        <v>1</v>
      </c>
      <c r="F6630" t="s">
        <v>0</v>
      </c>
      <c r="G6630" t="str">
        <f>"2018-10-16 16:44:09"</f>
        <v>2018-10-16 16:44:09</v>
      </c>
    </row>
    <row r="6631" spans="1:7" x14ac:dyDescent="0.2">
      <c r="A6631" t="s">
        <v>1</v>
      </c>
      <c r="B6631" t="str">
        <f>"17600300813"</f>
        <v>17600300813</v>
      </c>
      <c r="C6631" t="s">
        <v>1</v>
      </c>
      <c r="D6631" t="s">
        <v>1</v>
      </c>
      <c r="E6631" t="s">
        <v>1</v>
      </c>
      <c r="F6631" t="s">
        <v>0</v>
      </c>
      <c r="G6631" t="str">
        <f>"2018-10-16 16:44:04"</f>
        <v>2018-10-16 16:44:04</v>
      </c>
    </row>
    <row r="6632" spans="1:7" x14ac:dyDescent="0.2">
      <c r="A6632" t="s">
        <v>7513</v>
      </c>
      <c r="B6632" t="str">
        <f>"13834329777"</f>
        <v>13834329777</v>
      </c>
      <c r="C6632" t="str">
        <f>"140524198802138032"</f>
        <v>140524198802138032</v>
      </c>
      <c r="D6632" t="s">
        <v>1</v>
      </c>
      <c r="E6632" t="s">
        <v>1</v>
      </c>
      <c r="F6632" t="s">
        <v>0</v>
      </c>
      <c r="G6632" t="str">
        <f>"2018-10-16 16:47:36"</f>
        <v>2018-10-16 16:47:36</v>
      </c>
    </row>
    <row r="6633" spans="1:7" x14ac:dyDescent="0.2">
      <c r="A6633" t="s">
        <v>1</v>
      </c>
      <c r="B6633" t="str">
        <f>"13565276867"</f>
        <v>13565276867</v>
      </c>
      <c r="C6633" t="s">
        <v>1</v>
      </c>
      <c r="D6633" t="s">
        <v>1</v>
      </c>
      <c r="E6633" t="s">
        <v>1</v>
      </c>
      <c r="F6633" t="s">
        <v>0</v>
      </c>
      <c r="G6633" t="str">
        <f>"2018-10-16 16:43:14"</f>
        <v>2018-10-16 16:43:14</v>
      </c>
    </row>
    <row r="6634" spans="1:7" x14ac:dyDescent="0.2">
      <c r="A6634" t="s">
        <v>7514</v>
      </c>
      <c r="B6634" t="str">
        <f>"17859369855"</f>
        <v>17859369855</v>
      </c>
      <c r="C6634" t="str">
        <f>"350600199608211521"</f>
        <v>350600199608211521</v>
      </c>
      <c r="D6634" t="s">
        <v>1</v>
      </c>
      <c r="E6634" t="s">
        <v>1</v>
      </c>
      <c r="F6634" t="s">
        <v>0</v>
      </c>
      <c r="G6634" t="str">
        <f>"2018-10-16 16:45:43"</f>
        <v>2018-10-16 16:45:43</v>
      </c>
    </row>
    <row r="6635" spans="1:7" x14ac:dyDescent="0.2">
      <c r="A6635" t="s">
        <v>7515</v>
      </c>
      <c r="B6635" t="str">
        <f>"18475369357"</f>
        <v>18475369357</v>
      </c>
      <c r="C6635" t="str">
        <f>"441882199406216939"</f>
        <v>441882199406216939</v>
      </c>
      <c r="D6635" t="s">
        <v>1</v>
      </c>
      <c r="E6635" t="s">
        <v>1</v>
      </c>
      <c r="F6635" t="s">
        <v>0</v>
      </c>
      <c r="G6635" t="str">
        <f>"2018-10-16 16:45:11"</f>
        <v>2018-10-16 16:45:11</v>
      </c>
    </row>
    <row r="6636" spans="1:7" x14ac:dyDescent="0.2">
      <c r="A6636" t="s">
        <v>7516</v>
      </c>
      <c r="B6636" t="str">
        <f>"18789896092"</f>
        <v>18789896092</v>
      </c>
      <c r="C6636" t="str">
        <f>"460004198504155231"</f>
        <v>460004198504155231</v>
      </c>
      <c r="D6636" t="s">
        <v>1</v>
      </c>
      <c r="E6636" t="s">
        <v>1</v>
      </c>
      <c r="F6636" t="s">
        <v>0</v>
      </c>
      <c r="G6636" t="str">
        <f>"2018-10-16 16:47:28"</f>
        <v>2018-10-16 16:47:28</v>
      </c>
    </row>
    <row r="6637" spans="1:7" x14ac:dyDescent="0.2">
      <c r="A6637" t="s">
        <v>7517</v>
      </c>
      <c r="B6637" t="str">
        <f>"13118514700"</f>
        <v>13118514700</v>
      </c>
      <c r="C6637" t="str">
        <f>"520103199001234018"</f>
        <v>520103199001234018</v>
      </c>
      <c r="D6637" t="s">
        <v>7518</v>
      </c>
      <c r="E6637" t="s">
        <v>7519</v>
      </c>
      <c r="F6637" t="s">
        <v>0</v>
      </c>
      <c r="G6637" t="str">
        <f>"2018-10-17 01:55:10"</f>
        <v>2018-10-17 01:55:10</v>
      </c>
    </row>
    <row r="6638" spans="1:7" x14ac:dyDescent="0.2">
      <c r="A6638" t="s">
        <v>7520</v>
      </c>
      <c r="B6638" t="str">
        <f>"15887981300"</f>
        <v>15887981300</v>
      </c>
      <c r="C6638" t="str">
        <f>"362528198412232910"</f>
        <v>362528198412232910</v>
      </c>
      <c r="D6638" t="s">
        <v>1</v>
      </c>
      <c r="E6638" t="s">
        <v>1</v>
      </c>
      <c r="F6638" t="s">
        <v>0</v>
      </c>
      <c r="G6638" t="str">
        <f>"2018-10-16 16:43:54"</f>
        <v>2018-10-16 16:43:54</v>
      </c>
    </row>
    <row r="6639" spans="1:7" x14ac:dyDescent="0.2">
      <c r="A6639" t="s">
        <v>7521</v>
      </c>
      <c r="B6639" t="str">
        <f>"18791935446"</f>
        <v>18791935446</v>
      </c>
      <c r="C6639" t="str">
        <f>"610527199010140018"</f>
        <v>610527199010140018</v>
      </c>
      <c r="D6639" t="s">
        <v>1</v>
      </c>
      <c r="E6639" t="s">
        <v>1</v>
      </c>
      <c r="F6639" t="s">
        <v>0</v>
      </c>
      <c r="G6639" t="str">
        <f>"2018-10-16 21:26:35"</f>
        <v>2018-10-16 21:26:35</v>
      </c>
    </row>
    <row r="6640" spans="1:7" x14ac:dyDescent="0.2">
      <c r="A6640" t="s">
        <v>7522</v>
      </c>
      <c r="B6640" t="str">
        <f>"18608953455"</f>
        <v>18608953455</v>
      </c>
      <c r="C6640" t="str">
        <f>"460004199211106035"</f>
        <v>460004199211106035</v>
      </c>
      <c r="D6640" t="s">
        <v>1</v>
      </c>
      <c r="E6640" t="s">
        <v>1</v>
      </c>
      <c r="F6640" t="s">
        <v>0</v>
      </c>
      <c r="G6640" t="str">
        <f>"2018-10-16 16:44:37"</f>
        <v>2018-10-16 16:44:37</v>
      </c>
    </row>
    <row r="6641" spans="1:7" x14ac:dyDescent="0.2">
      <c r="A6641" t="s">
        <v>1</v>
      </c>
      <c r="B6641" t="str">
        <f>"13728535280"</f>
        <v>13728535280</v>
      </c>
      <c r="C6641" t="s">
        <v>1</v>
      </c>
      <c r="D6641" t="s">
        <v>1</v>
      </c>
      <c r="E6641" t="s">
        <v>1</v>
      </c>
      <c r="F6641" t="s">
        <v>0</v>
      </c>
      <c r="G6641" t="str">
        <f>"2018-10-16 16:41:19"</f>
        <v>2018-10-16 16:41:19</v>
      </c>
    </row>
    <row r="6642" spans="1:7" x14ac:dyDescent="0.2">
      <c r="A6642" t="s">
        <v>7523</v>
      </c>
      <c r="B6642" t="str">
        <f>"18116755521"</f>
        <v>18116755521</v>
      </c>
      <c r="C6642" t="str">
        <f>"510902199409170455"</f>
        <v>510902199409170455</v>
      </c>
      <c r="D6642" t="s">
        <v>1</v>
      </c>
      <c r="E6642" t="s">
        <v>1</v>
      </c>
      <c r="F6642" t="s">
        <v>0</v>
      </c>
      <c r="G6642" t="str">
        <f>"2018-10-16 22:05:38"</f>
        <v>2018-10-16 22:05:38</v>
      </c>
    </row>
    <row r="6643" spans="1:7" x14ac:dyDescent="0.2">
      <c r="A6643" t="s">
        <v>7524</v>
      </c>
      <c r="B6643" t="str">
        <f>"18577703188"</f>
        <v>18577703188</v>
      </c>
      <c r="C6643" t="str">
        <f>"450702199511155158"</f>
        <v>450702199511155158</v>
      </c>
      <c r="D6643" t="s">
        <v>1</v>
      </c>
      <c r="E6643" t="s">
        <v>1</v>
      </c>
      <c r="F6643" t="s">
        <v>0</v>
      </c>
      <c r="G6643" t="str">
        <f>"2018-10-16 16:41:44"</f>
        <v>2018-10-16 16:41:44</v>
      </c>
    </row>
    <row r="6644" spans="1:7" x14ac:dyDescent="0.2">
      <c r="A6644" t="s">
        <v>7525</v>
      </c>
      <c r="B6644" t="str">
        <f>"18387878034"</f>
        <v>18387878034</v>
      </c>
      <c r="C6644" t="str">
        <f>"532328199405311122"</f>
        <v>532328199405311122</v>
      </c>
      <c r="D6644" t="s">
        <v>7526</v>
      </c>
      <c r="E6644" t="s">
        <v>7527</v>
      </c>
      <c r="F6644" t="s">
        <v>0</v>
      </c>
      <c r="G6644" t="str">
        <f>"2018-10-16 16:42:26"</f>
        <v>2018-10-16 16:42:26</v>
      </c>
    </row>
    <row r="6645" spans="1:7" x14ac:dyDescent="0.2">
      <c r="A6645" t="s">
        <v>7528</v>
      </c>
      <c r="B6645" t="str">
        <f>"17521306721"</f>
        <v>17521306721</v>
      </c>
      <c r="C6645" t="str">
        <f>"310106199007211618"</f>
        <v>310106199007211618</v>
      </c>
      <c r="D6645" t="s">
        <v>1</v>
      </c>
      <c r="E6645" t="s">
        <v>1</v>
      </c>
      <c r="F6645" t="s">
        <v>0</v>
      </c>
      <c r="G6645" t="str">
        <f>"2018-10-16 16:50:40"</f>
        <v>2018-10-16 16:50:40</v>
      </c>
    </row>
    <row r="6646" spans="1:7" x14ac:dyDescent="0.2">
      <c r="A6646" t="s">
        <v>1</v>
      </c>
      <c r="B6646" t="str">
        <f>"13312384871"</f>
        <v>13312384871</v>
      </c>
      <c r="C6646" t="s">
        <v>1</v>
      </c>
      <c r="D6646" t="s">
        <v>1</v>
      </c>
      <c r="E6646" t="s">
        <v>1</v>
      </c>
      <c r="F6646" t="s">
        <v>0</v>
      </c>
      <c r="G6646" t="str">
        <f>"2018-10-16 16:40:14"</f>
        <v>2018-10-16 16:40:14</v>
      </c>
    </row>
    <row r="6647" spans="1:7" x14ac:dyDescent="0.2">
      <c r="A6647" t="s">
        <v>7529</v>
      </c>
      <c r="B6647" t="str">
        <f>"18896569850"</f>
        <v>18896569850</v>
      </c>
      <c r="C6647" t="str">
        <f>"320483199405081717"</f>
        <v>320483199405081717</v>
      </c>
      <c r="D6647" t="s">
        <v>1</v>
      </c>
      <c r="E6647" t="s">
        <v>1</v>
      </c>
      <c r="F6647" t="s">
        <v>0</v>
      </c>
      <c r="G6647" t="str">
        <f>"2018-10-16 16:46:40"</f>
        <v>2018-10-16 16:46:40</v>
      </c>
    </row>
    <row r="6648" spans="1:7" x14ac:dyDescent="0.2">
      <c r="A6648" t="s">
        <v>57</v>
      </c>
      <c r="B6648" t="str">
        <f>"13834396003"</f>
        <v>13834396003</v>
      </c>
      <c r="C6648" t="str">
        <f>"14273319870327541X"</f>
        <v>14273319870327541X</v>
      </c>
      <c r="D6648" t="s">
        <v>7530</v>
      </c>
      <c r="E6648" t="s">
        <v>7531</v>
      </c>
      <c r="F6648" t="s">
        <v>0</v>
      </c>
      <c r="G6648" t="str">
        <f>"2018-10-16 17:07:57"</f>
        <v>2018-10-16 17:07:57</v>
      </c>
    </row>
    <row r="6649" spans="1:7" x14ac:dyDescent="0.2">
      <c r="A6649" t="s">
        <v>1</v>
      </c>
      <c r="B6649" t="str">
        <f>"13871405791"</f>
        <v>13871405791</v>
      </c>
      <c r="C6649" t="s">
        <v>1</v>
      </c>
      <c r="D6649" t="s">
        <v>1</v>
      </c>
      <c r="E6649" t="s">
        <v>1</v>
      </c>
      <c r="F6649" t="s">
        <v>0</v>
      </c>
      <c r="G6649" t="str">
        <f>"2018-10-16 16:39:50"</f>
        <v>2018-10-16 16:39:50</v>
      </c>
    </row>
    <row r="6650" spans="1:7" x14ac:dyDescent="0.2">
      <c r="A6650" t="s">
        <v>7532</v>
      </c>
      <c r="B6650" t="str">
        <f>"18645085866"</f>
        <v>18645085866</v>
      </c>
      <c r="C6650" t="str">
        <f>"230321197704072217"</f>
        <v>230321197704072217</v>
      </c>
      <c r="D6650" t="s">
        <v>1</v>
      </c>
      <c r="E6650" t="s">
        <v>1</v>
      </c>
      <c r="F6650" t="s">
        <v>0</v>
      </c>
      <c r="G6650" t="str">
        <f>"2018-10-31 09:55:31"</f>
        <v>2018-10-31 09:55:31</v>
      </c>
    </row>
    <row r="6651" spans="1:7" x14ac:dyDescent="0.2">
      <c r="A6651" t="s">
        <v>1</v>
      </c>
      <c r="B6651" t="str">
        <f>"13527766609"</f>
        <v>13527766609</v>
      </c>
      <c r="C6651" t="s">
        <v>1</v>
      </c>
      <c r="D6651" t="s">
        <v>1</v>
      </c>
      <c r="E6651" t="s">
        <v>1</v>
      </c>
      <c r="F6651" t="s">
        <v>0</v>
      </c>
      <c r="G6651" t="str">
        <f>"2018-10-16 16:39:03"</f>
        <v>2018-10-16 16:39:03</v>
      </c>
    </row>
    <row r="6652" spans="1:7" x14ac:dyDescent="0.2">
      <c r="A6652" t="s">
        <v>7533</v>
      </c>
      <c r="B6652" t="str">
        <f>"13642997085"</f>
        <v>13642997085</v>
      </c>
      <c r="C6652" t="str">
        <f>"441881198611048523"</f>
        <v>441881198611048523</v>
      </c>
      <c r="D6652" t="s">
        <v>1</v>
      </c>
      <c r="E6652" t="s">
        <v>1</v>
      </c>
      <c r="F6652" t="s">
        <v>0</v>
      </c>
      <c r="G6652" t="str">
        <f>"2018-10-16 16:40:33"</f>
        <v>2018-10-16 16:40:33</v>
      </c>
    </row>
    <row r="6653" spans="1:7" x14ac:dyDescent="0.2">
      <c r="A6653" t="s">
        <v>7534</v>
      </c>
      <c r="B6653" t="str">
        <f>"15281647322"</f>
        <v>15281647322</v>
      </c>
      <c r="C6653" t="str">
        <f>"510722199902022127"</f>
        <v>510722199902022127</v>
      </c>
      <c r="D6653" t="s">
        <v>1</v>
      </c>
      <c r="E6653" t="s">
        <v>1</v>
      </c>
      <c r="F6653" t="s">
        <v>0</v>
      </c>
      <c r="G6653" t="str">
        <f>"2018-10-16 16:47:08"</f>
        <v>2018-10-16 16:47:08</v>
      </c>
    </row>
    <row r="6654" spans="1:7" x14ac:dyDescent="0.2">
      <c r="A6654" t="s">
        <v>1500</v>
      </c>
      <c r="B6654" t="str">
        <f>"15158765708"</f>
        <v>15158765708</v>
      </c>
      <c r="C6654" t="str">
        <f>"330382198604080931"</f>
        <v>330382198604080931</v>
      </c>
      <c r="D6654" t="s">
        <v>1</v>
      </c>
      <c r="E6654" t="s">
        <v>1</v>
      </c>
      <c r="F6654" t="s">
        <v>0</v>
      </c>
      <c r="G6654" t="str">
        <f>"2018-10-23 17:04:48"</f>
        <v>2018-10-23 17:04:48</v>
      </c>
    </row>
    <row r="6655" spans="1:7" x14ac:dyDescent="0.2">
      <c r="A6655" t="s">
        <v>7535</v>
      </c>
      <c r="B6655" t="str">
        <f>"13577178302"</f>
        <v>13577178302</v>
      </c>
      <c r="C6655" t="str">
        <f>"530122198909252626"</f>
        <v>530122198909252626</v>
      </c>
      <c r="D6655" t="s">
        <v>1</v>
      </c>
      <c r="E6655" t="s">
        <v>1</v>
      </c>
      <c r="F6655" t="s">
        <v>0</v>
      </c>
      <c r="G6655" t="str">
        <f>"2018-11-04 17:20:28"</f>
        <v>2018-11-04 17:20:28</v>
      </c>
    </row>
    <row r="6656" spans="1:7" x14ac:dyDescent="0.2">
      <c r="A6656" t="s">
        <v>7536</v>
      </c>
      <c r="B6656" t="str">
        <f>"13168574308"</f>
        <v>13168574308</v>
      </c>
      <c r="C6656" t="str">
        <f>"440682199211110681"</f>
        <v>440682199211110681</v>
      </c>
      <c r="D6656" t="s">
        <v>1</v>
      </c>
      <c r="E6656" t="s">
        <v>1</v>
      </c>
      <c r="F6656" t="s">
        <v>0</v>
      </c>
      <c r="G6656" t="str">
        <f>"2018-10-16 16:39:46"</f>
        <v>2018-10-16 16:39:46</v>
      </c>
    </row>
    <row r="6657" spans="1:7" x14ac:dyDescent="0.2">
      <c r="A6657" t="s">
        <v>7537</v>
      </c>
      <c r="B6657" t="str">
        <f>"18084841092"</f>
        <v>18084841092</v>
      </c>
      <c r="C6657" t="str">
        <f>"51062319980911882X"</f>
        <v>51062319980911882X</v>
      </c>
      <c r="D6657" t="s">
        <v>1</v>
      </c>
      <c r="E6657" t="s">
        <v>1</v>
      </c>
      <c r="F6657" t="s">
        <v>0</v>
      </c>
      <c r="G6657" t="str">
        <f>"2018-10-16 20:24:46"</f>
        <v>2018-10-16 20:24:46</v>
      </c>
    </row>
    <row r="6658" spans="1:7" x14ac:dyDescent="0.2">
      <c r="A6658" t="s">
        <v>943</v>
      </c>
      <c r="B6658" t="str">
        <f>"18782220474"</f>
        <v>18782220474</v>
      </c>
      <c r="C6658" t="str">
        <f>"510725199002060020"</f>
        <v>510725199002060020</v>
      </c>
      <c r="D6658" t="s">
        <v>1</v>
      </c>
      <c r="E6658" t="s">
        <v>1</v>
      </c>
      <c r="F6658" t="s">
        <v>0</v>
      </c>
      <c r="G6658" t="str">
        <f>"2018-10-16 16:43:01"</f>
        <v>2018-10-16 16:43:01</v>
      </c>
    </row>
    <row r="6659" spans="1:7" x14ac:dyDescent="0.2">
      <c r="A6659" t="s">
        <v>7538</v>
      </c>
      <c r="B6659" t="str">
        <f>"15942544503"</f>
        <v>15942544503</v>
      </c>
      <c r="C6659" t="str">
        <f>"210682198607252750"</f>
        <v>210682198607252750</v>
      </c>
      <c r="D6659" t="s">
        <v>1</v>
      </c>
      <c r="E6659" t="s">
        <v>1</v>
      </c>
      <c r="F6659" t="s">
        <v>0</v>
      </c>
      <c r="G6659" t="str">
        <f>"2018-10-16 16:47:19"</f>
        <v>2018-10-16 16:47:19</v>
      </c>
    </row>
    <row r="6660" spans="1:7" x14ac:dyDescent="0.2">
      <c r="A6660" t="s">
        <v>7539</v>
      </c>
      <c r="B6660" t="str">
        <f>"17608549972"</f>
        <v>17608549972</v>
      </c>
      <c r="C6660" t="str">
        <f>"522728199904290311"</f>
        <v>522728199904290311</v>
      </c>
      <c r="D6660" t="s">
        <v>1</v>
      </c>
      <c r="E6660" t="s">
        <v>1</v>
      </c>
      <c r="F6660" t="s">
        <v>0</v>
      </c>
      <c r="G6660" t="str">
        <f>"2018-10-16 16:38:35"</f>
        <v>2018-10-16 16:38:35</v>
      </c>
    </row>
    <row r="6661" spans="1:7" x14ac:dyDescent="0.2">
      <c r="A6661" t="s">
        <v>7540</v>
      </c>
      <c r="B6661" t="str">
        <f>"18331217968"</f>
        <v>18331217968</v>
      </c>
      <c r="C6661" t="str">
        <f>"130623198407151832"</f>
        <v>130623198407151832</v>
      </c>
      <c r="D6661" t="s">
        <v>1</v>
      </c>
      <c r="E6661" t="s">
        <v>1</v>
      </c>
      <c r="F6661" t="s">
        <v>0</v>
      </c>
      <c r="G6661" t="str">
        <f>"2018-10-16 16:38:31"</f>
        <v>2018-10-16 16:38:31</v>
      </c>
    </row>
    <row r="6662" spans="1:7" x14ac:dyDescent="0.2">
      <c r="A6662" t="s">
        <v>7541</v>
      </c>
      <c r="B6662" t="str">
        <f>"18976715670"</f>
        <v>18976715670</v>
      </c>
      <c r="C6662" t="str">
        <f>"340881199705161316"</f>
        <v>340881199705161316</v>
      </c>
      <c r="D6662" t="s">
        <v>7542</v>
      </c>
      <c r="E6662" t="s">
        <v>7543</v>
      </c>
      <c r="F6662" t="s">
        <v>0</v>
      </c>
      <c r="G6662" t="str">
        <f>"2018-10-21 13:17:46"</f>
        <v>2018-10-21 13:17:46</v>
      </c>
    </row>
    <row r="6663" spans="1:7" x14ac:dyDescent="0.2">
      <c r="A6663" t="s">
        <v>7544</v>
      </c>
      <c r="B6663" t="str">
        <f>"13540788477"</f>
        <v>13540788477</v>
      </c>
      <c r="C6663" t="str">
        <f>"510524199012040552"</f>
        <v>510524199012040552</v>
      </c>
      <c r="D6663" t="s">
        <v>1</v>
      </c>
      <c r="E6663" t="s">
        <v>1</v>
      </c>
      <c r="F6663" t="s">
        <v>0</v>
      </c>
      <c r="G6663" t="str">
        <f>"2018-10-23 14:41:41"</f>
        <v>2018-10-23 14:41:41</v>
      </c>
    </row>
    <row r="6664" spans="1:7" x14ac:dyDescent="0.2">
      <c r="A6664" t="s">
        <v>7545</v>
      </c>
      <c r="B6664" t="str">
        <f>"15922207429"</f>
        <v>15922207429</v>
      </c>
      <c r="C6664" t="str">
        <f>"220284198812114616"</f>
        <v>220284198812114616</v>
      </c>
      <c r="D6664" t="s">
        <v>7546</v>
      </c>
      <c r="E6664" t="s">
        <v>7547</v>
      </c>
      <c r="F6664" t="s">
        <v>0</v>
      </c>
      <c r="G6664" t="str">
        <f>"2018-10-23 10:11:45"</f>
        <v>2018-10-23 10:11:45</v>
      </c>
    </row>
    <row r="6665" spans="1:7" x14ac:dyDescent="0.2">
      <c r="A6665" t="s">
        <v>1</v>
      </c>
      <c r="B6665" t="str">
        <f>"15751355826"</f>
        <v>15751355826</v>
      </c>
      <c r="C6665" t="s">
        <v>1</v>
      </c>
      <c r="D6665" t="s">
        <v>1</v>
      </c>
      <c r="E6665" t="s">
        <v>1</v>
      </c>
      <c r="F6665" t="s">
        <v>0</v>
      </c>
      <c r="G6665" t="str">
        <f>"2018-10-16 16:37:02"</f>
        <v>2018-10-16 16:37:02</v>
      </c>
    </row>
    <row r="6666" spans="1:7" x14ac:dyDescent="0.2">
      <c r="A6666" t="s">
        <v>7548</v>
      </c>
      <c r="B6666" t="str">
        <f>"13779377878"</f>
        <v>13779377878</v>
      </c>
      <c r="C6666" t="str">
        <f>"652201197806110914"</f>
        <v>652201197806110914</v>
      </c>
      <c r="D6666" t="s">
        <v>1</v>
      </c>
      <c r="E6666" t="s">
        <v>1</v>
      </c>
      <c r="F6666" t="s">
        <v>0</v>
      </c>
      <c r="G6666" t="str">
        <f>"2018-10-16 16:37:38"</f>
        <v>2018-10-16 16:37:38</v>
      </c>
    </row>
    <row r="6667" spans="1:7" x14ac:dyDescent="0.2">
      <c r="A6667" t="s">
        <v>1156</v>
      </c>
      <c r="B6667" t="str">
        <f>"15275656470"</f>
        <v>15275656470</v>
      </c>
      <c r="C6667" t="str">
        <f>"370523199703142010"</f>
        <v>370523199703142010</v>
      </c>
      <c r="D6667" t="s">
        <v>1</v>
      </c>
      <c r="E6667" t="s">
        <v>1</v>
      </c>
      <c r="F6667" t="s">
        <v>0</v>
      </c>
      <c r="G6667" t="str">
        <f>"2018-10-16 16:35:19"</f>
        <v>2018-10-16 16:35:19</v>
      </c>
    </row>
    <row r="6668" spans="1:7" x14ac:dyDescent="0.2">
      <c r="A6668" t="s">
        <v>7549</v>
      </c>
      <c r="B6668" t="str">
        <f>"18629080830"</f>
        <v>18629080830</v>
      </c>
      <c r="C6668" t="str">
        <f>"210782198608300211"</f>
        <v>210782198608300211</v>
      </c>
      <c r="D6668" t="s">
        <v>1</v>
      </c>
      <c r="E6668" t="s">
        <v>1</v>
      </c>
      <c r="F6668" t="s">
        <v>0</v>
      </c>
      <c r="G6668" t="str">
        <f>"2018-10-16 16:36:20"</f>
        <v>2018-10-16 16:36:20</v>
      </c>
    </row>
    <row r="6669" spans="1:7" x14ac:dyDescent="0.2">
      <c r="A6669" t="s">
        <v>7550</v>
      </c>
      <c r="B6669" t="str">
        <f>"15642877371"</f>
        <v>15642877371</v>
      </c>
      <c r="C6669" t="str">
        <f>"210727199908040028"</f>
        <v>210727199908040028</v>
      </c>
      <c r="D6669" t="s">
        <v>1</v>
      </c>
      <c r="E6669" t="s">
        <v>1</v>
      </c>
      <c r="F6669" t="s">
        <v>0</v>
      </c>
      <c r="G6669" t="str">
        <f>"2018-10-16 16:38:12"</f>
        <v>2018-10-16 16:38:12</v>
      </c>
    </row>
    <row r="6670" spans="1:7" x14ac:dyDescent="0.2">
      <c r="A6670" t="s">
        <v>7551</v>
      </c>
      <c r="B6670" t="str">
        <f>"15867696130"</f>
        <v>15867696130</v>
      </c>
      <c r="C6670" t="str">
        <f>"332624199510164631"</f>
        <v>332624199510164631</v>
      </c>
      <c r="D6670" t="s">
        <v>7552</v>
      </c>
      <c r="E6670" t="s">
        <v>7553</v>
      </c>
      <c r="F6670" t="s">
        <v>0</v>
      </c>
      <c r="G6670" t="str">
        <f>"2018-10-16 16:35:05"</f>
        <v>2018-10-16 16:35:05</v>
      </c>
    </row>
    <row r="6671" spans="1:7" x14ac:dyDescent="0.2">
      <c r="A6671" t="s">
        <v>7554</v>
      </c>
      <c r="B6671" t="str">
        <f>"18230308398"</f>
        <v>18230308398</v>
      </c>
      <c r="C6671" t="str">
        <f>"211421199308074810"</f>
        <v>211421199308074810</v>
      </c>
      <c r="D6671" t="s">
        <v>1</v>
      </c>
      <c r="E6671" t="s">
        <v>1</v>
      </c>
      <c r="F6671" t="s">
        <v>0</v>
      </c>
      <c r="G6671" t="str">
        <f>"2018-10-16 16:33:42"</f>
        <v>2018-10-16 16:33:42</v>
      </c>
    </row>
    <row r="6672" spans="1:7" x14ac:dyDescent="0.2">
      <c r="A6672" t="s">
        <v>7555</v>
      </c>
      <c r="B6672" t="str">
        <f>"15263536944"</f>
        <v>15263536944</v>
      </c>
      <c r="C6672" t="str">
        <f>"371581198410132804"</f>
        <v>371581198410132804</v>
      </c>
      <c r="D6672" t="s">
        <v>1</v>
      </c>
      <c r="E6672" t="s">
        <v>1</v>
      </c>
      <c r="F6672" t="s">
        <v>0</v>
      </c>
      <c r="G6672" t="str">
        <f>"2018-10-22 21:21:12"</f>
        <v>2018-10-22 21:21:12</v>
      </c>
    </row>
    <row r="6673" spans="1:7" x14ac:dyDescent="0.2">
      <c r="A6673" t="s">
        <v>7556</v>
      </c>
      <c r="B6673" t="str">
        <f>"15019632071"</f>
        <v>15019632071</v>
      </c>
      <c r="C6673" t="str">
        <f>"362227198806211212"</f>
        <v>362227198806211212</v>
      </c>
      <c r="D6673" t="s">
        <v>7557</v>
      </c>
      <c r="E6673" t="s">
        <v>7558</v>
      </c>
      <c r="F6673" t="s">
        <v>0</v>
      </c>
      <c r="G6673" t="str">
        <f>"2018-10-16 16:34:14"</f>
        <v>2018-10-16 16:34:14</v>
      </c>
    </row>
    <row r="6674" spans="1:7" x14ac:dyDescent="0.2">
      <c r="A6674" t="s">
        <v>7559</v>
      </c>
      <c r="B6674" t="str">
        <f>"18693503699"</f>
        <v>18693503699</v>
      </c>
      <c r="C6674" t="str">
        <f>"62230119981201053X"</f>
        <v>62230119981201053X</v>
      </c>
      <c r="D6674" t="s">
        <v>1</v>
      </c>
      <c r="E6674" t="s">
        <v>1</v>
      </c>
      <c r="F6674" t="s">
        <v>0</v>
      </c>
      <c r="G6674" t="str">
        <f>"2018-10-16 16:39:13"</f>
        <v>2018-10-16 16:39:13</v>
      </c>
    </row>
    <row r="6675" spans="1:7" x14ac:dyDescent="0.2">
      <c r="A6675" t="s">
        <v>7560</v>
      </c>
      <c r="B6675" t="str">
        <f>"18273961888"</f>
        <v>18273961888</v>
      </c>
      <c r="C6675" t="str">
        <f>"430529198109292358"</f>
        <v>430529198109292358</v>
      </c>
      <c r="D6675" t="s">
        <v>1</v>
      </c>
      <c r="E6675" t="s">
        <v>1</v>
      </c>
      <c r="F6675" t="s">
        <v>0</v>
      </c>
      <c r="G6675" t="str">
        <f>"2018-10-16 16:36:14"</f>
        <v>2018-10-16 16:36:14</v>
      </c>
    </row>
    <row r="6676" spans="1:7" x14ac:dyDescent="0.2">
      <c r="A6676" t="s">
        <v>7561</v>
      </c>
      <c r="B6676" t="str">
        <f>"18647132954"</f>
        <v>18647132954</v>
      </c>
      <c r="C6676" t="str">
        <f>"642221197605011411"</f>
        <v>642221197605011411</v>
      </c>
      <c r="D6676" t="s">
        <v>1</v>
      </c>
      <c r="E6676" t="s">
        <v>1</v>
      </c>
      <c r="F6676" t="s">
        <v>0</v>
      </c>
      <c r="G6676" t="str">
        <f>"2018-10-28 10:20:57"</f>
        <v>2018-10-28 10:20:57</v>
      </c>
    </row>
    <row r="6677" spans="1:7" x14ac:dyDescent="0.2">
      <c r="A6677" t="s">
        <v>7562</v>
      </c>
      <c r="B6677" t="str">
        <f>"18277498821"</f>
        <v>18277498821</v>
      </c>
      <c r="C6677" t="str">
        <f>"450423200102091019"</f>
        <v>450423200102091019</v>
      </c>
      <c r="D6677" t="s">
        <v>1</v>
      </c>
      <c r="E6677" t="s">
        <v>1</v>
      </c>
      <c r="F6677" t="s">
        <v>0</v>
      </c>
      <c r="G6677" t="str">
        <f>"2018-10-16 21:18:16"</f>
        <v>2018-10-16 21:18:16</v>
      </c>
    </row>
    <row r="6678" spans="1:7" x14ac:dyDescent="0.2">
      <c r="A6678" t="s">
        <v>7563</v>
      </c>
      <c r="B6678" t="str">
        <f>"13367765055"</f>
        <v>13367765055</v>
      </c>
      <c r="C6678" t="str">
        <f>"452626198807150017"</f>
        <v>452626198807150017</v>
      </c>
      <c r="D6678" t="s">
        <v>1</v>
      </c>
      <c r="E6678" t="s">
        <v>1</v>
      </c>
      <c r="F6678" t="s">
        <v>0</v>
      </c>
      <c r="G6678" t="str">
        <f>"2018-10-19 11:26:23"</f>
        <v>2018-10-19 11:26:23</v>
      </c>
    </row>
    <row r="6679" spans="1:7" x14ac:dyDescent="0.2">
      <c r="A6679" t="s">
        <v>7564</v>
      </c>
      <c r="B6679" t="str">
        <f>"13516280865"</f>
        <v>13516280865</v>
      </c>
      <c r="C6679" t="str">
        <f>"120111199502193539"</f>
        <v>120111199502193539</v>
      </c>
      <c r="D6679" t="s">
        <v>1</v>
      </c>
      <c r="E6679" t="s">
        <v>1</v>
      </c>
      <c r="F6679" t="s">
        <v>0</v>
      </c>
      <c r="G6679" t="str">
        <f>"2018-10-16 16:30:02"</f>
        <v>2018-10-16 16:30:02</v>
      </c>
    </row>
    <row r="6680" spans="1:7" x14ac:dyDescent="0.2">
      <c r="A6680" t="s">
        <v>7565</v>
      </c>
      <c r="B6680" t="str">
        <f>"15224351155"</f>
        <v>15224351155</v>
      </c>
      <c r="C6680" t="str">
        <f>"371502199102027542"</f>
        <v>371502199102027542</v>
      </c>
      <c r="D6680" t="s">
        <v>1</v>
      </c>
      <c r="E6680" t="s">
        <v>1</v>
      </c>
      <c r="F6680" t="s">
        <v>0</v>
      </c>
      <c r="G6680" t="str">
        <f>"2018-10-16 16:30:12"</f>
        <v>2018-10-16 16:30:12</v>
      </c>
    </row>
    <row r="6681" spans="1:7" x14ac:dyDescent="0.2">
      <c r="A6681" t="s">
        <v>7566</v>
      </c>
      <c r="B6681" t="str">
        <f>"15774941631"</f>
        <v>15774941631</v>
      </c>
      <c r="C6681" t="str">
        <f>"150404199908303935"</f>
        <v>150404199908303935</v>
      </c>
      <c r="D6681" t="s">
        <v>1</v>
      </c>
      <c r="E6681" t="s">
        <v>1</v>
      </c>
      <c r="F6681" t="s">
        <v>0</v>
      </c>
      <c r="G6681" t="str">
        <f>"2018-10-16 16:29:41"</f>
        <v>2018-10-16 16:29:41</v>
      </c>
    </row>
    <row r="6682" spans="1:7" x14ac:dyDescent="0.2">
      <c r="A6682" t="s">
        <v>7567</v>
      </c>
      <c r="B6682" t="str">
        <f>"13684949725"</f>
        <v>13684949725</v>
      </c>
      <c r="C6682" t="str">
        <f>"430381198110295059"</f>
        <v>430381198110295059</v>
      </c>
      <c r="D6682" t="s">
        <v>1</v>
      </c>
      <c r="E6682" t="s">
        <v>1</v>
      </c>
      <c r="F6682" t="s">
        <v>0</v>
      </c>
      <c r="G6682" t="str">
        <f>"2018-10-16 16:40:52"</f>
        <v>2018-10-16 16:40:52</v>
      </c>
    </row>
    <row r="6683" spans="1:7" x14ac:dyDescent="0.2">
      <c r="A6683" t="s">
        <v>7568</v>
      </c>
      <c r="B6683" t="str">
        <f>"13428469416"</f>
        <v>13428469416</v>
      </c>
      <c r="C6683" t="str">
        <f>"445321199201130617"</f>
        <v>445321199201130617</v>
      </c>
      <c r="D6683" t="s">
        <v>1</v>
      </c>
      <c r="E6683" t="s">
        <v>1</v>
      </c>
      <c r="F6683" t="s">
        <v>0</v>
      </c>
      <c r="G6683" t="str">
        <f>"2018-10-30 10:16:02"</f>
        <v>2018-10-30 10:16:02</v>
      </c>
    </row>
    <row r="6684" spans="1:7" x14ac:dyDescent="0.2">
      <c r="A6684" t="s">
        <v>1589</v>
      </c>
      <c r="B6684" t="str">
        <f>"18723311807"</f>
        <v>18723311807</v>
      </c>
      <c r="C6684" t="str">
        <f>"500224199511184915"</f>
        <v>500224199511184915</v>
      </c>
      <c r="D6684" t="s">
        <v>7569</v>
      </c>
      <c r="E6684" t="s">
        <v>7570</v>
      </c>
      <c r="F6684" t="s">
        <v>0</v>
      </c>
      <c r="G6684" t="str">
        <f>"2018-10-16 16:41:19"</f>
        <v>2018-10-16 16:41:19</v>
      </c>
    </row>
    <row r="6685" spans="1:7" x14ac:dyDescent="0.2">
      <c r="A6685" t="s">
        <v>377</v>
      </c>
      <c r="B6685" t="str">
        <f>"17666086364"</f>
        <v>17666086364</v>
      </c>
      <c r="C6685" t="str">
        <f>"532925199504190534"</f>
        <v>532925199504190534</v>
      </c>
      <c r="D6685" t="s">
        <v>7571</v>
      </c>
      <c r="E6685" t="s">
        <v>7572</v>
      </c>
      <c r="F6685" t="s">
        <v>0</v>
      </c>
      <c r="G6685" t="str">
        <f>"2018-10-16 16:27:14"</f>
        <v>2018-10-16 16:27:14</v>
      </c>
    </row>
    <row r="6686" spans="1:7" x14ac:dyDescent="0.2">
      <c r="A6686" t="s">
        <v>7573</v>
      </c>
      <c r="B6686" t="str">
        <f>"13776016507"</f>
        <v>13776016507</v>
      </c>
      <c r="C6686" t="str">
        <f>"320586198309299417"</f>
        <v>320586198309299417</v>
      </c>
      <c r="D6686" t="s">
        <v>7574</v>
      </c>
      <c r="E6686" t="s">
        <v>7575</v>
      </c>
      <c r="F6686" t="s">
        <v>0</v>
      </c>
      <c r="G6686" t="str">
        <f>"2018-10-17 16:46:30"</f>
        <v>2018-10-17 16:46:30</v>
      </c>
    </row>
    <row r="6687" spans="1:7" x14ac:dyDescent="0.2">
      <c r="A6687" t="s">
        <v>7576</v>
      </c>
      <c r="B6687" t="str">
        <f>"18871909181"</f>
        <v>18871909181</v>
      </c>
      <c r="C6687" t="str">
        <f>"420321198605192811"</f>
        <v>420321198605192811</v>
      </c>
      <c r="D6687" t="s">
        <v>1</v>
      </c>
      <c r="E6687" t="s">
        <v>1</v>
      </c>
      <c r="F6687" t="s">
        <v>0</v>
      </c>
      <c r="G6687" t="str">
        <f>"2018-10-16 16:26:48"</f>
        <v>2018-10-16 16:26:48</v>
      </c>
    </row>
    <row r="6688" spans="1:7" x14ac:dyDescent="0.2">
      <c r="A6688" t="s">
        <v>1</v>
      </c>
      <c r="B6688" t="str">
        <f>"18684689687"</f>
        <v>18684689687</v>
      </c>
      <c r="C6688" t="s">
        <v>1</v>
      </c>
      <c r="D6688" t="s">
        <v>1</v>
      </c>
      <c r="E6688" t="s">
        <v>1</v>
      </c>
      <c r="F6688" t="s">
        <v>0</v>
      </c>
      <c r="G6688" t="str">
        <f>"2018-10-16 16:26:14"</f>
        <v>2018-10-16 16:26:14</v>
      </c>
    </row>
    <row r="6689" spans="1:7" x14ac:dyDescent="0.2">
      <c r="A6689" t="s">
        <v>7577</v>
      </c>
      <c r="B6689" t="str">
        <f>"15735209779"</f>
        <v>15735209779</v>
      </c>
      <c r="C6689" t="str">
        <f>"14020319780428003X"</f>
        <v>14020319780428003X</v>
      </c>
      <c r="D6689" t="s">
        <v>1</v>
      </c>
      <c r="E6689" t="s">
        <v>1</v>
      </c>
      <c r="F6689" t="s">
        <v>0</v>
      </c>
      <c r="G6689" t="str">
        <f>"2018-10-16 19:20:55"</f>
        <v>2018-10-16 19:20:55</v>
      </c>
    </row>
    <row r="6690" spans="1:7" x14ac:dyDescent="0.2">
      <c r="A6690" t="s">
        <v>7578</v>
      </c>
      <c r="B6690" t="str">
        <f>"15224445559"</f>
        <v>15224445559</v>
      </c>
      <c r="C6690" t="str">
        <f>"410928198612153074"</f>
        <v>410928198612153074</v>
      </c>
      <c r="D6690" t="s">
        <v>1</v>
      </c>
      <c r="E6690" t="s">
        <v>1</v>
      </c>
      <c r="F6690" t="s">
        <v>0</v>
      </c>
      <c r="G6690" t="str">
        <f>"2018-10-16 16:26:31"</f>
        <v>2018-10-16 16:26:31</v>
      </c>
    </row>
    <row r="6691" spans="1:7" x14ac:dyDescent="0.2">
      <c r="A6691" t="s">
        <v>7579</v>
      </c>
      <c r="B6691" t="str">
        <f>"13223080991"</f>
        <v>13223080991</v>
      </c>
      <c r="C6691" t="str">
        <f>"411024198801221618"</f>
        <v>411024198801221618</v>
      </c>
      <c r="D6691" t="s">
        <v>1</v>
      </c>
      <c r="E6691" t="s">
        <v>1</v>
      </c>
      <c r="F6691" t="s">
        <v>0</v>
      </c>
      <c r="G6691" t="str">
        <f>"2018-10-16 17:27:44"</f>
        <v>2018-10-16 17:27:44</v>
      </c>
    </row>
    <row r="6692" spans="1:7" x14ac:dyDescent="0.2">
      <c r="A6692" t="s">
        <v>1</v>
      </c>
      <c r="B6692" t="str">
        <f>"15766117264"</f>
        <v>15766117264</v>
      </c>
      <c r="C6692" t="s">
        <v>1</v>
      </c>
      <c r="D6692" t="s">
        <v>1</v>
      </c>
      <c r="E6692" t="s">
        <v>1</v>
      </c>
      <c r="F6692" t="s">
        <v>0</v>
      </c>
      <c r="G6692" t="str">
        <f>"2018-10-16 16:21:03"</f>
        <v>2018-10-16 16:21:03</v>
      </c>
    </row>
    <row r="6693" spans="1:7" x14ac:dyDescent="0.2">
      <c r="A6693" t="s">
        <v>7580</v>
      </c>
      <c r="B6693" t="str">
        <f>"13936760110"</f>
        <v>13936760110</v>
      </c>
      <c r="C6693" t="str">
        <f>"340406198310203853"</f>
        <v>340406198310203853</v>
      </c>
      <c r="D6693" t="s">
        <v>1</v>
      </c>
      <c r="E6693" t="s">
        <v>1</v>
      </c>
      <c r="F6693" t="s">
        <v>0</v>
      </c>
      <c r="G6693" t="str">
        <f>"2018-10-17 10:52:36"</f>
        <v>2018-10-17 10:52:36</v>
      </c>
    </row>
    <row r="6694" spans="1:7" x14ac:dyDescent="0.2">
      <c r="A6694" t="s">
        <v>1</v>
      </c>
      <c r="B6694" t="str">
        <f>"18262765678"</f>
        <v>18262765678</v>
      </c>
      <c r="C6694" t="s">
        <v>1</v>
      </c>
      <c r="D6694" t="s">
        <v>1</v>
      </c>
      <c r="E6694" t="s">
        <v>1</v>
      </c>
      <c r="F6694" t="s">
        <v>0</v>
      </c>
      <c r="G6694" t="str">
        <f>"2018-10-16 16:18:30"</f>
        <v>2018-10-16 16:18:30</v>
      </c>
    </row>
    <row r="6695" spans="1:7" x14ac:dyDescent="0.2">
      <c r="A6695" t="s">
        <v>1</v>
      </c>
      <c r="B6695" t="str">
        <f>"18383834967"</f>
        <v>18383834967</v>
      </c>
      <c r="C6695" t="s">
        <v>1</v>
      </c>
      <c r="D6695" t="s">
        <v>1</v>
      </c>
      <c r="E6695" t="s">
        <v>1</v>
      </c>
      <c r="F6695" t="s">
        <v>0</v>
      </c>
      <c r="G6695" t="str">
        <f>"2018-10-16 16:31:42"</f>
        <v>2018-10-16 16:31:42</v>
      </c>
    </row>
    <row r="6696" spans="1:7" x14ac:dyDescent="0.2">
      <c r="A6696" t="s">
        <v>7581</v>
      </c>
      <c r="B6696" t="str">
        <f>"18551492888"</f>
        <v>18551492888</v>
      </c>
      <c r="C6696" t="str">
        <f>"320682198711148983"</f>
        <v>320682198711148983</v>
      </c>
      <c r="D6696" t="s">
        <v>1</v>
      </c>
      <c r="E6696" t="s">
        <v>1</v>
      </c>
      <c r="F6696" t="s">
        <v>0</v>
      </c>
      <c r="G6696" t="str">
        <f>"2018-10-16 16:19:25"</f>
        <v>2018-10-16 16:19:25</v>
      </c>
    </row>
    <row r="6697" spans="1:7" x14ac:dyDescent="0.2">
      <c r="A6697" t="s">
        <v>7582</v>
      </c>
      <c r="B6697" t="str">
        <f>"15000011909"</f>
        <v>15000011909</v>
      </c>
      <c r="C6697" t="str">
        <f>"310226198301011816"</f>
        <v>310226198301011816</v>
      </c>
      <c r="D6697" t="s">
        <v>1</v>
      </c>
      <c r="E6697" t="s">
        <v>1</v>
      </c>
      <c r="F6697" t="s">
        <v>0</v>
      </c>
      <c r="G6697" t="str">
        <f>"2018-10-16 16:19:17"</f>
        <v>2018-10-16 16:19:17</v>
      </c>
    </row>
    <row r="6698" spans="1:7" x14ac:dyDescent="0.2">
      <c r="A6698" t="s">
        <v>7583</v>
      </c>
      <c r="B6698" t="str">
        <f>"13782755567"</f>
        <v>13782755567</v>
      </c>
      <c r="C6698" t="str">
        <f>"410822197807284519"</f>
        <v>410822197807284519</v>
      </c>
      <c r="D6698" t="s">
        <v>1</v>
      </c>
      <c r="E6698" t="s">
        <v>1</v>
      </c>
      <c r="F6698" t="s">
        <v>0</v>
      </c>
      <c r="G6698" t="str">
        <f>"2018-10-16 16:18:53"</f>
        <v>2018-10-16 16:18:53</v>
      </c>
    </row>
    <row r="6699" spans="1:7" x14ac:dyDescent="0.2">
      <c r="A6699" t="s">
        <v>7584</v>
      </c>
      <c r="B6699" t="str">
        <f>"18314520700"</f>
        <v>18314520700</v>
      </c>
      <c r="C6699" t="str">
        <f>"532627199703103911"</f>
        <v>532627199703103911</v>
      </c>
      <c r="D6699" t="s">
        <v>1</v>
      </c>
      <c r="E6699" t="s">
        <v>1</v>
      </c>
      <c r="F6699" t="s">
        <v>0</v>
      </c>
      <c r="G6699" t="str">
        <f>"2018-10-16 16:24:12"</f>
        <v>2018-10-16 16:24:12</v>
      </c>
    </row>
    <row r="6700" spans="1:7" x14ac:dyDescent="0.2">
      <c r="A6700" t="s">
        <v>7585</v>
      </c>
      <c r="B6700" t="str">
        <f>"15025704448"</f>
        <v>15025704448</v>
      </c>
      <c r="C6700" t="str">
        <f>"500241199009124331"</f>
        <v>500241199009124331</v>
      </c>
      <c r="D6700" t="s">
        <v>1</v>
      </c>
      <c r="E6700" t="s">
        <v>1</v>
      </c>
      <c r="F6700" t="s">
        <v>0</v>
      </c>
      <c r="G6700" t="str">
        <f>"2018-10-18 16:22:40"</f>
        <v>2018-10-18 16:22:40</v>
      </c>
    </row>
    <row r="6701" spans="1:7" x14ac:dyDescent="0.2">
      <c r="A6701" t="s">
        <v>7586</v>
      </c>
      <c r="B6701" t="str">
        <f>"18201973150"</f>
        <v>18201973150</v>
      </c>
      <c r="C6701" t="str">
        <f>"350624199002140571"</f>
        <v>350624199002140571</v>
      </c>
      <c r="D6701" t="s">
        <v>7587</v>
      </c>
      <c r="E6701" t="s">
        <v>7588</v>
      </c>
      <c r="F6701" t="s">
        <v>0</v>
      </c>
      <c r="G6701" t="str">
        <f>"2018-10-16 16:17:59"</f>
        <v>2018-10-16 16:17:59</v>
      </c>
    </row>
    <row r="6702" spans="1:7" x14ac:dyDescent="0.2">
      <c r="A6702" t="s">
        <v>1</v>
      </c>
      <c r="B6702" t="str">
        <f>"13657235091"</f>
        <v>13657235091</v>
      </c>
      <c r="C6702" t="s">
        <v>1</v>
      </c>
      <c r="D6702" t="s">
        <v>1</v>
      </c>
      <c r="E6702" t="s">
        <v>1</v>
      </c>
      <c r="F6702" t="s">
        <v>0</v>
      </c>
      <c r="G6702" t="str">
        <f>"2018-10-16 16:17:04"</f>
        <v>2018-10-16 16:17:04</v>
      </c>
    </row>
    <row r="6703" spans="1:7" x14ac:dyDescent="0.2">
      <c r="A6703" t="s">
        <v>7589</v>
      </c>
      <c r="B6703" t="str">
        <f>"13055597729"</f>
        <v>13055597729</v>
      </c>
      <c r="C6703" t="str">
        <f>"352203199410282534"</f>
        <v>352203199410282534</v>
      </c>
      <c r="D6703" t="s">
        <v>1</v>
      </c>
      <c r="E6703" t="s">
        <v>1</v>
      </c>
      <c r="F6703" t="s">
        <v>0</v>
      </c>
      <c r="G6703" t="str">
        <f>"2018-10-16 17:03:36"</f>
        <v>2018-10-16 17:03:36</v>
      </c>
    </row>
    <row r="6704" spans="1:7" x14ac:dyDescent="0.2">
      <c r="A6704" t="s">
        <v>7590</v>
      </c>
      <c r="B6704" t="str">
        <f>"17785569525"</f>
        <v>17785569525</v>
      </c>
      <c r="C6704" t="str">
        <f>"522634199306061115"</f>
        <v>522634199306061115</v>
      </c>
      <c r="D6704" t="s">
        <v>1</v>
      </c>
      <c r="E6704" t="s">
        <v>1</v>
      </c>
      <c r="F6704" t="s">
        <v>0</v>
      </c>
      <c r="G6704" t="str">
        <f>"2018-10-16 17:32:33"</f>
        <v>2018-10-16 17:32:33</v>
      </c>
    </row>
    <row r="6705" spans="1:7" x14ac:dyDescent="0.2">
      <c r="A6705" t="s">
        <v>7591</v>
      </c>
      <c r="B6705" t="str">
        <f>"13372077888"</f>
        <v>13372077888</v>
      </c>
      <c r="C6705" t="str">
        <f>"320682199208118458"</f>
        <v>320682199208118458</v>
      </c>
      <c r="D6705" t="s">
        <v>1</v>
      </c>
      <c r="E6705" t="s">
        <v>1</v>
      </c>
      <c r="F6705" t="s">
        <v>0</v>
      </c>
      <c r="G6705" t="str">
        <f>"2018-10-20 17:11:41"</f>
        <v>2018-10-20 17:11:41</v>
      </c>
    </row>
    <row r="6706" spans="1:7" x14ac:dyDescent="0.2">
      <c r="A6706" t="s">
        <v>1</v>
      </c>
      <c r="B6706" t="str">
        <f>"15609994655"</f>
        <v>15609994655</v>
      </c>
      <c r="C6706" t="s">
        <v>1</v>
      </c>
      <c r="D6706" t="s">
        <v>1</v>
      </c>
      <c r="E6706" t="s">
        <v>1</v>
      </c>
      <c r="F6706" t="s">
        <v>0</v>
      </c>
      <c r="G6706" t="str">
        <f>"2018-10-16 16:15:00"</f>
        <v>2018-10-16 16:15:00</v>
      </c>
    </row>
    <row r="6707" spans="1:7" x14ac:dyDescent="0.2">
      <c r="A6707" t="s">
        <v>7592</v>
      </c>
      <c r="B6707" t="str">
        <f>"18704320466"</f>
        <v>18704320466</v>
      </c>
      <c r="C6707" t="str">
        <f>"220282198309150529"</f>
        <v>220282198309150529</v>
      </c>
      <c r="D6707" t="s">
        <v>1</v>
      </c>
      <c r="E6707" t="s">
        <v>1</v>
      </c>
      <c r="F6707" t="s">
        <v>0</v>
      </c>
      <c r="G6707" t="str">
        <f>"2018-10-16 16:14:37"</f>
        <v>2018-10-16 16:14:37</v>
      </c>
    </row>
    <row r="6708" spans="1:7" x14ac:dyDescent="0.2">
      <c r="A6708" t="s">
        <v>7593</v>
      </c>
      <c r="B6708" t="str">
        <f>"13518119244"</f>
        <v>13518119244</v>
      </c>
      <c r="C6708" t="str">
        <f>"510902198910224002"</f>
        <v>510902198910224002</v>
      </c>
      <c r="D6708" t="s">
        <v>1</v>
      </c>
      <c r="E6708" t="s">
        <v>1</v>
      </c>
      <c r="F6708" t="s">
        <v>0</v>
      </c>
      <c r="G6708" t="str">
        <f>"2018-10-16 16:21:35"</f>
        <v>2018-10-16 16:21:35</v>
      </c>
    </row>
    <row r="6709" spans="1:7" x14ac:dyDescent="0.2">
      <c r="A6709" t="s">
        <v>7594</v>
      </c>
      <c r="B6709" t="str">
        <f>"13782807602"</f>
        <v>13782807602</v>
      </c>
      <c r="C6709" t="str">
        <f>"410822199205131047"</f>
        <v>410822199205131047</v>
      </c>
      <c r="D6709" t="s">
        <v>1</v>
      </c>
      <c r="E6709" t="s">
        <v>1</v>
      </c>
      <c r="F6709" t="s">
        <v>0</v>
      </c>
      <c r="G6709" t="str">
        <f>"2018-10-16 16:15:16"</f>
        <v>2018-10-16 16:15:16</v>
      </c>
    </row>
    <row r="6710" spans="1:7" x14ac:dyDescent="0.2">
      <c r="A6710" t="s">
        <v>7595</v>
      </c>
      <c r="B6710" t="str">
        <f>"18062119886"</f>
        <v>18062119886</v>
      </c>
      <c r="C6710" t="str">
        <f>"420116199403126210"</f>
        <v>420116199403126210</v>
      </c>
      <c r="D6710" t="s">
        <v>1</v>
      </c>
      <c r="E6710" t="s">
        <v>1</v>
      </c>
      <c r="F6710" t="s">
        <v>0</v>
      </c>
      <c r="G6710" t="str">
        <f>"2018-10-16 16:15:10"</f>
        <v>2018-10-16 16:15:10</v>
      </c>
    </row>
    <row r="6711" spans="1:7" x14ac:dyDescent="0.2">
      <c r="A6711" t="s">
        <v>1699</v>
      </c>
      <c r="B6711" t="str">
        <f>"15245136041"</f>
        <v>15245136041</v>
      </c>
      <c r="C6711" t="str">
        <f>"231223199810010025"</f>
        <v>231223199810010025</v>
      </c>
      <c r="D6711" t="s">
        <v>1</v>
      </c>
      <c r="E6711" t="s">
        <v>1</v>
      </c>
      <c r="F6711" t="s">
        <v>0</v>
      </c>
      <c r="G6711" t="str">
        <f>"2018-10-16 16:26:24"</f>
        <v>2018-10-16 16:26:24</v>
      </c>
    </row>
    <row r="6712" spans="1:7" x14ac:dyDescent="0.2">
      <c r="A6712" t="s">
        <v>1</v>
      </c>
      <c r="B6712" t="str">
        <f>"13557054741"</f>
        <v>13557054741</v>
      </c>
      <c r="C6712" t="s">
        <v>1</v>
      </c>
      <c r="D6712" t="s">
        <v>1</v>
      </c>
      <c r="E6712" t="s">
        <v>1</v>
      </c>
      <c r="F6712" t="s">
        <v>0</v>
      </c>
      <c r="G6712" t="str">
        <f>"2018-10-16 16:15:44"</f>
        <v>2018-10-16 16:15:44</v>
      </c>
    </row>
    <row r="6713" spans="1:7" x14ac:dyDescent="0.2">
      <c r="A6713" t="s">
        <v>7596</v>
      </c>
      <c r="B6713" t="str">
        <f>"15260637209"</f>
        <v>15260637209</v>
      </c>
      <c r="C6713" t="str">
        <f>"35068119920912471X"</f>
        <v>35068119920912471X</v>
      </c>
      <c r="D6713" t="s">
        <v>1</v>
      </c>
      <c r="E6713" t="s">
        <v>1</v>
      </c>
      <c r="F6713" t="s">
        <v>0</v>
      </c>
      <c r="G6713" t="str">
        <f>"2018-10-16 16:15:02"</f>
        <v>2018-10-16 16:15:02</v>
      </c>
    </row>
    <row r="6714" spans="1:7" x14ac:dyDescent="0.2">
      <c r="A6714" t="s">
        <v>134</v>
      </c>
      <c r="B6714" t="str">
        <f>"15378118978"</f>
        <v>15378118978</v>
      </c>
      <c r="C6714" t="str">
        <f>"510626199211294772"</f>
        <v>510626199211294772</v>
      </c>
      <c r="D6714" t="s">
        <v>1</v>
      </c>
      <c r="E6714" t="s">
        <v>1</v>
      </c>
      <c r="F6714" t="s">
        <v>0</v>
      </c>
      <c r="G6714" t="str">
        <f>"2018-10-17 13:18:13"</f>
        <v>2018-10-17 13:18:13</v>
      </c>
    </row>
    <row r="6715" spans="1:7" x14ac:dyDescent="0.2">
      <c r="A6715" t="s">
        <v>1</v>
      </c>
      <c r="B6715" t="str">
        <f>"18283311857"</f>
        <v>18283311857</v>
      </c>
      <c r="C6715" t="s">
        <v>1</v>
      </c>
      <c r="D6715" t="s">
        <v>1</v>
      </c>
      <c r="E6715" t="s">
        <v>1</v>
      </c>
      <c r="F6715" t="s">
        <v>0</v>
      </c>
      <c r="G6715" t="str">
        <f>"2018-10-16 16:39:23"</f>
        <v>2018-10-16 16:39:23</v>
      </c>
    </row>
    <row r="6716" spans="1:7" x14ac:dyDescent="0.2">
      <c r="A6716" t="s">
        <v>1</v>
      </c>
      <c r="B6716" t="str">
        <f>"13510800463"</f>
        <v>13510800463</v>
      </c>
      <c r="C6716" t="s">
        <v>1</v>
      </c>
      <c r="D6716" t="s">
        <v>1</v>
      </c>
      <c r="E6716" t="s">
        <v>1</v>
      </c>
      <c r="F6716" t="s">
        <v>0</v>
      </c>
      <c r="G6716" t="str">
        <f>"2018-10-16 16:14:07"</f>
        <v>2018-10-16 16:14:07</v>
      </c>
    </row>
    <row r="6717" spans="1:7" x14ac:dyDescent="0.2">
      <c r="A6717" t="s">
        <v>7597</v>
      </c>
      <c r="B6717" t="str">
        <f>"15810700157"</f>
        <v>15810700157</v>
      </c>
      <c r="C6717" t="str">
        <f>"110106198212271511"</f>
        <v>110106198212271511</v>
      </c>
      <c r="D6717" t="s">
        <v>1</v>
      </c>
      <c r="E6717" t="s">
        <v>1</v>
      </c>
      <c r="F6717" t="s">
        <v>0</v>
      </c>
      <c r="G6717" t="str">
        <f>"2018-10-16 16:12:25"</f>
        <v>2018-10-16 16:12:25</v>
      </c>
    </row>
    <row r="6718" spans="1:7" x14ac:dyDescent="0.2">
      <c r="A6718" t="s">
        <v>109</v>
      </c>
      <c r="B6718" t="str">
        <f>"18827556816"</f>
        <v>18827556816</v>
      </c>
      <c r="C6718" t="str">
        <f>"420682199710044013"</f>
        <v>420682199710044013</v>
      </c>
      <c r="D6718" t="s">
        <v>1</v>
      </c>
      <c r="E6718" t="s">
        <v>1</v>
      </c>
      <c r="F6718" t="s">
        <v>0</v>
      </c>
      <c r="G6718" t="str">
        <f>"2018-10-16 18:27:05"</f>
        <v>2018-10-16 18:27:05</v>
      </c>
    </row>
    <row r="6719" spans="1:7" x14ac:dyDescent="0.2">
      <c r="A6719" t="s">
        <v>343</v>
      </c>
      <c r="B6719" t="str">
        <f>"13558277351"</f>
        <v>13558277351</v>
      </c>
      <c r="C6719" t="str">
        <f>"450721199407250461"</f>
        <v>450721199407250461</v>
      </c>
      <c r="D6719" t="s">
        <v>7598</v>
      </c>
      <c r="E6719" t="s">
        <v>7599</v>
      </c>
      <c r="F6719" t="s">
        <v>0</v>
      </c>
      <c r="G6719" t="str">
        <f>"2018-10-16 16:26:32"</f>
        <v>2018-10-16 16:26:32</v>
      </c>
    </row>
    <row r="6720" spans="1:7" x14ac:dyDescent="0.2">
      <c r="A6720" t="s">
        <v>7600</v>
      </c>
      <c r="B6720" t="str">
        <f>"18709855583"</f>
        <v>18709855583</v>
      </c>
      <c r="C6720" t="str">
        <f>"340122198809287690"</f>
        <v>340122198809287690</v>
      </c>
      <c r="D6720" t="s">
        <v>7601</v>
      </c>
      <c r="E6720" t="s">
        <v>7602</v>
      </c>
      <c r="F6720" t="s">
        <v>0</v>
      </c>
      <c r="G6720" t="str">
        <f>"2018-10-16 16:15:13"</f>
        <v>2018-10-16 16:15:13</v>
      </c>
    </row>
    <row r="6721" spans="1:7" x14ac:dyDescent="0.2">
      <c r="A6721" t="s">
        <v>1</v>
      </c>
      <c r="B6721" t="str">
        <f>"15521111868"</f>
        <v>15521111868</v>
      </c>
      <c r="C6721" t="s">
        <v>1</v>
      </c>
      <c r="D6721" t="s">
        <v>1</v>
      </c>
      <c r="E6721" t="s">
        <v>1</v>
      </c>
      <c r="F6721" t="s">
        <v>0</v>
      </c>
      <c r="G6721" t="str">
        <f>"2018-10-16 16:11:18"</f>
        <v>2018-10-16 16:11:18</v>
      </c>
    </row>
    <row r="6722" spans="1:7" x14ac:dyDescent="0.2">
      <c r="A6722" t="s">
        <v>7603</v>
      </c>
      <c r="B6722" t="str">
        <f>"17560662497"</f>
        <v>17560662497</v>
      </c>
      <c r="C6722" t="str">
        <f>"370724199911095180"</f>
        <v>370724199911095180</v>
      </c>
      <c r="D6722" t="s">
        <v>1</v>
      </c>
      <c r="E6722" t="s">
        <v>1</v>
      </c>
      <c r="F6722" t="s">
        <v>0</v>
      </c>
      <c r="G6722" t="str">
        <f>"2018-10-16 16:12:52"</f>
        <v>2018-10-16 16:12:52</v>
      </c>
    </row>
    <row r="6723" spans="1:7" x14ac:dyDescent="0.2">
      <c r="A6723" t="s">
        <v>7604</v>
      </c>
      <c r="B6723" t="str">
        <f>"15809060193"</f>
        <v>15809060193</v>
      </c>
      <c r="C6723" t="str">
        <f>"654322199312251221"</f>
        <v>654322199312251221</v>
      </c>
      <c r="D6723" t="s">
        <v>1</v>
      </c>
      <c r="E6723" t="s">
        <v>1</v>
      </c>
      <c r="F6723" t="s">
        <v>0</v>
      </c>
      <c r="G6723" t="str">
        <f>"2018-10-16 16:11:30"</f>
        <v>2018-10-16 16:11:30</v>
      </c>
    </row>
    <row r="6724" spans="1:7" x14ac:dyDescent="0.2">
      <c r="A6724" t="s">
        <v>7605</v>
      </c>
      <c r="B6724" t="str">
        <f>"13727560626"</f>
        <v>13727560626</v>
      </c>
      <c r="C6724" t="str">
        <f>"440232198904163321"</f>
        <v>440232198904163321</v>
      </c>
      <c r="D6724" t="s">
        <v>1</v>
      </c>
      <c r="E6724" t="s">
        <v>1</v>
      </c>
      <c r="F6724" t="s">
        <v>0</v>
      </c>
      <c r="G6724" t="str">
        <f>"2018-10-16 16:18:01"</f>
        <v>2018-10-16 16:18:01</v>
      </c>
    </row>
    <row r="6725" spans="1:7" x14ac:dyDescent="0.2">
      <c r="A6725" t="s">
        <v>7606</v>
      </c>
      <c r="B6725" t="str">
        <f>"17636530015"</f>
        <v>17636530015</v>
      </c>
      <c r="C6725" t="str">
        <f>"142202199504180955"</f>
        <v>142202199504180955</v>
      </c>
      <c r="D6725" t="s">
        <v>1</v>
      </c>
      <c r="E6725" t="s">
        <v>1</v>
      </c>
      <c r="F6725" t="s">
        <v>0</v>
      </c>
      <c r="G6725" t="str">
        <f>"2018-10-16 16:19:37"</f>
        <v>2018-10-16 16:19:37</v>
      </c>
    </row>
    <row r="6726" spans="1:7" x14ac:dyDescent="0.2">
      <c r="A6726" t="s">
        <v>7607</v>
      </c>
      <c r="B6726" t="str">
        <f>"18130298955"</f>
        <v>18130298955</v>
      </c>
      <c r="C6726" t="str">
        <f>"342502199402151313"</f>
        <v>342502199402151313</v>
      </c>
      <c r="D6726" t="s">
        <v>1</v>
      </c>
      <c r="E6726" t="s">
        <v>1</v>
      </c>
      <c r="F6726" t="s">
        <v>0</v>
      </c>
      <c r="G6726" t="str">
        <f>"2018-10-16 16:31:15"</f>
        <v>2018-10-16 16:31:15</v>
      </c>
    </row>
    <row r="6727" spans="1:7" x14ac:dyDescent="0.2">
      <c r="A6727" t="s">
        <v>1125</v>
      </c>
      <c r="B6727" t="str">
        <f>"18686182720"</f>
        <v>18686182720</v>
      </c>
      <c r="C6727" t="str">
        <f>"150204199606270014"</f>
        <v>150204199606270014</v>
      </c>
      <c r="D6727" t="s">
        <v>1</v>
      </c>
      <c r="E6727" t="s">
        <v>1</v>
      </c>
      <c r="F6727" t="s">
        <v>0</v>
      </c>
      <c r="G6727" t="str">
        <f>"2018-11-01 15:22:40"</f>
        <v>2018-11-01 15:22:40</v>
      </c>
    </row>
    <row r="6728" spans="1:7" x14ac:dyDescent="0.2">
      <c r="A6728" t="s">
        <v>7608</v>
      </c>
      <c r="B6728" t="str">
        <f>"15982335119"</f>
        <v>15982335119</v>
      </c>
      <c r="C6728" t="str">
        <f>"510112199112200931"</f>
        <v>510112199112200931</v>
      </c>
      <c r="D6728" t="s">
        <v>7609</v>
      </c>
      <c r="E6728" t="s">
        <v>7610</v>
      </c>
      <c r="F6728" t="s">
        <v>0</v>
      </c>
      <c r="G6728" t="str">
        <f>"2018-10-16 16:08:34"</f>
        <v>2018-10-16 16:08:34</v>
      </c>
    </row>
    <row r="6729" spans="1:7" x14ac:dyDescent="0.2">
      <c r="A6729" t="s">
        <v>7611</v>
      </c>
      <c r="B6729" t="str">
        <f>"15862158883"</f>
        <v>15862158883</v>
      </c>
      <c r="C6729" t="str">
        <f>"320323198804141813"</f>
        <v>320323198804141813</v>
      </c>
      <c r="D6729" t="s">
        <v>1</v>
      </c>
      <c r="E6729" t="s">
        <v>1</v>
      </c>
      <c r="F6729" t="s">
        <v>0</v>
      </c>
      <c r="G6729" t="str">
        <f>"2018-10-16 16:10:19"</f>
        <v>2018-10-16 16:10:19</v>
      </c>
    </row>
    <row r="6730" spans="1:7" x14ac:dyDescent="0.2">
      <c r="A6730" t="s">
        <v>7612</v>
      </c>
      <c r="B6730" t="str">
        <f>"13554508841"</f>
        <v>13554508841</v>
      </c>
      <c r="C6730" t="str">
        <f>"420107198712163719"</f>
        <v>420107198712163719</v>
      </c>
      <c r="D6730" t="s">
        <v>1</v>
      </c>
      <c r="E6730" t="s">
        <v>1</v>
      </c>
      <c r="F6730" t="s">
        <v>0</v>
      </c>
      <c r="G6730" t="str">
        <f>"2018-10-16 16:08:34"</f>
        <v>2018-10-16 16:08:34</v>
      </c>
    </row>
    <row r="6731" spans="1:7" x14ac:dyDescent="0.2">
      <c r="A6731" t="s">
        <v>7613</v>
      </c>
      <c r="B6731" t="str">
        <f>"13471777431"</f>
        <v>13471777431</v>
      </c>
      <c r="C6731" t="str">
        <f>"450721199602173932"</f>
        <v>450721199602173932</v>
      </c>
      <c r="D6731" t="s">
        <v>1</v>
      </c>
      <c r="E6731" t="s">
        <v>1</v>
      </c>
      <c r="F6731" t="s">
        <v>0</v>
      </c>
      <c r="G6731" t="str">
        <f>"2018-10-16 16:10:47"</f>
        <v>2018-10-16 16:10:47</v>
      </c>
    </row>
    <row r="6732" spans="1:7" x14ac:dyDescent="0.2">
      <c r="A6732" t="s">
        <v>7614</v>
      </c>
      <c r="B6732" t="str">
        <f>"15884464636"</f>
        <v>15884464636</v>
      </c>
      <c r="C6732" t="str">
        <f>"510121199606092121"</f>
        <v>510121199606092121</v>
      </c>
      <c r="D6732" t="s">
        <v>1</v>
      </c>
      <c r="E6732" t="s">
        <v>1</v>
      </c>
      <c r="F6732" t="s">
        <v>0</v>
      </c>
      <c r="G6732" t="str">
        <f>"2018-10-16 16:22:33"</f>
        <v>2018-10-16 16:22:33</v>
      </c>
    </row>
    <row r="6733" spans="1:7" x14ac:dyDescent="0.2">
      <c r="A6733" t="s">
        <v>7615</v>
      </c>
      <c r="B6733" t="str">
        <f>"15939858129"</f>
        <v>15939858129</v>
      </c>
      <c r="C6733" t="str">
        <f>"411282200005217049"</f>
        <v>411282200005217049</v>
      </c>
      <c r="D6733" t="s">
        <v>7616</v>
      </c>
      <c r="E6733" t="s">
        <v>7617</v>
      </c>
      <c r="F6733" t="s">
        <v>0</v>
      </c>
      <c r="G6733" t="str">
        <f>"2018-10-16 16:08:53"</f>
        <v>2018-10-16 16:08:53</v>
      </c>
    </row>
    <row r="6734" spans="1:7" x14ac:dyDescent="0.2">
      <c r="A6734" t="s">
        <v>7618</v>
      </c>
      <c r="B6734" t="str">
        <f>"13038079416"</f>
        <v>13038079416</v>
      </c>
      <c r="C6734" t="str">
        <f>"140302199302282818"</f>
        <v>140302199302282818</v>
      </c>
      <c r="D6734" t="s">
        <v>7619</v>
      </c>
      <c r="E6734" t="s">
        <v>7620</v>
      </c>
      <c r="F6734" t="s">
        <v>0</v>
      </c>
      <c r="G6734" t="str">
        <f>"2018-10-24 19:28:14"</f>
        <v>2018-10-24 19:28:14</v>
      </c>
    </row>
    <row r="6735" spans="1:7" x14ac:dyDescent="0.2">
      <c r="A6735" t="s">
        <v>209</v>
      </c>
      <c r="B6735" t="str">
        <f>"18352557992"</f>
        <v>18352557992</v>
      </c>
      <c r="C6735" t="str">
        <f>"610521198707032970"</f>
        <v>610521198707032970</v>
      </c>
      <c r="D6735" t="s">
        <v>1</v>
      </c>
      <c r="E6735" t="s">
        <v>1</v>
      </c>
      <c r="F6735" t="s">
        <v>0</v>
      </c>
      <c r="G6735" t="str">
        <f>"2018-10-16 16:46:35"</f>
        <v>2018-10-16 16:46:35</v>
      </c>
    </row>
    <row r="6736" spans="1:7" x14ac:dyDescent="0.2">
      <c r="A6736" t="s">
        <v>7621</v>
      </c>
      <c r="B6736" t="str">
        <f>"13318355303"</f>
        <v>13318355303</v>
      </c>
      <c r="C6736" t="str">
        <f>"440681199708176006"</f>
        <v>440681199708176006</v>
      </c>
      <c r="D6736" t="s">
        <v>1</v>
      </c>
      <c r="E6736" t="s">
        <v>1</v>
      </c>
      <c r="F6736" t="s">
        <v>0</v>
      </c>
      <c r="G6736" t="str">
        <f>"2018-10-16 16:09:31"</f>
        <v>2018-10-16 16:09:31</v>
      </c>
    </row>
    <row r="6737" spans="1:7" x14ac:dyDescent="0.2">
      <c r="A6737" t="s">
        <v>7622</v>
      </c>
      <c r="B6737" t="str">
        <f>"15088917919"</f>
        <v>15088917919</v>
      </c>
      <c r="C6737" t="str">
        <f>"330329199506146258"</f>
        <v>330329199506146258</v>
      </c>
      <c r="D6737" t="s">
        <v>1</v>
      </c>
      <c r="E6737" t="s">
        <v>1</v>
      </c>
      <c r="F6737" t="s">
        <v>0</v>
      </c>
      <c r="G6737" t="str">
        <f>"2018-10-16 16:05:29"</f>
        <v>2018-10-16 16:05:29</v>
      </c>
    </row>
    <row r="6738" spans="1:7" x14ac:dyDescent="0.2">
      <c r="A6738" t="s">
        <v>7623</v>
      </c>
      <c r="B6738" t="str">
        <f>"15148006674"</f>
        <v>15148006674</v>
      </c>
      <c r="C6738" t="str">
        <f>"152627198409114622"</f>
        <v>152627198409114622</v>
      </c>
      <c r="D6738" t="s">
        <v>1</v>
      </c>
      <c r="E6738" t="s">
        <v>1</v>
      </c>
      <c r="F6738" t="s">
        <v>0</v>
      </c>
      <c r="G6738" t="str">
        <f>"2018-10-16 16:50:11"</f>
        <v>2018-10-16 16:50:11</v>
      </c>
    </row>
    <row r="6739" spans="1:7" x14ac:dyDescent="0.2">
      <c r="A6739" t="s">
        <v>1</v>
      </c>
      <c r="B6739" t="str">
        <f>"13106155960"</f>
        <v>13106155960</v>
      </c>
      <c r="C6739" t="s">
        <v>1</v>
      </c>
      <c r="D6739" t="s">
        <v>1</v>
      </c>
      <c r="E6739" t="s">
        <v>1</v>
      </c>
      <c r="F6739" t="s">
        <v>0</v>
      </c>
      <c r="G6739" t="str">
        <f>"2018-10-16 16:04:24"</f>
        <v>2018-10-16 16:04:24</v>
      </c>
    </row>
    <row r="6740" spans="1:7" x14ac:dyDescent="0.2">
      <c r="A6740" t="s">
        <v>7624</v>
      </c>
      <c r="B6740" t="str">
        <f>"15020487769"</f>
        <v>15020487769</v>
      </c>
      <c r="C6740" t="str">
        <f>"372901199711025020"</f>
        <v>372901199711025020</v>
      </c>
      <c r="D6740" t="s">
        <v>1</v>
      </c>
      <c r="E6740" t="s">
        <v>1</v>
      </c>
      <c r="F6740" t="s">
        <v>0</v>
      </c>
      <c r="G6740" t="str">
        <f>"2018-10-16 16:21:53"</f>
        <v>2018-10-16 16:21:53</v>
      </c>
    </row>
    <row r="6741" spans="1:7" x14ac:dyDescent="0.2">
      <c r="A6741" t="s">
        <v>7625</v>
      </c>
      <c r="B6741" t="str">
        <f>"18212166994"</f>
        <v>18212166994</v>
      </c>
      <c r="C6741" t="str">
        <f>"522101198508184819"</f>
        <v>522101198508184819</v>
      </c>
      <c r="D6741" t="s">
        <v>7626</v>
      </c>
      <c r="E6741" t="s">
        <v>7627</v>
      </c>
      <c r="F6741" t="s">
        <v>0</v>
      </c>
      <c r="G6741" t="str">
        <f>"2018-10-16 16:08:50"</f>
        <v>2018-10-16 16:08:50</v>
      </c>
    </row>
    <row r="6742" spans="1:7" x14ac:dyDescent="0.2">
      <c r="A6742" t="s">
        <v>7628</v>
      </c>
      <c r="B6742" t="str">
        <f>"18760000677"</f>
        <v>18760000677</v>
      </c>
      <c r="C6742" t="str">
        <f>"350823198710183716"</f>
        <v>350823198710183716</v>
      </c>
      <c r="D6742" t="s">
        <v>1</v>
      </c>
      <c r="E6742" t="s">
        <v>1</v>
      </c>
      <c r="F6742" t="s">
        <v>0</v>
      </c>
      <c r="G6742" t="str">
        <f>"2018-10-16 16:05:24"</f>
        <v>2018-10-16 16:05:24</v>
      </c>
    </row>
    <row r="6743" spans="1:7" x14ac:dyDescent="0.2">
      <c r="A6743" t="s">
        <v>1</v>
      </c>
      <c r="B6743" t="str">
        <f>"15135024719"</f>
        <v>15135024719</v>
      </c>
      <c r="C6743" t="s">
        <v>1</v>
      </c>
      <c r="D6743" t="s">
        <v>1</v>
      </c>
      <c r="E6743" t="s">
        <v>1</v>
      </c>
      <c r="F6743" t="s">
        <v>0</v>
      </c>
      <c r="G6743" t="str">
        <f>"2018-10-16 16:03:06"</f>
        <v>2018-10-16 16:03:06</v>
      </c>
    </row>
    <row r="6744" spans="1:7" x14ac:dyDescent="0.2">
      <c r="A6744" t="s">
        <v>1</v>
      </c>
      <c r="B6744" t="str">
        <f>"13459917371"</f>
        <v>13459917371</v>
      </c>
      <c r="C6744" t="s">
        <v>1</v>
      </c>
      <c r="D6744" t="s">
        <v>1</v>
      </c>
      <c r="E6744" t="s">
        <v>1</v>
      </c>
      <c r="F6744" t="s">
        <v>0</v>
      </c>
      <c r="G6744" t="str">
        <f>"2018-10-16 16:03:01"</f>
        <v>2018-10-16 16:03:01</v>
      </c>
    </row>
    <row r="6745" spans="1:7" x14ac:dyDescent="0.2">
      <c r="A6745" t="s">
        <v>7629</v>
      </c>
      <c r="B6745" t="str">
        <f>"17606046767"</f>
        <v>17606046767</v>
      </c>
      <c r="C6745" t="str">
        <f>"352202199109025778"</f>
        <v>352202199109025778</v>
      </c>
      <c r="D6745" t="s">
        <v>1</v>
      </c>
      <c r="E6745" t="s">
        <v>1</v>
      </c>
      <c r="F6745" t="s">
        <v>0</v>
      </c>
      <c r="G6745" t="str">
        <f>"2018-10-18 10:19:59"</f>
        <v>2018-10-18 10:19:59</v>
      </c>
    </row>
    <row r="6746" spans="1:7" x14ac:dyDescent="0.2">
      <c r="A6746" t="s">
        <v>1</v>
      </c>
      <c r="B6746" t="str">
        <f>"15868778788"</f>
        <v>15868778788</v>
      </c>
      <c r="C6746" t="s">
        <v>1</v>
      </c>
      <c r="D6746" t="s">
        <v>1</v>
      </c>
      <c r="E6746" t="s">
        <v>1</v>
      </c>
      <c r="F6746" t="s">
        <v>0</v>
      </c>
      <c r="G6746" t="str">
        <f>"2018-10-16 16:02:33"</f>
        <v>2018-10-16 16:02:33</v>
      </c>
    </row>
    <row r="6747" spans="1:7" x14ac:dyDescent="0.2">
      <c r="A6747" t="s">
        <v>7630</v>
      </c>
      <c r="B6747" t="str">
        <f>"18903963388"</f>
        <v>18903963388</v>
      </c>
      <c r="C6747" t="str">
        <f>"412825199103138273"</f>
        <v>412825199103138273</v>
      </c>
      <c r="D6747" t="s">
        <v>1</v>
      </c>
      <c r="E6747" t="s">
        <v>1</v>
      </c>
      <c r="F6747" t="s">
        <v>0</v>
      </c>
      <c r="G6747" t="str">
        <f>"2018-10-18 16:06:36"</f>
        <v>2018-10-18 16:06:36</v>
      </c>
    </row>
    <row r="6748" spans="1:7" x14ac:dyDescent="0.2">
      <c r="A6748" t="s">
        <v>1</v>
      </c>
      <c r="B6748" t="str">
        <f>"13927343497"</f>
        <v>13927343497</v>
      </c>
      <c r="C6748" t="s">
        <v>1</v>
      </c>
      <c r="D6748" t="s">
        <v>1</v>
      </c>
      <c r="E6748" t="s">
        <v>1</v>
      </c>
      <c r="F6748" t="s">
        <v>0</v>
      </c>
      <c r="G6748" t="str">
        <f>"2018-10-16 16:02:10"</f>
        <v>2018-10-16 16:02:10</v>
      </c>
    </row>
    <row r="6749" spans="1:7" x14ac:dyDescent="0.2">
      <c r="A6749" t="s">
        <v>1</v>
      </c>
      <c r="B6749" t="str">
        <f>"15107980628"</f>
        <v>15107980628</v>
      </c>
      <c r="C6749" t="s">
        <v>1</v>
      </c>
      <c r="D6749" t="s">
        <v>1</v>
      </c>
      <c r="E6749" t="s">
        <v>1</v>
      </c>
      <c r="F6749" t="s">
        <v>0</v>
      </c>
      <c r="G6749" t="str">
        <f>"2018-10-16 16:01:55"</f>
        <v>2018-10-16 16:01:55</v>
      </c>
    </row>
    <row r="6750" spans="1:7" x14ac:dyDescent="0.2">
      <c r="A6750" t="s">
        <v>7631</v>
      </c>
      <c r="B6750" t="str">
        <f>"18551356106"</f>
        <v>18551356106</v>
      </c>
      <c r="C6750" t="str">
        <f>"320482199301196214"</f>
        <v>320482199301196214</v>
      </c>
      <c r="D6750" t="s">
        <v>7632</v>
      </c>
      <c r="E6750" t="s">
        <v>7633</v>
      </c>
      <c r="F6750" t="s">
        <v>0</v>
      </c>
      <c r="G6750" t="str">
        <f>"2018-10-18 16:14:32"</f>
        <v>2018-10-18 16:14:32</v>
      </c>
    </row>
    <row r="6751" spans="1:7" x14ac:dyDescent="0.2">
      <c r="A6751" t="s">
        <v>1</v>
      </c>
      <c r="B6751" t="str">
        <f>"13945989743"</f>
        <v>13945989743</v>
      </c>
      <c r="C6751" t="s">
        <v>1</v>
      </c>
      <c r="D6751" t="s">
        <v>1</v>
      </c>
      <c r="E6751" t="s">
        <v>1</v>
      </c>
      <c r="F6751" t="s">
        <v>0</v>
      </c>
      <c r="G6751" t="str">
        <f>"2018-10-16 16:01:30"</f>
        <v>2018-10-16 16:01:30</v>
      </c>
    </row>
    <row r="6752" spans="1:7" x14ac:dyDescent="0.2">
      <c r="A6752" t="s">
        <v>7634</v>
      </c>
      <c r="B6752" t="str">
        <f>"17625068756"</f>
        <v>17625068756</v>
      </c>
      <c r="C6752" t="str">
        <f>"370881198808283018"</f>
        <v>370881198808283018</v>
      </c>
      <c r="D6752" t="s">
        <v>1</v>
      </c>
      <c r="E6752" t="s">
        <v>1</v>
      </c>
      <c r="F6752" t="s">
        <v>0</v>
      </c>
      <c r="G6752" t="str">
        <f>"2018-10-17 01:15:47"</f>
        <v>2018-10-17 01:15:47</v>
      </c>
    </row>
    <row r="6753" spans="1:7" x14ac:dyDescent="0.2">
      <c r="A6753" t="s">
        <v>1</v>
      </c>
      <c r="B6753" t="str">
        <f>"15282872294"</f>
        <v>15282872294</v>
      </c>
      <c r="C6753" t="s">
        <v>1</v>
      </c>
      <c r="D6753" t="s">
        <v>1</v>
      </c>
      <c r="E6753" t="s">
        <v>1</v>
      </c>
      <c r="F6753" t="s">
        <v>0</v>
      </c>
      <c r="G6753" t="str">
        <f>"2018-10-16 16:00:53"</f>
        <v>2018-10-16 16:00:53</v>
      </c>
    </row>
    <row r="6754" spans="1:7" x14ac:dyDescent="0.2">
      <c r="A6754" t="s">
        <v>105</v>
      </c>
      <c r="B6754" t="str">
        <f>"15682677774"</f>
        <v>15682677774</v>
      </c>
      <c r="C6754" t="str">
        <f>"622201199310106018"</f>
        <v>622201199310106018</v>
      </c>
      <c r="D6754" t="s">
        <v>7635</v>
      </c>
      <c r="E6754" t="s">
        <v>7636</v>
      </c>
      <c r="F6754" t="s">
        <v>0</v>
      </c>
      <c r="G6754" t="str">
        <f>"2018-10-18 15:57:44"</f>
        <v>2018-10-18 15:57:44</v>
      </c>
    </row>
    <row r="6755" spans="1:7" x14ac:dyDescent="0.2">
      <c r="A6755" t="s">
        <v>1</v>
      </c>
      <c r="B6755" t="str">
        <f>"15046449443"</f>
        <v>15046449443</v>
      </c>
      <c r="C6755" t="s">
        <v>1</v>
      </c>
      <c r="D6755" t="s">
        <v>1</v>
      </c>
      <c r="E6755" t="s">
        <v>1</v>
      </c>
      <c r="F6755" t="s">
        <v>0</v>
      </c>
      <c r="G6755" t="str">
        <f>"2018-10-16 16:00:39"</f>
        <v>2018-10-16 16:00:39</v>
      </c>
    </row>
    <row r="6756" spans="1:7" x14ac:dyDescent="0.2">
      <c r="A6756" t="s">
        <v>7637</v>
      </c>
      <c r="B6756" t="str">
        <f>"18647095310"</f>
        <v>18647095310</v>
      </c>
      <c r="C6756" t="str">
        <f>"230281200003113034"</f>
        <v>230281200003113034</v>
      </c>
      <c r="D6756" t="s">
        <v>1</v>
      </c>
      <c r="E6756" t="s">
        <v>1</v>
      </c>
      <c r="F6756" t="s">
        <v>0</v>
      </c>
      <c r="G6756" t="str">
        <f>"2018-10-16 16:01:30"</f>
        <v>2018-10-16 16:01:30</v>
      </c>
    </row>
    <row r="6757" spans="1:7" x14ac:dyDescent="0.2">
      <c r="A6757" t="s">
        <v>1</v>
      </c>
      <c r="B6757" t="str">
        <f>"18246845173"</f>
        <v>18246845173</v>
      </c>
      <c r="C6757" t="s">
        <v>1</v>
      </c>
      <c r="D6757" t="s">
        <v>1</v>
      </c>
      <c r="E6757" t="s">
        <v>1</v>
      </c>
      <c r="F6757" t="s">
        <v>0</v>
      </c>
      <c r="G6757" t="str">
        <f>"2018-10-16 16:00:23"</f>
        <v>2018-10-16 16:00:23</v>
      </c>
    </row>
    <row r="6758" spans="1:7" x14ac:dyDescent="0.2">
      <c r="A6758" t="s">
        <v>7638</v>
      </c>
      <c r="B6758" t="str">
        <f>"18302457363"</f>
        <v>18302457363</v>
      </c>
      <c r="C6758" t="str">
        <f>"152105199308230113"</f>
        <v>152105199308230113</v>
      </c>
      <c r="D6758" t="s">
        <v>1</v>
      </c>
      <c r="E6758" t="s">
        <v>1</v>
      </c>
      <c r="F6758" t="s">
        <v>0</v>
      </c>
      <c r="G6758" t="str">
        <f>"2018-10-17 10:42:58"</f>
        <v>2018-10-17 10:42:58</v>
      </c>
    </row>
    <row r="6759" spans="1:7" x14ac:dyDescent="0.2">
      <c r="A6759" t="s">
        <v>1</v>
      </c>
      <c r="B6759" t="str">
        <f>"15303364068"</f>
        <v>15303364068</v>
      </c>
      <c r="C6759" t="s">
        <v>1</v>
      </c>
      <c r="D6759" t="s">
        <v>1</v>
      </c>
      <c r="E6759" t="s">
        <v>1</v>
      </c>
      <c r="F6759" t="s">
        <v>0</v>
      </c>
      <c r="G6759" t="str">
        <f>"2018-10-16 15:59:56"</f>
        <v>2018-10-16 15:59:56</v>
      </c>
    </row>
    <row r="6760" spans="1:7" x14ac:dyDescent="0.2">
      <c r="A6760" t="s">
        <v>7639</v>
      </c>
      <c r="B6760" t="str">
        <f>"18364995577"</f>
        <v>18364995577</v>
      </c>
      <c r="C6760" t="str">
        <f>"372330199707193311"</f>
        <v>372330199707193311</v>
      </c>
      <c r="D6760" t="s">
        <v>1</v>
      </c>
      <c r="E6760" t="s">
        <v>1</v>
      </c>
      <c r="F6760" t="s">
        <v>0</v>
      </c>
      <c r="G6760" t="str">
        <f>"2018-10-16 16:00:50"</f>
        <v>2018-10-16 16:00:50</v>
      </c>
    </row>
    <row r="6761" spans="1:7" x14ac:dyDescent="0.2">
      <c r="A6761" t="s">
        <v>7640</v>
      </c>
      <c r="B6761" t="str">
        <f>"15756885456"</f>
        <v>15756885456</v>
      </c>
      <c r="C6761" t="str">
        <f>"513428199007070012"</f>
        <v>513428199007070012</v>
      </c>
      <c r="D6761" t="s">
        <v>1</v>
      </c>
      <c r="E6761" t="s">
        <v>1</v>
      </c>
      <c r="F6761" t="s">
        <v>0</v>
      </c>
      <c r="G6761" t="str">
        <f>"2018-10-16 16:03:19"</f>
        <v>2018-10-16 16:03:19</v>
      </c>
    </row>
    <row r="6762" spans="1:7" x14ac:dyDescent="0.2">
      <c r="A6762" t="s">
        <v>7641</v>
      </c>
      <c r="B6762" t="str">
        <f>"15916992565"</f>
        <v>15916992565</v>
      </c>
      <c r="C6762" t="str">
        <f>"440903199506180012"</f>
        <v>440903199506180012</v>
      </c>
      <c r="D6762" t="s">
        <v>1</v>
      </c>
      <c r="E6762" t="s">
        <v>1</v>
      </c>
      <c r="F6762" t="s">
        <v>0</v>
      </c>
      <c r="G6762" t="str">
        <f>"2018-10-16 16:00:31"</f>
        <v>2018-10-16 16:00:31</v>
      </c>
    </row>
    <row r="6763" spans="1:7" x14ac:dyDescent="0.2">
      <c r="A6763" t="s">
        <v>7642</v>
      </c>
      <c r="B6763" t="str">
        <f>"18178988845"</f>
        <v>18178988845</v>
      </c>
      <c r="C6763" t="str">
        <f>"360782199501024816"</f>
        <v>360782199501024816</v>
      </c>
      <c r="D6763" t="s">
        <v>1</v>
      </c>
      <c r="E6763" t="s">
        <v>1</v>
      </c>
      <c r="F6763" t="s">
        <v>0</v>
      </c>
      <c r="G6763" t="str">
        <f>"2018-10-16 16:02:49"</f>
        <v>2018-10-16 16:02:49</v>
      </c>
    </row>
    <row r="6764" spans="1:7" x14ac:dyDescent="0.2">
      <c r="A6764" t="s">
        <v>7643</v>
      </c>
      <c r="B6764" t="str">
        <f>"18978952794"</f>
        <v>18978952794</v>
      </c>
      <c r="C6764" t="str">
        <f>"450122198212191077"</f>
        <v>450122198212191077</v>
      </c>
      <c r="D6764" t="s">
        <v>1</v>
      </c>
      <c r="E6764" t="s">
        <v>1</v>
      </c>
      <c r="F6764" t="s">
        <v>0</v>
      </c>
      <c r="G6764" t="str">
        <f>"2018-10-16 16:01:53"</f>
        <v>2018-10-16 16:01:53</v>
      </c>
    </row>
    <row r="6765" spans="1:7" x14ac:dyDescent="0.2">
      <c r="A6765" t="s">
        <v>7644</v>
      </c>
      <c r="B6765" t="str">
        <f>"13506177006"</f>
        <v>13506177006</v>
      </c>
      <c r="C6765" t="str">
        <f>"420625199708204711"</f>
        <v>420625199708204711</v>
      </c>
      <c r="D6765" t="s">
        <v>1</v>
      </c>
      <c r="E6765" t="s">
        <v>1</v>
      </c>
      <c r="F6765" t="s">
        <v>0</v>
      </c>
      <c r="G6765" t="str">
        <f>"2018-10-16 16:00:19"</f>
        <v>2018-10-16 16:00:19</v>
      </c>
    </row>
    <row r="6766" spans="1:7" x14ac:dyDescent="0.2">
      <c r="A6766" t="s">
        <v>7645</v>
      </c>
      <c r="B6766" t="str">
        <f>"15945163678"</f>
        <v>15945163678</v>
      </c>
      <c r="C6766" t="str">
        <f>"232127198411010032"</f>
        <v>232127198411010032</v>
      </c>
      <c r="D6766" t="s">
        <v>1</v>
      </c>
      <c r="E6766" t="s">
        <v>1</v>
      </c>
      <c r="F6766" t="s">
        <v>0</v>
      </c>
      <c r="G6766" t="str">
        <f>"2018-10-16 17:43:08"</f>
        <v>2018-10-16 17:43:08</v>
      </c>
    </row>
    <row r="6767" spans="1:7" x14ac:dyDescent="0.2">
      <c r="A6767" t="s">
        <v>104</v>
      </c>
      <c r="B6767" t="str">
        <f>"13889166944"</f>
        <v>13889166944</v>
      </c>
      <c r="C6767" t="str">
        <f>"210105197804114619"</f>
        <v>210105197804114619</v>
      </c>
      <c r="D6767" t="s">
        <v>1</v>
      </c>
      <c r="E6767" t="s">
        <v>1</v>
      </c>
      <c r="F6767" t="s">
        <v>0</v>
      </c>
      <c r="G6767" t="str">
        <f>"2018-10-16 15:58:29"</f>
        <v>2018-10-16 15:58:29</v>
      </c>
    </row>
    <row r="6768" spans="1:7" x14ac:dyDescent="0.2">
      <c r="A6768" t="s">
        <v>7646</v>
      </c>
      <c r="B6768" t="str">
        <f>"17692407445"</f>
        <v>17692407445</v>
      </c>
      <c r="C6768" t="str">
        <f>"37108119810505841X"</f>
        <v>37108119810505841X</v>
      </c>
      <c r="D6768" t="s">
        <v>1</v>
      </c>
      <c r="E6768" t="s">
        <v>1</v>
      </c>
      <c r="F6768" t="s">
        <v>0</v>
      </c>
      <c r="G6768" t="str">
        <f>"2018-10-16 15:59:50"</f>
        <v>2018-10-16 15:59:50</v>
      </c>
    </row>
    <row r="6769" spans="1:7" x14ac:dyDescent="0.2">
      <c r="A6769" t="s">
        <v>7647</v>
      </c>
      <c r="B6769" t="str">
        <f>"13737986014"</f>
        <v>13737986014</v>
      </c>
      <c r="C6769" t="str">
        <f>"452728199807233915"</f>
        <v>452728199807233915</v>
      </c>
      <c r="D6769" t="s">
        <v>1</v>
      </c>
      <c r="E6769" t="s">
        <v>1</v>
      </c>
      <c r="F6769" t="s">
        <v>0</v>
      </c>
      <c r="G6769" t="str">
        <f>"2018-10-16 16:03:10"</f>
        <v>2018-10-16 16:03:10</v>
      </c>
    </row>
    <row r="6770" spans="1:7" x14ac:dyDescent="0.2">
      <c r="A6770" t="s">
        <v>1659</v>
      </c>
      <c r="B6770" t="str">
        <f>"13585594903"</f>
        <v>13585594903</v>
      </c>
      <c r="C6770" t="str">
        <f>"330902198203275210"</f>
        <v>330902198203275210</v>
      </c>
      <c r="D6770" t="s">
        <v>1</v>
      </c>
      <c r="E6770" t="s">
        <v>1</v>
      </c>
      <c r="F6770" t="s">
        <v>0</v>
      </c>
      <c r="G6770" t="str">
        <f>"2018-10-16 17:09:37"</f>
        <v>2018-10-16 17:09:37</v>
      </c>
    </row>
    <row r="6771" spans="1:7" x14ac:dyDescent="0.2">
      <c r="A6771" t="s">
        <v>7648</v>
      </c>
      <c r="B6771" t="str">
        <f>"13726740299"</f>
        <v>13726740299</v>
      </c>
      <c r="C6771" t="str">
        <f>"440184199107120914"</f>
        <v>440184199107120914</v>
      </c>
      <c r="D6771" t="s">
        <v>1</v>
      </c>
      <c r="E6771" t="s">
        <v>1</v>
      </c>
      <c r="F6771" t="s">
        <v>0</v>
      </c>
      <c r="G6771" t="str">
        <f>"2018-10-16 16:00:20"</f>
        <v>2018-10-16 16:00:20</v>
      </c>
    </row>
    <row r="6772" spans="1:7" x14ac:dyDescent="0.2">
      <c r="A6772" t="s">
        <v>387</v>
      </c>
      <c r="B6772" t="str">
        <f>"17621768327"</f>
        <v>17621768327</v>
      </c>
      <c r="C6772" t="str">
        <f>"500384198812292431"</f>
        <v>500384198812292431</v>
      </c>
      <c r="D6772" t="s">
        <v>1</v>
      </c>
      <c r="E6772" t="s">
        <v>1</v>
      </c>
      <c r="F6772" t="s">
        <v>0</v>
      </c>
      <c r="G6772" t="str">
        <f>"2018-10-16 15:58:26"</f>
        <v>2018-10-16 15:58:26</v>
      </c>
    </row>
    <row r="6773" spans="1:7" x14ac:dyDescent="0.2">
      <c r="A6773" t="s">
        <v>7649</v>
      </c>
      <c r="B6773" t="str">
        <f>"17687650288"</f>
        <v>17687650288</v>
      </c>
      <c r="C6773" t="str">
        <f>"452624199710230717"</f>
        <v>452624199710230717</v>
      </c>
      <c r="D6773" t="s">
        <v>1</v>
      </c>
      <c r="E6773" t="s">
        <v>1</v>
      </c>
      <c r="F6773" t="s">
        <v>0</v>
      </c>
      <c r="G6773" t="str">
        <f>"2018-10-16 16:00:43"</f>
        <v>2018-10-16 16:00:43</v>
      </c>
    </row>
    <row r="6774" spans="1:7" x14ac:dyDescent="0.2">
      <c r="A6774" t="s">
        <v>7650</v>
      </c>
      <c r="B6774" t="str">
        <f>"13629715999"</f>
        <v>13629715999</v>
      </c>
      <c r="C6774" t="str">
        <f>"510281198208061757"</f>
        <v>510281198208061757</v>
      </c>
      <c r="D6774" t="s">
        <v>1</v>
      </c>
      <c r="E6774" t="s">
        <v>1</v>
      </c>
      <c r="F6774" t="s">
        <v>0</v>
      </c>
      <c r="G6774" t="str">
        <f>"2018-10-16 16:08:27"</f>
        <v>2018-10-16 16:08:27</v>
      </c>
    </row>
    <row r="6775" spans="1:7" x14ac:dyDescent="0.2">
      <c r="A6775" t="s">
        <v>7651</v>
      </c>
      <c r="B6775" t="str">
        <f>"13877519605"</f>
        <v>13877519605</v>
      </c>
      <c r="C6775" t="str">
        <f>"452501198709216112"</f>
        <v>452501198709216112</v>
      </c>
      <c r="D6775" t="s">
        <v>1</v>
      </c>
      <c r="E6775" t="s">
        <v>1</v>
      </c>
      <c r="F6775" t="s">
        <v>0</v>
      </c>
      <c r="G6775" t="str">
        <f>"2018-10-24 15:27:26"</f>
        <v>2018-10-24 15:27:26</v>
      </c>
    </row>
    <row r="6776" spans="1:7" x14ac:dyDescent="0.2">
      <c r="A6776" t="s">
        <v>1</v>
      </c>
      <c r="B6776" t="str">
        <f>"13352429629"</f>
        <v>13352429629</v>
      </c>
      <c r="C6776" t="s">
        <v>1</v>
      </c>
      <c r="D6776" t="s">
        <v>1</v>
      </c>
      <c r="E6776" t="s">
        <v>1</v>
      </c>
      <c r="F6776" t="s">
        <v>0</v>
      </c>
      <c r="G6776" t="str">
        <f>"2018-10-16 15:55:31"</f>
        <v>2018-10-16 15:55:31</v>
      </c>
    </row>
    <row r="6777" spans="1:7" x14ac:dyDescent="0.2">
      <c r="A6777" t="s">
        <v>7652</v>
      </c>
      <c r="B6777" t="str">
        <f>"13527320530"</f>
        <v>13527320530</v>
      </c>
      <c r="C6777" t="str">
        <f>"500382198609220018"</f>
        <v>500382198609220018</v>
      </c>
      <c r="D6777" t="s">
        <v>1</v>
      </c>
      <c r="E6777" t="s">
        <v>1</v>
      </c>
      <c r="F6777" t="s">
        <v>0</v>
      </c>
      <c r="G6777" t="str">
        <f>"2018-10-16 15:56:17"</f>
        <v>2018-10-16 15:56:17</v>
      </c>
    </row>
    <row r="6778" spans="1:7" x14ac:dyDescent="0.2">
      <c r="A6778" t="s">
        <v>7653</v>
      </c>
      <c r="B6778" t="str">
        <f>"18986646590"</f>
        <v>18986646590</v>
      </c>
      <c r="C6778" t="str">
        <f>"421002198012284214"</f>
        <v>421002198012284214</v>
      </c>
      <c r="D6778" t="s">
        <v>1</v>
      </c>
      <c r="E6778" t="s">
        <v>1</v>
      </c>
      <c r="F6778" t="s">
        <v>0</v>
      </c>
      <c r="G6778" t="str">
        <f>"2018-10-16 15:56:16"</f>
        <v>2018-10-16 15:56:16</v>
      </c>
    </row>
    <row r="6779" spans="1:7" x14ac:dyDescent="0.2">
      <c r="A6779" t="s">
        <v>7654</v>
      </c>
      <c r="B6779" t="str">
        <f>"18077963711"</f>
        <v>18077963711</v>
      </c>
      <c r="C6779" t="str">
        <f>"450521199308204813"</f>
        <v>450521199308204813</v>
      </c>
      <c r="D6779" t="s">
        <v>1</v>
      </c>
      <c r="E6779" t="s">
        <v>1</v>
      </c>
      <c r="F6779" t="s">
        <v>0</v>
      </c>
      <c r="G6779" t="str">
        <f>"2018-10-16 16:01:20"</f>
        <v>2018-10-16 16:01:20</v>
      </c>
    </row>
    <row r="6780" spans="1:7" x14ac:dyDescent="0.2">
      <c r="A6780" t="s">
        <v>1546</v>
      </c>
      <c r="B6780" t="str">
        <f>"15159274513"</f>
        <v>15159274513</v>
      </c>
      <c r="C6780" t="str">
        <f>"362427198702284717"</f>
        <v>362427198702284717</v>
      </c>
      <c r="D6780" t="s">
        <v>1</v>
      </c>
      <c r="E6780" t="s">
        <v>1</v>
      </c>
      <c r="F6780" t="s">
        <v>0</v>
      </c>
      <c r="G6780" t="str">
        <f>"2018-10-16 15:56:24"</f>
        <v>2018-10-16 15:56:24</v>
      </c>
    </row>
    <row r="6781" spans="1:7" x14ac:dyDescent="0.2">
      <c r="A6781" t="s">
        <v>7655</v>
      </c>
      <c r="B6781" t="str">
        <f>"15610597720"</f>
        <v>15610597720</v>
      </c>
      <c r="C6781" t="str">
        <f>"370783199602023319"</f>
        <v>370783199602023319</v>
      </c>
      <c r="D6781" t="s">
        <v>1</v>
      </c>
      <c r="E6781" t="s">
        <v>1</v>
      </c>
      <c r="F6781" t="s">
        <v>0</v>
      </c>
      <c r="G6781" t="str">
        <f>"2018-10-16 15:54:02"</f>
        <v>2018-10-16 15:54:02</v>
      </c>
    </row>
    <row r="6782" spans="1:7" x14ac:dyDescent="0.2">
      <c r="A6782" t="s">
        <v>7656</v>
      </c>
      <c r="B6782" t="str">
        <f>"13787072887"</f>
        <v>13787072887</v>
      </c>
      <c r="C6782" t="str">
        <f>"430221198407205323"</f>
        <v>430221198407205323</v>
      </c>
      <c r="D6782" t="s">
        <v>1</v>
      </c>
      <c r="E6782" t="s">
        <v>1</v>
      </c>
      <c r="F6782" t="s">
        <v>0</v>
      </c>
      <c r="G6782" t="str">
        <f>"2018-10-16 15:55:04"</f>
        <v>2018-10-16 15:55:04</v>
      </c>
    </row>
    <row r="6783" spans="1:7" x14ac:dyDescent="0.2">
      <c r="A6783" t="s">
        <v>1</v>
      </c>
      <c r="B6783" t="str">
        <f>"17782551522"</f>
        <v>17782551522</v>
      </c>
      <c r="C6783" t="s">
        <v>1</v>
      </c>
      <c r="D6783" t="s">
        <v>1</v>
      </c>
      <c r="E6783" t="s">
        <v>1</v>
      </c>
      <c r="F6783" t="s">
        <v>0</v>
      </c>
      <c r="G6783" t="str">
        <f>"2018-10-16 15:53:19"</f>
        <v>2018-10-16 15:53:19</v>
      </c>
    </row>
    <row r="6784" spans="1:7" x14ac:dyDescent="0.2">
      <c r="A6784" t="s">
        <v>1</v>
      </c>
      <c r="B6784" t="str">
        <f>"18272297720"</f>
        <v>18272297720</v>
      </c>
      <c r="C6784" t="s">
        <v>1</v>
      </c>
      <c r="D6784" t="s">
        <v>1</v>
      </c>
      <c r="E6784" t="s">
        <v>1</v>
      </c>
      <c r="F6784" t="s">
        <v>0</v>
      </c>
      <c r="G6784" t="str">
        <f>"2018-10-16 15:56:13"</f>
        <v>2018-10-16 15:56:13</v>
      </c>
    </row>
    <row r="6785" spans="1:7" x14ac:dyDescent="0.2">
      <c r="A6785" t="s">
        <v>261</v>
      </c>
      <c r="B6785" t="str">
        <f>"15810761526"</f>
        <v>15810761526</v>
      </c>
      <c r="C6785" t="str">
        <f>"210703199201263614"</f>
        <v>210703199201263614</v>
      </c>
      <c r="D6785" t="s">
        <v>1</v>
      </c>
      <c r="E6785" t="s">
        <v>1</v>
      </c>
      <c r="F6785" t="s">
        <v>0</v>
      </c>
      <c r="G6785" t="str">
        <f>"2018-10-16 17:25:21"</f>
        <v>2018-10-16 17:25:21</v>
      </c>
    </row>
    <row r="6786" spans="1:7" x14ac:dyDescent="0.2">
      <c r="A6786" t="s">
        <v>7657</v>
      </c>
      <c r="B6786" t="str">
        <f>"13880663681"</f>
        <v>13880663681</v>
      </c>
      <c r="C6786" t="str">
        <f>"510107197508182629"</f>
        <v>510107197508182629</v>
      </c>
      <c r="D6786" t="s">
        <v>7658</v>
      </c>
      <c r="E6786" t="s">
        <v>7659</v>
      </c>
      <c r="F6786" t="s">
        <v>0</v>
      </c>
      <c r="G6786" t="str">
        <f>"2018-10-16 15:52:51"</f>
        <v>2018-10-16 15:52:51</v>
      </c>
    </row>
    <row r="6787" spans="1:7" x14ac:dyDescent="0.2">
      <c r="A6787" t="s">
        <v>7660</v>
      </c>
      <c r="B6787" t="str">
        <f>"13205450605"</f>
        <v>13205450605</v>
      </c>
      <c r="C6787" t="str">
        <f>"370683199608264513"</f>
        <v>370683199608264513</v>
      </c>
      <c r="D6787" t="s">
        <v>7661</v>
      </c>
      <c r="E6787" t="s">
        <v>7662</v>
      </c>
      <c r="F6787" t="s">
        <v>0</v>
      </c>
      <c r="G6787" t="str">
        <f>"2018-10-16 15:51:23"</f>
        <v>2018-10-16 15:51:23</v>
      </c>
    </row>
    <row r="6788" spans="1:7" x14ac:dyDescent="0.2">
      <c r="A6788" t="s">
        <v>1</v>
      </c>
      <c r="B6788" t="str">
        <f>"18605098067"</f>
        <v>18605098067</v>
      </c>
      <c r="C6788" t="s">
        <v>1</v>
      </c>
      <c r="D6788" t="s">
        <v>1</v>
      </c>
      <c r="E6788" t="s">
        <v>1</v>
      </c>
      <c r="F6788" t="s">
        <v>0</v>
      </c>
      <c r="G6788" t="str">
        <f>"2018-10-16 15:51:11"</f>
        <v>2018-10-16 15:51:11</v>
      </c>
    </row>
    <row r="6789" spans="1:7" x14ac:dyDescent="0.2">
      <c r="A6789" t="s">
        <v>1</v>
      </c>
      <c r="B6789" t="str">
        <f>"13616629711"</f>
        <v>13616629711</v>
      </c>
      <c r="C6789" t="s">
        <v>1</v>
      </c>
      <c r="D6789" t="s">
        <v>1</v>
      </c>
      <c r="E6789" t="s">
        <v>1</v>
      </c>
      <c r="F6789" t="s">
        <v>0</v>
      </c>
      <c r="G6789" t="str">
        <f>"2018-10-16 15:51:03"</f>
        <v>2018-10-16 15:51:03</v>
      </c>
    </row>
    <row r="6790" spans="1:7" x14ac:dyDescent="0.2">
      <c r="A6790" t="s">
        <v>7663</v>
      </c>
      <c r="B6790" t="str">
        <f>"15290185758"</f>
        <v>15290185758</v>
      </c>
      <c r="C6790" t="str">
        <f>"412825199005085761"</f>
        <v>412825199005085761</v>
      </c>
      <c r="D6790" t="s">
        <v>1</v>
      </c>
      <c r="E6790" t="s">
        <v>1</v>
      </c>
      <c r="F6790" t="s">
        <v>0</v>
      </c>
      <c r="G6790" t="str">
        <f>"2018-10-16 15:53:39"</f>
        <v>2018-10-16 15:53:39</v>
      </c>
    </row>
    <row r="6791" spans="1:7" x14ac:dyDescent="0.2">
      <c r="A6791" t="s">
        <v>7664</v>
      </c>
      <c r="B6791" t="str">
        <f>"13820411321"</f>
        <v>13820411321</v>
      </c>
      <c r="C6791" t="str">
        <f>"620105198604114017"</f>
        <v>620105198604114017</v>
      </c>
      <c r="D6791" t="s">
        <v>1</v>
      </c>
      <c r="E6791" t="s">
        <v>1</v>
      </c>
      <c r="F6791" t="s">
        <v>0</v>
      </c>
      <c r="G6791" t="str">
        <f>"2018-10-16 15:52:40"</f>
        <v>2018-10-16 15:52:40</v>
      </c>
    </row>
    <row r="6792" spans="1:7" x14ac:dyDescent="0.2">
      <c r="A6792" t="s">
        <v>134</v>
      </c>
      <c r="B6792" t="str">
        <f>"15236727753"</f>
        <v>15236727753</v>
      </c>
      <c r="C6792" t="str">
        <f>"41152319941027091X"</f>
        <v>41152319941027091X</v>
      </c>
      <c r="D6792" t="s">
        <v>1</v>
      </c>
      <c r="E6792" t="s">
        <v>1</v>
      </c>
      <c r="F6792" t="s">
        <v>0</v>
      </c>
      <c r="G6792" t="str">
        <f>"2018-10-16 21:14:30"</f>
        <v>2018-10-16 21:14:30</v>
      </c>
    </row>
    <row r="6793" spans="1:7" x14ac:dyDescent="0.2">
      <c r="A6793" t="s">
        <v>7665</v>
      </c>
      <c r="B6793" t="str">
        <f>"13382691669"</f>
        <v>13382691669</v>
      </c>
      <c r="C6793" t="str">
        <f>"320322196312060413"</f>
        <v>320322196312060413</v>
      </c>
      <c r="D6793" t="s">
        <v>1</v>
      </c>
      <c r="E6793" t="s">
        <v>1</v>
      </c>
      <c r="F6793" t="s">
        <v>0</v>
      </c>
      <c r="G6793" t="str">
        <f>"2018-10-16 15:49:23"</f>
        <v>2018-10-16 15:49:23</v>
      </c>
    </row>
    <row r="6794" spans="1:7" x14ac:dyDescent="0.2">
      <c r="A6794" t="s">
        <v>1</v>
      </c>
      <c r="B6794" t="str">
        <f>"15888797729"</f>
        <v>15888797729</v>
      </c>
      <c r="C6794" t="s">
        <v>1</v>
      </c>
      <c r="D6794" t="s">
        <v>1</v>
      </c>
      <c r="E6794" t="s">
        <v>1</v>
      </c>
      <c r="F6794" t="s">
        <v>0</v>
      </c>
      <c r="G6794" t="str">
        <f>"2018-10-16 15:49:00"</f>
        <v>2018-10-16 15:49:00</v>
      </c>
    </row>
    <row r="6795" spans="1:7" x14ac:dyDescent="0.2">
      <c r="A6795" t="s">
        <v>7666</v>
      </c>
      <c r="B6795" t="str">
        <f>"15972204502"</f>
        <v>15972204502</v>
      </c>
      <c r="C6795" t="str">
        <f>"420116199806286614"</f>
        <v>420116199806286614</v>
      </c>
      <c r="D6795" t="s">
        <v>7667</v>
      </c>
      <c r="E6795" t="s">
        <v>7668</v>
      </c>
      <c r="F6795" t="s">
        <v>0</v>
      </c>
      <c r="G6795" t="str">
        <f>"2018-10-17 15:32:22"</f>
        <v>2018-10-17 15:32:22</v>
      </c>
    </row>
    <row r="6796" spans="1:7" x14ac:dyDescent="0.2">
      <c r="A6796" t="s">
        <v>1</v>
      </c>
      <c r="B6796" t="str">
        <f>"13249107260"</f>
        <v>13249107260</v>
      </c>
      <c r="C6796" t="s">
        <v>1</v>
      </c>
      <c r="D6796" t="s">
        <v>1</v>
      </c>
      <c r="E6796" t="s">
        <v>1</v>
      </c>
      <c r="F6796" t="s">
        <v>0</v>
      </c>
      <c r="G6796" t="str">
        <f>"2018-10-16 15:47:57"</f>
        <v>2018-10-16 15:47:57</v>
      </c>
    </row>
    <row r="6797" spans="1:7" x14ac:dyDescent="0.2">
      <c r="A6797" t="s">
        <v>1</v>
      </c>
      <c r="B6797" t="str">
        <f>"13282720885"</f>
        <v>13282720885</v>
      </c>
      <c r="C6797" t="s">
        <v>1</v>
      </c>
      <c r="D6797" t="s">
        <v>1</v>
      </c>
      <c r="E6797" t="s">
        <v>1</v>
      </c>
      <c r="F6797" t="s">
        <v>0</v>
      </c>
      <c r="G6797" t="str">
        <f>"2018-10-16 15:56:59"</f>
        <v>2018-10-16 15:56:59</v>
      </c>
    </row>
    <row r="6798" spans="1:7" x14ac:dyDescent="0.2">
      <c r="A6798" t="s">
        <v>1</v>
      </c>
      <c r="B6798" t="str">
        <f>"13611050364"</f>
        <v>13611050364</v>
      </c>
      <c r="C6798" t="s">
        <v>1</v>
      </c>
      <c r="D6798" t="s">
        <v>1</v>
      </c>
      <c r="E6798" t="s">
        <v>1</v>
      </c>
      <c r="F6798" t="s">
        <v>0</v>
      </c>
      <c r="G6798" t="str">
        <f>"2018-10-16 15:47:16"</f>
        <v>2018-10-16 15:47:16</v>
      </c>
    </row>
    <row r="6799" spans="1:7" x14ac:dyDescent="0.2">
      <c r="A6799" t="s">
        <v>7669</v>
      </c>
      <c r="B6799" t="str">
        <f>"18189458771"</f>
        <v>18189458771</v>
      </c>
      <c r="C6799" t="str">
        <f>"620321198911200047"</f>
        <v>620321198911200047</v>
      </c>
      <c r="D6799" t="s">
        <v>1</v>
      </c>
      <c r="E6799" t="s">
        <v>1</v>
      </c>
      <c r="F6799" t="s">
        <v>0</v>
      </c>
      <c r="G6799" t="str">
        <f>"2018-10-16 15:47:48"</f>
        <v>2018-10-16 15:47:48</v>
      </c>
    </row>
    <row r="6800" spans="1:7" x14ac:dyDescent="0.2">
      <c r="A6800" t="s">
        <v>7670</v>
      </c>
      <c r="B6800" t="str">
        <f>"15814091271"</f>
        <v>15814091271</v>
      </c>
      <c r="C6800" t="str">
        <f>"445322198605140418"</f>
        <v>445322198605140418</v>
      </c>
      <c r="D6800" t="s">
        <v>1</v>
      </c>
      <c r="E6800" t="s">
        <v>1</v>
      </c>
      <c r="F6800" t="s">
        <v>0</v>
      </c>
      <c r="G6800" t="str">
        <f>"2018-10-16 15:46:38"</f>
        <v>2018-10-16 15:46:38</v>
      </c>
    </row>
    <row r="6801" spans="1:7" x14ac:dyDescent="0.2">
      <c r="A6801" t="s">
        <v>1</v>
      </c>
      <c r="B6801" t="str">
        <f>"18677203375"</f>
        <v>18677203375</v>
      </c>
      <c r="C6801" t="s">
        <v>1</v>
      </c>
      <c r="D6801" t="s">
        <v>1</v>
      </c>
      <c r="E6801" t="s">
        <v>1</v>
      </c>
      <c r="F6801" t="s">
        <v>0</v>
      </c>
      <c r="G6801" t="str">
        <f>"2018-10-16 15:46:31"</f>
        <v>2018-10-16 15:46:31</v>
      </c>
    </row>
    <row r="6802" spans="1:7" x14ac:dyDescent="0.2">
      <c r="A6802" t="s">
        <v>7671</v>
      </c>
      <c r="B6802" t="str">
        <f>"15145046134"</f>
        <v>15145046134</v>
      </c>
      <c r="C6802" t="str">
        <f>"220182199504100710"</f>
        <v>220182199504100710</v>
      </c>
      <c r="D6802" t="s">
        <v>1</v>
      </c>
      <c r="E6802" t="s">
        <v>1</v>
      </c>
      <c r="F6802" t="s">
        <v>0</v>
      </c>
      <c r="G6802" t="str">
        <f>"2018-10-16 15:55:09"</f>
        <v>2018-10-16 15:55:09</v>
      </c>
    </row>
    <row r="6803" spans="1:7" x14ac:dyDescent="0.2">
      <c r="A6803" t="s">
        <v>1</v>
      </c>
      <c r="B6803" t="str">
        <f>"18842826322"</f>
        <v>18842826322</v>
      </c>
      <c r="C6803" t="s">
        <v>1</v>
      </c>
      <c r="D6803" t="s">
        <v>1</v>
      </c>
      <c r="E6803" t="s">
        <v>1</v>
      </c>
      <c r="F6803" t="s">
        <v>0</v>
      </c>
      <c r="G6803" t="str">
        <f>"2018-10-16 15:49:20"</f>
        <v>2018-10-16 15:49:20</v>
      </c>
    </row>
    <row r="6804" spans="1:7" x14ac:dyDescent="0.2">
      <c r="A6804" t="s">
        <v>7672</v>
      </c>
      <c r="B6804" t="str">
        <f>"18399426611"</f>
        <v>18399426611</v>
      </c>
      <c r="C6804" t="str">
        <f>"654123198609030033"</f>
        <v>654123198609030033</v>
      </c>
      <c r="D6804" t="s">
        <v>1</v>
      </c>
      <c r="E6804" t="s">
        <v>1</v>
      </c>
      <c r="F6804" t="s">
        <v>0</v>
      </c>
      <c r="G6804" t="str">
        <f>"2018-10-16 16:17:12"</f>
        <v>2018-10-16 16:17:12</v>
      </c>
    </row>
    <row r="6805" spans="1:7" x14ac:dyDescent="0.2">
      <c r="A6805" t="s">
        <v>7673</v>
      </c>
      <c r="B6805" t="str">
        <f>"13483641456"</f>
        <v>13483641456</v>
      </c>
      <c r="C6805" t="str">
        <f>"132825198812150038"</f>
        <v>132825198812150038</v>
      </c>
      <c r="D6805" t="s">
        <v>1</v>
      </c>
      <c r="E6805" t="s">
        <v>1</v>
      </c>
      <c r="F6805" t="s">
        <v>0</v>
      </c>
      <c r="G6805" t="str">
        <f>"2018-10-16 15:47:17"</f>
        <v>2018-10-16 15:47:17</v>
      </c>
    </row>
    <row r="6806" spans="1:7" x14ac:dyDescent="0.2">
      <c r="A6806" t="s">
        <v>7674</v>
      </c>
      <c r="B6806" t="str">
        <f>"15373356111"</f>
        <v>15373356111</v>
      </c>
      <c r="C6806" t="str">
        <f>"130322199506053519"</f>
        <v>130322199506053519</v>
      </c>
      <c r="D6806" t="s">
        <v>1</v>
      </c>
      <c r="E6806" t="s">
        <v>1</v>
      </c>
      <c r="F6806" t="s">
        <v>0</v>
      </c>
      <c r="G6806" t="str">
        <f>"2018-10-16 15:47:00"</f>
        <v>2018-10-16 15:47:00</v>
      </c>
    </row>
    <row r="6807" spans="1:7" x14ac:dyDescent="0.2">
      <c r="A6807" t="s">
        <v>7675</v>
      </c>
      <c r="B6807" t="str">
        <f>"15504128412"</f>
        <v>15504128412</v>
      </c>
      <c r="C6807" t="str">
        <f>"210881198407126316"</f>
        <v>210881198407126316</v>
      </c>
      <c r="D6807" t="s">
        <v>7676</v>
      </c>
      <c r="E6807" t="s">
        <v>7677</v>
      </c>
      <c r="F6807" t="s">
        <v>0</v>
      </c>
      <c r="G6807" t="str">
        <f>"2018-10-16 15:46:36"</f>
        <v>2018-10-16 15:46:36</v>
      </c>
    </row>
    <row r="6808" spans="1:7" x14ac:dyDescent="0.2">
      <c r="A6808" t="s">
        <v>7678</v>
      </c>
      <c r="B6808" t="str">
        <f>"13329394022"</f>
        <v>13329394022</v>
      </c>
      <c r="C6808" t="str">
        <f>"232326199411172030"</f>
        <v>232326199411172030</v>
      </c>
      <c r="D6808" t="s">
        <v>1</v>
      </c>
      <c r="E6808" t="s">
        <v>1</v>
      </c>
      <c r="F6808" t="s">
        <v>0</v>
      </c>
      <c r="G6808" t="str">
        <f>"2018-10-28 03:09:54"</f>
        <v>2018-10-28 03:09:54</v>
      </c>
    </row>
    <row r="6809" spans="1:7" x14ac:dyDescent="0.2">
      <c r="A6809" t="s">
        <v>7679</v>
      </c>
      <c r="B6809" t="str">
        <f>"15501757005"</f>
        <v>15501757005</v>
      </c>
      <c r="C6809" t="str">
        <f>"460028199401083234"</f>
        <v>460028199401083234</v>
      </c>
      <c r="D6809" t="s">
        <v>1</v>
      </c>
      <c r="E6809" t="s">
        <v>1</v>
      </c>
      <c r="F6809" t="s">
        <v>0</v>
      </c>
      <c r="G6809" t="str">
        <f>"2018-10-16 15:50:18"</f>
        <v>2018-10-16 15:50:18</v>
      </c>
    </row>
    <row r="6810" spans="1:7" x14ac:dyDescent="0.2">
      <c r="A6810" t="s">
        <v>7680</v>
      </c>
      <c r="B6810" t="str">
        <f>"15147129737"</f>
        <v>15147129737</v>
      </c>
      <c r="C6810" t="str">
        <f>"15222219891115313X"</f>
        <v>15222219891115313X</v>
      </c>
      <c r="D6810" t="s">
        <v>1</v>
      </c>
      <c r="E6810" t="s">
        <v>1</v>
      </c>
      <c r="F6810" t="s">
        <v>0</v>
      </c>
      <c r="G6810" t="str">
        <f>"2018-10-16 15:46:06"</f>
        <v>2018-10-16 15:46:06</v>
      </c>
    </row>
    <row r="6811" spans="1:7" x14ac:dyDescent="0.2">
      <c r="A6811" t="s">
        <v>7681</v>
      </c>
      <c r="B6811" t="str">
        <f>"13782770975"</f>
        <v>13782770975</v>
      </c>
      <c r="C6811" t="str">
        <f>"410821198904151054"</f>
        <v>410821198904151054</v>
      </c>
      <c r="D6811" t="s">
        <v>1</v>
      </c>
      <c r="E6811" t="s">
        <v>1</v>
      </c>
      <c r="F6811" t="s">
        <v>0</v>
      </c>
      <c r="G6811" t="str">
        <f>"2018-10-16 15:44:18"</f>
        <v>2018-10-16 15:44:18</v>
      </c>
    </row>
    <row r="6812" spans="1:7" x14ac:dyDescent="0.2">
      <c r="A6812" t="s">
        <v>1</v>
      </c>
      <c r="B6812" t="str">
        <f>"13558165110"</f>
        <v>13558165110</v>
      </c>
      <c r="C6812" t="s">
        <v>1</v>
      </c>
      <c r="D6812" t="s">
        <v>1</v>
      </c>
      <c r="E6812" t="s">
        <v>1</v>
      </c>
      <c r="F6812" t="s">
        <v>0</v>
      </c>
      <c r="G6812" t="str">
        <f>"2018-10-16 15:47:14"</f>
        <v>2018-10-16 15:47:14</v>
      </c>
    </row>
    <row r="6813" spans="1:7" x14ac:dyDescent="0.2">
      <c r="A6813" t="s">
        <v>711</v>
      </c>
      <c r="B6813" t="str">
        <f>"13477474376"</f>
        <v>13477474376</v>
      </c>
      <c r="C6813" t="str">
        <f>"429005198309013999"</f>
        <v>429005198309013999</v>
      </c>
      <c r="D6813" t="s">
        <v>1</v>
      </c>
      <c r="E6813" t="s">
        <v>1</v>
      </c>
      <c r="F6813" t="s">
        <v>0</v>
      </c>
      <c r="G6813" t="str">
        <f>"2018-10-20 16:12:26"</f>
        <v>2018-10-20 16:12:26</v>
      </c>
    </row>
    <row r="6814" spans="1:7" x14ac:dyDescent="0.2">
      <c r="A6814" t="s">
        <v>7682</v>
      </c>
      <c r="B6814" t="str">
        <f>"18781007285"</f>
        <v>18781007285</v>
      </c>
      <c r="C6814" t="str">
        <f>"510623198304020013"</f>
        <v>510623198304020013</v>
      </c>
      <c r="D6814" t="s">
        <v>1</v>
      </c>
      <c r="E6814" t="s">
        <v>1</v>
      </c>
      <c r="F6814" t="s">
        <v>0</v>
      </c>
      <c r="G6814" t="str">
        <f>"2018-10-16 15:43:09"</f>
        <v>2018-10-16 15:43:09</v>
      </c>
    </row>
    <row r="6815" spans="1:7" x14ac:dyDescent="0.2">
      <c r="A6815" t="s">
        <v>7683</v>
      </c>
      <c r="B6815" t="str">
        <f>"17667180343"</f>
        <v>17667180343</v>
      </c>
      <c r="C6815" t="str">
        <f>"220284199704064417"</f>
        <v>220284199704064417</v>
      </c>
      <c r="D6815" t="s">
        <v>1</v>
      </c>
      <c r="E6815" t="s">
        <v>1</v>
      </c>
      <c r="F6815" t="s">
        <v>0</v>
      </c>
      <c r="G6815" t="str">
        <f>"2018-10-16 15:45:25"</f>
        <v>2018-10-16 15:45:25</v>
      </c>
    </row>
    <row r="6816" spans="1:7" x14ac:dyDescent="0.2">
      <c r="A6816" t="s">
        <v>1256</v>
      </c>
      <c r="B6816" t="str">
        <f>"15226946620"</f>
        <v>15226946620</v>
      </c>
      <c r="C6816" t="str">
        <f>"130427199511084122"</f>
        <v>130427199511084122</v>
      </c>
      <c r="D6816" t="s">
        <v>1</v>
      </c>
      <c r="E6816" t="s">
        <v>1</v>
      </c>
      <c r="F6816" t="s">
        <v>0</v>
      </c>
      <c r="G6816" t="str">
        <f>"2018-10-16 15:44:11"</f>
        <v>2018-10-16 15:44:11</v>
      </c>
    </row>
    <row r="6817" spans="1:7" x14ac:dyDescent="0.2">
      <c r="A6817" t="s">
        <v>1</v>
      </c>
      <c r="B6817" t="str">
        <f>"15100163893"</f>
        <v>15100163893</v>
      </c>
      <c r="C6817" t="s">
        <v>1</v>
      </c>
      <c r="D6817" t="s">
        <v>1</v>
      </c>
      <c r="E6817" t="s">
        <v>1</v>
      </c>
      <c r="F6817" t="s">
        <v>0</v>
      </c>
      <c r="G6817" t="str">
        <f>"2018-10-16 21:16:25"</f>
        <v>2018-10-16 21:16:25</v>
      </c>
    </row>
    <row r="6818" spans="1:7" x14ac:dyDescent="0.2">
      <c r="A6818" t="s">
        <v>7684</v>
      </c>
      <c r="B6818" t="str">
        <f>"13771833745"</f>
        <v>13771833745</v>
      </c>
      <c r="C6818" t="str">
        <f>"411481199308014512"</f>
        <v>411481199308014512</v>
      </c>
      <c r="D6818" t="s">
        <v>1</v>
      </c>
      <c r="E6818" t="s">
        <v>1</v>
      </c>
      <c r="F6818" t="s">
        <v>0</v>
      </c>
      <c r="G6818" t="str">
        <f>"2018-10-16 15:48:00"</f>
        <v>2018-10-16 15:48:00</v>
      </c>
    </row>
    <row r="6819" spans="1:7" x14ac:dyDescent="0.2">
      <c r="A6819" t="s">
        <v>7685</v>
      </c>
      <c r="B6819" t="str">
        <f>"15871791364"</f>
        <v>15871791364</v>
      </c>
      <c r="C6819" t="str">
        <f>"421181199510011935"</f>
        <v>421181199510011935</v>
      </c>
      <c r="D6819" t="s">
        <v>7686</v>
      </c>
      <c r="E6819" t="s">
        <v>7687</v>
      </c>
      <c r="F6819" t="s">
        <v>0</v>
      </c>
      <c r="G6819" t="str">
        <f>"2018-10-16 15:41:33"</f>
        <v>2018-10-16 15:41:33</v>
      </c>
    </row>
    <row r="6820" spans="1:7" x14ac:dyDescent="0.2">
      <c r="A6820" t="s">
        <v>1608</v>
      </c>
      <c r="B6820" t="str">
        <f>"13085779659"</f>
        <v>13085779659</v>
      </c>
      <c r="C6820" t="str">
        <f>"440582198710154881"</f>
        <v>440582198710154881</v>
      </c>
      <c r="D6820" t="s">
        <v>1</v>
      </c>
      <c r="E6820" t="s">
        <v>1</v>
      </c>
      <c r="F6820" t="s">
        <v>0</v>
      </c>
      <c r="G6820" t="str">
        <f>"2018-10-16 15:42:34"</f>
        <v>2018-10-16 15:42:34</v>
      </c>
    </row>
    <row r="6821" spans="1:7" x14ac:dyDescent="0.2">
      <c r="A6821" t="s">
        <v>285</v>
      </c>
      <c r="B6821" t="str">
        <f>"15965636059"</f>
        <v>15965636059</v>
      </c>
      <c r="C6821" t="str">
        <f>"37012419830901001X"</f>
        <v>37012419830901001X</v>
      </c>
      <c r="D6821" t="s">
        <v>1</v>
      </c>
      <c r="E6821" t="s">
        <v>1</v>
      </c>
      <c r="F6821" t="s">
        <v>0</v>
      </c>
      <c r="G6821" t="str">
        <f>"2018-10-16 15:42:28"</f>
        <v>2018-10-16 15:42:28</v>
      </c>
    </row>
    <row r="6822" spans="1:7" x14ac:dyDescent="0.2">
      <c r="A6822" t="s">
        <v>7688</v>
      </c>
      <c r="B6822" t="str">
        <f>"15281114902"</f>
        <v>15281114902</v>
      </c>
      <c r="C6822" t="str">
        <f>"510723199312084076"</f>
        <v>510723199312084076</v>
      </c>
      <c r="D6822" t="s">
        <v>7689</v>
      </c>
      <c r="E6822" t="s">
        <v>7690</v>
      </c>
      <c r="F6822" t="s">
        <v>0</v>
      </c>
      <c r="G6822" t="str">
        <f>"2018-10-29 20:58:48"</f>
        <v>2018-10-29 20:58:48</v>
      </c>
    </row>
    <row r="6823" spans="1:7" x14ac:dyDescent="0.2">
      <c r="A6823" t="s">
        <v>7691</v>
      </c>
      <c r="B6823" t="str">
        <f>"13619136850"</f>
        <v>13619136850</v>
      </c>
      <c r="C6823" t="str">
        <f>"610523199209140044"</f>
        <v>610523199209140044</v>
      </c>
      <c r="D6823" t="s">
        <v>1</v>
      </c>
      <c r="E6823" t="s">
        <v>1</v>
      </c>
      <c r="F6823" t="s">
        <v>0</v>
      </c>
      <c r="G6823" t="str">
        <f>"2018-10-16 15:48:37"</f>
        <v>2018-10-16 15:48:37</v>
      </c>
    </row>
    <row r="6824" spans="1:7" x14ac:dyDescent="0.2">
      <c r="A6824" t="s">
        <v>1</v>
      </c>
      <c r="B6824" t="str">
        <f>"18939431119"</f>
        <v>18939431119</v>
      </c>
      <c r="C6824" t="s">
        <v>1</v>
      </c>
      <c r="D6824" t="s">
        <v>1</v>
      </c>
      <c r="E6824" t="s">
        <v>1</v>
      </c>
      <c r="F6824" t="s">
        <v>0</v>
      </c>
      <c r="G6824" t="str">
        <f>"2018-10-16 15:38:38"</f>
        <v>2018-10-16 15:38:38</v>
      </c>
    </row>
    <row r="6825" spans="1:7" x14ac:dyDescent="0.2">
      <c r="A6825" t="s">
        <v>7692</v>
      </c>
      <c r="B6825" t="str">
        <f>"13471405510"</f>
        <v>13471405510</v>
      </c>
      <c r="C6825" t="str">
        <f>"450421199310016031"</f>
        <v>450421199310016031</v>
      </c>
      <c r="D6825" t="s">
        <v>7693</v>
      </c>
      <c r="E6825" t="s">
        <v>7694</v>
      </c>
      <c r="F6825" t="s">
        <v>0</v>
      </c>
      <c r="G6825" t="str">
        <f>"2018-10-16 15:39:50"</f>
        <v>2018-10-16 15:39:50</v>
      </c>
    </row>
    <row r="6826" spans="1:7" x14ac:dyDescent="0.2">
      <c r="A6826" t="s">
        <v>7695</v>
      </c>
      <c r="B6826" t="str">
        <f>"15277056939"</f>
        <v>15277056939</v>
      </c>
      <c r="C6826" t="str">
        <f>"450521198810074984"</f>
        <v>450521198810074984</v>
      </c>
      <c r="D6826" t="s">
        <v>1</v>
      </c>
      <c r="E6826" t="s">
        <v>1</v>
      </c>
      <c r="F6826" t="s">
        <v>0</v>
      </c>
      <c r="G6826" t="str">
        <f>"2018-10-16 15:40:13"</f>
        <v>2018-10-16 15:40:13</v>
      </c>
    </row>
    <row r="6827" spans="1:7" x14ac:dyDescent="0.2">
      <c r="A6827" t="s">
        <v>7696</v>
      </c>
      <c r="B6827" t="str">
        <f>"15900818928"</f>
        <v>15900818928</v>
      </c>
      <c r="C6827" t="str">
        <f>"452131198209250310"</f>
        <v>452131198209250310</v>
      </c>
      <c r="D6827" t="s">
        <v>1</v>
      </c>
      <c r="E6827" t="s">
        <v>1</v>
      </c>
      <c r="F6827" t="s">
        <v>0</v>
      </c>
      <c r="G6827" t="str">
        <f>"2018-10-16 15:38:49"</f>
        <v>2018-10-16 15:38:49</v>
      </c>
    </row>
    <row r="6828" spans="1:7" x14ac:dyDescent="0.2">
      <c r="A6828" t="s">
        <v>1</v>
      </c>
      <c r="B6828" t="str">
        <f>"13888750842"</f>
        <v>13888750842</v>
      </c>
      <c r="C6828" t="s">
        <v>1</v>
      </c>
      <c r="D6828" t="s">
        <v>1</v>
      </c>
      <c r="E6828" t="s">
        <v>1</v>
      </c>
      <c r="F6828" t="s">
        <v>0</v>
      </c>
      <c r="G6828" t="str">
        <f>"2018-10-16 15:35:48"</f>
        <v>2018-10-16 15:35:48</v>
      </c>
    </row>
    <row r="6829" spans="1:7" x14ac:dyDescent="0.2">
      <c r="A6829" t="s">
        <v>1</v>
      </c>
      <c r="B6829" t="str">
        <f>"15125448670"</f>
        <v>15125448670</v>
      </c>
      <c r="C6829" t="s">
        <v>1</v>
      </c>
      <c r="D6829" t="s">
        <v>1</v>
      </c>
      <c r="E6829" t="s">
        <v>1</v>
      </c>
      <c r="F6829" t="s">
        <v>0</v>
      </c>
      <c r="G6829" t="str">
        <f>"2018-10-16 15:35:46"</f>
        <v>2018-10-16 15:35:46</v>
      </c>
    </row>
    <row r="6830" spans="1:7" x14ac:dyDescent="0.2">
      <c r="A6830" t="s">
        <v>7697</v>
      </c>
      <c r="B6830" t="str">
        <f>"18693608333"</f>
        <v>18693608333</v>
      </c>
      <c r="C6830" t="str">
        <f>"622201198609242730"</f>
        <v>622201198609242730</v>
      </c>
      <c r="D6830" t="s">
        <v>1</v>
      </c>
      <c r="E6830" t="s">
        <v>1</v>
      </c>
      <c r="F6830" t="s">
        <v>0</v>
      </c>
      <c r="G6830" t="str">
        <f>"2018-10-23 14:10:53"</f>
        <v>2018-10-23 14:10:53</v>
      </c>
    </row>
    <row r="6831" spans="1:7" x14ac:dyDescent="0.2">
      <c r="A6831" t="s">
        <v>7698</v>
      </c>
      <c r="B6831" t="str">
        <f>"13886311407"</f>
        <v>13886311407</v>
      </c>
      <c r="C6831" t="str">
        <f>"420702198303307671"</f>
        <v>420702198303307671</v>
      </c>
      <c r="D6831" t="s">
        <v>1</v>
      </c>
      <c r="E6831" t="s">
        <v>1</v>
      </c>
      <c r="F6831" t="s">
        <v>0</v>
      </c>
      <c r="G6831" t="str">
        <f>"2018-10-16 15:36:28"</f>
        <v>2018-10-16 15:36:28</v>
      </c>
    </row>
    <row r="6832" spans="1:7" x14ac:dyDescent="0.2">
      <c r="A6832" t="s">
        <v>7699</v>
      </c>
      <c r="B6832" t="str">
        <f>"18999887599"</f>
        <v>18999887599</v>
      </c>
      <c r="C6832" t="str">
        <f>"659001198303210657"</f>
        <v>659001198303210657</v>
      </c>
      <c r="D6832" t="s">
        <v>7700</v>
      </c>
      <c r="E6832" t="s">
        <v>7701</v>
      </c>
      <c r="F6832" t="s">
        <v>0</v>
      </c>
      <c r="G6832" t="str">
        <f>"2018-10-16 15:36:49"</f>
        <v>2018-10-16 15:36:49</v>
      </c>
    </row>
    <row r="6833" spans="1:7" x14ac:dyDescent="0.2">
      <c r="A6833" t="s">
        <v>7702</v>
      </c>
      <c r="B6833" t="str">
        <f>"18026483893"</f>
        <v>18026483893</v>
      </c>
      <c r="C6833" t="str">
        <f>"430682198912308838"</f>
        <v>430682198912308838</v>
      </c>
      <c r="D6833" t="s">
        <v>7703</v>
      </c>
      <c r="E6833" t="s">
        <v>7704</v>
      </c>
      <c r="F6833" t="s">
        <v>0</v>
      </c>
      <c r="G6833" t="str">
        <f>"2018-10-16 15:34:22"</f>
        <v>2018-10-16 15:34:22</v>
      </c>
    </row>
    <row r="6834" spans="1:7" x14ac:dyDescent="0.2">
      <c r="A6834" t="s">
        <v>7705</v>
      </c>
      <c r="B6834" t="str">
        <f>"15034695150"</f>
        <v>15034695150</v>
      </c>
      <c r="C6834" t="str">
        <f>"142422198807313024"</f>
        <v>142422198807313024</v>
      </c>
      <c r="D6834" t="s">
        <v>1</v>
      </c>
      <c r="E6834" t="s">
        <v>1</v>
      </c>
      <c r="F6834" t="s">
        <v>0</v>
      </c>
      <c r="G6834" t="str">
        <f>"2018-10-16 15:39:48"</f>
        <v>2018-10-16 15:39:48</v>
      </c>
    </row>
    <row r="6835" spans="1:7" x14ac:dyDescent="0.2">
      <c r="A6835" t="s">
        <v>1</v>
      </c>
      <c r="B6835" t="str">
        <f>"13983148777"</f>
        <v>13983148777</v>
      </c>
      <c r="C6835" t="s">
        <v>1</v>
      </c>
      <c r="D6835" t="s">
        <v>1</v>
      </c>
      <c r="E6835" t="s">
        <v>1</v>
      </c>
      <c r="F6835" t="s">
        <v>0</v>
      </c>
      <c r="G6835" t="str">
        <f>"2018-10-16 15:32:37"</f>
        <v>2018-10-16 15:32:37</v>
      </c>
    </row>
    <row r="6836" spans="1:7" x14ac:dyDescent="0.2">
      <c r="A6836" t="s">
        <v>1</v>
      </c>
      <c r="B6836" t="str">
        <f>"18240473645"</f>
        <v>18240473645</v>
      </c>
      <c r="C6836" t="s">
        <v>1</v>
      </c>
      <c r="D6836" t="s">
        <v>1</v>
      </c>
      <c r="E6836" t="s">
        <v>1</v>
      </c>
      <c r="F6836" t="s">
        <v>0</v>
      </c>
      <c r="G6836" t="str">
        <f>"2018-10-16 15:32:28"</f>
        <v>2018-10-16 15:32:28</v>
      </c>
    </row>
    <row r="6837" spans="1:7" x14ac:dyDescent="0.2">
      <c r="A6837" t="s">
        <v>7706</v>
      </c>
      <c r="B6837" t="str">
        <f>"18002172301"</f>
        <v>18002172301</v>
      </c>
      <c r="C6837" t="str">
        <f>"371423199308154711"</f>
        <v>371423199308154711</v>
      </c>
      <c r="D6837" t="s">
        <v>1</v>
      </c>
      <c r="E6837" t="s">
        <v>1</v>
      </c>
      <c r="F6837" t="s">
        <v>0</v>
      </c>
      <c r="G6837" t="str">
        <f>"2018-10-16 15:32:16"</f>
        <v>2018-10-16 15:32:16</v>
      </c>
    </row>
    <row r="6838" spans="1:7" x14ac:dyDescent="0.2">
      <c r="A6838" t="s">
        <v>7707</v>
      </c>
      <c r="B6838" t="str">
        <f>"18319373322"</f>
        <v>18319373322</v>
      </c>
      <c r="C6838" t="str">
        <f>"440803199108122911"</f>
        <v>440803199108122911</v>
      </c>
      <c r="D6838" t="s">
        <v>7708</v>
      </c>
      <c r="E6838" t="s">
        <v>7709</v>
      </c>
      <c r="F6838" t="s">
        <v>0</v>
      </c>
      <c r="G6838" t="str">
        <f>"2018-10-18 12:03:27"</f>
        <v>2018-10-18 12:03:27</v>
      </c>
    </row>
    <row r="6839" spans="1:7" x14ac:dyDescent="0.2">
      <c r="A6839" t="s">
        <v>7710</v>
      </c>
      <c r="B6839" t="str">
        <f>"18780679447"</f>
        <v>18780679447</v>
      </c>
      <c r="C6839" t="str">
        <f>"511524198807070022"</f>
        <v>511524198807070022</v>
      </c>
      <c r="D6839" t="s">
        <v>1</v>
      </c>
      <c r="E6839" t="s">
        <v>1</v>
      </c>
      <c r="F6839" t="s">
        <v>0</v>
      </c>
      <c r="G6839" t="str">
        <f>"2018-10-16 15:33:07"</f>
        <v>2018-10-16 15:33:07</v>
      </c>
    </row>
    <row r="6840" spans="1:7" x14ac:dyDescent="0.2">
      <c r="A6840" t="s">
        <v>7711</v>
      </c>
      <c r="B6840" t="str">
        <f>"15090473417"</f>
        <v>15090473417</v>
      </c>
      <c r="C6840" t="str">
        <f>"410711198711061521"</f>
        <v>410711198711061521</v>
      </c>
      <c r="D6840" t="s">
        <v>1</v>
      </c>
      <c r="E6840" t="s">
        <v>1</v>
      </c>
      <c r="F6840" t="s">
        <v>0</v>
      </c>
      <c r="G6840" t="str">
        <f>"2018-11-05 09:43:03"</f>
        <v>2018-11-05 09:43:03</v>
      </c>
    </row>
    <row r="6841" spans="1:7" x14ac:dyDescent="0.2">
      <c r="A6841" t="s">
        <v>1</v>
      </c>
      <c r="B6841" t="str">
        <f>"13211419841"</f>
        <v>13211419841</v>
      </c>
      <c r="C6841" t="s">
        <v>1</v>
      </c>
      <c r="D6841" t="s">
        <v>1</v>
      </c>
      <c r="E6841" t="s">
        <v>1</v>
      </c>
      <c r="F6841" t="s">
        <v>0</v>
      </c>
      <c r="G6841" t="str">
        <f>"2018-10-16 15:31:33"</f>
        <v>2018-10-16 15:31:33</v>
      </c>
    </row>
    <row r="6842" spans="1:7" x14ac:dyDescent="0.2">
      <c r="A6842" t="s">
        <v>7712</v>
      </c>
      <c r="B6842" t="str">
        <f>"18350704230"</f>
        <v>18350704230</v>
      </c>
      <c r="C6842" t="str">
        <f>"350681199804011058"</f>
        <v>350681199804011058</v>
      </c>
      <c r="D6842" t="s">
        <v>1</v>
      </c>
      <c r="E6842" t="s">
        <v>1</v>
      </c>
      <c r="F6842" t="s">
        <v>0</v>
      </c>
      <c r="G6842" t="str">
        <f>"2018-10-16 15:40:26"</f>
        <v>2018-10-16 15:40:26</v>
      </c>
    </row>
    <row r="6843" spans="1:7" x14ac:dyDescent="0.2">
      <c r="A6843" t="s">
        <v>7713</v>
      </c>
      <c r="B6843" t="str">
        <f>"15089366894"</f>
        <v>15089366894</v>
      </c>
      <c r="C6843" t="str">
        <f>"445202199410273150"</f>
        <v>445202199410273150</v>
      </c>
      <c r="D6843" t="s">
        <v>1</v>
      </c>
      <c r="E6843" t="s">
        <v>1</v>
      </c>
      <c r="F6843" t="s">
        <v>0</v>
      </c>
      <c r="G6843" t="str">
        <f>"2018-10-16 15:32:41"</f>
        <v>2018-10-16 15:32:41</v>
      </c>
    </row>
    <row r="6844" spans="1:7" x14ac:dyDescent="0.2">
      <c r="A6844" t="s">
        <v>7714</v>
      </c>
      <c r="B6844" t="str">
        <f>"18984498989"</f>
        <v>18984498989</v>
      </c>
      <c r="C6844" t="str">
        <f>"522601199207098038"</f>
        <v>522601199207098038</v>
      </c>
      <c r="D6844" t="s">
        <v>7715</v>
      </c>
      <c r="E6844" t="s">
        <v>7716</v>
      </c>
      <c r="F6844" t="s">
        <v>0</v>
      </c>
      <c r="G6844" t="str">
        <f>"2018-10-16 15:33:35"</f>
        <v>2018-10-16 15:33:35</v>
      </c>
    </row>
    <row r="6845" spans="1:7" x14ac:dyDescent="0.2">
      <c r="A6845" t="s">
        <v>7717</v>
      </c>
      <c r="B6845" t="str">
        <f>"13851081603"</f>
        <v>13851081603</v>
      </c>
      <c r="C6845" t="str">
        <f>"320902198607126033"</f>
        <v>320902198607126033</v>
      </c>
      <c r="D6845" t="s">
        <v>7718</v>
      </c>
      <c r="E6845" t="s">
        <v>7719</v>
      </c>
      <c r="F6845" t="s">
        <v>0</v>
      </c>
      <c r="G6845" t="str">
        <f>"2018-10-16 15:32:32"</f>
        <v>2018-10-16 15:32:32</v>
      </c>
    </row>
    <row r="6846" spans="1:7" x14ac:dyDescent="0.2">
      <c r="A6846" t="s">
        <v>1</v>
      </c>
      <c r="B6846" t="str">
        <f>"13652420626"</f>
        <v>13652420626</v>
      </c>
      <c r="C6846" t="s">
        <v>1</v>
      </c>
      <c r="D6846" t="s">
        <v>1</v>
      </c>
      <c r="E6846" t="s">
        <v>1</v>
      </c>
      <c r="F6846" t="s">
        <v>0</v>
      </c>
      <c r="G6846" t="str">
        <f>"2018-10-16 15:30:19"</f>
        <v>2018-10-16 15:30:19</v>
      </c>
    </row>
    <row r="6847" spans="1:7" x14ac:dyDescent="0.2">
      <c r="A6847" t="s">
        <v>7720</v>
      </c>
      <c r="B6847" t="str">
        <f>"13504941312"</f>
        <v>13504941312</v>
      </c>
      <c r="C6847" t="str">
        <f>"210112198908291423"</f>
        <v>210112198908291423</v>
      </c>
      <c r="D6847" t="s">
        <v>7721</v>
      </c>
      <c r="E6847" t="s">
        <v>7722</v>
      </c>
      <c r="F6847" t="s">
        <v>0</v>
      </c>
      <c r="G6847" t="str">
        <f>"2018-10-16 15:31:43"</f>
        <v>2018-10-16 15:31:43</v>
      </c>
    </row>
    <row r="6848" spans="1:7" x14ac:dyDescent="0.2">
      <c r="A6848" t="s">
        <v>2429</v>
      </c>
      <c r="B6848" t="str">
        <f>"18247328326"</f>
        <v>18247328326</v>
      </c>
      <c r="C6848" t="str">
        <f>"15282319910806131X"</f>
        <v>15282319910806131X</v>
      </c>
      <c r="D6848" t="s">
        <v>1</v>
      </c>
      <c r="E6848" t="s">
        <v>1</v>
      </c>
      <c r="F6848" t="s">
        <v>0</v>
      </c>
      <c r="G6848" t="str">
        <f>"2018-10-16 17:14:35"</f>
        <v>2018-10-16 17:14:35</v>
      </c>
    </row>
    <row r="6849" spans="1:7" x14ac:dyDescent="0.2">
      <c r="A6849" t="s">
        <v>7723</v>
      </c>
      <c r="B6849" t="str">
        <f>"15017908339"</f>
        <v>15017908339</v>
      </c>
      <c r="C6849" t="str">
        <f>"340823199311105318"</f>
        <v>340823199311105318</v>
      </c>
      <c r="D6849" t="s">
        <v>7724</v>
      </c>
      <c r="E6849" t="s">
        <v>7725</v>
      </c>
      <c r="F6849" t="s">
        <v>0</v>
      </c>
      <c r="G6849" t="str">
        <f>"2018-10-16 15:32:44"</f>
        <v>2018-10-16 15:32:44</v>
      </c>
    </row>
    <row r="6850" spans="1:7" x14ac:dyDescent="0.2">
      <c r="A6850" t="s">
        <v>220</v>
      </c>
      <c r="B6850" t="str">
        <f>"18688339871"</f>
        <v>18688339871</v>
      </c>
      <c r="C6850" t="str">
        <f>"411421199608100838"</f>
        <v>411421199608100838</v>
      </c>
      <c r="D6850" t="s">
        <v>1</v>
      </c>
      <c r="E6850" t="s">
        <v>1</v>
      </c>
      <c r="F6850" t="s">
        <v>0</v>
      </c>
      <c r="G6850" t="str">
        <f>"2018-10-16 15:30:37"</f>
        <v>2018-10-16 15:30:37</v>
      </c>
    </row>
    <row r="6851" spans="1:7" x14ac:dyDescent="0.2">
      <c r="A6851" t="s">
        <v>7726</v>
      </c>
      <c r="B6851" t="str">
        <f>"18281688688"</f>
        <v>18281688688</v>
      </c>
      <c r="C6851" t="str">
        <f>"510723198605154977"</f>
        <v>510723198605154977</v>
      </c>
      <c r="D6851" t="s">
        <v>1</v>
      </c>
      <c r="E6851" t="s">
        <v>1</v>
      </c>
      <c r="F6851" t="s">
        <v>0</v>
      </c>
      <c r="G6851" t="str">
        <f>"2018-10-16 15:31:08"</f>
        <v>2018-10-16 15:31:08</v>
      </c>
    </row>
    <row r="6852" spans="1:7" x14ac:dyDescent="0.2">
      <c r="A6852" t="s">
        <v>1</v>
      </c>
      <c r="B6852" t="str">
        <f>"18567985706"</f>
        <v>18567985706</v>
      </c>
      <c r="C6852" t="s">
        <v>1</v>
      </c>
      <c r="D6852" t="s">
        <v>1</v>
      </c>
      <c r="E6852" t="s">
        <v>1</v>
      </c>
      <c r="F6852" t="s">
        <v>0</v>
      </c>
      <c r="G6852" t="str">
        <f>"2018-10-16 15:28:49"</f>
        <v>2018-10-16 15:28:49</v>
      </c>
    </row>
    <row r="6853" spans="1:7" x14ac:dyDescent="0.2">
      <c r="A6853" t="s">
        <v>7727</v>
      </c>
      <c r="B6853" t="str">
        <f>"18760223200"</f>
        <v>18760223200</v>
      </c>
      <c r="C6853" t="str">
        <f>"352228198912171044"</f>
        <v>352228198912171044</v>
      </c>
      <c r="D6853" t="s">
        <v>1</v>
      </c>
      <c r="E6853" t="s">
        <v>1</v>
      </c>
      <c r="F6853" t="s">
        <v>0</v>
      </c>
      <c r="G6853" t="str">
        <f>"2018-10-16 15:30:01"</f>
        <v>2018-10-16 15:30:01</v>
      </c>
    </row>
    <row r="6854" spans="1:7" x14ac:dyDescent="0.2">
      <c r="A6854" t="s">
        <v>7728</v>
      </c>
      <c r="B6854" t="str">
        <f>"15934330037"</f>
        <v>15934330037</v>
      </c>
      <c r="C6854" t="str">
        <f>"140302199003060449"</f>
        <v>140302199003060449</v>
      </c>
      <c r="D6854" t="s">
        <v>1</v>
      </c>
      <c r="E6854" t="s">
        <v>1</v>
      </c>
      <c r="F6854" t="s">
        <v>0</v>
      </c>
      <c r="G6854" t="str">
        <f>"2018-10-17 12:37:07"</f>
        <v>2018-10-17 12:37:07</v>
      </c>
    </row>
    <row r="6855" spans="1:7" x14ac:dyDescent="0.2">
      <c r="A6855" t="s">
        <v>1</v>
      </c>
      <c r="B6855" t="str">
        <f>"13728075810"</f>
        <v>13728075810</v>
      </c>
      <c r="C6855" t="s">
        <v>1</v>
      </c>
      <c r="D6855" t="s">
        <v>1</v>
      </c>
      <c r="E6855" t="s">
        <v>1</v>
      </c>
      <c r="F6855" t="s">
        <v>0</v>
      </c>
      <c r="G6855" t="str">
        <f>"2018-10-16 15:28:04"</f>
        <v>2018-10-16 15:28:04</v>
      </c>
    </row>
    <row r="6856" spans="1:7" x14ac:dyDescent="0.2">
      <c r="A6856" t="s">
        <v>1</v>
      </c>
      <c r="B6856" t="str">
        <f>"15577838484"</f>
        <v>15577838484</v>
      </c>
      <c r="C6856" t="s">
        <v>1</v>
      </c>
      <c r="D6856" t="s">
        <v>1</v>
      </c>
      <c r="E6856" t="s">
        <v>1</v>
      </c>
      <c r="F6856" t="s">
        <v>0</v>
      </c>
      <c r="G6856" t="str">
        <f>"2018-10-16 15:28:08"</f>
        <v>2018-10-16 15:28:08</v>
      </c>
    </row>
    <row r="6857" spans="1:7" x14ac:dyDescent="0.2">
      <c r="A6857" t="s">
        <v>7729</v>
      </c>
      <c r="B6857" t="str">
        <f>"13092444434"</f>
        <v>13092444434</v>
      </c>
      <c r="C6857" t="str">
        <f>"321284199607198215"</f>
        <v>321284199607198215</v>
      </c>
      <c r="D6857" t="s">
        <v>1</v>
      </c>
      <c r="E6857" t="s">
        <v>1</v>
      </c>
      <c r="F6857" t="s">
        <v>0</v>
      </c>
      <c r="G6857" t="str">
        <f>"2018-10-16 15:50:39"</f>
        <v>2018-10-16 15:50:39</v>
      </c>
    </row>
    <row r="6858" spans="1:7" x14ac:dyDescent="0.2">
      <c r="A6858" t="s">
        <v>7730</v>
      </c>
      <c r="B6858" t="str">
        <f>"15724476209"</f>
        <v>15724476209</v>
      </c>
      <c r="C6858" t="str">
        <f>"210881198308114221"</f>
        <v>210881198308114221</v>
      </c>
      <c r="D6858" t="s">
        <v>1</v>
      </c>
      <c r="E6858" t="s">
        <v>1</v>
      </c>
      <c r="F6858" t="s">
        <v>0</v>
      </c>
      <c r="G6858" t="str">
        <f>"2018-10-18 15:54:39"</f>
        <v>2018-10-18 15:54:39</v>
      </c>
    </row>
    <row r="6859" spans="1:7" x14ac:dyDescent="0.2">
      <c r="A6859" t="s">
        <v>7731</v>
      </c>
      <c r="B6859" t="str">
        <f>"18555688961"</f>
        <v>18555688961</v>
      </c>
      <c r="C6859" t="str">
        <f>"342523198902282835"</f>
        <v>342523198902282835</v>
      </c>
      <c r="D6859" t="s">
        <v>1</v>
      </c>
      <c r="E6859" t="s">
        <v>1</v>
      </c>
      <c r="F6859" t="s">
        <v>0</v>
      </c>
      <c r="G6859" t="str">
        <f>"2018-10-16 15:27:02"</f>
        <v>2018-10-16 15:27:02</v>
      </c>
    </row>
    <row r="6860" spans="1:7" x14ac:dyDescent="0.2">
      <c r="A6860" t="s">
        <v>1</v>
      </c>
      <c r="B6860" t="str">
        <f>"18117762367"</f>
        <v>18117762367</v>
      </c>
      <c r="C6860" t="s">
        <v>1</v>
      </c>
      <c r="D6860" t="s">
        <v>1</v>
      </c>
      <c r="E6860" t="s">
        <v>1</v>
      </c>
      <c r="F6860" t="s">
        <v>0</v>
      </c>
      <c r="G6860" t="str">
        <f>"2018-10-16 15:26:50"</f>
        <v>2018-10-16 15:26:50</v>
      </c>
    </row>
    <row r="6861" spans="1:7" x14ac:dyDescent="0.2">
      <c r="A6861" t="s">
        <v>7732</v>
      </c>
      <c r="B6861" t="str">
        <f>"15956351840"</f>
        <v>15956351840</v>
      </c>
      <c r="C6861" t="str">
        <f>"342531198609101214"</f>
        <v>342531198609101214</v>
      </c>
      <c r="D6861" t="s">
        <v>1</v>
      </c>
      <c r="E6861" t="s">
        <v>1</v>
      </c>
      <c r="F6861" t="s">
        <v>0</v>
      </c>
      <c r="G6861" t="str">
        <f>"2018-10-16 15:28:46"</f>
        <v>2018-10-16 15:28:46</v>
      </c>
    </row>
    <row r="6862" spans="1:7" x14ac:dyDescent="0.2">
      <c r="A6862" t="s">
        <v>1</v>
      </c>
      <c r="B6862" t="str">
        <f>"15352542189"</f>
        <v>15352542189</v>
      </c>
      <c r="C6862" t="s">
        <v>1</v>
      </c>
      <c r="D6862" t="s">
        <v>1</v>
      </c>
      <c r="E6862" t="s">
        <v>1</v>
      </c>
      <c r="F6862" t="s">
        <v>0</v>
      </c>
      <c r="G6862" t="str">
        <f>"2018-10-16 15:31:26"</f>
        <v>2018-10-16 15:31:26</v>
      </c>
    </row>
    <row r="6863" spans="1:7" x14ac:dyDescent="0.2">
      <c r="A6863" t="s">
        <v>1</v>
      </c>
      <c r="B6863" t="str">
        <f>"18581833510"</f>
        <v>18581833510</v>
      </c>
      <c r="C6863" t="s">
        <v>1</v>
      </c>
      <c r="D6863" t="s">
        <v>1</v>
      </c>
      <c r="E6863" t="s">
        <v>1</v>
      </c>
      <c r="F6863" t="s">
        <v>0</v>
      </c>
      <c r="G6863" t="str">
        <f>"2018-10-16 15:25:56"</f>
        <v>2018-10-16 15:25:56</v>
      </c>
    </row>
    <row r="6864" spans="1:7" x14ac:dyDescent="0.2">
      <c r="A6864" t="s">
        <v>7733</v>
      </c>
      <c r="B6864" t="str">
        <f>"13577503654"</f>
        <v>13577503654</v>
      </c>
      <c r="C6864" t="str">
        <f>"533023198306130025"</f>
        <v>533023198306130025</v>
      </c>
      <c r="D6864" t="s">
        <v>1</v>
      </c>
      <c r="E6864" t="s">
        <v>1</v>
      </c>
      <c r="F6864" t="s">
        <v>0</v>
      </c>
      <c r="G6864" t="str">
        <f>"2018-10-16 15:30:27"</f>
        <v>2018-10-16 15:30:27</v>
      </c>
    </row>
    <row r="6865" spans="1:7" x14ac:dyDescent="0.2">
      <c r="A6865" t="s">
        <v>7734</v>
      </c>
      <c r="B6865" t="str">
        <f>"13594224330"</f>
        <v>13594224330</v>
      </c>
      <c r="C6865" t="str">
        <f>"510211198203023453"</f>
        <v>510211198203023453</v>
      </c>
      <c r="D6865" t="s">
        <v>1</v>
      </c>
      <c r="E6865" t="s">
        <v>1</v>
      </c>
      <c r="F6865" t="s">
        <v>0</v>
      </c>
      <c r="G6865" t="str">
        <f>"2018-10-24 23:47:23"</f>
        <v>2018-10-24 23:47:23</v>
      </c>
    </row>
    <row r="6866" spans="1:7" x14ac:dyDescent="0.2">
      <c r="A6866" t="s">
        <v>2434</v>
      </c>
      <c r="B6866" t="str">
        <f>"15990391284"</f>
        <v>15990391284</v>
      </c>
      <c r="C6866" t="str">
        <f>"330411199408224613"</f>
        <v>330411199408224613</v>
      </c>
      <c r="D6866" t="s">
        <v>1</v>
      </c>
      <c r="E6866" t="s">
        <v>1</v>
      </c>
      <c r="F6866" t="s">
        <v>0</v>
      </c>
      <c r="G6866" t="str">
        <f>"2018-10-16 15:34:13"</f>
        <v>2018-10-16 15:34:13</v>
      </c>
    </row>
    <row r="6867" spans="1:7" x14ac:dyDescent="0.2">
      <c r="A6867" t="s">
        <v>7735</v>
      </c>
      <c r="B6867" t="str">
        <f>"15110307306"</f>
        <v>15110307306</v>
      </c>
      <c r="C6867" t="str">
        <f>"140110198706141020"</f>
        <v>140110198706141020</v>
      </c>
      <c r="D6867" t="s">
        <v>1</v>
      </c>
      <c r="E6867" t="s">
        <v>1</v>
      </c>
      <c r="F6867" t="s">
        <v>0</v>
      </c>
      <c r="G6867" t="str">
        <f>"2018-10-17 16:51:52"</f>
        <v>2018-10-17 16:51:52</v>
      </c>
    </row>
    <row r="6868" spans="1:7" x14ac:dyDescent="0.2">
      <c r="A6868" t="s">
        <v>7736</v>
      </c>
      <c r="B6868" t="str">
        <f>"13005036097"</f>
        <v>13005036097</v>
      </c>
      <c r="C6868" t="str">
        <f>"460200197910300781"</f>
        <v>460200197910300781</v>
      </c>
      <c r="D6868" t="s">
        <v>1</v>
      </c>
      <c r="E6868" t="s">
        <v>1</v>
      </c>
      <c r="F6868" t="s">
        <v>0</v>
      </c>
      <c r="G6868" t="str">
        <f>"2018-10-16 15:23:48"</f>
        <v>2018-10-16 15:23:48</v>
      </c>
    </row>
    <row r="6869" spans="1:7" x14ac:dyDescent="0.2">
      <c r="A6869" t="s">
        <v>7737</v>
      </c>
      <c r="B6869" t="str">
        <f>"13238492922"</f>
        <v>13238492922</v>
      </c>
      <c r="C6869" t="str">
        <f>"370685198801185049"</f>
        <v>370685198801185049</v>
      </c>
      <c r="D6869" t="s">
        <v>1</v>
      </c>
      <c r="E6869" t="s">
        <v>1</v>
      </c>
      <c r="F6869" t="s">
        <v>0</v>
      </c>
      <c r="G6869" t="str">
        <f>"2018-10-16 15:24:50"</f>
        <v>2018-10-16 15:24:50</v>
      </c>
    </row>
    <row r="6870" spans="1:7" x14ac:dyDescent="0.2">
      <c r="A6870" t="s">
        <v>69</v>
      </c>
      <c r="B6870" t="str">
        <f>"18367271133"</f>
        <v>18367271133</v>
      </c>
      <c r="C6870" t="str">
        <f>"330522199507122932"</f>
        <v>330522199507122932</v>
      </c>
      <c r="D6870" t="s">
        <v>7738</v>
      </c>
      <c r="E6870" t="s">
        <v>7739</v>
      </c>
      <c r="F6870" t="s">
        <v>0</v>
      </c>
      <c r="G6870" t="str">
        <f>"2018-10-16 17:03:05"</f>
        <v>2018-10-16 17:03:05</v>
      </c>
    </row>
    <row r="6871" spans="1:7" x14ac:dyDescent="0.2">
      <c r="A6871" t="s">
        <v>7740</v>
      </c>
      <c r="B6871" t="str">
        <f>"18333973800"</f>
        <v>18333973800</v>
      </c>
      <c r="C6871" t="str">
        <f>"142227198205150433"</f>
        <v>142227198205150433</v>
      </c>
      <c r="D6871" t="s">
        <v>1</v>
      </c>
      <c r="E6871" t="s">
        <v>1</v>
      </c>
      <c r="F6871" t="s">
        <v>0</v>
      </c>
      <c r="G6871" t="str">
        <f>"2018-10-16 15:24:49"</f>
        <v>2018-10-16 15:24:49</v>
      </c>
    </row>
    <row r="6872" spans="1:7" x14ac:dyDescent="0.2">
      <c r="A6872" t="s">
        <v>350</v>
      </c>
      <c r="B6872" t="str">
        <f>"18069932648"</f>
        <v>18069932648</v>
      </c>
      <c r="C6872" t="str">
        <f>"362326198308074218"</f>
        <v>362326198308074218</v>
      </c>
      <c r="D6872" t="s">
        <v>7741</v>
      </c>
      <c r="E6872" t="s">
        <v>7742</v>
      </c>
      <c r="F6872" t="s">
        <v>0</v>
      </c>
      <c r="G6872" t="str">
        <f>"2018-10-16 15:40:10"</f>
        <v>2018-10-16 15:40:10</v>
      </c>
    </row>
    <row r="6873" spans="1:7" x14ac:dyDescent="0.2">
      <c r="A6873" t="s">
        <v>7743</v>
      </c>
      <c r="B6873" t="str">
        <f>"18288234374"</f>
        <v>18288234374</v>
      </c>
      <c r="C6873" t="str">
        <f>"530111197702102635"</f>
        <v>530111197702102635</v>
      </c>
      <c r="D6873" t="s">
        <v>1</v>
      </c>
      <c r="E6873" t="s">
        <v>1</v>
      </c>
      <c r="F6873" t="s">
        <v>0</v>
      </c>
      <c r="G6873" t="str">
        <f>"2018-10-24 12:00:54"</f>
        <v>2018-10-24 12:00:54</v>
      </c>
    </row>
    <row r="6874" spans="1:7" x14ac:dyDescent="0.2">
      <c r="A6874" t="s">
        <v>7744</v>
      </c>
      <c r="B6874" t="str">
        <f>"13608370848"</f>
        <v>13608370848</v>
      </c>
      <c r="C6874" t="str">
        <f>"500221198502216811"</f>
        <v>500221198502216811</v>
      </c>
      <c r="D6874" t="s">
        <v>1</v>
      </c>
      <c r="E6874" t="s">
        <v>1</v>
      </c>
      <c r="F6874" t="s">
        <v>0</v>
      </c>
      <c r="G6874" t="str">
        <f>"2018-10-16 15:24:00"</f>
        <v>2018-10-16 15:24:00</v>
      </c>
    </row>
    <row r="6875" spans="1:7" x14ac:dyDescent="0.2">
      <c r="A6875" t="s">
        <v>7745</v>
      </c>
      <c r="B6875" t="str">
        <f>"13840112371"</f>
        <v>13840112371</v>
      </c>
      <c r="C6875" t="str">
        <f>"210103198509184819"</f>
        <v>210103198509184819</v>
      </c>
      <c r="D6875" t="s">
        <v>7746</v>
      </c>
      <c r="E6875" t="s">
        <v>7747</v>
      </c>
      <c r="F6875" t="s">
        <v>0</v>
      </c>
      <c r="G6875" t="str">
        <f>"2018-10-16 15:24:57"</f>
        <v>2018-10-16 15:24:57</v>
      </c>
    </row>
    <row r="6876" spans="1:7" x14ac:dyDescent="0.2">
      <c r="A6876" t="s">
        <v>7748</v>
      </c>
      <c r="B6876" t="str">
        <f>"15244778976"</f>
        <v>15244778976</v>
      </c>
      <c r="C6876" t="str">
        <f>"232324199309152719"</f>
        <v>232324199309152719</v>
      </c>
      <c r="D6876" t="s">
        <v>1</v>
      </c>
      <c r="E6876" t="s">
        <v>1</v>
      </c>
      <c r="F6876" t="s">
        <v>0</v>
      </c>
      <c r="G6876" t="str">
        <f>"2018-10-16 15:24:17"</f>
        <v>2018-10-16 15:24:17</v>
      </c>
    </row>
    <row r="6877" spans="1:7" x14ac:dyDescent="0.2">
      <c r="A6877" t="s">
        <v>7749</v>
      </c>
      <c r="B6877" t="str">
        <f>"13813703871"</f>
        <v>13813703871</v>
      </c>
      <c r="C6877" t="str">
        <f>"320681198612206213"</f>
        <v>320681198612206213</v>
      </c>
      <c r="D6877" t="s">
        <v>1</v>
      </c>
      <c r="E6877" t="s">
        <v>1</v>
      </c>
      <c r="F6877" t="s">
        <v>0</v>
      </c>
      <c r="G6877" t="str">
        <f>"2018-10-16 15:22:54"</f>
        <v>2018-10-16 15:22:54</v>
      </c>
    </row>
    <row r="6878" spans="1:7" x14ac:dyDescent="0.2">
      <c r="A6878" t="s">
        <v>1</v>
      </c>
      <c r="B6878" t="str">
        <f>"15143840303"</f>
        <v>15143840303</v>
      </c>
      <c r="C6878" t="s">
        <v>1</v>
      </c>
      <c r="D6878" t="s">
        <v>1</v>
      </c>
      <c r="E6878" t="s">
        <v>1</v>
      </c>
      <c r="F6878" t="s">
        <v>0</v>
      </c>
      <c r="G6878" t="str">
        <f>"2018-10-16 15:21:45"</f>
        <v>2018-10-16 15:21:45</v>
      </c>
    </row>
    <row r="6879" spans="1:7" x14ac:dyDescent="0.2">
      <c r="A6879" t="s">
        <v>1</v>
      </c>
      <c r="B6879" t="str">
        <f>"17696642836"</f>
        <v>17696642836</v>
      </c>
      <c r="C6879" t="s">
        <v>1</v>
      </c>
      <c r="D6879" t="s">
        <v>1</v>
      </c>
      <c r="E6879" t="s">
        <v>1</v>
      </c>
      <c r="F6879" t="s">
        <v>0</v>
      </c>
      <c r="G6879" t="str">
        <f>"2018-10-16 15:20:42"</f>
        <v>2018-10-16 15:20:42</v>
      </c>
    </row>
    <row r="6880" spans="1:7" x14ac:dyDescent="0.2">
      <c r="A6880" t="s">
        <v>7750</v>
      </c>
      <c r="B6880" t="str">
        <f>"15141052048"</f>
        <v>15141052048</v>
      </c>
      <c r="C6880" t="str">
        <f>"211282198012262211"</f>
        <v>211282198012262211</v>
      </c>
      <c r="D6880" t="s">
        <v>1</v>
      </c>
      <c r="E6880" t="s">
        <v>1</v>
      </c>
      <c r="F6880" t="s">
        <v>0</v>
      </c>
      <c r="G6880" t="str">
        <f>"2018-10-16 15:21:36"</f>
        <v>2018-10-16 15:21:36</v>
      </c>
    </row>
    <row r="6881" spans="1:7" x14ac:dyDescent="0.2">
      <c r="A6881" t="s">
        <v>1</v>
      </c>
      <c r="B6881" t="str">
        <f>"13630703334"</f>
        <v>13630703334</v>
      </c>
      <c r="C6881" t="s">
        <v>1</v>
      </c>
      <c r="D6881" t="s">
        <v>1</v>
      </c>
      <c r="E6881" t="s">
        <v>1</v>
      </c>
      <c r="F6881" t="s">
        <v>0</v>
      </c>
      <c r="G6881" t="str">
        <f>"2018-10-16 15:22:16"</f>
        <v>2018-10-16 15:22:16</v>
      </c>
    </row>
    <row r="6882" spans="1:7" x14ac:dyDescent="0.2">
      <c r="A6882" t="s">
        <v>7751</v>
      </c>
      <c r="B6882" t="str">
        <f>"13396364623"</f>
        <v>13396364623</v>
      </c>
      <c r="C6882" t="str">
        <f>"370724198411214345"</f>
        <v>370724198411214345</v>
      </c>
      <c r="D6882" t="s">
        <v>1</v>
      </c>
      <c r="E6882" t="s">
        <v>1</v>
      </c>
      <c r="F6882" t="s">
        <v>0</v>
      </c>
      <c r="G6882" t="str">
        <f>"2018-11-01 13:34:14"</f>
        <v>2018-11-01 13:34:14</v>
      </c>
    </row>
    <row r="6883" spans="1:7" x14ac:dyDescent="0.2">
      <c r="A6883" t="s">
        <v>7752</v>
      </c>
      <c r="B6883" t="str">
        <f>"15062021015"</f>
        <v>15062021015</v>
      </c>
      <c r="C6883" t="str">
        <f>"320324199110155664"</f>
        <v>320324199110155664</v>
      </c>
      <c r="D6883" t="s">
        <v>1</v>
      </c>
      <c r="E6883" t="s">
        <v>1</v>
      </c>
      <c r="F6883" t="s">
        <v>0</v>
      </c>
      <c r="G6883" t="str">
        <f>"2018-10-23 14:08:53"</f>
        <v>2018-10-23 14:08:53</v>
      </c>
    </row>
    <row r="6884" spans="1:7" x14ac:dyDescent="0.2">
      <c r="A6884" t="s">
        <v>1</v>
      </c>
      <c r="B6884" t="str">
        <f>"18282233832"</f>
        <v>18282233832</v>
      </c>
      <c r="C6884" t="s">
        <v>1</v>
      </c>
      <c r="D6884" t="s">
        <v>1</v>
      </c>
      <c r="E6884" t="s">
        <v>1</v>
      </c>
      <c r="F6884" t="s">
        <v>0</v>
      </c>
      <c r="G6884" t="str">
        <f>"2018-10-16 15:18:44"</f>
        <v>2018-10-16 15:18:44</v>
      </c>
    </row>
    <row r="6885" spans="1:7" x14ac:dyDescent="0.2">
      <c r="A6885" t="s">
        <v>7753</v>
      </c>
      <c r="B6885" t="str">
        <f>"13694524220"</f>
        <v>13694524220</v>
      </c>
      <c r="C6885" t="str">
        <f>"230202198611130617"</f>
        <v>230202198611130617</v>
      </c>
      <c r="D6885" t="s">
        <v>7754</v>
      </c>
      <c r="E6885" t="s">
        <v>7755</v>
      </c>
      <c r="F6885" t="s">
        <v>0</v>
      </c>
      <c r="G6885" t="str">
        <f>"2018-10-16 15:25:02"</f>
        <v>2018-10-16 15:25:02</v>
      </c>
    </row>
    <row r="6886" spans="1:7" x14ac:dyDescent="0.2">
      <c r="A6886" t="s">
        <v>1</v>
      </c>
      <c r="B6886" t="str">
        <f>"15528719131"</f>
        <v>15528719131</v>
      </c>
      <c r="C6886" t="s">
        <v>1</v>
      </c>
      <c r="D6886" t="s">
        <v>1</v>
      </c>
      <c r="E6886" t="s">
        <v>1</v>
      </c>
      <c r="F6886" t="s">
        <v>0</v>
      </c>
      <c r="G6886" t="str">
        <f>"2018-10-16 15:18:20"</f>
        <v>2018-10-16 15:18:20</v>
      </c>
    </row>
    <row r="6887" spans="1:7" x14ac:dyDescent="0.2">
      <c r="A6887" t="s">
        <v>7756</v>
      </c>
      <c r="B6887" t="str">
        <f>"18501497580"</f>
        <v>18501497580</v>
      </c>
      <c r="C6887" t="str">
        <f>"320721199610051215"</f>
        <v>320721199610051215</v>
      </c>
      <c r="D6887" t="s">
        <v>1</v>
      </c>
      <c r="E6887" t="s">
        <v>1</v>
      </c>
      <c r="F6887" t="s">
        <v>0</v>
      </c>
      <c r="G6887" t="str">
        <f>"2018-10-16 15:21:48"</f>
        <v>2018-10-16 15:21:48</v>
      </c>
    </row>
    <row r="6888" spans="1:7" x14ac:dyDescent="0.2">
      <c r="A6888" t="s">
        <v>7757</v>
      </c>
      <c r="B6888" t="str">
        <f>"15272683100"</f>
        <v>15272683100</v>
      </c>
      <c r="C6888" t="str">
        <f>"421281198704011926"</f>
        <v>421281198704011926</v>
      </c>
      <c r="D6888" t="s">
        <v>1</v>
      </c>
      <c r="E6888" t="s">
        <v>1</v>
      </c>
      <c r="F6888" t="s">
        <v>0</v>
      </c>
      <c r="G6888" t="str">
        <f>"2018-10-16 15:19:23"</f>
        <v>2018-10-16 15:19:23</v>
      </c>
    </row>
    <row r="6889" spans="1:7" x14ac:dyDescent="0.2">
      <c r="A6889" t="s">
        <v>833</v>
      </c>
      <c r="B6889" t="str">
        <f>"17645514584"</f>
        <v>17645514584</v>
      </c>
      <c r="C6889" t="str">
        <f>"232303198808012618"</f>
        <v>232303198808012618</v>
      </c>
      <c r="D6889" t="s">
        <v>1</v>
      </c>
      <c r="E6889" t="s">
        <v>1</v>
      </c>
      <c r="F6889" t="s">
        <v>0</v>
      </c>
      <c r="G6889" t="str">
        <f>"2018-10-16 16:52:24"</f>
        <v>2018-10-16 16:52:24</v>
      </c>
    </row>
    <row r="6890" spans="1:7" x14ac:dyDescent="0.2">
      <c r="A6890" t="s">
        <v>7758</v>
      </c>
      <c r="B6890" t="str">
        <f>"13799526802"</f>
        <v>13799526802</v>
      </c>
      <c r="C6890" t="str">
        <f>"612323199007103924"</f>
        <v>612323199007103924</v>
      </c>
      <c r="D6890" t="s">
        <v>1</v>
      </c>
      <c r="E6890" t="s">
        <v>1</v>
      </c>
      <c r="F6890" t="s">
        <v>0</v>
      </c>
      <c r="G6890" t="str">
        <f>"2018-10-17 13:21:48"</f>
        <v>2018-10-17 13:21:48</v>
      </c>
    </row>
    <row r="6891" spans="1:7" x14ac:dyDescent="0.2">
      <c r="A6891" t="s">
        <v>7759</v>
      </c>
      <c r="B6891" t="str">
        <f>"18396512621"</f>
        <v>18396512621</v>
      </c>
      <c r="C6891" t="str">
        <f>"350121198409096735"</f>
        <v>350121198409096735</v>
      </c>
      <c r="D6891" t="s">
        <v>1</v>
      </c>
      <c r="E6891" t="s">
        <v>1</v>
      </c>
      <c r="F6891" t="s">
        <v>0</v>
      </c>
      <c r="G6891" t="str">
        <f>"2018-10-17 09:06:11"</f>
        <v>2018-10-17 09:06:11</v>
      </c>
    </row>
    <row r="6892" spans="1:7" x14ac:dyDescent="0.2">
      <c r="A6892" t="s">
        <v>763</v>
      </c>
      <c r="B6892" t="str">
        <f>"13614035806"</f>
        <v>13614035806</v>
      </c>
      <c r="C6892" t="str">
        <f>"152105199410152115"</f>
        <v>152105199410152115</v>
      </c>
      <c r="D6892" t="s">
        <v>1</v>
      </c>
      <c r="E6892" t="s">
        <v>1</v>
      </c>
      <c r="F6892" t="s">
        <v>0</v>
      </c>
      <c r="G6892" t="str">
        <f>"2018-10-16 15:19:55"</f>
        <v>2018-10-16 15:19:55</v>
      </c>
    </row>
    <row r="6893" spans="1:7" x14ac:dyDescent="0.2">
      <c r="A6893" t="s">
        <v>7760</v>
      </c>
      <c r="B6893" t="str">
        <f>"15193015750"</f>
        <v>15193015750</v>
      </c>
      <c r="C6893" t="str">
        <f>"620422198911141413"</f>
        <v>620422198911141413</v>
      </c>
      <c r="D6893" t="s">
        <v>1</v>
      </c>
      <c r="E6893" t="s">
        <v>1</v>
      </c>
      <c r="F6893" t="s">
        <v>0</v>
      </c>
      <c r="G6893" t="str">
        <f>"2018-10-16 15:18:00"</f>
        <v>2018-10-16 15:18:00</v>
      </c>
    </row>
    <row r="6894" spans="1:7" x14ac:dyDescent="0.2">
      <c r="A6894" t="s">
        <v>1</v>
      </c>
      <c r="B6894" t="str">
        <f>"15259572338"</f>
        <v>15259572338</v>
      </c>
      <c r="C6894" t="s">
        <v>1</v>
      </c>
      <c r="D6894" t="s">
        <v>1</v>
      </c>
      <c r="E6894" t="s">
        <v>1</v>
      </c>
      <c r="F6894" t="s">
        <v>0</v>
      </c>
      <c r="G6894" t="str">
        <f>"2018-10-16 15:15:40"</f>
        <v>2018-10-16 15:15:40</v>
      </c>
    </row>
    <row r="6895" spans="1:7" x14ac:dyDescent="0.2">
      <c r="A6895" t="s">
        <v>7761</v>
      </c>
      <c r="B6895" t="str">
        <f>"18939150768"</f>
        <v>18939150768</v>
      </c>
      <c r="C6895" t="str">
        <f>"410823199007010312"</f>
        <v>410823199007010312</v>
      </c>
      <c r="D6895" t="s">
        <v>1</v>
      </c>
      <c r="E6895" t="s">
        <v>1</v>
      </c>
      <c r="F6895" t="s">
        <v>0</v>
      </c>
      <c r="G6895" t="str">
        <f>"2018-10-16 15:17:19"</f>
        <v>2018-10-16 15:17:19</v>
      </c>
    </row>
    <row r="6896" spans="1:7" x14ac:dyDescent="0.2">
      <c r="A6896" t="s">
        <v>7762</v>
      </c>
      <c r="B6896" t="str">
        <f>"18611308139"</f>
        <v>18611308139</v>
      </c>
      <c r="C6896" t="str">
        <f>"411303199006051524"</f>
        <v>411303199006051524</v>
      </c>
      <c r="D6896" t="s">
        <v>1</v>
      </c>
      <c r="E6896" t="s">
        <v>1</v>
      </c>
      <c r="F6896" t="s">
        <v>0</v>
      </c>
      <c r="G6896" t="str">
        <f>"2018-10-20 10:52:18"</f>
        <v>2018-10-20 10:52:18</v>
      </c>
    </row>
    <row r="6897" spans="1:7" x14ac:dyDescent="0.2">
      <c r="A6897" t="s">
        <v>7763</v>
      </c>
      <c r="B6897" t="str">
        <f>"15095159835"</f>
        <v>15095159835</v>
      </c>
      <c r="C6897" t="str">
        <f>"370725198706142824"</f>
        <v>370725198706142824</v>
      </c>
      <c r="D6897" t="s">
        <v>1</v>
      </c>
      <c r="E6897" t="s">
        <v>1</v>
      </c>
      <c r="F6897" t="s">
        <v>0</v>
      </c>
      <c r="G6897" t="str">
        <f>"2018-10-16 15:15:54"</f>
        <v>2018-10-16 15:15:54</v>
      </c>
    </row>
    <row r="6898" spans="1:7" x14ac:dyDescent="0.2">
      <c r="A6898" t="s">
        <v>7764</v>
      </c>
      <c r="B6898" t="str">
        <f>"18021432260"</f>
        <v>18021432260</v>
      </c>
      <c r="C6898" t="str">
        <f>"342221199212081038"</f>
        <v>342221199212081038</v>
      </c>
      <c r="D6898" t="s">
        <v>1</v>
      </c>
      <c r="E6898" t="s">
        <v>1</v>
      </c>
      <c r="F6898" t="s">
        <v>0</v>
      </c>
      <c r="G6898" t="str">
        <f>"2018-10-16 15:18:30"</f>
        <v>2018-10-16 15:18:30</v>
      </c>
    </row>
    <row r="6899" spans="1:7" x14ac:dyDescent="0.2">
      <c r="A6899" t="s">
        <v>7765</v>
      </c>
      <c r="B6899" t="str">
        <f>"18661413230"</f>
        <v>18661413230</v>
      </c>
      <c r="C6899" t="str">
        <f>"230921199212032210"</f>
        <v>230921199212032210</v>
      </c>
      <c r="D6899" t="s">
        <v>7766</v>
      </c>
      <c r="E6899" t="s">
        <v>7767</v>
      </c>
      <c r="F6899" t="s">
        <v>0</v>
      </c>
      <c r="G6899" t="str">
        <f>"2018-10-16 15:16:10"</f>
        <v>2018-10-16 15:16:10</v>
      </c>
    </row>
    <row r="6900" spans="1:7" x14ac:dyDescent="0.2">
      <c r="A6900" t="s">
        <v>7768</v>
      </c>
      <c r="B6900" t="str">
        <f>"15286916287"</f>
        <v>15286916287</v>
      </c>
      <c r="C6900" t="str">
        <f>"410922197903220617"</f>
        <v>410922197903220617</v>
      </c>
      <c r="D6900" t="s">
        <v>1</v>
      </c>
      <c r="E6900" t="s">
        <v>1</v>
      </c>
      <c r="F6900" t="s">
        <v>0</v>
      </c>
      <c r="G6900" t="str">
        <f>"2018-10-16 15:14:41"</f>
        <v>2018-10-16 15:14:41</v>
      </c>
    </row>
    <row r="6901" spans="1:7" x14ac:dyDescent="0.2">
      <c r="A6901" t="s">
        <v>1</v>
      </c>
      <c r="B6901" t="str">
        <f>"18577170008"</f>
        <v>18577170008</v>
      </c>
      <c r="C6901" t="s">
        <v>1</v>
      </c>
      <c r="D6901" t="s">
        <v>1</v>
      </c>
      <c r="E6901" t="s">
        <v>1</v>
      </c>
      <c r="F6901" t="s">
        <v>0</v>
      </c>
      <c r="G6901" t="str">
        <f>"2018-10-16 15:14:19"</f>
        <v>2018-10-16 15:14:19</v>
      </c>
    </row>
    <row r="6902" spans="1:7" x14ac:dyDescent="0.2">
      <c r="A6902" t="s">
        <v>7769</v>
      </c>
      <c r="B6902" t="str">
        <f>"15083937571"</f>
        <v>15083937571</v>
      </c>
      <c r="C6902" t="str">
        <f>"360731198401097116"</f>
        <v>360731198401097116</v>
      </c>
      <c r="D6902" t="s">
        <v>1</v>
      </c>
      <c r="E6902" t="s">
        <v>1</v>
      </c>
      <c r="F6902" t="s">
        <v>0</v>
      </c>
      <c r="G6902" t="str">
        <f>"2018-10-16 15:16:55"</f>
        <v>2018-10-16 15:16:55</v>
      </c>
    </row>
    <row r="6903" spans="1:7" x14ac:dyDescent="0.2">
      <c r="A6903" t="s">
        <v>7770</v>
      </c>
      <c r="B6903" t="str">
        <f>"17610525962"</f>
        <v>17610525962</v>
      </c>
      <c r="C6903" t="str">
        <f>"622628198702154470"</f>
        <v>622628198702154470</v>
      </c>
      <c r="D6903" t="s">
        <v>1</v>
      </c>
      <c r="E6903" t="s">
        <v>1</v>
      </c>
      <c r="F6903" t="s">
        <v>0</v>
      </c>
      <c r="G6903" t="str">
        <f>"2018-10-16 15:14:58"</f>
        <v>2018-10-16 15:14:58</v>
      </c>
    </row>
    <row r="6904" spans="1:7" x14ac:dyDescent="0.2">
      <c r="A6904" t="s">
        <v>7771</v>
      </c>
      <c r="B6904" t="str">
        <f>"15974988796"</f>
        <v>15974988796</v>
      </c>
      <c r="C6904" t="str">
        <f>"530421199809222141"</f>
        <v>530421199809222141</v>
      </c>
      <c r="D6904" t="s">
        <v>7772</v>
      </c>
      <c r="E6904" t="s">
        <v>7773</v>
      </c>
      <c r="F6904" t="s">
        <v>0</v>
      </c>
      <c r="G6904" t="str">
        <f>"2018-10-16 15:15:49"</f>
        <v>2018-10-16 15:15:49</v>
      </c>
    </row>
    <row r="6905" spans="1:7" x14ac:dyDescent="0.2">
      <c r="A6905" t="s">
        <v>7774</v>
      </c>
      <c r="B6905" t="str">
        <f>"18539595818"</f>
        <v>18539595818</v>
      </c>
      <c r="C6905" t="str">
        <f>"410326199702163718"</f>
        <v>410326199702163718</v>
      </c>
      <c r="D6905" t="s">
        <v>7775</v>
      </c>
      <c r="E6905" t="s">
        <v>7776</v>
      </c>
      <c r="F6905" t="s">
        <v>0</v>
      </c>
      <c r="G6905" t="str">
        <f>"2018-10-16 15:22:15"</f>
        <v>2018-10-16 15:22:15</v>
      </c>
    </row>
    <row r="6906" spans="1:7" x14ac:dyDescent="0.2">
      <c r="A6906" t="s">
        <v>1</v>
      </c>
      <c r="B6906" t="str">
        <f>"13689949844"</f>
        <v>13689949844</v>
      </c>
      <c r="C6906" t="s">
        <v>1</v>
      </c>
      <c r="D6906" t="s">
        <v>1</v>
      </c>
      <c r="E6906" t="s">
        <v>1</v>
      </c>
      <c r="F6906" t="s">
        <v>0</v>
      </c>
      <c r="G6906" t="str">
        <f>"2018-10-16 15:12:55"</f>
        <v>2018-10-16 15:12:55</v>
      </c>
    </row>
    <row r="6907" spans="1:7" x14ac:dyDescent="0.2">
      <c r="A6907" t="s">
        <v>1</v>
      </c>
      <c r="B6907" t="str">
        <f>"13559300570"</f>
        <v>13559300570</v>
      </c>
      <c r="C6907" t="s">
        <v>1</v>
      </c>
      <c r="D6907" t="s">
        <v>1</v>
      </c>
      <c r="E6907" t="s">
        <v>1</v>
      </c>
      <c r="F6907" t="s">
        <v>0</v>
      </c>
      <c r="G6907" t="str">
        <f>"2018-10-16 15:12:54"</f>
        <v>2018-10-16 15:12:54</v>
      </c>
    </row>
    <row r="6908" spans="1:7" x14ac:dyDescent="0.2">
      <c r="A6908" t="s">
        <v>7777</v>
      </c>
      <c r="B6908" t="str">
        <f>"15287932602"</f>
        <v>15287932602</v>
      </c>
      <c r="C6908" t="str">
        <f>"530324199805132150"</f>
        <v>530324199805132150</v>
      </c>
      <c r="D6908" t="s">
        <v>1</v>
      </c>
      <c r="E6908" t="s">
        <v>1</v>
      </c>
      <c r="F6908" t="s">
        <v>0</v>
      </c>
      <c r="G6908" t="str">
        <f>"2018-10-23 14:09:18"</f>
        <v>2018-10-23 14:09:18</v>
      </c>
    </row>
    <row r="6909" spans="1:7" x14ac:dyDescent="0.2">
      <c r="A6909" t="s">
        <v>1</v>
      </c>
      <c r="B6909" t="str">
        <f>"18954770456"</f>
        <v>18954770456</v>
      </c>
      <c r="C6909" t="s">
        <v>1</v>
      </c>
      <c r="D6909" t="s">
        <v>1</v>
      </c>
      <c r="E6909" t="s">
        <v>1</v>
      </c>
      <c r="F6909" t="s">
        <v>0</v>
      </c>
      <c r="G6909" t="str">
        <f>"2018-10-16 15:12:09"</f>
        <v>2018-10-16 15:12:09</v>
      </c>
    </row>
    <row r="6910" spans="1:7" x14ac:dyDescent="0.2">
      <c r="A6910" t="s">
        <v>105</v>
      </c>
      <c r="B6910" t="str">
        <f>"17610962221"</f>
        <v>17610962221</v>
      </c>
      <c r="C6910" t="str">
        <f>"14233019930802311X"</f>
        <v>14233019930802311X</v>
      </c>
      <c r="D6910" t="s">
        <v>1</v>
      </c>
      <c r="E6910" t="s">
        <v>1</v>
      </c>
      <c r="F6910" t="s">
        <v>0</v>
      </c>
      <c r="G6910" t="str">
        <f>"2018-10-16 15:13:50"</f>
        <v>2018-10-16 15:13:50</v>
      </c>
    </row>
    <row r="6911" spans="1:7" x14ac:dyDescent="0.2">
      <c r="A6911" t="s">
        <v>7778</v>
      </c>
      <c r="B6911" t="str">
        <f>"13214700446"</f>
        <v>13214700446</v>
      </c>
      <c r="C6911" t="str">
        <f>"410926199308154883"</f>
        <v>410926199308154883</v>
      </c>
      <c r="D6911" t="s">
        <v>1</v>
      </c>
      <c r="E6911" t="s">
        <v>1</v>
      </c>
      <c r="F6911" t="s">
        <v>0</v>
      </c>
      <c r="G6911" t="str">
        <f>"2018-10-16 15:11:39"</f>
        <v>2018-10-16 15:11:39</v>
      </c>
    </row>
    <row r="6912" spans="1:7" x14ac:dyDescent="0.2">
      <c r="A6912" t="s">
        <v>7779</v>
      </c>
      <c r="B6912" t="str">
        <f>"18575788261"</f>
        <v>18575788261</v>
      </c>
      <c r="C6912" t="str">
        <f>"440782199110166825"</f>
        <v>440782199110166825</v>
      </c>
      <c r="D6912" t="s">
        <v>1</v>
      </c>
      <c r="E6912" t="s">
        <v>1</v>
      </c>
      <c r="F6912" t="s">
        <v>0</v>
      </c>
      <c r="G6912" t="str">
        <f>"2018-10-25 09:36:30"</f>
        <v>2018-10-25 09:36:30</v>
      </c>
    </row>
    <row r="6913" spans="1:7" x14ac:dyDescent="0.2">
      <c r="A6913" t="s">
        <v>7780</v>
      </c>
      <c r="B6913" t="str">
        <f>"13907391199"</f>
        <v>13907391199</v>
      </c>
      <c r="C6913" t="str">
        <f>"430502197511162020"</f>
        <v>430502197511162020</v>
      </c>
      <c r="D6913" t="s">
        <v>1</v>
      </c>
      <c r="E6913" t="s">
        <v>1</v>
      </c>
      <c r="F6913" t="s">
        <v>0</v>
      </c>
      <c r="G6913" t="str">
        <f>"2018-10-18 15:12:11"</f>
        <v>2018-10-18 15:12:11</v>
      </c>
    </row>
    <row r="6914" spans="1:7" x14ac:dyDescent="0.2">
      <c r="A6914" t="s">
        <v>1347</v>
      </c>
      <c r="B6914" t="str">
        <f>"18047844146"</f>
        <v>18047844146</v>
      </c>
      <c r="C6914" t="str">
        <f>"152822198606016019"</f>
        <v>152822198606016019</v>
      </c>
      <c r="D6914" t="s">
        <v>1</v>
      </c>
      <c r="E6914" t="s">
        <v>1</v>
      </c>
      <c r="F6914" t="s">
        <v>0</v>
      </c>
      <c r="G6914" t="str">
        <f>"2018-10-23 16:55:08"</f>
        <v>2018-10-23 16:55:08</v>
      </c>
    </row>
    <row r="6915" spans="1:7" x14ac:dyDescent="0.2">
      <c r="A6915" t="s">
        <v>96</v>
      </c>
      <c r="B6915" t="str">
        <f>"15268374280"</f>
        <v>15268374280</v>
      </c>
      <c r="C6915" t="str">
        <f>"330281199004031733"</f>
        <v>330281199004031733</v>
      </c>
      <c r="D6915" t="s">
        <v>1</v>
      </c>
      <c r="E6915" t="s">
        <v>1</v>
      </c>
      <c r="F6915" t="s">
        <v>0</v>
      </c>
      <c r="G6915" t="str">
        <f>"2018-10-16 15:12:38"</f>
        <v>2018-10-16 15:12:38</v>
      </c>
    </row>
    <row r="6916" spans="1:7" x14ac:dyDescent="0.2">
      <c r="A6916" t="s">
        <v>1</v>
      </c>
      <c r="B6916" t="str">
        <f>"13988435920"</f>
        <v>13988435920</v>
      </c>
      <c r="C6916" t="s">
        <v>1</v>
      </c>
      <c r="D6916" t="s">
        <v>1</v>
      </c>
      <c r="E6916" t="s">
        <v>1</v>
      </c>
      <c r="F6916" t="s">
        <v>0</v>
      </c>
      <c r="G6916" t="str">
        <f>"2018-10-16 15:09:57"</f>
        <v>2018-10-16 15:09:57</v>
      </c>
    </row>
    <row r="6917" spans="1:7" x14ac:dyDescent="0.2">
      <c r="A6917" t="s">
        <v>1</v>
      </c>
      <c r="B6917" t="str">
        <f>"18152867751"</f>
        <v>18152867751</v>
      </c>
      <c r="C6917" t="s">
        <v>1</v>
      </c>
      <c r="D6917" t="s">
        <v>1</v>
      </c>
      <c r="E6917" t="s">
        <v>1</v>
      </c>
      <c r="F6917" t="s">
        <v>0</v>
      </c>
      <c r="G6917" t="str">
        <f>"2018-10-16 15:09:47"</f>
        <v>2018-10-16 15:09:47</v>
      </c>
    </row>
    <row r="6918" spans="1:7" x14ac:dyDescent="0.2">
      <c r="A6918" t="s">
        <v>1</v>
      </c>
      <c r="B6918" t="str">
        <f>"15830398456"</f>
        <v>15830398456</v>
      </c>
      <c r="C6918" t="s">
        <v>1</v>
      </c>
      <c r="D6918" t="s">
        <v>1</v>
      </c>
      <c r="E6918" t="s">
        <v>1</v>
      </c>
      <c r="F6918" t="s">
        <v>0</v>
      </c>
      <c r="G6918" t="str">
        <f>"2018-10-16 15:09:40"</f>
        <v>2018-10-16 15:09:40</v>
      </c>
    </row>
    <row r="6919" spans="1:7" x14ac:dyDescent="0.2">
      <c r="A6919" t="s">
        <v>7781</v>
      </c>
      <c r="B6919" t="str">
        <f>"15907935886"</f>
        <v>15907935886</v>
      </c>
      <c r="C6919" t="str">
        <f>"362322198710264516"</f>
        <v>362322198710264516</v>
      </c>
      <c r="D6919" t="s">
        <v>7782</v>
      </c>
      <c r="E6919" t="s">
        <v>7783</v>
      </c>
      <c r="F6919" t="s">
        <v>0</v>
      </c>
      <c r="G6919" t="str">
        <f>"2018-10-16 15:10:56"</f>
        <v>2018-10-16 15:10:56</v>
      </c>
    </row>
    <row r="6920" spans="1:7" x14ac:dyDescent="0.2">
      <c r="A6920" t="s">
        <v>1</v>
      </c>
      <c r="B6920" t="str">
        <f>"15877650320"</f>
        <v>15877650320</v>
      </c>
      <c r="C6920" t="s">
        <v>1</v>
      </c>
      <c r="D6920" t="s">
        <v>1</v>
      </c>
      <c r="E6920" t="s">
        <v>1</v>
      </c>
      <c r="F6920" t="s">
        <v>0</v>
      </c>
      <c r="G6920" t="str">
        <f>"2018-10-16 16:51:37"</f>
        <v>2018-10-16 16:51:37</v>
      </c>
    </row>
    <row r="6921" spans="1:7" x14ac:dyDescent="0.2">
      <c r="A6921" t="s">
        <v>645</v>
      </c>
      <c r="B6921" t="str">
        <f>"13622958894"</f>
        <v>13622958894</v>
      </c>
      <c r="C6921" t="str">
        <f>"441424199306241373"</f>
        <v>441424199306241373</v>
      </c>
      <c r="D6921" t="s">
        <v>1</v>
      </c>
      <c r="E6921" t="s">
        <v>1</v>
      </c>
      <c r="F6921" t="s">
        <v>0</v>
      </c>
      <c r="G6921" t="str">
        <f>"2018-10-16 15:12:01"</f>
        <v>2018-10-16 15:12:01</v>
      </c>
    </row>
    <row r="6922" spans="1:7" x14ac:dyDescent="0.2">
      <c r="A6922" t="s">
        <v>1</v>
      </c>
      <c r="B6922" t="str">
        <f>"17774823431"</f>
        <v>17774823431</v>
      </c>
      <c r="C6922" t="s">
        <v>1</v>
      </c>
      <c r="D6922" t="s">
        <v>1</v>
      </c>
      <c r="E6922" t="s">
        <v>1</v>
      </c>
      <c r="F6922" t="s">
        <v>0</v>
      </c>
      <c r="G6922" t="str">
        <f>"2018-10-16 15:08:40"</f>
        <v>2018-10-16 15:08:40</v>
      </c>
    </row>
    <row r="6923" spans="1:7" x14ac:dyDescent="0.2">
      <c r="A6923" t="s">
        <v>7784</v>
      </c>
      <c r="B6923" t="str">
        <f>"13919448542"</f>
        <v>13919448542</v>
      </c>
      <c r="C6923" t="str">
        <f>"142733197702085417"</f>
        <v>142733197702085417</v>
      </c>
      <c r="D6923" t="s">
        <v>1</v>
      </c>
      <c r="E6923" t="s">
        <v>1</v>
      </c>
      <c r="F6923" t="s">
        <v>0</v>
      </c>
      <c r="G6923" t="str">
        <f>"2018-10-16 15:12:10"</f>
        <v>2018-10-16 15:12:10</v>
      </c>
    </row>
    <row r="6924" spans="1:7" x14ac:dyDescent="0.2">
      <c r="A6924" t="s">
        <v>7785</v>
      </c>
      <c r="B6924" t="str">
        <f>"15119101720"</f>
        <v>15119101720</v>
      </c>
      <c r="C6924" t="str">
        <f>"442000199108041598"</f>
        <v>442000199108041598</v>
      </c>
      <c r="D6924" t="s">
        <v>1</v>
      </c>
      <c r="E6924" t="s">
        <v>1</v>
      </c>
      <c r="F6924" t="s">
        <v>0</v>
      </c>
      <c r="G6924" t="str">
        <f>"2018-10-16 16:07:52"</f>
        <v>2018-10-16 16:07:52</v>
      </c>
    </row>
    <row r="6925" spans="1:7" x14ac:dyDescent="0.2">
      <c r="A6925" t="s">
        <v>900</v>
      </c>
      <c r="B6925" t="str">
        <f>"13060782495"</f>
        <v>13060782495</v>
      </c>
      <c r="C6925" t="str">
        <f>"360726198911233957"</f>
        <v>360726198911233957</v>
      </c>
      <c r="D6925" t="s">
        <v>1</v>
      </c>
      <c r="E6925" t="s">
        <v>1</v>
      </c>
      <c r="F6925" t="s">
        <v>0</v>
      </c>
      <c r="G6925" t="str">
        <f>"2018-10-16 15:07:41"</f>
        <v>2018-10-16 15:07:41</v>
      </c>
    </row>
    <row r="6926" spans="1:7" x14ac:dyDescent="0.2">
      <c r="A6926" t="s">
        <v>7786</v>
      </c>
      <c r="B6926" t="str">
        <f>"18569191039"</f>
        <v>18569191039</v>
      </c>
      <c r="C6926" t="str">
        <f>"430822200001098459"</f>
        <v>430822200001098459</v>
      </c>
      <c r="D6926" t="s">
        <v>7787</v>
      </c>
      <c r="E6926" t="s">
        <v>7788</v>
      </c>
      <c r="F6926" t="s">
        <v>0</v>
      </c>
      <c r="G6926" t="str">
        <f>"2018-10-16 15:08:31"</f>
        <v>2018-10-16 15:08:31</v>
      </c>
    </row>
    <row r="6927" spans="1:7" x14ac:dyDescent="0.2">
      <c r="A6927" t="s">
        <v>1</v>
      </c>
      <c r="B6927" t="str">
        <f>"18609010770"</f>
        <v>18609010770</v>
      </c>
      <c r="C6927" t="s">
        <v>1</v>
      </c>
      <c r="D6927" t="s">
        <v>1</v>
      </c>
      <c r="E6927" t="s">
        <v>1</v>
      </c>
      <c r="F6927" t="s">
        <v>0</v>
      </c>
      <c r="G6927" t="str">
        <f>"2018-10-16 15:07:13"</f>
        <v>2018-10-16 15:07:13</v>
      </c>
    </row>
    <row r="6928" spans="1:7" x14ac:dyDescent="0.2">
      <c r="A6928" t="s">
        <v>7789</v>
      </c>
      <c r="B6928" t="str">
        <f>"15957613843"</f>
        <v>15957613843</v>
      </c>
      <c r="C6928" t="str">
        <f>"511011199806134739"</f>
        <v>511011199806134739</v>
      </c>
      <c r="D6928" t="s">
        <v>1</v>
      </c>
      <c r="E6928" t="s">
        <v>1</v>
      </c>
      <c r="F6928" t="s">
        <v>0</v>
      </c>
      <c r="G6928" t="str">
        <f>"2018-10-16 15:07:11"</f>
        <v>2018-10-16 15:07:11</v>
      </c>
    </row>
    <row r="6929" spans="1:7" x14ac:dyDescent="0.2">
      <c r="A6929" t="s">
        <v>7790</v>
      </c>
      <c r="B6929" t="str">
        <f>"13583710329"</f>
        <v>13583710329</v>
      </c>
      <c r="C6929" t="str">
        <f>"522122199007083215"</f>
        <v>522122199007083215</v>
      </c>
      <c r="D6929" t="s">
        <v>1</v>
      </c>
      <c r="E6929" t="s">
        <v>1</v>
      </c>
      <c r="F6929" t="s">
        <v>0</v>
      </c>
      <c r="G6929" t="str">
        <f>"2018-10-16 15:08:28"</f>
        <v>2018-10-16 15:08:28</v>
      </c>
    </row>
    <row r="6930" spans="1:7" x14ac:dyDescent="0.2">
      <c r="A6930" t="s">
        <v>7791</v>
      </c>
      <c r="B6930" t="str">
        <f>"13637355233"</f>
        <v>13637355233</v>
      </c>
      <c r="C6930" t="str">
        <f>"431002198808290523"</f>
        <v>431002198808290523</v>
      </c>
      <c r="D6930" t="s">
        <v>1</v>
      </c>
      <c r="E6930" t="s">
        <v>1</v>
      </c>
      <c r="F6930" t="s">
        <v>0</v>
      </c>
      <c r="G6930" t="str">
        <f>"2018-10-16 15:07:42"</f>
        <v>2018-10-16 15:07:42</v>
      </c>
    </row>
    <row r="6931" spans="1:7" x14ac:dyDescent="0.2">
      <c r="A6931" t="s">
        <v>7792</v>
      </c>
      <c r="B6931" t="str">
        <f>"15262596152"</f>
        <v>15262596152</v>
      </c>
      <c r="C6931" t="str">
        <f>"410425199709064535"</f>
        <v>410425199709064535</v>
      </c>
      <c r="D6931" t="s">
        <v>7793</v>
      </c>
      <c r="E6931" t="s">
        <v>7794</v>
      </c>
      <c r="F6931" t="s">
        <v>0</v>
      </c>
      <c r="G6931" t="str">
        <f>"2018-10-16 15:08:33"</f>
        <v>2018-10-16 15:08:33</v>
      </c>
    </row>
    <row r="6932" spans="1:7" x14ac:dyDescent="0.2">
      <c r="A6932" t="s">
        <v>7795</v>
      </c>
      <c r="B6932" t="str">
        <f>"13397267495"</f>
        <v>13397267495</v>
      </c>
      <c r="C6932" t="str">
        <f>"421182199508291751"</f>
        <v>421182199508291751</v>
      </c>
      <c r="D6932" t="s">
        <v>1</v>
      </c>
      <c r="E6932" t="s">
        <v>1</v>
      </c>
      <c r="F6932" t="s">
        <v>0</v>
      </c>
      <c r="G6932" t="str">
        <f>"2018-10-16 15:07:56"</f>
        <v>2018-10-16 15:07:56</v>
      </c>
    </row>
    <row r="6933" spans="1:7" x14ac:dyDescent="0.2">
      <c r="A6933" t="s">
        <v>7796</v>
      </c>
      <c r="B6933" t="str">
        <f>"13053835567"</f>
        <v>13053835567</v>
      </c>
      <c r="C6933" t="str">
        <f>"370921199211200041"</f>
        <v>370921199211200041</v>
      </c>
      <c r="D6933" t="s">
        <v>1</v>
      </c>
      <c r="E6933" t="s">
        <v>1</v>
      </c>
      <c r="F6933" t="s">
        <v>0</v>
      </c>
      <c r="G6933" t="str">
        <f>"2018-10-16 15:10:59"</f>
        <v>2018-10-16 15:10:59</v>
      </c>
    </row>
    <row r="6934" spans="1:7" x14ac:dyDescent="0.2">
      <c r="A6934" t="s">
        <v>7797</v>
      </c>
      <c r="B6934" t="str">
        <f>"13586953453"</f>
        <v>13586953453</v>
      </c>
      <c r="C6934" t="str">
        <f>"362324199008164512"</f>
        <v>362324199008164512</v>
      </c>
      <c r="D6934" t="s">
        <v>7798</v>
      </c>
      <c r="E6934" t="s">
        <v>7799</v>
      </c>
      <c r="F6934" t="s">
        <v>0</v>
      </c>
      <c r="G6934" t="str">
        <f>"2018-10-16 15:07:39"</f>
        <v>2018-10-16 15:07:39</v>
      </c>
    </row>
    <row r="6935" spans="1:7" x14ac:dyDescent="0.2">
      <c r="A6935" t="s">
        <v>7800</v>
      </c>
      <c r="B6935" t="str">
        <f>"13807099424"</f>
        <v>13807099424</v>
      </c>
      <c r="C6935" t="str">
        <f>"360124199803250054"</f>
        <v>360124199803250054</v>
      </c>
      <c r="D6935" t="s">
        <v>1</v>
      </c>
      <c r="E6935" t="s">
        <v>1</v>
      </c>
      <c r="F6935" t="s">
        <v>0</v>
      </c>
      <c r="G6935" t="str">
        <f>"2018-11-02 18:40:48"</f>
        <v>2018-11-02 18:40:48</v>
      </c>
    </row>
    <row r="6936" spans="1:7" x14ac:dyDescent="0.2">
      <c r="A6936" t="s">
        <v>1</v>
      </c>
      <c r="B6936" t="str">
        <f>"15004811283"</f>
        <v>15004811283</v>
      </c>
      <c r="C6936" t="s">
        <v>1</v>
      </c>
      <c r="D6936" t="s">
        <v>1</v>
      </c>
      <c r="E6936" t="s">
        <v>1</v>
      </c>
      <c r="F6936" t="s">
        <v>0</v>
      </c>
      <c r="G6936" t="str">
        <f>"2018-10-16 15:05:59"</f>
        <v>2018-10-16 15:05:59</v>
      </c>
    </row>
    <row r="6937" spans="1:7" x14ac:dyDescent="0.2">
      <c r="A6937" t="s">
        <v>1</v>
      </c>
      <c r="B6937" t="str">
        <f>"13375220890"</f>
        <v>13375220890</v>
      </c>
      <c r="C6937" t="s">
        <v>1</v>
      </c>
      <c r="D6937" t="s">
        <v>1</v>
      </c>
      <c r="E6937" t="s">
        <v>1</v>
      </c>
      <c r="F6937" t="s">
        <v>0</v>
      </c>
      <c r="G6937" t="str">
        <f>"2018-10-16 15:05:54"</f>
        <v>2018-10-16 15:05:54</v>
      </c>
    </row>
    <row r="6938" spans="1:7" x14ac:dyDescent="0.2">
      <c r="A6938" t="s">
        <v>7801</v>
      </c>
      <c r="B6938" t="str">
        <f>"13872762156"</f>
        <v>13872762156</v>
      </c>
      <c r="C6938" t="str">
        <f>"422624197908075228"</f>
        <v>422624197908075228</v>
      </c>
      <c r="D6938" t="s">
        <v>1</v>
      </c>
      <c r="E6938" t="s">
        <v>1</v>
      </c>
      <c r="F6938" t="s">
        <v>0</v>
      </c>
      <c r="G6938" t="str">
        <f>"2018-10-16 15:06:47"</f>
        <v>2018-10-16 15:06:47</v>
      </c>
    </row>
    <row r="6939" spans="1:7" x14ac:dyDescent="0.2">
      <c r="A6939" t="s">
        <v>7802</v>
      </c>
      <c r="B6939" t="str">
        <f>"15758158775"</f>
        <v>15758158775</v>
      </c>
      <c r="C6939" t="str">
        <f>"532123199910081679"</f>
        <v>532123199910081679</v>
      </c>
      <c r="D6939" t="s">
        <v>7803</v>
      </c>
      <c r="E6939" t="s">
        <v>7804</v>
      </c>
      <c r="F6939" t="s">
        <v>0</v>
      </c>
      <c r="G6939" t="str">
        <f>"2018-10-16 15:23:20"</f>
        <v>2018-10-16 15:23:20</v>
      </c>
    </row>
    <row r="6940" spans="1:7" x14ac:dyDescent="0.2">
      <c r="A6940" t="s">
        <v>7805</v>
      </c>
      <c r="B6940" t="str">
        <f>"13681725348"</f>
        <v>13681725348</v>
      </c>
      <c r="C6940" t="str">
        <f>"342401198808186958"</f>
        <v>342401198808186958</v>
      </c>
      <c r="D6940" t="s">
        <v>1</v>
      </c>
      <c r="E6940" t="s">
        <v>1</v>
      </c>
      <c r="F6940" t="s">
        <v>0</v>
      </c>
      <c r="G6940" t="str">
        <f>"2018-10-18 19:06:35"</f>
        <v>2018-10-18 19:06:35</v>
      </c>
    </row>
    <row r="6941" spans="1:7" x14ac:dyDescent="0.2">
      <c r="A6941" t="s">
        <v>7806</v>
      </c>
      <c r="B6941" t="str">
        <f>"18371006760"</f>
        <v>18371006760</v>
      </c>
      <c r="C6941" t="str">
        <f>"420621198910024298"</f>
        <v>420621198910024298</v>
      </c>
      <c r="D6941" t="s">
        <v>7807</v>
      </c>
      <c r="E6941" t="s">
        <v>7808</v>
      </c>
      <c r="F6941" t="s">
        <v>0</v>
      </c>
      <c r="G6941" t="str">
        <f>"2018-10-16 15:05:01"</f>
        <v>2018-10-16 15:05:01</v>
      </c>
    </row>
    <row r="6942" spans="1:7" x14ac:dyDescent="0.2">
      <c r="A6942" t="s">
        <v>7809</v>
      </c>
      <c r="B6942" t="str">
        <f>"18777584827"</f>
        <v>18777584827</v>
      </c>
      <c r="C6942" t="str">
        <f>"450803198604146418"</f>
        <v>450803198604146418</v>
      </c>
      <c r="D6942" t="s">
        <v>1</v>
      </c>
      <c r="E6942" t="s">
        <v>1</v>
      </c>
      <c r="F6942" t="s">
        <v>0</v>
      </c>
      <c r="G6942" t="str">
        <f>"2018-10-16 15:06:14"</f>
        <v>2018-10-16 15:06:14</v>
      </c>
    </row>
    <row r="6943" spans="1:7" x14ac:dyDescent="0.2">
      <c r="A6943" t="s">
        <v>1395</v>
      </c>
      <c r="B6943" t="str">
        <f>"13993669343"</f>
        <v>13993669343</v>
      </c>
      <c r="C6943" t="str">
        <f>"622223197008306114"</f>
        <v>622223197008306114</v>
      </c>
      <c r="D6943" t="s">
        <v>1</v>
      </c>
      <c r="E6943" t="s">
        <v>1</v>
      </c>
      <c r="F6943" t="s">
        <v>0</v>
      </c>
      <c r="G6943" t="str">
        <f>"2018-10-16 15:11:30"</f>
        <v>2018-10-16 15:11:30</v>
      </c>
    </row>
    <row r="6944" spans="1:7" x14ac:dyDescent="0.2">
      <c r="A6944" t="s">
        <v>7810</v>
      </c>
      <c r="B6944" t="str">
        <f>"18776953532"</f>
        <v>18776953532</v>
      </c>
      <c r="C6944" t="str">
        <f>"450111199301230619"</f>
        <v>450111199301230619</v>
      </c>
      <c r="D6944" t="s">
        <v>1</v>
      </c>
      <c r="E6944" t="s">
        <v>1</v>
      </c>
      <c r="F6944" t="s">
        <v>0</v>
      </c>
      <c r="G6944" t="str">
        <f>"2018-10-16 15:05:49"</f>
        <v>2018-10-16 15:05:49</v>
      </c>
    </row>
    <row r="6945" spans="1:7" x14ac:dyDescent="0.2">
      <c r="A6945" t="s">
        <v>7811</v>
      </c>
      <c r="B6945" t="str">
        <f>"15815811024"</f>
        <v>15815811024</v>
      </c>
      <c r="C6945" t="str">
        <f>"441427199410062518"</f>
        <v>441427199410062518</v>
      </c>
      <c r="D6945" t="s">
        <v>1</v>
      </c>
      <c r="E6945" t="s">
        <v>1</v>
      </c>
      <c r="F6945" t="s">
        <v>0</v>
      </c>
      <c r="G6945" t="str">
        <f>"2018-10-16 15:05:22"</f>
        <v>2018-10-16 15:05:22</v>
      </c>
    </row>
    <row r="6946" spans="1:7" x14ac:dyDescent="0.2">
      <c r="A6946" t="s">
        <v>7812</v>
      </c>
      <c r="B6946" t="str">
        <f>"17330313331"</f>
        <v>17330313331</v>
      </c>
      <c r="C6946" t="str">
        <f>"130702199602170615"</f>
        <v>130702199602170615</v>
      </c>
      <c r="D6946" t="s">
        <v>7813</v>
      </c>
      <c r="E6946" t="s">
        <v>7814</v>
      </c>
      <c r="F6946" t="s">
        <v>0</v>
      </c>
      <c r="G6946" t="str">
        <f>"2018-10-16 15:03:13"</f>
        <v>2018-10-16 15:03:13</v>
      </c>
    </row>
    <row r="6947" spans="1:7" x14ac:dyDescent="0.2">
      <c r="A6947" t="s">
        <v>7815</v>
      </c>
      <c r="B6947" t="str">
        <f>"15169831232"</f>
        <v>15169831232</v>
      </c>
      <c r="C6947" t="str">
        <f>"370982199504105577"</f>
        <v>370982199504105577</v>
      </c>
      <c r="D6947" t="s">
        <v>7816</v>
      </c>
      <c r="E6947" t="s">
        <v>7817</v>
      </c>
      <c r="F6947" t="s">
        <v>0</v>
      </c>
      <c r="G6947" t="str">
        <f>"2018-10-16 15:05:51"</f>
        <v>2018-10-16 15:05:51</v>
      </c>
    </row>
    <row r="6948" spans="1:7" x14ac:dyDescent="0.2">
      <c r="A6948" t="s">
        <v>6740</v>
      </c>
      <c r="B6948" t="str">
        <f>"18603409875"</f>
        <v>18603409875</v>
      </c>
      <c r="C6948" t="str">
        <f>"140109198509300517"</f>
        <v>140109198509300517</v>
      </c>
      <c r="D6948" t="s">
        <v>1</v>
      </c>
      <c r="E6948" t="s">
        <v>1</v>
      </c>
      <c r="F6948" t="s">
        <v>0</v>
      </c>
      <c r="G6948" t="str">
        <f>"2018-10-16 15:25:11"</f>
        <v>2018-10-16 15:25:11</v>
      </c>
    </row>
    <row r="6949" spans="1:7" x14ac:dyDescent="0.2">
      <c r="A6949" t="s">
        <v>7818</v>
      </c>
      <c r="B6949" t="str">
        <f>"15571919591"</f>
        <v>15571919591</v>
      </c>
      <c r="C6949" t="str">
        <f>"420303199508232836"</f>
        <v>420303199508232836</v>
      </c>
      <c r="D6949" t="s">
        <v>1</v>
      </c>
      <c r="E6949" t="s">
        <v>1</v>
      </c>
      <c r="F6949" t="s">
        <v>0</v>
      </c>
      <c r="G6949" t="str">
        <f>"2018-10-16 15:02:37"</f>
        <v>2018-10-16 15:02:37</v>
      </c>
    </row>
    <row r="6950" spans="1:7" x14ac:dyDescent="0.2">
      <c r="A6950" t="s">
        <v>14</v>
      </c>
      <c r="B6950" t="str">
        <f>"15532682120"</f>
        <v>15532682120</v>
      </c>
      <c r="C6950" t="str">
        <f>"131002199308191813"</f>
        <v>131002199308191813</v>
      </c>
      <c r="D6950" t="s">
        <v>1</v>
      </c>
      <c r="E6950" t="s">
        <v>1</v>
      </c>
      <c r="F6950" t="s">
        <v>0</v>
      </c>
      <c r="G6950" t="str">
        <f>"2018-10-16 15:16:04"</f>
        <v>2018-10-16 15:16:04</v>
      </c>
    </row>
    <row r="6951" spans="1:7" x14ac:dyDescent="0.2">
      <c r="A6951" t="s">
        <v>7819</v>
      </c>
      <c r="B6951" t="str">
        <f>"18808909210"</f>
        <v>18808909210</v>
      </c>
      <c r="C6951" t="str">
        <f>"460034198312086110"</f>
        <v>460034198312086110</v>
      </c>
      <c r="D6951" t="s">
        <v>1</v>
      </c>
      <c r="E6951" t="s">
        <v>1</v>
      </c>
      <c r="F6951" t="s">
        <v>0</v>
      </c>
      <c r="G6951" t="str">
        <f>"2018-10-16 17:15:52"</f>
        <v>2018-10-16 17:15:52</v>
      </c>
    </row>
    <row r="6952" spans="1:7" x14ac:dyDescent="0.2">
      <c r="A6952" t="s">
        <v>7820</v>
      </c>
      <c r="B6952" t="str">
        <f>"15630810636"</f>
        <v>15630810636</v>
      </c>
      <c r="C6952" t="str">
        <f>"130634198310102013"</f>
        <v>130634198310102013</v>
      </c>
      <c r="D6952" t="s">
        <v>1</v>
      </c>
      <c r="E6952" t="s">
        <v>1</v>
      </c>
      <c r="F6952" t="s">
        <v>0</v>
      </c>
      <c r="G6952" t="str">
        <f>"2018-10-16 15:03:45"</f>
        <v>2018-10-16 15:03:45</v>
      </c>
    </row>
    <row r="6953" spans="1:7" x14ac:dyDescent="0.2">
      <c r="A6953" t="s">
        <v>7821</v>
      </c>
      <c r="B6953" t="str">
        <f>"13592829526"</f>
        <v>13592829526</v>
      </c>
      <c r="C6953" t="str">
        <f>"440507199302240937"</f>
        <v>440507199302240937</v>
      </c>
      <c r="D6953" t="s">
        <v>1</v>
      </c>
      <c r="E6953" t="s">
        <v>1</v>
      </c>
      <c r="F6953" t="s">
        <v>0</v>
      </c>
      <c r="G6953" t="str">
        <f>"2018-10-16 15:03:53"</f>
        <v>2018-10-16 15:03:53</v>
      </c>
    </row>
    <row r="6954" spans="1:7" x14ac:dyDescent="0.2">
      <c r="A6954" t="s">
        <v>1</v>
      </c>
      <c r="B6954" t="str">
        <f>"13454076460"</f>
        <v>13454076460</v>
      </c>
      <c r="C6954" t="s">
        <v>1</v>
      </c>
      <c r="D6954" t="s">
        <v>1</v>
      </c>
      <c r="E6954" t="s">
        <v>1</v>
      </c>
      <c r="F6954" t="s">
        <v>0</v>
      </c>
      <c r="G6954" t="str">
        <f>"2018-10-24 09:24:01"</f>
        <v>2018-10-24 09:24:01</v>
      </c>
    </row>
    <row r="6955" spans="1:7" x14ac:dyDescent="0.2">
      <c r="A6955" t="s">
        <v>7822</v>
      </c>
      <c r="B6955" t="str">
        <f>"18672154021"</f>
        <v>18672154021</v>
      </c>
      <c r="C6955" t="str">
        <f>"420625198706052529"</f>
        <v>420625198706052529</v>
      </c>
      <c r="D6955" t="s">
        <v>1</v>
      </c>
      <c r="E6955" t="s">
        <v>1</v>
      </c>
      <c r="F6955" t="s">
        <v>0</v>
      </c>
      <c r="G6955" t="str">
        <f>"2018-10-16 15:01:21"</f>
        <v>2018-10-16 15:01:21</v>
      </c>
    </row>
    <row r="6956" spans="1:7" x14ac:dyDescent="0.2">
      <c r="A6956" t="s">
        <v>1</v>
      </c>
      <c r="B6956" t="str">
        <f>"17683951591"</f>
        <v>17683951591</v>
      </c>
      <c r="C6956" t="s">
        <v>1</v>
      </c>
      <c r="D6956" t="s">
        <v>1</v>
      </c>
      <c r="E6956" t="s">
        <v>1</v>
      </c>
      <c r="F6956" t="s">
        <v>0</v>
      </c>
      <c r="G6956" t="str">
        <f>"2018-10-16 15:15:46"</f>
        <v>2018-10-16 15:15:46</v>
      </c>
    </row>
    <row r="6957" spans="1:7" x14ac:dyDescent="0.2">
      <c r="A6957" t="s">
        <v>1681</v>
      </c>
      <c r="B6957" t="str">
        <f>"13009069576"</f>
        <v>13009069576</v>
      </c>
      <c r="C6957" t="str">
        <f>"220802199709252132"</f>
        <v>220802199709252132</v>
      </c>
      <c r="D6957" t="s">
        <v>1</v>
      </c>
      <c r="E6957" t="s">
        <v>1</v>
      </c>
      <c r="F6957" t="s">
        <v>0</v>
      </c>
      <c r="G6957" t="str">
        <f>"2018-10-16 17:30:19"</f>
        <v>2018-10-16 17:30:19</v>
      </c>
    </row>
    <row r="6958" spans="1:7" x14ac:dyDescent="0.2">
      <c r="A6958" t="s">
        <v>7823</v>
      </c>
      <c r="B6958" t="str">
        <f>"13455016888"</f>
        <v>13455016888</v>
      </c>
      <c r="C6958" t="str">
        <f>"371121198510210218"</f>
        <v>371121198510210218</v>
      </c>
      <c r="D6958" t="s">
        <v>1</v>
      </c>
      <c r="E6958" t="s">
        <v>1</v>
      </c>
      <c r="F6958" t="s">
        <v>0</v>
      </c>
      <c r="G6958" t="str">
        <f>"2018-10-25 11:51:04"</f>
        <v>2018-10-25 11:51:04</v>
      </c>
    </row>
    <row r="6959" spans="1:7" x14ac:dyDescent="0.2">
      <c r="A6959" t="s">
        <v>7824</v>
      </c>
      <c r="B6959" t="str">
        <f>"18420081667"</f>
        <v>18420081667</v>
      </c>
      <c r="C6959" t="str">
        <f>"441424199401114831"</f>
        <v>441424199401114831</v>
      </c>
      <c r="D6959" t="s">
        <v>1</v>
      </c>
      <c r="E6959" t="s">
        <v>1</v>
      </c>
      <c r="F6959" t="s">
        <v>0</v>
      </c>
      <c r="G6959" t="str">
        <f>"2018-10-16 15:03:07"</f>
        <v>2018-10-16 15:03:07</v>
      </c>
    </row>
    <row r="6960" spans="1:7" x14ac:dyDescent="0.2">
      <c r="A6960" t="s">
        <v>1</v>
      </c>
      <c r="B6960" t="str">
        <f>"15280320265"</f>
        <v>15280320265</v>
      </c>
      <c r="C6960" t="s">
        <v>1</v>
      </c>
      <c r="D6960" t="s">
        <v>1</v>
      </c>
      <c r="E6960" t="s">
        <v>1</v>
      </c>
      <c r="F6960" t="s">
        <v>0</v>
      </c>
      <c r="G6960" t="str">
        <f>"2018-10-16 15:00:08"</f>
        <v>2018-10-16 15:00:08</v>
      </c>
    </row>
    <row r="6961" spans="1:7" x14ac:dyDescent="0.2">
      <c r="A6961" t="s">
        <v>7825</v>
      </c>
      <c r="B6961" t="str">
        <f>"18270408355"</f>
        <v>18270408355</v>
      </c>
      <c r="C6961" t="str">
        <f>"420624197812100044"</f>
        <v>420624197812100044</v>
      </c>
      <c r="D6961" t="s">
        <v>1</v>
      </c>
      <c r="E6961" t="s">
        <v>1</v>
      </c>
      <c r="F6961" t="s">
        <v>0</v>
      </c>
      <c r="G6961" t="str">
        <f>"2018-10-16 15:01:29"</f>
        <v>2018-10-16 15:01:29</v>
      </c>
    </row>
    <row r="6962" spans="1:7" x14ac:dyDescent="0.2">
      <c r="A6962" t="s">
        <v>1</v>
      </c>
      <c r="B6962" t="str">
        <f>"15556589681"</f>
        <v>15556589681</v>
      </c>
      <c r="C6962" t="s">
        <v>1</v>
      </c>
      <c r="D6962" t="s">
        <v>1</v>
      </c>
      <c r="E6962" t="s">
        <v>1</v>
      </c>
      <c r="F6962" t="s">
        <v>0</v>
      </c>
      <c r="G6962" t="str">
        <f>"2018-10-16 14:58:55"</f>
        <v>2018-10-16 14:58:55</v>
      </c>
    </row>
    <row r="6963" spans="1:7" x14ac:dyDescent="0.2">
      <c r="A6963" t="s">
        <v>7826</v>
      </c>
      <c r="B6963" t="str">
        <f>"15048100013"</f>
        <v>15048100013</v>
      </c>
      <c r="C6963" t="str">
        <f>"152106198909131411"</f>
        <v>152106198909131411</v>
      </c>
      <c r="D6963" t="s">
        <v>1</v>
      </c>
      <c r="E6963" t="s">
        <v>1</v>
      </c>
      <c r="F6963" t="s">
        <v>0</v>
      </c>
      <c r="G6963" t="str">
        <f>"2018-10-18 15:40:14"</f>
        <v>2018-10-18 15:40:14</v>
      </c>
    </row>
    <row r="6964" spans="1:7" x14ac:dyDescent="0.2">
      <c r="A6964" t="s">
        <v>1</v>
      </c>
      <c r="B6964" t="str">
        <f>"15757908942"</f>
        <v>15757908942</v>
      </c>
      <c r="C6964" t="s">
        <v>1</v>
      </c>
      <c r="D6964" t="s">
        <v>1</v>
      </c>
      <c r="E6964" t="s">
        <v>1</v>
      </c>
      <c r="F6964" t="s">
        <v>0</v>
      </c>
      <c r="G6964" t="str">
        <f>"2018-10-16 14:58:08"</f>
        <v>2018-10-16 14:58:08</v>
      </c>
    </row>
    <row r="6965" spans="1:7" x14ac:dyDescent="0.2">
      <c r="A6965" t="s">
        <v>7827</v>
      </c>
      <c r="B6965" t="str">
        <f>"18713144439"</f>
        <v>18713144439</v>
      </c>
      <c r="C6965" t="str">
        <f>"63280219951124002X"</f>
        <v>63280219951124002X</v>
      </c>
      <c r="D6965" t="s">
        <v>1</v>
      </c>
      <c r="E6965" t="s">
        <v>1</v>
      </c>
      <c r="F6965" t="s">
        <v>0</v>
      </c>
      <c r="G6965" t="str">
        <f>"2018-10-16 15:00:05"</f>
        <v>2018-10-16 15:00:05</v>
      </c>
    </row>
    <row r="6966" spans="1:7" x14ac:dyDescent="0.2">
      <c r="A6966" t="s">
        <v>7828</v>
      </c>
      <c r="B6966" t="str">
        <f>"18795021333"</f>
        <v>18795021333</v>
      </c>
      <c r="C6966" t="str">
        <f>"640221198309120026"</f>
        <v>640221198309120026</v>
      </c>
      <c r="D6966" t="s">
        <v>7829</v>
      </c>
      <c r="E6966" t="s">
        <v>7830</v>
      </c>
      <c r="F6966" t="s">
        <v>0</v>
      </c>
      <c r="G6966" t="str">
        <f>"2018-10-18 17:13:08"</f>
        <v>2018-10-18 17:13:08</v>
      </c>
    </row>
    <row r="6967" spans="1:7" x14ac:dyDescent="0.2">
      <c r="A6967" t="s">
        <v>7831</v>
      </c>
      <c r="B6967" t="str">
        <f>"18578370259"</f>
        <v>18578370259</v>
      </c>
      <c r="C6967" t="str">
        <f>"422827198503120259"</f>
        <v>422827198503120259</v>
      </c>
      <c r="D6967" t="s">
        <v>7832</v>
      </c>
      <c r="E6967" t="s">
        <v>7833</v>
      </c>
      <c r="F6967" t="s">
        <v>0</v>
      </c>
      <c r="G6967" t="str">
        <f>"2018-10-16 15:00:08"</f>
        <v>2018-10-16 15:00:08</v>
      </c>
    </row>
    <row r="6968" spans="1:7" x14ac:dyDescent="0.2">
      <c r="A6968" t="s">
        <v>1</v>
      </c>
      <c r="B6968" t="str">
        <f>"18259650720"</f>
        <v>18259650720</v>
      </c>
      <c r="C6968" t="s">
        <v>1</v>
      </c>
      <c r="D6968" t="s">
        <v>1</v>
      </c>
      <c r="E6968" t="s">
        <v>1</v>
      </c>
      <c r="F6968" t="s">
        <v>0</v>
      </c>
      <c r="G6968" t="str">
        <f>"2018-10-16 14:57:28"</f>
        <v>2018-10-16 14:57:28</v>
      </c>
    </row>
    <row r="6969" spans="1:7" x14ac:dyDescent="0.2">
      <c r="A6969" t="s">
        <v>7834</v>
      </c>
      <c r="B6969" t="str">
        <f>"18778160618"</f>
        <v>18778160618</v>
      </c>
      <c r="C6969" t="str">
        <f>"452123198606195853"</f>
        <v>452123198606195853</v>
      </c>
      <c r="D6969" t="s">
        <v>7835</v>
      </c>
      <c r="E6969" t="s">
        <v>7836</v>
      </c>
      <c r="F6969" t="s">
        <v>0</v>
      </c>
      <c r="G6969" t="str">
        <f>"2018-10-16 15:00:51"</f>
        <v>2018-10-16 15:00:51</v>
      </c>
    </row>
    <row r="6970" spans="1:7" x14ac:dyDescent="0.2">
      <c r="A6970" t="s">
        <v>7837</v>
      </c>
      <c r="B6970" t="str">
        <f>"13035896020"</f>
        <v>13035896020</v>
      </c>
      <c r="C6970" t="str">
        <f>"441721198802104020"</f>
        <v>441721198802104020</v>
      </c>
      <c r="D6970" t="s">
        <v>1</v>
      </c>
      <c r="E6970" t="s">
        <v>1</v>
      </c>
      <c r="F6970" t="s">
        <v>0</v>
      </c>
      <c r="G6970" t="str">
        <f>"2018-10-16 15:23:29"</f>
        <v>2018-10-16 15:23:29</v>
      </c>
    </row>
    <row r="6971" spans="1:7" x14ac:dyDescent="0.2">
      <c r="A6971" t="s">
        <v>7838</v>
      </c>
      <c r="B6971" t="str">
        <f>"18049345222"</f>
        <v>18049345222</v>
      </c>
      <c r="C6971" t="str">
        <f>"612726198106130019"</f>
        <v>612726198106130019</v>
      </c>
      <c r="D6971" t="s">
        <v>1</v>
      </c>
      <c r="E6971" t="s">
        <v>1</v>
      </c>
      <c r="F6971" t="s">
        <v>0</v>
      </c>
      <c r="G6971" t="str">
        <f>"2018-10-16 14:57:16"</f>
        <v>2018-10-16 14:57:16</v>
      </c>
    </row>
    <row r="6972" spans="1:7" x14ac:dyDescent="0.2">
      <c r="A6972" t="s">
        <v>7839</v>
      </c>
      <c r="B6972" t="str">
        <f>"13998925505"</f>
        <v>13998925505</v>
      </c>
      <c r="C6972" t="str">
        <f>"211402198312155310"</f>
        <v>211402198312155310</v>
      </c>
      <c r="D6972" t="s">
        <v>7840</v>
      </c>
      <c r="E6972" t="s">
        <v>7840</v>
      </c>
      <c r="F6972" t="s">
        <v>0</v>
      </c>
      <c r="G6972" t="str">
        <f>"2018-10-16 14:58:30"</f>
        <v>2018-10-16 14:58:30</v>
      </c>
    </row>
    <row r="6973" spans="1:7" x14ac:dyDescent="0.2">
      <c r="A6973" t="s">
        <v>1</v>
      </c>
      <c r="B6973" t="str">
        <f>"17717725217"</f>
        <v>17717725217</v>
      </c>
      <c r="C6973" t="s">
        <v>1</v>
      </c>
      <c r="D6973" t="s">
        <v>1</v>
      </c>
      <c r="E6973" t="s">
        <v>1</v>
      </c>
      <c r="F6973" t="s">
        <v>0</v>
      </c>
      <c r="G6973" t="str">
        <f>"2018-10-16 19:18:26"</f>
        <v>2018-10-16 19:18:26</v>
      </c>
    </row>
    <row r="6974" spans="1:7" x14ac:dyDescent="0.2">
      <c r="A6974" t="s">
        <v>7841</v>
      </c>
      <c r="B6974" t="str">
        <f>"18284230612"</f>
        <v>18284230612</v>
      </c>
      <c r="C6974" t="str">
        <f>"51062219920218391X"</f>
        <v>51062219920218391X</v>
      </c>
      <c r="D6974" t="s">
        <v>1</v>
      </c>
      <c r="E6974" t="s">
        <v>1</v>
      </c>
      <c r="F6974" t="s">
        <v>0</v>
      </c>
      <c r="G6974" t="str">
        <f>"2018-10-16 15:03:53"</f>
        <v>2018-10-16 15:03:53</v>
      </c>
    </row>
    <row r="6975" spans="1:7" x14ac:dyDescent="0.2">
      <c r="A6975" t="s">
        <v>472</v>
      </c>
      <c r="B6975" t="str">
        <f>"15679279075"</f>
        <v>15679279075</v>
      </c>
      <c r="C6975" t="str">
        <f>"340826199205150819"</f>
        <v>340826199205150819</v>
      </c>
      <c r="D6975" t="s">
        <v>1</v>
      </c>
      <c r="E6975" t="s">
        <v>1</v>
      </c>
      <c r="F6975" t="s">
        <v>0</v>
      </c>
      <c r="G6975" t="str">
        <f>"2018-10-16 14:56:23"</f>
        <v>2018-10-16 14:56:23</v>
      </c>
    </row>
    <row r="6976" spans="1:7" x14ac:dyDescent="0.2">
      <c r="A6976" t="s">
        <v>7842</v>
      </c>
      <c r="B6976" t="str">
        <f>"15077914236"</f>
        <v>15077914236</v>
      </c>
      <c r="C6976" t="str">
        <f>"360781199307200058"</f>
        <v>360781199307200058</v>
      </c>
      <c r="D6976" t="s">
        <v>1</v>
      </c>
      <c r="E6976" t="s">
        <v>1</v>
      </c>
      <c r="F6976" t="s">
        <v>0</v>
      </c>
      <c r="G6976" t="str">
        <f>"2018-10-16 14:55:54"</f>
        <v>2018-10-16 14:55:54</v>
      </c>
    </row>
    <row r="6977" spans="1:7" x14ac:dyDescent="0.2">
      <c r="A6977" t="s">
        <v>7843</v>
      </c>
      <c r="B6977" t="str">
        <f>"17631414087"</f>
        <v>17631414087</v>
      </c>
      <c r="C6977" t="str">
        <f>"130802199301160830"</f>
        <v>130802199301160830</v>
      </c>
      <c r="D6977" t="s">
        <v>1</v>
      </c>
      <c r="E6977" t="s">
        <v>1</v>
      </c>
      <c r="F6977" t="s">
        <v>0</v>
      </c>
      <c r="G6977" t="str">
        <f>"2018-10-16 14:55:33"</f>
        <v>2018-10-16 14:55:33</v>
      </c>
    </row>
    <row r="6978" spans="1:7" x14ac:dyDescent="0.2">
      <c r="A6978" t="s">
        <v>7844</v>
      </c>
      <c r="B6978" t="str">
        <f>"13785970311"</f>
        <v>13785970311</v>
      </c>
      <c r="C6978" t="str">
        <f>"130524199702185010"</f>
        <v>130524199702185010</v>
      </c>
      <c r="D6978" t="s">
        <v>1</v>
      </c>
      <c r="E6978" t="s">
        <v>1</v>
      </c>
      <c r="F6978" t="s">
        <v>0</v>
      </c>
      <c r="G6978" t="str">
        <f>"2018-10-19 11:14:08"</f>
        <v>2018-10-19 11:14:08</v>
      </c>
    </row>
    <row r="6979" spans="1:7" x14ac:dyDescent="0.2">
      <c r="A6979" t="s">
        <v>7845</v>
      </c>
      <c r="B6979" t="str">
        <f>"15327288818"</f>
        <v>15327288818</v>
      </c>
      <c r="C6979" t="str">
        <f>"420103198409295318"</f>
        <v>420103198409295318</v>
      </c>
      <c r="D6979" t="s">
        <v>1</v>
      </c>
      <c r="E6979" t="s">
        <v>1</v>
      </c>
      <c r="F6979" t="s">
        <v>0</v>
      </c>
      <c r="G6979" t="str">
        <f>"2018-10-16 16:05:05"</f>
        <v>2018-10-16 16:05:05</v>
      </c>
    </row>
    <row r="6980" spans="1:7" x14ac:dyDescent="0.2">
      <c r="A6980" t="s">
        <v>1</v>
      </c>
      <c r="B6980" t="str">
        <f>"13624834355"</f>
        <v>13624834355</v>
      </c>
      <c r="C6980" t="s">
        <v>1</v>
      </c>
      <c r="D6980" t="s">
        <v>1</v>
      </c>
      <c r="E6980" t="s">
        <v>1</v>
      </c>
      <c r="F6980" t="s">
        <v>0</v>
      </c>
      <c r="G6980" t="str">
        <f>"2018-10-16 14:53:18"</f>
        <v>2018-10-16 14:53:18</v>
      </c>
    </row>
    <row r="6981" spans="1:7" x14ac:dyDescent="0.2">
      <c r="A6981" t="s">
        <v>7846</v>
      </c>
      <c r="B6981" t="str">
        <f>"13534203095"</f>
        <v>13534203095</v>
      </c>
      <c r="C6981" t="str">
        <f>"352124197812032316"</f>
        <v>352124197812032316</v>
      </c>
      <c r="D6981" t="s">
        <v>1</v>
      </c>
      <c r="E6981" t="s">
        <v>1</v>
      </c>
      <c r="F6981" t="s">
        <v>0</v>
      </c>
      <c r="G6981" t="str">
        <f>"2018-10-18 15:13:13"</f>
        <v>2018-10-18 15:13:13</v>
      </c>
    </row>
    <row r="6982" spans="1:7" x14ac:dyDescent="0.2">
      <c r="A6982" t="s">
        <v>7847</v>
      </c>
      <c r="B6982" t="str">
        <f>"13979997505"</f>
        <v>13979997505</v>
      </c>
      <c r="C6982" t="str">
        <f>"360313198303024015"</f>
        <v>360313198303024015</v>
      </c>
      <c r="D6982" t="s">
        <v>7848</v>
      </c>
      <c r="E6982" t="s">
        <v>7849</v>
      </c>
      <c r="F6982" t="s">
        <v>0</v>
      </c>
      <c r="G6982" t="str">
        <f>"2018-10-16 14:55:38"</f>
        <v>2018-10-16 14:55:38</v>
      </c>
    </row>
    <row r="6983" spans="1:7" x14ac:dyDescent="0.2">
      <c r="A6983" t="s">
        <v>7850</v>
      </c>
      <c r="B6983" t="str">
        <f>"18120408151"</f>
        <v>18120408151</v>
      </c>
      <c r="C6983" t="str">
        <f>"420102198608152815"</f>
        <v>420102198608152815</v>
      </c>
      <c r="D6983" t="s">
        <v>1</v>
      </c>
      <c r="E6983" t="s">
        <v>1</v>
      </c>
      <c r="F6983" t="s">
        <v>0</v>
      </c>
      <c r="G6983" t="str">
        <f>"2018-10-16 14:54:03"</f>
        <v>2018-10-16 14:54:03</v>
      </c>
    </row>
    <row r="6984" spans="1:7" x14ac:dyDescent="0.2">
      <c r="A6984" t="s">
        <v>7851</v>
      </c>
      <c r="B6984" t="str">
        <f>"18247890141"</f>
        <v>18247890141</v>
      </c>
      <c r="C6984" t="str">
        <f>"152801199604168134"</f>
        <v>152801199604168134</v>
      </c>
      <c r="D6984" t="s">
        <v>1</v>
      </c>
      <c r="E6984" t="s">
        <v>1</v>
      </c>
      <c r="F6984" t="s">
        <v>0</v>
      </c>
      <c r="G6984" t="str">
        <f>"2018-10-16 14:52:35"</f>
        <v>2018-10-16 14:52:35</v>
      </c>
    </row>
    <row r="6985" spans="1:7" x14ac:dyDescent="0.2">
      <c r="A6985" t="s">
        <v>941</v>
      </c>
      <c r="B6985" t="str">
        <f>"17605171985"</f>
        <v>17605171985</v>
      </c>
      <c r="C6985" t="str">
        <f>"320826198401232012"</f>
        <v>320826198401232012</v>
      </c>
      <c r="D6985" t="s">
        <v>1</v>
      </c>
      <c r="E6985" t="s">
        <v>1</v>
      </c>
      <c r="F6985" t="s">
        <v>0</v>
      </c>
      <c r="G6985" t="str">
        <f>"2018-10-16 15:28:18"</f>
        <v>2018-10-16 15:28:18</v>
      </c>
    </row>
    <row r="6986" spans="1:7" x14ac:dyDescent="0.2">
      <c r="A6986" t="s">
        <v>1</v>
      </c>
      <c r="B6986" t="str">
        <f>"18600778727"</f>
        <v>18600778727</v>
      </c>
      <c r="C6986" t="s">
        <v>1</v>
      </c>
      <c r="D6986" t="s">
        <v>1</v>
      </c>
      <c r="E6986" t="s">
        <v>1</v>
      </c>
      <c r="F6986" t="s">
        <v>0</v>
      </c>
      <c r="G6986" t="str">
        <f>"2018-10-16 14:52:15"</f>
        <v>2018-10-16 14:52:15</v>
      </c>
    </row>
    <row r="6987" spans="1:7" x14ac:dyDescent="0.2">
      <c r="A6987" t="s">
        <v>7852</v>
      </c>
      <c r="B6987" t="str">
        <f>"18751032395"</f>
        <v>18751032395</v>
      </c>
      <c r="C6987" t="str">
        <f>"320583199601018913"</f>
        <v>320583199601018913</v>
      </c>
      <c r="D6987" t="s">
        <v>1</v>
      </c>
      <c r="E6987" t="s">
        <v>1</v>
      </c>
      <c r="F6987" t="s">
        <v>0</v>
      </c>
      <c r="G6987" t="str">
        <f>"2018-10-16 14:52:15"</f>
        <v>2018-10-16 14:52:15</v>
      </c>
    </row>
    <row r="6988" spans="1:7" x14ac:dyDescent="0.2">
      <c r="A6988" t="s">
        <v>199</v>
      </c>
      <c r="B6988" t="str">
        <f>"15883532443"</f>
        <v>15883532443</v>
      </c>
      <c r="C6988" t="str">
        <f>"510821198812186325"</f>
        <v>510821198812186325</v>
      </c>
      <c r="D6988" t="s">
        <v>1</v>
      </c>
      <c r="E6988" t="s">
        <v>1</v>
      </c>
      <c r="F6988" t="s">
        <v>0</v>
      </c>
      <c r="G6988" t="str">
        <f>"2018-10-18 15:35:40"</f>
        <v>2018-10-18 15:35:40</v>
      </c>
    </row>
    <row r="6989" spans="1:7" x14ac:dyDescent="0.2">
      <c r="A6989" t="s">
        <v>7853</v>
      </c>
      <c r="B6989" t="str">
        <f>"13614214944"</f>
        <v>13614214944</v>
      </c>
      <c r="C6989" t="str">
        <f>"211382198707153957"</f>
        <v>211382198707153957</v>
      </c>
      <c r="D6989" t="s">
        <v>1</v>
      </c>
      <c r="E6989" t="s">
        <v>1</v>
      </c>
      <c r="F6989" t="s">
        <v>0</v>
      </c>
      <c r="G6989" t="str">
        <f>"2018-10-16 14:53:40"</f>
        <v>2018-10-16 14:53:40</v>
      </c>
    </row>
    <row r="6990" spans="1:7" x14ac:dyDescent="0.2">
      <c r="A6990" t="s">
        <v>844</v>
      </c>
      <c r="B6990" t="str">
        <f>"13791687551"</f>
        <v>13791687551</v>
      </c>
      <c r="C6990" t="str">
        <f>"370702198109094516"</f>
        <v>370702198109094516</v>
      </c>
      <c r="D6990" t="s">
        <v>7854</v>
      </c>
      <c r="E6990" t="s">
        <v>7855</v>
      </c>
      <c r="F6990" t="s">
        <v>0</v>
      </c>
      <c r="G6990" t="str">
        <f>"2018-10-16 14:53:12"</f>
        <v>2018-10-16 14:53:12</v>
      </c>
    </row>
    <row r="6991" spans="1:7" x14ac:dyDescent="0.2">
      <c r="A6991" t="s">
        <v>256</v>
      </c>
      <c r="B6991" t="str">
        <f>"13972505332"</f>
        <v>13972505332</v>
      </c>
      <c r="C6991" t="str">
        <f>"420302198905060010"</f>
        <v>420302198905060010</v>
      </c>
      <c r="D6991" t="s">
        <v>7856</v>
      </c>
      <c r="E6991" t="s">
        <v>7857</v>
      </c>
      <c r="F6991" t="s">
        <v>0</v>
      </c>
      <c r="G6991" t="str">
        <f>"2018-10-16 15:49:16"</f>
        <v>2018-10-16 15:49:16</v>
      </c>
    </row>
    <row r="6992" spans="1:7" x14ac:dyDescent="0.2">
      <c r="A6992" t="s">
        <v>7858</v>
      </c>
      <c r="B6992" t="str">
        <f>"18867955727"</f>
        <v>18867955727</v>
      </c>
      <c r="C6992" t="str">
        <f>"362321198309247852"</f>
        <v>362321198309247852</v>
      </c>
      <c r="D6992" t="s">
        <v>1</v>
      </c>
      <c r="E6992" t="s">
        <v>1</v>
      </c>
      <c r="F6992" t="s">
        <v>0</v>
      </c>
      <c r="G6992" t="str">
        <f>"2018-10-21 16:17:37"</f>
        <v>2018-10-21 16:17:37</v>
      </c>
    </row>
    <row r="6993" spans="1:7" x14ac:dyDescent="0.2">
      <c r="A6993" t="s">
        <v>7859</v>
      </c>
      <c r="B6993" t="str">
        <f>"13630047444"</f>
        <v>13630047444</v>
      </c>
      <c r="C6993" t="str">
        <f>"440683197903195118"</f>
        <v>440683197903195118</v>
      </c>
      <c r="D6993" t="s">
        <v>1</v>
      </c>
      <c r="E6993" t="s">
        <v>1</v>
      </c>
      <c r="F6993" t="s">
        <v>0</v>
      </c>
      <c r="G6993" t="str">
        <f>"2018-10-16 14:56:36"</f>
        <v>2018-10-16 14:56:36</v>
      </c>
    </row>
    <row r="6994" spans="1:7" x14ac:dyDescent="0.2">
      <c r="A6994" t="s">
        <v>7860</v>
      </c>
      <c r="B6994" t="str">
        <f>"17710589188"</f>
        <v>17710589188</v>
      </c>
      <c r="C6994" t="str">
        <f>"110224199008064622"</f>
        <v>110224199008064622</v>
      </c>
      <c r="D6994" t="s">
        <v>1</v>
      </c>
      <c r="E6994" t="s">
        <v>1</v>
      </c>
      <c r="F6994" t="s">
        <v>0</v>
      </c>
      <c r="G6994" t="str">
        <f>"2018-10-16 14:52:52"</f>
        <v>2018-10-16 14:52:52</v>
      </c>
    </row>
    <row r="6995" spans="1:7" x14ac:dyDescent="0.2">
      <c r="A6995" t="s">
        <v>7861</v>
      </c>
      <c r="B6995" t="str">
        <f>"18182932654"</f>
        <v>18182932654</v>
      </c>
      <c r="C6995" t="str">
        <f>"530324198602191754"</f>
        <v>530324198602191754</v>
      </c>
      <c r="D6995" t="s">
        <v>1</v>
      </c>
      <c r="E6995" t="s">
        <v>1</v>
      </c>
      <c r="F6995" t="s">
        <v>0</v>
      </c>
      <c r="G6995" t="str">
        <f>"2018-10-16 14:52:20"</f>
        <v>2018-10-16 14:52:20</v>
      </c>
    </row>
    <row r="6996" spans="1:7" x14ac:dyDescent="0.2">
      <c r="A6996" t="s">
        <v>7862</v>
      </c>
      <c r="B6996" t="str">
        <f>"18322971104"</f>
        <v>18322971104</v>
      </c>
      <c r="C6996" t="str">
        <f>"362525199310110010"</f>
        <v>362525199310110010</v>
      </c>
      <c r="D6996" t="s">
        <v>7863</v>
      </c>
      <c r="E6996" t="s">
        <v>7864</v>
      </c>
      <c r="F6996" t="s">
        <v>0</v>
      </c>
      <c r="G6996" t="str">
        <f>"2018-10-16 14:49:10"</f>
        <v>2018-10-16 14:49:10</v>
      </c>
    </row>
    <row r="6997" spans="1:7" x14ac:dyDescent="0.2">
      <c r="A6997" t="s">
        <v>7865</v>
      </c>
      <c r="B6997" t="str">
        <f>"18576466885"</f>
        <v>18576466885</v>
      </c>
      <c r="C6997" t="str">
        <f>"429006198311241217"</f>
        <v>429006198311241217</v>
      </c>
      <c r="D6997" t="s">
        <v>1</v>
      </c>
      <c r="E6997" t="s">
        <v>1</v>
      </c>
      <c r="F6997" t="s">
        <v>0</v>
      </c>
      <c r="G6997" t="str">
        <f>"2018-10-16 14:50:40"</f>
        <v>2018-10-16 14:50:40</v>
      </c>
    </row>
    <row r="6998" spans="1:7" x14ac:dyDescent="0.2">
      <c r="A6998" t="s">
        <v>7866</v>
      </c>
      <c r="B6998" t="str">
        <f>"18218419238"</f>
        <v>18218419238</v>
      </c>
      <c r="C6998" t="str">
        <f>"445224199204020396"</f>
        <v>445224199204020396</v>
      </c>
      <c r="D6998" t="s">
        <v>7867</v>
      </c>
      <c r="E6998" t="s">
        <v>7868</v>
      </c>
      <c r="F6998" t="s">
        <v>0</v>
      </c>
      <c r="G6998" t="str">
        <f>"2018-10-16 14:51:24"</f>
        <v>2018-10-16 14:51:24</v>
      </c>
    </row>
    <row r="6999" spans="1:7" x14ac:dyDescent="0.2">
      <c r="A6999" t="s">
        <v>7869</v>
      </c>
      <c r="B6999" t="str">
        <f>"13634356980"</f>
        <v>13634356980</v>
      </c>
      <c r="C6999" t="str">
        <f>"220211196312283918"</f>
        <v>220211196312283918</v>
      </c>
      <c r="D6999" t="s">
        <v>1</v>
      </c>
      <c r="E6999" t="s">
        <v>1</v>
      </c>
      <c r="F6999" t="s">
        <v>0</v>
      </c>
      <c r="G6999" t="str">
        <f>"2018-10-17 08:54:18"</f>
        <v>2018-10-17 08:54:18</v>
      </c>
    </row>
    <row r="7000" spans="1:7" x14ac:dyDescent="0.2">
      <c r="A7000" t="s">
        <v>7870</v>
      </c>
      <c r="B7000" t="str">
        <f>"15006783055"</f>
        <v>15006783055</v>
      </c>
      <c r="C7000" t="str">
        <f>"370481199601205672"</f>
        <v>370481199601205672</v>
      </c>
      <c r="D7000" t="s">
        <v>7871</v>
      </c>
      <c r="E7000" t="s">
        <v>7871</v>
      </c>
      <c r="F7000" t="s">
        <v>0</v>
      </c>
      <c r="G7000" t="str">
        <f>"2018-10-16 16:33:24"</f>
        <v>2018-10-16 16:33:24</v>
      </c>
    </row>
    <row r="7001" spans="1:7" x14ac:dyDescent="0.2">
      <c r="A7001" t="s">
        <v>7872</v>
      </c>
      <c r="B7001" t="str">
        <f>"13987009218"</f>
        <v>13987009218</v>
      </c>
      <c r="C7001" t="str">
        <f>"533527198311062023"</f>
        <v>533527198311062023</v>
      </c>
      <c r="D7001" t="s">
        <v>1</v>
      </c>
      <c r="E7001" t="s">
        <v>1</v>
      </c>
      <c r="F7001" t="s">
        <v>0</v>
      </c>
      <c r="G7001" t="str">
        <f>"2018-10-16 15:01:55"</f>
        <v>2018-10-16 15:01:55</v>
      </c>
    </row>
    <row r="7002" spans="1:7" x14ac:dyDescent="0.2">
      <c r="A7002" t="s">
        <v>7873</v>
      </c>
      <c r="B7002" t="str">
        <f>"13456748741"</f>
        <v>13456748741</v>
      </c>
      <c r="C7002" t="str">
        <f>"362324199106064515"</f>
        <v>362324199106064515</v>
      </c>
      <c r="D7002" t="s">
        <v>1</v>
      </c>
      <c r="E7002" t="s">
        <v>1</v>
      </c>
      <c r="F7002" t="s">
        <v>0</v>
      </c>
      <c r="G7002" t="str">
        <f>"2018-10-16 14:50:48"</f>
        <v>2018-10-16 14:50:48</v>
      </c>
    </row>
    <row r="7003" spans="1:7" x14ac:dyDescent="0.2">
      <c r="A7003" t="s">
        <v>7874</v>
      </c>
      <c r="B7003" t="str">
        <f>"15006181886"</f>
        <v>15006181886</v>
      </c>
      <c r="C7003" t="str">
        <f>"320282198303247964"</f>
        <v>320282198303247964</v>
      </c>
      <c r="D7003" t="s">
        <v>1</v>
      </c>
      <c r="E7003" t="s">
        <v>1</v>
      </c>
      <c r="F7003" t="s">
        <v>0</v>
      </c>
      <c r="G7003" t="str">
        <f>"2018-10-28 09:51:42"</f>
        <v>2018-10-28 09:51:42</v>
      </c>
    </row>
    <row r="7004" spans="1:7" x14ac:dyDescent="0.2">
      <c r="A7004" t="s">
        <v>7875</v>
      </c>
      <c r="B7004" t="str">
        <f>"15941937116"</f>
        <v>15941937116</v>
      </c>
      <c r="C7004" t="str">
        <f>"211022197401146570"</f>
        <v>211022197401146570</v>
      </c>
      <c r="D7004" t="s">
        <v>1</v>
      </c>
      <c r="E7004" t="s">
        <v>1</v>
      </c>
      <c r="F7004" t="s">
        <v>0</v>
      </c>
      <c r="G7004" t="str">
        <f>"2018-10-16 14:50:29"</f>
        <v>2018-10-16 14:50:29</v>
      </c>
    </row>
    <row r="7005" spans="1:7" x14ac:dyDescent="0.2">
      <c r="A7005" t="s">
        <v>1</v>
      </c>
      <c r="B7005" t="str">
        <f>"13289334290"</f>
        <v>13289334290</v>
      </c>
      <c r="C7005" t="s">
        <v>1</v>
      </c>
      <c r="D7005" t="s">
        <v>1</v>
      </c>
      <c r="E7005" t="s">
        <v>1</v>
      </c>
      <c r="F7005" t="s">
        <v>0</v>
      </c>
      <c r="G7005" t="str">
        <f>"2018-10-16 14:48:15"</f>
        <v>2018-10-16 14:48:15</v>
      </c>
    </row>
    <row r="7006" spans="1:7" x14ac:dyDescent="0.2">
      <c r="A7006" t="s">
        <v>7876</v>
      </c>
      <c r="B7006" t="str">
        <f>"13779935607"</f>
        <v>13779935607</v>
      </c>
      <c r="C7006" t="str">
        <f>"350825198312082218"</f>
        <v>350825198312082218</v>
      </c>
      <c r="D7006" t="s">
        <v>1</v>
      </c>
      <c r="E7006" t="s">
        <v>1</v>
      </c>
      <c r="F7006" t="s">
        <v>0</v>
      </c>
      <c r="G7006" t="str">
        <f>"2018-10-18 15:06:10"</f>
        <v>2018-10-18 15:06:10</v>
      </c>
    </row>
    <row r="7007" spans="1:7" x14ac:dyDescent="0.2">
      <c r="A7007" t="s">
        <v>1</v>
      </c>
      <c r="B7007" t="str">
        <f>"17839216754"</f>
        <v>17839216754</v>
      </c>
      <c r="C7007" t="s">
        <v>1</v>
      </c>
      <c r="D7007" t="s">
        <v>1</v>
      </c>
      <c r="E7007" t="s">
        <v>1</v>
      </c>
      <c r="F7007" t="s">
        <v>0</v>
      </c>
      <c r="G7007" t="str">
        <f>"2018-10-16 14:47:38"</f>
        <v>2018-10-16 14:47:38</v>
      </c>
    </row>
    <row r="7008" spans="1:7" x14ac:dyDescent="0.2">
      <c r="A7008" t="s">
        <v>7877</v>
      </c>
      <c r="B7008" t="str">
        <f>"18690419198"</f>
        <v>18690419198</v>
      </c>
      <c r="C7008" t="str">
        <f>"610321199210111132"</f>
        <v>610321199210111132</v>
      </c>
      <c r="D7008" t="s">
        <v>1</v>
      </c>
      <c r="E7008" t="s">
        <v>1</v>
      </c>
      <c r="F7008" t="s">
        <v>0</v>
      </c>
      <c r="G7008" t="str">
        <f>"2018-10-16 14:50:35"</f>
        <v>2018-10-16 14:50:35</v>
      </c>
    </row>
    <row r="7009" spans="1:7" x14ac:dyDescent="0.2">
      <c r="A7009" t="s">
        <v>7878</v>
      </c>
      <c r="B7009" t="str">
        <f>"15184640386"</f>
        <v>15184640386</v>
      </c>
      <c r="C7009" t="str">
        <f>"231026199505312148"</f>
        <v>231026199505312148</v>
      </c>
      <c r="D7009" t="s">
        <v>1</v>
      </c>
      <c r="E7009" t="s">
        <v>1</v>
      </c>
      <c r="F7009" t="s">
        <v>0</v>
      </c>
      <c r="G7009" t="str">
        <f>"2018-10-16 15:00:05"</f>
        <v>2018-10-16 15:00:05</v>
      </c>
    </row>
    <row r="7010" spans="1:7" x14ac:dyDescent="0.2">
      <c r="A7010" t="s">
        <v>7879</v>
      </c>
      <c r="B7010" t="str">
        <f>"15885781546"</f>
        <v>15885781546</v>
      </c>
      <c r="C7010" t="str">
        <f>"522225198805162815"</f>
        <v>522225198805162815</v>
      </c>
      <c r="D7010" t="s">
        <v>1</v>
      </c>
      <c r="E7010" t="s">
        <v>1</v>
      </c>
      <c r="F7010" t="s">
        <v>0</v>
      </c>
      <c r="G7010" t="str">
        <f>"2018-10-16 14:50:15"</f>
        <v>2018-10-16 14:50:15</v>
      </c>
    </row>
    <row r="7011" spans="1:7" x14ac:dyDescent="0.2">
      <c r="A7011" t="s">
        <v>7880</v>
      </c>
      <c r="B7011" t="str">
        <f>"18574142717"</f>
        <v>18574142717</v>
      </c>
      <c r="C7011" t="str">
        <f>"41272419980822695X"</f>
        <v>41272419980822695X</v>
      </c>
      <c r="D7011" t="s">
        <v>1</v>
      </c>
      <c r="E7011" t="s">
        <v>1</v>
      </c>
      <c r="F7011" t="s">
        <v>0</v>
      </c>
      <c r="G7011" t="str">
        <f>"2018-10-16 17:52:39"</f>
        <v>2018-10-16 17:52:39</v>
      </c>
    </row>
    <row r="7012" spans="1:7" x14ac:dyDescent="0.2">
      <c r="A7012" t="s">
        <v>1</v>
      </c>
      <c r="B7012" t="str">
        <f>"17074975820"</f>
        <v>17074975820</v>
      </c>
      <c r="C7012" t="s">
        <v>1</v>
      </c>
      <c r="D7012" t="s">
        <v>1</v>
      </c>
      <c r="E7012" t="s">
        <v>1</v>
      </c>
      <c r="F7012" t="s">
        <v>0</v>
      </c>
      <c r="G7012" t="str">
        <f>"2018-10-16 14:47:19"</f>
        <v>2018-10-16 14:47:19</v>
      </c>
    </row>
    <row r="7013" spans="1:7" x14ac:dyDescent="0.2">
      <c r="A7013" t="s">
        <v>1</v>
      </c>
      <c r="B7013" t="str">
        <f>"15110943077"</f>
        <v>15110943077</v>
      </c>
      <c r="C7013" t="s">
        <v>1</v>
      </c>
      <c r="D7013" t="s">
        <v>1</v>
      </c>
      <c r="E7013" t="s">
        <v>1</v>
      </c>
      <c r="F7013" t="s">
        <v>0</v>
      </c>
      <c r="G7013" t="str">
        <f>"2018-10-16 14:47:07"</f>
        <v>2018-10-16 14:47:07</v>
      </c>
    </row>
    <row r="7014" spans="1:7" x14ac:dyDescent="0.2">
      <c r="A7014" t="s">
        <v>1</v>
      </c>
      <c r="B7014" t="str">
        <f>"17172447682"</f>
        <v>17172447682</v>
      </c>
      <c r="C7014" t="s">
        <v>1</v>
      </c>
      <c r="D7014" t="s">
        <v>1</v>
      </c>
      <c r="E7014" t="s">
        <v>1</v>
      </c>
      <c r="F7014" t="s">
        <v>0</v>
      </c>
      <c r="G7014" t="str">
        <f>"2018-10-16 14:47:04"</f>
        <v>2018-10-16 14:47:04</v>
      </c>
    </row>
    <row r="7015" spans="1:7" x14ac:dyDescent="0.2">
      <c r="A7015" t="s">
        <v>1</v>
      </c>
      <c r="B7015" t="str">
        <f>"18267783766"</f>
        <v>18267783766</v>
      </c>
      <c r="C7015" t="s">
        <v>1</v>
      </c>
      <c r="D7015" t="s">
        <v>1</v>
      </c>
      <c r="E7015" t="s">
        <v>1</v>
      </c>
      <c r="F7015" t="s">
        <v>0</v>
      </c>
      <c r="G7015" t="str">
        <f>"2018-10-16 14:47:03"</f>
        <v>2018-10-16 14:47:03</v>
      </c>
    </row>
    <row r="7016" spans="1:7" x14ac:dyDescent="0.2">
      <c r="A7016" t="s">
        <v>7881</v>
      </c>
      <c r="B7016" t="str">
        <f>"15278853122"</f>
        <v>15278853122</v>
      </c>
      <c r="C7016" t="str">
        <f>"452226199102093027"</f>
        <v>452226199102093027</v>
      </c>
      <c r="D7016" t="s">
        <v>1</v>
      </c>
      <c r="E7016" t="s">
        <v>1</v>
      </c>
      <c r="F7016" t="s">
        <v>0</v>
      </c>
      <c r="G7016" t="str">
        <f>"2018-10-18 15:10:51"</f>
        <v>2018-10-18 15:10:51</v>
      </c>
    </row>
    <row r="7017" spans="1:7" x14ac:dyDescent="0.2">
      <c r="A7017" t="s">
        <v>1</v>
      </c>
      <c r="B7017" t="str">
        <f>"15167566484"</f>
        <v>15167566484</v>
      </c>
      <c r="C7017" t="s">
        <v>1</v>
      </c>
      <c r="D7017" t="s">
        <v>1</v>
      </c>
      <c r="E7017" t="s">
        <v>1</v>
      </c>
      <c r="F7017" t="s">
        <v>0</v>
      </c>
      <c r="G7017" t="str">
        <f>"2018-10-16 14:46:57"</f>
        <v>2018-10-16 14:46:57</v>
      </c>
    </row>
    <row r="7018" spans="1:7" x14ac:dyDescent="0.2">
      <c r="A7018" t="s">
        <v>7882</v>
      </c>
      <c r="B7018" t="str">
        <f>"18635632946"</f>
        <v>18635632946</v>
      </c>
      <c r="C7018" t="str">
        <f>"140581199608113925"</f>
        <v>140581199608113925</v>
      </c>
      <c r="D7018" t="s">
        <v>1</v>
      </c>
      <c r="E7018" t="s">
        <v>1</v>
      </c>
      <c r="F7018" t="s">
        <v>0</v>
      </c>
      <c r="G7018" t="str">
        <f>"2018-10-16 14:47:09"</f>
        <v>2018-10-16 14:47:09</v>
      </c>
    </row>
    <row r="7019" spans="1:7" x14ac:dyDescent="0.2">
      <c r="A7019" t="s">
        <v>1</v>
      </c>
      <c r="B7019" t="str">
        <f>"15587516679"</f>
        <v>15587516679</v>
      </c>
      <c r="C7019" t="s">
        <v>1</v>
      </c>
      <c r="D7019" t="s">
        <v>1</v>
      </c>
      <c r="E7019" t="s">
        <v>1</v>
      </c>
      <c r="F7019" t="s">
        <v>0</v>
      </c>
      <c r="G7019" t="str">
        <f>"2018-10-16 14:48:12"</f>
        <v>2018-10-16 14:48:12</v>
      </c>
    </row>
    <row r="7020" spans="1:7" x14ac:dyDescent="0.2">
      <c r="A7020" t="s">
        <v>7883</v>
      </c>
      <c r="B7020" t="str">
        <f>"18219728878"</f>
        <v>18219728878</v>
      </c>
      <c r="C7020" t="str">
        <f>"622421199006246434"</f>
        <v>622421199006246434</v>
      </c>
      <c r="D7020" t="s">
        <v>7884</v>
      </c>
      <c r="E7020" t="s">
        <v>7885</v>
      </c>
      <c r="F7020" t="s">
        <v>0</v>
      </c>
      <c r="G7020" t="str">
        <f>"2018-10-16 14:47:29"</f>
        <v>2018-10-16 14:47:29</v>
      </c>
    </row>
    <row r="7021" spans="1:7" x14ac:dyDescent="0.2">
      <c r="A7021" t="s">
        <v>7886</v>
      </c>
      <c r="B7021" t="str">
        <f>"15045303320"</f>
        <v>15045303320</v>
      </c>
      <c r="C7021" t="str">
        <f>"231085199203160767"</f>
        <v>231085199203160767</v>
      </c>
      <c r="D7021" t="s">
        <v>1</v>
      </c>
      <c r="E7021" t="s">
        <v>1</v>
      </c>
      <c r="F7021" t="s">
        <v>0</v>
      </c>
      <c r="G7021" t="str">
        <f>"2018-10-16 14:47:54"</f>
        <v>2018-10-16 14:47:54</v>
      </c>
    </row>
    <row r="7022" spans="1:7" x14ac:dyDescent="0.2">
      <c r="A7022" t="s">
        <v>7887</v>
      </c>
      <c r="B7022" t="str">
        <f>"18589262816"</f>
        <v>18589262816</v>
      </c>
      <c r="C7022" t="str">
        <f>"370302199601098028"</f>
        <v>370302199601098028</v>
      </c>
      <c r="D7022" t="s">
        <v>1</v>
      </c>
      <c r="E7022" t="s">
        <v>1</v>
      </c>
      <c r="F7022" t="s">
        <v>0</v>
      </c>
      <c r="G7022" t="str">
        <f>"2018-10-16 19:41:13"</f>
        <v>2018-10-16 19:41:13</v>
      </c>
    </row>
    <row r="7023" spans="1:7" x14ac:dyDescent="0.2">
      <c r="A7023" t="s">
        <v>1</v>
      </c>
      <c r="B7023" t="str">
        <f>"18280004452"</f>
        <v>18280004452</v>
      </c>
      <c r="C7023" t="s">
        <v>1</v>
      </c>
      <c r="D7023" t="s">
        <v>1</v>
      </c>
      <c r="E7023" t="s">
        <v>1</v>
      </c>
      <c r="F7023" t="s">
        <v>0</v>
      </c>
      <c r="G7023" t="str">
        <f>"2018-10-16 14:45:34"</f>
        <v>2018-10-16 14:45:34</v>
      </c>
    </row>
    <row r="7024" spans="1:7" x14ac:dyDescent="0.2">
      <c r="A7024" t="s">
        <v>1</v>
      </c>
      <c r="B7024" t="str">
        <f>"15677657374"</f>
        <v>15677657374</v>
      </c>
      <c r="C7024" t="s">
        <v>1</v>
      </c>
      <c r="D7024" t="s">
        <v>1</v>
      </c>
      <c r="E7024" t="s">
        <v>1</v>
      </c>
      <c r="F7024" t="s">
        <v>0</v>
      </c>
      <c r="G7024" t="str">
        <f>"2018-10-16 14:45:23"</f>
        <v>2018-10-16 14:45:23</v>
      </c>
    </row>
    <row r="7025" spans="1:7" x14ac:dyDescent="0.2">
      <c r="A7025" t="s">
        <v>7888</v>
      </c>
      <c r="B7025" t="str">
        <f>"15660951017"</f>
        <v>15660951017</v>
      </c>
      <c r="C7025" t="str">
        <f>"411503199704220015"</f>
        <v>411503199704220015</v>
      </c>
      <c r="D7025" t="s">
        <v>1</v>
      </c>
      <c r="E7025" t="s">
        <v>1</v>
      </c>
      <c r="F7025" t="s">
        <v>0</v>
      </c>
      <c r="G7025" t="str">
        <f>"2018-10-16 14:46:49"</f>
        <v>2018-10-16 14:46:49</v>
      </c>
    </row>
    <row r="7026" spans="1:7" x14ac:dyDescent="0.2">
      <c r="A7026" t="s">
        <v>7889</v>
      </c>
      <c r="B7026" t="str">
        <f>"13533794395"</f>
        <v>13533794395</v>
      </c>
      <c r="C7026" t="str">
        <f>"440982198912310426"</f>
        <v>440982198912310426</v>
      </c>
      <c r="D7026" t="s">
        <v>1</v>
      </c>
      <c r="E7026" t="s">
        <v>1</v>
      </c>
      <c r="F7026" t="s">
        <v>0</v>
      </c>
      <c r="G7026" t="str">
        <f>"2018-10-16 14:48:46"</f>
        <v>2018-10-16 14:48:46</v>
      </c>
    </row>
    <row r="7027" spans="1:7" x14ac:dyDescent="0.2">
      <c r="A7027" t="s">
        <v>7890</v>
      </c>
      <c r="B7027" t="str">
        <f>"15848300236"</f>
        <v>15848300236</v>
      </c>
      <c r="C7027" t="str">
        <f>"622826199103282748"</f>
        <v>622826199103282748</v>
      </c>
      <c r="D7027" t="s">
        <v>1</v>
      </c>
      <c r="E7027" t="s">
        <v>1</v>
      </c>
      <c r="F7027" t="s">
        <v>0</v>
      </c>
      <c r="G7027" t="str">
        <f>"2018-10-25 23:23:35"</f>
        <v>2018-10-25 23:23:35</v>
      </c>
    </row>
    <row r="7028" spans="1:7" x14ac:dyDescent="0.2">
      <c r="A7028" t="s">
        <v>7891</v>
      </c>
      <c r="B7028" t="str">
        <f>"13789855579"</f>
        <v>13789855579</v>
      </c>
      <c r="C7028" t="str">
        <f>"370205199101178519"</f>
        <v>370205199101178519</v>
      </c>
      <c r="D7028" t="s">
        <v>7892</v>
      </c>
      <c r="E7028" t="s">
        <v>7893</v>
      </c>
      <c r="F7028" t="s">
        <v>0</v>
      </c>
      <c r="G7028" t="str">
        <f>"2018-10-16 14:45:46"</f>
        <v>2018-10-16 14:45:46</v>
      </c>
    </row>
    <row r="7029" spans="1:7" x14ac:dyDescent="0.2">
      <c r="A7029" t="s">
        <v>7894</v>
      </c>
      <c r="B7029" t="str">
        <f>"18795310401"</f>
        <v>18795310401</v>
      </c>
      <c r="C7029" t="str">
        <f>"640122198708072114"</f>
        <v>640122198708072114</v>
      </c>
      <c r="D7029" t="s">
        <v>7895</v>
      </c>
      <c r="E7029" t="s">
        <v>7896</v>
      </c>
      <c r="F7029" t="s">
        <v>0</v>
      </c>
      <c r="G7029" t="str">
        <f>"2018-10-16 14:45:42"</f>
        <v>2018-10-16 14:45:42</v>
      </c>
    </row>
    <row r="7030" spans="1:7" x14ac:dyDescent="0.2">
      <c r="A7030" t="s">
        <v>1</v>
      </c>
      <c r="B7030" t="str">
        <f>"17748321419"</f>
        <v>17748321419</v>
      </c>
      <c r="C7030" t="s">
        <v>1</v>
      </c>
      <c r="D7030" t="s">
        <v>1</v>
      </c>
      <c r="E7030" t="s">
        <v>1</v>
      </c>
      <c r="F7030" t="s">
        <v>0</v>
      </c>
      <c r="G7030" t="str">
        <f>"2018-10-16 14:43:59"</f>
        <v>2018-10-16 14:43:59</v>
      </c>
    </row>
    <row r="7031" spans="1:7" x14ac:dyDescent="0.2">
      <c r="A7031" t="s">
        <v>1</v>
      </c>
      <c r="B7031" t="str">
        <f>"17608186972"</f>
        <v>17608186972</v>
      </c>
      <c r="C7031" t="s">
        <v>1</v>
      </c>
      <c r="D7031" t="s">
        <v>1</v>
      </c>
      <c r="E7031" t="s">
        <v>1</v>
      </c>
      <c r="F7031" t="s">
        <v>0</v>
      </c>
      <c r="G7031" t="str">
        <f>"2018-10-16 14:43:50"</f>
        <v>2018-10-16 14:43:50</v>
      </c>
    </row>
    <row r="7032" spans="1:7" x14ac:dyDescent="0.2">
      <c r="A7032" t="s">
        <v>7897</v>
      </c>
      <c r="B7032" t="str">
        <f>"17685233834"</f>
        <v>17685233834</v>
      </c>
      <c r="C7032" t="str">
        <f>"522530200002101311"</f>
        <v>522530200002101311</v>
      </c>
      <c r="D7032" t="s">
        <v>1</v>
      </c>
      <c r="E7032" t="s">
        <v>1</v>
      </c>
      <c r="F7032" t="s">
        <v>0</v>
      </c>
      <c r="G7032" t="str">
        <f>"2018-10-16 14:46:18"</f>
        <v>2018-10-16 14:46:18</v>
      </c>
    </row>
    <row r="7033" spans="1:7" x14ac:dyDescent="0.2">
      <c r="A7033" t="s">
        <v>7898</v>
      </c>
      <c r="B7033" t="str">
        <f>"13008760678"</f>
        <v>13008760678</v>
      </c>
      <c r="C7033" t="str">
        <f>"622625199412221618"</f>
        <v>622625199412221618</v>
      </c>
      <c r="D7033" t="s">
        <v>1</v>
      </c>
      <c r="E7033" t="s">
        <v>1</v>
      </c>
      <c r="F7033" t="s">
        <v>0</v>
      </c>
      <c r="G7033" t="str">
        <f>"2018-10-16 14:50:54"</f>
        <v>2018-10-16 14:50:54</v>
      </c>
    </row>
    <row r="7034" spans="1:7" x14ac:dyDescent="0.2">
      <c r="A7034" t="s">
        <v>1392</v>
      </c>
      <c r="B7034" t="str">
        <f>"15168291505"</f>
        <v>15168291505</v>
      </c>
      <c r="C7034" t="str">
        <f>"330683198711117448"</f>
        <v>330683198711117448</v>
      </c>
      <c r="D7034" t="s">
        <v>1</v>
      </c>
      <c r="E7034" t="s">
        <v>1</v>
      </c>
      <c r="F7034" t="s">
        <v>0</v>
      </c>
      <c r="G7034" t="str">
        <f>"2018-10-16 15:41:00"</f>
        <v>2018-10-16 15:41:00</v>
      </c>
    </row>
    <row r="7035" spans="1:7" x14ac:dyDescent="0.2">
      <c r="A7035" t="s">
        <v>7899</v>
      </c>
      <c r="B7035" t="str">
        <f>"13563749979"</f>
        <v>13563749979</v>
      </c>
      <c r="C7035" t="str">
        <f>"37083019950107171X"</f>
        <v>37083019950107171X</v>
      </c>
      <c r="D7035" t="s">
        <v>1</v>
      </c>
      <c r="E7035" t="s">
        <v>1</v>
      </c>
      <c r="F7035" t="s">
        <v>0</v>
      </c>
      <c r="G7035" t="str">
        <f>"2018-10-16 14:43:54"</f>
        <v>2018-10-16 14:43:54</v>
      </c>
    </row>
    <row r="7036" spans="1:7" x14ac:dyDescent="0.2">
      <c r="A7036" t="s">
        <v>1</v>
      </c>
      <c r="B7036" t="str">
        <f>"15885752493"</f>
        <v>15885752493</v>
      </c>
      <c r="C7036" t="s">
        <v>1</v>
      </c>
      <c r="D7036" t="s">
        <v>1</v>
      </c>
      <c r="E7036" t="s">
        <v>1</v>
      </c>
      <c r="F7036" t="s">
        <v>0</v>
      </c>
      <c r="G7036" t="str">
        <f>"2018-10-16 14:42:44"</f>
        <v>2018-10-16 14:42:44</v>
      </c>
    </row>
    <row r="7037" spans="1:7" x14ac:dyDescent="0.2">
      <c r="A7037" t="s">
        <v>1</v>
      </c>
      <c r="B7037" t="str">
        <f>"13584210235"</f>
        <v>13584210235</v>
      </c>
      <c r="C7037" t="s">
        <v>1</v>
      </c>
      <c r="D7037" t="s">
        <v>1</v>
      </c>
      <c r="E7037" t="s">
        <v>1</v>
      </c>
      <c r="F7037" t="s">
        <v>0</v>
      </c>
      <c r="G7037" t="str">
        <f>"2018-10-16 14:42:24"</f>
        <v>2018-10-16 14:42:24</v>
      </c>
    </row>
    <row r="7038" spans="1:7" x14ac:dyDescent="0.2">
      <c r="A7038" t="s">
        <v>7900</v>
      </c>
      <c r="B7038" t="str">
        <f>"15186887790"</f>
        <v>15186887790</v>
      </c>
      <c r="C7038" t="str">
        <f>"522601199510120533"</f>
        <v>522601199510120533</v>
      </c>
      <c r="D7038" t="s">
        <v>7901</v>
      </c>
      <c r="E7038" t="s">
        <v>7902</v>
      </c>
      <c r="F7038" t="s">
        <v>0</v>
      </c>
      <c r="G7038" t="str">
        <f>"2018-10-16 14:41:39"</f>
        <v>2018-10-16 14:41:39</v>
      </c>
    </row>
    <row r="7039" spans="1:7" x14ac:dyDescent="0.2">
      <c r="A7039" t="s">
        <v>7903</v>
      </c>
      <c r="B7039" t="str">
        <f>"18759280206"</f>
        <v>18759280206</v>
      </c>
      <c r="C7039" t="str">
        <f>"35021119870705355X"</f>
        <v>35021119870705355X</v>
      </c>
      <c r="D7039" t="s">
        <v>1</v>
      </c>
      <c r="E7039" t="s">
        <v>1</v>
      </c>
      <c r="F7039" t="s">
        <v>0</v>
      </c>
      <c r="G7039" t="str">
        <f>"2018-10-16 14:43:31"</f>
        <v>2018-10-16 14:43:31</v>
      </c>
    </row>
    <row r="7040" spans="1:7" x14ac:dyDescent="0.2">
      <c r="A7040" t="s">
        <v>1</v>
      </c>
      <c r="B7040" t="str">
        <f>"15002459498"</f>
        <v>15002459498</v>
      </c>
      <c r="C7040" t="s">
        <v>1</v>
      </c>
      <c r="D7040" t="s">
        <v>1</v>
      </c>
      <c r="E7040" t="s">
        <v>1</v>
      </c>
      <c r="F7040" t="s">
        <v>0</v>
      </c>
      <c r="G7040" t="str">
        <f>"2018-10-16 14:41:11"</f>
        <v>2018-10-16 14:41:11</v>
      </c>
    </row>
    <row r="7041" spans="1:7" x14ac:dyDescent="0.2">
      <c r="A7041" t="s">
        <v>7904</v>
      </c>
      <c r="B7041" t="str">
        <f>"18181789222"</f>
        <v>18181789222</v>
      </c>
      <c r="C7041" t="str">
        <f>"510704199208152121"</f>
        <v>510704199208152121</v>
      </c>
      <c r="D7041" t="s">
        <v>1</v>
      </c>
      <c r="E7041" t="s">
        <v>1</v>
      </c>
      <c r="F7041" t="s">
        <v>0</v>
      </c>
      <c r="G7041" t="str">
        <f>"2018-10-16 14:43:18"</f>
        <v>2018-10-16 14:43:18</v>
      </c>
    </row>
    <row r="7042" spans="1:7" x14ac:dyDescent="0.2">
      <c r="A7042" t="s">
        <v>114</v>
      </c>
      <c r="B7042" t="str">
        <f>"17821138175"</f>
        <v>17821138175</v>
      </c>
      <c r="C7042" t="str">
        <f>"43062319980523513X"</f>
        <v>43062319980523513X</v>
      </c>
      <c r="D7042" t="s">
        <v>7905</v>
      </c>
      <c r="E7042" t="s">
        <v>7906</v>
      </c>
      <c r="F7042" t="s">
        <v>0</v>
      </c>
      <c r="G7042" t="str">
        <f>"2018-10-16 16:42:18"</f>
        <v>2018-10-16 16:42:18</v>
      </c>
    </row>
    <row r="7043" spans="1:7" x14ac:dyDescent="0.2">
      <c r="A7043" t="s">
        <v>7907</v>
      </c>
      <c r="B7043" t="str">
        <f>"15831518026"</f>
        <v>15831518026</v>
      </c>
      <c r="C7043" t="str">
        <f>"130623198511292715"</f>
        <v>130623198511292715</v>
      </c>
      <c r="D7043" t="s">
        <v>1</v>
      </c>
      <c r="E7043" t="s">
        <v>1</v>
      </c>
      <c r="F7043" t="s">
        <v>0</v>
      </c>
      <c r="G7043" t="str">
        <f>"2018-10-16 15:40:10"</f>
        <v>2018-10-16 15:40:10</v>
      </c>
    </row>
    <row r="7044" spans="1:7" x14ac:dyDescent="0.2">
      <c r="A7044" t="s">
        <v>7908</v>
      </c>
      <c r="B7044" t="str">
        <f>"13695920315"</f>
        <v>13695920315</v>
      </c>
      <c r="C7044" t="str">
        <f>"332526199101017320"</f>
        <v>332526199101017320</v>
      </c>
      <c r="D7044" t="s">
        <v>1</v>
      </c>
      <c r="E7044" t="s">
        <v>1</v>
      </c>
      <c r="F7044" t="s">
        <v>0</v>
      </c>
      <c r="G7044" t="str">
        <f>"2018-10-16 14:59:26"</f>
        <v>2018-10-16 14:59:26</v>
      </c>
    </row>
    <row r="7045" spans="1:7" x14ac:dyDescent="0.2">
      <c r="A7045" t="s">
        <v>7909</v>
      </c>
      <c r="B7045" t="str">
        <f>"15326693344"</f>
        <v>15326693344</v>
      </c>
      <c r="C7045" t="str">
        <f>"239004198412242616"</f>
        <v>239004198412242616</v>
      </c>
      <c r="D7045" t="s">
        <v>7910</v>
      </c>
      <c r="E7045" t="s">
        <v>7911</v>
      </c>
      <c r="F7045" t="s">
        <v>0</v>
      </c>
      <c r="G7045" t="str">
        <f>"2018-11-01 15:48:34"</f>
        <v>2018-11-01 15:48:34</v>
      </c>
    </row>
    <row r="7046" spans="1:7" x14ac:dyDescent="0.2">
      <c r="A7046" t="s">
        <v>1</v>
      </c>
      <c r="B7046" t="str">
        <f>"13998075548"</f>
        <v>13998075548</v>
      </c>
      <c r="C7046" t="s">
        <v>1</v>
      </c>
      <c r="D7046" t="s">
        <v>1</v>
      </c>
      <c r="E7046" t="s">
        <v>1</v>
      </c>
      <c r="F7046" t="s">
        <v>0</v>
      </c>
      <c r="G7046" t="str">
        <f>"2018-10-16 14:46:29"</f>
        <v>2018-10-16 14:46:29</v>
      </c>
    </row>
    <row r="7047" spans="1:7" x14ac:dyDescent="0.2">
      <c r="A7047" t="s">
        <v>12</v>
      </c>
      <c r="B7047" t="str">
        <f>"15964390536"</f>
        <v>15964390536</v>
      </c>
      <c r="C7047" t="str">
        <f>"371526200005112813"</f>
        <v>371526200005112813</v>
      </c>
      <c r="D7047" t="s">
        <v>1</v>
      </c>
      <c r="E7047" t="s">
        <v>1</v>
      </c>
      <c r="F7047" t="s">
        <v>0</v>
      </c>
      <c r="G7047" t="str">
        <f>"2018-10-16 14:41:21"</f>
        <v>2018-10-16 14:41:21</v>
      </c>
    </row>
    <row r="7048" spans="1:7" x14ac:dyDescent="0.2">
      <c r="A7048" t="s">
        <v>7912</v>
      </c>
      <c r="B7048" t="str">
        <f>"13037413983"</f>
        <v>13037413983</v>
      </c>
      <c r="C7048" t="str">
        <f>"433130199205240030"</f>
        <v>433130199205240030</v>
      </c>
      <c r="D7048" t="s">
        <v>1</v>
      </c>
      <c r="E7048" t="s">
        <v>1</v>
      </c>
      <c r="F7048" t="s">
        <v>0</v>
      </c>
      <c r="G7048" t="str">
        <f>"2018-10-16 14:43:02"</f>
        <v>2018-10-16 14:43:02</v>
      </c>
    </row>
    <row r="7049" spans="1:7" x14ac:dyDescent="0.2">
      <c r="A7049" t="s">
        <v>1679</v>
      </c>
      <c r="B7049" t="str">
        <f>"15974154040"</f>
        <v>15974154040</v>
      </c>
      <c r="C7049" t="str">
        <f>"430124198908150010"</f>
        <v>430124198908150010</v>
      </c>
      <c r="D7049" t="s">
        <v>1</v>
      </c>
      <c r="E7049" t="s">
        <v>1</v>
      </c>
      <c r="F7049" t="s">
        <v>0</v>
      </c>
      <c r="G7049" t="str">
        <f>"2018-10-16 14:40:52"</f>
        <v>2018-10-16 14:40:52</v>
      </c>
    </row>
    <row r="7050" spans="1:7" x14ac:dyDescent="0.2">
      <c r="A7050" t="s">
        <v>7913</v>
      </c>
      <c r="B7050" t="str">
        <f>"13922883648"</f>
        <v>13922883648</v>
      </c>
      <c r="C7050" t="str">
        <f>"500234198510144071"</f>
        <v>500234198510144071</v>
      </c>
      <c r="D7050" t="s">
        <v>7914</v>
      </c>
      <c r="E7050" t="s">
        <v>7915</v>
      </c>
      <c r="F7050" t="s">
        <v>0</v>
      </c>
      <c r="G7050" t="str">
        <f>"2018-10-16 14:43:04"</f>
        <v>2018-10-16 14:43:04</v>
      </c>
    </row>
    <row r="7051" spans="1:7" x14ac:dyDescent="0.2">
      <c r="A7051" t="s">
        <v>3954</v>
      </c>
      <c r="B7051" t="str">
        <f>"13597658009"</f>
        <v>13597658009</v>
      </c>
      <c r="C7051" t="str">
        <f>"420222198409072071"</f>
        <v>420222198409072071</v>
      </c>
      <c r="D7051" t="s">
        <v>1</v>
      </c>
      <c r="E7051" t="s">
        <v>1</v>
      </c>
      <c r="F7051" t="s">
        <v>0</v>
      </c>
      <c r="G7051" t="str">
        <f>"2018-10-16 14:38:21"</f>
        <v>2018-10-16 14:38:21</v>
      </c>
    </row>
    <row r="7052" spans="1:7" x14ac:dyDescent="0.2">
      <c r="A7052" t="s">
        <v>1</v>
      </c>
      <c r="B7052" t="str">
        <f>"18735332266"</f>
        <v>18735332266</v>
      </c>
      <c r="C7052" t="s">
        <v>1</v>
      </c>
      <c r="D7052" t="s">
        <v>1</v>
      </c>
      <c r="E7052" t="s">
        <v>1</v>
      </c>
      <c r="F7052" t="s">
        <v>0</v>
      </c>
      <c r="G7052" t="str">
        <f>"2018-10-16 14:38:15"</f>
        <v>2018-10-16 14:38:15</v>
      </c>
    </row>
    <row r="7053" spans="1:7" x14ac:dyDescent="0.2">
      <c r="A7053" t="s">
        <v>1</v>
      </c>
      <c r="B7053" t="str">
        <f>"15244398831"</f>
        <v>15244398831</v>
      </c>
      <c r="C7053" t="s">
        <v>1</v>
      </c>
      <c r="D7053" t="s">
        <v>1</v>
      </c>
      <c r="E7053" t="s">
        <v>1</v>
      </c>
      <c r="F7053" t="s">
        <v>0</v>
      </c>
      <c r="G7053" t="str">
        <f>"2018-10-16 14:40:59"</f>
        <v>2018-10-16 14:40:59</v>
      </c>
    </row>
    <row r="7054" spans="1:7" x14ac:dyDescent="0.2">
      <c r="A7054" t="s">
        <v>7916</v>
      </c>
      <c r="B7054" t="str">
        <f>"15335866555"</f>
        <v>15335866555</v>
      </c>
      <c r="C7054" t="str">
        <f>"42082119850817001X"</f>
        <v>42082119850817001X</v>
      </c>
      <c r="D7054" t="s">
        <v>1</v>
      </c>
      <c r="E7054" t="s">
        <v>1</v>
      </c>
      <c r="F7054" t="s">
        <v>0</v>
      </c>
      <c r="G7054" t="str">
        <f>"2018-10-16 14:50:11"</f>
        <v>2018-10-16 14:50:11</v>
      </c>
    </row>
    <row r="7055" spans="1:7" x14ac:dyDescent="0.2">
      <c r="A7055" t="s">
        <v>7917</v>
      </c>
      <c r="B7055" t="str">
        <f>"15880627107"</f>
        <v>15880627107</v>
      </c>
      <c r="C7055" t="str">
        <f>"350825199101260218"</f>
        <v>350825199101260218</v>
      </c>
      <c r="D7055" t="s">
        <v>1</v>
      </c>
      <c r="E7055" t="s">
        <v>1</v>
      </c>
      <c r="F7055" t="s">
        <v>0</v>
      </c>
      <c r="G7055" t="str">
        <f>"2018-10-16 14:56:19"</f>
        <v>2018-10-16 14:56:19</v>
      </c>
    </row>
    <row r="7056" spans="1:7" x14ac:dyDescent="0.2">
      <c r="A7056" t="s">
        <v>7918</v>
      </c>
      <c r="B7056" t="str">
        <f>"15067124804"</f>
        <v>15067124804</v>
      </c>
      <c r="C7056" t="str">
        <f>"342901198910232217"</f>
        <v>342901198910232217</v>
      </c>
      <c r="D7056" t="s">
        <v>1</v>
      </c>
      <c r="E7056" t="s">
        <v>1</v>
      </c>
      <c r="F7056" t="s">
        <v>0</v>
      </c>
      <c r="G7056" t="str">
        <f>"2018-10-16 14:38:26"</f>
        <v>2018-10-16 14:38:26</v>
      </c>
    </row>
    <row r="7057" spans="1:7" x14ac:dyDescent="0.2">
      <c r="A7057" t="s">
        <v>423</v>
      </c>
      <c r="B7057" t="str">
        <f>"13887152119"</f>
        <v>13887152119</v>
      </c>
      <c r="C7057" t="str">
        <f>"53030219961212130X"</f>
        <v>53030219961212130X</v>
      </c>
      <c r="D7057" t="s">
        <v>1</v>
      </c>
      <c r="E7057" t="s">
        <v>1</v>
      </c>
      <c r="F7057" t="s">
        <v>0</v>
      </c>
      <c r="G7057" t="str">
        <f>"2018-10-28 18:53:38"</f>
        <v>2018-10-28 18:53:38</v>
      </c>
    </row>
    <row r="7058" spans="1:7" x14ac:dyDescent="0.2">
      <c r="A7058" t="s">
        <v>7919</v>
      </c>
      <c r="B7058" t="str">
        <f>"18178363015"</f>
        <v>18178363015</v>
      </c>
      <c r="C7058" t="str">
        <f>"45233019800830003X"</f>
        <v>45233019800830003X</v>
      </c>
      <c r="D7058" t="s">
        <v>1</v>
      </c>
      <c r="E7058" t="s">
        <v>1</v>
      </c>
      <c r="F7058" t="s">
        <v>0</v>
      </c>
      <c r="G7058" t="str">
        <f>"2018-10-16 14:37:07"</f>
        <v>2018-10-16 14:37:07</v>
      </c>
    </row>
    <row r="7059" spans="1:7" x14ac:dyDescent="0.2">
      <c r="A7059" t="s">
        <v>7920</v>
      </c>
      <c r="B7059" t="str">
        <f>"15695690668"</f>
        <v>15695690668</v>
      </c>
      <c r="C7059" t="str">
        <f>"34010119921017051X"</f>
        <v>34010119921017051X</v>
      </c>
      <c r="D7059" t="s">
        <v>1</v>
      </c>
      <c r="E7059" t="s">
        <v>1</v>
      </c>
      <c r="F7059" t="s">
        <v>0</v>
      </c>
      <c r="G7059" t="str">
        <f>"2018-10-16 14:40:54"</f>
        <v>2018-10-16 14:40:54</v>
      </c>
    </row>
    <row r="7060" spans="1:7" x14ac:dyDescent="0.2">
      <c r="A7060" t="s">
        <v>1</v>
      </c>
      <c r="B7060" t="str">
        <f>"13932488430"</f>
        <v>13932488430</v>
      </c>
      <c r="C7060" t="s">
        <v>1</v>
      </c>
      <c r="D7060" t="s">
        <v>1</v>
      </c>
      <c r="E7060" t="s">
        <v>1</v>
      </c>
      <c r="F7060" t="s">
        <v>0</v>
      </c>
      <c r="G7060" t="str">
        <f>"2018-10-16 14:36:46"</f>
        <v>2018-10-16 14:36:46</v>
      </c>
    </row>
    <row r="7061" spans="1:7" x14ac:dyDescent="0.2">
      <c r="A7061" t="s">
        <v>7921</v>
      </c>
      <c r="B7061" t="str">
        <f>"18706504112"</f>
        <v>18706504112</v>
      </c>
      <c r="C7061" t="str">
        <f>"370703199304290011"</f>
        <v>370703199304290011</v>
      </c>
      <c r="D7061" t="s">
        <v>1</v>
      </c>
      <c r="E7061" t="s">
        <v>1</v>
      </c>
      <c r="F7061" t="s">
        <v>0</v>
      </c>
      <c r="G7061" t="str">
        <f>"2018-10-16 14:41:18"</f>
        <v>2018-10-16 14:41:18</v>
      </c>
    </row>
    <row r="7062" spans="1:7" x14ac:dyDescent="0.2">
      <c r="A7062" t="s">
        <v>7922</v>
      </c>
      <c r="B7062" t="str">
        <f>"15972867000"</f>
        <v>15972867000</v>
      </c>
      <c r="C7062" t="str">
        <f>"42112219800525101X"</f>
        <v>42112219800525101X</v>
      </c>
      <c r="D7062" t="s">
        <v>1</v>
      </c>
      <c r="E7062" t="s">
        <v>1</v>
      </c>
      <c r="F7062" t="s">
        <v>0</v>
      </c>
      <c r="G7062" t="str">
        <f>"2018-10-16 15:09:39"</f>
        <v>2018-10-16 15:09:39</v>
      </c>
    </row>
    <row r="7063" spans="1:7" x14ac:dyDescent="0.2">
      <c r="A7063" t="s">
        <v>7923</v>
      </c>
      <c r="B7063" t="str">
        <f>"18277449800"</f>
        <v>18277449800</v>
      </c>
      <c r="C7063" t="str">
        <f>"450421197906076036"</f>
        <v>450421197906076036</v>
      </c>
      <c r="D7063" t="s">
        <v>7924</v>
      </c>
      <c r="E7063" t="s">
        <v>7925</v>
      </c>
      <c r="F7063" t="s">
        <v>0</v>
      </c>
      <c r="G7063" t="str">
        <f>"2018-10-16 14:36:14"</f>
        <v>2018-10-16 14:36:14</v>
      </c>
    </row>
    <row r="7064" spans="1:7" x14ac:dyDescent="0.2">
      <c r="A7064" t="s">
        <v>7926</v>
      </c>
      <c r="B7064" t="str">
        <f>"13687941963"</f>
        <v>13687941963</v>
      </c>
      <c r="C7064" t="str">
        <f>"362502200007072841"</f>
        <v>362502200007072841</v>
      </c>
      <c r="D7064" t="s">
        <v>1</v>
      </c>
      <c r="E7064" t="s">
        <v>1</v>
      </c>
      <c r="F7064" t="s">
        <v>0</v>
      </c>
      <c r="G7064" t="str">
        <f>"2018-10-16 14:37:32"</f>
        <v>2018-10-16 14:37:32</v>
      </c>
    </row>
    <row r="7065" spans="1:7" x14ac:dyDescent="0.2">
      <c r="A7065" t="s">
        <v>7927</v>
      </c>
      <c r="B7065" t="str">
        <f>"15097404989"</f>
        <v>15097404989</v>
      </c>
      <c r="C7065" t="str">
        <f>"130630198911270033"</f>
        <v>130630198911270033</v>
      </c>
      <c r="D7065" t="s">
        <v>1</v>
      </c>
      <c r="E7065" t="s">
        <v>1</v>
      </c>
      <c r="F7065" t="s">
        <v>0</v>
      </c>
      <c r="G7065" t="str">
        <f>"2018-10-16 14:41:01"</f>
        <v>2018-10-16 14:41:01</v>
      </c>
    </row>
    <row r="7066" spans="1:7" x14ac:dyDescent="0.2">
      <c r="A7066" t="s">
        <v>7928</v>
      </c>
      <c r="B7066" t="str">
        <f>"17770643794"</f>
        <v>17770643794</v>
      </c>
      <c r="C7066" t="str">
        <f>"420203199911032513"</f>
        <v>420203199911032513</v>
      </c>
      <c r="D7066" t="s">
        <v>1</v>
      </c>
      <c r="E7066" t="s">
        <v>1</v>
      </c>
      <c r="F7066" t="s">
        <v>0</v>
      </c>
      <c r="G7066" t="str">
        <f>"2018-10-16 14:34:48"</f>
        <v>2018-10-16 14:34:48</v>
      </c>
    </row>
    <row r="7067" spans="1:7" x14ac:dyDescent="0.2">
      <c r="A7067" t="s">
        <v>1</v>
      </c>
      <c r="B7067" t="str">
        <f>"18236775615"</f>
        <v>18236775615</v>
      </c>
      <c r="C7067" t="s">
        <v>1</v>
      </c>
      <c r="D7067" t="s">
        <v>1</v>
      </c>
      <c r="E7067" t="s">
        <v>1</v>
      </c>
      <c r="F7067" t="s">
        <v>0</v>
      </c>
      <c r="G7067" t="str">
        <f>"2018-10-16 14:34:45"</f>
        <v>2018-10-16 14:34:45</v>
      </c>
    </row>
    <row r="7068" spans="1:7" x14ac:dyDescent="0.2">
      <c r="A7068" t="s">
        <v>7929</v>
      </c>
      <c r="B7068" t="str">
        <f>"13637546070"</f>
        <v>13637546070</v>
      </c>
      <c r="C7068" t="str">
        <f>"640102198808102434"</f>
        <v>640102198808102434</v>
      </c>
      <c r="D7068" t="s">
        <v>1</v>
      </c>
      <c r="E7068" t="s">
        <v>1</v>
      </c>
      <c r="F7068" t="s">
        <v>0</v>
      </c>
      <c r="G7068" t="str">
        <f>"2018-10-16 15:32:39"</f>
        <v>2018-10-16 15:32:39</v>
      </c>
    </row>
    <row r="7069" spans="1:7" x14ac:dyDescent="0.2">
      <c r="A7069" t="s">
        <v>1</v>
      </c>
      <c r="B7069" t="str">
        <f>"18890045587"</f>
        <v>18890045587</v>
      </c>
      <c r="C7069" t="s">
        <v>1</v>
      </c>
      <c r="D7069" t="s">
        <v>1</v>
      </c>
      <c r="E7069" t="s">
        <v>1</v>
      </c>
      <c r="F7069" t="s">
        <v>0</v>
      </c>
      <c r="G7069" t="str">
        <f>"2018-10-16 14:34:24"</f>
        <v>2018-10-16 14:34:24</v>
      </c>
    </row>
    <row r="7070" spans="1:7" x14ac:dyDescent="0.2">
      <c r="A7070" t="s">
        <v>7930</v>
      </c>
      <c r="B7070" t="str">
        <f>"13431721313"</f>
        <v>13431721313</v>
      </c>
      <c r="C7070" t="str">
        <f>"440702197901032312"</f>
        <v>440702197901032312</v>
      </c>
      <c r="D7070" t="s">
        <v>1</v>
      </c>
      <c r="E7070" t="s">
        <v>1</v>
      </c>
      <c r="F7070" t="s">
        <v>0</v>
      </c>
      <c r="G7070" t="str">
        <f>"2018-10-16 18:07:58"</f>
        <v>2018-10-16 18:07:58</v>
      </c>
    </row>
    <row r="7071" spans="1:7" x14ac:dyDescent="0.2">
      <c r="A7071" t="s">
        <v>1</v>
      </c>
      <c r="B7071" t="str">
        <f>"18245892122"</f>
        <v>18245892122</v>
      </c>
      <c r="C7071" t="s">
        <v>1</v>
      </c>
      <c r="D7071" t="s">
        <v>1</v>
      </c>
      <c r="E7071" t="s">
        <v>1</v>
      </c>
      <c r="F7071" t="s">
        <v>0</v>
      </c>
      <c r="G7071" t="str">
        <f>"2018-10-16 15:29:09"</f>
        <v>2018-10-16 15:29:09</v>
      </c>
    </row>
    <row r="7072" spans="1:7" x14ac:dyDescent="0.2">
      <c r="A7072" t="s">
        <v>7931</v>
      </c>
      <c r="B7072" t="str">
        <f>"15117303412"</f>
        <v>15117303412</v>
      </c>
      <c r="C7072" t="str">
        <f>"52232419940818044X"</f>
        <v>52232419940818044X</v>
      </c>
      <c r="D7072" t="s">
        <v>1</v>
      </c>
      <c r="E7072" t="s">
        <v>1</v>
      </c>
      <c r="F7072" t="s">
        <v>0</v>
      </c>
      <c r="G7072" t="str">
        <f>"2018-10-16 15:41:36"</f>
        <v>2018-10-16 15:41:36</v>
      </c>
    </row>
    <row r="7073" spans="1:7" x14ac:dyDescent="0.2">
      <c r="A7073" t="s">
        <v>7932</v>
      </c>
      <c r="B7073" t="str">
        <f>"18675323465"</f>
        <v>18675323465</v>
      </c>
      <c r="C7073" t="str">
        <f>"440583198703144219"</f>
        <v>440583198703144219</v>
      </c>
      <c r="D7073" t="s">
        <v>1</v>
      </c>
      <c r="E7073" t="s">
        <v>1</v>
      </c>
      <c r="F7073" t="s">
        <v>0</v>
      </c>
      <c r="G7073" t="str">
        <f>"2018-10-16 14:35:33"</f>
        <v>2018-10-16 14:35:33</v>
      </c>
    </row>
    <row r="7074" spans="1:7" x14ac:dyDescent="0.2">
      <c r="A7074" t="s">
        <v>1</v>
      </c>
      <c r="B7074" t="str">
        <f>"13867832727"</f>
        <v>13867832727</v>
      </c>
      <c r="C7074" t="s">
        <v>1</v>
      </c>
      <c r="D7074" t="s">
        <v>1</v>
      </c>
      <c r="E7074" t="s">
        <v>1</v>
      </c>
      <c r="F7074" t="s">
        <v>0</v>
      </c>
      <c r="G7074" t="str">
        <f>"2018-10-18 08:43:54"</f>
        <v>2018-10-18 08:43:54</v>
      </c>
    </row>
    <row r="7075" spans="1:7" x14ac:dyDescent="0.2">
      <c r="A7075" t="s">
        <v>7933</v>
      </c>
      <c r="B7075" t="str">
        <f>"15087392706"</f>
        <v>15087392706</v>
      </c>
      <c r="C7075" t="str">
        <f>"532531199507010223"</f>
        <v>532531199507010223</v>
      </c>
      <c r="D7075" t="s">
        <v>1</v>
      </c>
      <c r="E7075" t="s">
        <v>1</v>
      </c>
      <c r="F7075" t="s">
        <v>0</v>
      </c>
      <c r="G7075" t="str">
        <f>"2018-10-16 20:25:38"</f>
        <v>2018-10-16 20:25:38</v>
      </c>
    </row>
    <row r="7076" spans="1:7" x14ac:dyDescent="0.2">
      <c r="A7076" t="s">
        <v>7934</v>
      </c>
      <c r="B7076" t="str">
        <f>"15769465405"</f>
        <v>15769465405</v>
      </c>
      <c r="C7076" t="str">
        <f>"620321199808021512"</f>
        <v>620321199808021512</v>
      </c>
      <c r="D7076" t="s">
        <v>7935</v>
      </c>
      <c r="E7076" t="s">
        <v>7936</v>
      </c>
      <c r="F7076" t="s">
        <v>0</v>
      </c>
      <c r="G7076" t="str">
        <f>"2018-10-16 14:33:50"</f>
        <v>2018-10-16 14:33:50</v>
      </c>
    </row>
    <row r="7077" spans="1:7" x14ac:dyDescent="0.2">
      <c r="A7077" t="s">
        <v>1</v>
      </c>
      <c r="B7077" t="str">
        <f>"18766009953"</f>
        <v>18766009953</v>
      </c>
      <c r="C7077" t="s">
        <v>1</v>
      </c>
      <c r="D7077" t="s">
        <v>1</v>
      </c>
      <c r="E7077" t="s">
        <v>1</v>
      </c>
      <c r="F7077" t="s">
        <v>0</v>
      </c>
      <c r="G7077" t="str">
        <f>"2018-10-16 14:31:46"</f>
        <v>2018-10-16 14:31:46</v>
      </c>
    </row>
    <row r="7078" spans="1:7" x14ac:dyDescent="0.2">
      <c r="A7078" t="s">
        <v>1</v>
      </c>
      <c r="B7078" t="str">
        <f>"15014083480"</f>
        <v>15014083480</v>
      </c>
      <c r="C7078" t="s">
        <v>1</v>
      </c>
      <c r="D7078" t="s">
        <v>1</v>
      </c>
      <c r="E7078" t="s">
        <v>1</v>
      </c>
      <c r="F7078" t="s">
        <v>0</v>
      </c>
      <c r="G7078" t="str">
        <f>"2018-10-16 14:31:43"</f>
        <v>2018-10-16 14:31:43</v>
      </c>
    </row>
    <row r="7079" spans="1:7" x14ac:dyDescent="0.2">
      <c r="A7079" t="s">
        <v>1</v>
      </c>
      <c r="B7079" t="str">
        <f>"18469160405"</f>
        <v>18469160405</v>
      </c>
      <c r="C7079" t="s">
        <v>1</v>
      </c>
      <c r="D7079" t="s">
        <v>1</v>
      </c>
      <c r="E7079" t="s">
        <v>1</v>
      </c>
      <c r="F7079" t="s">
        <v>0</v>
      </c>
      <c r="G7079" t="str">
        <f>"2018-10-16 14:31:29"</f>
        <v>2018-10-16 14:31:29</v>
      </c>
    </row>
    <row r="7080" spans="1:7" x14ac:dyDescent="0.2">
      <c r="A7080" t="s">
        <v>626</v>
      </c>
      <c r="B7080" t="str">
        <f>"17864223524"</f>
        <v>17864223524</v>
      </c>
      <c r="C7080" t="str">
        <f>"340811199603204013"</f>
        <v>340811199603204013</v>
      </c>
      <c r="D7080" t="s">
        <v>1</v>
      </c>
      <c r="E7080" t="s">
        <v>1</v>
      </c>
      <c r="F7080" t="s">
        <v>0</v>
      </c>
      <c r="G7080" t="str">
        <f>"2018-10-16 14:33:51"</f>
        <v>2018-10-16 14:33:51</v>
      </c>
    </row>
    <row r="7081" spans="1:7" x14ac:dyDescent="0.2">
      <c r="A7081" t="s">
        <v>1038</v>
      </c>
      <c r="B7081" t="str">
        <f>"18973659355"</f>
        <v>18973659355</v>
      </c>
      <c r="C7081" t="str">
        <f>"43070219751030303X"</f>
        <v>43070219751030303X</v>
      </c>
      <c r="D7081" t="s">
        <v>7937</v>
      </c>
      <c r="E7081" t="s">
        <v>7938</v>
      </c>
      <c r="F7081" t="s">
        <v>0</v>
      </c>
      <c r="G7081" t="str">
        <f>"2018-10-16 14:32:49"</f>
        <v>2018-10-16 14:32:49</v>
      </c>
    </row>
    <row r="7082" spans="1:7" x14ac:dyDescent="0.2">
      <c r="A7082" t="s">
        <v>1</v>
      </c>
      <c r="B7082" t="str">
        <f>"17301027481"</f>
        <v>17301027481</v>
      </c>
      <c r="C7082" t="s">
        <v>1</v>
      </c>
      <c r="D7082" t="s">
        <v>1</v>
      </c>
      <c r="E7082" t="s">
        <v>1</v>
      </c>
      <c r="F7082" t="s">
        <v>0</v>
      </c>
      <c r="G7082" t="str">
        <f>"2018-10-16 14:30:29"</f>
        <v>2018-10-16 14:30:29</v>
      </c>
    </row>
    <row r="7083" spans="1:7" x14ac:dyDescent="0.2">
      <c r="A7083" t="s">
        <v>7939</v>
      </c>
      <c r="B7083" t="str">
        <f>"18675340214"</f>
        <v>18675340214</v>
      </c>
      <c r="C7083" t="str">
        <f>"51082119920920831X"</f>
        <v>51082119920920831X</v>
      </c>
      <c r="D7083" t="s">
        <v>1</v>
      </c>
      <c r="E7083" t="s">
        <v>1</v>
      </c>
      <c r="F7083" t="s">
        <v>0</v>
      </c>
      <c r="G7083" t="str">
        <f>"2018-10-18 18:43:32"</f>
        <v>2018-10-18 18:43:32</v>
      </c>
    </row>
    <row r="7084" spans="1:7" x14ac:dyDescent="0.2">
      <c r="A7084" t="s">
        <v>7940</v>
      </c>
      <c r="B7084" t="str">
        <f>"15105493198"</f>
        <v>15105493198</v>
      </c>
      <c r="C7084" t="str">
        <f>"370982197908092670"</f>
        <v>370982197908092670</v>
      </c>
      <c r="D7084" t="s">
        <v>1</v>
      </c>
      <c r="E7084" t="s">
        <v>1</v>
      </c>
      <c r="F7084" t="s">
        <v>0</v>
      </c>
      <c r="G7084" t="str">
        <f>"2018-10-16 14:30:16"</f>
        <v>2018-10-16 14:30:16</v>
      </c>
    </row>
    <row r="7085" spans="1:7" x14ac:dyDescent="0.2">
      <c r="A7085" t="s">
        <v>7941</v>
      </c>
      <c r="B7085" t="str">
        <f>"13007575079"</f>
        <v>13007575079</v>
      </c>
      <c r="C7085" t="str">
        <f>"410305197802195337"</f>
        <v>410305197802195337</v>
      </c>
      <c r="D7085" t="s">
        <v>1</v>
      </c>
      <c r="E7085" t="s">
        <v>1</v>
      </c>
      <c r="F7085" t="s">
        <v>0</v>
      </c>
      <c r="G7085" t="str">
        <f>"2018-10-16 14:35:54"</f>
        <v>2018-10-16 14:35:54</v>
      </c>
    </row>
    <row r="7086" spans="1:7" x14ac:dyDescent="0.2">
      <c r="A7086" t="s">
        <v>409</v>
      </c>
      <c r="B7086" t="str">
        <f>"15296949994"</f>
        <v>15296949994</v>
      </c>
      <c r="C7086" t="str">
        <f>"642223198511030811"</f>
        <v>642223198511030811</v>
      </c>
      <c r="D7086" t="s">
        <v>1</v>
      </c>
      <c r="E7086" t="s">
        <v>1</v>
      </c>
      <c r="F7086" t="s">
        <v>0</v>
      </c>
      <c r="G7086" t="str">
        <f>"2018-10-18 15:35:01"</f>
        <v>2018-10-18 15:35:01</v>
      </c>
    </row>
    <row r="7087" spans="1:7" x14ac:dyDescent="0.2">
      <c r="A7087" t="s">
        <v>1</v>
      </c>
      <c r="B7087" t="str">
        <f>"13839323557"</f>
        <v>13839323557</v>
      </c>
      <c r="C7087" t="s">
        <v>1</v>
      </c>
      <c r="D7087" t="s">
        <v>1</v>
      </c>
      <c r="E7087" t="s">
        <v>1</v>
      </c>
      <c r="F7087" t="s">
        <v>0</v>
      </c>
      <c r="G7087" t="str">
        <f>"2018-10-16 14:30:29"</f>
        <v>2018-10-16 14:30:29</v>
      </c>
    </row>
    <row r="7088" spans="1:7" x14ac:dyDescent="0.2">
      <c r="A7088" t="s">
        <v>1</v>
      </c>
      <c r="B7088" t="str">
        <f>"13237228365"</f>
        <v>13237228365</v>
      </c>
      <c r="C7088" t="s">
        <v>1</v>
      </c>
      <c r="D7088" t="s">
        <v>1</v>
      </c>
      <c r="E7088" t="s">
        <v>1</v>
      </c>
      <c r="F7088" t="s">
        <v>0</v>
      </c>
      <c r="G7088" t="str">
        <f>"2018-10-16 14:29:03"</f>
        <v>2018-10-16 14:29:03</v>
      </c>
    </row>
    <row r="7089" spans="1:7" x14ac:dyDescent="0.2">
      <c r="A7089" t="s">
        <v>1</v>
      </c>
      <c r="B7089" t="str">
        <f>"18505088287"</f>
        <v>18505088287</v>
      </c>
      <c r="C7089" t="s">
        <v>1</v>
      </c>
      <c r="D7089" t="s">
        <v>1</v>
      </c>
      <c r="E7089" t="s">
        <v>1</v>
      </c>
      <c r="F7089" t="s">
        <v>0</v>
      </c>
      <c r="G7089" t="str">
        <f>"2018-10-16 14:28:44"</f>
        <v>2018-10-16 14:28:44</v>
      </c>
    </row>
    <row r="7090" spans="1:7" x14ac:dyDescent="0.2">
      <c r="A7090" t="s">
        <v>577</v>
      </c>
      <c r="B7090" t="str">
        <f>"15107787282"</f>
        <v>15107787282</v>
      </c>
      <c r="C7090" t="str">
        <f>"452701198803110315"</f>
        <v>452701198803110315</v>
      </c>
      <c r="D7090" t="s">
        <v>1</v>
      </c>
      <c r="E7090" t="s">
        <v>1</v>
      </c>
      <c r="F7090" t="s">
        <v>0</v>
      </c>
      <c r="G7090" t="str">
        <f>"2018-10-16 14:51:37"</f>
        <v>2018-10-16 14:51:37</v>
      </c>
    </row>
    <row r="7091" spans="1:7" x14ac:dyDescent="0.2">
      <c r="A7091" t="s">
        <v>1</v>
      </c>
      <c r="B7091" t="str">
        <f>"17693428165"</f>
        <v>17693428165</v>
      </c>
      <c r="C7091" t="s">
        <v>1</v>
      </c>
      <c r="D7091" t="s">
        <v>1</v>
      </c>
      <c r="E7091" t="s">
        <v>1</v>
      </c>
      <c r="F7091" t="s">
        <v>0</v>
      </c>
      <c r="G7091" t="str">
        <f>"2018-10-16 14:28:21"</f>
        <v>2018-10-16 14:28:21</v>
      </c>
    </row>
    <row r="7092" spans="1:7" x14ac:dyDescent="0.2">
      <c r="A7092" t="s">
        <v>1428</v>
      </c>
      <c r="B7092" t="str">
        <f>"18037097720"</f>
        <v>18037097720</v>
      </c>
      <c r="C7092" t="str">
        <f>"411423199703045024"</f>
        <v>411423199703045024</v>
      </c>
      <c r="D7092" t="s">
        <v>1</v>
      </c>
      <c r="E7092" t="s">
        <v>1</v>
      </c>
      <c r="F7092" t="s">
        <v>0</v>
      </c>
      <c r="G7092" t="str">
        <f>"2018-10-16 14:29:43"</f>
        <v>2018-10-16 14:29:43</v>
      </c>
    </row>
    <row r="7093" spans="1:7" x14ac:dyDescent="0.2">
      <c r="A7093" t="s">
        <v>7942</v>
      </c>
      <c r="B7093" t="str">
        <f>"18851158589"</f>
        <v>18851158589</v>
      </c>
      <c r="C7093" t="str">
        <f>"440921198608047413"</f>
        <v>440921198608047413</v>
      </c>
      <c r="D7093" t="s">
        <v>1</v>
      </c>
      <c r="E7093" t="s">
        <v>1</v>
      </c>
      <c r="F7093" t="s">
        <v>0</v>
      </c>
      <c r="G7093" t="str">
        <f>"2018-10-16 14:29:47"</f>
        <v>2018-10-16 14:29:47</v>
      </c>
    </row>
    <row r="7094" spans="1:7" x14ac:dyDescent="0.2">
      <c r="A7094" t="s">
        <v>7943</v>
      </c>
      <c r="B7094" t="str">
        <f>"18638085931"</f>
        <v>18638085931</v>
      </c>
      <c r="C7094" t="str">
        <f>"412722199312276117"</f>
        <v>412722199312276117</v>
      </c>
      <c r="D7094" t="s">
        <v>1</v>
      </c>
      <c r="E7094" t="s">
        <v>1</v>
      </c>
      <c r="F7094" t="s">
        <v>0</v>
      </c>
      <c r="G7094" t="str">
        <f>"2018-10-16 14:28:51"</f>
        <v>2018-10-16 14:28:51</v>
      </c>
    </row>
    <row r="7095" spans="1:7" x14ac:dyDescent="0.2">
      <c r="A7095" t="s">
        <v>7944</v>
      </c>
      <c r="B7095" t="str">
        <f>"18290192748"</f>
        <v>18290192748</v>
      </c>
      <c r="C7095" t="str">
        <f>"452623199206041224"</f>
        <v>452623199206041224</v>
      </c>
      <c r="D7095" t="s">
        <v>7945</v>
      </c>
      <c r="E7095" t="s">
        <v>7946</v>
      </c>
      <c r="F7095" t="s">
        <v>0</v>
      </c>
      <c r="G7095" t="str">
        <f>"2018-10-16 14:30:06"</f>
        <v>2018-10-16 14:30:06</v>
      </c>
    </row>
    <row r="7096" spans="1:7" x14ac:dyDescent="0.2">
      <c r="A7096" t="s">
        <v>945</v>
      </c>
      <c r="B7096" t="str">
        <f>"13842134711"</f>
        <v>13842134711</v>
      </c>
      <c r="C7096" t="str">
        <f>"211381198808300219"</f>
        <v>211381198808300219</v>
      </c>
      <c r="D7096" t="s">
        <v>7947</v>
      </c>
      <c r="E7096" t="s">
        <v>7948</v>
      </c>
      <c r="F7096" t="s">
        <v>0</v>
      </c>
      <c r="G7096" t="str">
        <f>"2018-10-16 14:27:07"</f>
        <v>2018-10-16 14:27:07</v>
      </c>
    </row>
    <row r="7097" spans="1:7" x14ac:dyDescent="0.2">
      <c r="A7097" t="s">
        <v>7949</v>
      </c>
      <c r="B7097" t="str">
        <f>"18638072113"</f>
        <v>18638072113</v>
      </c>
      <c r="C7097" t="str">
        <f>"412722198411160019"</f>
        <v>412722198411160019</v>
      </c>
      <c r="D7097" t="s">
        <v>1</v>
      </c>
      <c r="E7097" t="s">
        <v>1</v>
      </c>
      <c r="F7097" t="s">
        <v>0</v>
      </c>
      <c r="G7097" t="str">
        <f>"2018-10-16 14:28:36"</f>
        <v>2018-10-16 14:28:36</v>
      </c>
    </row>
    <row r="7098" spans="1:7" x14ac:dyDescent="0.2">
      <c r="A7098" t="s">
        <v>7950</v>
      </c>
      <c r="B7098" t="str">
        <f>"15211413861"</f>
        <v>15211413861</v>
      </c>
      <c r="C7098" t="str">
        <f>"430422198804075013"</f>
        <v>430422198804075013</v>
      </c>
      <c r="D7098" t="s">
        <v>7951</v>
      </c>
      <c r="E7098" t="s">
        <v>7952</v>
      </c>
      <c r="F7098" t="s">
        <v>0</v>
      </c>
      <c r="G7098" t="str">
        <f>"2018-10-16 14:28:06"</f>
        <v>2018-10-16 14:28:06</v>
      </c>
    </row>
    <row r="7099" spans="1:7" x14ac:dyDescent="0.2">
      <c r="A7099" t="s">
        <v>1229</v>
      </c>
      <c r="B7099" t="str">
        <f>"18842534636"</f>
        <v>18842534636</v>
      </c>
      <c r="C7099" t="str">
        <f>"210181198608122137"</f>
        <v>210181198608122137</v>
      </c>
      <c r="D7099" t="s">
        <v>7953</v>
      </c>
      <c r="E7099" t="s">
        <v>7954</v>
      </c>
      <c r="F7099" t="s">
        <v>0</v>
      </c>
      <c r="G7099" t="str">
        <f>"2018-10-16 14:29:38"</f>
        <v>2018-10-16 14:29:38</v>
      </c>
    </row>
    <row r="7100" spans="1:7" x14ac:dyDescent="0.2">
      <c r="A7100" t="s">
        <v>1</v>
      </c>
      <c r="B7100" t="str">
        <f>"15993330359"</f>
        <v>15993330359</v>
      </c>
      <c r="C7100" t="s">
        <v>1</v>
      </c>
      <c r="D7100" t="s">
        <v>1</v>
      </c>
      <c r="E7100" t="s">
        <v>1</v>
      </c>
      <c r="F7100" t="s">
        <v>0</v>
      </c>
      <c r="G7100" t="str">
        <f>"2018-10-16 14:26:15"</f>
        <v>2018-10-16 14:26:15</v>
      </c>
    </row>
    <row r="7101" spans="1:7" x14ac:dyDescent="0.2">
      <c r="A7101" t="s">
        <v>7955</v>
      </c>
      <c r="B7101" t="str">
        <f>"13026506523"</f>
        <v>13026506523</v>
      </c>
      <c r="C7101" t="str">
        <f>"422201199707265917"</f>
        <v>422201199707265917</v>
      </c>
      <c r="D7101" t="s">
        <v>1</v>
      </c>
      <c r="E7101" t="s">
        <v>1</v>
      </c>
      <c r="F7101" t="s">
        <v>0</v>
      </c>
      <c r="G7101" t="str">
        <f>"2018-10-16 14:35:01"</f>
        <v>2018-10-16 14:35:01</v>
      </c>
    </row>
    <row r="7102" spans="1:7" x14ac:dyDescent="0.2">
      <c r="A7102" t="s">
        <v>7956</v>
      </c>
      <c r="B7102" t="str">
        <f>"18685742956"</f>
        <v>18685742956</v>
      </c>
      <c r="C7102" t="str">
        <f>"520221199710200839"</f>
        <v>520221199710200839</v>
      </c>
      <c r="D7102" t="s">
        <v>1</v>
      </c>
      <c r="E7102" t="s">
        <v>1</v>
      </c>
      <c r="F7102" t="s">
        <v>0</v>
      </c>
      <c r="G7102" t="str">
        <f>"2018-10-16 14:26:47"</f>
        <v>2018-10-16 14:26:47</v>
      </c>
    </row>
    <row r="7103" spans="1:7" x14ac:dyDescent="0.2">
      <c r="A7103" t="s">
        <v>1</v>
      </c>
      <c r="B7103" t="str">
        <f>"18875378667"</f>
        <v>18875378667</v>
      </c>
      <c r="C7103" t="s">
        <v>1</v>
      </c>
      <c r="D7103" t="s">
        <v>1</v>
      </c>
      <c r="E7103" t="s">
        <v>1</v>
      </c>
      <c r="F7103" t="s">
        <v>0</v>
      </c>
      <c r="G7103" t="str">
        <f>"2018-10-16 14:26:43"</f>
        <v>2018-10-16 14:26:43</v>
      </c>
    </row>
    <row r="7104" spans="1:7" x14ac:dyDescent="0.2">
      <c r="A7104" t="s">
        <v>1</v>
      </c>
      <c r="B7104" t="str">
        <f>"13399297398"</f>
        <v>13399297398</v>
      </c>
      <c r="C7104" t="s">
        <v>1</v>
      </c>
      <c r="D7104" t="s">
        <v>1</v>
      </c>
      <c r="E7104" t="s">
        <v>1</v>
      </c>
      <c r="F7104" t="s">
        <v>0</v>
      </c>
      <c r="G7104" t="str">
        <f>"2018-10-16 14:29:00"</f>
        <v>2018-10-16 14:29:00</v>
      </c>
    </row>
    <row r="7105" spans="1:7" x14ac:dyDescent="0.2">
      <c r="A7105" t="s">
        <v>7957</v>
      </c>
      <c r="B7105" t="str">
        <f>"17678000920"</f>
        <v>17678000920</v>
      </c>
      <c r="C7105" t="str">
        <f>"152701199609200329"</f>
        <v>152701199609200329</v>
      </c>
      <c r="D7105" t="s">
        <v>7958</v>
      </c>
      <c r="E7105" t="s">
        <v>7959</v>
      </c>
      <c r="F7105" t="s">
        <v>0</v>
      </c>
      <c r="G7105" t="str">
        <f>"2018-10-16 14:50:21"</f>
        <v>2018-10-16 14:50:21</v>
      </c>
    </row>
    <row r="7106" spans="1:7" x14ac:dyDescent="0.2">
      <c r="A7106" t="s">
        <v>7960</v>
      </c>
      <c r="B7106" t="str">
        <f>"18676586434"</f>
        <v>18676586434</v>
      </c>
      <c r="C7106" t="str">
        <f>"441827199503185631"</f>
        <v>441827199503185631</v>
      </c>
      <c r="D7106" t="s">
        <v>1</v>
      </c>
      <c r="E7106" t="s">
        <v>1</v>
      </c>
      <c r="F7106" t="s">
        <v>0</v>
      </c>
      <c r="G7106" t="str">
        <f>"2018-10-16 14:25:59"</f>
        <v>2018-10-16 14:25:59</v>
      </c>
    </row>
    <row r="7107" spans="1:7" x14ac:dyDescent="0.2">
      <c r="A7107" t="s">
        <v>7961</v>
      </c>
      <c r="B7107" t="str">
        <f>"18988378489"</f>
        <v>18988378489</v>
      </c>
      <c r="C7107" t="str">
        <f>"533321198402240033"</f>
        <v>533321198402240033</v>
      </c>
      <c r="D7107" t="s">
        <v>1</v>
      </c>
      <c r="E7107" t="s">
        <v>1</v>
      </c>
      <c r="F7107" t="s">
        <v>0</v>
      </c>
      <c r="G7107" t="str">
        <f>"2018-10-16 14:29:56"</f>
        <v>2018-10-16 14:29:56</v>
      </c>
    </row>
    <row r="7108" spans="1:7" x14ac:dyDescent="0.2">
      <c r="A7108" t="s">
        <v>7962</v>
      </c>
      <c r="B7108" t="str">
        <f>"18959082971"</f>
        <v>18959082971</v>
      </c>
      <c r="C7108" t="str">
        <f>"35080219881019703X"</f>
        <v>35080219881019703X</v>
      </c>
      <c r="D7108" t="s">
        <v>1</v>
      </c>
      <c r="E7108" t="s">
        <v>1</v>
      </c>
      <c r="F7108" t="s">
        <v>0</v>
      </c>
      <c r="G7108" t="str">
        <f>"2018-10-16 14:27:25"</f>
        <v>2018-10-16 14:27:25</v>
      </c>
    </row>
    <row r="7109" spans="1:7" x14ac:dyDescent="0.2">
      <c r="A7109" t="s">
        <v>7963</v>
      </c>
      <c r="B7109" t="str">
        <f>"13180983337"</f>
        <v>13180983337</v>
      </c>
      <c r="C7109" t="str">
        <f>"220302199305110616"</f>
        <v>220302199305110616</v>
      </c>
      <c r="D7109" t="s">
        <v>1</v>
      </c>
      <c r="E7109" t="s">
        <v>1</v>
      </c>
      <c r="F7109" t="s">
        <v>0</v>
      </c>
      <c r="G7109" t="str">
        <f>"2018-10-16 19:09:30"</f>
        <v>2018-10-16 19:09:30</v>
      </c>
    </row>
    <row r="7110" spans="1:7" x14ac:dyDescent="0.2">
      <c r="A7110" t="s">
        <v>7964</v>
      </c>
      <c r="B7110" t="str">
        <f>"13029933337"</f>
        <v>13029933337</v>
      </c>
      <c r="C7110" t="str">
        <f>"231102198605143230"</f>
        <v>231102198605143230</v>
      </c>
      <c r="D7110" t="s">
        <v>7965</v>
      </c>
      <c r="E7110" t="s">
        <v>7966</v>
      </c>
      <c r="F7110" t="s">
        <v>0</v>
      </c>
      <c r="G7110" t="str">
        <f>"2018-10-16 14:25:17"</f>
        <v>2018-10-16 14:25:17</v>
      </c>
    </row>
    <row r="7111" spans="1:7" x14ac:dyDescent="0.2">
      <c r="A7111" t="s">
        <v>1548</v>
      </c>
      <c r="B7111" t="str">
        <f>"13976269270"</f>
        <v>13976269270</v>
      </c>
      <c r="C7111" t="str">
        <f>"460028198305271249"</f>
        <v>460028198305271249</v>
      </c>
      <c r="D7111" t="s">
        <v>1</v>
      </c>
      <c r="E7111" t="s">
        <v>1</v>
      </c>
      <c r="F7111" t="s">
        <v>0</v>
      </c>
      <c r="G7111" t="str">
        <f>"2018-10-16 14:25:57"</f>
        <v>2018-10-16 14:25:57</v>
      </c>
    </row>
    <row r="7112" spans="1:7" x14ac:dyDescent="0.2">
      <c r="A7112" t="s">
        <v>7967</v>
      </c>
      <c r="B7112" t="str">
        <f>"13402514148"</f>
        <v>13402514148</v>
      </c>
      <c r="C7112" t="str">
        <f>"610327199612144314"</f>
        <v>610327199612144314</v>
      </c>
      <c r="D7112" t="s">
        <v>7968</v>
      </c>
      <c r="E7112" t="s">
        <v>7969</v>
      </c>
      <c r="F7112" t="s">
        <v>0</v>
      </c>
      <c r="G7112" t="str">
        <f>"2018-10-16 14:25:49"</f>
        <v>2018-10-16 14:25:49</v>
      </c>
    </row>
    <row r="7113" spans="1:7" x14ac:dyDescent="0.2">
      <c r="A7113" t="s">
        <v>17</v>
      </c>
      <c r="B7113" t="str">
        <f>"18774632832"</f>
        <v>18774632832</v>
      </c>
      <c r="C7113" t="str">
        <f>"43242519840704621X"</f>
        <v>43242519840704621X</v>
      </c>
      <c r="D7113" t="s">
        <v>1</v>
      </c>
      <c r="E7113" t="s">
        <v>1</v>
      </c>
      <c r="F7113" t="s">
        <v>0</v>
      </c>
      <c r="G7113" t="str">
        <f>"2018-10-18 07:41:32"</f>
        <v>2018-10-18 07:41:32</v>
      </c>
    </row>
    <row r="7114" spans="1:7" x14ac:dyDescent="0.2">
      <c r="A7114" t="s">
        <v>7970</v>
      </c>
      <c r="B7114" t="str">
        <f>"15369371098"</f>
        <v>15369371098</v>
      </c>
      <c r="C7114" t="str">
        <f>"130828198904164418"</f>
        <v>130828198904164418</v>
      </c>
      <c r="D7114" t="s">
        <v>1</v>
      </c>
      <c r="E7114" t="s">
        <v>1</v>
      </c>
      <c r="F7114" t="s">
        <v>0</v>
      </c>
      <c r="G7114" t="str">
        <f>"2018-10-16 14:28:03"</f>
        <v>2018-10-16 14:28:03</v>
      </c>
    </row>
    <row r="7115" spans="1:7" x14ac:dyDescent="0.2">
      <c r="A7115" t="s">
        <v>7971</v>
      </c>
      <c r="B7115" t="str">
        <f>"18631734222"</f>
        <v>18631734222</v>
      </c>
      <c r="C7115" t="str">
        <f>"130982198004163130"</f>
        <v>130982198004163130</v>
      </c>
      <c r="D7115" t="s">
        <v>1</v>
      </c>
      <c r="E7115" t="s">
        <v>1</v>
      </c>
      <c r="F7115" t="s">
        <v>0</v>
      </c>
      <c r="G7115" t="str">
        <f>"2018-10-24 22:08:58"</f>
        <v>2018-10-24 22:08:58</v>
      </c>
    </row>
    <row r="7116" spans="1:7" x14ac:dyDescent="0.2">
      <c r="A7116" t="s">
        <v>59</v>
      </c>
      <c r="B7116" t="str">
        <f>"13999971862"</f>
        <v>13999971862</v>
      </c>
      <c r="C7116" t="str">
        <f>"650103198505294043"</f>
        <v>650103198505294043</v>
      </c>
      <c r="D7116" t="s">
        <v>1</v>
      </c>
      <c r="E7116" t="s">
        <v>1</v>
      </c>
      <c r="F7116" t="s">
        <v>0</v>
      </c>
      <c r="G7116" t="str">
        <f>"2018-10-16 14:22:21"</f>
        <v>2018-10-16 14:22:21</v>
      </c>
    </row>
    <row r="7117" spans="1:7" x14ac:dyDescent="0.2">
      <c r="A7117" t="s">
        <v>7972</v>
      </c>
      <c r="B7117" t="str">
        <f>"13138750956"</f>
        <v>13138750956</v>
      </c>
      <c r="C7117" t="str">
        <f>"440981198011300830"</f>
        <v>440981198011300830</v>
      </c>
      <c r="D7117" t="s">
        <v>1</v>
      </c>
      <c r="E7117" t="s">
        <v>1</v>
      </c>
      <c r="F7117" t="s">
        <v>0</v>
      </c>
      <c r="G7117" t="str">
        <f>"2018-10-16 14:38:01"</f>
        <v>2018-10-16 14:38:01</v>
      </c>
    </row>
    <row r="7118" spans="1:7" x14ac:dyDescent="0.2">
      <c r="A7118" t="s">
        <v>7973</v>
      </c>
      <c r="B7118" t="str">
        <f>"13774673431"</f>
        <v>13774673431</v>
      </c>
      <c r="C7118" t="str">
        <f>"352229199202034513"</f>
        <v>352229199202034513</v>
      </c>
      <c r="D7118" t="s">
        <v>1</v>
      </c>
      <c r="E7118" t="s">
        <v>1</v>
      </c>
      <c r="F7118" t="s">
        <v>0</v>
      </c>
      <c r="G7118" t="str">
        <f>"2018-10-16 14:23:58"</f>
        <v>2018-10-16 14:23:58</v>
      </c>
    </row>
    <row r="7119" spans="1:7" x14ac:dyDescent="0.2">
      <c r="A7119" t="s">
        <v>7974</v>
      </c>
      <c r="B7119" t="str">
        <f>"18861997073"</f>
        <v>18861997073</v>
      </c>
      <c r="C7119" t="str">
        <f>"320902199212132513"</f>
        <v>320902199212132513</v>
      </c>
      <c r="D7119" t="s">
        <v>1</v>
      </c>
      <c r="E7119" t="s">
        <v>1</v>
      </c>
      <c r="F7119" t="s">
        <v>0</v>
      </c>
      <c r="G7119" t="str">
        <f>"2018-10-16 14:23:14"</f>
        <v>2018-10-16 14:23:14</v>
      </c>
    </row>
    <row r="7120" spans="1:7" x14ac:dyDescent="0.2">
      <c r="A7120" t="s">
        <v>7975</v>
      </c>
      <c r="B7120" t="str">
        <f>"15204903821"</f>
        <v>15204903821</v>
      </c>
      <c r="C7120" t="str">
        <f>"152105199208281212"</f>
        <v>152105199208281212</v>
      </c>
      <c r="D7120" t="s">
        <v>1</v>
      </c>
      <c r="E7120" t="s">
        <v>1</v>
      </c>
      <c r="F7120" t="s">
        <v>0</v>
      </c>
      <c r="G7120" t="str">
        <f>"2018-10-16 14:21:22"</f>
        <v>2018-10-16 14:21:22</v>
      </c>
    </row>
    <row r="7121" spans="1:7" x14ac:dyDescent="0.2">
      <c r="A7121" t="s">
        <v>7976</v>
      </c>
      <c r="B7121" t="str">
        <f>"13105685605"</f>
        <v>13105685605</v>
      </c>
      <c r="C7121" t="str">
        <f>"340828199508090916"</f>
        <v>340828199508090916</v>
      </c>
      <c r="D7121" t="s">
        <v>1</v>
      </c>
      <c r="E7121" t="s">
        <v>1</v>
      </c>
      <c r="F7121" t="s">
        <v>0</v>
      </c>
      <c r="G7121" t="str">
        <f>"2018-10-16 14:43:54"</f>
        <v>2018-10-16 14:43:54</v>
      </c>
    </row>
    <row r="7122" spans="1:7" x14ac:dyDescent="0.2">
      <c r="A7122" t="s">
        <v>7977</v>
      </c>
      <c r="B7122" t="str">
        <f>"13384051234"</f>
        <v>13384051234</v>
      </c>
      <c r="C7122" t="str">
        <f>"410422198911294314"</f>
        <v>410422198911294314</v>
      </c>
      <c r="D7122" t="s">
        <v>1</v>
      </c>
      <c r="E7122" t="s">
        <v>1</v>
      </c>
      <c r="F7122" t="s">
        <v>0</v>
      </c>
      <c r="G7122" t="str">
        <f>"2018-10-16 14:21:15"</f>
        <v>2018-10-16 14:21:15</v>
      </c>
    </row>
    <row r="7123" spans="1:7" x14ac:dyDescent="0.2">
      <c r="A7123" t="s">
        <v>236</v>
      </c>
      <c r="B7123" t="str">
        <f>"18627165691"</f>
        <v>18627165691</v>
      </c>
      <c r="C7123" t="str">
        <f>"420107198708154115"</f>
        <v>420107198708154115</v>
      </c>
      <c r="D7123" t="s">
        <v>7978</v>
      </c>
      <c r="E7123" t="s">
        <v>7979</v>
      </c>
      <c r="F7123" t="s">
        <v>0</v>
      </c>
      <c r="G7123" t="str">
        <f>"2018-10-16 14:20:03"</f>
        <v>2018-10-16 14:20:03</v>
      </c>
    </row>
    <row r="7124" spans="1:7" x14ac:dyDescent="0.2">
      <c r="A7124" t="s">
        <v>7980</v>
      </c>
      <c r="B7124" t="str">
        <f>"13550792648"</f>
        <v>13550792648</v>
      </c>
      <c r="C7124" t="str">
        <f>"510921199912132498"</f>
        <v>510921199912132498</v>
      </c>
      <c r="D7124" t="s">
        <v>1</v>
      </c>
      <c r="E7124" t="s">
        <v>1</v>
      </c>
      <c r="F7124" t="s">
        <v>0</v>
      </c>
      <c r="G7124" t="str">
        <f>"2018-10-16 14:22:25"</f>
        <v>2018-10-16 14:22:25</v>
      </c>
    </row>
    <row r="7125" spans="1:7" x14ac:dyDescent="0.2">
      <c r="A7125" t="s">
        <v>7981</v>
      </c>
      <c r="B7125" t="str">
        <f>"18500332472"</f>
        <v>18500332472</v>
      </c>
      <c r="C7125" t="str">
        <f>"411103199511260019"</f>
        <v>411103199511260019</v>
      </c>
      <c r="D7125" t="s">
        <v>1</v>
      </c>
      <c r="E7125" t="s">
        <v>1</v>
      </c>
      <c r="F7125" t="s">
        <v>0</v>
      </c>
      <c r="G7125" t="str">
        <f>"2018-10-16 14:31:02"</f>
        <v>2018-10-16 14:31:02</v>
      </c>
    </row>
    <row r="7126" spans="1:7" x14ac:dyDescent="0.2">
      <c r="A7126" t="s">
        <v>7982</v>
      </c>
      <c r="B7126" t="str">
        <f>"13160211113"</f>
        <v>13160211113</v>
      </c>
      <c r="C7126" t="str">
        <f>"321111199307194219"</f>
        <v>321111199307194219</v>
      </c>
      <c r="D7126" t="s">
        <v>1</v>
      </c>
      <c r="E7126" t="s">
        <v>1</v>
      </c>
      <c r="F7126" t="s">
        <v>0</v>
      </c>
      <c r="G7126" t="str">
        <f>"2018-10-16 14:19:52"</f>
        <v>2018-10-16 14:19:52</v>
      </c>
    </row>
    <row r="7127" spans="1:7" x14ac:dyDescent="0.2">
      <c r="A7127" t="s">
        <v>7983</v>
      </c>
      <c r="B7127" t="str">
        <f>"15007176519"</f>
        <v>15007176519</v>
      </c>
      <c r="C7127" t="str">
        <f>"421023197004082935"</f>
        <v>421023197004082935</v>
      </c>
      <c r="D7127" t="s">
        <v>1</v>
      </c>
      <c r="E7127" t="s">
        <v>1</v>
      </c>
      <c r="F7127" t="s">
        <v>0</v>
      </c>
      <c r="G7127" t="str">
        <f>"2018-10-16 14:19:48"</f>
        <v>2018-10-16 14:19:48</v>
      </c>
    </row>
    <row r="7128" spans="1:7" x14ac:dyDescent="0.2">
      <c r="A7128" t="s">
        <v>7984</v>
      </c>
      <c r="B7128" t="str">
        <f>"13958935863"</f>
        <v>13958935863</v>
      </c>
      <c r="C7128" t="str">
        <f>"330327198901130961"</f>
        <v>330327198901130961</v>
      </c>
      <c r="D7128" t="s">
        <v>1</v>
      </c>
      <c r="E7128" t="s">
        <v>1</v>
      </c>
      <c r="F7128" t="s">
        <v>0</v>
      </c>
      <c r="G7128" t="str">
        <f>"2018-11-03 20:44:22"</f>
        <v>2018-11-03 20:44:22</v>
      </c>
    </row>
    <row r="7129" spans="1:7" x14ac:dyDescent="0.2">
      <c r="A7129" t="s">
        <v>7985</v>
      </c>
      <c r="B7129" t="str">
        <f>"18739128590"</f>
        <v>18739128590</v>
      </c>
      <c r="C7129" t="str">
        <f>"410882199509062550"</f>
        <v>410882199509062550</v>
      </c>
      <c r="D7129" t="s">
        <v>1</v>
      </c>
      <c r="E7129" t="s">
        <v>1</v>
      </c>
      <c r="F7129" t="s">
        <v>0</v>
      </c>
      <c r="G7129" t="str">
        <f>"2018-10-16 14:19:52"</f>
        <v>2018-10-16 14:19:52</v>
      </c>
    </row>
    <row r="7130" spans="1:7" x14ac:dyDescent="0.2">
      <c r="A7130" t="s">
        <v>7986</v>
      </c>
      <c r="B7130" t="str">
        <f>"13577612165"</f>
        <v>13577612165</v>
      </c>
      <c r="C7130" t="str">
        <f>"532621198608060316"</f>
        <v>532621198608060316</v>
      </c>
      <c r="D7130" t="s">
        <v>1</v>
      </c>
      <c r="E7130" t="s">
        <v>1</v>
      </c>
      <c r="F7130" t="s">
        <v>0</v>
      </c>
      <c r="G7130" t="str">
        <f>"2018-10-16 14:18:40"</f>
        <v>2018-10-16 14:18:40</v>
      </c>
    </row>
    <row r="7131" spans="1:7" x14ac:dyDescent="0.2">
      <c r="A7131" t="s">
        <v>7987</v>
      </c>
      <c r="B7131" t="str">
        <f>"15584442007"</f>
        <v>15584442007</v>
      </c>
      <c r="C7131" t="str">
        <f>"220102199104025967"</f>
        <v>220102199104025967</v>
      </c>
      <c r="D7131" t="s">
        <v>1</v>
      </c>
      <c r="E7131" t="s">
        <v>1</v>
      </c>
      <c r="F7131" t="s">
        <v>0</v>
      </c>
      <c r="G7131" t="str">
        <f>"2018-10-16 14:19:32"</f>
        <v>2018-10-16 14:19:32</v>
      </c>
    </row>
    <row r="7132" spans="1:7" x14ac:dyDescent="0.2">
      <c r="A7132" t="s">
        <v>1</v>
      </c>
      <c r="B7132" t="str">
        <f>"18803566148"</f>
        <v>18803566148</v>
      </c>
      <c r="C7132" t="s">
        <v>1</v>
      </c>
      <c r="D7132" t="s">
        <v>1</v>
      </c>
      <c r="E7132" t="s">
        <v>1</v>
      </c>
      <c r="F7132" t="s">
        <v>0</v>
      </c>
      <c r="G7132" t="str">
        <f>"2018-10-16 14:22:25"</f>
        <v>2018-10-16 14:22:25</v>
      </c>
    </row>
    <row r="7133" spans="1:7" x14ac:dyDescent="0.2">
      <c r="A7133" t="s">
        <v>7988</v>
      </c>
      <c r="B7133" t="str">
        <f>"18612146560"</f>
        <v>18612146560</v>
      </c>
      <c r="C7133" t="str">
        <f>"110102199502243016"</f>
        <v>110102199502243016</v>
      </c>
      <c r="D7133" t="s">
        <v>1</v>
      </c>
      <c r="E7133" t="s">
        <v>1</v>
      </c>
      <c r="F7133" t="s">
        <v>0</v>
      </c>
      <c r="G7133" t="str">
        <f>"2018-10-16 14:16:44"</f>
        <v>2018-10-16 14:16:44</v>
      </c>
    </row>
    <row r="7134" spans="1:7" x14ac:dyDescent="0.2">
      <c r="A7134" t="s">
        <v>7989</v>
      </c>
      <c r="B7134" t="str">
        <f>"18264651916"</f>
        <v>18264651916</v>
      </c>
      <c r="C7134" t="str">
        <f>"370725199701173095"</f>
        <v>370725199701173095</v>
      </c>
      <c r="D7134" t="s">
        <v>1</v>
      </c>
      <c r="E7134" t="s">
        <v>1</v>
      </c>
      <c r="F7134" t="s">
        <v>0</v>
      </c>
      <c r="G7134" t="str">
        <f>"2018-10-16 14:16:36"</f>
        <v>2018-10-16 14:16:36</v>
      </c>
    </row>
    <row r="7135" spans="1:7" x14ac:dyDescent="0.2">
      <c r="A7135" t="s">
        <v>7990</v>
      </c>
      <c r="B7135" t="str">
        <f>"15186903603"</f>
        <v>15186903603</v>
      </c>
      <c r="C7135" t="str">
        <f>"522622199305075026"</f>
        <v>522622199305075026</v>
      </c>
      <c r="D7135" t="s">
        <v>1</v>
      </c>
      <c r="E7135" t="s">
        <v>1</v>
      </c>
      <c r="F7135" t="s">
        <v>0</v>
      </c>
      <c r="G7135" t="str">
        <f>"2018-10-16 14:16:54"</f>
        <v>2018-10-16 14:16:54</v>
      </c>
    </row>
    <row r="7136" spans="1:7" x14ac:dyDescent="0.2">
      <c r="A7136" t="s">
        <v>1</v>
      </c>
      <c r="B7136" t="str">
        <f>"18320722997"</f>
        <v>18320722997</v>
      </c>
      <c r="C7136" t="s">
        <v>1</v>
      </c>
      <c r="D7136" t="s">
        <v>1</v>
      </c>
      <c r="E7136" t="s">
        <v>1</v>
      </c>
      <c r="F7136" t="s">
        <v>0</v>
      </c>
      <c r="G7136" t="str">
        <f>"2018-10-16 14:14:28"</f>
        <v>2018-10-16 14:14:28</v>
      </c>
    </row>
    <row r="7137" spans="1:7" x14ac:dyDescent="0.2">
      <c r="A7137" t="s">
        <v>500</v>
      </c>
      <c r="B7137" t="str">
        <f>"15168959477"</f>
        <v>15168959477</v>
      </c>
      <c r="C7137" t="str">
        <f>"371326199708083426"</f>
        <v>371326199708083426</v>
      </c>
      <c r="D7137" t="s">
        <v>1</v>
      </c>
      <c r="E7137" t="s">
        <v>1</v>
      </c>
      <c r="F7137" t="s">
        <v>0</v>
      </c>
      <c r="G7137" t="str">
        <f>"2018-10-17 10:01:02"</f>
        <v>2018-10-17 10:01:02</v>
      </c>
    </row>
    <row r="7138" spans="1:7" x14ac:dyDescent="0.2">
      <c r="A7138" t="s">
        <v>7991</v>
      </c>
      <c r="B7138" t="str">
        <f>"13465866525"</f>
        <v>13465866525</v>
      </c>
      <c r="C7138" t="str">
        <f>"370283198801097036"</f>
        <v>370283198801097036</v>
      </c>
      <c r="D7138" t="s">
        <v>1</v>
      </c>
      <c r="E7138" t="s">
        <v>1</v>
      </c>
      <c r="F7138" t="s">
        <v>0</v>
      </c>
      <c r="G7138" t="str">
        <f>"2018-10-16 14:18:19"</f>
        <v>2018-10-16 14:18:19</v>
      </c>
    </row>
    <row r="7139" spans="1:7" x14ac:dyDescent="0.2">
      <c r="A7139" t="s">
        <v>7992</v>
      </c>
      <c r="B7139" t="str">
        <f>"18211528050"</f>
        <v>18211528050</v>
      </c>
      <c r="C7139" t="str">
        <f>"513701200007046516"</f>
        <v>513701200007046516</v>
      </c>
      <c r="D7139" t="s">
        <v>1</v>
      </c>
      <c r="E7139" t="s">
        <v>1</v>
      </c>
      <c r="F7139" t="s">
        <v>0</v>
      </c>
      <c r="G7139" t="str">
        <f>"2018-11-03 17:06:12"</f>
        <v>2018-11-03 17:06:12</v>
      </c>
    </row>
    <row r="7140" spans="1:7" x14ac:dyDescent="0.2">
      <c r="A7140" t="s">
        <v>1864</v>
      </c>
      <c r="B7140" t="str">
        <f>"15136791234"</f>
        <v>15136791234</v>
      </c>
      <c r="C7140" t="str">
        <f>"410721198906203086"</f>
        <v>410721198906203086</v>
      </c>
      <c r="D7140" t="s">
        <v>1</v>
      </c>
      <c r="E7140" t="s">
        <v>1</v>
      </c>
      <c r="F7140" t="s">
        <v>0</v>
      </c>
      <c r="G7140" t="str">
        <f>"2018-10-16 14:13:17"</f>
        <v>2018-10-16 14:13:17</v>
      </c>
    </row>
    <row r="7141" spans="1:7" x14ac:dyDescent="0.2">
      <c r="A7141" t="s">
        <v>7993</v>
      </c>
      <c r="B7141" t="str">
        <f>"18780214091"</f>
        <v>18780214091</v>
      </c>
      <c r="C7141" t="str">
        <f>"51390219961201352X"</f>
        <v>51390219961201352X</v>
      </c>
      <c r="D7141" t="s">
        <v>1</v>
      </c>
      <c r="E7141" t="s">
        <v>1</v>
      </c>
      <c r="F7141" t="s">
        <v>0</v>
      </c>
      <c r="G7141" t="str">
        <f>"2018-10-16 14:32:15"</f>
        <v>2018-10-16 14:32:15</v>
      </c>
    </row>
    <row r="7142" spans="1:7" x14ac:dyDescent="0.2">
      <c r="A7142" t="s">
        <v>7994</v>
      </c>
      <c r="B7142" t="str">
        <f>"13776286032"</f>
        <v>13776286032</v>
      </c>
      <c r="C7142" t="str">
        <f>"340602198505072019"</f>
        <v>340602198505072019</v>
      </c>
      <c r="D7142" t="s">
        <v>1</v>
      </c>
      <c r="E7142" t="s">
        <v>1</v>
      </c>
      <c r="F7142" t="s">
        <v>0</v>
      </c>
      <c r="G7142" t="str">
        <f>"2018-10-16 14:15:38"</f>
        <v>2018-10-16 14:15:38</v>
      </c>
    </row>
    <row r="7143" spans="1:7" x14ac:dyDescent="0.2">
      <c r="A7143" t="s">
        <v>935</v>
      </c>
      <c r="B7143" t="str">
        <f>"15336300573"</f>
        <v>15336300573</v>
      </c>
      <c r="C7143" t="str">
        <f>"230119197803033915"</f>
        <v>230119197803033915</v>
      </c>
      <c r="D7143" t="s">
        <v>1</v>
      </c>
      <c r="E7143" t="s">
        <v>1</v>
      </c>
      <c r="F7143" t="s">
        <v>0</v>
      </c>
      <c r="G7143" t="str">
        <f>"2018-10-19 16:29:30"</f>
        <v>2018-10-19 16:29:30</v>
      </c>
    </row>
    <row r="7144" spans="1:7" x14ac:dyDescent="0.2">
      <c r="A7144" t="s">
        <v>1</v>
      </c>
      <c r="B7144" t="str">
        <f>"15687097039"</f>
        <v>15687097039</v>
      </c>
      <c r="C7144" t="s">
        <v>1</v>
      </c>
      <c r="D7144" t="s">
        <v>1</v>
      </c>
      <c r="E7144" t="s">
        <v>1</v>
      </c>
      <c r="F7144" t="s">
        <v>0</v>
      </c>
      <c r="G7144" t="str">
        <f>"2018-10-16 14:13:17"</f>
        <v>2018-10-16 14:13:17</v>
      </c>
    </row>
    <row r="7145" spans="1:7" x14ac:dyDescent="0.2">
      <c r="A7145" t="s">
        <v>1</v>
      </c>
      <c r="B7145" t="str">
        <f>"18900320158"</f>
        <v>18900320158</v>
      </c>
      <c r="C7145" t="s">
        <v>1</v>
      </c>
      <c r="D7145" t="s">
        <v>1</v>
      </c>
      <c r="E7145" t="s">
        <v>1</v>
      </c>
      <c r="F7145" t="s">
        <v>0</v>
      </c>
      <c r="G7145" t="str">
        <f>"2018-10-16 14:11:55"</f>
        <v>2018-10-16 14:11:55</v>
      </c>
    </row>
    <row r="7146" spans="1:7" x14ac:dyDescent="0.2">
      <c r="A7146" t="s">
        <v>1</v>
      </c>
      <c r="B7146" t="str">
        <f>"15011442440"</f>
        <v>15011442440</v>
      </c>
      <c r="C7146" t="s">
        <v>1</v>
      </c>
      <c r="D7146" t="s">
        <v>1</v>
      </c>
      <c r="E7146" t="s">
        <v>1</v>
      </c>
      <c r="F7146" t="s">
        <v>0</v>
      </c>
      <c r="G7146" t="str">
        <f>"2018-10-16 14:11:25"</f>
        <v>2018-10-16 14:11:25</v>
      </c>
    </row>
    <row r="7147" spans="1:7" x14ac:dyDescent="0.2">
      <c r="A7147" t="s">
        <v>7995</v>
      </c>
      <c r="B7147" t="str">
        <f>"15988274455"</f>
        <v>15988274455</v>
      </c>
      <c r="C7147" t="str">
        <f>"330683199204262418"</f>
        <v>330683199204262418</v>
      </c>
      <c r="D7147" t="s">
        <v>1</v>
      </c>
      <c r="E7147" t="s">
        <v>1</v>
      </c>
      <c r="F7147" t="s">
        <v>0</v>
      </c>
      <c r="G7147" t="str">
        <f>"2018-10-18 15:08:33"</f>
        <v>2018-10-18 15:08:33</v>
      </c>
    </row>
    <row r="7148" spans="1:7" x14ac:dyDescent="0.2">
      <c r="A7148" t="s">
        <v>1</v>
      </c>
      <c r="B7148" t="str">
        <f>"15841250579"</f>
        <v>15841250579</v>
      </c>
      <c r="C7148" t="s">
        <v>1</v>
      </c>
      <c r="D7148" t="s">
        <v>1</v>
      </c>
      <c r="E7148" t="s">
        <v>1</v>
      </c>
      <c r="F7148" t="s">
        <v>0</v>
      </c>
      <c r="G7148" t="str">
        <f>"2018-10-16 14:09:55"</f>
        <v>2018-10-16 14:09:55</v>
      </c>
    </row>
    <row r="7149" spans="1:7" x14ac:dyDescent="0.2">
      <c r="A7149" t="s">
        <v>7996</v>
      </c>
      <c r="B7149" t="str">
        <f>"18562800046"</f>
        <v>18562800046</v>
      </c>
      <c r="C7149" t="str">
        <f>"370181199101150330"</f>
        <v>370181199101150330</v>
      </c>
      <c r="D7149" t="s">
        <v>1</v>
      </c>
      <c r="E7149" t="s">
        <v>1</v>
      </c>
      <c r="F7149" t="s">
        <v>0</v>
      </c>
      <c r="G7149" t="str">
        <f>"2018-10-16 14:22:08"</f>
        <v>2018-10-16 14:22:08</v>
      </c>
    </row>
    <row r="7150" spans="1:7" x14ac:dyDescent="0.2">
      <c r="A7150" t="s">
        <v>1228</v>
      </c>
      <c r="B7150" t="str">
        <f>"17387466726"</f>
        <v>17387466726</v>
      </c>
      <c r="C7150" t="str">
        <f>"53032320020420009X"</f>
        <v>53032320020420009X</v>
      </c>
      <c r="D7150" t="s">
        <v>1</v>
      </c>
      <c r="E7150" t="s">
        <v>1</v>
      </c>
      <c r="F7150" t="s">
        <v>0</v>
      </c>
      <c r="G7150" t="str">
        <f>"2018-10-16 14:11:04"</f>
        <v>2018-10-16 14:11:04</v>
      </c>
    </row>
    <row r="7151" spans="1:7" x14ac:dyDescent="0.2">
      <c r="A7151" t="s">
        <v>1</v>
      </c>
      <c r="B7151" t="str">
        <f>"15397736898"</f>
        <v>15397736898</v>
      </c>
      <c r="C7151" t="s">
        <v>1</v>
      </c>
      <c r="D7151" t="s">
        <v>1</v>
      </c>
      <c r="E7151" t="s">
        <v>1</v>
      </c>
      <c r="F7151" t="s">
        <v>0</v>
      </c>
      <c r="G7151" t="str">
        <f>"2018-10-16 14:09:41"</f>
        <v>2018-10-16 14:09:41</v>
      </c>
    </row>
    <row r="7152" spans="1:7" x14ac:dyDescent="0.2">
      <c r="A7152" t="s">
        <v>1</v>
      </c>
      <c r="B7152" t="str">
        <f>"13995537580"</f>
        <v>13995537580</v>
      </c>
      <c r="C7152" t="s">
        <v>1</v>
      </c>
      <c r="D7152" t="s">
        <v>1</v>
      </c>
      <c r="E7152" t="s">
        <v>1</v>
      </c>
      <c r="F7152" t="s">
        <v>0</v>
      </c>
      <c r="G7152" t="str">
        <f>"2018-10-16 14:09:23"</f>
        <v>2018-10-16 14:09:23</v>
      </c>
    </row>
    <row r="7153" spans="1:7" x14ac:dyDescent="0.2">
      <c r="A7153" t="s">
        <v>7997</v>
      </c>
      <c r="B7153" t="str">
        <f>"13642273994"</f>
        <v>13642273994</v>
      </c>
      <c r="C7153" t="str">
        <f>"445321199011054035"</f>
        <v>445321199011054035</v>
      </c>
      <c r="D7153" t="s">
        <v>1</v>
      </c>
      <c r="E7153" t="s">
        <v>1</v>
      </c>
      <c r="F7153" t="s">
        <v>0</v>
      </c>
      <c r="G7153" t="str">
        <f>"2018-10-16 14:10:07"</f>
        <v>2018-10-16 14:10:07</v>
      </c>
    </row>
    <row r="7154" spans="1:7" x14ac:dyDescent="0.2">
      <c r="A7154" t="s">
        <v>7998</v>
      </c>
      <c r="B7154" t="str">
        <f>"15157269795"</f>
        <v>15157269795</v>
      </c>
      <c r="C7154" t="str">
        <f>"36222719830928383X"</f>
        <v>36222719830928383X</v>
      </c>
      <c r="D7154" t="s">
        <v>1</v>
      </c>
      <c r="E7154" t="s">
        <v>1</v>
      </c>
      <c r="F7154" t="s">
        <v>0</v>
      </c>
      <c r="G7154" t="str">
        <f>"2018-10-16 14:27:05"</f>
        <v>2018-10-16 14:27:05</v>
      </c>
    </row>
    <row r="7155" spans="1:7" x14ac:dyDescent="0.2">
      <c r="A7155" t="s">
        <v>7999</v>
      </c>
      <c r="B7155" t="str">
        <f>"18180641998"</f>
        <v>18180641998</v>
      </c>
      <c r="C7155" t="str">
        <f>"510129198710065218"</f>
        <v>510129198710065218</v>
      </c>
      <c r="D7155" t="s">
        <v>1</v>
      </c>
      <c r="E7155" t="s">
        <v>1</v>
      </c>
      <c r="F7155" t="s">
        <v>0</v>
      </c>
      <c r="G7155" t="str">
        <f>"2018-10-16 15:33:18"</f>
        <v>2018-10-16 15:33:18</v>
      </c>
    </row>
    <row r="7156" spans="1:7" x14ac:dyDescent="0.2">
      <c r="A7156" t="s">
        <v>1</v>
      </c>
      <c r="B7156" t="str">
        <f>"17719011769"</f>
        <v>17719011769</v>
      </c>
      <c r="C7156" t="s">
        <v>1</v>
      </c>
      <c r="D7156" t="s">
        <v>1</v>
      </c>
      <c r="E7156" t="s">
        <v>1</v>
      </c>
      <c r="F7156" t="s">
        <v>0</v>
      </c>
      <c r="G7156" t="str">
        <f>"2018-10-16 14:07:52"</f>
        <v>2018-10-16 14:07:52</v>
      </c>
    </row>
    <row r="7157" spans="1:7" x14ac:dyDescent="0.2">
      <c r="A7157" t="s">
        <v>159</v>
      </c>
      <c r="B7157" t="str">
        <f>"18347705535"</f>
        <v>18347705535</v>
      </c>
      <c r="C7157" t="str">
        <f>"152722199110250943"</f>
        <v>152722199110250943</v>
      </c>
      <c r="D7157" t="s">
        <v>1</v>
      </c>
      <c r="E7157" t="s">
        <v>1</v>
      </c>
      <c r="F7157" t="s">
        <v>0</v>
      </c>
      <c r="G7157" t="str">
        <f>"2018-10-16 14:09:55"</f>
        <v>2018-10-16 14:09:55</v>
      </c>
    </row>
    <row r="7158" spans="1:7" x14ac:dyDescent="0.2">
      <c r="A7158" t="s">
        <v>8000</v>
      </c>
      <c r="B7158" t="str">
        <f>"15563083229"</f>
        <v>15563083229</v>
      </c>
      <c r="C7158" t="str">
        <f>"372325198809092882"</f>
        <v>372325198809092882</v>
      </c>
      <c r="D7158" t="s">
        <v>1</v>
      </c>
      <c r="E7158" t="s">
        <v>1</v>
      </c>
      <c r="F7158" t="s">
        <v>0</v>
      </c>
      <c r="G7158" t="str">
        <f>"2018-10-16 14:09:16"</f>
        <v>2018-10-16 14:09:16</v>
      </c>
    </row>
    <row r="7159" spans="1:7" x14ac:dyDescent="0.2">
      <c r="A7159" t="s">
        <v>8001</v>
      </c>
      <c r="B7159" t="str">
        <f>"18605946365"</f>
        <v>18605946365</v>
      </c>
      <c r="C7159" t="str">
        <f>"350322198509021033"</f>
        <v>350322198509021033</v>
      </c>
      <c r="D7159" t="s">
        <v>1</v>
      </c>
      <c r="E7159" t="s">
        <v>1</v>
      </c>
      <c r="F7159" t="s">
        <v>0</v>
      </c>
      <c r="G7159" t="str">
        <f>"2018-10-16 14:06:40"</f>
        <v>2018-10-16 14:06:40</v>
      </c>
    </row>
    <row r="7160" spans="1:7" x14ac:dyDescent="0.2">
      <c r="A7160" t="s">
        <v>8002</v>
      </c>
      <c r="B7160" t="str">
        <f>"13111300627"</f>
        <v>13111300627</v>
      </c>
      <c r="C7160" t="str">
        <f>"130406197610011833"</f>
        <v>130406197610011833</v>
      </c>
      <c r="D7160" t="s">
        <v>1</v>
      </c>
      <c r="E7160" t="s">
        <v>1</v>
      </c>
      <c r="F7160" t="s">
        <v>0</v>
      </c>
      <c r="G7160" t="str">
        <f>"2018-10-16 14:05:55"</f>
        <v>2018-10-16 14:05:55</v>
      </c>
    </row>
    <row r="7161" spans="1:7" x14ac:dyDescent="0.2">
      <c r="A7161" t="s">
        <v>8003</v>
      </c>
      <c r="B7161" t="str">
        <f>"15990389082"</f>
        <v>15990389082</v>
      </c>
      <c r="C7161" t="str">
        <f>"330483198806200518"</f>
        <v>330483198806200518</v>
      </c>
      <c r="D7161" t="s">
        <v>1</v>
      </c>
      <c r="E7161" t="s">
        <v>1</v>
      </c>
      <c r="F7161" t="s">
        <v>0</v>
      </c>
      <c r="G7161" t="str">
        <f>"2018-10-16 14:40:02"</f>
        <v>2018-10-16 14:40:02</v>
      </c>
    </row>
    <row r="7162" spans="1:7" x14ac:dyDescent="0.2">
      <c r="A7162" t="s">
        <v>8004</v>
      </c>
      <c r="B7162" t="str">
        <f>"18062273690"</f>
        <v>18062273690</v>
      </c>
      <c r="C7162" t="str">
        <f>"42020319870119371X"</f>
        <v>42020319870119371X</v>
      </c>
      <c r="D7162" t="s">
        <v>1</v>
      </c>
      <c r="E7162" t="s">
        <v>1</v>
      </c>
      <c r="F7162" t="s">
        <v>0</v>
      </c>
      <c r="G7162" t="str">
        <f>"2018-10-16 15:14:28"</f>
        <v>2018-10-16 15:14:28</v>
      </c>
    </row>
    <row r="7163" spans="1:7" x14ac:dyDescent="0.2">
      <c r="A7163" t="s">
        <v>8005</v>
      </c>
      <c r="B7163" t="str">
        <f>"15011017279"</f>
        <v>15011017279</v>
      </c>
      <c r="C7163" t="str">
        <f>"22030219960919082X"</f>
        <v>22030219960919082X</v>
      </c>
      <c r="D7163" t="s">
        <v>1</v>
      </c>
      <c r="E7163" t="s">
        <v>1</v>
      </c>
      <c r="F7163" t="s">
        <v>0</v>
      </c>
      <c r="G7163" t="str">
        <f>"2018-10-23 10:17:08"</f>
        <v>2018-10-23 10:17:08</v>
      </c>
    </row>
    <row r="7164" spans="1:7" x14ac:dyDescent="0.2">
      <c r="A7164" t="s">
        <v>8006</v>
      </c>
      <c r="B7164" t="str">
        <f>"15147714465"</f>
        <v>15147714465</v>
      </c>
      <c r="C7164" t="str">
        <f>"15272619820714331X"</f>
        <v>15272619820714331X</v>
      </c>
      <c r="D7164" t="s">
        <v>8007</v>
      </c>
      <c r="E7164" t="s">
        <v>8008</v>
      </c>
      <c r="F7164" t="s">
        <v>0</v>
      </c>
      <c r="G7164" t="str">
        <f>"2018-10-16 14:04:09"</f>
        <v>2018-10-16 14:04:09</v>
      </c>
    </row>
    <row r="7165" spans="1:7" x14ac:dyDescent="0.2">
      <c r="A7165" t="s">
        <v>1</v>
      </c>
      <c r="B7165" t="str">
        <f>"13998160966"</f>
        <v>13998160966</v>
      </c>
      <c r="C7165" t="s">
        <v>1</v>
      </c>
      <c r="D7165" t="s">
        <v>1</v>
      </c>
      <c r="E7165" t="s">
        <v>1</v>
      </c>
      <c r="F7165" t="s">
        <v>0</v>
      </c>
      <c r="G7165" t="str">
        <f>"2018-10-16 14:03:58"</f>
        <v>2018-10-16 14:03:58</v>
      </c>
    </row>
    <row r="7166" spans="1:7" x14ac:dyDescent="0.2">
      <c r="A7166" t="s">
        <v>8009</v>
      </c>
      <c r="B7166" t="str">
        <f>"18610374703"</f>
        <v>18610374703</v>
      </c>
      <c r="C7166" t="str">
        <f>"130822199603254555"</f>
        <v>130822199603254555</v>
      </c>
      <c r="D7166" t="s">
        <v>1</v>
      </c>
      <c r="E7166" t="s">
        <v>1</v>
      </c>
      <c r="F7166" t="s">
        <v>0</v>
      </c>
      <c r="G7166" t="str">
        <f>"2018-10-16 14:09:20"</f>
        <v>2018-10-16 14:09:20</v>
      </c>
    </row>
    <row r="7167" spans="1:7" x14ac:dyDescent="0.2">
      <c r="A7167" t="s">
        <v>1</v>
      </c>
      <c r="B7167" t="str">
        <f>"18275856894"</f>
        <v>18275856894</v>
      </c>
      <c r="C7167" t="s">
        <v>1</v>
      </c>
      <c r="D7167" t="s">
        <v>1</v>
      </c>
      <c r="E7167" t="s">
        <v>1</v>
      </c>
      <c r="F7167" t="s">
        <v>0</v>
      </c>
      <c r="G7167" t="str">
        <f>"2018-10-16 14:03:06"</f>
        <v>2018-10-16 14:03:06</v>
      </c>
    </row>
    <row r="7168" spans="1:7" x14ac:dyDescent="0.2">
      <c r="A7168" t="s">
        <v>8010</v>
      </c>
      <c r="B7168" t="str">
        <f>"18272739283"</f>
        <v>18272739283</v>
      </c>
      <c r="C7168" t="str">
        <f>"410101199511152014"</f>
        <v>410101199511152014</v>
      </c>
      <c r="D7168" t="s">
        <v>1</v>
      </c>
      <c r="E7168" t="s">
        <v>1</v>
      </c>
      <c r="F7168" t="s">
        <v>0</v>
      </c>
      <c r="G7168" t="str">
        <f>"2018-10-16 14:04:53"</f>
        <v>2018-10-16 14:04:53</v>
      </c>
    </row>
    <row r="7169" spans="1:7" x14ac:dyDescent="0.2">
      <c r="A7169" t="s">
        <v>8011</v>
      </c>
      <c r="B7169" t="str">
        <f>"15071509679"</f>
        <v>15071509679</v>
      </c>
      <c r="C7169" t="str">
        <f>"500243198501013543"</f>
        <v>500243198501013543</v>
      </c>
      <c r="D7169" t="s">
        <v>1</v>
      </c>
      <c r="E7169" t="s">
        <v>1</v>
      </c>
      <c r="F7169" t="s">
        <v>0</v>
      </c>
      <c r="G7169" t="str">
        <f>"2018-10-16 17:28:46"</f>
        <v>2018-10-16 17:28:46</v>
      </c>
    </row>
    <row r="7170" spans="1:7" x14ac:dyDescent="0.2">
      <c r="A7170" t="s">
        <v>1259</v>
      </c>
      <c r="B7170" t="str">
        <f>"15042369000"</f>
        <v>15042369000</v>
      </c>
      <c r="C7170" t="str">
        <f>"210404197611261815"</f>
        <v>210404197611261815</v>
      </c>
      <c r="D7170" t="s">
        <v>1</v>
      </c>
      <c r="E7170" t="s">
        <v>1</v>
      </c>
      <c r="F7170" t="s">
        <v>0</v>
      </c>
      <c r="G7170" t="str">
        <f>"2018-10-16 14:02:15"</f>
        <v>2018-10-16 14:02:15</v>
      </c>
    </row>
    <row r="7171" spans="1:7" x14ac:dyDescent="0.2">
      <c r="A7171" t="s">
        <v>1</v>
      </c>
      <c r="B7171" t="str">
        <f>"18698307058"</f>
        <v>18698307058</v>
      </c>
      <c r="C7171" t="s">
        <v>1</v>
      </c>
      <c r="D7171" t="s">
        <v>1</v>
      </c>
      <c r="E7171" t="s">
        <v>1</v>
      </c>
      <c r="F7171" t="s">
        <v>0</v>
      </c>
      <c r="G7171" t="str">
        <f>"2018-10-16 14:00:55"</f>
        <v>2018-10-16 14:00:55</v>
      </c>
    </row>
    <row r="7172" spans="1:7" x14ac:dyDescent="0.2">
      <c r="A7172" t="s">
        <v>8012</v>
      </c>
      <c r="B7172" t="str">
        <f>"13147810525"</f>
        <v>13147810525</v>
      </c>
      <c r="C7172" t="str">
        <f>"210113199404231110"</f>
        <v>210113199404231110</v>
      </c>
      <c r="D7172" t="s">
        <v>1</v>
      </c>
      <c r="E7172" t="s">
        <v>1</v>
      </c>
      <c r="F7172" t="s">
        <v>0</v>
      </c>
      <c r="G7172" t="str">
        <f>"2018-10-16 14:00:42"</f>
        <v>2018-10-16 14:00:42</v>
      </c>
    </row>
    <row r="7173" spans="1:7" x14ac:dyDescent="0.2">
      <c r="A7173" t="s">
        <v>1</v>
      </c>
      <c r="B7173" t="str">
        <f>"13732719177"</f>
        <v>13732719177</v>
      </c>
      <c r="C7173" t="s">
        <v>1</v>
      </c>
      <c r="D7173" t="s">
        <v>1</v>
      </c>
      <c r="E7173" t="s">
        <v>1</v>
      </c>
      <c r="F7173" t="s">
        <v>0</v>
      </c>
      <c r="G7173" t="str">
        <f>"2018-10-16 14:02:45"</f>
        <v>2018-10-16 14:02:45</v>
      </c>
    </row>
    <row r="7174" spans="1:7" x14ac:dyDescent="0.2">
      <c r="A7174" t="s">
        <v>8013</v>
      </c>
      <c r="B7174" t="str">
        <f>"18703026638"</f>
        <v>18703026638</v>
      </c>
      <c r="C7174" t="str">
        <f>"500231199402262076"</f>
        <v>500231199402262076</v>
      </c>
      <c r="D7174" t="s">
        <v>8014</v>
      </c>
      <c r="E7174" t="s">
        <v>8015</v>
      </c>
      <c r="F7174" t="s">
        <v>0</v>
      </c>
      <c r="G7174" t="str">
        <f>"2018-10-16 15:04:01"</f>
        <v>2018-10-16 15:04:01</v>
      </c>
    </row>
    <row r="7175" spans="1:7" x14ac:dyDescent="0.2">
      <c r="A7175" t="s">
        <v>8016</v>
      </c>
      <c r="B7175" t="str">
        <f>"18787309173"</f>
        <v>18787309173</v>
      </c>
      <c r="C7175" t="str">
        <f>"532524199510140973"</f>
        <v>532524199510140973</v>
      </c>
      <c r="D7175" t="s">
        <v>1</v>
      </c>
      <c r="E7175" t="s">
        <v>1</v>
      </c>
      <c r="F7175" t="s">
        <v>0</v>
      </c>
      <c r="G7175" t="str">
        <f>"2018-10-16 14:02:02"</f>
        <v>2018-10-16 14:02:02</v>
      </c>
    </row>
    <row r="7176" spans="1:7" x14ac:dyDescent="0.2">
      <c r="A7176" t="s">
        <v>8017</v>
      </c>
      <c r="B7176" t="str">
        <f>"18366667633"</f>
        <v>18366667633</v>
      </c>
      <c r="C7176" t="str">
        <f>"370481199104100036"</f>
        <v>370481199104100036</v>
      </c>
      <c r="D7176" t="s">
        <v>1</v>
      </c>
      <c r="E7176" t="s">
        <v>1</v>
      </c>
      <c r="F7176" t="s">
        <v>0</v>
      </c>
      <c r="G7176" t="str">
        <f>"2018-10-16 15:15:37"</f>
        <v>2018-10-16 15:15:37</v>
      </c>
    </row>
    <row r="7177" spans="1:7" x14ac:dyDescent="0.2">
      <c r="A7177" t="s">
        <v>8018</v>
      </c>
      <c r="B7177" t="str">
        <f>"15601274345"</f>
        <v>15601274345</v>
      </c>
      <c r="C7177" t="str">
        <f>"231026198302122315"</f>
        <v>231026198302122315</v>
      </c>
      <c r="D7177" t="s">
        <v>1</v>
      </c>
      <c r="E7177" t="s">
        <v>1</v>
      </c>
      <c r="F7177" t="s">
        <v>0</v>
      </c>
      <c r="G7177" t="str">
        <f>"2018-10-16 13:59:24"</f>
        <v>2018-10-16 13:59:24</v>
      </c>
    </row>
    <row r="7178" spans="1:7" x14ac:dyDescent="0.2">
      <c r="A7178" t="s">
        <v>8019</v>
      </c>
      <c r="B7178" t="str">
        <f>"13819943411"</f>
        <v>13819943411</v>
      </c>
      <c r="C7178" t="str">
        <f>"522327199208180428"</f>
        <v>522327199208180428</v>
      </c>
      <c r="D7178" t="s">
        <v>1</v>
      </c>
      <c r="E7178" t="s">
        <v>1</v>
      </c>
      <c r="F7178" t="s">
        <v>0</v>
      </c>
      <c r="G7178" t="str">
        <f>"2018-10-16 14:22:16"</f>
        <v>2018-10-16 14:22:16</v>
      </c>
    </row>
    <row r="7179" spans="1:7" x14ac:dyDescent="0.2">
      <c r="A7179" t="s">
        <v>1</v>
      </c>
      <c r="B7179" t="str">
        <f>"15557969772"</f>
        <v>15557969772</v>
      </c>
      <c r="C7179" t="s">
        <v>1</v>
      </c>
      <c r="D7179" t="s">
        <v>1</v>
      </c>
      <c r="E7179" t="s">
        <v>1</v>
      </c>
      <c r="F7179" t="s">
        <v>0</v>
      </c>
      <c r="G7179" t="str">
        <f>"2018-10-16 13:59:13"</f>
        <v>2018-10-16 13:59:13</v>
      </c>
    </row>
    <row r="7180" spans="1:7" x14ac:dyDescent="0.2">
      <c r="A7180" t="s">
        <v>891</v>
      </c>
      <c r="B7180" t="str">
        <f>"13991527292"</f>
        <v>13991527292</v>
      </c>
      <c r="C7180" t="str">
        <f>"622429199704230027"</f>
        <v>622429199704230027</v>
      </c>
      <c r="D7180" t="s">
        <v>1</v>
      </c>
      <c r="E7180" t="s">
        <v>1</v>
      </c>
      <c r="F7180" t="s">
        <v>0</v>
      </c>
      <c r="G7180" t="str">
        <f>"2018-10-16 14:16:49"</f>
        <v>2018-10-16 14:16:49</v>
      </c>
    </row>
    <row r="7181" spans="1:7" x14ac:dyDescent="0.2">
      <c r="A7181" t="s">
        <v>531</v>
      </c>
      <c r="B7181" t="str">
        <f>"15754948517"</f>
        <v>15754948517</v>
      </c>
      <c r="C7181" t="str">
        <f>"152223198710020257"</f>
        <v>152223198710020257</v>
      </c>
      <c r="D7181" t="s">
        <v>8020</v>
      </c>
      <c r="E7181" t="s">
        <v>8021</v>
      </c>
      <c r="F7181" t="s">
        <v>0</v>
      </c>
      <c r="G7181" t="str">
        <f>"2018-10-16 13:58:45"</f>
        <v>2018-10-16 13:58:45</v>
      </c>
    </row>
    <row r="7182" spans="1:7" x14ac:dyDescent="0.2">
      <c r="A7182" t="s">
        <v>8022</v>
      </c>
      <c r="B7182" t="str">
        <f>"17731012023"</f>
        <v>17731012023</v>
      </c>
      <c r="C7182" t="str">
        <f>"130427199007255711"</f>
        <v>130427199007255711</v>
      </c>
      <c r="D7182" t="s">
        <v>1</v>
      </c>
      <c r="E7182" t="s">
        <v>1</v>
      </c>
      <c r="F7182" t="s">
        <v>0</v>
      </c>
      <c r="G7182" t="str">
        <f>"2018-10-16 13:59:41"</f>
        <v>2018-10-16 13:59:41</v>
      </c>
    </row>
    <row r="7183" spans="1:7" x14ac:dyDescent="0.2">
      <c r="A7183" t="s">
        <v>1</v>
      </c>
      <c r="B7183" t="str">
        <f>"18588516970"</f>
        <v>18588516970</v>
      </c>
      <c r="C7183" t="s">
        <v>1</v>
      </c>
      <c r="D7183" t="s">
        <v>1</v>
      </c>
      <c r="E7183" t="s">
        <v>1</v>
      </c>
      <c r="F7183" t="s">
        <v>0</v>
      </c>
      <c r="G7183" t="str">
        <f>"2018-10-16 13:57:47"</f>
        <v>2018-10-16 13:57:47</v>
      </c>
    </row>
    <row r="7184" spans="1:7" x14ac:dyDescent="0.2">
      <c r="A7184" t="s">
        <v>8023</v>
      </c>
      <c r="B7184" t="str">
        <f>"18376738602"</f>
        <v>18376738602</v>
      </c>
      <c r="C7184" t="str">
        <f>"452127199403143316"</f>
        <v>452127199403143316</v>
      </c>
      <c r="D7184" t="s">
        <v>8024</v>
      </c>
      <c r="E7184" t="s">
        <v>8025</v>
      </c>
      <c r="F7184" t="s">
        <v>0</v>
      </c>
      <c r="G7184" t="str">
        <f>"2018-10-16 15:02:28"</f>
        <v>2018-10-16 15:02:28</v>
      </c>
    </row>
    <row r="7185" spans="1:7" x14ac:dyDescent="0.2">
      <c r="A7185" t="s">
        <v>1</v>
      </c>
      <c r="B7185" t="str">
        <f>"18580722277"</f>
        <v>18580722277</v>
      </c>
      <c r="C7185" t="s">
        <v>1</v>
      </c>
      <c r="D7185" t="s">
        <v>1</v>
      </c>
      <c r="E7185" t="s">
        <v>1</v>
      </c>
      <c r="F7185" t="s">
        <v>0</v>
      </c>
      <c r="G7185" t="str">
        <f>"2018-10-16 13:55:27"</f>
        <v>2018-10-16 13:55:27</v>
      </c>
    </row>
    <row r="7186" spans="1:7" x14ac:dyDescent="0.2">
      <c r="A7186" t="s">
        <v>8026</v>
      </c>
      <c r="B7186" t="str">
        <f>"15765112921"</f>
        <v>15765112921</v>
      </c>
      <c r="C7186" t="str">
        <f>"231085199105102117"</f>
        <v>231085199105102117</v>
      </c>
      <c r="D7186" t="s">
        <v>1</v>
      </c>
      <c r="E7186" t="s">
        <v>1</v>
      </c>
      <c r="F7186" t="s">
        <v>0</v>
      </c>
      <c r="G7186" t="str">
        <f>"2018-10-16 13:56:34"</f>
        <v>2018-10-16 13:56:34</v>
      </c>
    </row>
    <row r="7187" spans="1:7" x14ac:dyDescent="0.2">
      <c r="A7187" t="s">
        <v>8027</v>
      </c>
      <c r="B7187" t="str">
        <f>"18978377805"</f>
        <v>18978377805</v>
      </c>
      <c r="C7187" t="str">
        <f>"45032619860823181X"</f>
        <v>45032619860823181X</v>
      </c>
      <c r="D7187" t="s">
        <v>1</v>
      </c>
      <c r="E7187" t="s">
        <v>1</v>
      </c>
      <c r="F7187" t="s">
        <v>0</v>
      </c>
      <c r="G7187" t="str">
        <f>"2018-10-19 11:00:44"</f>
        <v>2018-10-19 11:00:44</v>
      </c>
    </row>
    <row r="7188" spans="1:7" x14ac:dyDescent="0.2">
      <c r="A7188" t="s">
        <v>1</v>
      </c>
      <c r="B7188" t="str">
        <f>"18390970117"</f>
        <v>18390970117</v>
      </c>
      <c r="C7188" t="s">
        <v>1</v>
      </c>
      <c r="D7188" t="s">
        <v>1</v>
      </c>
      <c r="E7188" t="s">
        <v>1</v>
      </c>
      <c r="F7188" t="s">
        <v>0</v>
      </c>
      <c r="G7188" t="str">
        <f>"2018-10-16 13:55:12"</f>
        <v>2018-10-16 13:55:12</v>
      </c>
    </row>
    <row r="7189" spans="1:7" x14ac:dyDescent="0.2">
      <c r="A7189" t="s">
        <v>8028</v>
      </c>
      <c r="B7189" t="str">
        <f>"18311796017"</f>
        <v>18311796017</v>
      </c>
      <c r="C7189" t="str">
        <f>"522229197210270068"</f>
        <v>522229197210270068</v>
      </c>
      <c r="D7189" t="s">
        <v>1</v>
      </c>
      <c r="E7189" t="s">
        <v>1</v>
      </c>
      <c r="F7189" t="s">
        <v>0</v>
      </c>
      <c r="G7189" t="str">
        <f>"2018-10-16 17:53:21"</f>
        <v>2018-10-16 17:53:21</v>
      </c>
    </row>
    <row r="7190" spans="1:7" x14ac:dyDescent="0.2">
      <c r="A7190" t="s">
        <v>8029</v>
      </c>
      <c r="B7190" t="str">
        <f>"18232600640"</f>
        <v>18232600640</v>
      </c>
      <c r="C7190" t="str">
        <f>"500384199611182660"</f>
        <v>500384199611182660</v>
      </c>
      <c r="D7190" t="s">
        <v>1</v>
      </c>
      <c r="E7190" t="s">
        <v>1</v>
      </c>
      <c r="F7190" t="s">
        <v>0</v>
      </c>
      <c r="G7190" t="str">
        <f>"2018-10-16 13:55:52"</f>
        <v>2018-10-16 13:55:52</v>
      </c>
    </row>
    <row r="7191" spans="1:7" x14ac:dyDescent="0.2">
      <c r="A7191" t="s">
        <v>301</v>
      </c>
      <c r="B7191" t="str">
        <f>"13970146980"</f>
        <v>13970146980</v>
      </c>
      <c r="C7191" t="str">
        <f>"360733198505030031"</f>
        <v>360733198505030031</v>
      </c>
      <c r="D7191" t="s">
        <v>1</v>
      </c>
      <c r="E7191" t="s">
        <v>1</v>
      </c>
      <c r="F7191" t="s">
        <v>0</v>
      </c>
      <c r="G7191" t="str">
        <f>"2018-10-16 14:44:20"</f>
        <v>2018-10-16 14:44:20</v>
      </c>
    </row>
    <row r="7192" spans="1:7" x14ac:dyDescent="0.2">
      <c r="A7192" t="s">
        <v>1</v>
      </c>
      <c r="B7192" t="str">
        <f>"13043918665"</f>
        <v>13043918665</v>
      </c>
      <c r="C7192" t="s">
        <v>1</v>
      </c>
      <c r="D7192" t="s">
        <v>1</v>
      </c>
      <c r="E7192" t="s">
        <v>1</v>
      </c>
      <c r="F7192" t="s">
        <v>0</v>
      </c>
      <c r="G7192" t="str">
        <f>"2018-10-16 13:53:07"</f>
        <v>2018-10-16 13:53:07</v>
      </c>
    </row>
    <row r="7193" spans="1:7" x14ac:dyDescent="0.2">
      <c r="A7193" t="s">
        <v>8030</v>
      </c>
      <c r="B7193" t="str">
        <f>"13937895901"</f>
        <v>13937895901</v>
      </c>
      <c r="C7193" t="str">
        <f>"410225199809271522"</f>
        <v>410225199809271522</v>
      </c>
      <c r="D7193" t="s">
        <v>1</v>
      </c>
      <c r="E7193" t="s">
        <v>1</v>
      </c>
      <c r="F7193" t="s">
        <v>0</v>
      </c>
      <c r="G7193" t="str">
        <f>"2018-10-16 14:46:17"</f>
        <v>2018-10-16 14:46:17</v>
      </c>
    </row>
    <row r="7194" spans="1:7" x14ac:dyDescent="0.2">
      <c r="A7194" t="s">
        <v>8031</v>
      </c>
      <c r="B7194" t="str">
        <f>"15103656101"</f>
        <v>15103656101</v>
      </c>
      <c r="C7194" t="str">
        <f>"46000419970512441X"</f>
        <v>46000419970512441X</v>
      </c>
      <c r="D7194" t="s">
        <v>8032</v>
      </c>
      <c r="E7194" t="s">
        <v>8033</v>
      </c>
      <c r="F7194" t="s">
        <v>0</v>
      </c>
      <c r="G7194" t="str">
        <f>"2018-10-16 13:52:31"</f>
        <v>2018-10-16 13:52:31</v>
      </c>
    </row>
    <row r="7195" spans="1:7" x14ac:dyDescent="0.2">
      <c r="A7195" t="s">
        <v>8034</v>
      </c>
      <c r="B7195" t="str">
        <f>"15825827014"</f>
        <v>15825827014</v>
      </c>
      <c r="C7195" t="str">
        <f>"62242119890810481X"</f>
        <v>62242119890810481X</v>
      </c>
      <c r="D7195" t="s">
        <v>1</v>
      </c>
      <c r="E7195" t="s">
        <v>1</v>
      </c>
      <c r="F7195" t="s">
        <v>0</v>
      </c>
      <c r="G7195" t="str">
        <f>"2018-10-16 13:52:17"</f>
        <v>2018-10-16 13:52:17</v>
      </c>
    </row>
    <row r="7196" spans="1:7" x14ac:dyDescent="0.2">
      <c r="A7196" t="s">
        <v>8035</v>
      </c>
      <c r="B7196" t="str">
        <f>"15333244440"</f>
        <v>15333244440</v>
      </c>
      <c r="C7196" t="str">
        <f>"131081198305272520"</f>
        <v>131081198305272520</v>
      </c>
      <c r="D7196" t="s">
        <v>1</v>
      </c>
      <c r="E7196" t="s">
        <v>1</v>
      </c>
      <c r="F7196" t="s">
        <v>0</v>
      </c>
      <c r="G7196" t="str">
        <f>"2018-10-16 13:50:07"</f>
        <v>2018-10-16 13:50:07</v>
      </c>
    </row>
    <row r="7197" spans="1:7" x14ac:dyDescent="0.2">
      <c r="A7197" t="s">
        <v>8036</v>
      </c>
      <c r="B7197" t="str">
        <f>"13519830829"</f>
        <v>13519830829</v>
      </c>
      <c r="C7197" t="str">
        <f>"469005199908273911"</f>
        <v>469005199908273911</v>
      </c>
      <c r="D7197" t="s">
        <v>1</v>
      </c>
      <c r="E7197" t="s">
        <v>1</v>
      </c>
      <c r="F7197" t="s">
        <v>0</v>
      </c>
      <c r="G7197" t="str">
        <f>"2018-10-16 15:12:56"</f>
        <v>2018-10-16 15:12:56</v>
      </c>
    </row>
    <row r="7198" spans="1:7" x14ac:dyDescent="0.2">
      <c r="A7198" t="s">
        <v>1</v>
      </c>
      <c r="B7198" t="str">
        <f>"13421662008"</f>
        <v>13421662008</v>
      </c>
      <c r="C7198" t="s">
        <v>1</v>
      </c>
      <c r="D7198" t="s">
        <v>1</v>
      </c>
      <c r="E7198" t="s">
        <v>1</v>
      </c>
      <c r="F7198" t="s">
        <v>0</v>
      </c>
      <c r="G7198" t="str">
        <f>"2018-10-16 13:49:18"</f>
        <v>2018-10-16 13:49:18</v>
      </c>
    </row>
    <row r="7199" spans="1:7" x14ac:dyDescent="0.2">
      <c r="A7199" t="s">
        <v>1545</v>
      </c>
      <c r="B7199" t="str">
        <f>"15590991543"</f>
        <v>15590991543</v>
      </c>
      <c r="C7199" t="str">
        <f>"232331199302110210"</f>
        <v>232331199302110210</v>
      </c>
      <c r="D7199" t="s">
        <v>8037</v>
      </c>
      <c r="E7199" t="s">
        <v>8038</v>
      </c>
      <c r="F7199" t="s">
        <v>0</v>
      </c>
      <c r="G7199" t="str">
        <f>"2018-10-16 13:49:07"</f>
        <v>2018-10-16 13:49:07</v>
      </c>
    </row>
    <row r="7200" spans="1:7" x14ac:dyDescent="0.2">
      <c r="A7200" t="s">
        <v>8039</v>
      </c>
      <c r="B7200" t="str">
        <f>"18991939919"</f>
        <v>18991939919</v>
      </c>
      <c r="C7200" t="str">
        <f>"610113198408260437"</f>
        <v>610113198408260437</v>
      </c>
      <c r="D7200" t="s">
        <v>1</v>
      </c>
      <c r="E7200" t="s">
        <v>1</v>
      </c>
      <c r="F7200" t="s">
        <v>0</v>
      </c>
      <c r="G7200" t="str">
        <f>"2018-10-16 13:51:39"</f>
        <v>2018-10-16 13:51:39</v>
      </c>
    </row>
    <row r="7201" spans="1:7" x14ac:dyDescent="0.2">
      <c r="A7201" t="s">
        <v>8040</v>
      </c>
      <c r="B7201" t="str">
        <f>"13905609845"</f>
        <v>13905609845</v>
      </c>
      <c r="C7201" t="str">
        <f>"340102199109110527"</f>
        <v>340102199109110527</v>
      </c>
      <c r="D7201" t="s">
        <v>1</v>
      </c>
      <c r="E7201" t="s">
        <v>1</v>
      </c>
      <c r="F7201" t="s">
        <v>0</v>
      </c>
      <c r="G7201" t="str">
        <f>"2018-10-16 14:06:32"</f>
        <v>2018-10-16 14:06:32</v>
      </c>
    </row>
    <row r="7202" spans="1:7" x14ac:dyDescent="0.2">
      <c r="A7202" t="s">
        <v>80</v>
      </c>
      <c r="B7202" t="str">
        <f>"15586505065"</f>
        <v>15586505065</v>
      </c>
      <c r="C7202" t="str">
        <f>"422126199601023014"</f>
        <v>422126199601023014</v>
      </c>
      <c r="D7202" t="s">
        <v>1</v>
      </c>
      <c r="E7202" t="s">
        <v>1</v>
      </c>
      <c r="F7202" t="s">
        <v>0</v>
      </c>
      <c r="G7202" t="str">
        <f>"2018-10-16 13:51:23"</f>
        <v>2018-10-16 13:51:23</v>
      </c>
    </row>
    <row r="7203" spans="1:7" x14ac:dyDescent="0.2">
      <c r="A7203" t="s">
        <v>8041</v>
      </c>
      <c r="B7203" t="str">
        <f>"13860911537"</f>
        <v>13860911537</v>
      </c>
      <c r="C7203" t="str">
        <f>"360281198201181416"</f>
        <v>360281198201181416</v>
      </c>
      <c r="D7203" t="s">
        <v>1</v>
      </c>
      <c r="E7203" t="s">
        <v>1</v>
      </c>
      <c r="F7203" t="s">
        <v>0</v>
      </c>
      <c r="G7203" t="str">
        <f>"2018-10-16 13:50:11"</f>
        <v>2018-10-16 13:50:11</v>
      </c>
    </row>
    <row r="7204" spans="1:7" x14ac:dyDescent="0.2">
      <c r="A7204" t="s">
        <v>8042</v>
      </c>
      <c r="B7204" t="str">
        <f>"15837177413"</f>
        <v>15837177413</v>
      </c>
      <c r="C7204" t="str">
        <f>"410422197310169177"</f>
        <v>410422197310169177</v>
      </c>
      <c r="D7204" t="s">
        <v>1</v>
      </c>
      <c r="E7204" t="s">
        <v>1</v>
      </c>
      <c r="F7204" t="s">
        <v>0</v>
      </c>
      <c r="G7204" t="str">
        <f>"2018-10-16 13:50:36"</f>
        <v>2018-10-16 13:50:36</v>
      </c>
    </row>
    <row r="7205" spans="1:7" x14ac:dyDescent="0.2">
      <c r="A7205" t="s">
        <v>16</v>
      </c>
      <c r="B7205" t="str">
        <f>"15393630976"</f>
        <v>15393630976</v>
      </c>
      <c r="C7205" t="str">
        <f>"622201198908062457"</f>
        <v>622201198908062457</v>
      </c>
      <c r="D7205" t="s">
        <v>1</v>
      </c>
      <c r="E7205" t="s">
        <v>1</v>
      </c>
      <c r="F7205" t="s">
        <v>0</v>
      </c>
      <c r="G7205" t="str">
        <f>"2018-10-16 13:49:20"</f>
        <v>2018-10-16 13:49:20</v>
      </c>
    </row>
    <row r="7206" spans="1:7" x14ac:dyDescent="0.2">
      <c r="A7206" t="s">
        <v>8043</v>
      </c>
      <c r="B7206" t="str">
        <f>"18266688339"</f>
        <v>18266688339</v>
      </c>
      <c r="C7206" t="str">
        <f>"370404199301211015"</f>
        <v>370404199301211015</v>
      </c>
      <c r="D7206" t="s">
        <v>1</v>
      </c>
      <c r="E7206" t="s">
        <v>1</v>
      </c>
      <c r="F7206" t="s">
        <v>0</v>
      </c>
      <c r="G7206" t="str">
        <f>"2018-10-16 13:52:21"</f>
        <v>2018-10-16 13:52:21</v>
      </c>
    </row>
    <row r="7207" spans="1:7" x14ac:dyDescent="0.2">
      <c r="A7207" t="s">
        <v>8044</v>
      </c>
      <c r="B7207" t="str">
        <f>"15802159605"</f>
        <v>15802159605</v>
      </c>
      <c r="C7207" t="str">
        <f>"411330198704151113"</f>
        <v>411330198704151113</v>
      </c>
      <c r="D7207" t="s">
        <v>1</v>
      </c>
      <c r="E7207" t="s">
        <v>1</v>
      </c>
      <c r="F7207" t="s">
        <v>0</v>
      </c>
      <c r="G7207" t="str">
        <f>"2018-10-16 16:00:51"</f>
        <v>2018-10-16 16:00:51</v>
      </c>
    </row>
    <row r="7208" spans="1:7" x14ac:dyDescent="0.2">
      <c r="A7208" t="s">
        <v>8045</v>
      </c>
      <c r="B7208" t="str">
        <f>"13569592215"</f>
        <v>13569592215</v>
      </c>
      <c r="C7208" t="str">
        <f>"410403199308145539"</f>
        <v>410403199308145539</v>
      </c>
      <c r="D7208" t="s">
        <v>1</v>
      </c>
      <c r="E7208" t="s">
        <v>1</v>
      </c>
      <c r="F7208" t="s">
        <v>0</v>
      </c>
      <c r="G7208" t="str">
        <f>"2018-10-29 12:15:45"</f>
        <v>2018-10-29 12:15:45</v>
      </c>
    </row>
    <row r="7209" spans="1:7" x14ac:dyDescent="0.2">
      <c r="A7209" t="s">
        <v>1</v>
      </c>
      <c r="B7209" t="str">
        <f>"15339727707"</f>
        <v>15339727707</v>
      </c>
      <c r="C7209" t="s">
        <v>1</v>
      </c>
      <c r="D7209" t="s">
        <v>1</v>
      </c>
      <c r="E7209" t="s">
        <v>1</v>
      </c>
      <c r="F7209" t="s">
        <v>0</v>
      </c>
      <c r="G7209" t="str">
        <f>"2018-10-16 13:46:18"</f>
        <v>2018-10-16 13:46:18</v>
      </c>
    </row>
    <row r="7210" spans="1:7" x14ac:dyDescent="0.2">
      <c r="A7210" t="s">
        <v>1</v>
      </c>
      <c r="B7210" t="str">
        <f>"15598381292"</f>
        <v>15598381292</v>
      </c>
      <c r="C7210" t="s">
        <v>1</v>
      </c>
      <c r="D7210" t="s">
        <v>1</v>
      </c>
      <c r="E7210" t="s">
        <v>1</v>
      </c>
      <c r="F7210" t="s">
        <v>0</v>
      </c>
      <c r="G7210" t="str">
        <f>"2018-10-16 13:45:17"</f>
        <v>2018-10-16 13:45:17</v>
      </c>
    </row>
    <row r="7211" spans="1:7" x14ac:dyDescent="0.2">
      <c r="A7211" t="s">
        <v>8046</v>
      </c>
      <c r="B7211" t="str">
        <f>"18861987626"</f>
        <v>18861987626</v>
      </c>
      <c r="C7211" t="str">
        <f>"320924199509187468"</f>
        <v>320924199509187468</v>
      </c>
      <c r="D7211" t="s">
        <v>1</v>
      </c>
      <c r="E7211" t="s">
        <v>1</v>
      </c>
      <c r="F7211" t="s">
        <v>0</v>
      </c>
      <c r="G7211" t="str">
        <f>"2018-10-16 13:49:16"</f>
        <v>2018-10-16 13:49:16</v>
      </c>
    </row>
    <row r="7212" spans="1:7" x14ac:dyDescent="0.2">
      <c r="A7212" t="s">
        <v>8047</v>
      </c>
      <c r="B7212" t="str">
        <f>"17503835101"</f>
        <v>17503835101</v>
      </c>
      <c r="C7212" t="str">
        <f>"410781198802156058"</f>
        <v>410781198802156058</v>
      </c>
      <c r="D7212" t="s">
        <v>1</v>
      </c>
      <c r="E7212" t="s">
        <v>1</v>
      </c>
      <c r="F7212" t="s">
        <v>0</v>
      </c>
      <c r="G7212" t="str">
        <f>"2018-10-16 13:45:42"</f>
        <v>2018-10-16 13:45:42</v>
      </c>
    </row>
    <row r="7213" spans="1:7" x14ac:dyDescent="0.2">
      <c r="A7213" t="s">
        <v>8048</v>
      </c>
      <c r="B7213" t="str">
        <f>"18945945425"</f>
        <v>18945945425</v>
      </c>
      <c r="C7213" t="str">
        <f>"232303199204255656"</f>
        <v>232303199204255656</v>
      </c>
      <c r="D7213" t="s">
        <v>8049</v>
      </c>
      <c r="E7213" t="s">
        <v>8050</v>
      </c>
      <c r="F7213" t="s">
        <v>0</v>
      </c>
      <c r="G7213" t="str">
        <f>"2018-10-16 13:45:46"</f>
        <v>2018-10-16 13:45:46</v>
      </c>
    </row>
    <row r="7214" spans="1:7" x14ac:dyDescent="0.2">
      <c r="A7214" t="s">
        <v>8051</v>
      </c>
      <c r="B7214" t="str">
        <f>"18515771327"</f>
        <v>18515771327</v>
      </c>
      <c r="C7214" t="str">
        <f>"511522199803131133"</f>
        <v>511522199803131133</v>
      </c>
      <c r="D7214" t="s">
        <v>1</v>
      </c>
      <c r="E7214" t="s">
        <v>1</v>
      </c>
      <c r="F7214" t="s">
        <v>0</v>
      </c>
      <c r="G7214" t="str">
        <f>"2018-10-16 13:46:55"</f>
        <v>2018-10-16 13:46:55</v>
      </c>
    </row>
    <row r="7215" spans="1:7" x14ac:dyDescent="0.2">
      <c r="A7215" t="s">
        <v>8052</v>
      </c>
      <c r="B7215" t="str">
        <f>"15540072727"</f>
        <v>15540072727</v>
      </c>
      <c r="C7215" t="str">
        <f>"152104198311036310"</f>
        <v>152104198311036310</v>
      </c>
      <c r="D7215" t="s">
        <v>8053</v>
      </c>
      <c r="E7215" t="s">
        <v>8054</v>
      </c>
      <c r="F7215" t="s">
        <v>0</v>
      </c>
      <c r="G7215" t="str">
        <f>"2018-10-26 10:38:05"</f>
        <v>2018-10-26 10:38:05</v>
      </c>
    </row>
    <row r="7216" spans="1:7" x14ac:dyDescent="0.2">
      <c r="A7216" t="s">
        <v>8055</v>
      </c>
      <c r="B7216" t="str">
        <f>"15108833987"</f>
        <v>15108833987</v>
      </c>
      <c r="C7216" t="str">
        <f>"532623199606110313"</f>
        <v>532623199606110313</v>
      </c>
      <c r="D7216" t="s">
        <v>1</v>
      </c>
      <c r="E7216" t="s">
        <v>1</v>
      </c>
      <c r="F7216" t="s">
        <v>0</v>
      </c>
      <c r="G7216" t="str">
        <f>"2018-10-16 13:47:47"</f>
        <v>2018-10-16 13:47:47</v>
      </c>
    </row>
    <row r="7217" spans="1:7" x14ac:dyDescent="0.2">
      <c r="A7217" t="s">
        <v>8056</v>
      </c>
      <c r="B7217" t="str">
        <f>"18208629547"</f>
        <v>18208629547</v>
      </c>
      <c r="C7217" t="str">
        <f>"522322198704281336"</f>
        <v>522322198704281336</v>
      </c>
      <c r="D7217" t="s">
        <v>1</v>
      </c>
      <c r="E7217" t="s">
        <v>1</v>
      </c>
      <c r="F7217" t="s">
        <v>0</v>
      </c>
      <c r="G7217" t="str">
        <f>"2018-10-16 15:16:43"</f>
        <v>2018-10-16 15:16:43</v>
      </c>
    </row>
    <row r="7218" spans="1:7" x14ac:dyDescent="0.2">
      <c r="A7218" t="s">
        <v>8057</v>
      </c>
      <c r="B7218" t="str">
        <f>"13986379986"</f>
        <v>13986379986</v>
      </c>
      <c r="C7218" t="str">
        <f>"420625197907200079"</f>
        <v>420625197907200079</v>
      </c>
      <c r="D7218" t="s">
        <v>1</v>
      </c>
      <c r="E7218" t="s">
        <v>1</v>
      </c>
      <c r="F7218" t="s">
        <v>0</v>
      </c>
      <c r="G7218" t="str">
        <f>"2018-10-16 13:42:58"</f>
        <v>2018-10-16 13:42:58</v>
      </c>
    </row>
    <row r="7219" spans="1:7" x14ac:dyDescent="0.2">
      <c r="A7219" t="s">
        <v>8058</v>
      </c>
      <c r="B7219" t="str">
        <f>"17356496998"</f>
        <v>17356496998</v>
      </c>
      <c r="C7219" t="str">
        <f>"342425198710052012"</f>
        <v>342425198710052012</v>
      </c>
      <c r="D7219" t="s">
        <v>1</v>
      </c>
      <c r="E7219" t="s">
        <v>1</v>
      </c>
      <c r="F7219" t="s">
        <v>0</v>
      </c>
      <c r="G7219" t="str">
        <f>"2018-10-16 14:13:37"</f>
        <v>2018-10-16 14:13:37</v>
      </c>
    </row>
    <row r="7220" spans="1:7" x14ac:dyDescent="0.2">
      <c r="A7220" t="s">
        <v>1</v>
      </c>
      <c r="B7220" t="str">
        <f>"17398938311"</f>
        <v>17398938311</v>
      </c>
      <c r="C7220" t="s">
        <v>1</v>
      </c>
      <c r="D7220" t="s">
        <v>1</v>
      </c>
      <c r="E7220" t="s">
        <v>1</v>
      </c>
      <c r="F7220" t="s">
        <v>0</v>
      </c>
      <c r="G7220" t="str">
        <f>"2018-10-16 13:42:17"</f>
        <v>2018-10-16 13:42:17</v>
      </c>
    </row>
    <row r="7221" spans="1:7" x14ac:dyDescent="0.2">
      <c r="A7221" t="s">
        <v>8059</v>
      </c>
      <c r="B7221" t="str">
        <f>"18260451022"</f>
        <v>18260451022</v>
      </c>
      <c r="C7221" t="str">
        <f>"622722200005302615"</f>
        <v>622722200005302615</v>
      </c>
      <c r="D7221" t="s">
        <v>1</v>
      </c>
      <c r="E7221" t="s">
        <v>1</v>
      </c>
      <c r="F7221" t="s">
        <v>0</v>
      </c>
      <c r="G7221" t="str">
        <f>"2018-10-16 13:44:07"</f>
        <v>2018-10-16 13:44:07</v>
      </c>
    </row>
    <row r="7222" spans="1:7" x14ac:dyDescent="0.2">
      <c r="A7222" t="s">
        <v>8060</v>
      </c>
      <c r="B7222" t="str">
        <f>"15073931341"</f>
        <v>15073931341</v>
      </c>
      <c r="C7222" t="str">
        <f>"430526199703260012"</f>
        <v>430526199703260012</v>
      </c>
      <c r="D7222" t="s">
        <v>1</v>
      </c>
      <c r="E7222" t="s">
        <v>1</v>
      </c>
      <c r="F7222" t="s">
        <v>0</v>
      </c>
      <c r="G7222" t="str">
        <f>"2018-10-16 13:49:50"</f>
        <v>2018-10-16 13:49:50</v>
      </c>
    </row>
    <row r="7223" spans="1:7" x14ac:dyDescent="0.2">
      <c r="A7223" t="s">
        <v>8061</v>
      </c>
      <c r="B7223" t="str">
        <f>"18390757211"</f>
        <v>18390757211</v>
      </c>
      <c r="C7223" t="str">
        <f>"430503198712183515"</f>
        <v>430503198712183515</v>
      </c>
      <c r="D7223" t="s">
        <v>1</v>
      </c>
      <c r="E7223" t="s">
        <v>1</v>
      </c>
      <c r="F7223" t="s">
        <v>0</v>
      </c>
      <c r="G7223" t="str">
        <f>"2018-10-16 13:43:00"</f>
        <v>2018-10-16 13:43:00</v>
      </c>
    </row>
    <row r="7224" spans="1:7" x14ac:dyDescent="0.2">
      <c r="A7224" t="s">
        <v>8062</v>
      </c>
      <c r="B7224" t="str">
        <f>"13584150065"</f>
        <v>13584150065</v>
      </c>
      <c r="C7224" t="str">
        <f>"320219198004021768"</f>
        <v>320219198004021768</v>
      </c>
      <c r="D7224" t="s">
        <v>1</v>
      </c>
      <c r="E7224" t="s">
        <v>1</v>
      </c>
      <c r="F7224" t="s">
        <v>0</v>
      </c>
      <c r="G7224" t="str">
        <f>"2018-10-16 13:41:58"</f>
        <v>2018-10-16 13:41:58</v>
      </c>
    </row>
    <row r="7225" spans="1:7" x14ac:dyDescent="0.2">
      <c r="A7225" t="s">
        <v>1</v>
      </c>
      <c r="B7225" t="str">
        <f>"15044662020"</f>
        <v>15044662020</v>
      </c>
      <c r="C7225" t="s">
        <v>1</v>
      </c>
      <c r="D7225" t="s">
        <v>1</v>
      </c>
      <c r="E7225" t="s">
        <v>1</v>
      </c>
      <c r="F7225" t="s">
        <v>0</v>
      </c>
      <c r="G7225" t="str">
        <f>"2018-10-16 13:43:13"</f>
        <v>2018-10-16 13:43:13</v>
      </c>
    </row>
    <row r="7226" spans="1:7" x14ac:dyDescent="0.2">
      <c r="A7226" t="s">
        <v>8063</v>
      </c>
      <c r="B7226" t="str">
        <f>"15192568931"</f>
        <v>15192568931</v>
      </c>
      <c r="C7226" t="str">
        <f>"370205197402080524"</f>
        <v>370205197402080524</v>
      </c>
      <c r="D7226" t="s">
        <v>1</v>
      </c>
      <c r="E7226" t="s">
        <v>1</v>
      </c>
      <c r="F7226" t="s">
        <v>0</v>
      </c>
      <c r="G7226" t="str">
        <f>"2018-10-16 13:42:56"</f>
        <v>2018-10-16 13:42:56</v>
      </c>
    </row>
    <row r="7227" spans="1:7" x14ac:dyDescent="0.2">
      <c r="A7227" t="s">
        <v>87</v>
      </c>
      <c r="B7227" t="str">
        <f>"13898806053"</f>
        <v>13898806053</v>
      </c>
      <c r="C7227" t="str">
        <f>"220322198209270717"</f>
        <v>220322198209270717</v>
      </c>
      <c r="D7227" t="s">
        <v>8064</v>
      </c>
      <c r="E7227" t="s">
        <v>8065</v>
      </c>
      <c r="F7227" t="s">
        <v>0</v>
      </c>
      <c r="G7227" t="str">
        <f>"2018-10-16 13:58:59"</f>
        <v>2018-10-16 13:58:59</v>
      </c>
    </row>
    <row r="7228" spans="1:7" x14ac:dyDescent="0.2">
      <c r="A7228" t="s">
        <v>8066</v>
      </c>
      <c r="B7228" t="str">
        <f>"13814546804"</f>
        <v>13814546804</v>
      </c>
      <c r="C7228" t="str">
        <f>"510216198209130411"</f>
        <v>510216198209130411</v>
      </c>
      <c r="D7228" t="s">
        <v>1</v>
      </c>
      <c r="E7228" t="s">
        <v>1</v>
      </c>
      <c r="F7228" t="s">
        <v>0</v>
      </c>
      <c r="G7228" t="str">
        <f>"2018-10-16 13:48:20"</f>
        <v>2018-10-16 13:48:20</v>
      </c>
    </row>
    <row r="7229" spans="1:7" x14ac:dyDescent="0.2">
      <c r="A7229" t="s">
        <v>8067</v>
      </c>
      <c r="B7229" t="str">
        <f>"18907767754"</f>
        <v>18907767754</v>
      </c>
      <c r="C7229" t="str">
        <f>"452601198704202438"</f>
        <v>452601198704202438</v>
      </c>
      <c r="D7229" t="s">
        <v>1</v>
      </c>
      <c r="E7229" t="s">
        <v>1</v>
      </c>
      <c r="F7229" t="s">
        <v>0</v>
      </c>
      <c r="G7229" t="str">
        <f>"2018-10-16 14:38:46"</f>
        <v>2018-10-16 14:38:46</v>
      </c>
    </row>
    <row r="7230" spans="1:7" x14ac:dyDescent="0.2">
      <c r="A7230" t="s">
        <v>1</v>
      </c>
      <c r="B7230" t="str">
        <f>"18253559459"</f>
        <v>18253559459</v>
      </c>
      <c r="C7230" t="s">
        <v>1</v>
      </c>
      <c r="D7230" t="s">
        <v>1</v>
      </c>
      <c r="E7230" t="s">
        <v>1</v>
      </c>
      <c r="F7230" t="s">
        <v>0</v>
      </c>
      <c r="G7230" t="str">
        <f>"2018-10-16 13:40:00"</f>
        <v>2018-10-16 13:40:00</v>
      </c>
    </row>
    <row r="7231" spans="1:7" x14ac:dyDescent="0.2">
      <c r="A7231" t="s">
        <v>1</v>
      </c>
      <c r="B7231" t="str">
        <f>"13768324634"</f>
        <v>13768324634</v>
      </c>
      <c r="C7231" t="s">
        <v>1</v>
      </c>
      <c r="D7231" t="s">
        <v>1</v>
      </c>
      <c r="E7231" t="s">
        <v>1</v>
      </c>
      <c r="F7231" t="s">
        <v>0</v>
      </c>
      <c r="G7231" t="str">
        <f>"2018-10-16 13:39:32"</f>
        <v>2018-10-16 13:39:32</v>
      </c>
    </row>
    <row r="7232" spans="1:7" x14ac:dyDescent="0.2">
      <c r="A7232" t="s">
        <v>406</v>
      </c>
      <c r="B7232" t="str">
        <f>"15023245556"</f>
        <v>15023245556</v>
      </c>
      <c r="C7232" t="str">
        <f>"510202198112297057"</f>
        <v>510202198112297057</v>
      </c>
      <c r="D7232" t="s">
        <v>1</v>
      </c>
      <c r="E7232" t="s">
        <v>1</v>
      </c>
      <c r="F7232" t="s">
        <v>0</v>
      </c>
      <c r="G7232" t="str">
        <f>"2018-11-01 13:58:49"</f>
        <v>2018-11-01 13:58:49</v>
      </c>
    </row>
    <row r="7233" spans="1:7" x14ac:dyDescent="0.2">
      <c r="A7233" t="s">
        <v>1</v>
      </c>
      <c r="B7233" t="str">
        <f>"18982515771"</f>
        <v>18982515771</v>
      </c>
      <c r="C7233" t="s">
        <v>1</v>
      </c>
      <c r="D7233" t="s">
        <v>1</v>
      </c>
      <c r="E7233" t="s">
        <v>1</v>
      </c>
      <c r="F7233" t="s">
        <v>0</v>
      </c>
      <c r="G7233" t="str">
        <f>"2018-10-16 13:37:37"</f>
        <v>2018-10-16 13:37:37</v>
      </c>
    </row>
    <row r="7234" spans="1:7" x14ac:dyDescent="0.2">
      <c r="A7234" t="s">
        <v>1185</v>
      </c>
      <c r="B7234" t="str">
        <f>"15330012083"</f>
        <v>15330012083</v>
      </c>
      <c r="C7234" t="str">
        <f>"110224197811025826"</f>
        <v>110224197811025826</v>
      </c>
      <c r="D7234" t="s">
        <v>1</v>
      </c>
      <c r="E7234" t="s">
        <v>1</v>
      </c>
      <c r="F7234" t="s">
        <v>0</v>
      </c>
      <c r="G7234" t="str">
        <f>"2018-10-16 13:39:45"</f>
        <v>2018-10-16 13:39:45</v>
      </c>
    </row>
    <row r="7235" spans="1:7" x14ac:dyDescent="0.2">
      <c r="A7235" t="s">
        <v>8068</v>
      </c>
      <c r="B7235" t="str">
        <f>"13538381385"</f>
        <v>13538381385</v>
      </c>
      <c r="C7235" t="str">
        <f>"220882199001110210"</f>
        <v>220882199001110210</v>
      </c>
      <c r="D7235" t="s">
        <v>1</v>
      </c>
      <c r="E7235" t="s">
        <v>1</v>
      </c>
      <c r="F7235" t="s">
        <v>0</v>
      </c>
      <c r="G7235" t="str">
        <f>"2018-10-16 13:37:03"</f>
        <v>2018-10-16 13:37:03</v>
      </c>
    </row>
    <row r="7236" spans="1:7" x14ac:dyDescent="0.2">
      <c r="A7236" t="s">
        <v>8069</v>
      </c>
      <c r="B7236" t="str">
        <f>"13760529293"</f>
        <v>13760529293</v>
      </c>
      <c r="C7236" t="str">
        <f>"440781199007202780"</f>
        <v>440781199007202780</v>
      </c>
      <c r="D7236" t="s">
        <v>1</v>
      </c>
      <c r="E7236" t="s">
        <v>1</v>
      </c>
      <c r="F7236" t="s">
        <v>0</v>
      </c>
      <c r="G7236" t="str">
        <f>"2018-10-16 13:44:42"</f>
        <v>2018-10-16 13:44:42</v>
      </c>
    </row>
    <row r="7237" spans="1:7" x14ac:dyDescent="0.2">
      <c r="A7237" t="s">
        <v>1</v>
      </c>
      <c r="B7237" t="str">
        <f>"15283804842"</f>
        <v>15283804842</v>
      </c>
      <c r="C7237" t="s">
        <v>1</v>
      </c>
      <c r="D7237" t="s">
        <v>1</v>
      </c>
      <c r="E7237" t="s">
        <v>1</v>
      </c>
      <c r="F7237" t="s">
        <v>0</v>
      </c>
      <c r="G7237" t="str">
        <f>"2018-10-16 13:35:51"</f>
        <v>2018-10-16 13:35:51</v>
      </c>
    </row>
    <row r="7238" spans="1:7" x14ac:dyDescent="0.2">
      <c r="A7238" t="s">
        <v>8070</v>
      </c>
      <c r="B7238" t="str">
        <f>"13508887708"</f>
        <v>13508887708</v>
      </c>
      <c r="C7238" t="str">
        <f>"340822199509201413"</f>
        <v>340822199509201413</v>
      </c>
      <c r="D7238" t="s">
        <v>1</v>
      </c>
      <c r="E7238" t="s">
        <v>1</v>
      </c>
      <c r="F7238" t="s">
        <v>0</v>
      </c>
      <c r="G7238" t="str">
        <f>"2018-10-16 13:37:33"</f>
        <v>2018-10-16 13:37:33</v>
      </c>
    </row>
    <row r="7239" spans="1:7" x14ac:dyDescent="0.2">
      <c r="A7239" t="s">
        <v>1</v>
      </c>
      <c r="B7239" t="str">
        <f>"15940051545"</f>
        <v>15940051545</v>
      </c>
      <c r="C7239" t="s">
        <v>1</v>
      </c>
      <c r="D7239" t="s">
        <v>1</v>
      </c>
      <c r="E7239" t="s">
        <v>1</v>
      </c>
      <c r="F7239" t="s">
        <v>0</v>
      </c>
      <c r="G7239" t="str">
        <f>"2018-10-16 13:35:30"</f>
        <v>2018-10-16 13:35:30</v>
      </c>
    </row>
    <row r="7240" spans="1:7" x14ac:dyDescent="0.2">
      <c r="A7240" t="s">
        <v>1</v>
      </c>
      <c r="B7240" t="str">
        <f>"18103882311"</f>
        <v>18103882311</v>
      </c>
      <c r="C7240" t="s">
        <v>1</v>
      </c>
      <c r="D7240" t="s">
        <v>1</v>
      </c>
      <c r="E7240" t="s">
        <v>1</v>
      </c>
      <c r="F7240" t="s">
        <v>0</v>
      </c>
      <c r="G7240" t="str">
        <f>"2018-10-16 13:37:23"</f>
        <v>2018-10-16 13:37:23</v>
      </c>
    </row>
    <row r="7241" spans="1:7" x14ac:dyDescent="0.2">
      <c r="A7241" t="s">
        <v>8071</v>
      </c>
      <c r="B7241" t="str">
        <f>"18206970413"</f>
        <v>18206970413</v>
      </c>
      <c r="C7241" t="str">
        <f>"532928199501080929"</f>
        <v>532928199501080929</v>
      </c>
      <c r="D7241" t="s">
        <v>1</v>
      </c>
      <c r="E7241" t="s">
        <v>1</v>
      </c>
      <c r="F7241" t="s">
        <v>0</v>
      </c>
      <c r="G7241" t="str">
        <f>"2018-10-16 13:39:23"</f>
        <v>2018-10-16 13:39:23</v>
      </c>
    </row>
    <row r="7242" spans="1:7" x14ac:dyDescent="0.2">
      <c r="A7242" t="s">
        <v>1</v>
      </c>
      <c r="B7242" t="str">
        <f>"13945979046"</f>
        <v>13945979046</v>
      </c>
      <c r="C7242" t="s">
        <v>1</v>
      </c>
      <c r="D7242" t="s">
        <v>1</v>
      </c>
      <c r="E7242" t="s">
        <v>1</v>
      </c>
      <c r="F7242" t="s">
        <v>0</v>
      </c>
      <c r="G7242" t="str">
        <f>"2018-10-16 13:35:00"</f>
        <v>2018-10-16 13:35:00</v>
      </c>
    </row>
    <row r="7243" spans="1:7" x14ac:dyDescent="0.2">
      <c r="A7243" t="s">
        <v>374</v>
      </c>
      <c r="B7243" t="str">
        <f>"13863069606"</f>
        <v>13863069606</v>
      </c>
      <c r="C7243" t="str">
        <f>"371002198707230015"</f>
        <v>371002198707230015</v>
      </c>
      <c r="D7243" t="s">
        <v>1</v>
      </c>
      <c r="E7243" t="s">
        <v>1</v>
      </c>
      <c r="F7243" t="s">
        <v>0</v>
      </c>
      <c r="G7243" t="str">
        <f>"2018-10-16 13:34:50"</f>
        <v>2018-10-16 13:34:50</v>
      </c>
    </row>
    <row r="7244" spans="1:7" x14ac:dyDescent="0.2">
      <c r="A7244" t="s">
        <v>8072</v>
      </c>
      <c r="B7244" t="str">
        <f>"15168646438"</f>
        <v>15168646438</v>
      </c>
      <c r="C7244" t="str">
        <f>"500222199709146110"</f>
        <v>500222199709146110</v>
      </c>
      <c r="D7244" t="s">
        <v>1</v>
      </c>
      <c r="E7244" t="s">
        <v>1</v>
      </c>
      <c r="F7244" t="s">
        <v>0</v>
      </c>
      <c r="G7244" t="str">
        <f>"2018-10-28 14:00:12"</f>
        <v>2018-10-28 14:00:12</v>
      </c>
    </row>
    <row r="7245" spans="1:7" x14ac:dyDescent="0.2">
      <c r="A7245" t="s">
        <v>1</v>
      </c>
      <c r="B7245" t="str">
        <f>"18473802917"</f>
        <v>18473802917</v>
      </c>
      <c r="C7245" t="s">
        <v>1</v>
      </c>
      <c r="D7245" t="s">
        <v>1</v>
      </c>
      <c r="E7245" t="s">
        <v>1</v>
      </c>
      <c r="F7245" t="s">
        <v>0</v>
      </c>
      <c r="G7245" t="str">
        <f>"2018-10-16 13:34:27"</f>
        <v>2018-10-16 13:34:27</v>
      </c>
    </row>
    <row r="7246" spans="1:7" x14ac:dyDescent="0.2">
      <c r="A7246" t="s">
        <v>8073</v>
      </c>
      <c r="B7246" t="str">
        <f>"18284510568"</f>
        <v>18284510568</v>
      </c>
      <c r="C7246" t="str">
        <f>"510181198202094413"</f>
        <v>510181198202094413</v>
      </c>
      <c r="D7246" t="s">
        <v>1</v>
      </c>
      <c r="E7246" t="s">
        <v>1</v>
      </c>
      <c r="F7246" t="s">
        <v>0</v>
      </c>
      <c r="G7246" t="str">
        <f>"2018-10-16 13:52:32"</f>
        <v>2018-10-16 13:52:32</v>
      </c>
    </row>
    <row r="7247" spans="1:7" x14ac:dyDescent="0.2">
      <c r="A7247" t="s">
        <v>1443</v>
      </c>
      <c r="B7247" t="str">
        <f>"15368884404"</f>
        <v>15368884404</v>
      </c>
      <c r="C7247" t="str">
        <f>"533221198705091949"</f>
        <v>533221198705091949</v>
      </c>
      <c r="D7247" t="s">
        <v>1</v>
      </c>
      <c r="E7247" t="s">
        <v>1</v>
      </c>
      <c r="F7247" t="s">
        <v>0</v>
      </c>
      <c r="G7247" t="str">
        <f>"2018-10-16 21:24:20"</f>
        <v>2018-10-16 21:24:20</v>
      </c>
    </row>
    <row r="7248" spans="1:7" x14ac:dyDescent="0.2">
      <c r="A7248" t="s">
        <v>1</v>
      </c>
      <c r="B7248" t="str">
        <f>"18249643815"</f>
        <v>18249643815</v>
      </c>
      <c r="C7248" t="s">
        <v>1</v>
      </c>
      <c r="D7248" t="s">
        <v>1</v>
      </c>
      <c r="E7248" t="s">
        <v>1</v>
      </c>
      <c r="F7248" t="s">
        <v>0</v>
      </c>
      <c r="G7248" t="str">
        <f>"2018-10-16 13:33:48"</f>
        <v>2018-10-16 13:33:48</v>
      </c>
    </row>
    <row r="7249" spans="1:7" x14ac:dyDescent="0.2">
      <c r="A7249" t="s">
        <v>346</v>
      </c>
      <c r="B7249" t="str">
        <f>"17603213555"</f>
        <v>17603213555</v>
      </c>
      <c r="C7249" t="str">
        <f>"130523198905160015"</f>
        <v>130523198905160015</v>
      </c>
      <c r="D7249" t="s">
        <v>1</v>
      </c>
      <c r="E7249" t="s">
        <v>1</v>
      </c>
      <c r="F7249" t="s">
        <v>0</v>
      </c>
      <c r="G7249" t="str">
        <f>"2018-10-16 13:34:38"</f>
        <v>2018-10-16 13:34:38</v>
      </c>
    </row>
    <row r="7250" spans="1:7" x14ac:dyDescent="0.2">
      <c r="A7250" t="s">
        <v>8074</v>
      </c>
      <c r="B7250" t="str">
        <f>"15236331722"</f>
        <v>15236331722</v>
      </c>
      <c r="C7250" t="str">
        <f>"411522199611031513"</f>
        <v>411522199611031513</v>
      </c>
      <c r="D7250" t="s">
        <v>1</v>
      </c>
      <c r="E7250" t="s">
        <v>1</v>
      </c>
      <c r="F7250" t="s">
        <v>0</v>
      </c>
      <c r="G7250" t="str">
        <f>"2018-10-16 13:33:32"</f>
        <v>2018-10-16 13:33:32</v>
      </c>
    </row>
    <row r="7251" spans="1:7" x14ac:dyDescent="0.2">
      <c r="A7251" t="s">
        <v>8075</v>
      </c>
      <c r="B7251" t="str">
        <f>"18788109839"</f>
        <v>18788109839</v>
      </c>
      <c r="C7251" t="str">
        <f>"530127199604113517"</f>
        <v>530127199604113517</v>
      </c>
      <c r="D7251" t="s">
        <v>8076</v>
      </c>
      <c r="E7251" t="s">
        <v>8077</v>
      </c>
      <c r="F7251" t="s">
        <v>0</v>
      </c>
      <c r="G7251" t="str">
        <f>"2018-10-16 13:34:39"</f>
        <v>2018-10-16 13:34:39</v>
      </c>
    </row>
    <row r="7252" spans="1:7" x14ac:dyDescent="0.2">
      <c r="A7252" t="s">
        <v>1</v>
      </c>
      <c r="B7252" t="str">
        <f>"13487387620"</f>
        <v>13487387620</v>
      </c>
      <c r="C7252" t="s">
        <v>1</v>
      </c>
      <c r="D7252" t="s">
        <v>1</v>
      </c>
      <c r="E7252" t="s">
        <v>1</v>
      </c>
      <c r="F7252" t="s">
        <v>0</v>
      </c>
      <c r="G7252" t="str">
        <f>"2018-10-16 13:33:12"</f>
        <v>2018-10-16 13:33:12</v>
      </c>
    </row>
    <row r="7253" spans="1:7" x14ac:dyDescent="0.2">
      <c r="A7253" t="s">
        <v>1</v>
      </c>
      <c r="B7253" t="str">
        <f>"18968755151"</f>
        <v>18968755151</v>
      </c>
      <c r="C7253" t="s">
        <v>1</v>
      </c>
      <c r="D7253" t="s">
        <v>1</v>
      </c>
      <c r="E7253" t="s">
        <v>1</v>
      </c>
      <c r="F7253" t="s">
        <v>0</v>
      </c>
      <c r="G7253" t="str">
        <f>"2018-10-16 13:32:07"</f>
        <v>2018-10-16 13:32:07</v>
      </c>
    </row>
    <row r="7254" spans="1:7" x14ac:dyDescent="0.2">
      <c r="A7254" t="s">
        <v>3284</v>
      </c>
      <c r="B7254" t="str">
        <f>"13669310489"</f>
        <v>13669310489</v>
      </c>
      <c r="C7254" t="str">
        <f>"620102198902233912"</f>
        <v>620102198902233912</v>
      </c>
      <c r="D7254" t="s">
        <v>1</v>
      </c>
      <c r="E7254" t="s">
        <v>1</v>
      </c>
      <c r="F7254" t="s">
        <v>0</v>
      </c>
      <c r="G7254" t="str">
        <f>"2018-10-16 13:34:03"</f>
        <v>2018-10-16 13:34:03</v>
      </c>
    </row>
    <row r="7255" spans="1:7" x14ac:dyDescent="0.2">
      <c r="A7255" t="s">
        <v>1</v>
      </c>
      <c r="B7255" t="str">
        <f>"13776637911"</f>
        <v>13776637911</v>
      </c>
      <c r="C7255" t="s">
        <v>1</v>
      </c>
      <c r="D7255" t="s">
        <v>1</v>
      </c>
      <c r="E7255" t="s">
        <v>1</v>
      </c>
      <c r="F7255" t="s">
        <v>0</v>
      </c>
      <c r="G7255" t="str">
        <f>"2018-10-16 13:31:21"</f>
        <v>2018-10-16 13:31:21</v>
      </c>
    </row>
    <row r="7256" spans="1:7" x14ac:dyDescent="0.2">
      <c r="A7256" t="s">
        <v>8078</v>
      </c>
      <c r="B7256" t="str">
        <f>"18745711813"</f>
        <v>18745711813</v>
      </c>
      <c r="C7256" t="str">
        <f>"230108198811171010"</f>
        <v>230108198811171010</v>
      </c>
      <c r="D7256" t="s">
        <v>1</v>
      </c>
      <c r="E7256" t="s">
        <v>1</v>
      </c>
      <c r="F7256" t="s">
        <v>0</v>
      </c>
      <c r="G7256" t="str">
        <f>"2018-10-16 13:33:42"</f>
        <v>2018-10-16 13:33:42</v>
      </c>
    </row>
    <row r="7257" spans="1:7" x14ac:dyDescent="0.2">
      <c r="A7257" t="s">
        <v>8079</v>
      </c>
      <c r="B7257" t="str">
        <f>"18713081185"</f>
        <v>18713081185</v>
      </c>
      <c r="C7257" t="str">
        <f>"130927198505103043"</f>
        <v>130927198505103043</v>
      </c>
      <c r="D7257" t="s">
        <v>1</v>
      </c>
      <c r="E7257" t="s">
        <v>1</v>
      </c>
      <c r="F7257" t="s">
        <v>0</v>
      </c>
      <c r="G7257" t="str">
        <f>"2018-10-16 13:34:22"</f>
        <v>2018-10-16 13:34:22</v>
      </c>
    </row>
    <row r="7258" spans="1:7" x14ac:dyDescent="0.2">
      <c r="A7258" t="s">
        <v>8080</v>
      </c>
      <c r="B7258" t="str">
        <f>"13850335291"</f>
        <v>13850335291</v>
      </c>
      <c r="C7258" t="str">
        <f>"352228198901232518"</f>
        <v>352228198901232518</v>
      </c>
      <c r="D7258" t="s">
        <v>1</v>
      </c>
      <c r="E7258" t="s">
        <v>1</v>
      </c>
      <c r="F7258" t="s">
        <v>0</v>
      </c>
      <c r="G7258" t="str">
        <f>"2018-10-16 13:31:08"</f>
        <v>2018-10-16 13:31:08</v>
      </c>
    </row>
    <row r="7259" spans="1:7" x14ac:dyDescent="0.2">
      <c r="A7259" t="s">
        <v>1</v>
      </c>
      <c r="B7259" t="str">
        <f>"18396221231"</f>
        <v>18396221231</v>
      </c>
      <c r="C7259" t="s">
        <v>1</v>
      </c>
      <c r="D7259" t="s">
        <v>1</v>
      </c>
      <c r="E7259" t="s">
        <v>1</v>
      </c>
      <c r="F7259" t="s">
        <v>0</v>
      </c>
      <c r="G7259" t="str">
        <f>"2018-10-16 13:29:19"</f>
        <v>2018-10-16 13:29:19</v>
      </c>
    </row>
    <row r="7260" spans="1:7" x14ac:dyDescent="0.2">
      <c r="A7260" t="s">
        <v>6067</v>
      </c>
      <c r="B7260" t="str">
        <f>"15765564490"</f>
        <v>15765564490</v>
      </c>
      <c r="C7260" t="str">
        <f>"232103198902156262"</f>
        <v>232103198902156262</v>
      </c>
      <c r="D7260" t="s">
        <v>8081</v>
      </c>
      <c r="E7260" t="s">
        <v>8082</v>
      </c>
      <c r="F7260" t="s">
        <v>0</v>
      </c>
      <c r="G7260" t="str">
        <f>"2018-10-16 13:31:37"</f>
        <v>2018-10-16 13:31:37</v>
      </c>
    </row>
    <row r="7261" spans="1:7" x14ac:dyDescent="0.2">
      <c r="A7261" t="s">
        <v>1</v>
      </c>
      <c r="B7261" t="str">
        <f>"15268562427"</f>
        <v>15268562427</v>
      </c>
      <c r="C7261" t="s">
        <v>1</v>
      </c>
      <c r="D7261" t="s">
        <v>1</v>
      </c>
      <c r="E7261" t="s">
        <v>1</v>
      </c>
      <c r="F7261" t="s">
        <v>0</v>
      </c>
      <c r="G7261" t="str">
        <f>"2018-10-17 08:18:13"</f>
        <v>2018-10-17 08:18:13</v>
      </c>
    </row>
    <row r="7262" spans="1:7" x14ac:dyDescent="0.2">
      <c r="A7262" t="s">
        <v>8083</v>
      </c>
      <c r="B7262" t="str">
        <f>"17605248950"</f>
        <v>17605248950</v>
      </c>
      <c r="C7262" t="str">
        <f>"320724199401190912"</f>
        <v>320724199401190912</v>
      </c>
      <c r="D7262" t="s">
        <v>1</v>
      </c>
      <c r="E7262" t="s">
        <v>1</v>
      </c>
      <c r="F7262" t="s">
        <v>0</v>
      </c>
      <c r="G7262" t="str">
        <f>"2018-10-16 13:27:18"</f>
        <v>2018-10-16 13:27:18</v>
      </c>
    </row>
    <row r="7263" spans="1:7" x14ac:dyDescent="0.2">
      <c r="A7263" t="s">
        <v>1</v>
      </c>
      <c r="B7263" t="str">
        <f>"18299785358"</f>
        <v>18299785358</v>
      </c>
      <c r="C7263" t="s">
        <v>1</v>
      </c>
      <c r="D7263" t="s">
        <v>1</v>
      </c>
      <c r="E7263" t="s">
        <v>1</v>
      </c>
      <c r="F7263" t="s">
        <v>0</v>
      </c>
      <c r="G7263" t="str">
        <f>"2018-10-16 13:25:46"</f>
        <v>2018-10-16 13:25:46</v>
      </c>
    </row>
    <row r="7264" spans="1:7" x14ac:dyDescent="0.2">
      <c r="A7264" t="s">
        <v>8084</v>
      </c>
      <c r="B7264" t="str">
        <f>"13307265425"</f>
        <v>13307265425</v>
      </c>
      <c r="C7264" t="str">
        <f>"422822198411181036"</f>
        <v>422822198411181036</v>
      </c>
      <c r="D7264" t="s">
        <v>1</v>
      </c>
      <c r="E7264" t="s">
        <v>1</v>
      </c>
      <c r="F7264" t="s">
        <v>0</v>
      </c>
      <c r="G7264" t="str">
        <f>"2018-10-18 20:28:15"</f>
        <v>2018-10-18 20:28:15</v>
      </c>
    </row>
    <row r="7265" spans="1:7" x14ac:dyDescent="0.2">
      <c r="A7265" t="s">
        <v>1</v>
      </c>
      <c r="B7265" t="str">
        <f>"15064429644"</f>
        <v>15064429644</v>
      </c>
      <c r="C7265" t="s">
        <v>1</v>
      </c>
      <c r="D7265" t="s">
        <v>1</v>
      </c>
      <c r="E7265" t="s">
        <v>1</v>
      </c>
      <c r="F7265" t="s">
        <v>0</v>
      </c>
      <c r="G7265" t="str">
        <f>"2018-10-16 13:23:34"</f>
        <v>2018-10-16 13:23:34</v>
      </c>
    </row>
    <row r="7266" spans="1:7" x14ac:dyDescent="0.2">
      <c r="A7266" t="s">
        <v>8085</v>
      </c>
      <c r="B7266" t="str">
        <f>"18300484500"</f>
        <v>18300484500</v>
      </c>
      <c r="C7266" t="str">
        <f>"371324199110179826"</f>
        <v>371324199110179826</v>
      </c>
      <c r="D7266" t="s">
        <v>1</v>
      </c>
      <c r="E7266" t="s">
        <v>1</v>
      </c>
      <c r="F7266" t="s">
        <v>0</v>
      </c>
      <c r="G7266" t="str">
        <f>"2018-10-16 13:37:02"</f>
        <v>2018-10-16 13:37:02</v>
      </c>
    </row>
    <row r="7267" spans="1:7" x14ac:dyDescent="0.2">
      <c r="A7267" t="s">
        <v>8086</v>
      </c>
      <c r="B7267" t="str">
        <f>"18042563998"</f>
        <v>18042563998</v>
      </c>
      <c r="C7267" t="str">
        <f>"512921197511037433"</f>
        <v>512921197511037433</v>
      </c>
      <c r="D7267" t="s">
        <v>1</v>
      </c>
      <c r="E7267" t="s">
        <v>1</v>
      </c>
      <c r="F7267" t="s">
        <v>0</v>
      </c>
      <c r="G7267" t="str">
        <f>"2018-10-16 13:24:13"</f>
        <v>2018-10-16 13:24:13</v>
      </c>
    </row>
    <row r="7268" spans="1:7" x14ac:dyDescent="0.2">
      <c r="A7268" t="s">
        <v>8087</v>
      </c>
      <c r="B7268" t="str">
        <f>"18290406079"</f>
        <v>18290406079</v>
      </c>
      <c r="C7268" t="str">
        <f>"500113198404062411"</f>
        <v>500113198404062411</v>
      </c>
      <c r="D7268" t="s">
        <v>1</v>
      </c>
      <c r="E7268" t="s">
        <v>1</v>
      </c>
      <c r="F7268" t="s">
        <v>0</v>
      </c>
      <c r="G7268" t="str">
        <f>"2018-11-03 17:26:11"</f>
        <v>2018-11-03 17:26:11</v>
      </c>
    </row>
    <row r="7269" spans="1:7" x14ac:dyDescent="0.2">
      <c r="A7269" t="s">
        <v>1</v>
      </c>
      <c r="B7269" t="str">
        <f>"18360134995"</f>
        <v>18360134995</v>
      </c>
      <c r="C7269" t="s">
        <v>1</v>
      </c>
      <c r="D7269" t="s">
        <v>1</v>
      </c>
      <c r="E7269" t="s">
        <v>1</v>
      </c>
      <c r="F7269" t="s">
        <v>0</v>
      </c>
      <c r="G7269" t="str">
        <f>"2018-10-16 13:22:05"</f>
        <v>2018-10-16 13:22:05</v>
      </c>
    </row>
    <row r="7270" spans="1:7" x14ac:dyDescent="0.2">
      <c r="A7270" t="s">
        <v>8088</v>
      </c>
      <c r="B7270" t="str">
        <f>"13826879734"</f>
        <v>13826879734</v>
      </c>
      <c r="C7270" t="str">
        <f>"445302199710173018"</f>
        <v>445302199710173018</v>
      </c>
      <c r="D7270" t="s">
        <v>1</v>
      </c>
      <c r="E7270" t="s">
        <v>1</v>
      </c>
      <c r="F7270" t="s">
        <v>0</v>
      </c>
      <c r="G7270" t="str">
        <f>"2018-10-16 13:22:48"</f>
        <v>2018-10-16 13:22:48</v>
      </c>
    </row>
    <row r="7271" spans="1:7" x14ac:dyDescent="0.2">
      <c r="A7271" t="s">
        <v>775</v>
      </c>
      <c r="B7271" t="str">
        <f>"15532918396"</f>
        <v>15532918396</v>
      </c>
      <c r="C7271" t="str">
        <f>"130532199008241510"</f>
        <v>130532199008241510</v>
      </c>
      <c r="D7271" t="s">
        <v>1</v>
      </c>
      <c r="E7271" t="s">
        <v>1</v>
      </c>
      <c r="F7271" t="s">
        <v>0</v>
      </c>
      <c r="G7271" t="str">
        <f>"2018-10-16 13:24:13"</f>
        <v>2018-10-16 13:24:13</v>
      </c>
    </row>
    <row r="7272" spans="1:7" x14ac:dyDescent="0.2">
      <c r="A7272" t="s">
        <v>8089</v>
      </c>
      <c r="B7272" t="str">
        <f>"13779988318"</f>
        <v>13779988318</v>
      </c>
      <c r="C7272" t="str">
        <f>"350212198212194517"</f>
        <v>350212198212194517</v>
      </c>
      <c r="D7272" t="s">
        <v>1</v>
      </c>
      <c r="E7272" t="s">
        <v>1</v>
      </c>
      <c r="F7272" t="s">
        <v>0</v>
      </c>
      <c r="G7272" t="str">
        <f>"2018-10-16 13:24:00"</f>
        <v>2018-10-16 13:24:00</v>
      </c>
    </row>
    <row r="7273" spans="1:7" x14ac:dyDescent="0.2">
      <c r="A7273" t="s">
        <v>19</v>
      </c>
      <c r="B7273" t="str">
        <f>"13732527057"</f>
        <v>13732527057</v>
      </c>
      <c r="C7273" t="str">
        <f>"510781198905204773"</f>
        <v>510781198905204773</v>
      </c>
      <c r="D7273" t="s">
        <v>1</v>
      </c>
      <c r="E7273" t="s">
        <v>1</v>
      </c>
      <c r="F7273" t="s">
        <v>0</v>
      </c>
      <c r="G7273" t="str">
        <f>"2018-10-16 13:26:23"</f>
        <v>2018-10-16 13:26:23</v>
      </c>
    </row>
    <row r="7274" spans="1:7" x14ac:dyDescent="0.2">
      <c r="A7274" t="s">
        <v>8090</v>
      </c>
      <c r="B7274" t="str">
        <f>"18872466556"</f>
        <v>18872466556</v>
      </c>
      <c r="C7274" t="str">
        <f>"42062419870410582X"</f>
        <v>42062419870410582X</v>
      </c>
      <c r="D7274" t="s">
        <v>1</v>
      </c>
      <c r="E7274" t="s">
        <v>1</v>
      </c>
      <c r="F7274" t="s">
        <v>0</v>
      </c>
      <c r="G7274" t="str">
        <f>"2018-10-16 13:22:06"</f>
        <v>2018-10-16 13:22:06</v>
      </c>
    </row>
    <row r="7275" spans="1:7" x14ac:dyDescent="0.2">
      <c r="A7275" t="s">
        <v>8091</v>
      </c>
      <c r="B7275" t="str">
        <f>"18813517086"</f>
        <v>18813517086</v>
      </c>
      <c r="C7275" t="str">
        <f>"362204198601191014"</f>
        <v>362204198601191014</v>
      </c>
      <c r="D7275" t="s">
        <v>1</v>
      </c>
      <c r="E7275" t="s">
        <v>1</v>
      </c>
      <c r="F7275" t="s">
        <v>0</v>
      </c>
      <c r="G7275" t="str">
        <f>"2018-10-16 13:48:08"</f>
        <v>2018-10-16 13:48:08</v>
      </c>
    </row>
    <row r="7276" spans="1:7" x14ac:dyDescent="0.2">
      <c r="A7276" t="s">
        <v>8092</v>
      </c>
      <c r="B7276" t="str">
        <f>"13279504034"</f>
        <v>13279504034</v>
      </c>
      <c r="C7276" t="str">
        <f>"610425199401180289"</f>
        <v>610425199401180289</v>
      </c>
      <c r="D7276" t="s">
        <v>8093</v>
      </c>
      <c r="E7276" t="s">
        <v>8094</v>
      </c>
      <c r="F7276" t="s">
        <v>0</v>
      </c>
      <c r="G7276" t="str">
        <f>"2018-10-16 13:21:45"</f>
        <v>2018-10-16 13:21:45</v>
      </c>
    </row>
    <row r="7277" spans="1:7" x14ac:dyDescent="0.2">
      <c r="A7277" t="s">
        <v>1</v>
      </c>
      <c r="B7277" t="str">
        <f>"15369599893"</f>
        <v>15369599893</v>
      </c>
      <c r="C7277" t="s">
        <v>1</v>
      </c>
      <c r="D7277" t="s">
        <v>1</v>
      </c>
      <c r="E7277" t="s">
        <v>1</v>
      </c>
      <c r="F7277" t="s">
        <v>0</v>
      </c>
      <c r="G7277" t="str">
        <f>"2018-10-16 13:19:14"</f>
        <v>2018-10-16 13:19:14</v>
      </c>
    </row>
    <row r="7278" spans="1:7" x14ac:dyDescent="0.2">
      <c r="A7278" t="s">
        <v>8095</v>
      </c>
      <c r="B7278" t="str">
        <f>"13830454186"</f>
        <v>13830454186</v>
      </c>
      <c r="C7278" t="str">
        <f>"62282219920502391X"</f>
        <v>62282219920502391X</v>
      </c>
      <c r="D7278" t="s">
        <v>8096</v>
      </c>
      <c r="E7278" t="s">
        <v>8097</v>
      </c>
      <c r="F7278" t="s">
        <v>0</v>
      </c>
      <c r="G7278" t="str">
        <f>"2018-10-16 13:17:54"</f>
        <v>2018-10-16 13:17:54</v>
      </c>
    </row>
    <row r="7279" spans="1:7" x14ac:dyDescent="0.2">
      <c r="A7279" t="s">
        <v>8098</v>
      </c>
      <c r="B7279" t="str">
        <f>"18629302539"</f>
        <v>18629302539</v>
      </c>
      <c r="C7279" t="str">
        <f>"140822199110260019"</f>
        <v>140822199110260019</v>
      </c>
      <c r="D7279" t="s">
        <v>1</v>
      </c>
      <c r="E7279" t="s">
        <v>1</v>
      </c>
      <c r="F7279" t="s">
        <v>0</v>
      </c>
      <c r="G7279" t="str">
        <f>"2018-10-16 13:26:37"</f>
        <v>2018-10-16 13:26:37</v>
      </c>
    </row>
    <row r="7280" spans="1:7" x14ac:dyDescent="0.2">
      <c r="A7280" t="s">
        <v>8099</v>
      </c>
      <c r="B7280" t="str">
        <f>"13363485757"</f>
        <v>13363485757</v>
      </c>
      <c r="C7280" t="str">
        <f>"142701198702140010"</f>
        <v>142701198702140010</v>
      </c>
      <c r="D7280" t="s">
        <v>1</v>
      </c>
      <c r="E7280" t="s">
        <v>1</v>
      </c>
      <c r="F7280" t="s">
        <v>0</v>
      </c>
      <c r="G7280" t="str">
        <f>"2018-11-04 22:21:44"</f>
        <v>2018-11-04 22:21:44</v>
      </c>
    </row>
    <row r="7281" spans="1:7" x14ac:dyDescent="0.2">
      <c r="A7281" t="s">
        <v>8100</v>
      </c>
      <c r="B7281" t="str">
        <f>"18233015365"</f>
        <v>18233015365</v>
      </c>
      <c r="C7281" t="str">
        <f>"130527199602152042"</f>
        <v>130527199602152042</v>
      </c>
      <c r="D7281" t="s">
        <v>1</v>
      </c>
      <c r="E7281" t="s">
        <v>1</v>
      </c>
      <c r="F7281" t="s">
        <v>0</v>
      </c>
      <c r="G7281" t="str">
        <f>"2018-10-16 13:37:09"</f>
        <v>2018-10-16 13:37:09</v>
      </c>
    </row>
    <row r="7282" spans="1:7" x14ac:dyDescent="0.2">
      <c r="A7282" t="s">
        <v>8101</v>
      </c>
      <c r="B7282" t="str">
        <f>"15037887956"</f>
        <v>15037887956</v>
      </c>
      <c r="C7282" t="str">
        <f>"41022319820903653X"</f>
        <v>41022319820903653X</v>
      </c>
      <c r="D7282" t="s">
        <v>1</v>
      </c>
      <c r="E7282" t="s">
        <v>1</v>
      </c>
      <c r="F7282" t="s">
        <v>0</v>
      </c>
      <c r="G7282" t="str">
        <f>"2018-10-16 13:20:08"</f>
        <v>2018-10-16 13:20:08</v>
      </c>
    </row>
    <row r="7283" spans="1:7" x14ac:dyDescent="0.2">
      <c r="A7283" t="s">
        <v>1</v>
      </c>
      <c r="B7283" t="str">
        <f>"13922481479"</f>
        <v>13922481479</v>
      </c>
      <c r="C7283" t="s">
        <v>1</v>
      </c>
      <c r="D7283" t="s">
        <v>1</v>
      </c>
      <c r="E7283" t="s">
        <v>1</v>
      </c>
      <c r="F7283" t="s">
        <v>0</v>
      </c>
      <c r="G7283" t="str">
        <f>"2018-10-16 13:25:09"</f>
        <v>2018-10-16 13:25:09</v>
      </c>
    </row>
    <row r="7284" spans="1:7" x14ac:dyDescent="0.2">
      <c r="A7284" t="s">
        <v>1</v>
      </c>
      <c r="B7284" t="str">
        <f>"18159833516"</f>
        <v>18159833516</v>
      </c>
      <c r="C7284" t="s">
        <v>1</v>
      </c>
      <c r="D7284" t="s">
        <v>1</v>
      </c>
      <c r="E7284" t="s">
        <v>1</v>
      </c>
      <c r="F7284" t="s">
        <v>0</v>
      </c>
      <c r="G7284" t="str">
        <f>"2018-10-16 13:16:42"</f>
        <v>2018-10-16 13:16:42</v>
      </c>
    </row>
    <row r="7285" spans="1:7" x14ac:dyDescent="0.2">
      <c r="A7285" t="s">
        <v>8102</v>
      </c>
      <c r="B7285" t="str">
        <f>"13554493877"</f>
        <v>13554493877</v>
      </c>
      <c r="C7285" t="str">
        <f>"42010219920924002X"</f>
        <v>42010219920924002X</v>
      </c>
      <c r="D7285" t="s">
        <v>8103</v>
      </c>
      <c r="E7285" t="s">
        <v>8104</v>
      </c>
      <c r="F7285" t="s">
        <v>0</v>
      </c>
      <c r="G7285" t="str">
        <f>"2018-10-16 13:27:40"</f>
        <v>2018-10-16 13:27:40</v>
      </c>
    </row>
    <row r="7286" spans="1:7" x14ac:dyDescent="0.2">
      <c r="A7286" t="s">
        <v>1</v>
      </c>
      <c r="B7286" t="str">
        <f>"18859522896"</f>
        <v>18859522896</v>
      </c>
      <c r="C7286" t="s">
        <v>1</v>
      </c>
      <c r="D7286" t="s">
        <v>1</v>
      </c>
      <c r="E7286" t="s">
        <v>1</v>
      </c>
      <c r="F7286" t="s">
        <v>0</v>
      </c>
      <c r="G7286" t="str">
        <f>"2018-10-16 13:16:04"</f>
        <v>2018-10-16 13:16:04</v>
      </c>
    </row>
    <row r="7287" spans="1:7" x14ac:dyDescent="0.2">
      <c r="A7287" t="s">
        <v>425</v>
      </c>
      <c r="B7287" t="str">
        <f>"18363261618"</f>
        <v>18363261618</v>
      </c>
      <c r="C7287" t="str">
        <f>"370402199002096915"</f>
        <v>370402199002096915</v>
      </c>
      <c r="D7287" t="s">
        <v>1</v>
      </c>
      <c r="E7287" t="s">
        <v>1</v>
      </c>
      <c r="F7287" t="s">
        <v>0</v>
      </c>
      <c r="G7287" t="str">
        <f>"2018-10-23 10:03:27"</f>
        <v>2018-10-23 10:03:27</v>
      </c>
    </row>
    <row r="7288" spans="1:7" x14ac:dyDescent="0.2">
      <c r="A7288" t="s">
        <v>1115</v>
      </c>
      <c r="B7288" t="str">
        <f>"15834002676"</f>
        <v>15834002676</v>
      </c>
      <c r="C7288" t="str">
        <f>"140181198904131427"</f>
        <v>140181198904131427</v>
      </c>
      <c r="D7288" t="s">
        <v>1</v>
      </c>
      <c r="E7288" t="s">
        <v>1</v>
      </c>
      <c r="F7288" t="s">
        <v>0</v>
      </c>
      <c r="G7288" t="str">
        <f>"2018-10-16 13:16:17"</f>
        <v>2018-10-16 13:16:17</v>
      </c>
    </row>
    <row r="7289" spans="1:7" x14ac:dyDescent="0.2">
      <c r="A7289" t="s">
        <v>1</v>
      </c>
      <c r="B7289" t="str">
        <f>"13759415407"</f>
        <v>13759415407</v>
      </c>
      <c r="C7289" t="s">
        <v>1</v>
      </c>
      <c r="D7289" t="s">
        <v>1</v>
      </c>
      <c r="E7289" t="s">
        <v>1</v>
      </c>
      <c r="F7289" t="s">
        <v>0</v>
      </c>
      <c r="G7289" t="str">
        <f>"2018-10-26 13:45:35"</f>
        <v>2018-10-26 13:45:35</v>
      </c>
    </row>
    <row r="7290" spans="1:7" x14ac:dyDescent="0.2">
      <c r="A7290" t="s">
        <v>8105</v>
      </c>
      <c r="B7290" t="str">
        <f>"13855930525"</f>
        <v>13855930525</v>
      </c>
      <c r="C7290" t="str">
        <f>"342922199407010277"</f>
        <v>342922199407010277</v>
      </c>
      <c r="D7290" t="s">
        <v>1</v>
      </c>
      <c r="E7290" t="s">
        <v>1</v>
      </c>
      <c r="F7290" t="s">
        <v>0</v>
      </c>
      <c r="G7290" t="str">
        <f>"2018-10-16 13:15:25"</f>
        <v>2018-10-16 13:15:25</v>
      </c>
    </row>
    <row r="7291" spans="1:7" x14ac:dyDescent="0.2">
      <c r="A7291" t="s">
        <v>8106</v>
      </c>
      <c r="B7291" t="str">
        <f>"13232545213"</f>
        <v>13232545213</v>
      </c>
      <c r="C7291" t="str">
        <f>"440785199705044914"</f>
        <v>440785199705044914</v>
      </c>
      <c r="D7291" t="s">
        <v>1</v>
      </c>
      <c r="E7291" t="s">
        <v>1</v>
      </c>
      <c r="F7291" t="s">
        <v>0</v>
      </c>
      <c r="G7291" t="str">
        <f>"2018-10-16 13:16:52"</f>
        <v>2018-10-16 13:16:52</v>
      </c>
    </row>
    <row r="7292" spans="1:7" x14ac:dyDescent="0.2">
      <c r="A7292" t="s">
        <v>8107</v>
      </c>
      <c r="B7292" t="str">
        <f>"13391085891"</f>
        <v>13391085891</v>
      </c>
      <c r="C7292" t="str">
        <f>"310225198301055441"</f>
        <v>310225198301055441</v>
      </c>
      <c r="D7292" t="s">
        <v>1</v>
      </c>
      <c r="E7292" t="s">
        <v>1</v>
      </c>
      <c r="F7292" t="s">
        <v>0</v>
      </c>
      <c r="G7292" t="str">
        <f>"2018-10-27 03:25:34"</f>
        <v>2018-10-27 03:25:34</v>
      </c>
    </row>
    <row r="7293" spans="1:7" x14ac:dyDescent="0.2">
      <c r="A7293" t="s">
        <v>8108</v>
      </c>
      <c r="B7293" t="str">
        <f>"13541316873"</f>
        <v>13541316873</v>
      </c>
      <c r="C7293" t="str">
        <f>"50038219940804645X"</f>
        <v>50038219940804645X</v>
      </c>
      <c r="D7293" t="s">
        <v>1</v>
      </c>
      <c r="E7293" t="s">
        <v>1</v>
      </c>
      <c r="F7293" t="s">
        <v>0</v>
      </c>
      <c r="G7293" t="str">
        <f>"2018-10-16 13:15:39"</f>
        <v>2018-10-16 13:15:39</v>
      </c>
    </row>
    <row r="7294" spans="1:7" x14ac:dyDescent="0.2">
      <c r="A7294" t="s">
        <v>8109</v>
      </c>
      <c r="B7294" t="str">
        <f>"18362210717"</f>
        <v>18362210717</v>
      </c>
      <c r="C7294" t="str">
        <f>"372925199607255935"</f>
        <v>372925199607255935</v>
      </c>
      <c r="D7294" t="s">
        <v>1</v>
      </c>
      <c r="E7294" t="s">
        <v>1</v>
      </c>
      <c r="F7294" t="s">
        <v>0</v>
      </c>
      <c r="G7294" t="str">
        <f>"2018-10-16 13:15:38"</f>
        <v>2018-10-16 13:15:38</v>
      </c>
    </row>
    <row r="7295" spans="1:7" x14ac:dyDescent="0.2">
      <c r="A7295" t="s">
        <v>1</v>
      </c>
      <c r="B7295" t="str">
        <f>"18807833776"</f>
        <v>18807833776</v>
      </c>
      <c r="C7295" t="s">
        <v>1</v>
      </c>
      <c r="D7295" t="s">
        <v>1</v>
      </c>
      <c r="E7295" t="s">
        <v>1</v>
      </c>
      <c r="F7295" t="s">
        <v>0</v>
      </c>
      <c r="G7295" t="str">
        <f>"2018-10-16 13:13:30"</f>
        <v>2018-10-16 13:13:30</v>
      </c>
    </row>
    <row r="7296" spans="1:7" x14ac:dyDescent="0.2">
      <c r="A7296" t="s">
        <v>8110</v>
      </c>
      <c r="B7296" t="str">
        <f>"18328816311"</f>
        <v>18328816311</v>
      </c>
      <c r="C7296" t="str">
        <f>"500239199403203191"</f>
        <v>500239199403203191</v>
      </c>
      <c r="D7296" t="s">
        <v>1</v>
      </c>
      <c r="E7296" t="s">
        <v>1</v>
      </c>
      <c r="F7296" t="s">
        <v>0</v>
      </c>
      <c r="G7296" t="str">
        <f>"2018-10-16 13:16:31"</f>
        <v>2018-10-16 13:16:31</v>
      </c>
    </row>
    <row r="7297" spans="1:7" x14ac:dyDescent="0.2">
      <c r="A7297" t="s">
        <v>8111</v>
      </c>
      <c r="B7297" t="str">
        <f>"15683251208"</f>
        <v>15683251208</v>
      </c>
      <c r="C7297" t="str">
        <f>"500226199403132774"</f>
        <v>500226199403132774</v>
      </c>
      <c r="D7297" t="s">
        <v>1</v>
      </c>
      <c r="E7297" t="s">
        <v>1</v>
      </c>
      <c r="F7297" t="s">
        <v>0</v>
      </c>
      <c r="G7297" t="str">
        <f>"2018-10-16 13:14:20"</f>
        <v>2018-10-16 13:14:20</v>
      </c>
    </row>
    <row r="7298" spans="1:7" x14ac:dyDescent="0.2">
      <c r="A7298" t="s">
        <v>1773</v>
      </c>
      <c r="B7298" t="str">
        <f>"13570493761"</f>
        <v>13570493761</v>
      </c>
      <c r="C7298" t="str">
        <f>"440582199105140443"</f>
        <v>440582199105140443</v>
      </c>
      <c r="D7298" t="s">
        <v>1</v>
      </c>
      <c r="E7298" t="s">
        <v>1</v>
      </c>
      <c r="F7298" t="s">
        <v>0</v>
      </c>
      <c r="G7298" t="str">
        <f>"2018-10-16 13:14:57"</f>
        <v>2018-10-16 13:14:57</v>
      </c>
    </row>
    <row r="7299" spans="1:7" x14ac:dyDescent="0.2">
      <c r="A7299" t="s">
        <v>1</v>
      </c>
      <c r="B7299" t="str">
        <f>"18039057099"</f>
        <v>18039057099</v>
      </c>
      <c r="C7299" t="s">
        <v>1</v>
      </c>
      <c r="D7299" t="s">
        <v>1</v>
      </c>
      <c r="E7299" t="s">
        <v>1</v>
      </c>
      <c r="F7299" t="s">
        <v>0</v>
      </c>
      <c r="G7299" t="str">
        <f>"2018-10-16 13:14:08"</f>
        <v>2018-10-16 13:14:08</v>
      </c>
    </row>
    <row r="7300" spans="1:7" x14ac:dyDescent="0.2">
      <c r="A7300" t="s">
        <v>8112</v>
      </c>
      <c r="B7300" t="str">
        <f>"17777072584"</f>
        <v>17777072584</v>
      </c>
      <c r="C7300" t="str">
        <f>"450122199509135011"</f>
        <v>450122199509135011</v>
      </c>
      <c r="D7300" t="s">
        <v>1</v>
      </c>
      <c r="E7300" t="s">
        <v>1</v>
      </c>
      <c r="F7300" t="s">
        <v>0</v>
      </c>
      <c r="G7300" t="str">
        <f>"2018-10-16 14:01:56"</f>
        <v>2018-10-16 14:01:56</v>
      </c>
    </row>
    <row r="7301" spans="1:7" x14ac:dyDescent="0.2">
      <c r="A7301" t="s">
        <v>1</v>
      </c>
      <c r="B7301" t="str">
        <f>"18783994455"</f>
        <v>18783994455</v>
      </c>
      <c r="C7301" t="s">
        <v>1</v>
      </c>
      <c r="D7301" t="s">
        <v>1</v>
      </c>
      <c r="E7301" t="s">
        <v>1</v>
      </c>
      <c r="F7301" t="s">
        <v>0</v>
      </c>
      <c r="G7301" t="str">
        <f>"2018-10-16 13:12:15"</f>
        <v>2018-10-16 13:12:15</v>
      </c>
    </row>
    <row r="7302" spans="1:7" x14ac:dyDescent="0.2">
      <c r="A7302" t="s">
        <v>6997</v>
      </c>
      <c r="B7302" t="str">
        <f>"18206823851"</f>
        <v>18206823851</v>
      </c>
      <c r="C7302" t="str">
        <f>"532730199411282114"</f>
        <v>532730199411282114</v>
      </c>
      <c r="D7302" t="s">
        <v>1</v>
      </c>
      <c r="E7302" t="s">
        <v>1</v>
      </c>
      <c r="F7302" t="s">
        <v>0</v>
      </c>
      <c r="G7302" t="str">
        <f>"2018-10-24 13:58:32"</f>
        <v>2018-10-24 13:58:32</v>
      </c>
    </row>
    <row r="7303" spans="1:7" x14ac:dyDescent="0.2">
      <c r="A7303" t="s">
        <v>8113</v>
      </c>
      <c r="B7303" t="str">
        <f>"13025996812"</f>
        <v>13025996812</v>
      </c>
      <c r="C7303" t="str">
        <f>"142625199709041250"</f>
        <v>142625199709041250</v>
      </c>
      <c r="D7303" t="s">
        <v>1</v>
      </c>
      <c r="E7303" t="s">
        <v>1</v>
      </c>
      <c r="F7303" t="s">
        <v>0</v>
      </c>
      <c r="G7303" t="str">
        <f>"2018-10-16 13:34:48"</f>
        <v>2018-10-16 13:34:48</v>
      </c>
    </row>
    <row r="7304" spans="1:7" x14ac:dyDescent="0.2">
      <c r="A7304" t="s">
        <v>8114</v>
      </c>
      <c r="B7304" t="str">
        <f>"18543068678"</f>
        <v>18543068678</v>
      </c>
      <c r="C7304" t="str">
        <f>"220722198806103214"</f>
        <v>220722198806103214</v>
      </c>
      <c r="D7304" t="s">
        <v>1</v>
      </c>
      <c r="E7304" t="s">
        <v>1</v>
      </c>
      <c r="F7304" t="s">
        <v>0</v>
      </c>
      <c r="G7304" t="str">
        <f>"2018-10-16 13:16:35"</f>
        <v>2018-10-16 13:16:35</v>
      </c>
    </row>
    <row r="7305" spans="1:7" x14ac:dyDescent="0.2">
      <c r="A7305" t="s">
        <v>8115</v>
      </c>
      <c r="B7305" t="str">
        <f>"18329703553"</f>
        <v>18329703553</v>
      </c>
      <c r="C7305" t="str">
        <f>"610481199702275012"</f>
        <v>610481199702275012</v>
      </c>
      <c r="D7305" t="s">
        <v>1</v>
      </c>
      <c r="E7305" t="s">
        <v>1</v>
      </c>
      <c r="F7305" t="s">
        <v>0</v>
      </c>
      <c r="G7305" t="str">
        <f>"2018-10-16 13:26:07"</f>
        <v>2018-10-16 13:26:07</v>
      </c>
    </row>
    <row r="7306" spans="1:7" x14ac:dyDescent="0.2">
      <c r="A7306" t="s">
        <v>8116</v>
      </c>
      <c r="B7306" t="str">
        <f>"18301849668"</f>
        <v>18301849668</v>
      </c>
      <c r="C7306" t="str">
        <f>"320923199411036630"</f>
        <v>320923199411036630</v>
      </c>
      <c r="D7306" t="s">
        <v>8117</v>
      </c>
      <c r="E7306" t="s">
        <v>8118</v>
      </c>
      <c r="F7306" t="s">
        <v>0</v>
      </c>
      <c r="G7306" t="str">
        <f>"2018-10-16 13:17:59"</f>
        <v>2018-10-16 13:17:59</v>
      </c>
    </row>
    <row r="7307" spans="1:7" x14ac:dyDescent="0.2">
      <c r="A7307" t="s">
        <v>1250</v>
      </c>
      <c r="B7307" t="str">
        <f>"15209498835"</f>
        <v>15209498835</v>
      </c>
      <c r="C7307" t="str">
        <f>"620522199311230738"</f>
        <v>620522199311230738</v>
      </c>
      <c r="D7307" t="s">
        <v>1</v>
      </c>
      <c r="E7307" t="s">
        <v>1</v>
      </c>
      <c r="F7307" t="s">
        <v>0</v>
      </c>
      <c r="G7307" t="str">
        <f>"2018-10-16 13:14:44"</f>
        <v>2018-10-16 13:14:44</v>
      </c>
    </row>
    <row r="7308" spans="1:7" x14ac:dyDescent="0.2">
      <c r="A7308" t="s">
        <v>8119</v>
      </c>
      <c r="B7308" t="str">
        <f>"18694120233"</f>
        <v>18694120233</v>
      </c>
      <c r="C7308" t="str">
        <f>"620104198907011772"</f>
        <v>620104198907011772</v>
      </c>
      <c r="D7308" t="s">
        <v>1</v>
      </c>
      <c r="E7308" t="s">
        <v>1</v>
      </c>
      <c r="F7308" t="s">
        <v>0</v>
      </c>
      <c r="G7308" t="str">
        <f>"2018-10-16 13:13:17"</f>
        <v>2018-10-16 13:13:17</v>
      </c>
    </row>
    <row r="7309" spans="1:7" x14ac:dyDescent="0.2">
      <c r="A7309" t="s">
        <v>1</v>
      </c>
      <c r="B7309" t="str">
        <f>"13897650443"</f>
        <v>13897650443</v>
      </c>
      <c r="C7309" t="s">
        <v>1</v>
      </c>
      <c r="D7309" t="s">
        <v>1</v>
      </c>
      <c r="E7309" t="s">
        <v>1</v>
      </c>
      <c r="F7309" t="s">
        <v>0</v>
      </c>
      <c r="G7309" t="str">
        <f>"2018-10-16 13:09:31"</f>
        <v>2018-10-16 13:09:31</v>
      </c>
    </row>
    <row r="7310" spans="1:7" x14ac:dyDescent="0.2">
      <c r="A7310" t="s">
        <v>8120</v>
      </c>
      <c r="B7310" t="str">
        <f>"17671400054"</f>
        <v>17671400054</v>
      </c>
      <c r="C7310" t="str">
        <f>"422801199506290027"</f>
        <v>422801199506290027</v>
      </c>
      <c r="D7310" t="s">
        <v>1</v>
      </c>
      <c r="E7310" t="s">
        <v>1</v>
      </c>
      <c r="F7310" t="s">
        <v>0</v>
      </c>
      <c r="G7310" t="str">
        <f>"2018-10-16 13:23:24"</f>
        <v>2018-10-16 13:23:24</v>
      </c>
    </row>
    <row r="7311" spans="1:7" x14ac:dyDescent="0.2">
      <c r="A7311" t="s">
        <v>8121</v>
      </c>
      <c r="B7311" t="str">
        <f>"18858028765"</f>
        <v>18858028765</v>
      </c>
      <c r="C7311" t="str">
        <f>"330282199103082583"</f>
        <v>330282199103082583</v>
      </c>
      <c r="D7311" t="s">
        <v>8122</v>
      </c>
      <c r="E7311" t="s">
        <v>8123</v>
      </c>
      <c r="F7311" t="s">
        <v>0</v>
      </c>
      <c r="G7311" t="str">
        <f>"2018-10-19 10:10:13"</f>
        <v>2018-10-19 10:10:13</v>
      </c>
    </row>
    <row r="7312" spans="1:7" x14ac:dyDescent="0.2">
      <c r="A7312" t="s">
        <v>1442</v>
      </c>
      <c r="B7312" t="str">
        <f>"15950483208"</f>
        <v>15950483208</v>
      </c>
      <c r="C7312" t="str">
        <f>"320121198509282943"</f>
        <v>320121198509282943</v>
      </c>
      <c r="D7312" t="s">
        <v>1</v>
      </c>
      <c r="E7312" t="s">
        <v>1</v>
      </c>
      <c r="F7312" t="s">
        <v>0</v>
      </c>
      <c r="G7312" t="str">
        <f>"2018-10-16 13:10:33"</f>
        <v>2018-10-16 13:10:33</v>
      </c>
    </row>
    <row r="7313" spans="1:7" x14ac:dyDescent="0.2">
      <c r="A7313" t="s">
        <v>1</v>
      </c>
      <c r="B7313" t="str">
        <f>"15208614995"</f>
        <v>15208614995</v>
      </c>
      <c r="C7313" t="s">
        <v>1</v>
      </c>
      <c r="D7313" t="s">
        <v>1</v>
      </c>
      <c r="E7313" t="s">
        <v>1</v>
      </c>
      <c r="F7313" t="s">
        <v>0</v>
      </c>
      <c r="G7313" t="str">
        <f>"2018-10-16 13:08:43"</f>
        <v>2018-10-16 13:08:43</v>
      </c>
    </row>
    <row r="7314" spans="1:7" x14ac:dyDescent="0.2">
      <c r="A7314" t="s">
        <v>8124</v>
      </c>
      <c r="B7314" t="str">
        <f>"18645854040"</f>
        <v>18645854040</v>
      </c>
      <c r="C7314" t="str">
        <f>"23070919871003004X"</f>
        <v>23070919871003004X</v>
      </c>
      <c r="D7314" t="s">
        <v>8125</v>
      </c>
      <c r="E7314" t="s">
        <v>8126</v>
      </c>
      <c r="F7314" t="s">
        <v>0</v>
      </c>
      <c r="G7314" t="str">
        <f>"2018-10-16 13:11:40"</f>
        <v>2018-10-16 13:11:40</v>
      </c>
    </row>
    <row r="7315" spans="1:7" x14ac:dyDescent="0.2">
      <c r="A7315" t="s">
        <v>8127</v>
      </c>
      <c r="B7315" t="str">
        <f>"15625139760"</f>
        <v>15625139760</v>
      </c>
      <c r="C7315" t="str">
        <f>"440881199205054876"</f>
        <v>440881199205054876</v>
      </c>
      <c r="D7315" t="s">
        <v>1</v>
      </c>
      <c r="E7315" t="s">
        <v>1</v>
      </c>
      <c r="F7315" t="s">
        <v>0</v>
      </c>
      <c r="G7315" t="str">
        <f>"2018-10-16 13:10:44"</f>
        <v>2018-10-16 13:10:44</v>
      </c>
    </row>
    <row r="7316" spans="1:7" x14ac:dyDescent="0.2">
      <c r="A7316" t="s">
        <v>1</v>
      </c>
      <c r="B7316" t="str">
        <f>"13931102706"</f>
        <v>13931102706</v>
      </c>
      <c r="C7316" t="s">
        <v>1</v>
      </c>
      <c r="D7316" t="s">
        <v>1</v>
      </c>
      <c r="E7316" t="s">
        <v>1</v>
      </c>
      <c r="F7316" t="s">
        <v>0</v>
      </c>
      <c r="G7316" t="str">
        <f>"2018-10-16 13:07:28"</f>
        <v>2018-10-16 13:07:28</v>
      </c>
    </row>
    <row r="7317" spans="1:7" x14ac:dyDescent="0.2">
      <c r="A7317" t="s">
        <v>8128</v>
      </c>
      <c r="B7317" t="str">
        <f>"17620694341"</f>
        <v>17620694341</v>
      </c>
      <c r="C7317" t="str">
        <f>"431102200008047790"</f>
        <v>431102200008047790</v>
      </c>
      <c r="D7317" t="s">
        <v>1</v>
      </c>
      <c r="E7317" t="s">
        <v>1</v>
      </c>
      <c r="F7317" t="s">
        <v>0</v>
      </c>
      <c r="G7317" t="str">
        <f>"2018-10-16 13:09:03"</f>
        <v>2018-10-16 13:09:03</v>
      </c>
    </row>
    <row r="7318" spans="1:7" x14ac:dyDescent="0.2">
      <c r="A7318" t="s">
        <v>8129</v>
      </c>
      <c r="B7318" t="str">
        <f>"13327466664"</f>
        <v>13327466664</v>
      </c>
      <c r="C7318" t="str">
        <f>"140105199009242217"</f>
        <v>140105199009242217</v>
      </c>
      <c r="D7318" t="s">
        <v>1</v>
      </c>
      <c r="E7318" t="s">
        <v>1</v>
      </c>
      <c r="F7318" t="s">
        <v>0</v>
      </c>
      <c r="G7318" t="str">
        <f>"2018-10-16 13:07:06"</f>
        <v>2018-10-16 13:07:06</v>
      </c>
    </row>
    <row r="7319" spans="1:7" x14ac:dyDescent="0.2">
      <c r="A7319" t="s">
        <v>8130</v>
      </c>
      <c r="B7319" t="str">
        <f>"15053168399"</f>
        <v>15053168399</v>
      </c>
      <c r="C7319" t="str">
        <f>"370126197706100439"</f>
        <v>370126197706100439</v>
      </c>
      <c r="D7319" t="s">
        <v>1</v>
      </c>
      <c r="E7319" t="s">
        <v>1</v>
      </c>
      <c r="F7319" t="s">
        <v>0</v>
      </c>
      <c r="G7319" t="str">
        <f>"2018-10-16 13:13:10"</f>
        <v>2018-10-16 13:13:10</v>
      </c>
    </row>
    <row r="7320" spans="1:7" x14ac:dyDescent="0.2">
      <c r="A7320" t="s">
        <v>8131</v>
      </c>
      <c r="B7320" t="str">
        <f>"13966016601"</f>
        <v>13966016601</v>
      </c>
      <c r="C7320" t="str">
        <f>"340222199003064121"</f>
        <v>340222199003064121</v>
      </c>
      <c r="D7320" t="s">
        <v>1</v>
      </c>
      <c r="E7320" t="s">
        <v>1</v>
      </c>
      <c r="F7320" t="s">
        <v>0</v>
      </c>
      <c r="G7320" t="str">
        <f>"2018-10-18 14:47:16"</f>
        <v>2018-10-18 14:47:16</v>
      </c>
    </row>
    <row r="7321" spans="1:7" x14ac:dyDescent="0.2">
      <c r="A7321" t="s">
        <v>1</v>
      </c>
      <c r="B7321" t="str">
        <f>"17711848025"</f>
        <v>17711848025</v>
      </c>
      <c r="C7321" t="s">
        <v>1</v>
      </c>
      <c r="D7321" t="s">
        <v>1</v>
      </c>
      <c r="E7321" t="s">
        <v>1</v>
      </c>
      <c r="F7321" t="s">
        <v>0</v>
      </c>
      <c r="G7321" t="str">
        <f>"2018-10-16 13:05:11"</f>
        <v>2018-10-16 13:05:11</v>
      </c>
    </row>
    <row r="7322" spans="1:7" x14ac:dyDescent="0.2">
      <c r="A7322" t="s">
        <v>8132</v>
      </c>
      <c r="B7322" t="str">
        <f>"18972676323"</f>
        <v>18972676323</v>
      </c>
      <c r="C7322" t="str">
        <f>"420984198601159027"</f>
        <v>420984198601159027</v>
      </c>
      <c r="D7322" t="s">
        <v>1</v>
      </c>
      <c r="E7322" t="s">
        <v>1</v>
      </c>
      <c r="F7322" t="s">
        <v>0</v>
      </c>
      <c r="G7322" t="str">
        <f>"2018-10-16 15:03:58"</f>
        <v>2018-10-16 15:03:58</v>
      </c>
    </row>
    <row r="7323" spans="1:7" x14ac:dyDescent="0.2">
      <c r="A7323" t="s">
        <v>650</v>
      </c>
      <c r="B7323" t="str">
        <f>"15006234186"</f>
        <v>15006234186</v>
      </c>
      <c r="C7323" t="str">
        <f>"410328198204230517"</f>
        <v>410328198204230517</v>
      </c>
      <c r="D7323" t="s">
        <v>8133</v>
      </c>
      <c r="E7323" t="s">
        <v>8134</v>
      </c>
      <c r="F7323" t="s">
        <v>0</v>
      </c>
      <c r="G7323" t="str">
        <f>"2018-10-16 13:04:35"</f>
        <v>2018-10-16 13:04:35</v>
      </c>
    </row>
    <row r="7324" spans="1:7" x14ac:dyDescent="0.2">
      <c r="A7324" t="s">
        <v>1287</v>
      </c>
      <c r="B7324" t="str">
        <f>"15008817693"</f>
        <v>15008817693</v>
      </c>
      <c r="C7324" t="str">
        <f>"532726199602042426"</f>
        <v>532726199602042426</v>
      </c>
      <c r="D7324" t="s">
        <v>1</v>
      </c>
      <c r="E7324" t="s">
        <v>1</v>
      </c>
      <c r="F7324" t="s">
        <v>0</v>
      </c>
      <c r="G7324" t="str">
        <f>"2018-10-16 13:06:45"</f>
        <v>2018-10-16 13:06:45</v>
      </c>
    </row>
    <row r="7325" spans="1:7" x14ac:dyDescent="0.2">
      <c r="A7325" t="s">
        <v>8135</v>
      </c>
      <c r="B7325" t="str">
        <f>"13294181541"</f>
        <v>13294181541</v>
      </c>
      <c r="C7325" t="str">
        <f>"420521199502282940"</f>
        <v>420521199502282940</v>
      </c>
      <c r="D7325" t="s">
        <v>1</v>
      </c>
      <c r="E7325" t="s">
        <v>1</v>
      </c>
      <c r="F7325" t="s">
        <v>0</v>
      </c>
      <c r="G7325" t="str">
        <f>"2018-10-16 13:05:39"</f>
        <v>2018-10-16 13:05:39</v>
      </c>
    </row>
    <row r="7326" spans="1:7" x14ac:dyDescent="0.2">
      <c r="A7326" t="s">
        <v>8136</v>
      </c>
      <c r="B7326" t="str">
        <f>"13731586171"</f>
        <v>13731586171</v>
      </c>
      <c r="C7326" t="str">
        <f>"130524198503245012"</f>
        <v>130524198503245012</v>
      </c>
      <c r="D7326" t="s">
        <v>1</v>
      </c>
      <c r="E7326" t="s">
        <v>1</v>
      </c>
      <c r="F7326" t="s">
        <v>0</v>
      </c>
      <c r="G7326" t="str">
        <f>"2018-10-16 13:05:20"</f>
        <v>2018-10-16 13:05:20</v>
      </c>
    </row>
    <row r="7327" spans="1:7" x14ac:dyDescent="0.2">
      <c r="A7327" t="s">
        <v>1</v>
      </c>
      <c r="B7327" t="str">
        <f>"15329651875"</f>
        <v>15329651875</v>
      </c>
      <c r="C7327" t="s">
        <v>1</v>
      </c>
      <c r="D7327" t="s">
        <v>1</v>
      </c>
      <c r="E7327" t="s">
        <v>1</v>
      </c>
      <c r="F7327" t="s">
        <v>0</v>
      </c>
      <c r="G7327" t="str">
        <f>"2018-10-16 13:03:23"</f>
        <v>2018-10-16 13:03:23</v>
      </c>
    </row>
    <row r="7328" spans="1:7" x14ac:dyDescent="0.2">
      <c r="A7328" t="s">
        <v>8137</v>
      </c>
      <c r="B7328" t="str">
        <f>"18524561510"</f>
        <v>18524561510</v>
      </c>
      <c r="C7328" t="str">
        <f>"210727199502053312"</f>
        <v>210727199502053312</v>
      </c>
      <c r="D7328" t="s">
        <v>1</v>
      </c>
      <c r="E7328" t="s">
        <v>1</v>
      </c>
      <c r="F7328" t="s">
        <v>0</v>
      </c>
      <c r="G7328" t="str">
        <f>"2018-10-16 13:04:27"</f>
        <v>2018-10-16 13:04:27</v>
      </c>
    </row>
    <row r="7329" spans="1:7" x14ac:dyDescent="0.2">
      <c r="A7329" t="s">
        <v>8138</v>
      </c>
      <c r="B7329" t="str">
        <f>"13788058991"</f>
        <v>13788058991</v>
      </c>
      <c r="C7329" t="str">
        <f>"450981198709020920"</f>
        <v>450981198709020920</v>
      </c>
      <c r="D7329" t="s">
        <v>1</v>
      </c>
      <c r="E7329" t="s">
        <v>1</v>
      </c>
      <c r="F7329" t="s">
        <v>0</v>
      </c>
      <c r="G7329" t="str">
        <f>"2018-10-16 13:06:34"</f>
        <v>2018-10-16 13:06:34</v>
      </c>
    </row>
    <row r="7330" spans="1:7" x14ac:dyDescent="0.2">
      <c r="A7330" t="s">
        <v>8139</v>
      </c>
      <c r="B7330" t="str">
        <f>"15154986857"</f>
        <v>15154986857</v>
      </c>
      <c r="C7330" t="str">
        <f>"532526198911280510"</f>
        <v>532526198911280510</v>
      </c>
      <c r="D7330" t="s">
        <v>1</v>
      </c>
      <c r="E7330" t="s">
        <v>1</v>
      </c>
      <c r="F7330" t="s">
        <v>0</v>
      </c>
      <c r="G7330" t="str">
        <f>"2018-10-16 13:05:55"</f>
        <v>2018-10-16 13:05:55</v>
      </c>
    </row>
    <row r="7331" spans="1:7" x14ac:dyDescent="0.2">
      <c r="A7331" t="s">
        <v>8140</v>
      </c>
      <c r="B7331" t="str">
        <f>"13296330617"</f>
        <v>13296330617</v>
      </c>
      <c r="C7331" t="str">
        <f>"371122199808083742"</f>
        <v>371122199808083742</v>
      </c>
      <c r="D7331" t="s">
        <v>1</v>
      </c>
      <c r="E7331" t="s">
        <v>1</v>
      </c>
      <c r="F7331" t="s">
        <v>0</v>
      </c>
      <c r="G7331" t="str">
        <f>"2018-10-16 13:03:16"</f>
        <v>2018-10-16 13:03:16</v>
      </c>
    </row>
    <row r="7332" spans="1:7" x14ac:dyDescent="0.2">
      <c r="A7332" t="s">
        <v>8141</v>
      </c>
      <c r="B7332" t="str">
        <f>"15007939199"</f>
        <v>15007939199</v>
      </c>
      <c r="C7332" t="str">
        <f>"362321198003100532"</f>
        <v>362321198003100532</v>
      </c>
      <c r="D7332" t="s">
        <v>1</v>
      </c>
      <c r="E7332" t="s">
        <v>1</v>
      </c>
      <c r="F7332" t="s">
        <v>0</v>
      </c>
      <c r="G7332" t="str">
        <f>"2018-10-16 13:04:19"</f>
        <v>2018-10-16 13:04:19</v>
      </c>
    </row>
    <row r="7333" spans="1:7" x14ac:dyDescent="0.2">
      <c r="A7333" t="s">
        <v>8142</v>
      </c>
      <c r="B7333" t="str">
        <f>"14797876623"</f>
        <v>14797876623</v>
      </c>
      <c r="C7333" t="str">
        <f>"360723198905302056"</f>
        <v>360723198905302056</v>
      </c>
      <c r="D7333" t="s">
        <v>8143</v>
      </c>
      <c r="E7333" t="s">
        <v>8144</v>
      </c>
      <c r="F7333" t="s">
        <v>0</v>
      </c>
      <c r="G7333" t="str">
        <f>"2018-10-16 13:06:14"</f>
        <v>2018-10-16 13:06:14</v>
      </c>
    </row>
    <row r="7334" spans="1:7" x14ac:dyDescent="0.2">
      <c r="A7334" t="s">
        <v>286</v>
      </c>
      <c r="B7334" t="str">
        <f>"18023965051"</f>
        <v>18023965051</v>
      </c>
      <c r="C7334" t="str">
        <f>"440981199109255198"</f>
        <v>440981199109255198</v>
      </c>
      <c r="D7334" t="s">
        <v>8145</v>
      </c>
      <c r="E7334" t="s">
        <v>8146</v>
      </c>
      <c r="F7334" t="s">
        <v>0</v>
      </c>
      <c r="G7334" t="str">
        <f>"2018-10-16 13:03:48"</f>
        <v>2018-10-16 13:03:48</v>
      </c>
    </row>
    <row r="7335" spans="1:7" x14ac:dyDescent="0.2">
      <c r="A7335" t="s">
        <v>8147</v>
      </c>
      <c r="B7335" t="str">
        <f>"15036771312"</f>
        <v>15036771312</v>
      </c>
      <c r="C7335" t="str">
        <f>"51302219840120749X"</f>
        <v>51302219840120749X</v>
      </c>
      <c r="D7335" t="s">
        <v>8148</v>
      </c>
      <c r="E7335" t="s">
        <v>8149</v>
      </c>
      <c r="F7335" t="s">
        <v>0</v>
      </c>
      <c r="G7335" t="str">
        <f>"2018-10-17 16:38:52"</f>
        <v>2018-10-17 16:38:52</v>
      </c>
    </row>
    <row r="7336" spans="1:7" x14ac:dyDescent="0.2">
      <c r="A7336" t="s">
        <v>8150</v>
      </c>
      <c r="B7336" t="str">
        <f>"15272865602"</f>
        <v>15272865602</v>
      </c>
      <c r="C7336" t="str">
        <f>"420983198108061783"</f>
        <v>420983198108061783</v>
      </c>
      <c r="D7336" t="s">
        <v>1</v>
      </c>
      <c r="E7336" t="s">
        <v>1</v>
      </c>
      <c r="F7336" t="s">
        <v>0</v>
      </c>
      <c r="G7336" t="str">
        <f>"2018-10-31 10:05:07"</f>
        <v>2018-10-31 10:05:07</v>
      </c>
    </row>
    <row r="7337" spans="1:7" x14ac:dyDescent="0.2">
      <c r="A7337" t="s">
        <v>8151</v>
      </c>
      <c r="B7337" t="str">
        <f>"13634035292"</f>
        <v>13634035292</v>
      </c>
      <c r="C7337" t="str">
        <f>"332624199305203283"</f>
        <v>332624199305203283</v>
      </c>
      <c r="D7337" t="s">
        <v>1</v>
      </c>
      <c r="E7337" t="s">
        <v>1</v>
      </c>
      <c r="F7337" t="s">
        <v>0</v>
      </c>
      <c r="G7337" t="str">
        <f>"2018-10-16 13:02:20"</f>
        <v>2018-10-16 13:02:20</v>
      </c>
    </row>
    <row r="7338" spans="1:7" x14ac:dyDescent="0.2">
      <c r="A7338" t="s">
        <v>8152</v>
      </c>
      <c r="B7338" t="str">
        <f>"14776922616"</f>
        <v>14776922616</v>
      </c>
      <c r="C7338" t="str">
        <f>"513701199311122450"</f>
        <v>513701199311122450</v>
      </c>
      <c r="D7338" t="s">
        <v>1</v>
      </c>
      <c r="E7338" t="s">
        <v>1</v>
      </c>
      <c r="F7338" t="s">
        <v>0</v>
      </c>
      <c r="G7338" t="str">
        <f>"2018-11-03 14:44:51"</f>
        <v>2018-11-03 14:44:51</v>
      </c>
    </row>
    <row r="7339" spans="1:7" x14ac:dyDescent="0.2">
      <c r="A7339" t="s">
        <v>1</v>
      </c>
      <c r="B7339" t="str">
        <f>"13892276776"</f>
        <v>13892276776</v>
      </c>
      <c r="C7339" t="s">
        <v>1</v>
      </c>
      <c r="D7339" t="s">
        <v>1</v>
      </c>
      <c r="E7339" t="s">
        <v>1</v>
      </c>
      <c r="F7339" t="s">
        <v>0</v>
      </c>
      <c r="G7339" t="str">
        <f>"2018-10-16 13:00:40"</f>
        <v>2018-10-16 13:00:40</v>
      </c>
    </row>
    <row r="7340" spans="1:7" x14ac:dyDescent="0.2">
      <c r="A7340" t="s">
        <v>8153</v>
      </c>
      <c r="B7340" t="str">
        <f>"18715253977"</f>
        <v>18715253977</v>
      </c>
      <c r="C7340" t="str">
        <f>"340311198703291634"</f>
        <v>340311198703291634</v>
      </c>
      <c r="D7340" t="s">
        <v>8154</v>
      </c>
      <c r="E7340" t="s">
        <v>8155</v>
      </c>
      <c r="F7340" t="s">
        <v>0</v>
      </c>
      <c r="G7340" t="str">
        <f>"2018-10-16 13:05:24"</f>
        <v>2018-10-16 13:05:24</v>
      </c>
    </row>
    <row r="7341" spans="1:7" x14ac:dyDescent="0.2">
      <c r="A7341" t="s">
        <v>8156</v>
      </c>
      <c r="B7341" t="str">
        <f>"13898823736"</f>
        <v>13898823736</v>
      </c>
      <c r="C7341" t="str">
        <f>"210104196804083436"</f>
        <v>210104196804083436</v>
      </c>
      <c r="D7341" t="s">
        <v>1</v>
      </c>
      <c r="E7341" t="s">
        <v>1</v>
      </c>
      <c r="F7341" t="s">
        <v>0</v>
      </c>
      <c r="G7341" t="str">
        <f>"2018-10-16 13:48:06"</f>
        <v>2018-10-16 13:48:06</v>
      </c>
    </row>
    <row r="7342" spans="1:7" x14ac:dyDescent="0.2">
      <c r="A7342" t="s">
        <v>1</v>
      </c>
      <c r="B7342" t="str">
        <f>"15172644543"</f>
        <v>15172644543</v>
      </c>
      <c r="C7342" t="s">
        <v>1</v>
      </c>
      <c r="D7342" t="s">
        <v>1</v>
      </c>
      <c r="E7342" t="s">
        <v>1</v>
      </c>
      <c r="F7342" t="s">
        <v>0</v>
      </c>
      <c r="G7342" t="str">
        <f>"2018-10-16 12:59:14"</f>
        <v>2018-10-16 12:59:14</v>
      </c>
    </row>
    <row r="7343" spans="1:7" x14ac:dyDescent="0.2">
      <c r="A7343" t="s">
        <v>8157</v>
      </c>
      <c r="B7343" t="str">
        <f>"18310754048"</f>
        <v>18310754048</v>
      </c>
      <c r="C7343" t="str">
        <f>"131182199203016039"</f>
        <v>131182199203016039</v>
      </c>
      <c r="D7343" t="s">
        <v>1</v>
      </c>
      <c r="E7343" t="s">
        <v>1</v>
      </c>
      <c r="F7343" t="s">
        <v>0</v>
      </c>
      <c r="G7343" t="str">
        <f>"2018-10-16 13:05:34"</f>
        <v>2018-10-16 13:05:34</v>
      </c>
    </row>
    <row r="7344" spans="1:7" x14ac:dyDescent="0.2">
      <c r="A7344" t="s">
        <v>499</v>
      </c>
      <c r="B7344" t="str">
        <f>"17760757919"</f>
        <v>17760757919</v>
      </c>
      <c r="C7344" t="str">
        <f>"411528198510035818"</f>
        <v>411528198510035818</v>
      </c>
      <c r="D7344" t="s">
        <v>1</v>
      </c>
      <c r="E7344" t="s">
        <v>1</v>
      </c>
      <c r="F7344" t="s">
        <v>0</v>
      </c>
      <c r="G7344" t="str">
        <f>"2018-10-16 13:06:06"</f>
        <v>2018-10-16 13:06:06</v>
      </c>
    </row>
    <row r="7345" spans="1:7" x14ac:dyDescent="0.2">
      <c r="A7345" t="s">
        <v>482</v>
      </c>
      <c r="B7345" t="str">
        <f>"15123901817"</f>
        <v>15123901817</v>
      </c>
      <c r="C7345" t="str">
        <f>"500113199201174813"</f>
        <v>500113199201174813</v>
      </c>
      <c r="D7345" t="s">
        <v>1</v>
      </c>
      <c r="E7345" t="s">
        <v>1</v>
      </c>
      <c r="F7345" t="s">
        <v>0</v>
      </c>
      <c r="G7345" t="str">
        <f>"2018-10-16 13:01:02"</f>
        <v>2018-10-16 13:01:02</v>
      </c>
    </row>
    <row r="7346" spans="1:7" x14ac:dyDescent="0.2">
      <c r="A7346" t="s">
        <v>8158</v>
      </c>
      <c r="B7346" t="str">
        <f>"13804230265"</f>
        <v>13804230265</v>
      </c>
      <c r="C7346" t="str">
        <f>"210422199005130040"</f>
        <v>210422199005130040</v>
      </c>
      <c r="D7346" t="s">
        <v>8159</v>
      </c>
      <c r="E7346" t="s">
        <v>8160</v>
      </c>
      <c r="F7346" t="s">
        <v>0</v>
      </c>
      <c r="G7346" t="str">
        <f>"2018-10-16 16:38:27"</f>
        <v>2018-10-16 16:38:27</v>
      </c>
    </row>
    <row r="7347" spans="1:7" x14ac:dyDescent="0.2">
      <c r="A7347" t="s">
        <v>1</v>
      </c>
      <c r="B7347" t="str">
        <f>"15110273087"</f>
        <v>15110273087</v>
      </c>
      <c r="C7347" t="s">
        <v>1</v>
      </c>
      <c r="D7347" t="s">
        <v>1</v>
      </c>
      <c r="E7347" t="s">
        <v>1</v>
      </c>
      <c r="F7347" t="s">
        <v>0</v>
      </c>
      <c r="G7347" t="str">
        <f>"2018-10-16 12:57:38"</f>
        <v>2018-10-16 12:57:38</v>
      </c>
    </row>
    <row r="7348" spans="1:7" x14ac:dyDescent="0.2">
      <c r="A7348" t="s">
        <v>8161</v>
      </c>
      <c r="B7348" t="str">
        <f>"18763850789"</f>
        <v>18763850789</v>
      </c>
      <c r="C7348" t="str">
        <f>"370982199303065871"</f>
        <v>370982199303065871</v>
      </c>
      <c r="D7348" t="s">
        <v>1</v>
      </c>
      <c r="E7348" t="s">
        <v>1</v>
      </c>
      <c r="F7348" t="s">
        <v>0</v>
      </c>
      <c r="G7348" t="str">
        <f>"2018-10-18 14:45:36"</f>
        <v>2018-10-18 14:45:36</v>
      </c>
    </row>
    <row r="7349" spans="1:7" x14ac:dyDescent="0.2">
      <c r="A7349" t="s">
        <v>8162</v>
      </c>
      <c r="B7349" t="str">
        <f>"17694869647"</f>
        <v>17694869647</v>
      </c>
      <c r="C7349" t="str">
        <f>"61032919991119121X"</f>
        <v>61032919991119121X</v>
      </c>
      <c r="D7349" t="s">
        <v>1</v>
      </c>
      <c r="E7349" t="s">
        <v>1</v>
      </c>
      <c r="F7349" t="s">
        <v>0</v>
      </c>
      <c r="G7349" t="str">
        <f>"2018-10-16 13:23:59"</f>
        <v>2018-10-16 13:23:59</v>
      </c>
    </row>
    <row r="7350" spans="1:7" x14ac:dyDescent="0.2">
      <c r="A7350" t="s">
        <v>8163</v>
      </c>
      <c r="B7350" t="str">
        <f>"15833710382"</f>
        <v>15833710382</v>
      </c>
      <c r="C7350" t="str">
        <f>"130527199307130529"</f>
        <v>130527199307130529</v>
      </c>
      <c r="D7350" t="s">
        <v>8164</v>
      </c>
      <c r="E7350" t="s">
        <v>8165</v>
      </c>
      <c r="F7350" t="s">
        <v>0</v>
      </c>
      <c r="G7350" t="str">
        <f>"2018-10-16 12:57:34"</f>
        <v>2018-10-16 12:57:34</v>
      </c>
    </row>
    <row r="7351" spans="1:7" x14ac:dyDescent="0.2">
      <c r="A7351" t="s">
        <v>8166</v>
      </c>
      <c r="B7351" t="str">
        <f>"18540134828"</f>
        <v>18540134828</v>
      </c>
      <c r="C7351" t="str">
        <f>"210123199310280432"</f>
        <v>210123199310280432</v>
      </c>
      <c r="D7351" t="s">
        <v>1</v>
      </c>
      <c r="E7351" t="s">
        <v>1</v>
      </c>
      <c r="F7351" t="s">
        <v>0</v>
      </c>
      <c r="G7351" t="str">
        <f>"2018-10-16 13:26:54"</f>
        <v>2018-10-16 13:26:54</v>
      </c>
    </row>
    <row r="7352" spans="1:7" x14ac:dyDescent="0.2">
      <c r="A7352" t="s">
        <v>1</v>
      </c>
      <c r="B7352" t="str">
        <f>"15555111792"</f>
        <v>15555111792</v>
      </c>
      <c r="C7352" t="s">
        <v>1</v>
      </c>
      <c r="D7352" t="s">
        <v>1</v>
      </c>
      <c r="E7352" t="s">
        <v>1</v>
      </c>
      <c r="F7352" t="s">
        <v>0</v>
      </c>
      <c r="G7352" t="str">
        <f>"2018-10-16 12:56:24"</f>
        <v>2018-10-16 12:56:24</v>
      </c>
    </row>
    <row r="7353" spans="1:7" x14ac:dyDescent="0.2">
      <c r="A7353" t="s">
        <v>8167</v>
      </c>
      <c r="B7353" t="str">
        <f>"13012596753"</f>
        <v>13012596753</v>
      </c>
      <c r="C7353" t="str">
        <f>"35021219960518201X"</f>
        <v>35021219960518201X</v>
      </c>
      <c r="D7353" t="s">
        <v>1</v>
      </c>
      <c r="E7353" t="s">
        <v>1</v>
      </c>
      <c r="F7353" t="s">
        <v>0</v>
      </c>
      <c r="G7353" t="str">
        <f>"2018-10-25 16:47:55"</f>
        <v>2018-10-25 16:47:55</v>
      </c>
    </row>
    <row r="7354" spans="1:7" x14ac:dyDescent="0.2">
      <c r="A7354" t="s">
        <v>8168</v>
      </c>
      <c r="B7354" t="str">
        <f>"18752194261"</f>
        <v>18752194261</v>
      </c>
      <c r="C7354" t="str">
        <f>"320321200010117050"</f>
        <v>320321200010117050</v>
      </c>
      <c r="D7354" t="s">
        <v>1</v>
      </c>
      <c r="E7354" t="s">
        <v>1</v>
      </c>
      <c r="F7354" t="s">
        <v>0</v>
      </c>
      <c r="G7354" t="str">
        <f>"2018-10-16 12:57:28"</f>
        <v>2018-10-16 12:57:28</v>
      </c>
    </row>
    <row r="7355" spans="1:7" x14ac:dyDescent="0.2">
      <c r="A7355" t="s">
        <v>1</v>
      </c>
      <c r="B7355" t="str">
        <f>"15811109092"</f>
        <v>15811109092</v>
      </c>
      <c r="C7355" t="s">
        <v>1</v>
      </c>
      <c r="D7355" t="s">
        <v>1</v>
      </c>
      <c r="E7355" t="s">
        <v>1</v>
      </c>
      <c r="F7355" t="s">
        <v>0</v>
      </c>
      <c r="G7355" t="str">
        <f>"2018-10-16 12:54:40"</f>
        <v>2018-10-16 12:54:40</v>
      </c>
    </row>
    <row r="7356" spans="1:7" x14ac:dyDescent="0.2">
      <c r="A7356" t="s">
        <v>8169</v>
      </c>
      <c r="B7356" t="str">
        <f>"13767744817"</f>
        <v>13767744817</v>
      </c>
      <c r="C7356" t="str">
        <f>"320311198102194675"</f>
        <v>320311198102194675</v>
      </c>
      <c r="D7356" t="s">
        <v>8170</v>
      </c>
      <c r="E7356" t="s">
        <v>8171</v>
      </c>
      <c r="F7356" t="s">
        <v>0</v>
      </c>
      <c r="G7356" t="str">
        <f>"2018-10-23 15:29:35"</f>
        <v>2018-10-23 15:29:35</v>
      </c>
    </row>
    <row r="7357" spans="1:7" x14ac:dyDescent="0.2">
      <c r="A7357" t="s">
        <v>1</v>
      </c>
      <c r="B7357" t="str">
        <f>"18959661863"</f>
        <v>18959661863</v>
      </c>
      <c r="C7357" t="s">
        <v>1</v>
      </c>
      <c r="D7357" t="s">
        <v>1</v>
      </c>
      <c r="E7357" t="s">
        <v>1</v>
      </c>
      <c r="F7357" t="s">
        <v>0</v>
      </c>
      <c r="G7357" t="str">
        <f>"2018-10-16 12:56:09"</f>
        <v>2018-10-16 12:56:09</v>
      </c>
    </row>
    <row r="7358" spans="1:7" x14ac:dyDescent="0.2">
      <c r="A7358" t="s">
        <v>8172</v>
      </c>
      <c r="B7358" t="str">
        <f>"17784263149"</f>
        <v>17784263149</v>
      </c>
      <c r="C7358" t="str">
        <f>"500102199808025591"</f>
        <v>500102199808025591</v>
      </c>
      <c r="D7358" t="s">
        <v>1</v>
      </c>
      <c r="E7358" t="s">
        <v>1</v>
      </c>
      <c r="F7358" t="s">
        <v>0</v>
      </c>
      <c r="G7358" t="str">
        <f>"2018-10-16 12:55:15"</f>
        <v>2018-10-16 12:55:15</v>
      </c>
    </row>
    <row r="7359" spans="1:7" x14ac:dyDescent="0.2">
      <c r="A7359" t="s">
        <v>8173</v>
      </c>
      <c r="B7359" t="str">
        <f>"13028820676"</f>
        <v>13028820676</v>
      </c>
      <c r="C7359" t="str">
        <f>"440982199304082831"</f>
        <v>440982199304082831</v>
      </c>
      <c r="D7359" t="s">
        <v>1</v>
      </c>
      <c r="E7359" t="s">
        <v>1</v>
      </c>
      <c r="F7359" t="s">
        <v>0</v>
      </c>
      <c r="G7359" t="str">
        <f>"2018-10-16 13:22:16"</f>
        <v>2018-10-16 13:22:16</v>
      </c>
    </row>
    <row r="7360" spans="1:7" x14ac:dyDescent="0.2">
      <c r="A7360" t="s">
        <v>1</v>
      </c>
      <c r="B7360" t="str">
        <f>"18710666165"</f>
        <v>18710666165</v>
      </c>
      <c r="C7360" t="s">
        <v>1</v>
      </c>
      <c r="D7360" t="s">
        <v>1</v>
      </c>
      <c r="E7360" t="s">
        <v>1</v>
      </c>
      <c r="F7360" t="s">
        <v>0</v>
      </c>
      <c r="G7360" t="str">
        <f>"2018-10-16 12:53:47"</f>
        <v>2018-10-16 12:53:47</v>
      </c>
    </row>
    <row r="7361" spans="1:7" x14ac:dyDescent="0.2">
      <c r="A7361" t="s">
        <v>291</v>
      </c>
      <c r="B7361" t="str">
        <f>"15866926692"</f>
        <v>15866926692</v>
      </c>
      <c r="C7361" t="str">
        <f>"37088319890208339X"</f>
        <v>37088319890208339X</v>
      </c>
      <c r="D7361" t="s">
        <v>1</v>
      </c>
      <c r="E7361" t="s">
        <v>1</v>
      </c>
      <c r="F7361" t="s">
        <v>0</v>
      </c>
      <c r="G7361" t="str">
        <f>"2018-10-23 19:27:44"</f>
        <v>2018-10-23 19:27:44</v>
      </c>
    </row>
    <row r="7362" spans="1:7" x14ac:dyDescent="0.2">
      <c r="A7362" t="s">
        <v>8174</v>
      </c>
      <c r="B7362" t="str">
        <f>"17711848021"</f>
        <v>17711848021</v>
      </c>
      <c r="C7362" t="str">
        <f>"640382198912102592"</f>
        <v>640382198912102592</v>
      </c>
      <c r="D7362" t="s">
        <v>1</v>
      </c>
      <c r="E7362" t="s">
        <v>1</v>
      </c>
      <c r="F7362" t="s">
        <v>0</v>
      </c>
      <c r="G7362" t="str">
        <f>"2018-10-16 12:54:40"</f>
        <v>2018-10-16 12:54:40</v>
      </c>
    </row>
    <row r="7363" spans="1:7" x14ac:dyDescent="0.2">
      <c r="A7363" t="s">
        <v>1</v>
      </c>
      <c r="B7363" t="str">
        <f>"18001557026"</f>
        <v>18001557026</v>
      </c>
      <c r="C7363" t="s">
        <v>1</v>
      </c>
      <c r="D7363" t="s">
        <v>1</v>
      </c>
      <c r="E7363" t="s">
        <v>1</v>
      </c>
      <c r="F7363" t="s">
        <v>0</v>
      </c>
      <c r="G7363" t="str">
        <f>"2018-10-16 12:52:37"</f>
        <v>2018-10-16 12:52:37</v>
      </c>
    </row>
    <row r="7364" spans="1:7" x14ac:dyDescent="0.2">
      <c r="A7364" t="s">
        <v>8175</v>
      </c>
      <c r="B7364" t="str">
        <f>"18585871549"</f>
        <v>18585871549</v>
      </c>
      <c r="C7364" t="str">
        <f>"520122199901212622"</f>
        <v>520122199901212622</v>
      </c>
      <c r="D7364" t="s">
        <v>1</v>
      </c>
      <c r="E7364" t="s">
        <v>1</v>
      </c>
      <c r="F7364" t="s">
        <v>0</v>
      </c>
      <c r="G7364" t="str">
        <f>"2018-10-16 12:57:58"</f>
        <v>2018-10-16 12:57:58</v>
      </c>
    </row>
    <row r="7365" spans="1:7" x14ac:dyDescent="0.2">
      <c r="A7365" t="s">
        <v>8176</v>
      </c>
      <c r="B7365" t="str">
        <f>"18136179669"</f>
        <v>18136179669</v>
      </c>
      <c r="C7365" t="str">
        <f>"320923199108178118"</f>
        <v>320923199108178118</v>
      </c>
      <c r="D7365" t="s">
        <v>1</v>
      </c>
      <c r="E7365" t="s">
        <v>1</v>
      </c>
      <c r="F7365" t="s">
        <v>0</v>
      </c>
      <c r="G7365" t="str">
        <f>"2018-10-16 16:47:38"</f>
        <v>2018-10-16 16:47:38</v>
      </c>
    </row>
    <row r="7366" spans="1:7" x14ac:dyDescent="0.2">
      <c r="A7366" t="s">
        <v>8177</v>
      </c>
      <c r="B7366" t="str">
        <f>"17603000572"</f>
        <v>17603000572</v>
      </c>
      <c r="C7366" t="str">
        <f>"445381199610182254"</f>
        <v>445381199610182254</v>
      </c>
      <c r="D7366" t="s">
        <v>1</v>
      </c>
      <c r="E7366" t="s">
        <v>1</v>
      </c>
      <c r="F7366" t="s">
        <v>0</v>
      </c>
      <c r="G7366" t="str">
        <f>"2018-10-16 12:54:12"</f>
        <v>2018-10-16 12:54:12</v>
      </c>
    </row>
    <row r="7367" spans="1:7" x14ac:dyDescent="0.2">
      <c r="A7367" t="s">
        <v>8178</v>
      </c>
      <c r="B7367" t="str">
        <f>"18386993989"</f>
        <v>18386993989</v>
      </c>
      <c r="C7367" t="str">
        <f>"522321199901245818"</f>
        <v>522321199901245818</v>
      </c>
      <c r="D7367" t="s">
        <v>8179</v>
      </c>
      <c r="E7367" t="s">
        <v>8180</v>
      </c>
      <c r="F7367" t="s">
        <v>0</v>
      </c>
      <c r="G7367" t="str">
        <f>"2018-10-16 13:15:40"</f>
        <v>2018-10-16 13:15:40</v>
      </c>
    </row>
    <row r="7368" spans="1:7" x14ac:dyDescent="0.2">
      <c r="A7368" t="s">
        <v>1</v>
      </c>
      <c r="B7368" t="str">
        <f>"18228439260"</f>
        <v>18228439260</v>
      </c>
      <c r="C7368" t="s">
        <v>1</v>
      </c>
      <c r="D7368" t="s">
        <v>1</v>
      </c>
      <c r="E7368" t="s">
        <v>1</v>
      </c>
      <c r="F7368" t="s">
        <v>0</v>
      </c>
      <c r="G7368" t="str">
        <f>"2018-10-16 14:01:02"</f>
        <v>2018-10-16 14:01:02</v>
      </c>
    </row>
    <row r="7369" spans="1:7" x14ac:dyDescent="0.2">
      <c r="A7369" t="s">
        <v>1</v>
      </c>
      <c r="B7369" t="str">
        <f>"18009742911"</f>
        <v>18009742911</v>
      </c>
      <c r="C7369" t="s">
        <v>1</v>
      </c>
      <c r="D7369" t="s">
        <v>1</v>
      </c>
      <c r="E7369" t="s">
        <v>1</v>
      </c>
      <c r="F7369" t="s">
        <v>0</v>
      </c>
      <c r="G7369" t="str">
        <f>"2018-10-16 12:48:29"</f>
        <v>2018-10-16 12:48:29</v>
      </c>
    </row>
    <row r="7370" spans="1:7" x14ac:dyDescent="0.2">
      <c r="A7370" t="s">
        <v>8181</v>
      </c>
      <c r="B7370" t="str">
        <f>"13796392530"</f>
        <v>13796392530</v>
      </c>
      <c r="C7370" t="str">
        <f>"230522199101130410"</f>
        <v>230522199101130410</v>
      </c>
      <c r="D7370" t="s">
        <v>8182</v>
      </c>
      <c r="E7370" t="s">
        <v>8183</v>
      </c>
      <c r="F7370" t="s">
        <v>0</v>
      </c>
      <c r="G7370" t="str">
        <f>"2018-10-16 12:48:26"</f>
        <v>2018-10-16 12:48:26</v>
      </c>
    </row>
    <row r="7371" spans="1:7" x14ac:dyDescent="0.2">
      <c r="A7371" t="s">
        <v>8184</v>
      </c>
      <c r="B7371" t="str">
        <f>"15125805478"</f>
        <v>15125805478</v>
      </c>
      <c r="C7371" t="str">
        <f>"532331199006300328"</f>
        <v>532331199006300328</v>
      </c>
      <c r="D7371" t="s">
        <v>1</v>
      </c>
      <c r="E7371" t="s">
        <v>1</v>
      </c>
      <c r="F7371" t="s">
        <v>0</v>
      </c>
      <c r="G7371" t="str">
        <f>"2018-10-16 13:45:33"</f>
        <v>2018-10-16 13:45:33</v>
      </c>
    </row>
    <row r="7372" spans="1:7" x14ac:dyDescent="0.2">
      <c r="A7372" t="s">
        <v>8185</v>
      </c>
      <c r="B7372" t="str">
        <f>"18726406150"</f>
        <v>18726406150</v>
      </c>
      <c r="C7372" t="str">
        <f>"331023200012107015"</f>
        <v>331023200012107015</v>
      </c>
      <c r="D7372" t="s">
        <v>1</v>
      </c>
      <c r="E7372" t="s">
        <v>1</v>
      </c>
      <c r="F7372" t="s">
        <v>0</v>
      </c>
      <c r="G7372" t="str">
        <f>"2018-10-16 12:48:59"</f>
        <v>2018-10-16 12:48:59</v>
      </c>
    </row>
    <row r="7373" spans="1:7" x14ac:dyDescent="0.2">
      <c r="A7373" t="s">
        <v>16</v>
      </c>
      <c r="B7373" t="str">
        <f>"15884572019"</f>
        <v>15884572019</v>
      </c>
      <c r="C7373" t="str">
        <f>"510123198308080614"</f>
        <v>510123198308080614</v>
      </c>
      <c r="D7373" t="s">
        <v>1</v>
      </c>
      <c r="E7373" t="s">
        <v>1</v>
      </c>
      <c r="F7373" t="s">
        <v>0</v>
      </c>
      <c r="G7373" t="str">
        <f>"2018-10-16 12:49:16"</f>
        <v>2018-10-16 12:49:16</v>
      </c>
    </row>
    <row r="7374" spans="1:7" x14ac:dyDescent="0.2">
      <c r="A7374" t="s">
        <v>8186</v>
      </c>
      <c r="B7374" t="str">
        <f>"13881399345"</f>
        <v>13881399345</v>
      </c>
      <c r="C7374" t="str">
        <f>"511113198606050331"</f>
        <v>511113198606050331</v>
      </c>
      <c r="D7374" t="s">
        <v>1</v>
      </c>
      <c r="E7374" t="s">
        <v>1</v>
      </c>
      <c r="F7374" t="s">
        <v>0</v>
      </c>
      <c r="G7374" t="str">
        <f>"2018-10-23 16:09:10"</f>
        <v>2018-10-23 16:09:10</v>
      </c>
    </row>
    <row r="7375" spans="1:7" x14ac:dyDescent="0.2">
      <c r="A7375" t="s">
        <v>8187</v>
      </c>
      <c r="B7375" t="str">
        <f>"13139042151"</f>
        <v>13139042151</v>
      </c>
      <c r="C7375" t="str">
        <f>"630121199205123131"</f>
        <v>630121199205123131</v>
      </c>
      <c r="D7375" t="s">
        <v>1</v>
      </c>
      <c r="E7375" t="s">
        <v>1</v>
      </c>
      <c r="F7375" t="s">
        <v>0</v>
      </c>
      <c r="G7375" t="str">
        <f>"2018-10-16 12:52:32"</f>
        <v>2018-10-16 12:52:32</v>
      </c>
    </row>
    <row r="7376" spans="1:7" x14ac:dyDescent="0.2">
      <c r="A7376" t="s">
        <v>8188</v>
      </c>
      <c r="B7376" t="str">
        <f>"15860561065"</f>
        <v>15860561065</v>
      </c>
      <c r="C7376" t="str">
        <f>"350521197212115039"</f>
        <v>350521197212115039</v>
      </c>
      <c r="D7376" t="s">
        <v>1</v>
      </c>
      <c r="E7376" t="s">
        <v>1</v>
      </c>
      <c r="F7376" t="s">
        <v>0</v>
      </c>
      <c r="G7376" t="str">
        <f>"2018-10-16 13:48:30"</f>
        <v>2018-10-16 13:48:30</v>
      </c>
    </row>
    <row r="7377" spans="1:7" x14ac:dyDescent="0.2">
      <c r="A7377" t="s">
        <v>1</v>
      </c>
      <c r="B7377" t="str">
        <f>"13715161517"</f>
        <v>13715161517</v>
      </c>
      <c r="C7377" t="s">
        <v>1</v>
      </c>
      <c r="D7377" t="s">
        <v>1</v>
      </c>
      <c r="E7377" t="s">
        <v>1</v>
      </c>
      <c r="F7377" t="s">
        <v>0</v>
      </c>
      <c r="G7377" t="str">
        <f>"2018-10-16 12:46:48"</f>
        <v>2018-10-16 12:46:48</v>
      </c>
    </row>
    <row r="7378" spans="1:7" x14ac:dyDescent="0.2">
      <c r="A7378" t="s">
        <v>1</v>
      </c>
      <c r="B7378" t="str">
        <f>"13092289449"</f>
        <v>13092289449</v>
      </c>
      <c r="C7378" t="s">
        <v>1</v>
      </c>
      <c r="D7378" t="s">
        <v>1</v>
      </c>
      <c r="E7378" t="s">
        <v>1</v>
      </c>
      <c r="F7378" t="s">
        <v>0</v>
      </c>
      <c r="G7378" t="str">
        <f>"2018-10-16 12:46:44"</f>
        <v>2018-10-16 12:46:44</v>
      </c>
    </row>
    <row r="7379" spans="1:7" x14ac:dyDescent="0.2">
      <c r="A7379" t="s">
        <v>8189</v>
      </c>
      <c r="B7379" t="str">
        <f>"18264468000"</f>
        <v>18264468000</v>
      </c>
      <c r="C7379" t="str">
        <f>"370724198105050792"</f>
        <v>370724198105050792</v>
      </c>
      <c r="D7379" t="s">
        <v>1</v>
      </c>
      <c r="E7379" t="s">
        <v>1</v>
      </c>
      <c r="F7379" t="s">
        <v>0</v>
      </c>
      <c r="G7379" t="str">
        <f>"2018-10-16 12:48:31"</f>
        <v>2018-10-16 12:48:31</v>
      </c>
    </row>
    <row r="7380" spans="1:7" x14ac:dyDescent="0.2">
      <c r="A7380" t="s">
        <v>1304</v>
      </c>
      <c r="B7380" t="str">
        <f>"15980993260"</f>
        <v>15980993260</v>
      </c>
      <c r="C7380" t="str">
        <f>"350583199003248933"</f>
        <v>350583199003248933</v>
      </c>
      <c r="D7380" t="s">
        <v>1</v>
      </c>
      <c r="E7380" t="s">
        <v>1</v>
      </c>
      <c r="F7380" t="s">
        <v>0</v>
      </c>
      <c r="G7380" t="str">
        <f>"2018-10-16 12:56:36"</f>
        <v>2018-10-16 12:56:36</v>
      </c>
    </row>
    <row r="7381" spans="1:7" x14ac:dyDescent="0.2">
      <c r="A7381" t="s">
        <v>8190</v>
      </c>
      <c r="B7381" t="str">
        <f>"13728295393"</f>
        <v>13728295393</v>
      </c>
      <c r="C7381" t="str">
        <f>"411324198404155617"</f>
        <v>411324198404155617</v>
      </c>
      <c r="D7381" t="s">
        <v>1</v>
      </c>
      <c r="E7381" t="s">
        <v>1</v>
      </c>
      <c r="F7381" t="s">
        <v>0</v>
      </c>
      <c r="G7381" t="str">
        <f>"2018-10-16 12:49:08"</f>
        <v>2018-10-16 12:49:08</v>
      </c>
    </row>
    <row r="7382" spans="1:7" x14ac:dyDescent="0.2">
      <c r="A7382" t="s">
        <v>8191</v>
      </c>
      <c r="B7382" t="str">
        <f>"18820793174"</f>
        <v>18820793174</v>
      </c>
      <c r="C7382" t="str">
        <f>"44081119851123234X"</f>
        <v>44081119851123234X</v>
      </c>
      <c r="D7382" t="s">
        <v>1</v>
      </c>
      <c r="E7382" t="s">
        <v>1</v>
      </c>
      <c r="F7382" t="s">
        <v>0</v>
      </c>
      <c r="G7382" t="str">
        <f>"2018-10-16 12:47:45"</f>
        <v>2018-10-16 12:47:45</v>
      </c>
    </row>
    <row r="7383" spans="1:7" x14ac:dyDescent="0.2">
      <c r="A7383" t="s">
        <v>1</v>
      </c>
      <c r="B7383" t="str">
        <f>"13333817171"</f>
        <v>13333817171</v>
      </c>
      <c r="C7383" t="s">
        <v>1</v>
      </c>
      <c r="D7383" t="s">
        <v>1</v>
      </c>
      <c r="E7383" t="s">
        <v>1</v>
      </c>
      <c r="F7383" t="s">
        <v>0</v>
      </c>
      <c r="G7383" t="str">
        <f>"2018-10-16 12:46:10"</f>
        <v>2018-10-16 12:46:10</v>
      </c>
    </row>
    <row r="7384" spans="1:7" x14ac:dyDescent="0.2">
      <c r="A7384" t="s">
        <v>8192</v>
      </c>
      <c r="B7384" t="str">
        <f>"18670477845"</f>
        <v>18670477845</v>
      </c>
      <c r="C7384" t="str">
        <f>"430421197901126037"</f>
        <v>430421197901126037</v>
      </c>
      <c r="D7384" t="s">
        <v>1</v>
      </c>
      <c r="E7384" t="s">
        <v>1</v>
      </c>
      <c r="F7384" t="s">
        <v>0</v>
      </c>
      <c r="G7384" t="str">
        <f>"2018-10-16 12:46:53"</f>
        <v>2018-10-16 12:46:53</v>
      </c>
    </row>
    <row r="7385" spans="1:7" x14ac:dyDescent="0.2">
      <c r="A7385" t="s">
        <v>8193</v>
      </c>
      <c r="B7385" t="str">
        <f>"13529388829"</f>
        <v>13529388829</v>
      </c>
      <c r="C7385" t="str">
        <f>"530125198301120456"</f>
        <v>530125198301120456</v>
      </c>
      <c r="D7385" t="s">
        <v>1</v>
      </c>
      <c r="E7385" t="s">
        <v>1</v>
      </c>
      <c r="F7385" t="s">
        <v>0</v>
      </c>
      <c r="G7385" t="str">
        <f>"2018-10-16 14:22:27"</f>
        <v>2018-10-16 14:22:27</v>
      </c>
    </row>
    <row r="7386" spans="1:7" x14ac:dyDescent="0.2">
      <c r="A7386" t="s">
        <v>8194</v>
      </c>
      <c r="B7386" t="str">
        <f>"18849686968"</f>
        <v>18849686968</v>
      </c>
      <c r="C7386" t="str">
        <f>"532928199202270730"</f>
        <v>532928199202270730</v>
      </c>
      <c r="D7386" t="s">
        <v>8195</v>
      </c>
      <c r="E7386" t="s">
        <v>8196</v>
      </c>
      <c r="F7386" t="s">
        <v>0</v>
      </c>
      <c r="G7386" t="str">
        <f>"2018-10-16 12:46:53"</f>
        <v>2018-10-16 12:46:53</v>
      </c>
    </row>
    <row r="7387" spans="1:7" x14ac:dyDescent="0.2">
      <c r="A7387" t="s">
        <v>8197</v>
      </c>
      <c r="B7387" t="str">
        <f>"18806582039"</f>
        <v>18806582039</v>
      </c>
      <c r="C7387" t="str">
        <f>"522321198908121936"</f>
        <v>522321198908121936</v>
      </c>
      <c r="D7387" t="s">
        <v>1</v>
      </c>
      <c r="E7387" t="s">
        <v>1</v>
      </c>
      <c r="F7387" t="s">
        <v>0</v>
      </c>
      <c r="G7387" t="str">
        <f>"2018-10-16 13:02:49"</f>
        <v>2018-10-16 13:02:49</v>
      </c>
    </row>
    <row r="7388" spans="1:7" x14ac:dyDescent="0.2">
      <c r="A7388" t="s">
        <v>8198</v>
      </c>
      <c r="B7388" t="str">
        <f>"13629688346"</f>
        <v>13629688346</v>
      </c>
      <c r="C7388" t="str">
        <f>"530127198710270036"</f>
        <v>530127198710270036</v>
      </c>
      <c r="D7388" t="s">
        <v>1</v>
      </c>
      <c r="E7388" t="s">
        <v>1</v>
      </c>
      <c r="F7388" t="s">
        <v>0</v>
      </c>
      <c r="G7388" t="str">
        <f>"2018-10-16 12:45:22"</f>
        <v>2018-10-16 12:45:22</v>
      </c>
    </row>
    <row r="7389" spans="1:7" x14ac:dyDescent="0.2">
      <c r="A7389" t="s">
        <v>8199</v>
      </c>
      <c r="B7389" t="str">
        <f>"18686949366"</f>
        <v>18686949366</v>
      </c>
      <c r="C7389" t="str">
        <f>"230203198202260222"</f>
        <v>230203198202260222</v>
      </c>
      <c r="D7389" t="s">
        <v>1</v>
      </c>
      <c r="E7389" t="s">
        <v>1</v>
      </c>
      <c r="F7389" t="s">
        <v>0</v>
      </c>
      <c r="G7389" t="str">
        <f>"2018-10-16 12:47:04"</f>
        <v>2018-10-16 12:47:04</v>
      </c>
    </row>
    <row r="7390" spans="1:7" x14ac:dyDescent="0.2">
      <c r="A7390" t="s">
        <v>1</v>
      </c>
      <c r="B7390" t="str">
        <f>"13192032892"</f>
        <v>13192032892</v>
      </c>
      <c r="C7390" t="s">
        <v>1</v>
      </c>
      <c r="D7390" t="s">
        <v>1</v>
      </c>
      <c r="E7390" t="s">
        <v>1</v>
      </c>
      <c r="F7390" t="s">
        <v>0</v>
      </c>
      <c r="G7390" t="str">
        <f>"2018-10-16 12:43:38"</f>
        <v>2018-10-16 12:43:38</v>
      </c>
    </row>
    <row r="7391" spans="1:7" x14ac:dyDescent="0.2">
      <c r="A7391" t="s">
        <v>8200</v>
      </c>
      <c r="B7391" t="str">
        <f>"18566087828"</f>
        <v>18566087828</v>
      </c>
      <c r="C7391" t="str">
        <f>"511323199510131311"</f>
        <v>511323199510131311</v>
      </c>
      <c r="D7391" t="s">
        <v>1</v>
      </c>
      <c r="E7391" t="s">
        <v>1</v>
      </c>
      <c r="F7391" t="s">
        <v>0</v>
      </c>
      <c r="G7391" t="str">
        <f>"2018-10-16 12:43:45"</f>
        <v>2018-10-16 12:43:45</v>
      </c>
    </row>
    <row r="7392" spans="1:7" x14ac:dyDescent="0.2">
      <c r="A7392" t="s">
        <v>8201</v>
      </c>
      <c r="B7392" t="str">
        <f>"13315225051"</f>
        <v>13315225051</v>
      </c>
      <c r="C7392" t="str">
        <f>"130682199401241372"</f>
        <v>130682199401241372</v>
      </c>
      <c r="D7392" t="s">
        <v>8202</v>
      </c>
      <c r="E7392" t="s">
        <v>8203</v>
      </c>
      <c r="F7392" t="s">
        <v>0</v>
      </c>
      <c r="G7392" t="str">
        <f>"2018-10-16 13:00:13"</f>
        <v>2018-10-16 13:00:13</v>
      </c>
    </row>
    <row r="7393" spans="1:7" x14ac:dyDescent="0.2">
      <c r="A7393" t="s">
        <v>8204</v>
      </c>
      <c r="B7393" t="str">
        <f>"18288641965"</f>
        <v>18288641965</v>
      </c>
      <c r="C7393" t="str">
        <f>"530323199408081971"</f>
        <v>530323199408081971</v>
      </c>
      <c r="D7393" t="s">
        <v>1</v>
      </c>
      <c r="E7393" t="s">
        <v>1</v>
      </c>
      <c r="F7393" t="s">
        <v>0</v>
      </c>
      <c r="G7393" t="str">
        <f>"2018-10-16 12:45:22"</f>
        <v>2018-10-16 12:45:22</v>
      </c>
    </row>
    <row r="7394" spans="1:7" x14ac:dyDescent="0.2">
      <c r="A7394" t="s">
        <v>1</v>
      </c>
      <c r="B7394" t="str">
        <f>"15045699399"</f>
        <v>15045699399</v>
      </c>
      <c r="C7394" t="s">
        <v>1</v>
      </c>
      <c r="D7394" t="s">
        <v>1</v>
      </c>
      <c r="E7394" t="s">
        <v>1</v>
      </c>
      <c r="F7394" t="s">
        <v>0</v>
      </c>
      <c r="G7394" t="str">
        <f>"2018-10-16 12:42:01"</f>
        <v>2018-10-16 12:42:01</v>
      </c>
    </row>
    <row r="7395" spans="1:7" x14ac:dyDescent="0.2">
      <c r="A7395" t="s">
        <v>1</v>
      </c>
      <c r="B7395" t="str">
        <f>"13073560333"</f>
        <v>13073560333</v>
      </c>
      <c r="C7395" t="s">
        <v>1</v>
      </c>
      <c r="D7395" t="s">
        <v>1</v>
      </c>
      <c r="E7395" t="s">
        <v>1</v>
      </c>
      <c r="F7395" t="s">
        <v>0</v>
      </c>
      <c r="G7395" t="str">
        <f>"2018-10-16 12:43:22"</f>
        <v>2018-10-16 12:43:22</v>
      </c>
    </row>
    <row r="7396" spans="1:7" x14ac:dyDescent="0.2">
      <c r="A7396" t="s">
        <v>8205</v>
      </c>
      <c r="B7396" t="str">
        <f>"18872880711"</f>
        <v>18872880711</v>
      </c>
      <c r="C7396" t="str">
        <f>"420704198802024257"</f>
        <v>420704198802024257</v>
      </c>
      <c r="D7396" t="s">
        <v>1</v>
      </c>
      <c r="E7396" t="s">
        <v>1</v>
      </c>
      <c r="F7396" t="s">
        <v>0</v>
      </c>
      <c r="G7396" t="str">
        <f>"2018-10-16 12:44:09"</f>
        <v>2018-10-16 12:44:09</v>
      </c>
    </row>
    <row r="7397" spans="1:7" x14ac:dyDescent="0.2">
      <c r="A7397" t="s">
        <v>1</v>
      </c>
      <c r="B7397" t="str">
        <f>"15853726775"</f>
        <v>15853726775</v>
      </c>
      <c r="C7397" t="s">
        <v>1</v>
      </c>
      <c r="D7397" t="s">
        <v>1</v>
      </c>
      <c r="E7397" t="s">
        <v>1</v>
      </c>
      <c r="F7397" t="s">
        <v>0</v>
      </c>
      <c r="G7397" t="str">
        <f>"2018-10-16 12:42:36"</f>
        <v>2018-10-16 12:42:36</v>
      </c>
    </row>
    <row r="7398" spans="1:7" x14ac:dyDescent="0.2">
      <c r="A7398" t="s">
        <v>8206</v>
      </c>
      <c r="B7398" t="str">
        <f>"13972762506"</f>
        <v>13972762506</v>
      </c>
      <c r="C7398" t="str">
        <f>"420281199602116536"</f>
        <v>420281199602116536</v>
      </c>
      <c r="D7398" t="s">
        <v>1</v>
      </c>
      <c r="E7398" t="s">
        <v>1</v>
      </c>
      <c r="F7398" t="s">
        <v>0</v>
      </c>
      <c r="G7398" t="str">
        <f>"2018-10-16 12:42:29"</f>
        <v>2018-10-16 12:42:29</v>
      </c>
    </row>
    <row r="7399" spans="1:7" x14ac:dyDescent="0.2">
      <c r="A7399" t="s">
        <v>8207</v>
      </c>
      <c r="B7399" t="str">
        <f>"13016957067"</f>
        <v>13016957067</v>
      </c>
      <c r="C7399" t="str">
        <f>"36042919970320231X"</f>
        <v>36042919970320231X</v>
      </c>
      <c r="D7399" t="s">
        <v>1</v>
      </c>
      <c r="E7399" t="s">
        <v>1</v>
      </c>
      <c r="F7399" t="s">
        <v>0</v>
      </c>
      <c r="G7399" t="str">
        <f>"2018-10-16 12:43:42"</f>
        <v>2018-10-16 12:43:42</v>
      </c>
    </row>
    <row r="7400" spans="1:7" x14ac:dyDescent="0.2">
      <c r="A7400" t="s">
        <v>8207</v>
      </c>
      <c r="B7400" t="str">
        <f>"13016957067"</f>
        <v>13016957067</v>
      </c>
      <c r="C7400" t="str">
        <f>"36042919970320231X"</f>
        <v>36042919970320231X</v>
      </c>
      <c r="D7400" t="s">
        <v>1</v>
      </c>
      <c r="E7400" t="s">
        <v>1</v>
      </c>
      <c r="F7400" t="s">
        <v>0</v>
      </c>
      <c r="G7400" t="str">
        <f>"2018-10-16 12:43:42"</f>
        <v>2018-10-16 12:43:42</v>
      </c>
    </row>
    <row r="7401" spans="1:7" x14ac:dyDescent="0.2">
      <c r="A7401" t="s">
        <v>1</v>
      </c>
      <c r="B7401" t="str">
        <f>"18945286548"</f>
        <v>18945286548</v>
      </c>
      <c r="C7401" t="s">
        <v>1</v>
      </c>
      <c r="D7401" t="s">
        <v>1</v>
      </c>
      <c r="E7401" t="s">
        <v>1</v>
      </c>
      <c r="F7401" t="s">
        <v>0</v>
      </c>
      <c r="G7401" t="str">
        <f>"2018-10-16 12:42:51"</f>
        <v>2018-10-16 12:42:51</v>
      </c>
    </row>
    <row r="7402" spans="1:7" x14ac:dyDescent="0.2">
      <c r="A7402" t="s">
        <v>1</v>
      </c>
      <c r="B7402" t="str">
        <f>"17708881466"</f>
        <v>17708881466</v>
      </c>
      <c r="C7402" t="s">
        <v>1</v>
      </c>
      <c r="D7402" t="s">
        <v>1</v>
      </c>
      <c r="E7402" t="s">
        <v>1</v>
      </c>
      <c r="F7402" t="s">
        <v>0</v>
      </c>
      <c r="G7402" t="str">
        <f>"2018-10-16 12:40:44"</f>
        <v>2018-10-16 12:40:44</v>
      </c>
    </row>
    <row r="7403" spans="1:7" x14ac:dyDescent="0.2">
      <c r="A7403" t="s">
        <v>1</v>
      </c>
      <c r="B7403" t="str">
        <f>"18946747376"</f>
        <v>18946747376</v>
      </c>
      <c r="C7403" t="s">
        <v>1</v>
      </c>
      <c r="D7403" t="s">
        <v>1</v>
      </c>
      <c r="E7403" t="s">
        <v>1</v>
      </c>
      <c r="F7403" t="s">
        <v>0</v>
      </c>
      <c r="G7403" t="str">
        <f>"2018-10-16 12:41:51"</f>
        <v>2018-10-16 12:41:51</v>
      </c>
    </row>
    <row r="7404" spans="1:7" x14ac:dyDescent="0.2">
      <c r="A7404" t="s">
        <v>8208</v>
      </c>
      <c r="B7404" t="str">
        <f>"18094257672"</f>
        <v>18094257672</v>
      </c>
      <c r="C7404" t="str">
        <f>"320724199111010311"</f>
        <v>320724199111010311</v>
      </c>
      <c r="D7404" t="s">
        <v>1</v>
      </c>
      <c r="E7404" t="s">
        <v>1</v>
      </c>
      <c r="F7404" t="s">
        <v>0</v>
      </c>
      <c r="G7404" t="str">
        <f>"2018-10-19 11:32:20"</f>
        <v>2018-10-19 11:32:20</v>
      </c>
    </row>
    <row r="7405" spans="1:7" x14ac:dyDescent="0.2">
      <c r="A7405" t="s">
        <v>1</v>
      </c>
      <c r="B7405" t="str">
        <f>"15738586177"</f>
        <v>15738586177</v>
      </c>
      <c r="C7405" t="s">
        <v>1</v>
      </c>
      <c r="D7405" t="s">
        <v>1</v>
      </c>
      <c r="E7405" t="s">
        <v>1</v>
      </c>
      <c r="F7405" t="s">
        <v>0</v>
      </c>
      <c r="G7405" t="str">
        <f>"2018-10-16 12:53:07"</f>
        <v>2018-10-16 12:53:07</v>
      </c>
    </row>
    <row r="7406" spans="1:7" x14ac:dyDescent="0.2">
      <c r="A7406" t="s">
        <v>1</v>
      </c>
      <c r="B7406" t="str">
        <f>"18873871716"</f>
        <v>18873871716</v>
      </c>
      <c r="C7406" t="s">
        <v>1</v>
      </c>
      <c r="D7406" t="s">
        <v>1</v>
      </c>
      <c r="E7406" t="s">
        <v>1</v>
      </c>
      <c r="F7406" t="s">
        <v>0</v>
      </c>
      <c r="G7406" t="str">
        <f>"2018-10-16 12:39:45"</f>
        <v>2018-10-16 12:39:45</v>
      </c>
    </row>
    <row r="7407" spans="1:7" x14ac:dyDescent="0.2">
      <c r="A7407" t="s">
        <v>8209</v>
      </c>
      <c r="B7407" t="str">
        <f>"13638409831"</f>
        <v>13638409831</v>
      </c>
      <c r="C7407" t="str">
        <f>"430602199212083538"</f>
        <v>430602199212083538</v>
      </c>
      <c r="D7407" t="s">
        <v>1</v>
      </c>
      <c r="E7407" t="s">
        <v>1</v>
      </c>
      <c r="F7407" t="s">
        <v>0</v>
      </c>
      <c r="G7407" t="str">
        <f>"2018-10-16 12:39:44"</f>
        <v>2018-10-16 12:39:44</v>
      </c>
    </row>
    <row r="7408" spans="1:7" x14ac:dyDescent="0.2">
      <c r="A7408" t="s">
        <v>8210</v>
      </c>
      <c r="B7408" t="str">
        <f>"15609123344"</f>
        <v>15609123344</v>
      </c>
      <c r="C7408" t="str">
        <f>"612701198912271441"</f>
        <v>612701198912271441</v>
      </c>
      <c r="D7408" t="s">
        <v>1</v>
      </c>
      <c r="E7408" t="s">
        <v>1</v>
      </c>
      <c r="F7408" t="s">
        <v>0</v>
      </c>
      <c r="G7408" t="str">
        <f>"2018-10-30 10:31:58"</f>
        <v>2018-10-30 10:31:58</v>
      </c>
    </row>
    <row r="7409" spans="1:7" x14ac:dyDescent="0.2">
      <c r="A7409" t="s">
        <v>1</v>
      </c>
      <c r="B7409" t="str">
        <f>"15390801405"</f>
        <v>15390801405</v>
      </c>
      <c r="C7409" t="s">
        <v>1</v>
      </c>
      <c r="D7409" t="s">
        <v>1</v>
      </c>
      <c r="E7409" t="s">
        <v>1</v>
      </c>
      <c r="F7409" t="s">
        <v>0</v>
      </c>
      <c r="G7409" t="str">
        <f>"2018-10-16 12:38:48"</f>
        <v>2018-10-16 12:38:48</v>
      </c>
    </row>
    <row r="7410" spans="1:7" x14ac:dyDescent="0.2">
      <c r="A7410" t="s">
        <v>1122</v>
      </c>
      <c r="B7410" t="str">
        <f>"18713129576"</f>
        <v>18713129576</v>
      </c>
      <c r="C7410" t="str">
        <f>"130527199305200511"</f>
        <v>130527199305200511</v>
      </c>
      <c r="D7410" t="s">
        <v>8211</v>
      </c>
      <c r="E7410" t="s">
        <v>8212</v>
      </c>
      <c r="F7410" t="s">
        <v>0</v>
      </c>
      <c r="G7410" t="str">
        <f>"2018-10-16 12:39:53"</f>
        <v>2018-10-16 12:39:53</v>
      </c>
    </row>
    <row r="7411" spans="1:7" x14ac:dyDescent="0.2">
      <c r="A7411" t="s">
        <v>4066</v>
      </c>
      <c r="B7411" t="str">
        <f>"15629520312"</f>
        <v>15629520312</v>
      </c>
      <c r="C7411" t="str">
        <f>"42032419910312242X"</f>
        <v>42032419910312242X</v>
      </c>
      <c r="D7411" t="s">
        <v>1</v>
      </c>
      <c r="E7411" t="s">
        <v>1</v>
      </c>
      <c r="F7411" t="s">
        <v>0</v>
      </c>
      <c r="G7411" t="str">
        <f>"2018-10-16 13:23:37"</f>
        <v>2018-10-16 13:23:37</v>
      </c>
    </row>
    <row r="7412" spans="1:7" x14ac:dyDescent="0.2">
      <c r="A7412" t="s">
        <v>8213</v>
      </c>
      <c r="B7412" t="str">
        <f>"13347599463"</f>
        <v>13347599463</v>
      </c>
      <c r="C7412" t="str">
        <f>"450521197812241577"</f>
        <v>450521197812241577</v>
      </c>
      <c r="D7412" t="s">
        <v>1</v>
      </c>
      <c r="E7412" t="s">
        <v>1</v>
      </c>
      <c r="F7412" t="s">
        <v>0</v>
      </c>
      <c r="G7412" t="str">
        <f>"2018-10-16 12:37:11"</f>
        <v>2018-10-16 12:37:11</v>
      </c>
    </row>
    <row r="7413" spans="1:7" x14ac:dyDescent="0.2">
      <c r="A7413" t="s">
        <v>8214</v>
      </c>
      <c r="B7413" t="str">
        <f>"15989412565"</f>
        <v>15989412565</v>
      </c>
      <c r="C7413" t="str">
        <f>"441424199806183034"</f>
        <v>441424199806183034</v>
      </c>
      <c r="D7413" t="s">
        <v>1</v>
      </c>
      <c r="E7413" t="s">
        <v>1</v>
      </c>
      <c r="F7413" t="s">
        <v>0</v>
      </c>
      <c r="G7413" t="str">
        <f>"2018-10-16 12:39:34"</f>
        <v>2018-10-16 12:39:34</v>
      </c>
    </row>
    <row r="7414" spans="1:7" x14ac:dyDescent="0.2">
      <c r="A7414" t="s">
        <v>8215</v>
      </c>
      <c r="B7414" t="str">
        <f>"15168443701"</f>
        <v>15168443701</v>
      </c>
      <c r="C7414" t="str">
        <f>"339005199204020618"</f>
        <v>339005199204020618</v>
      </c>
      <c r="D7414" t="s">
        <v>8216</v>
      </c>
      <c r="E7414" t="s">
        <v>8217</v>
      </c>
      <c r="F7414" t="s">
        <v>0</v>
      </c>
      <c r="G7414" t="str">
        <f>"2018-10-16 12:39:27"</f>
        <v>2018-10-16 12:39:27</v>
      </c>
    </row>
    <row r="7415" spans="1:7" x14ac:dyDescent="0.2">
      <c r="A7415" t="s">
        <v>8218</v>
      </c>
      <c r="B7415" t="str">
        <f>"18791357574"</f>
        <v>18791357574</v>
      </c>
      <c r="C7415" t="str">
        <f>"610523199208123664"</f>
        <v>610523199208123664</v>
      </c>
      <c r="D7415" t="s">
        <v>1</v>
      </c>
      <c r="E7415" t="s">
        <v>1</v>
      </c>
      <c r="F7415" t="s">
        <v>0</v>
      </c>
      <c r="G7415" t="str">
        <f>"2018-10-25 18:53:31"</f>
        <v>2018-10-25 18:53:31</v>
      </c>
    </row>
    <row r="7416" spans="1:7" x14ac:dyDescent="0.2">
      <c r="A7416" t="s">
        <v>8219</v>
      </c>
      <c r="B7416" t="str">
        <f>"18393855285"</f>
        <v>18393855285</v>
      </c>
      <c r="C7416" t="str">
        <f>"620423198203181058"</f>
        <v>620423198203181058</v>
      </c>
      <c r="D7416" t="s">
        <v>1</v>
      </c>
      <c r="E7416" t="s">
        <v>1</v>
      </c>
      <c r="F7416" t="s">
        <v>0</v>
      </c>
      <c r="G7416" t="str">
        <f>"2018-10-19 18:55:33"</f>
        <v>2018-10-19 18:55:33</v>
      </c>
    </row>
    <row r="7417" spans="1:7" x14ac:dyDescent="0.2">
      <c r="A7417" t="s">
        <v>8220</v>
      </c>
      <c r="B7417" t="str">
        <f>"15763299852"</f>
        <v>15763299852</v>
      </c>
      <c r="C7417" t="str">
        <f>"370481198312108265"</f>
        <v>370481198312108265</v>
      </c>
      <c r="D7417" t="s">
        <v>1</v>
      </c>
      <c r="E7417" t="s">
        <v>1</v>
      </c>
      <c r="F7417" t="s">
        <v>0</v>
      </c>
      <c r="G7417" t="str">
        <f>"2018-10-16 12:37:02"</f>
        <v>2018-10-16 12:37:02</v>
      </c>
    </row>
    <row r="7418" spans="1:7" x14ac:dyDescent="0.2">
      <c r="A7418" t="s">
        <v>8221</v>
      </c>
      <c r="B7418" t="str">
        <f>"15080811803"</f>
        <v>15080811803</v>
      </c>
      <c r="C7418" t="str">
        <f>"432503199208126251"</f>
        <v>432503199208126251</v>
      </c>
      <c r="D7418" t="s">
        <v>8222</v>
      </c>
      <c r="E7418" t="s">
        <v>8223</v>
      </c>
      <c r="F7418" t="s">
        <v>0</v>
      </c>
      <c r="G7418" t="str">
        <f>"2018-10-16 12:37:35"</f>
        <v>2018-10-16 12:37:35</v>
      </c>
    </row>
    <row r="7419" spans="1:7" x14ac:dyDescent="0.2">
      <c r="A7419" t="s">
        <v>8224</v>
      </c>
      <c r="B7419" t="str">
        <f>"18331697108"</f>
        <v>18331697108</v>
      </c>
      <c r="C7419" t="str">
        <f>"131026200012033214"</f>
        <v>131026200012033214</v>
      </c>
      <c r="D7419" t="s">
        <v>1</v>
      </c>
      <c r="E7419" t="s">
        <v>1</v>
      </c>
      <c r="F7419" t="s">
        <v>0</v>
      </c>
      <c r="G7419" t="str">
        <f>"2018-10-16 12:37:38"</f>
        <v>2018-10-16 12:37:38</v>
      </c>
    </row>
    <row r="7420" spans="1:7" x14ac:dyDescent="0.2">
      <c r="A7420" t="s">
        <v>1</v>
      </c>
      <c r="B7420" t="str">
        <f>"18559457901"</f>
        <v>18559457901</v>
      </c>
      <c r="C7420" t="s">
        <v>1</v>
      </c>
      <c r="D7420" t="s">
        <v>1</v>
      </c>
      <c r="E7420" t="s">
        <v>1</v>
      </c>
      <c r="F7420" t="s">
        <v>0</v>
      </c>
      <c r="G7420" t="str">
        <f>"2018-10-16 12:34:41"</f>
        <v>2018-10-16 12:34:41</v>
      </c>
    </row>
    <row r="7421" spans="1:7" x14ac:dyDescent="0.2">
      <c r="A7421" t="s">
        <v>633</v>
      </c>
      <c r="B7421" t="str">
        <f>"18704592262"</f>
        <v>18704592262</v>
      </c>
      <c r="C7421" t="str">
        <f>"232302199007293841"</f>
        <v>232302199007293841</v>
      </c>
      <c r="D7421" t="s">
        <v>1</v>
      </c>
      <c r="E7421" t="s">
        <v>1</v>
      </c>
      <c r="F7421" t="s">
        <v>0</v>
      </c>
      <c r="G7421" t="str">
        <f>"2018-10-23 16:45:40"</f>
        <v>2018-10-23 16:45:40</v>
      </c>
    </row>
    <row r="7422" spans="1:7" x14ac:dyDescent="0.2">
      <c r="A7422" t="s">
        <v>1</v>
      </c>
      <c r="B7422" t="str">
        <f>"18123653884"</f>
        <v>18123653884</v>
      </c>
      <c r="C7422" t="s">
        <v>1</v>
      </c>
      <c r="D7422" t="s">
        <v>1</v>
      </c>
      <c r="E7422" t="s">
        <v>1</v>
      </c>
      <c r="F7422" t="s">
        <v>0</v>
      </c>
      <c r="G7422" t="str">
        <f>"2018-10-16 12:36:08"</f>
        <v>2018-10-16 12:36:08</v>
      </c>
    </row>
    <row r="7423" spans="1:7" x14ac:dyDescent="0.2">
      <c r="A7423" t="s">
        <v>8225</v>
      </c>
      <c r="B7423" t="str">
        <f>"15937314455"</f>
        <v>15937314455</v>
      </c>
      <c r="C7423" t="str">
        <f>"410726199105155439"</f>
        <v>410726199105155439</v>
      </c>
      <c r="D7423" t="s">
        <v>1</v>
      </c>
      <c r="E7423" t="s">
        <v>1</v>
      </c>
      <c r="F7423" t="s">
        <v>0</v>
      </c>
      <c r="G7423" t="str">
        <f>"2018-10-16 12:34:21"</f>
        <v>2018-10-16 12:34:21</v>
      </c>
    </row>
    <row r="7424" spans="1:7" x14ac:dyDescent="0.2">
      <c r="A7424" t="s">
        <v>8226</v>
      </c>
      <c r="B7424" t="str">
        <f>"15857913803"</f>
        <v>15857913803</v>
      </c>
      <c r="C7424" t="str">
        <f>"330725197509306613"</f>
        <v>330725197509306613</v>
      </c>
      <c r="D7424" t="s">
        <v>1</v>
      </c>
      <c r="E7424" t="s">
        <v>1</v>
      </c>
      <c r="F7424" t="s">
        <v>0</v>
      </c>
      <c r="G7424" t="str">
        <f>"2018-10-17 08:55:35"</f>
        <v>2018-10-17 08:55:35</v>
      </c>
    </row>
    <row r="7425" spans="1:7" x14ac:dyDescent="0.2">
      <c r="A7425" t="s">
        <v>8227</v>
      </c>
      <c r="B7425" t="str">
        <f>"17307844151"</f>
        <v>17307844151</v>
      </c>
      <c r="C7425" t="str">
        <f>"452427200009263514"</f>
        <v>452427200009263514</v>
      </c>
      <c r="D7425" t="s">
        <v>1</v>
      </c>
      <c r="E7425" t="s">
        <v>1</v>
      </c>
      <c r="F7425" t="s">
        <v>0</v>
      </c>
      <c r="G7425" t="str">
        <f>"2018-10-16 12:35:49"</f>
        <v>2018-10-16 12:35:49</v>
      </c>
    </row>
    <row r="7426" spans="1:7" x14ac:dyDescent="0.2">
      <c r="A7426" t="s">
        <v>8228</v>
      </c>
      <c r="B7426" t="str">
        <f>"18315418000"</f>
        <v>18315418000</v>
      </c>
      <c r="C7426" t="str">
        <f>"370181198607016118"</f>
        <v>370181198607016118</v>
      </c>
      <c r="D7426" t="s">
        <v>8229</v>
      </c>
      <c r="E7426" t="s">
        <v>8230</v>
      </c>
      <c r="F7426" t="s">
        <v>0</v>
      </c>
      <c r="G7426" t="str">
        <f>"2018-10-18 17:07:59"</f>
        <v>2018-10-18 17:07:59</v>
      </c>
    </row>
    <row r="7427" spans="1:7" x14ac:dyDescent="0.2">
      <c r="A7427" t="s">
        <v>475</v>
      </c>
      <c r="B7427" t="str">
        <f>"13949994866"</f>
        <v>13949994866</v>
      </c>
      <c r="C7427" t="str">
        <f>"412723198805201318"</f>
        <v>412723198805201318</v>
      </c>
      <c r="D7427" t="s">
        <v>1</v>
      </c>
      <c r="E7427" t="s">
        <v>1</v>
      </c>
      <c r="F7427" t="s">
        <v>0</v>
      </c>
      <c r="G7427" t="str">
        <f>"2018-10-16 12:37:26"</f>
        <v>2018-10-16 12:37:26</v>
      </c>
    </row>
    <row r="7428" spans="1:7" x14ac:dyDescent="0.2">
      <c r="A7428" t="s">
        <v>8231</v>
      </c>
      <c r="B7428" t="str">
        <f>"13238384123"</f>
        <v>13238384123</v>
      </c>
      <c r="C7428" t="str">
        <f>"441900199210030877"</f>
        <v>441900199210030877</v>
      </c>
      <c r="D7428" t="s">
        <v>1</v>
      </c>
      <c r="E7428" t="s">
        <v>1</v>
      </c>
      <c r="F7428" t="s">
        <v>0</v>
      </c>
      <c r="G7428" t="str">
        <f>"2018-10-16 12:34:13"</f>
        <v>2018-10-16 12:34:13</v>
      </c>
    </row>
    <row r="7429" spans="1:7" x14ac:dyDescent="0.2">
      <c r="A7429" t="s">
        <v>8232</v>
      </c>
      <c r="B7429" t="str">
        <f>"15116924964"</f>
        <v>15116924964</v>
      </c>
      <c r="C7429" t="str">
        <f>"370126199303198418"</f>
        <v>370126199303198418</v>
      </c>
      <c r="D7429" t="s">
        <v>1</v>
      </c>
      <c r="E7429" t="s">
        <v>1</v>
      </c>
      <c r="F7429" t="s">
        <v>0</v>
      </c>
      <c r="G7429" t="str">
        <f>"2018-10-16 12:33:14"</f>
        <v>2018-10-16 12:33:14</v>
      </c>
    </row>
    <row r="7430" spans="1:7" x14ac:dyDescent="0.2">
      <c r="A7430" t="s">
        <v>8233</v>
      </c>
      <c r="B7430" t="str">
        <f>"13195567213"</f>
        <v>13195567213</v>
      </c>
      <c r="C7430" t="str">
        <f>"34082219830109161X"</f>
        <v>34082219830109161X</v>
      </c>
      <c r="D7430" t="s">
        <v>8234</v>
      </c>
      <c r="E7430" t="s">
        <v>8235</v>
      </c>
      <c r="F7430" t="s">
        <v>0</v>
      </c>
      <c r="G7430" t="str">
        <f>"2018-10-16 12:33:43"</f>
        <v>2018-10-16 12:33:43</v>
      </c>
    </row>
    <row r="7431" spans="1:7" x14ac:dyDescent="0.2">
      <c r="A7431" t="s">
        <v>8236</v>
      </c>
      <c r="B7431" t="str">
        <f>"17623887627"</f>
        <v>17623887627</v>
      </c>
      <c r="C7431" t="str">
        <f>"500226199401053116"</f>
        <v>500226199401053116</v>
      </c>
      <c r="D7431" t="s">
        <v>1</v>
      </c>
      <c r="E7431" t="s">
        <v>1</v>
      </c>
      <c r="F7431" t="s">
        <v>0</v>
      </c>
      <c r="G7431" t="str">
        <f>"2018-10-16 12:34:17"</f>
        <v>2018-10-16 12:34:17</v>
      </c>
    </row>
    <row r="7432" spans="1:7" x14ac:dyDescent="0.2">
      <c r="A7432" t="s">
        <v>1</v>
      </c>
      <c r="B7432" t="str">
        <f>"15022597889"</f>
        <v>15022597889</v>
      </c>
      <c r="C7432" t="s">
        <v>1</v>
      </c>
      <c r="D7432" t="s">
        <v>1</v>
      </c>
      <c r="E7432" t="s">
        <v>1</v>
      </c>
      <c r="F7432" t="s">
        <v>0</v>
      </c>
      <c r="G7432" t="str">
        <f>"2018-10-16 12:31:45"</f>
        <v>2018-10-16 12:31:45</v>
      </c>
    </row>
    <row r="7433" spans="1:7" x14ac:dyDescent="0.2">
      <c r="A7433" t="s">
        <v>8237</v>
      </c>
      <c r="B7433" t="str">
        <f>"15942113187"</f>
        <v>15942113187</v>
      </c>
      <c r="C7433" t="str">
        <f>"211381198808210432"</f>
        <v>211381198808210432</v>
      </c>
      <c r="D7433" t="s">
        <v>1</v>
      </c>
      <c r="E7433" t="s">
        <v>1</v>
      </c>
      <c r="F7433" t="s">
        <v>0</v>
      </c>
      <c r="G7433" t="str">
        <f>"2018-10-16 12:33:04"</f>
        <v>2018-10-16 12:33:04</v>
      </c>
    </row>
    <row r="7434" spans="1:7" x14ac:dyDescent="0.2">
      <c r="A7434" t="s">
        <v>8238</v>
      </c>
      <c r="B7434" t="str">
        <f>"18829910381"</f>
        <v>18829910381</v>
      </c>
      <c r="C7434" t="str">
        <f>"440602199010050051"</f>
        <v>440602199010050051</v>
      </c>
      <c r="D7434" t="s">
        <v>1</v>
      </c>
      <c r="E7434" t="s">
        <v>1</v>
      </c>
      <c r="F7434" t="s">
        <v>0</v>
      </c>
      <c r="G7434" t="str">
        <f>"2018-10-16 12:32:22"</f>
        <v>2018-10-16 12:32:22</v>
      </c>
    </row>
    <row r="7435" spans="1:7" x14ac:dyDescent="0.2">
      <c r="A7435" t="s">
        <v>457</v>
      </c>
      <c r="B7435" t="str">
        <f>"15038312537"</f>
        <v>15038312537</v>
      </c>
      <c r="C7435" t="str">
        <f>"410121197311093829"</f>
        <v>410121197311093829</v>
      </c>
      <c r="D7435" t="s">
        <v>1</v>
      </c>
      <c r="E7435" t="s">
        <v>1</v>
      </c>
      <c r="F7435" t="s">
        <v>0</v>
      </c>
      <c r="G7435" t="str">
        <f>"2018-10-16 12:29:51"</f>
        <v>2018-10-16 12:29:51</v>
      </c>
    </row>
    <row r="7436" spans="1:7" x14ac:dyDescent="0.2">
      <c r="A7436" t="s">
        <v>383</v>
      </c>
      <c r="B7436" t="str">
        <f>"13550441613"</f>
        <v>13550441613</v>
      </c>
      <c r="C7436" t="str">
        <f>"513434199311120018"</f>
        <v>513434199311120018</v>
      </c>
      <c r="D7436" t="s">
        <v>1</v>
      </c>
      <c r="E7436" t="s">
        <v>1</v>
      </c>
      <c r="F7436" t="s">
        <v>0</v>
      </c>
      <c r="G7436" t="str">
        <f>"2018-10-16 12:29:38"</f>
        <v>2018-10-16 12:29:38</v>
      </c>
    </row>
    <row r="7437" spans="1:7" x14ac:dyDescent="0.2">
      <c r="A7437" t="s">
        <v>8239</v>
      </c>
      <c r="B7437" t="str">
        <f>"13624007636"</f>
        <v>13624007636</v>
      </c>
      <c r="C7437" t="str">
        <f>"210112197508112217"</f>
        <v>210112197508112217</v>
      </c>
      <c r="D7437" t="s">
        <v>1</v>
      </c>
      <c r="E7437" t="s">
        <v>1</v>
      </c>
      <c r="F7437" t="s">
        <v>0</v>
      </c>
      <c r="G7437" t="str">
        <f>"2018-11-01 14:34:11"</f>
        <v>2018-11-01 14:34:11</v>
      </c>
    </row>
    <row r="7438" spans="1:7" x14ac:dyDescent="0.2">
      <c r="A7438" t="s">
        <v>8240</v>
      </c>
      <c r="B7438" t="str">
        <f>"13728300425"</f>
        <v>13728300425</v>
      </c>
      <c r="C7438" t="str">
        <f>"430528199910043056"</f>
        <v>430528199910043056</v>
      </c>
      <c r="D7438" t="s">
        <v>1</v>
      </c>
      <c r="E7438" t="s">
        <v>1</v>
      </c>
      <c r="F7438" t="s">
        <v>0</v>
      </c>
      <c r="G7438" t="str">
        <f>"2018-10-16 12:29:57"</f>
        <v>2018-10-16 12:29:57</v>
      </c>
    </row>
    <row r="7439" spans="1:7" x14ac:dyDescent="0.2">
      <c r="A7439" t="s">
        <v>1763</v>
      </c>
      <c r="B7439" t="str">
        <f>"15680723220"</f>
        <v>15680723220</v>
      </c>
      <c r="C7439" t="str">
        <f>"500235199805185031"</f>
        <v>500235199805185031</v>
      </c>
      <c r="D7439" t="s">
        <v>1</v>
      </c>
      <c r="E7439" t="s">
        <v>1</v>
      </c>
      <c r="F7439" t="s">
        <v>0</v>
      </c>
      <c r="G7439" t="str">
        <f>"2018-10-16 12:29:20"</f>
        <v>2018-10-16 12:29:20</v>
      </c>
    </row>
    <row r="7440" spans="1:7" x14ac:dyDescent="0.2">
      <c r="A7440" t="s">
        <v>1</v>
      </c>
      <c r="B7440" t="str">
        <f>"13176918653"</f>
        <v>13176918653</v>
      </c>
      <c r="C7440" t="s">
        <v>1</v>
      </c>
      <c r="D7440" t="s">
        <v>1</v>
      </c>
      <c r="E7440" t="s">
        <v>1</v>
      </c>
      <c r="F7440" t="s">
        <v>0</v>
      </c>
      <c r="G7440" t="str">
        <f>"2018-10-16 12:28:21"</f>
        <v>2018-10-16 12:28:21</v>
      </c>
    </row>
    <row r="7441" spans="1:7" x14ac:dyDescent="0.2">
      <c r="A7441" t="s">
        <v>8241</v>
      </c>
      <c r="B7441" t="str">
        <f>"13913675912"</f>
        <v>13913675912</v>
      </c>
      <c r="C7441" t="str">
        <f>"320581198612172310"</f>
        <v>320581198612172310</v>
      </c>
      <c r="D7441" t="s">
        <v>1</v>
      </c>
      <c r="E7441" t="s">
        <v>1</v>
      </c>
      <c r="F7441" t="s">
        <v>0</v>
      </c>
      <c r="G7441" t="str">
        <f>"2018-10-16 12:29:24"</f>
        <v>2018-10-16 12:29:24</v>
      </c>
    </row>
    <row r="7442" spans="1:7" x14ac:dyDescent="0.2">
      <c r="A7442" t="s">
        <v>8242</v>
      </c>
      <c r="B7442" t="str">
        <f>"18388162628"</f>
        <v>18388162628</v>
      </c>
      <c r="C7442" t="str">
        <f>"530113199610062228"</f>
        <v>530113199610062228</v>
      </c>
      <c r="D7442" t="s">
        <v>1</v>
      </c>
      <c r="E7442" t="s">
        <v>1</v>
      </c>
      <c r="F7442" t="s">
        <v>0</v>
      </c>
      <c r="G7442" t="str">
        <f>"2018-10-16 14:31:49"</f>
        <v>2018-10-16 14:31:49</v>
      </c>
    </row>
    <row r="7443" spans="1:7" x14ac:dyDescent="0.2">
      <c r="A7443" t="s">
        <v>8243</v>
      </c>
      <c r="B7443" t="str">
        <f>"15140849313"</f>
        <v>15140849313</v>
      </c>
      <c r="C7443" t="str">
        <f>"210726199710035921"</f>
        <v>210726199710035921</v>
      </c>
      <c r="D7443" t="s">
        <v>1</v>
      </c>
      <c r="E7443" t="s">
        <v>1</v>
      </c>
      <c r="F7443" t="s">
        <v>0</v>
      </c>
      <c r="G7443" t="str">
        <f>"2018-10-16 12:29:35"</f>
        <v>2018-10-16 12:29:35</v>
      </c>
    </row>
    <row r="7444" spans="1:7" x14ac:dyDescent="0.2">
      <c r="A7444" t="s">
        <v>88</v>
      </c>
      <c r="B7444" t="str">
        <f>"15324765705"</f>
        <v>15324765705</v>
      </c>
      <c r="C7444" t="str">
        <f>"411328199001285521"</f>
        <v>411328199001285521</v>
      </c>
      <c r="D7444" t="s">
        <v>1</v>
      </c>
      <c r="E7444" t="s">
        <v>1</v>
      </c>
      <c r="F7444" t="s">
        <v>0</v>
      </c>
      <c r="G7444" t="str">
        <f>"2018-10-16 12:29:09"</f>
        <v>2018-10-16 12:29:09</v>
      </c>
    </row>
    <row r="7445" spans="1:7" x14ac:dyDescent="0.2">
      <c r="A7445" t="s">
        <v>8244</v>
      </c>
      <c r="B7445" t="str">
        <f>"18267265884"</f>
        <v>18267265884</v>
      </c>
      <c r="C7445" t="str">
        <f>"330523198602286419"</f>
        <v>330523198602286419</v>
      </c>
      <c r="D7445" t="s">
        <v>1</v>
      </c>
      <c r="E7445" t="s">
        <v>1</v>
      </c>
      <c r="F7445" t="s">
        <v>0</v>
      </c>
      <c r="G7445" t="str">
        <f>"2018-10-16 12:32:22"</f>
        <v>2018-10-16 12:32:22</v>
      </c>
    </row>
    <row r="7446" spans="1:7" x14ac:dyDescent="0.2">
      <c r="A7446" t="s">
        <v>1</v>
      </c>
      <c r="B7446" t="str">
        <f>"15725540111"</f>
        <v>15725540111</v>
      </c>
      <c r="C7446" t="s">
        <v>1</v>
      </c>
      <c r="D7446" t="s">
        <v>1</v>
      </c>
      <c r="E7446" t="s">
        <v>1</v>
      </c>
      <c r="F7446" t="s">
        <v>0</v>
      </c>
      <c r="G7446" t="str">
        <f>"2018-10-16 12:27:26"</f>
        <v>2018-10-16 12:27:26</v>
      </c>
    </row>
    <row r="7447" spans="1:7" x14ac:dyDescent="0.2">
      <c r="A7447" t="s">
        <v>8245</v>
      </c>
      <c r="B7447" t="str">
        <f>"15111080869"</f>
        <v>15111080869</v>
      </c>
      <c r="C7447" t="str">
        <f>"452226199205106070"</f>
        <v>452226199205106070</v>
      </c>
      <c r="D7447" t="s">
        <v>1</v>
      </c>
      <c r="E7447" t="s">
        <v>1</v>
      </c>
      <c r="F7447" t="s">
        <v>0</v>
      </c>
      <c r="G7447" t="str">
        <f>"2018-10-16 12:29:22"</f>
        <v>2018-10-16 12:29:22</v>
      </c>
    </row>
    <row r="7448" spans="1:7" x14ac:dyDescent="0.2">
      <c r="A7448" t="s">
        <v>506</v>
      </c>
      <c r="B7448" t="str">
        <f>"18674505512"</f>
        <v>18674505512</v>
      </c>
      <c r="C7448" t="str">
        <f>"433022198206204621"</f>
        <v>433022198206204621</v>
      </c>
      <c r="D7448" t="s">
        <v>1</v>
      </c>
      <c r="E7448" t="s">
        <v>1</v>
      </c>
      <c r="F7448" t="s">
        <v>0</v>
      </c>
      <c r="G7448" t="str">
        <f>"2018-10-16 13:28:45"</f>
        <v>2018-10-16 13:28:45</v>
      </c>
    </row>
    <row r="7449" spans="1:7" x14ac:dyDescent="0.2">
      <c r="A7449" t="s">
        <v>1303</v>
      </c>
      <c r="B7449" t="str">
        <f>"18722928007"</f>
        <v>18722928007</v>
      </c>
      <c r="C7449" t="str">
        <f>"522221199212235256"</f>
        <v>522221199212235256</v>
      </c>
      <c r="D7449" t="s">
        <v>1</v>
      </c>
      <c r="E7449" t="s">
        <v>1</v>
      </c>
      <c r="F7449" t="s">
        <v>0</v>
      </c>
      <c r="G7449" t="str">
        <f>"2018-10-16 12:26:28"</f>
        <v>2018-10-16 12:26:28</v>
      </c>
    </row>
    <row r="7450" spans="1:7" x14ac:dyDescent="0.2">
      <c r="A7450" t="s">
        <v>8246</v>
      </c>
      <c r="B7450" t="str">
        <f>"15256158579"</f>
        <v>15256158579</v>
      </c>
      <c r="C7450" t="str">
        <f>"341281198811256558"</f>
        <v>341281198811256558</v>
      </c>
      <c r="D7450" t="s">
        <v>8247</v>
      </c>
      <c r="E7450" t="s">
        <v>8248</v>
      </c>
      <c r="F7450" t="s">
        <v>0</v>
      </c>
      <c r="G7450" t="str">
        <f>"2018-10-16 12:27:39"</f>
        <v>2018-10-16 12:27:39</v>
      </c>
    </row>
    <row r="7451" spans="1:7" x14ac:dyDescent="0.2">
      <c r="A7451" t="s">
        <v>8249</v>
      </c>
      <c r="B7451" t="str">
        <f>"13958491709"</f>
        <v>13958491709</v>
      </c>
      <c r="C7451" t="str">
        <f>"36212519771018101X"</f>
        <v>36212519771018101X</v>
      </c>
      <c r="D7451" t="s">
        <v>1</v>
      </c>
      <c r="E7451" t="s">
        <v>1</v>
      </c>
      <c r="F7451" t="s">
        <v>0</v>
      </c>
      <c r="G7451" t="str">
        <f>"2018-10-16 12:28:16"</f>
        <v>2018-10-16 12:28:16</v>
      </c>
    </row>
    <row r="7452" spans="1:7" x14ac:dyDescent="0.2">
      <c r="A7452" t="s">
        <v>8250</v>
      </c>
      <c r="B7452" t="str">
        <f>"18770528755"</f>
        <v>18770528755</v>
      </c>
      <c r="C7452" t="str">
        <f>"362227197905110359"</f>
        <v>362227197905110359</v>
      </c>
      <c r="D7452" t="s">
        <v>1</v>
      </c>
      <c r="E7452" t="s">
        <v>1</v>
      </c>
      <c r="F7452" t="s">
        <v>0</v>
      </c>
      <c r="G7452" t="str">
        <f>"2018-10-16 12:26:50"</f>
        <v>2018-10-16 12:26:50</v>
      </c>
    </row>
    <row r="7453" spans="1:7" x14ac:dyDescent="0.2">
      <c r="A7453" t="s">
        <v>8251</v>
      </c>
      <c r="B7453" t="str">
        <f>"15296796009"</f>
        <v>15296796009</v>
      </c>
      <c r="C7453" t="str">
        <f>"142701199901251519"</f>
        <v>142701199901251519</v>
      </c>
      <c r="D7453" t="s">
        <v>1</v>
      </c>
      <c r="E7453" t="s">
        <v>1</v>
      </c>
      <c r="F7453" t="s">
        <v>0</v>
      </c>
      <c r="G7453" t="str">
        <f>"2018-10-16 12:24:48"</f>
        <v>2018-10-16 12:24:48</v>
      </c>
    </row>
    <row r="7454" spans="1:7" x14ac:dyDescent="0.2">
      <c r="A7454" t="s">
        <v>1</v>
      </c>
      <c r="B7454" t="str">
        <f>"13487313070"</f>
        <v>13487313070</v>
      </c>
      <c r="C7454" t="s">
        <v>1</v>
      </c>
      <c r="D7454" t="s">
        <v>1</v>
      </c>
      <c r="E7454" t="s">
        <v>1</v>
      </c>
      <c r="F7454" t="s">
        <v>0</v>
      </c>
      <c r="G7454" t="str">
        <f>"2018-10-16 12:23:44"</f>
        <v>2018-10-16 12:23:44</v>
      </c>
    </row>
    <row r="7455" spans="1:7" x14ac:dyDescent="0.2">
      <c r="A7455" t="s">
        <v>8252</v>
      </c>
      <c r="B7455" t="str">
        <f>"15161005211"</f>
        <v>15161005211</v>
      </c>
      <c r="C7455" t="str">
        <f>"321283198405010025"</f>
        <v>321283198405010025</v>
      </c>
      <c r="D7455" t="s">
        <v>1</v>
      </c>
      <c r="E7455" t="s">
        <v>1</v>
      </c>
      <c r="F7455" t="s">
        <v>0</v>
      </c>
      <c r="G7455" t="str">
        <f>"2018-10-16 12:23:40"</f>
        <v>2018-10-16 12:23:40</v>
      </c>
    </row>
    <row r="7456" spans="1:7" x14ac:dyDescent="0.2">
      <c r="A7456" t="s">
        <v>8253</v>
      </c>
      <c r="B7456" t="str">
        <f>"15281342688"</f>
        <v>15281342688</v>
      </c>
      <c r="C7456" t="str">
        <f>"510321200002278191"</f>
        <v>510321200002278191</v>
      </c>
      <c r="D7456" t="s">
        <v>8254</v>
      </c>
      <c r="E7456" t="s">
        <v>8255</v>
      </c>
      <c r="F7456" t="s">
        <v>0</v>
      </c>
      <c r="G7456" t="str">
        <f>"2018-10-16 14:42:33"</f>
        <v>2018-10-16 14:42:33</v>
      </c>
    </row>
    <row r="7457" spans="1:7" x14ac:dyDescent="0.2">
      <c r="A7457" t="s">
        <v>8256</v>
      </c>
      <c r="B7457" t="str">
        <f>"13948530053"</f>
        <v>13948530053</v>
      </c>
      <c r="C7457" t="str">
        <f>"150422198301051231"</f>
        <v>150422198301051231</v>
      </c>
      <c r="D7457" t="s">
        <v>1</v>
      </c>
      <c r="E7457" t="s">
        <v>1</v>
      </c>
      <c r="F7457" t="s">
        <v>0</v>
      </c>
      <c r="G7457" t="str">
        <f>"2018-10-16 12:28:48"</f>
        <v>2018-10-16 12:28:48</v>
      </c>
    </row>
    <row r="7458" spans="1:7" x14ac:dyDescent="0.2">
      <c r="A7458" t="s">
        <v>8257</v>
      </c>
      <c r="B7458" t="str">
        <f>"13107971820"</f>
        <v>13107971820</v>
      </c>
      <c r="C7458" t="str">
        <f>"35032219881121053X"</f>
        <v>35032219881121053X</v>
      </c>
      <c r="D7458" t="s">
        <v>1</v>
      </c>
      <c r="E7458" t="s">
        <v>1</v>
      </c>
      <c r="F7458" t="s">
        <v>0</v>
      </c>
      <c r="G7458" t="str">
        <f>"2018-10-16 12:25:41"</f>
        <v>2018-10-16 12:25:41</v>
      </c>
    </row>
    <row r="7459" spans="1:7" x14ac:dyDescent="0.2">
      <c r="A7459" t="s">
        <v>8258</v>
      </c>
      <c r="B7459" t="str">
        <f>"13812170008"</f>
        <v>13812170008</v>
      </c>
      <c r="C7459" t="str">
        <f>"32021919830215805X"</f>
        <v>32021919830215805X</v>
      </c>
      <c r="D7459" t="s">
        <v>1</v>
      </c>
      <c r="E7459" t="s">
        <v>1</v>
      </c>
      <c r="F7459" t="s">
        <v>0</v>
      </c>
      <c r="G7459" t="str">
        <f>"2018-10-16 12:31:44"</f>
        <v>2018-10-16 12:31:44</v>
      </c>
    </row>
    <row r="7460" spans="1:7" x14ac:dyDescent="0.2">
      <c r="A7460" t="s">
        <v>8259</v>
      </c>
      <c r="B7460" t="str">
        <f>"15935706784"</f>
        <v>15935706784</v>
      </c>
      <c r="C7460" t="str">
        <f>"142623199511101315"</f>
        <v>142623199511101315</v>
      </c>
      <c r="D7460" t="s">
        <v>1</v>
      </c>
      <c r="E7460" t="s">
        <v>1</v>
      </c>
      <c r="F7460" t="s">
        <v>0</v>
      </c>
      <c r="G7460" t="str">
        <f>"2018-10-16 12:31:16"</f>
        <v>2018-10-16 12:31:16</v>
      </c>
    </row>
    <row r="7461" spans="1:7" x14ac:dyDescent="0.2">
      <c r="A7461" t="s">
        <v>803</v>
      </c>
      <c r="B7461" t="str">
        <f>"13733678975"</f>
        <v>13733678975</v>
      </c>
      <c r="C7461" t="str">
        <f>"411082198711117239"</f>
        <v>411082198711117239</v>
      </c>
      <c r="D7461" t="s">
        <v>8260</v>
      </c>
      <c r="E7461" t="s">
        <v>8261</v>
      </c>
      <c r="F7461" t="s">
        <v>0</v>
      </c>
      <c r="G7461" t="str">
        <f>"2018-10-16 12:24:40"</f>
        <v>2018-10-16 12:24:40</v>
      </c>
    </row>
    <row r="7462" spans="1:7" x14ac:dyDescent="0.2">
      <c r="A7462" t="s">
        <v>8262</v>
      </c>
      <c r="B7462" t="str">
        <f>"18977109782"</f>
        <v>18977109782</v>
      </c>
      <c r="C7462" t="str">
        <f>"452123198311285544"</f>
        <v>452123198311285544</v>
      </c>
      <c r="D7462" t="s">
        <v>1</v>
      </c>
      <c r="E7462" t="s">
        <v>1</v>
      </c>
      <c r="F7462" t="s">
        <v>0</v>
      </c>
      <c r="G7462" t="str">
        <f>"2018-10-16 12:23:29"</f>
        <v>2018-10-16 12:23:29</v>
      </c>
    </row>
    <row r="7463" spans="1:7" x14ac:dyDescent="0.2">
      <c r="A7463" t="s">
        <v>8263</v>
      </c>
      <c r="B7463" t="str">
        <f>"18953948652"</f>
        <v>18953948652</v>
      </c>
      <c r="C7463" t="str">
        <f>"37132719790204513X"</f>
        <v>37132719790204513X</v>
      </c>
      <c r="D7463" t="s">
        <v>1</v>
      </c>
      <c r="E7463" t="s">
        <v>1</v>
      </c>
      <c r="F7463" t="s">
        <v>0</v>
      </c>
      <c r="G7463" t="str">
        <f>"2018-10-16 12:22:00"</f>
        <v>2018-10-16 12:22:00</v>
      </c>
    </row>
    <row r="7464" spans="1:7" x14ac:dyDescent="0.2">
      <c r="A7464" t="s">
        <v>8264</v>
      </c>
      <c r="B7464" t="str">
        <f>"18781783651"</f>
        <v>18781783651</v>
      </c>
      <c r="C7464" t="str">
        <f>"500228199404263744"</f>
        <v>500228199404263744</v>
      </c>
      <c r="D7464" t="s">
        <v>1</v>
      </c>
      <c r="E7464" t="s">
        <v>1</v>
      </c>
      <c r="F7464" t="s">
        <v>0</v>
      </c>
      <c r="G7464" t="str">
        <f>"2018-10-16 12:28:52"</f>
        <v>2018-10-16 12:28:52</v>
      </c>
    </row>
    <row r="7465" spans="1:7" x14ac:dyDescent="0.2">
      <c r="A7465" t="s">
        <v>1</v>
      </c>
      <c r="B7465" t="str">
        <f>"15307267216"</f>
        <v>15307267216</v>
      </c>
      <c r="C7465" t="s">
        <v>1</v>
      </c>
      <c r="D7465" t="s">
        <v>1</v>
      </c>
      <c r="E7465" t="s">
        <v>1</v>
      </c>
      <c r="F7465" t="s">
        <v>0</v>
      </c>
      <c r="G7465" t="str">
        <f>"2018-10-16 12:21:35"</f>
        <v>2018-10-16 12:21:35</v>
      </c>
    </row>
    <row r="7466" spans="1:7" x14ac:dyDescent="0.2">
      <c r="A7466" t="s">
        <v>8265</v>
      </c>
      <c r="B7466" t="str">
        <f>"15871426052"</f>
        <v>15871426052</v>
      </c>
      <c r="C7466" t="str">
        <f>"421023199112013274"</f>
        <v>421023199112013274</v>
      </c>
      <c r="D7466" t="s">
        <v>1</v>
      </c>
      <c r="E7466" t="s">
        <v>1</v>
      </c>
      <c r="F7466" t="s">
        <v>0</v>
      </c>
      <c r="G7466" t="str">
        <f>"2018-10-16 18:39:05"</f>
        <v>2018-10-16 18:39:05</v>
      </c>
    </row>
    <row r="7467" spans="1:7" x14ac:dyDescent="0.2">
      <c r="A7467" t="s">
        <v>8266</v>
      </c>
      <c r="B7467" t="str">
        <f>"13830702964"</f>
        <v>13830702964</v>
      </c>
      <c r="C7467" t="str">
        <f>"622126198611290215"</f>
        <v>622126198611290215</v>
      </c>
      <c r="D7467" t="s">
        <v>1</v>
      </c>
      <c r="E7467" t="s">
        <v>1</v>
      </c>
      <c r="F7467" t="s">
        <v>0</v>
      </c>
      <c r="G7467" t="str">
        <f>"2018-10-17 10:01:56"</f>
        <v>2018-10-17 10:01:56</v>
      </c>
    </row>
    <row r="7468" spans="1:7" x14ac:dyDescent="0.2">
      <c r="A7468" t="s">
        <v>8267</v>
      </c>
      <c r="B7468" t="str">
        <f>"18566322239"</f>
        <v>18566322239</v>
      </c>
      <c r="C7468" t="str">
        <f>"44068119840615427X"</f>
        <v>44068119840615427X</v>
      </c>
      <c r="D7468" t="s">
        <v>1</v>
      </c>
      <c r="E7468" t="s">
        <v>1</v>
      </c>
      <c r="F7468" t="s">
        <v>0</v>
      </c>
      <c r="G7468" t="str">
        <f>"2018-10-16 12:22:06"</f>
        <v>2018-10-16 12:22:06</v>
      </c>
    </row>
    <row r="7469" spans="1:7" x14ac:dyDescent="0.2">
      <c r="A7469" t="s">
        <v>8268</v>
      </c>
      <c r="B7469" t="str">
        <f>"13784464115"</f>
        <v>13784464115</v>
      </c>
      <c r="C7469" t="str">
        <f>"13108219851028077X"</f>
        <v>13108219851028077X</v>
      </c>
      <c r="D7469" t="s">
        <v>1</v>
      </c>
      <c r="E7469" t="s">
        <v>1</v>
      </c>
      <c r="F7469" t="s">
        <v>0</v>
      </c>
      <c r="G7469" t="str">
        <f>"2018-10-16 12:56:15"</f>
        <v>2018-10-16 12:56:15</v>
      </c>
    </row>
    <row r="7470" spans="1:7" x14ac:dyDescent="0.2">
      <c r="A7470" t="s">
        <v>8269</v>
      </c>
      <c r="B7470" t="str">
        <f>"18700986217"</f>
        <v>18700986217</v>
      </c>
      <c r="C7470" t="str">
        <f>"610524199808254031"</f>
        <v>610524199808254031</v>
      </c>
      <c r="D7470" t="s">
        <v>8270</v>
      </c>
      <c r="E7470" t="s">
        <v>8271</v>
      </c>
      <c r="F7470" t="s">
        <v>0</v>
      </c>
      <c r="G7470" t="str">
        <f>"2018-10-16 12:28:09"</f>
        <v>2018-10-16 12:28:09</v>
      </c>
    </row>
    <row r="7471" spans="1:7" x14ac:dyDescent="0.2">
      <c r="A7471" t="s">
        <v>8272</v>
      </c>
      <c r="B7471" t="str">
        <f>"13506079870"</f>
        <v>13506079870</v>
      </c>
      <c r="C7471" t="str">
        <f>"350521199408155277"</f>
        <v>350521199408155277</v>
      </c>
      <c r="D7471" t="s">
        <v>1</v>
      </c>
      <c r="E7471" t="s">
        <v>1</v>
      </c>
      <c r="F7471" t="s">
        <v>0</v>
      </c>
      <c r="G7471" t="str">
        <f>"2018-10-16 12:20:17"</f>
        <v>2018-10-16 12:20:17</v>
      </c>
    </row>
    <row r="7472" spans="1:7" x14ac:dyDescent="0.2">
      <c r="A7472" t="s">
        <v>8273</v>
      </c>
      <c r="B7472" t="str">
        <f>"17375085655"</f>
        <v>17375085655</v>
      </c>
      <c r="C7472" t="str">
        <f>"522121199207224645"</f>
        <v>522121199207224645</v>
      </c>
      <c r="D7472" t="s">
        <v>1</v>
      </c>
      <c r="E7472" t="s">
        <v>1</v>
      </c>
      <c r="F7472" t="s">
        <v>0</v>
      </c>
      <c r="G7472" t="str">
        <f>"2018-10-16 12:20:07"</f>
        <v>2018-10-16 12:20:07</v>
      </c>
    </row>
    <row r="7473" spans="1:7" x14ac:dyDescent="0.2">
      <c r="A7473" t="s">
        <v>8274</v>
      </c>
      <c r="B7473" t="str">
        <f>"13960845259"</f>
        <v>13960845259</v>
      </c>
      <c r="C7473" t="str">
        <f>"350181199206152048"</f>
        <v>350181199206152048</v>
      </c>
      <c r="D7473" t="s">
        <v>1</v>
      </c>
      <c r="E7473" t="s">
        <v>1</v>
      </c>
      <c r="F7473" t="s">
        <v>0</v>
      </c>
      <c r="G7473" t="str">
        <f>"2018-10-29 19:56:43"</f>
        <v>2018-10-29 19:56:43</v>
      </c>
    </row>
    <row r="7474" spans="1:7" x14ac:dyDescent="0.2">
      <c r="A7474" t="s">
        <v>8275</v>
      </c>
      <c r="B7474" t="str">
        <f>"18315628835"</f>
        <v>18315628835</v>
      </c>
      <c r="C7474" t="str">
        <f>"230183199802022413"</f>
        <v>230183199802022413</v>
      </c>
      <c r="D7474" t="s">
        <v>1</v>
      </c>
      <c r="E7474" t="s">
        <v>1</v>
      </c>
      <c r="F7474" t="s">
        <v>0</v>
      </c>
      <c r="G7474" t="str">
        <f>"2018-10-16 12:46:59"</f>
        <v>2018-10-16 12:46:59</v>
      </c>
    </row>
    <row r="7475" spans="1:7" x14ac:dyDescent="0.2">
      <c r="A7475" t="s">
        <v>1</v>
      </c>
      <c r="B7475" t="str">
        <f>"15112131896"</f>
        <v>15112131896</v>
      </c>
      <c r="C7475" t="s">
        <v>1</v>
      </c>
      <c r="D7475" t="s">
        <v>1</v>
      </c>
      <c r="E7475" t="s">
        <v>1</v>
      </c>
      <c r="F7475" t="s">
        <v>0</v>
      </c>
      <c r="G7475" t="str">
        <f>"2018-10-16 12:20:58"</f>
        <v>2018-10-16 12:20:58</v>
      </c>
    </row>
    <row r="7476" spans="1:7" x14ac:dyDescent="0.2">
      <c r="A7476" t="s">
        <v>8276</v>
      </c>
      <c r="B7476" t="str">
        <f>"17603091830"</f>
        <v>17603091830</v>
      </c>
      <c r="C7476" t="str">
        <f>"450603199807143616"</f>
        <v>450603199807143616</v>
      </c>
      <c r="D7476" t="s">
        <v>1</v>
      </c>
      <c r="E7476" t="s">
        <v>1</v>
      </c>
      <c r="F7476" t="s">
        <v>0</v>
      </c>
      <c r="G7476" t="str">
        <f>"2018-10-16 12:22:12"</f>
        <v>2018-10-16 12:22:12</v>
      </c>
    </row>
    <row r="7477" spans="1:7" x14ac:dyDescent="0.2">
      <c r="A7477" t="s">
        <v>1683</v>
      </c>
      <c r="B7477" t="str">
        <f>"18076927733"</f>
        <v>18076927733</v>
      </c>
      <c r="C7477" t="str">
        <f>"513822198511251751"</f>
        <v>513822198511251751</v>
      </c>
      <c r="D7477" t="s">
        <v>1</v>
      </c>
      <c r="E7477" t="s">
        <v>1</v>
      </c>
      <c r="F7477" t="s">
        <v>0</v>
      </c>
      <c r="G7477" t="str">
        <f>"2018-10-16 12:23:04"</f>
        <v>2018-10-16 12:23:04</v>
      </c>
    </row>
    <row r="7478" spans="1:7" x14ac:dyDescent="0.2">
      <c r="A7478" t="s">
        <v>8277</v>
      </c>
      <c r="B7478" t="str">
        <f>"13395555217"</f>
        <v>13395555217</v>
      </c>
      <c r="C7478" t="str">
        <f>"340521197204017023"</f>
        <v>340521197204017023</v>
      </c>
      <c r="D7478" t="s">
        <v>1</v>
      </c>
      <c r="E7478" t="s">
        <v>1</v>
      </c>
      <c r="F7478" t="s">
        <v>0</v>
      </c>
      <c r="G7478" t="str">
        <f>"2018-10-16 12:18:53"</f>
        <v>2018-10-16 12:18:53</v>
      </c>
    </row>
    <row r="7479" spans="1:7" x14ac:dyDescent="0.2">
      <c r="A7479" t="s">
        <v>8278</v>
      </c>
      <c r="B7479" t="str">
        <f>"15129505016"</f>
        <v>15129505016</v>
      </c>
      <c r="C7479" t="str">
        <f>"610324199003130516"</f>
        <v>610324199003130516</v>
      </c>
      <c r="D7479" t="s">
        <v>8279</v>
      </c>
      <c r="E7479" t="s">
        <v>8280</v>
      </c>
      <c r="F7479" t="s">
        <v>0</v>
      </c>
      <c r="G7479" t="str">
        <f>"2018-10-16 18:41:27"</f>
        <v>2018-10-16 18:41:27</v>
      </c>
    </row>
    <row r="7480" spans="1:7" x14ac:dyDescent="0.2">
      <c r="A7480" t="s">
        <v>8281</v>
      </c>
      <c r="B7480" t="str">
        <f>"17607602756"</f>
        <v>17607602756</v>
      </c>
      <c r="C7480" t="str">
        <f>"450423199804050611"</f>
        <v>450423199804050611</v>
      </c>
      <c r="D7480" t="s">
        <v>1</v>
      </c>
      <c r="E7480" t="s">
        <v>1</v>
      </c>
      <c r="F7480" t="s">
        <v>0</v>
      </c>
      <c r="G7480" t="str">
        <f>"2018-10-16 12:27:58"</f>
        <v>2018-10-16 12:27:58</v>
      </c>
    </row>
    <row r="7481" spans="1:7" x14ac:dyDescent="0.2">
      <c r="A7481" t="s">
        <v>8282</v>
      </c>
      <c r="B7481" t="str">
        <f>"13626028820"</f>
        <v>13626028820</v>
      </c>
      <c r="C7481" t="str">
        <f>"350881198404240413"</f>
        <v>350881198404240413</v>
      </c>
      <c r="D7481" t="s">
        <v>1</v>
      </c>
      <c r="E7481" t="s">
        <v>1</v>
      </c>
      <c r="F7481" t="s">
        <v>0</v>
      </c>
      <c r="G7481" t="str">
        <f>"2018-10-16 12:18:18"</f>
        <v>2018-10-16 12:18:18</v>
      </c>
    </row>
    <row r="7482" spans="1:7" x14ac:dyDescent="0.2">
      <c r="A7482" t="s">
        <v>158</v>
      </c>
      <c r="B7482" t="str">
        <f>"13478016271"</f>
        <v>13478016271</v>
      </c>
      <c r="C7482" t="str">
        <f>"220221196803053378"</f>
        <v>220221196803053378</v>
      </c>
      <c r="D7482" t="s">
        <v>8283</v>
      </c>
      <c r="E7482" t="s">
        <v>8284</v>
      </c>
      <c r="F7482" t="s">
        <v>0</v>
      </c>
      <c r="G7482" t="str">
        <f>"2018-10-16 12:15:35"</f>
        <v>2018-10-16 12:15:35</v>
      </c>
    </row>
    <row r="7483" spans="1:7" x14ac:dyDescent="0.2">
      <c r="A7483" t="s">
        <v>1</v>
      </c>
      <c r="B7483" t="str">
        <f>"15059636380"</f>
        <v>15059636380</v>
      </c>
      <c r="C7483" t="s">
        <v>1</v>
      </c>
      <c r="D7483" t="s">
        <v>1</v>
      </c>
      <c r="E7483" t="s">
        <v>1</v>
      </c>
      <c r="F7483" t="s">
        <v>0</v>
      </c>
      <c r="G7483" t="str">
        <f>"2018-10-16 12:15:27"</f>
        <v>2018-10-16 12:15:27</v>
      </c>
    </row>
    <row r="7484" spans="1:7" x14ac:dyDescent="0.2">
      <c r="A7484" t="s">
        <v>8285</v>
      </c>
      <c r="B7484" t="str">
        <f>"15214701066"</f>
        <v>15214701066</v>
      </c>
      <c r="C7484" t="str">
        <f>"330781198505095316"</f>
        <v>330781198505095316</v>
      </c>
      <c r="D7484" t="s">
        <v>1</v>
      </c>
      <c r="E7484" t="s">
        <v>1</v>
      </c>
      <c r="F7484" t="s">
        <v>0</v>
      </c>
      <c r="G7484" t="str">
        <f>"2018-10-16 12:16:45"</f>
        <v>2018-10-16 12:16:45</v>
      </c>
    </row>
    <row r="7485" spans="1:7" x14ac:dyDescent="0.2">
      <c r="A7485" t="s">
        <v>1</v>
      </c>
      <c r="B7485" t="str">
        <f>"18933017907"</f>
        <v>18933017907</v>
      </c>
      <c r="C7485" t="s">
        <v>1</v>
      </c>
      <c r="D7485" t="s">
        <v>1</v>
      </c>
      <c r="E7485" t="s">
        <v>1</v>
      </c>
      <c r="F7485" t="s">
        <v>0</v>
      </c>
      <c r="G7485" t="str">
        <f>"2018-10-16 12:14:51"</f>
        <v>2018-10-16 12:14:51</v>
      </c>
    </row>
    <row r="7486" spans="1:7" x14ac:dyDescent="0.2">
      <c r="A7486" t="s">
        <v>8286</v>
      </c>
      <c r="B7486" t="str">
        <f>"13926641865"</f>
        <v>13926641865</v>
      </c>
      <c r="C7486" t="str">
        <f>"450803199212025216"</f>
        <v>450803199212025216</v>
      </c>
      <c r="D7486" t="s">
        <v>1</v>
      </c>
      <c r="E7486" t="s">
        <v>1</v>
      </c>
      <c r="F7486" t="s">
        <v>0</v>
      </c>
      <c r="G7486" t="str">
        <f>"2018-10-16 12:18:09"</f>
        <v>2018-10-16 12:18:09</v>
      </c>
    </row>
    <row r="7487" spans="1:7" x14ac:dyDescent="0.2">
      <c r="A7487" t="s">
        <v>8287</v>
      </c>
      <c r="B7487" t="str">
        <f>"15627716334"</f>
        <v>15627716334</v>
      </c>
      <c r="C7487" t="str">
        <f>"440684199509101510"</f>
        <v>440684199509101510</v>
      </c>
      <c r="D7487" t="s">
        <v>8288</v>
      </c>
      <c r="E7487" t="s">
        <v>8288</v>
      </c>
      <c r="F7487" t="s">
        <v>0</v>
      </c>
      <c r="G7487" t="str">
        <f>"2018-10-23 13:19:06"</f>
        <v>2018-10-23 13:19:06</v>
      </c>
    </row>
    <row r="7488" spans="1:7" x14ac:dyDescent="0.2">
      <c r="A7488" t="s">
        <v>8289</v>
      </c>
      <c r="B7488" t="str">
        <f>"17709929016"</f>
        <v>17709929016</v>
      </c>
      <c r="C7488" t="str">
        <f>"412326199010223443"</f>
        <v>412326199010223443</v>
      </c>
      <c r="D7488" t="s">
        <v>1</v>
      </c>
      <c r="E7488" t="s">
        <v>1</v>
      </c>
      <c r="F7488" t="s">
        <v>0</v>
      </c>
      <c r="G7488" t="str">
        <f>"2018-10-16 12:18:38"</f>
        <v>2018-10-16 12:18:38</v>
      </c>
    </row>
    <row r="7489" spans="1:7" x14ac:dyDescent="0.2">
      <c r="A7489" t="s">
        <v>8290</v>
      </c>
      <c r="B7489" t="str">
        <f>"15157164941"</f>
        <v>15157164941</v>
      </c>
      <c r="C7489" t="str">
        <f>"320681198511078216"</f>
        <v>320681198511078216</v>
      </c>
      <c r="D7489" t="s">
        <v>1</v>
      </c>
      <c r="E7489" t="s">
        <v>1</v>
      </c>
      <c r="F7489" t="s">
        <v>0</v>
      </c>
      <c r="G7489" t="str">
        <f>"2018-10-16 12:34:52"</f>
        <v>2018-10-16 12:34:52</v>
      </c>
    </row>
    <row r="7490" spans="1:7" x14ac:dyDescent="0.2">
      <c r="A7490" t="s">
        <v>8291</v>
      </c>
      <c r="B7490" t="str">
        <f>"13766591955"</f>
        <v>13766591955</v>
      </c>
      <c r="C7490" t="str">
        <f>"231085199607042118"</f>
        <v>231085199607042118</v>
      </c>
      <c r="D7490" t="s">
        <v>1</v>
      </c>
      <c r="E7490" t="s">
        <v>1</v>
      </c>
      <c r="F7490" t="s">
        <v>0</v>
      </c>
      <c r="G7490" t="str">
        <f>"2018-11-04 12:06:53"</f>
        <v>2018-11-04 12:06:53</v>
      </c>
    </row>
    <row r="7491" spans="1:7" x14ac:dyDescent="0.2">
      <c r="A7491" t="s">
        <v>1</v>
      </c>
      <c r="B7491" t="str">
        <f>"18078466107"</f>
        <v>18078466107</v>
      </c>
      <c r="C7491" t="s">
        <v>1</v>
      </c>
      <c r="D7491" t="s">
        <v>1</v>
      </c>
      <c r="E7491" t="s">
        <v>1</v>
      </c>
      <c r="F7491" t="s">
        <v>0</v>
      </c>
      <c r="G7491" t="str">
        <f>"2018-10-16 12:13:17"</f>
        <v>2018-10-16 12:13:17</v>
      </c>
    </row>
    <row r="7492" spans="1:7" x14ac:dyDescent="0.2">
      <c r="A7492" t="s">
        <v>8292</v>
      </c>
      <c r="B7492" t="str">
        <f>"15098570744"</f>
        <v>15098570744</v>
      </c>
      <c r="C7492" t="str">
        <f>"37068219860207112X"</f>
        <v>37068219860207112X</v>
      </c>
      <c r="D7492" t="s">
        <v>1</v>
      </c>
      <c r="E7492" t="s">
        <v>1</v>
      </c>
      <c r="F7492" t="s">
        <v>0</v>
      </c>
      <c r="G7492" t="str">
        <f>"2018-10-16 12:15:07"</f>
        <v>2018-10-16 12:15:07</v>
      </c>
    </row>
    <row r="7493" spans="1:7" x14ac:dyDescent="0.2">
      <c r="A7493" t="s">
        <v>8293</v>
      </c>
      <c r="B7493" t="str">
        <f>"15014042770"</f>
        <v>15014042770</v>
      </c>
      <c r="C7493" t="str">
        <f>"362426199303293518"</f>
        <v>362426199303293518</v>
      </c>
      <c r="D7493" t="s">
        <v>1</v>
      </c>
      <c r="E7493" t="s">
        <v>1</v>
      </c>
      <c r="F7493" t="s">
        <v>0</v>
      </c>
      <c r="G7493" t="str">
        <f>"2018-10-16 12:44:58"</f>
        <v>2018-10-16 12:44:58</v>
      </c>
    </row>
    <row r="7494" spans="1:7" x14ac:dyDescent="0.2">
      <c r="A7494" t="s">
        <v>675</v>
      </c>
      <c r="B7494" t="str">
        <f>"15236668918"</f>
        <v>15236668918</v>
      </c>
      <c r="C7494" t="str">
        <f>"410311199606123025"</f>
        <v>410311199606123025</v>
      </c>
      <c r="D7494" t="s">
        <v>1</v>
      </c>
      <c r="E7494" t="s">
        <v>1</v>
      </c>
      <c r="F7494" t="s">
        <v>0</v>
      </c>
      <c r="G7494" t="str">
        <f>"2018-10-16 12:34:44"</f>
        <v>2018-10-16 12:34:44</v>
      </c>
    </row>
    <row r="7495" spans="1:7" x14ac:dyDescent="0.2">
      <c r="A7495" t="s">
        <v>8294</v>
      </c>
      <c r="B7495" t="str">
        <f>"15759196608"</f>
        <v>15759196608</v>
      </c>
      <c r="C7495" t="str">
        <f>"500235198704299705"</f>
        <v>500235198704299705</v>
      </c>
      <c r="D7495" t="s">
        <v>1</v>
      </c>
      <c r="E7495" t="s">
        <v>1</v>
      </c>
      <c r="F7495" t="s">
        <v>0</v>
      </c>
      <c r="G7495" t="str">
        <f>"2018-10-16 12:13:22"</f>
        <v>2018-10-16 12:13:22</v>
      </c>
    </row>
    <row r="7496" spans="1:7" x14ac:dyDescent="0.2">
      <c r="A7496" t="s">
        <v>8295</v>
      </c>
      <c r="B7496" t="str">
        <f>"14770980909"</f>
        <v>14770980909</v>
      </c>
      <c r="C7496" t="str">
        <f>"362321199001216835"</f>
        <v>362321199001216835</v>
      </c>
      <c r="D7496" t="s">
        <v>1</v>
      </c>
      <c r="E7496" t="s">
        <v>1</v>
      </c>
      <c r="F7496" t="s">
        <v>0</v>
      </c>
      <c r="G7496" t="str">
        <f>"2018-10-16 12:14:22"</f>
        <v>2018-10-16 12:14:22</v>
      </c>
    </row>
    <row r="7497" spans="1:7" x14ac:dyDescent="0.2">
      <c r="A7497" t="s">
        <v>6501</v>
      </c>
      <c r="B7497" t="str">
        <f>"13330554504"</f>
        <v>13330554504</v>
      </c>
      <c r="C7497" t="str">
        <f>"532923199610020755"</f>
        <v>532923199610020755</v>
      </c>
      <c r="D7497" t="s">
        <v>8296</v>
      </c>
      <c r="E7497" t="s">
        <v>8297</v>
      </c>
      <c r="F7497" t="s">
        <v>0</v>
      </c>
      <c r="G7497" t="str">
        <f>"2018-10-16 12:14:14"</f>
        <v>2018-10-16 12:14:14</v>
      </c>
    </row>
    <row r="7498" spans="1:7" x14ac:dyDescent="0.2">
      <c r="A7498" t="s">
        <v>1758</v>
      </c>
      <c r="B7498" t="str">
        <f>"13516373953"</f>
        <v>13516373953</v>
      </c>
      <c r="C7498" t="str">
        <f>"370405198812176014"</f>
        <v>370405198812176014</v>
      </c>
      <c r="D7498" t="s">
        <v>1</v>
      </c>
      <c r="E7498" t="s">
        <v>1</v>
      </c>
      <c r="F7498" t="s">
        <v>0</v>
      </c>
      <c r="G7498" t="str">
        <f>"2018-10-26 09:48:34"</f>
        <v>2018-10-26 09:48:34</v>
      </c>
    </row>
    <row r="7499" spans="1:7" x14ac:dyDescent="0.2">
      <c r="A7499" t="s">
        <v>1</v>
      </c>
      <c r="B7499" t="str">
        <f>"15906992558"</f>
        <v>15906992558</v>
      </c>
      <c r="C7499" t="s">
        <v>1</v>
      </c>
      <c r="D7499" t="s">
        <v>1</v>
      </c>
      <c r="E7499" t="s">
        <v>1</v>
      </c>
      <c r="F7499" t="s">
        <v>0</v>
      </c>
      <c r="G7499" t="str">
        <f>"2018-10-16 12:11:01"</f>
        <v>2018-10-16 12:11:01</v>
      </c>
    </row>
    <row r="7500" spans="1:7" x14ac:dyDescent="0.2">
      <c r="A7500" t="s">
        <v>8298</v>
      </c>
      <c r="B7500" t="str">
        <f>"13807672640"</f>
        <v>13807672640</v>
      </c>
      <c r="C7500" t="str">
        <f>"460028198110310973"</f>
        <v>460028198110310973</v>
      </c>
      <c r="D7500" t="s">
        <v>8299</v>
      </c>
      <c r="E7500" t="s">
        <v>8300</v>
      </c>
      <c r="F7500" t="s">
        <v>0</v>
      </c>
      <c r="G7500" t="str">
        <f>"2018-10-16 13:08:47"</f>
        <v>2018-10-16 13:08:47</v>
      </c>
    </row>
    <row r="7501" spans="1:7" x14ac:dyDescent="0.2">
      <c r="A7501" t="s">
        <v>8301</v>
      </c>
      <c r="B7501" t="str">
        <f>"14794796799"</f>
        <v>14794796799</v>
      </c>
      <c r="C7501" t="str">
        <f>"152722198903090324"</f>
        <v>152722198903090324</v>
      </c>
      <c r="D7501" t="s">
        <v>1</v>
      </c>
      <c r="E7501" t="s">
        <v>1</v>
      </c>
      <c r="F7501" t="s">
        <v>0</v>
      </c>
      <c r="G7501" t="str">
        <f>"2018-10-16 12:11:35"</f>
        <v>2018-10-16 12:11:35</v>
      </c>
    </row>
    <row r="7502" spans="1:7" x14ac:dyDescent="0.2">
      <c r="A7502" t="s">
        <v>8302</v>
      </c>
      <c r="B7502" t="str">
        <f>"18788401231"</f>
        <v>18788401231</v>
      </c>
      <c r="C7502" t="str">
        <f>"500382199601011961"</f>
        <v>500382199601011961</v>
      </c>
      <c r="D7502" t="s">
        <v>8303</v>
      </c>
      <c r="E7502" t="s">
        <v>8304</v>
      </c>
      <c r="F7502" t="s">
        <v>0</v>
      </c>
      <c r="G7502" t="str">
        <f>"2018-10-16 12:25:12"</f>
        <v>2018-10-16 12:25:12</v>
      </c>
    </row>
    <row r="7503" spans="1:7" x14ac:dyDescent="0.2">
      <c r="A7503" t="s">
        <v>8305</v>
      </c>
      <c r="B7503" t="str">
        <f>"15170777297"</f>
        <v>15170777297</v>
      </c>
      <c r="C7503" t="str">
        <f>"433127199010042247"</f>
        <v>433127199010042247</v>
      </c>
      <c r="D7503" t="s">
        <v>8306</v>
      </c>
      <c r="E7503" t="s">
        <v>8306</v>
      </c>
      <c r="F7503" t="s">
        <v>0</v>
      </c>
      <c r="G7503" t="str">
        <f>"2018-10-17 11:23:44"</f>
        <v>2018-10-17 11:23:44</v>
      </c>
    </row>
    <row r="7504" spans="1:7" x14ac:dyDescent="0.2">
      <c r="A7504" t="s">
        <v>1</v>
      </c>
      <c r="B7504" t="str">
        <f>"15769221309"</f>
        <v>15769221309</v>
      </c>
      <c r="C7504" t="s">
        <v>1</v>
      </c>
      <c r="D7504" t="s">
        <v>1</v>
      </c>
      <c r="E7504" t="s">
        <v>1</v>
      </c>
      <c r="F7504" t="s">
        <v>0</v>
      </c>
      <c r="G7504" t="str">
        <f>"2018-10-16 12:09:21"</f>
        <v>2018-10-16 12:09:21</v>
      </c>
    </row>
    <row r="7505" spans="1:7" x14ac:dyDescent="0.2">
      <c r="A7505" t="s">
        <v>8307</v>
      </c>
      <c r="B7505" t="str">
        <f>"15613677661"</f>
        <v>15613677661</v>
      </c>
      <c r="C7505" t="str">
        <f>"342422199308083297"</f>
        <v>342422199308083297</v>
      </c>
      <c r="D7505" t="s">
        <v>8308</v>
      </c>
      <c r="E7505" t="s">
        <v>8309</v>
      </c>
      <c r="F7505" t="s">
        <v>0</v>
      </c>
      <c r="G7505" t="str">
        <f>"2018-10-16 12:11:47"</f>
        <v>2018-10-16 12:11:47</v>
      </c>
    </row>
    <row r="7506" spans="1:7" x14ac:dyDescent="0.2">
      <c r="A7506" t="s">
        <v>1</v>
      </c>
      <c r="B7506" t="str">
        <f>"15897761880"</f>
        <v>15897761880</v>
      </c>
      <c r="C7506" t="s">
        <v>1</v>
      </c>
      <c r="D7506" t="s">
        <v>1</v>
      </c>
      <c r="E7506" t="s">
        <v>1</v>
      </c>
      <c r="F7506" t="s">
        <v>0</v>
      </c>
      <c r="G7506" t="str">
        <f>"2018-10-16 12:09:13"</f>
        <v>2018-10-16 12:09:13</v>
      </c>
    </row>
    <row r="7507" spans="1:7" x14ac:dyDescent="0.2">
      <c r="A7507" t="s">
        <v>8310</v>
      </c>
      <c r="B7507" t="str">
        <f>"15012380700"</f>
        <v>15012380700</v>
      </c>
      <c r="C7507" t="str">
        <f>"532101199705201848"</f>
        <v>532101199705201848</v>
      </c>
      <c r="D7507" t="s">
        <v>1</v>
      </c>
      <c r="E7507" t="s">
        <v>1</v>
      </c>
      <c r="F7507" t="s">
        <v>0</v>
      </c>
      <c r="G7507" t="str">
        <f>"2018-10-16 13:59:53"</f>
        <v>2018-10-16 13:59:53</v>
      </c>
    </row>
    <row r="7508" spans="1:7" x14ac:dyDescent="0.2">
      <c r="A7508" t="s">
        <v>1</v>
      </c>
      <c r="B7508" t="str">
        <f>"13224201085"</f>
        <v>13224201085</v>
      </c>
      <c r="C7508" t="s">
        <v>1</v>
      </c>
      <c r="D7508" t="s">
        <v>1</v>
      </c>
      <c r="E7508" t="s">
        <v>1</v>
      </c>
      <c r="F7508" t="s">
        <v>0</v>
      </c>
      <c r="G7508" t="str">
        <f>"2018-10-16 12:12:22"</f>
        <v>2018-10-16 12:12:22</v>
      </c>
    </row>
    <row r="7509" spans="1:7" x14ac:dyDescent="0.2">
      <c r="A7509" t="s">
        <v>8311</v>
      </c>
      <c r="B7509" t="str">
        <f>"17679250081"</f>
        <v>17679250081</v>
      </c>
      <c r="C7509" t="str">
        <f>"362201200002294012"</f>
        <v>362201200002294012</v>
      </c>
      <c r="D7509" t="s">
        <v>1</v>
      </c>
      <c r="E7509" t="s">
        <v>1</v>
      </c>
      <c r="F7509" t="s">
        <v>0</v>
      </c>
      <c r="G7509" t="str">
        <f>"2018-10-16 12:09:31"</f>
        <v>2018-10-16 12:09:31</v>
      </c>
    </row>
    <row r="7510" spans="1:7" x14ac:dyDescent="0.2">
      <c r="A7510" t="s">
        <v>88</v>
      </c>
      <c r="B7510" t="str">
        <f>"15305630267"</f>
        <v>15305630267</v>
      </c>
      <c r="C7510" t="str">
        <f>"342501199301176224"</f>
        <v>342501199301176224</v>
      </c>
      <c r="D7510" t="s">
        <v>1</v>
      </c>
      <c r="E7510" t="s">
        <v>1</v>
      </c>
      <c r="F7510" t="s">
        <v>0</v>
      </c>
      <c r="G7510" t="str">
        <f>"2018-10-20 14:41:37"</f>
        <v>2018-10-20 14:41:37</v>
      </c>
    </row>
    <row r="7511" spans="1:7" x14ac:dyDescent="0.2">
      <c r="A7511" t="s">
        <v>1</v>
      </c>
      <c r="B7511" t="str">
        <f>"13545521577"</f>
        <v>13545521577</v>
      </c>
      <c r="C7511" t="s">
        <v>1</v>
      </c>
      <c r="D7511" t="s">
        <v>1</v>
      </c>
      <c r="E7511" t="s">
        <v>1</v>
      </c>
      <c r="F7511" t="s">
        <v>0</v>
      </c>
      <c r="G7511" t="str">
        <f>"2018-10-16 12:08:44"</f>
        <v>2018-10-16 12:08:44</v>
      </c>
    </row>
    <row r="7512" spans="1:7" x14ac:dyDescent="0.2">
      <c r="A7512" t="s">
        <v>8312</v>
      </c>
      <c r="B7512" t="str">
        <f>"18363136686"</f>
        <v>18363136686</v>
      </c>
      <c r="C7512" t="str">
        <f>"370302199206150316"</f>
        <v>370302199206150316</v>
      </c>
      <c r="D7512" t="s">
        <v>1</v>
      </c>
      <c r="E7512" t="s">
        <v>1</v>
      </c>
      <c r="F7512" t="s">
        <v>0</v>
      </c>
      <c r="G7512" t="str">
        <f>"2018-10-16 13:39:37"</f>
        <v>2018-10-16 13:39:37</v>
      </c>
    </row>
    <row r="7513" spans="1:7" x14ac:dyDescent="0.2">
      <c r="A7513" t="s">
        <v>8313</v>
      </c>
      <c r="B7513" t="str">
        <f>"13550947291"</f>
        <v>13550947291</v>
      </c>
      <c r="C7513" t="str">
        <f>"510422199305125615"</f>
        <v>510422199305125615</v>
      </c>
      <c r="D7513" t="s">
        <v>1</v>
      </c>
      <c r="E7513" t="s">
        <v>1</v>
      </c>
      <c r="F7513" t="s">
        <v>0</v>
      </c>
      <c r="G7513" t="str">
        <f>"2018-10-16 12:10:29"</f>
        <v>2018-10-16 12:10:29</v>
      </c>
    </row>
    <row r="7514" spans="1:7" x14ac:dyDescent="0.2">
      <c r="A7514" t="s">
        <v>8314</v>
      </c>
      <c r="B7514" t="str">
        <f>"15841204646"</f>
        <v>15841204646</v>
      </c>
      <c r="C7514" t="str">
        <f>"210311198611292710"</f>
        <v>210311198611292710</v>
      </c>
      <c r="D7514" t="s">
        <v>1</v>
      </c>
      <c r="E7514" t="s">
        <v>1</v>
      </c>
      <c r="F7514" t="s">
        <v>0</v>
      </c>
      <c r="G7514" t="str">
        <f>"2018-10-16 12:19:47"</f>
        <v>2018-10-16 12:19:47</v>
      </c>
    </row>
    <row r="7515" spans="1:7" x14ac:dyDescent="0.2">
      <c r="A7515" t="s">
        <v>8315</v>
      </c>
      <c r="B7515" t="str">
        <f>"15038897750"</f>
        <v>15038897750</v>
      </c>
      <c r="C7515" t="str">
        <f>"410403198908215719"</f>
        <v>410403198908215719</v>
      </c>
      <c r="D7515" t="s">
        <v>1</v>
      </c>
      <c r="E7515" t="s">
        <v>1</v>
      </c>
      <c r="F7515" t="s">
        <v>0</v>
      </c>
      <c r="G7515" t="str">
        <f>"2018-10-16 12:10:33"</f>
        <v>2018-10-16 12:10:33</v>
      </c>
    </row>
    <row r="7516" spans="1:7" x14ac:dyDescent="0.2">
      <c r="A7516" t="s">
        <v>8316</v>
      </c>
      <c r="B7516" t="str">
        <f>"18365272031"</f>
        <v>18365272031</v>
      </c>
      <c r="C7516" t="str">
        <f>"341182199609282053"</f>
        <v>341182199609282053</v>
      </c>
      <c r="D7516" t="s">
        <v>1</v>
      </c>
      <c r="E7516" t="s">
        <v>1</v>
      </c>
      <c r="F7516" t="s">
        <v>0</v>
      </c>
      <c r="G7516" t="str">
        <f>"2018-10-16 12:12:23"</f>
        <v>2018-10-16 12:12:23</v>
      </c>
    </row>
    <row r="7517" spans="1:7" x14ac:dyDescent="0.2">
      <c r="A7517" t="s">
        <v>8317</v>
      </c>
      <c r="B7517" t="str">
        <f>"15046827885"</f>
        <v>15046827885</v>
      </c>
      <c r="C7517" t="str">
        <f>"230224196707172212"</f>
        <v>230224196707172212</v>
      </c>
      <c r="D7517" t="s">
        <v>1</v>
      </c>
      <c r="E7517" t="s">
        <v>1</v>
      </c>
      <c r="F7517" t="s">
        <v>0</v>
      </c>
      <c r="G7517" t="str">
        <f>"2018-10-25 04:33:30"</f>
        <v>2018-10-25 04:33:30</v>
      </c>
    </row>
    <row r="7518" spans="1:7" x14ac:dyDescent="0.2">
      <c r="A7518" t="s">
        <v>8318</v>
      </c>
      <c r="B7518" t="str">
        <f>"13599719079"</f>
        <v>13599719079</v>
      </c>
      <c r="C7518" t="str">
        <f>"350505198908218516"</f>
        <v>350505198908218516</v>
      </c>
      <c r="D7518" t="s">
        <v>8319</v>
      </c>
      <c r="E7518" t="s">
        <v>8320</v>
      </c>
      <c r="F7518" t="s">
        <v>0</v>
      </c>
      <c r="G7518" t="str">
        <f>"2018-10-16 12:09:45"</f>
        <v>2018-10-16 12:09:45</v>
      </c>
    </row>
    <row r="7519" spans="1:7" x14ac:dyDescent="0.2">
      <c r="A7519" t="s">
        <v>8321</v>
      </c>
      <c r="B7519" t="str">
        <f>"15932920488"</f>
        <v>15932920488</v>
      </c>
      <c r="C7519" t="str">
        <f>"362330198901239073"</f>
        <v>362330198901239073</v>
      </c>
      <c r="D7519" t="s">
        <v>1</v>
      </c>
      <c r="E7519" t="s">
        <v>1</v>
      </c>
      <c r="F7519" t="s">
        <v>0</v>
      </c>
      <c r="G7519" t="str">
        <f>"2018-10-16 12:16:33"</f>
        <v>2018-10-16 12:16:33</v>
      </c>
    </row>
    <row r="7520" spans="1:7" x14ac:dyDescent="0.2">
      <c r="A7520" t="s">
        <v>8322</v>
      </c>
      <c r="B7520" t="str">
        <f>"18617105208"</f>
        <v>18617105208</v>
      </c>
      <c r="C7520" t="str">
        <f>"422130199506140065"</f>
        <v>422130199506140065</v>
      </c>
      <c r="D7520" t="s">
        <v>8323</v>
      </c>
      <c r="E7520" t="s">
        <v>8324</v>
      </c>
      <c r="F7520" t="s">
        <v>0</v>
      </c>
      <c r="G7520" t="str">
        <f>"2018-10-16 12:08:35"</f>
        <v>2018-10-16 12:08:35</v>
      </c>
    </row>
    <row r="7521" spans="1:7" x14ac:dyDescent="0.2">
      <c r="A7521" t="s">
        <v>851</v>
      </c>
      <c r="B7521" t="str">
        <f>"15283129177"</f>
        <v>15283129177</v>
      </c>
      <c r="C7521" t="str">
        <f>"511123197902271479"</f>
        <v>511123197902271479</v>
      </c>
      <c r="D7521" t="s">
        <v>1</v>
      </c>
      <c r="E7521" t="s">
        <v>1</v>
      </c>
      <c r="F7521" t="s">
        <v>0</v>
      </c>
      <c r="G7521" t="str">
        <f>"2018-10-16 12:08:08"</f>
        <v>2018-10-16 12:08:08</v>
      </c>
    </row>
    <row r="7522" spans="1:7" x14ac:dyDescent="0.2">
      <c r="A7522" t="s">
        <v>1</v>
      </c>
      <c r="B7522" t="str">
        <f>"15653418386"</f>
        <v>15653418386</v>
      </c>
      <c r="C7522" t="s">
        <v>1</v>
      </c>
      <c r="D7522" t="s">
        <v>1</v>
      </c>
      <c r="E7522" t="s">
        <v>1</v>
      </c>
      <c r="F7522" t="s">
        <v>0</v>
      </c>
      <c r="G7522" t="str">
        <f>"2018-10-16 12:07:01"</f>
        <v>2018-10-16 12:07:01</v>
      </c>
    </row>
    <row r="7523" spans="1:7" x14ac:dyDescent="0.2">
      <c r="A7523" t="s">
        <v>1</v>
      </c>
      <c r="B7523" t="str">
        <f>"18247576771"</f>
        <v>18247576771</v>
      </c>
      <c r="C7523" t="s">
        <v>1</v>
      </c>
      <c r="D7523" t="s">
        <v>1</v>
      </c>
      <c r="E7523" t="s">
        <v>1</v>
      </c>
      <c r="F7523" t="s">
        <v>0</v>
      </c>
      <c r="G7523" t="str">
        <f>"2018-10-16 12:13:50"</f>
        <v>2018-10-16 12:13:50</v>
      </c>
    </row>
    <row r="7524" spans="1:7" x14ac:dyDescent="0.2">
      <c r="A7524" t="s">
        <v>1</v>
      </c>
      <c r="B7524" t="str">
        <f>"13617053866"</f>
        <v>13617053866</v>
      </c>
      <c r="C7524" t="s">
        <v>1</v>
      </c>
      <c r="D7524" t="s">
        <v>1</v>
      </c>
      <c r="E7524" t="s">
        <v>1</v>
      </c>
      <c r="F7524" t="s">
        <v>0</v>
      </c>
      <c r="G7524" t="str">
        <f>"2018-10-16 12:08:10"</f>
        <v>2018-10-16 12:08:10</v>
      </c>
    </row>
    <row r="7525" spans="1:7" x14ac:dyDescent="0.2">
      <c r="A7525" t="s">
        <v>8325</v>
      </c>
      <c r="B7525" t="str">
        <f>"18625379558"</f>
        <v>18625379558</v>
      </c>
      <c r="C7525" t="str">
        <f>"410422198404208610"</f>
        <v>410422198404208610</v>
      </c>
      <c r="D7525" t="s">
        <v>1</v>
      </c>
      <c r="E7525" t="s">
        <v>1</v>
      </c>
      <c r="F7525" t="s">
        <v>0</v>
      </c>
      <c r="G7525" t="str">
        <f>"2018-10-16 12:08:55"</f>
        <v>2018-10-16 12:08:55</v>
      </c>
    </row>
    <row r="7526" spans="1:7" x14ac:dyDescent="0.2">
      <c r="A7526" t="s">
        <v>8326</v>
      </c>
      <c r="B7526" t="str">
        <f>"13618656141"</f>
        <v>13618656141</v>
      </c>
      <c r="C7526" t="str">
        <f>"420116199201201454"</f>
        <v>420116199201201454</v>
      </c>
      <c r="D7526" t="s">
        <v>1</v>
      </c>
      <c r="E7526" t="s">
        <v>1</v>
      </c>
      <c r="F7526" t="s">
        <v>0</v>
      </c>
      <c r="G7526" t="str">
        <f>"2018-10-16 15:22:32"</f>
        <v>2018-10-16 15:22:32</v>
      </c>
    </row>
    <row r="7527" spans="1:7" x14ac:dyDescent="0.2">
      <c r="A7527" t="s">
        <v>8327</v>
      </c>
      <c r="B7527" t="str">
        <f>"15874364653"</f>
        <v>15874364653</v>
      </c>
      <c r="C7527" t="str">
        <f>"433130199507150428"</f>
        <v>433130199507150428</v>
      </c>
      <c r="D7527" t="s">
        <v>1</v>
      </c>
      <c r="E7527" t="s">
        <v>1</v>
      </c>
      <c r="F7527" t="s">
        <v>0</v>
      </c>
      <c r="G7527" t="str">
        <f>"2018-10-16 12:05:45"</f>
        <v>2018-10-16 12:05:45</v>
      </c>
    </row>
    <row r="7528" spans="1:7" x14ac:dyDescent="0.2">
      <c r="A7528" t="s">
        <v>8328</v>
      </c>
      <c r="B7528" t="str">
        <f>"15294039407"</f>
        <v>15294039407</v>
      </c>
      <c r="C7528" t="str">
        <f>"622723199407193010"</f>
        <v>622723199407193010</v>
      </c>
      <c r="D7528" t="s">
        <v>1</v>
      </c>
      <c r="E7528" t="s">
        <v>1</v>
      </c>
      <c r="F7528" t="s">
        <v>0</v>
      </c>
      <c r="G7528" t="str">
        <f>"2018-10-16 12:43:08"</f>
        <v>2018-10-16 12:43:08</v>
      </c>
    </row>
    <row r="7529" spans="1:7" x14ac:dyDescent="0.2">
      <c r="A7529" t="s">
        <v>8329</v>
      </c>
      <c r="B7529" t="str">
        <f>"18253604066"</f>
        <v>18253604066</v>
      </c>
      <c r="C7529" t="str">
        <f>"370784198511215325"</f>
        <v>370784198511215325</v>
      </c>
      <c r="D7529" t="s">
        <v>1</v>
      </c>
      <c r="E7529" t="s">
        <v>1</v>
      </c>
      <c r="F7529" t="s">
        <v>0</v>
      </c>
      <c r="G7529" t="str">
        <f>"2018-10-16 12:07:40"</f>
        <v>2018-10-16 12:07:40</v>
      </c>
    </row>
    <row r="7530" spans="1:7" x14ac:dyDescent="0.2">
      <c r="A7530" t="s">
        <v>8330</v>
      </c>
      <c r="B7530" t="str">
        <f>"17773711117"</f>
        <v>17773711117</v>
      </c>
      <c r="C7530" t="str">
        <f>"43090219931010874X"</f>
        <v>43090219931010874X</v>
      </c>
      <c r="D7530" t="s">
        <v>1</v>
      </c>
      <c r="E7530" t="s">
        <v>1</v>
      </c>
      <c r="F7530" t="s">
        <v>0</v>
      </c>
      <c r="G7530" t="str">
        <f>"2018-11-03 13:47:55"</f>
        <v>2018-11-03 13:47:55</v>
      </c>
    </row>
    <row r="7531" spans="1:7" x14ac:dyDescent="0.2">
      <c r="A7531" t="s">
        <v>8331</v>
      </c>
      <c r="B7531" t="str">
        <f>"18386695584"</f>
        <v>18386695584</v>
      </c>
      <c r="C7531" t="str">
        <f>"522629199207292240"</f>
        <v>522629199207292240</v>
      </c>
      <c r="D7531" t="s">
        <v>1</v>
      </c>
      <c r="E7531" t="s">
        <v>1</v>
      </c>
      <c r="F7531" t="s">
        <v>0</v>
      </c>
      <c r="G7531" t="str">
        <f>"2018-10-16 12:07:01"</f>
        <v>2018-10-16 12:07:01</v>
      </c>
    </row>
    <row r="7532" spans="1:7" x14ac:dyDescent="0.2">
      <c r="A7532" t="s">
        <v>8332</v>
      </c>
      <c r="B7532" t="str">
        <f>"13312623706"</f>
        <v>13312623706</v>
      </c>
      <c r="C7532" t="str">
        <f>"530322198803151019"</f>
        <v>530322198803151019</v>
      </c>
      <c r="D7532" t="s">
        <v>1</v>
      </c>
      <c r="E7532" t="s">
        <v>1</v>
      </c>
      <c r="F7532" t="s">
        <v>0</v>
      </c>
      <c r="G7532" t="str">
        <f>"2018-10-16 12:05:07"</f>
        <v>2018-10-16 12:05:07</v>
      </c>
    </row>
    <row r="7533" spans="1:7" x14ac:dyDescent="0.2">
      <c r="A7533" t="s">
        <v>8333</v>
      </c>
      <c r="B7533" t="str">
        <f>"15755882580"</f>
        <v>15755882580</v>
      </c>
      <c r="C7533" t="str">
        <f>"341204199702202026"</f>
        <v>341204199702202026</v>
      </c>
      <c r="D7533" t="s">
        <v>8334</v>
      </c>
      <c r="E7533" t="s">
        <v>8335</v>
      </c>
      <c r="F7533" t="s">
        <v>0</v>
      </c>
      <c r="G7533" t="str">
        <f>"2018-10-17 07:10:48"</f>
        <v>2018-10-17 07:10:48</v>
      </c>
    </row>
    <row r="7534" spans="1:7" x14ac:dyDescent="0.2">
      <c r="A7534" t="s">
        <v>8336</v>
      </c>
      <c r="B7534" t="str">
        <f>"15923888087"</f>
        <v>15923888087</v>
      </c>
      <c r="C7534" t="str">
        <f>"500237199101271436"</f>
        <v>500237199101271436</v>
      </c>
      <c r="D7534" t="s">
        <v>1</v>
      </c>
      <c r="E7534" t="s">
        <v>1</v>
      </c>
      <c r="F7534" t="s">
        <v>0</v>
      </c>
      <c r="G7534" t="str">
        <f>"2018-10-22 09:06:30"</f>
        <v>2018-10-22 09:06:30</v>
      </c>
    </row>
    <row r="7535" spans="1:7" x14ac:dyDescent="0.2">
      <c r="A7535" t="s">
        <v>1</v>
      </c>
      <c r="B7535" t="str">
        <f>"13922281361"</f>
        <v>13922281361</v>
      </c>
      <c r="C7535" t="s">
        <v>1</v>
      </c>
      <c r="D7535" t="s">
        <v>1</v>
      </c>
      <c r="E7535" t="s">
        <v>1</v>
      </c>
      <c r="F7535" t="s">
        <v>0</v>
      </c>
      <c r="G7535" t="str">
        <f>"2018-10-16 12:02:19"</f>
        <v>2018-10-16 12:02:19</v>
      </c>
    </row>
    <row r="7536" spans="1:7" x14ac:dyDescent="0.2">
      <c r="A7536" t="s">
        <v>1</v>
      </c>
      <c r="B7536" t="str">
        <f>"18402879019"</f>
        <v>18402879019</v>
      </c>
      <c r="C7536" t="s">
        <v>1</v>
      </c>
      <c r="D7536" t="s">
        <v>1</v>
      </c>
      <c r="E7536" t="s">
        <v>1</v>
      </c>
      <c r="F7536" t="s">
        <v>0</v>
      </c>
      <c r="G7536" t="str">
        <f>"2018-10-16 12:02:12"</f>
        <v>2018-10-16 12:02:12</v>
      </c>
    </row>
    <row r="7537" spans="1:7" x14ac:dyDescent="0.2">
      <c r="A7537" t="s">
        <v>8337</v>
      </c>
      <c r="B7537" t="str">
        <f>"13642529637"</f>
        <v>13642529637</v>
      </c>
      <c r="C7537" t="str">
        <f>"441827199405106813"</f>
        <v>441827199405106813</v>
      </c>
      <c r="D7537" t="s">
        <v>1</v>
      </c>
      <c r="E7537" t="s">
        <v>1</v>
      </c>
      <c r="F7537" t="s">
        <v>0</v>
      </c>
      <c r="G7537" t="str">
        <f>"2018-10-16 12:02:10"</f>
        <v>2018-10-16 12:02:10</v>
      </c>
    </row>
    <row r="7538" spans="1:7" x14ac:dyDescent="0.2">
      <c r="A7538" t="s">
        <v>8338</v>
      </c>
      <c r="B7538" t="str">
        <f>"17645104089"</f>
        <v>17645104089</v>
      </c>
      <c r="C7538" t="str">
        <f>"232127199608301612"</f>
        <v>232127199608301612</v>
      </c>
      <c r="D7538" t="s">
        <v>8339</v>
      </c>
      <c r="E7538" t="s">
        <v>8340</v>
      </c>
      <c r="F7538" t="s">
        <v>0</v>
      </c>
      <c r="G7538" t="str">
        <f>"2018-10-16 12:06:00"</f>
        <v>2018-10-16 12:06:00</v>
      </c>
    </row>
    <row r="7539" spans="1:7" x14ac:dyDescent="0.2">
      <c r="A7539" t="s">
        <v>1</v>
      </c>
      <c r="B7539" t="str">
        <f>"15088493519"</f>
        <v>15088493519</v>
      </c>
      <c r="C7539" t="s">
        <v>1</v>
      </c>
      <c r="D7539" t="s">
        <v>1</v>
      </c>
      <c r="E7539" t="s">
        <v>1</v>
      </c>
      <c r="F7539" t="s">
        <v>0</v>
      </c>
      <c r="G7539" t="str">
        <f>"2018-10-16 12:04:33"</f>
        <v>2018-10-16 12:04:33</v>
      </c>
    </row>
    <row r="7540" spans="1:7" x14ac:dyDescent="0.2">
      <c r="A7540" t="s">
        <v>8341</v>
      </c>
      <c r="B7540" t="str">
        <f>"13848634638"</f>
        <v>13848634638</v>
      </c>
      <c r="C7540" t="str">
        <f>"511521198412058222"</f>
        <v>511521198412058222</v>
      </c>
      <c r="D7540" t="s">
        <v>1</v>
      </c>
      <c r="E7540" t="s">
        <v>1</v>
      </c>
      <c r="F7540" t="s">
        <v>0</v>
      </c>
      <c r="G7540" t="str">
        <f>"2018-10-18 19:20:37"</f>
        <v>2018-10-18 19:20:37</v>
      </c>
    </row>
    <row r="7541" spans="1:7" x14ac:dyDescent="0.2">
      <c r="A7541" t="s">
        <v>8342</v>
      </c>
      <c r="B7541" t="str">
        <f>"17362975129"</f>
        <v>17362975129</v>
      </c>
      <c r="C7541" t="str">
        <f>"420521198005095314"</f>
        <v>420521198005095314</v>
      </c>
      <c r="D7541" t="s">
        <v>1</v>
      </c>
      <c r="E7541" t="s">
        <v>1</v>
      </c>
      <c r="F7541" t="s">
        <v>0</v>
      </c>
      <c r="G7541" t="str">
        <f>"2018-10-16 12:01:13"</f>
        <v>2018-10-16 12:01:13</v>
      </c>
    </row>
    <row r="7542" spans="1:7" x14ac:dyDescent="0.2">
      <c r="A7542" t="s">
        <v>756</v>
      </c>
      <c r="B7542" t="str">
        <f>"13776502283"</f>
        <v>13776502283</v>
      </c>
      <c r="C7542" t="str">
        <f>"320112198312061745"</f>
        <v>320112198312061745</v>
      </c>
      <c r="D7542" t="s">
        <v>1</v>
      </c>
      <c r="E7542" t="s">
        <v>1</v>
      </c>
      <c r="F7542" t="s">
        <v>0</v>
      </c>
      <c r="G7542" t="str">
        <f>"2018-10-16 12:00:03"</f>
        <v>2018-10-16 12:00:03</v>
      </c>
    </row>
    <row r="7543" spans="1:7" x14ac:dyDescent="0.2">
      <c r="A7543" t="s">
        <v>232</v>
      </c>
      <c r="B7543" t="str">
        <f>"18890649998"</f>
        <v>18890649998</v>
      </c>
      <c r="C7543" t="str">
        <f>"320811199108171011"</f>
        <v>320811199108171011</v>
      </c>
      <c r="D7543" t="s">
        <v>1</v>
      </c>
      <c r="E7543" t="s">
        <v>1</v>
      </c>
      <c r="F7543" t="s">
        <v>0</v>
      </c>
      <c r="G7543" t="str">
        <f>"2018-10-16 12:11:28"</f>
        <v>2018-10-16 12:11:28</v>
      </c>
    </row>
    <row r="7544" spans="1:7" x14ac:dyDescent="0.2">
      <c r="A7544" t="s">
        <v>8343</v>
      </c>
      <c r="B7544" t="str">
        <f>"13395223966"</f>
        <v>13395223966</v>
      </c>
      <c r="C7544" t="str">
        <f>"320324198708150417"</f>
        <v>320324198708150417</v>
      </c>
      <c r="D7544" t="s">
        <v>1</v>
      </c>
      <c r="E7544" t="s">
        <v>1</v>
      </c>
      <c r="F7544" t="s">
        <v>0</v>
      </c>
      <c r="G7544" t="str">
        <f>"2018-10-16 11:59:55"</f>
        <v>2018-10-16 11:59:55</v>
      </c>
    </row>
    <row r="7545" spans="1:7" x14ac:dyDescent="0.2">
      <c r="A7545" t="s">
        <v>8344</v>
      </c>
      <c r="B7545" t="str">
        <f>"18257587708"</f>
        <v>18257587708</v>
      </c>
      <c r="C7545" t="str">
        <f>"360281199806106034"</f>
        <v>360281199806106034</v>
      </c>
      <c r="D7545" t="s">
        <v>1</v>
      </c>
      <c r="E7545" t="s">
        <v>1</v>
      </c>
      <c r="F7545" t="s">
        <v>0</v>
      </c>
      <c r="G7545" t="str">
        <f>"2018-10-16 12:00:00"</f>
        <v>2018-10-16 12:00:00</v>
      </c>
    </row>
    <row r="7546" spans="1:7" x14ac:dyDescent="0.2">
      <c r="A7546" t="s">
        <v>1</v>
      </c>
      <c r="B7546" t="str">
        <f>"13014834442"</f>
        <v>13014834442</v>
      </c>
      <c r="C7546" t="s">
        <v>1</v>
      </c>
      <c r="D7546" t="s">
        <v>1</v>
      </c>
      <c r="E7546" t="s">
        <v>1</v>
      </c>
      <c r="F7546" t="s">
        <v>0</v>
      </c>
      <c r="G7546" t="str">
        <f>"2018-10-16 11:58:07"</f>
        <v>2018-10-16 11:58:07</v>
      </c>
    </row>
    <row r="7547" spans="1:7" x14ac:dyDescent="0.2">
      <c r="A7547" t="s">
        <v>8345</v>
      </c>
      <c r="B7547" t="str">
        <f>"15002462341"</f>
        <v>15002462341</v>
      </c>
      <c r="C7547" t="str">
        <f>"21148119910819374X"</f>
        <v>21148119910819374X</v>
      </c>
      <c r="D7547" t="s">
        <v>8346</v>
      </c>
      <c r="E7547" t="s">
        <v>8347</v>
      </c>
      <c r="F7547" t="s">
        <v>0</v>
      </c>
      <c r="G7547" t="str">
        <f>"2018-10-16 12:12:45"</f>
        <v>2018-10-16 12:12:45</v>
      </c>
    </row>
    <row r="7548" spans="1:7" x14ac:dyDescent="0.2">
      <c r="A7548" t="s">
        <v>8348</v>
      </c>
      <c r="B7548" t="str">
        <f>"15990150835"</f>
        <v>15990150835</v>
      </c>
      <c r="C7548" t="str">
        <f>"330329198911151937"</f>
        <v>330329198911151937</v>
      </c>
      <c r="D7548" t="s">
        <v>1</v>
      </c>
      <c r="E7548" t="s">
        <v>1</v>
      </c>
      <c r="F7548" t="s">
        <v>0</v>
      </c>
      <c r="G7548" t="str">
        <f>"2018-10-16 11:58:21"</f>
        <v>2018-10-16 11:58:21</v>
      </c>
    </row>
    <row r="7549" spans="1:7" x14ac:dyDescent="0.2">
      <c r="A7549" t="s">
        <v>8349</v>
      </c>
      <c r="B7549" t="str">
        <f>"17689789808"</f>
        <v>17689789808</v>
      </c>
      <c r="C7549" t="str">
        <f>"460004199810082012"</f>
        <v>460004199810082012</v>
      </c>
      <c r="D7549" t="s">
        <v>1</v>
      </c>
      <c r="E7549" t="s">
        <v>1</v>
      </c>
      <c r="F7549" t="s">
        <v>0</v>
      </c>
      <c r="G7549" t="str">
        <f>"2018-10-16 11:57:04"</f>
        <v>2018-10-16 11:57:04</v>
      </c>
    </row>
    <row r="7550" spans="1:7" x14ac:dyDescent="0.2">
      <c r="A7550" t="s">
        <v>8350</v>
      </c>
      <c r="B7550" t="str">
        <f>"13354636696"</f>
        <v>13354636696</v>
      </c>
      <c r="C7550" t="str">
        <f>"530102197205063317"</f>
        <v>530102197205063317</v>
      </c>
      <c r="D7550" t="s">
        <v>1</v>
      </c>
      <c r="E7550" t="s">
        <v>1</v>
      </c>
      <c r="F7550" t="s">
        <v>0</v>
      </c>
      <c r="G7550" t="str">
        <f>"2018-10-16 12:00:11"</f>
        <v>2018-10-16 12:00:11</v>
      </c>
    </row>
    <row r="7551" spans="1:7" x14ac:dyDescent="0.2">
      <c r="A7551" t="s">
        <v>1</v>
      </c>
      <c r="B7551" t="str">
        <f>"15888351267"</f>
        <v>15888351267</v>
      </c>
      <c r="C7551" t="s">
        <v>1</v>
      </c>
      <c r="D7551" t="s">
        <v>1</v>
      </c>
      <c r="E7551" t="s">
        <v>1</v>
      </c>
      <c r="F7551" t="s">
        <v>0</v>
      </c>
      <c r="G7551" t="str">
        <f>"2018-10-16 11:55:59"</f>
        <v>2018-10-16 11:55:59</v>
      </c>
    </row>
    <row r="7552" spans="1:7" x14ac:dyDescent="0.2">
      <c r="A7552" t="s">
        <v>1</v>
      </c>
      <c r="B7552" t="str">
        <f>"18932259653"</f>
        <v>18932259653</v>
      </c>
      <c r="C7552" t="s">
        <v>1</v>
      </c>
      <c r="D7552" t="s">
        <v>1</v>
      </c>
      <c r="E7552" t="s">
        <v>1</v>
      </c>
      <c r="F7552" t="s">
        <v>0</v>
      </c>
      <c r="G7552" t="str">
        <f>"2018-10-16 11:55:24"</f>
        <v>2018-10-16 11:55:24</v>
      </c>
    </row>
    <row r="7553" spans="1:7" x14ac:dyDescent="0.2">
      <c r="A7553" t="s">
        <v>8351</v>
      </c>
      <c r="B7553" t="str">
        <f>"15819412581"</f>
        <v>15819412581</v>
      </c>
      <c r="C7553" t="str">
        <f>"452626199703133401"</f>
        <v>452626199703133401</v>
      </c>
      <c r="D7553" t="s">
        <v>1</v>
      </c>
      <c r="E7553" t="s">
        <v>1</v>
      </c>
      <c r="F7553" t="s">
        <v>0</v>
      </c>
      <c r="G7553" t="str">
        <f>"2018-10-16 11:59:53"</f>
        <v>2018-10-16 11:59:53</v>
      </c>
    </row>
    <row r="7554" spans="1:7" x14ac:dyDescent="0.2">
      <c r="A7554" t="s">
        <v>8352</v>
      </c>
      <c r="B7554" t="str">
        <f>"15953538015"</f>
        <v>15953538015</v>
      </c>
      <c r="C7554" t="str">
        <f>"152103199005040328"</f>
        <v>152103199005040328</v>
      </c>
      <c r="D7554" t="s">
        <v>1</v>
      </c>
      <c r="E7554" t="s">
        <v>1</v>
      </c>
      <c r="F7554" t="s">
        <v>0</v>
      </c>
      <c r="G7554" t="str">
        <f>"2018-10-16 11:54:57"</f>
        <v>2018-10-16 11:54:57</v>
      </c>
    </row>
    <row r="7555" spans="1:7" x14ac:dyDescent="0.2">
      <c r="A7555" t="s">
        <v>1</v>
      </c>
      <c r="B7555" t="str">
        <f>"18887724008"</f>
        <v>18887724008</v>
      </c>
      <c r="C7555" t="s">
        <v>1</v>
      </c>
      <c r="D7555" t="s">
        <v>1</v>
      </c>
      <c r="E7555" t="s">
        <v>1</v>
      </c>
      <c r="F7555" t="s">
        <v>0</v>
      </c>
      <c r="G7555" t="str">
        <f>"2018-10-16 11:54:44"</f>
        <v>2018-10-16 11:54:44</v>
      </c>
    </row>
    <row r="7556" spans="1:7" x14ac:dyDescent="0.2">
      <c r="A7556" t="s">
        <v>8353</v>
      </c>
      <c r="B7556" t="str">
        <f>"13815228672"</f>
        <v>13815228672</v>
      </c>
      <c r="C7556" t="str">
        <f>"320683198701098632"</f>
        <v>320683198701098632</v>
      </c>
      <c r="D7556" t="s">
        <v>1</v>
      </c>
      <c r="E7556" t="s">
        <v>1</v>
      </c>
      <c r="F7556" t="s">
        <v>0</v>
      </c>
      <c r="G7556" t="str">
        <f>"2018-10-16 12:10:30"</f>
        <v>2018-10-16 12:10:30</v>
      </c>
    </row>
    <row r="7557" spans="1:7" x14ac:dyDescent="0.2">
      <c r="A7557" t="s">
        <v>8354</v>
      </c>
      <c r="B7557" t="str">
        <f>"13531461342"</f>
        <v>13531461342</v>
      </c>
      <c r="C7557" t="str">
        <f>"440281198802233517"</f>
        <v>440281198802233517</v>
      </c>
      <c r="D7557" t="s">
        <v>1</v>
      </c>
      <c r="E7557" t="s">
        <v>1</v>
      </c>
      <c r="F7557" t="s">
        <v>0</v>
      </c>
      <c r="G7557" t="str">
        <f>"2018-10-16 11:57:24"</f>
        <v>2018-10-16 11:57:24</v>
      </c>
    </row>
    <row r="7558" spans="1:7" x14ac:dyDescent="0.2">
      <c r="A7558" t="s">
        <v>8355</v>
      </c>
      <c r="B7558" t="str">
        <f>"13564220743"</f>
        <v>13564220743</v>
      </c>
      <c r="C7558" t="str">
        <f>"310113198407265710"</f>
        <v>310113198407265710</v>
      </c>
      <c r="D7558" t="s">
        <v>1</v>
      </c>
      <c r="E7558" t="s">
        <v>1</v>
      </c>
      <c r="F7558" t="s">
        <v>0</v>
      </c>
      <c r="G7558" t="str">
        <f>"2018-10-16 11:53:33"</f>
        <v>2018-10-16 11:53:33</v>
      </c>
    </row>
    <row r="7559" spans="1:7" x14ac:dyDescent="0.2">
      <c r="A7559" t="s">
        <v>1</v>
      </c>
      <c r="B7559" t="str">
        <f>"15817781816"</f>
        <v>15817781816</v>
      </c>
      <c r="C7559" t="s">
        <v>1</v>
      </c>
      <c r="D7559" t="s">
        <v>1</v>
      </c>
      <c r="E7559" t="s">
        <v>1</v>
      </c>
      <c r="F7559" t="s">
        <v>0</v>
      </c>
      <c r="G7559" t="str">
        <f>"2018-10-16 11:53:22"</f>
        <v>2018-10-16 11:53:22</v>
      </c>
    </row>
    <row r="7560" spans="1:7" x14ac:dyDescent="0.2">
      <c r="A7560" t="s">
        <v>8356</v>
      </c>
      <c r="B7560" t="str">
        <f>"17711741086"</f>
        <v>17711741086</v>
      </c>
      <c r="C7560" t="str">
        <f>"430822199911239059"</f>
        <v>430822199911239059</v>
      </c>
      <c r="D7560" t="s">
        <v>1</v>
      </c>
      <c r="E7560" t="s">
        <v>1</v>
      </c>
      <c r="F7560" t="s">
        <v>0</v>
      </c>
      <c r="G7560" t="str">
        <f>"2018-10-16 13:52:59"</f>
        <v>2018-10-16 13:52:59</v>
      </c>
    </row>
    <row r="7561" spans="1:7" x14ac:dyDescent="0.2">
      <c r="A7561" t="s">
        <v>8357</v>
      </c>
      <c r="B7561" t="str">
        <f>"13995576763"</f>
        <v>13995576763</v>
      </c>
      <c r="C7561" t="str">
        <f>"421083199204150432"</f>
        <v>421083199204150432</v>
      </c>
      <c r="D7561" t="s">
        <v>8358</v>
      </c>
      <c r="E7561" t="s">
        <v>8359</v>
      </c>
      <c r="F7561" t="s">
        <v>0</v>
      </c>
      <c r="G7561" t="str">
        <f>"2018-10-16 11:54:48"</f>
        <v>2018-10-16 11:54:48</v>
      </c>
    </row>
    <row r="7562" spans="1:7" x14ac:dyDescent="0.2">
      <c r="A7562" t="s">
        <v>528</v>
      </c>
      <c r="B7562" t="str">
        <f>"13021575266"</f>
        <v>13021575266</v>
      </c>
      <c r="C7562" t="str">
        <f>"371302198306110617"</f>
        <v>371302198306110617</v>
      </c>
      <c r="D7562" t="s">
        <v>8360</v>
      </c>
      <c r="E7562" t="s">
        <v>8361</v>
      </c>
      <c r="F7562" t="s">
        <v>0</v>
      </c>
      <c r="G7562" t="str">
        <f>"2018-10-16 11:53:50"</f>
        <v>2018-10-16 11:53:50</v>
      </c>
    </row>
    <row r="7563" spans="1:7" x14ac:dyDescent="0.2">
      <c r="A7563" t="s">
        <v>8362</v>
      </c>
      <c r="B7563" t="str">
        <f>"15259733618"</f>
        <v>15259733618</v>
      </c>
      <c r="C7563" t="str">
        <f>"360124198701176610"</f>
        <v>360124198701176610</v>
      </c>
      <c r="D7563" t="s">
        <v>1</v>
      </c>
      <c r="E7563" t="s">
        <v>1</v>
      </c>
      <c r="F7563" t="s">
        <v>0</v>
      </c>
      <c r="G7563" t="str">
        <f>"2018-10-16 11:54:59"</f>
        <v>2018-10-16 11:54:59</v>
      </c>
    </row>
    <row r="7564" spans="1:7" x14ac:dyDescent="0.2">
      <c r="A7564" t="s">
        <v>8363</v>
      </c>
      <c r="B7564" t="str">
        <f>"15981996055"</f>
        <v>15981996055</v>
      </c>
      <c r="C7564" t="str">
        <f>"130523199703200810"</f>
        <v>130523199703200810</v>
      </c>
      <c r="D7564" t="s">
        <v>8364</v>
      </c>
      <c r="E7564" t="s">
        <v>8365</v>
      </c>
      <c r="F7564" t="s">
        <v>0</v>
      </c>
      <c r="G7564" t="str">
        <f>"2018-10-16 12:05:32"</f>
        <v>2018-10-16 12:05:32</v>
      </c>
    </row>
    <row r="7565" spans="1:7" x14ac:dyDescent="0.2">
      <c r="A7565" t="s">
        <v>1</v>
      </c>
      <c r="B7565" t="str">
        <f>"13586472651"</f>
        <v>13586472651</v>
      </c>
      <c r="C7565" t="s">
        <v>1</v>
      </c>
      <c r="D7565" t="s">
        <v>1</v>
      </c>
      <c r="E7565" t="s">
        <v>1</v>
      </c>
      <c r="F7565" t="s">
        <v>0</v>
      </c>
      <c r="G7565" t="str">
        <f>"2018-10-16 11:51:50"</f>
        <v>2018-10-16 11:51:50</v>
      </c>
    </row>
    <row r="7566" spans="1:7" x14ac:dyDescent="0.2">
      <c r="A7566" t="s">
        <v>1</v>
      </c>
      <c r="B7566" t="str">
        <f>"15260190985"</f>
        <v>15260190985</v>
      </c>
      <c r="C7566" t="s">
        <v>1</v>
      </c>
      <c r="D7566" t="s">
        <v>1</v>
      </c>
      <c r="E7566" t="s">
        <v>1</v>
      </c>
      <c r="F7566" t="s">
        <v>0</v>
      </c>
      <c r="G7566" t="str">
        <f>"2018-10-16 11:51:32"</f>
        <v>2018-10-16 11:51:32</v>
      </c>
    </row>
    <row r="7567" spans="1:7" x14ac:dyDescent="0.2">
      <c r="A7567" t="s">
        <v>4252</v>
      </c>
      <c r="B7567" t="str">
        <f>"15971137716"</f>
        <v>15971137716</v>
      </c>
      <c r="C7567" t="str">
        <f>"42028119861207761X"</f>
        <v>42028119861207761X</v>
      </c>
      <c r="D7567" t="s">
        <v>1</v>
      </c>
      <c r="E7567" t="s">
        <v>1</v>
      </c>
      <c r="F7567" t="s">
        <v>0</v>
      </c>
      <c r="G7567" t="str">
        <f>"2018-10-16 14:28:53"</f>
        <v>2018-10-16 14:28:53</v>
      </c>
    </row>
    <row r="7568" spans="1:7" x14ac:dyDescent="0.2">
      <c r="A7568" t="s">
        <v>8366</v>
      </c>
      <c r="B7568" t="str">
        <f>"13911677071"</f>
        <v>13911677071</v>
      </c>
      <c r="C7568" t="str">
        <f>"110109198506055012"</f>
        <v>110109198506055012</v>
      </c>
      <c r="D7568" t="s">
        <v>8367</v>
      </c>
      <c r="E7568" t="s">
        <v>8368</v>
      </c>
      <c r="F7568" t="s">
        <v>0</v>
      </c>
      <c r="G7568" t="str">
        <f>"2018-10-16 11:49:47"</f>
        <v>2018-10-16 11:49:47</v>
      </c>
    </row>
    <row r="7569" spans="1:7" x14ac:dyDescent="0.2">
      <c r="A7569" t="s">
        <v>8369</v>
      </c>
      <c r="B7569" t="str">
        <f>"17771002189"</f>
        <v>17771002189</v>
      </c>
      <c r="C7569" t="str">
        <f>"420683197712212129"</f>
        <v>420683197712212129</v>
      </c>
      <c r="D7569" t="s">
        <v>1</v>
      </c>
      <c r="E7569" t="s">
        <v>1</v>
      </c>
      <c r="F7569" t="s">
        <v>0</v>
      </c>
      <c r="G7569" t="str">
        <f>"2018-10-16 12:16:19"</f>
        <v>2018-10-16 12:16:19</v>
      </c>
    </row>
    <row r="7570" spans="1:7" x14ac:dyDescent="0.2">
      <c r="A7570" t="s">
        <v>8370</v>
      </c>
      <c r="B7570" t="str">
        <f>"15971616666"</f>
        <v>15971616666</v>
      </c>
      <c r="C7570" t="str">
        <f>"421003198206260014"</f>
        <v>421003198206260014</v>
      </c>
      <c r="D7570" t="s">
        <v>8371</v>
      </c>
      <c r="E7570" t="s">
        <v>8372</v>
      </c>
      <c r="F7570" t="s">
        <v>0</v>
      </c>
      <c r="G7570" t="str">
        <f>"2018-10-16 11:58:31"</f>
        <v>2018-10-16 11:58:31</v>
      </c>
    </row>
    <row r="7571" spans="1:7" x14ac:dyDescent="0.2">
      <c r="A7571" t="s">
        <v>1</v>
      </c>
      <c r="B7571" t="str">
        <f>"18589257175"</f>
        <v>18589257175</v>
      </c>
      <c r="C7571" t="s">
        <v>1</v>
      </c>
      <c r="D7571" t="s">
        <v>1</v>
      </c>
      <c r="E7571" t="s">
        <v>1</v>
      </c>
      <c r="F7571" t="s">
        <v>0</v>
      </c>
      <c r="G7571" t="str">
        <f>"2018-10-16 11:48:12"</f>
        <v>2018-10-16 11:48:12</v>
      </c>
    </row>
    <row r="7572" spans="1:7" x14ac:dyDescent="0.2">
      <c r="A7572" t="s">
        <v>8373</v>
      </c>
      <c r="B7572" t="str">
        <f>"15171589219"</f>
        <v>15171589219</v>
      </c>
      <c r="C7572" t="str">
        <f>"420528199309295015"</f>
        <v>420528199309295015</v>
      </c>
      <c r="D7572" t="s">
        <v>1</v>
      </c>
      <c r="E7572" t="s">
        <v>1</v>
      </c>
      <c r="F7572" t="s">
        <v>0</v>
      </c>
      <c r="G7572" t="str">
        <f>"2018-10-16 12:28:43"</f>
        <v>2018-10-16 12:28:43</v>
      </c>
    </row>
    <row r="7573" spans="1:7" x14ac:dyDescent="0.2">
      <c r="A7573" t="s">
        <v>1</v>
      </c>
      <c r="B7573" t="str">
        <f>"13359445959"</f>
        <v>13359445959</v>
      </c>
      <c r="C7573" t="s">
        <v>1</v>
      </c>
      <c r="D7573" t="s">
        <v>1</v>
      </c>
      <c r="E7573" t="s">
        <v>1</v>
      </c>
      <c r="F7573" t="s">
        <v>0</v>
      </c>
      <c r="G7573" t="str">
        <f>"2018-10-16 11:47:48"</f>
        <v>2018-10-16 11:47:48</v>
      </c>
    </row>
    <row r="7574" spans="1:7" x14ac:dyDescent="0.2">
      <c r="A7574" t="s">
        <v>8374</v>
      </c>
      <c r="B7574" t="str">
        <f>"13041232525"</f>
        <v>13041232525</v>
      </c>
      <c r="C7574" t="str">
        <f>"231181199302100217"</f>
        <v>231181199302100217</v>
      </c>
      <c r="D7574" t="s">
        <v>1</v>
      </c>
      <c r="E7574" t="s">
        <v>1</v>
      </c>
      <c r="F7574" t="s">
        <v>0</v>
      </c>
      <c r="G7574" t="str">
        <f>"2018-10-16 11:50:17"</f>
        <v>2018-10-16 11:50:17</v>
      </c>
    </row>
    <row r="7575" spans="1:7" x14ac:dyDescent="0.2">
      <c r="A7575" t="s">
        <v>601</v>
      </c>
      <c r="B7575" t="str">
        <f>"13272016809"</f>
        <v>13272016809</v>
      </c>
      <c r="C7575" t="str">
        <f>"340302197511181018"</f>
        <v>340302197511181018</v>
      </c>
      <c r="D7575" t="s">
        <v>1</v>
      </c>
      <c r="E7575" t="s">
        <v>1</v>
      </c>
      <c r="F7575" t="s">
        <v>0</v>
      </c>
      <c r="G7575" t="str">
        <f>"2018-10-16 15:48:43"</f>
        <v>2018-10-16 15:48:43</v>
      </c>
    </row>
    <row r="7576" spans="1:7" x14ac:dyDescent="0.2">
      <c r="A7576" t="s">
        <v>1</v>
      </c>
      <c r="B7576" t="str">
        <f>"13705676505"</f>
        <v>13705676505</v>
      </c>
      <c r="C7576" t="s">
        <v>1</v>
      </c>
      <c r="D7576" t="s">
        <v>1</v>
      </c>
      <c r="E7576" t="s">
        <v>1</v>
      </c>
      <c r="F7576" t="s">
        <v>0</v>
      </c>
      <c r="G7576" t="str">
        <f>"2018-10-16 11:49:12"</f>
        <v>2018-10-16 11:49:12</v>
      </c>
    </row>
    <row r="7577" spans="1:7" x14ac:dyDescent="0.2">
      <c r="A7577" t="s">
        <v>8375</v>
      </c>
      <c r="B7577" t="str">
        <f>"15277667563"</f>
        <v>15277667563</v>
      </c>
      <c r="C7577" t="str">
        <f>"452623198509070319"</f>
        <v>452623198509070319</v>
      </c>
      <c r="D7577" t="s">
        <v>1</v>
      </c>
      <c r="E7577" t="s">
        <v>1</v>
      </c>
      <c r="F7577" t="s">
        <v>0</v>
      </c>
      <c r="G7577" t="str">
        <f>"2018-10-16 11:48:03"</f>
        <v>2018-10-16 11:48:03</v>
      </c>
    </row>
    <row r="7578" spans="1:7" x14ac:dyDescent="0.2">
      <c r="A7578" t="s">
        <v>8376</v>
      </c>
      <c r="B7578" t="str">
        <f>"13850084822"</f>
        <v>13850084822</v>
      </c>
      <c r="C7578" t="str">
        <f>"350521198207041025"</f>
        <v>350521198207041025</v>
      </c>
      <c r="D7578" t="s">
        <v>1</v>
      </c>
      <c r="E7578" t="s">
        <v>1</v>
      </c>
      <c r="F7578" t="s">
        <v>0</v>
      </c>
      <c r="G7578" t="str">
        <f>"2018-10-16 12:17:34"</f>
        <v>2018-10-16 12:17:34</v>
      </c>
    </row>
    <row r="7579" spans="1:7" x14ac:dyDescent="0.2">
      <c r="A7579" t="s">
        <v>8377</v>
      </c>
      <c r="B7579" t="str">
        <f>"13589229232"</f>
        <v>13589229232</v>
      </c>
      <c r="C7579" t="str">
        <f>"370282198910177119"</f>
        <v>370282198910177119</v>
      </c>
      <c r="D7579" t="s">
        <v>8378</v>
      </c>
      <c r="E7579" t="s">
        <v>8379</v>
      </c>
      <c r="F7579" t="s">
        <v>0</v>
      </c>
      <c r="G7579" t="str">
        <f>"2018-10-16 12:57:46"</f>
        <v>2018-10-16 12:57:46</v>
      </c>
    </row>
    <row r="7580" spans="1:7" x14ac:dyDescent="0.2">
      <c r="A7580" t="s">
        <v>8380</v>
      </c>
      <c r="B7580" t="str">
        <f>"13543630770"</f>
        <v>13543630770</v>
      </c>
      <c r="C7580" t="str">
        <f>"450923199710291534"</f>
        <v>450923199710291534</v>
      </c>
      <c r="D7580" t="s">
        <v>1</v>
      </c>
      <c r="E7580" t="s">
        <v>1</v>
      </c>
      <c r="F7580" t="s">
        <v>0</v>
      </c>
      <c r="G7580" t="str">
        <f>"2018-10-16 11:54:52"</f>
        <v>2018-10-16 11:54:52</v>
      </c>
    </row>
    <row r="7581" spans="1:7" x14ac:dyDescent="0.2">
      <c r="A7581" t="s">
        <v>8381</v>
      </c>
      <c r="B7581" t="str">
        <f>"15958670902"</f>
        <v>15958670902</v>
      </c>
      <c r="C7581" t="str">
        <f>"331023198608010521"</f>
        <v>331023198608010521</v>
      </c>
      <c r="D7581" t="s">
        <v>8382</v>
      </c>
      <c r="E7581" t="s">
        <v>8383</v>
      </c>
      <c r="F7581" t="s">
        <v>0</v>
      </c>
      <c r="G7581" t="str">
        <f>"2018-10-16 11:45:10"</f>
        <v>2018-10-16 11:45:10</v>
      </c>
    </row>
    <row r="7582" spans="1:7" x14ac:dyDescent="0.2">
      <c r="A7582" t="s">
        <v>8384</v>
      </c>
      <c r="B7582" t="str">
        <f>"18878721299"</f>
        <v>18878721299</v>
      </c>
      <c r="C7582" t="str">
        <f>"45273119860706003X"</f>
        <v>45273119860706003X</v>
      </c>
      <c r="D7582" t="s">
        <v>8385</v>
      </c>
      <c r="E7582" t="s">
        <v>8386</v>
      </c>
      <c r="F7582" t="s">
        <v>0</v>
      </c>
      <c r="G7582" t="str">
        <f>"2018-10-16 11:45:44"</f>
        <v>2018-10-16 11:45:44</v>
      </c>
    </row>
    <row r="7583" spans="1:7" x14ac:dyDescent="0.2">
      <c r="A7583" t="s">
        <v>8387</v>
      </c>
      <c r="B7583" t="str">
        <f>"15873512255"</f>
        <v>15873512255</v>
      </c>
      <c r="C7583" t="str">
        <f>"432822197410280056"</f>
        <v>432822197410280056</v>
      </c>
      <c r="D7583" t="s">
        <v>1</v>
      </c>
      <c r="E7583" t="s">
        <v>1</v>
      </c>
      <c r="F7583" t="s">
        <v>0</v>
      </c>
      <c r="G7583" t="str">
        <f>"2018-10-16 11:47:33"</f>
        <v>2018-10-16 11:47:33</v>
      </c>
    </row>
    <row r="7584" spans="1:7" x14ac:dyDescent="0.2">
      <c r="A7584" t="s">
        <v>8388</v>
      </c>
      <c r="B7584" t="str">
        <f>"13123183017"</f>
        <v>13123183017</v>
      </c>
      <c r="C7584" t="str">
        <f>"350526198501182525"</f>
        <v>350526198501182525</v>
      </c>
      <c r="D7584" t="s">
        <v>1</v>
      </c>
      <c r="E7584" t="s">
        <v>1</v>
      </c>
      <c r="F7584" t="s">
        <v>0</v>
      </c>
      <c r="G7584" t="str">
        <f>"2018-10-16 15:29:50"</f>
        <v>2018-10-16 15:29:50</v>
      </c>
    </row>
    <row r="7585" spans="1:7" x14ac:dyDescent="0.2">
      <c r="A7585" t="s">
        <v>8389</v>
      </c>
      <c r="B7585" t="str">
        <f>"18280851161"</f>
        <v>18280851161</v>
      </c>
      <c r="C7585" t="str">
        <f>"510922198706300034"</f>
        <v>510922198706300034</v>
      </c>
      <c r="D7585" t="s">
        <v>1</v>
      </c>
      <c r="E7585" t="s">
        <v>1</v>
      </c>
      <c r="F7585" t="s">
        <v>0</v>
      </c>
      <c r="G7585" t="str">
        <f>"2018-10-16 13:37:05"</f>
        <v>2018-10-16 13:37:05</v>
      </c>
    </row>
    <row r="7586" spans="1:7" x14ac:dyDescent="0.2">
      <c r="A7586" t="s">
        <v>8390</v>
      </c>
      <c r="B7586" t="str">
        <f>"18985531921"</f>
        <v>18985531921</v>
      </c>
      <c r="C7586" t="str">
        <f>"520103199804281619"</f>
        <v>520103199804281619</v>
      </c>
      <c r="D7586" t="s">
        <v>1</v>
      </c>
      <c r="E7586" t="s">
        <v>1</v>
      </c>
      <c r="F7586" t="s">
        <v>0</v>
      </c>
      <c r="G7586" t="str">
        <f>"2018-10-16 13:34:45"</f>
        <v>2018-10-16 13:34:45</v>
      </c>
    </row>
    <row r="7587" spans="1:7" x14ac:dyDescent="0.2">
      <c r="A7587" t="s">
        <v>1</v>
      </c>
      <c r="B7587" t="str">
        <f>"17339576444"</f>
        <v>17339576444</v>
      </c>
      <c r="C7587" t="s">
        <v>1</v>
      </c>
      <c r="D7587" t="s">
        <v>1</v>
      </c>
      <c r="E7587" t="s">
        <v>1</v>
      </c>
      <c r="F7587" t="s">
        <v>0</v>
      </c>
      <c r="G7587" t="str">
        <f>"2018-10-16 11:44:07"</f>
        <v>2018-10-16 11:44:07</v>
      </c>
    </row>
    <row r="7588" spans="1:7" x14ac:dyDescent="0.2">
      <c r="A7588" t="s">
        <v>5961</v>
      </c>
      <c r="B7588" t="str">
        <f>"15592187097"</f>
        <v>15592187097</v>
      </c>
      <c r="C7588" t="str">
        <f>"610431199910063432"</f>
        <v>610431199910063432</v>
      </c>
      <c r="D7588" t="s">
        <v>1</v>
      </c>
      <c r="E7588" t="s">
        <v>1</v>
      </c>
      <c r="F7588" t="s">
        <v>0</v>
      </c>
      <c r="G7588" t="str">
        <f>"2018-10-16 11:44:49"</f>
        <v>2018-10-16 11:44:49</v>
      </c>
    </row>
    <row r="7589" spans="1:7" x14ac:dyDescent="0.2">
      <c r="A7589" t="s">
        <v>1</v>
      </c>
      <c r="B7589" t="str">
        <f>"13219997576"</f>
        <v>13219997576</v>
      </c>
      <c r="C7589" t="s">
        <v>1</v>
      </c>
      <c r="D7589" t="s">
        <v>1</v>
      </c>
      <c r="E7589" t="s">
        <v>1</v>
      </c>
      <c r="F7589" t="s">
        <v>0</v>
      </c>
      <c r="G7589" t="str">
        <f>"2018-10-16 11:45:54"</f>
        <v>2018-10-16 11:45:54</v>
      </c>
    </row>
    <row r="7590" spans="1:7" x14ac:dyDescent="0.2">
      <c r="A7590" t="s">
        <v>1</v>
      </c>
      <c r="B7590" t="str">
        <f>"18376446058"</f>
        <v>18376446058</v>
      </c>
      <c r="C7590" t="s">
        <v>1</v>
      </c>
      <c r="D7590" t="s">
        <v>1</v>
      </c>
      <c r="E7590" t="s">
        <v>1</v>
      </c>
      <c r="F7590" t="s">
        <v>0</v>
      </c>
      <c r="G7590" t="str">
        <f>"2018-10-16 11:43:36"</f>
        <v>2018-10-16 11:43:36</v>
      </c>
    </row>
    <row r="7591" spans="1:7" x14ac:dyDescent="0.2">
      <c r="A7591" t="s">
        <v>1468</v>
      </c>
      <c r="B7591" t="str">
        <f>"17353663975"</f>
        <v>17353663975</v>
      </c>
      <c r="C7591" t="str">
        <f>"370783198206174436"</f>
        <v>370783198206174436</v>
      </c>
      <c r="D7591" t="s">
        <v>1</v>
      </c>
      <c r="E7591" t="s">
        <v>1</v>
      </c>
      <c r="F7591" t="s">
        <v>0</v>
      </c>
      <c r="G7591" t="str">
        <f>"2018-10-16 11:47:09"</f>
        <v>2018-10-16 11:47:09</v>
      </c>
    </row>
    <row r="7592" spans="1:7" x14ac:dyDescent="0.2">
      <c r="A7592" t="s">
        <v>1</v>
      </c>
      <c r="B7592" t="str">
        <f>"13148474013"</f>
        <v>13148474013</v>
      </c>
      <c r="C7592" t="s">
        <v>1</v>
      </c>
      <c r="D7592" t="s">
        <v>1</v>
      </c>
      <c r="E7592" t="s">
        <v>1</v>
      </c>
      <c r="F7592" t="s">
        <v>0</v>
      </c>
      <c r="G7592" t="str">
        <f>"2018-10-16 11:43:27"</f>
        <v>2018-10-16 11:43:27</v>
      </c>
    </row>
    <row r="7593" spans="1:7" x14ac:dyDescent="0.2">
      <c r="A7593" t="s">
        <v>8391</v>
      </c>
      <c r="B7593" t="str">
        <f>"18323037403"</f>
        <v>18323037403</v>
      </c>
      <c r="C7593" t="str">
        <f>"511923199808273120"</f>
        <v>511923199808273120</v>
      </c>
      <c r="D7593" t="s">
        <v>1</v>
      </c>
      <c r="E7593" t="s">
        <v>1</v>
      </c>
      <c r="F7593" t="s">
        <v>0</v>
      </c>
      <c r="G7593" t="str">
        <f>"2018-10-16 11:43:04"</f>
        <v>2018-10-16 11:43:04</v>
      </c>
    </row>
    <row r="7594" spans="1:7" x14ac:dyDescent="0.2">
      <c r="A7594" t="s">
        <v>1226</v>
      </c>
      <c r="B7594" t="str">
        <f>"15033032858"</f>
        <v>15033032858</v>
      </c>
      <c r="C7594" t="str">
        <f>"130481199604280016"</f>
        <v>130481199604280016</v>
      </c>
      <c r="D7594" t="s">
        <v>1</v>
      </c>
      <c r="E7594" t="s">
        <v>1</v>
      </c>
      <c r="F7594" t="s">
        <v>0</v>
      </c>
      <c r="G7594" t="str">
        <f>"2018-10-16 11:44:08"</f>
        <v>2018-10-16 11:44:08</v>
      </c>
    </row>
    <row r="7595" spans="1:7" x14ac:dyDescent="0.2">
      <c r="A7595" t="s">
        <v>8392</v>
      </c>
      <c r="B7595" t="str">
        <f>"18679746235"</f>
        <v>18679746235</v>
      </c>
      <c r="C7595" t="str">
        <f>"360730199902163618"</f>
        <v>360730199902163618</v>
      </c>
      <c r="D7595" t="s">
        <v>1</v>
      </c>
      <c r="E7595" t="s">
        <v>1</v>
      </c>
      <c r="F7595" t="s">
        <v>0</v>
      </c>
      <c r="G7595" t="str">
        <f>"2018-10-16 11:52:02"</f>
        <v>2018-10-16 11:52:02</v>
      </c>
    </row>
    <row r="7596" spans="1:7" x14ac:dyDescent="0.2">
      <c r="A7596" t="s">
        <v>526</v>
      </c>
      <c r="B7596" t="str">
        <f>"15075544597"</f>
        <v>15075544597</v>
      </c>
      <c r="C7596" t="str">
        <f>"130205199112140917"</f>
        <v>130205199112140917</v>
      </c>
      <c r="D7596" t="s">
        <v>1</v>
      </c>
      <c r="E7596" t="s">
        <v>1</v>
      </c>
      <c r="F7596" t="s">
        <v>0</v>
      </c>
      <c r="G7596" t="str">
        <f>"2018-10-16 11:45:13"</f>
        <v>2018-10-16 11:45:13</v>
      </c>
    </row>
    <row r="7597" spans="1:7" x14ac:dyDescent="0.2">
      <c r="A7597" t="s">
        <v>1</v>
      </c>
      <c r="B7597" t="str">
        <f>"13186772247"</f>
        <v>13186772247</v>
      </c>
      <c r="C7597" t="s">
        <v>1</v>
      </c>
      <c r="D7597" t="s">
        <v>1</v>
      </c>
      <c r="E7597" t="s">
        <v>1</v>
      </c>
      <c r="F7597" t="s">
        <v>0</v>
      </c>
      <c r="G7597" t="str">
        <f>"2018-10-16 11:41:54"</f>
        <v>2018-10-16 11:41:54</v>
      </c>
    </row>
    <row r="7598" spans="1:7" x14ac:dyDescent="0.2">
      <c r="A7598" t="s">
        <v>429</v>
      </c>
      <c r="B7598" t="str">
        <f>"15060172007"</f>
        <v>15060172007</v>
      </c>
      <c r="C7598" t="str">
        <f>"513030199504100817"</f>
        <v>513030199504100817</v>
      </c>
      <c r="D7598" t="s">
        <v>8393</v>
      </c>
      <c r="E7598" t="s">
        <v>8394</v>
      </c>
      <c r="F7598" t="s">
        <v>0</v>
      </c>
      <c r="G7598" t="str">
        <f>"2018-10-16 12:25:38"</f>
        <v>2018-10-16 12:25:38</v>
      </c>
    </row>
    <row r="7599" spans="1:7" x14ac:dyDescent="0.2">
      <c r="A7599" t="s">
        <v>8395</v>
      </c>
      <c r="B7599" t="str">
        <f>"13457191077"</f>
        <v>13457191077</v>
      </c>
      <c r="C7599" t="str">
        <f>"452502198011134912"</f>
        <v>452502198011134912</v>
      </c>
      <c r="D7599" t="s">
        <v>8396</v>
      </c>
      <c r="E7599" t="s">
        <v>8397</v>
      </c>
      <c r="F7599" t="s">
        <v>0</v>
      </c>
      <c r="G7599" t="str">
        <f>"2018-10-28 14:01:46"</f>
        <v>2018-10-28 14:01:46</v>
      </c>
    </row>
    <row r="7600" spans="1:7" x14ac:dyDescent="0.2">
      <c r="A7600" t="s">
        <v>1</v>
      </c>
      <c r="B7600" t="str">
        <f>"13294370667"</f>
        <v>13294370667</v>
      </c>
      <c r="C7600" t="s">
        <v>1</v>
      </c>
      <c r="D7600" t="s">
        <v>1</v>
      </c>
      <c r="E7600" t="s">
        <v>1</v>
      </c>
      <c r="F7600" t="s">
        <v>0</v>
      </c>
      <c r="G7600" t="str">
        <f>"2018-10-16 12:01:50"</f>
        <v>2018-10-16 12:01:50</v>
      </c>
    </row>
    <row r="7601" spans="1:7" x14ac:dyDescent="0.2">
      <c r="A7601" t="s">
        <v>1</v>
      </c>
      <c r="B7601" t="str">
        <f>"15703398531"</f>
        <v>15703398531</v>
      </c>
      <c r="C7601" t="s">
        <v>1</v>
      </c>
      <c r="D7601" t="s">
        <v>1</v>
      </c>
      <c r="E7601" t="s">
        <v>1</v>
      </c>
      <c r="F7601" t="s">
        <v>0</v>
      </c>
      <c r="G7601" t="str">
        <f>"2018-10-16 11:41:28"</f>
        <v>2018-10-16 11:41:28</v>
      </c>
    </row>
    <row r="7602" spans="1:7" x14ac:dyDescent="0.2">
      <c r="A7602" t="s">
        <v>8398</v>
      </c>
      <c r="B7602" t="str">
        <f>"13546376132"</f>
        <v>13546376132</v>
      </c>
      <c r="C7602" t="str">
        <f>"140107199206303325"</f>
        <v>140107199206303325</v>
      </c>
      <c r="D7602" t="s">
        <v>1</v>
      </c>
      <c r="E7602" t="s">
        <v>1</v>
      </c>
      <c r="F7602" t="s">
        <v>0</v>
      </c>
      <c r="G7602" t="str">
        <f>"2018-10-16 11:44:11"</f>
        <v>2018-10-16 11:44:11</v>
      </c>
    </row>
    <row r="7603" spans="1:7" x14ac:dyDescent="0.2">
      <c r="A7603" t="s">
        <v>8399</v>
      </c>
      <c r="B7603" t="str">
        <f>"13843801775"</f>
        <v>13843801775</v>
      </c>
      <c r="C7603" t="str">
        <f>"220721199111160827"</f>
        <v>220721199111160827</v>
      </c>
      <c r="D7603" t="s">
        <v>1</v>
      </c>
      <c r="E7603" t="s">
        <v>1</v>
      </c>
      <c r="F7603" t="s">
        <v>0</v>
      </c>
      <c r="G7603" t="str">
        <f>"2018-10-16 11:42:02"</f>
        <v>2018-10-16 11:42:02</v>
      </c>
    </row>
    <row r="7604" spans="1:7" x14ac:dyDescent="0.2">
      <c r="A7604" t="s">
        <v>8400</v>
      </c>
      <c r="B7604" t="str">
        <f>"17860757550"</f>
        <v>17860757550</v>
      </c>
      <c r="C7604" t="str">
        <f>"371323199910148415"</f>
        <v>371323199910148415</v>
      </c>
      <c r="D7604" t="s">
        <v>1</v>
      </c>
      <c r="E7604" t="s">
        <v>1</v>
      </c>
      <c r="F7604" t="s">
        <v>0</v>
      </c>
      <c r="G7604" t="str">
        <f>"2018-10-16 11:57:06"</f>
        <v>2018-10-16 11:57:06</v>
      </c>
    </row>
    <row r="7605" spans="1:7" x14ac:dyDescent="0.2">
      <c r="A7605" t="s">
        <v>8401</v>
      </c>
      <c r="B7605" t="str">
        <f>"13666487221"</f>
        <v>13666487221</v>
      </c>
      <c r="C7605" t="str">
        <f>"332603198010274598"</f>
        <v>332603198010274598</v>
      </c>
      <c r="D7605" t="s">
        <v>1</v>
      </c>
      <c r="E7605" t="s">
        <v>1</v>
      </c>
      <c r="F7605" t="s">
        <v>0</v>
      </c>
      <c r="G7605" t="str">
        <f>"2018-10-16 11:47:12"</f>
        <v>2018-10-16 11:47:12</v>
      </c>
    </row>
    <row r="7606" spans="1:7" x14ac:dyDescent="0.2">
      <c r="A7606" t="s">
        <v>1</v>
      </c>
      <c r="B7606" t="str">
        <f>"13375219398"</f>
        <v>13375219398</v>
      </c>
      <c r="C7606" t="s">
        <v>1</v>
      </c>
      <c r="D7606" t="s">
        <v>1</v>
      </c>
      <c r="E7606" t="s">
        <v>1</v>
      </c>
      <c r="F7606" t="s">
        <v>0</v>
      </c>
      <c r="G7606" t="str">
        <f>"2018-10-16 11:40:22"</f>
        <v>2018-10-16 11:40:22</v>
      </c>
    </row>
    <row r="7607" spans="1:7" x14ac:dyDescent="0.2">
      <c r="A7607" t="s">
        <v>898</v>
      </c>
      <c r="B7607" t="str">
        <f>"18997519369"</f>
        <v>18997519369</v>
      </c>
      <c r="C7607" t="str">
        <f>"654322197908130018"</f>
        <v>654322197908130018</v>
      </c>
      <c r="D7607" t="s">
        <v>1</v>
      </c>
      <c r="E7607" t="s">
        <v>1</v>
      </c>
      <c r="F7607" t="s">
        <v>0</v>
      </c>
      <c r="G7607" t="str">
        <f>"2018-10-16 11:40:13"</f>
        <v>2018-10-16 11:40:13</v>
      </c>
    </row>
    <row r="7608" spans="1:7" x14ac:dyDescent="0.2">
      <c r="A7608" t="s">
        <v>8402</v>
      </c>
      <c r="B7608" t="str">
        <f>"15192961896"</f>
        <v>15192961896</v>
      </c>
      <c r="C7608" t="str">
        <f>"371329199901263620"</f>
        <v>371329199901263620</v>
      </c>
      <c r="D7608" t="s">
        <v>1</v>
      </c>
      <c r="E7608" t="s">
        <v>1</v>
      </c>
      <c r="F7608" t="s">
        <v>0</v>
      </c>
      <c r="G7608" t="str">
        <f>"2018-10-16 11:39:08"</f>
        <v>2018-10-16 11:39:08</v>
      </c>
    </row>
    <row r="7609" spans="1:7" x14ac:dyDescent="0.2">
      <c r="A7609" t="s">
        <v>1</v>
      </c>
      <c r="B7609" t="str">
        <f>"13275032287"</f>
        <v>13275032287</v>
      </c>
      <c r="C7609" t="s">
        <v>1</v>
      </c>
      <c r="D7609" t="s">
        <v>1</v>
      </c>
      <c r="E7609" t="s">
        <v>1</v>
      </c>
      <c r="F7609" t="s">
        <v>0</v>
      </c>
      <c r="G7609" t="str">
        <f>"2018-10-16 11:38:31"</f>
        <v>2018-10-16 11:38:31</v>
      </c>
    </row>
    <row r="7610" spans="1:7" x14ac:dyDescent="0.2">
      <c r="A7610" t="s">
        <v>8403</v>
      </c>
      <c r="B7610" t="str">
        <f>"18367767923"</f>
        <v>18367767923</v>
      </c>
      <c r="C7610" t="str">
        <f>"330781199707130970"</f>
        <v>330781199707130970</v>
      </c>
      <c r="D7610" t="s">
        <v>1</v>
      </c>
      <c r="E7610" t="s">
        <v>1</v>
      </c>
      <c r="F7610" t="s">
        <v>0</v>
      </c>
      <c r="G7610" t="str">
        <f>"2018-10-16 15:05:52"</f>
        <v>2018-10-16 15:05:52</v>
      </c>
    </row>
    <row r="7611" spans="1:7" x14ac:dyDescent="0.2">
      <c r="A7611" t="s">
        <v>8404</v>
      </c>
      <c r="B7611" t="str">
        <f>"13570396351"</f>
        <v>13570396351</v>
      </c>
      <c r="C7611" t="str">
        <f>"440923198905101028"</f>
        <v>440923198905101028</v>
      </c>
      <c r="D7611" t="s">
        <v>1</v>
      </c>
      <c r="E7611" t="s">
        <v>1</v>
      </c>
      <c r="F7611" t="s">
        <v>0</v>
      </c>
      <c r="G7611" t="str">
        <f>"2018-10-16 12:07:30"</f>
        <v>2018-10-16 12:07:30</v>
      </c>
    </row>
    <row r="7612" spans="1:7" x14ac:dyDescent="0.2">
      <c r="A7612" t="s">
        <v>1</v>
      </c>
      <c r="B7612" t="str">
        <f>"13923185616"</f>
        <v>13923185616</v>
      </c>
      <c r="C7612" t="s">
        <v>1</v>
      </c>
      <c r="D7612" t="s">
        <v>1</v>
      </c>
      <c r="E7612" t="s">
        <v>1</v>
      </c>
      <c r="F7612" t="s">
        <v>0</v>
      </c>
      <c r="G7612" t="str">
        <f>"2018-10-16 11:41:08"</f>
        <v>2018-10-16 11:41:08</v>
      </c>
    </row>
    <row r="7613" spans="1:7" x14ac:dyDescent="0.2">
      <c r="A7613" t="s">
        <v>1084</v>
      </c>
      <c r="B7613" t="str">
        <f>"15196885325"</f>
        <v>15196885325</v>
      </c>
      <c r="C7613" t="str">
        <f>"513030198510080432"</f>
        <v>513030198510080432</v>
      </c>
      <c r="D7613" t="s">
        <v>1</v>
      </c>
      <c r="E7613" t="s">
        <v>1</v>
      </c>
      <c r="F7613" t="s">
        <v>0</v>
      </c>
      <c r="G7613" t="str">
        <f>"2018-10-16 11:37:34"</f>
        <v>2018-10-16 11:37:34</v>
      </c>
    </row>
    <row r="7614" spans="1:7" x14ac:dyDescent="0.2">
      <c r="A7614" t="s">
        <v>8405</v>
      </c>
      <c r="B7614" t="str">
        <f>"13876647446"</f>
        <v>13876647446</v>
      </c>
      <c r="C7614" t="str">
        <f>"460027199201085618"</f>
        <v>460027199201085618</v>
      </c>
      <c r="D7614" t="s">
        <v>1</v>
      </c>
      <c r="E7614" t="s">
        <v>1</v>
      </c>
      <c r="F7614" t="s">
        <v>0</v>
      </c>
      <c r="G7614" t="str">
        <f>"2018-10-16 13:07:28"</f>
        <v>2018-10-16 13:07:28</v>
      </c>
    </row>
    <row r="7615" spans="1:7" x14ac:dyDescent="0.2">
      <c r="A7615" t="s">
        <v>8406</v>
      </c>
      <c r="B7615" t="str">
        <f>"13280719121"</f>
        <v>13280719121</v>
      </c>
      <c r="C7615" t="str">
        <f>"370786199008061813"</f>
        <v>370786199008061813</v>
      </c>
      <c r="D7615" t="s">
        <v>1</v>
      </c>
      <c r="E7615" t="s">
        <v>1</v>
      </c>
      <c r="F7615" t="s">
        <v>0</v>
      </c>
      <c r="G7615" t="str">
        <f>"2018-10-16 11:36:34"</f>
        <v>2018-10-16 11:36:34</v>
      </c>
    </row>
    <row r="7616" spans="1:7" x14ac:dyDescent="0.2">
      <c r="A7616" t="s">
        <v>1</v>
      </c>
      <c r="B7616" t="str">
        <f>"15381888088"</f>
        <v>15381888088</v>
      </c>
      <c r="C7616" t="s">
        <v>1</v>
      </c>
      <c r="D7616" t="s">
        <v>1</v>
      </c>
      <c r="E7616" t="s">
        <v>1</v>
      </c>
      <c r="F7616" t="s">
        <v>0</v>
      </c>
      <c r="G7616" t="str">
        <f>"2018-10-16 11:36:25"</f>
        <v>2018-10-16 11:36:25</v>
      </c>
    </row>
    <row r="7617" spans="1:7" x14ac:dyDescent="0.2">
      <c r="A7617" t="s">
        <v>8407</v>
      </c>
      <c r="B7617" t="str">
        <f>"13765895088"</f>
        <v>13765895088</v>
      </c>
      <c r="C7617" t="str">
        <f>"522426198604201213"</f>
        <v>522426198604201213</v>
      </c>
      <c r="D7617" t="s">
        <v>1</v>
      </c>
      <c r="E7617" t="s">
        <v>1</v>
      </c>
      <c r="F7617" t="s">
        <v>0</v>
      </c>
      <c r="G7617" t="str">
        <f>"2018-10-23 21:12:24"</f>
        <v>2018-10-23 21:12:24</v>
      </c>
    </row>
    <row r="7618" spans="1:7" x14ac:dyDescent="0.2">
      <c r="A7618" t="s">
        <v>8408</v>
      </c>
      <c r="B7618" t="str">
        <f>"13622377337"</f>
        <v>13622377337</v>
      </c>
      <c r="C7618" t="str">
        <f>"362201199101141614"</f>
        <v>362201199101141614</v>
      </c>
      <c r="D7618" t="s">
        <v>1</v>
      </c>
      <c r="E7618" t="s">
        <v>1</v>
      </c>
      <c r="F7618" t="s">
        <v>0</v>
      </c>
      <c r="G7618" t="str">
        <f>"2018-10-16 11:35:51"</f>
        <v>2018-10-16 11:35:51</v>
      </c>
    </row>
    <row r="7619" spans="1:7" x14ac:dyDescent="0.2">
      <c r="A7619" t="s">
        <v>8409</v>
      </c>
      <c r="B7619" t="str">
        <f>"14726789994"</f>
        <v>14726789994</v>
      </c>
      <c r="C7619" t="str">
        <f>"511524200010070615"</f>
        <v>511524200010070615</v>
      </c>
      <c r="D7619" t="s">
        <v>1</v>
      </c>
      <c r="E7619" t="s">
        <v>1</v>
      </c>
      <c r="F7619" t="s">
        <v>0</v>
      </c>
      <c r="G7619" t="str">
        <f>"2018-10-16 11:38:17"</f>
        <v>2018-10-16 11:38:17</v>
      </c>
    </row>
    <row r="7620" spans="1:7" x14ac:dyDescent="0.2">
      <c r="A7620" t="s">
        <v>8410</v>
      </c>
      <c r="B7620" t="str">
        <f>"18555281521"</f>
        <v>18555281521</v>
      </c>
      <c r="C7620" t="str">
        <f>"342427199004211319"</f>
        <v>342427199004211319</v>
      </c>
      <c r="D7620" t="s">
        <v>1</v>
      </c>
      <c r="E7620" t="s">
        <v>1</v>
      </c>
      <c r="F7620" t="s">
        <v>0</v>
      </c>
      <c r="G7620" t="str">
        <f>"2018-10-16 11:37:00"</f>
        <v>2018-10-16 11:37:00</v>
      </c>
    </row>
    <row r="7621" spans="1:7" x14ac:dyDescent="0.2">
      <c r="A7621" t="s">
        <v>8411</v>
      </c>
      <c r="B7621" t="str">
        <f>"15766003348"</f>
        <v>15766003348</v>
      </c>
      <c r="C7621" t="str">
        <f>"440883199005090832"</f>
        <v>440883199005090832</v>
      </c>
      <c r="D7621" t="s">
        <v>1</v>
      </c>
      <c r="E7621" t="s">
        <v>1</v>
      </c>
      <c r="F7621" t="s">
        <v>0</v>
      </c>
      <c r="G7621" t="str">
        <f>"2018-10-16 11:50:57"</f>
        <v>2018-10-16 11:50:57</v>
      </c>
    </row>
    <row r="7622" spans="1:7" x14ac:dyDescent="0.2">
      <c r="A7622" t="s">
        <v>1</v>
      </c>
      <c r="B7622" t="str">
        <f>"18959320702"</f>
        <v>18959320702</v>
      </c>
      <c r="C7622" t="s">
        <v>1</v>
      </c>
      <c r="D7622" t="s">
        <v>1</v>
      </c>
      <c r="E7622" t="s">
        <v>1</v>
      </c>
      <c r="F7622" t="s">
        <v>0</v>
      </c>
      <c r="G7622" t="str">
        <f>"2018-10-16 21:26:50"</f>
        <v>2018-10-16 21:26:50</v>
      </c>
    </row>
    <row r="7623" spans="1:7" x14ac:dyDescent="0.2">
      <c r="A7623" t="s">
        <v>8412</v>
      </c>
      <c r="B7623" t="str">
        <f>"18764627234"</f>
        <v>18764627234</v>
      </c>
      <c r="C7623" t="str">
        <f>"370703199301242612"</f>
        <v>370703199301242612</v>
      </c>
      <c r="D7623" t="s">
        <v>1</v>
      </c>
      <c r="E7623" t="s">
        <v>1</v>
      </c>
      <c r="F7623" t="s">
        <v>0</v>
      </c>
      <c r="G7623" t="str">
        <f>"2018-10-16 11:48:45"</f>
        <v>2018-10-16 11:48:45</v>
      </c>
    </row>
    <row r="7624" spans="1:7" x14ac:dyDescent="0.2">
      <c r="A7624" t="s">
        <v>8413</v>
      </c>
      <c r="B7624" t="str">
        <f>"15280015085"</f>
        <v>15280015085</v>
      </c>
      <c r="C7624" t="str">
        <f>"352121197910182132"</f>
        <v>352121197910182132</v>
      </c>
      <c r="D7624" t="s">
        <v>1</v>
      </c>
      <c r="E7624" t="s">
        <v>1</v>
      </c>
      <c r="F7624" t="s">
        <v>0</v>
      </c>
      <c r="G7624" t="str">
        <f>"2018-10-16 12:41:39"</f>
        <v>2018-10-16 12:41:39</v>
      </c>
    </row>
    <row r="7625" spans="1:7" x14ac:dyDescent="0.2">
      <c r="A7625" t="s">
        <v>1506</v>
      </c>
      <c r="B7625" t="str">
        <f>"13995037721"</f>
        <v>13995037721</v>
      </c>
      <c r="C7625" t="str">
        <f>"640302198904190033"</f>
        <v>640302198904190033</v>
      </c>
      <c r="D7625" t="s">
        <v>1</v>
      </c>
      <c r="E7625" t="s">
        <v>1</v>
      </c>
      <c r="F7625" t="s">
        <v>0</v>
      </c>
      <c r="G7625" t="str">
        <f>"2018-10-16 11:35:44"</f>
        <v>2018-10-16 11:35:44</v>
      </c>
    </row>
    <row r="7626" spans="1:7" x14ac:dyDescent="0.2">
      <c r="A7626" t="s">
        <v>1</v>
      </c>
      <c r="B7626" t="str">
        <f>"18245365565"</f>
        <v>18245365565</v>
      </c>
      <c r="C7626" t="s">
        <v>1</v>
      </c>
      <c r="D7626" t="s">
        <v>1</v>
      </c>
      <c r="E7626" t="s">
        <v>1</v>
      </c>
      <c r="F7626" t="s">
        <v>0</v>
      </c>
      <c r="G7626" t="str">
        <f>"2018-10-16 11:36:18"</f>
        <v>2018-10-16 11:36:18</v>
      </c>
    </row>
    <row r="7627" spans="1:7" x14ac:dyDescent="0.2">
      <c r="A7627" t="s">
        <v>8414</v>
      </c>
      <c r="B7627" t="str">
        <f>"18189689000"</f>
        <v>18189689000</v>
      </c>
      <c r="C7627" t="str">
        <f>"622426199510081132"</f>
        <v>622426199510081132</v>
      </c>
      <c r="D7627" t="s">
        <v>1</v>
      </c>
      <c r="E7627" t="s">
        <v>1</v>
      </c>
      <c r="F7627" t="s">
        <v>0</v>
      </c>
      <c r="G7627" t="str">
        <f>"2018-10-16 11:44:17"</f>
        <v>2018-10-16 11:44:17</v>
      </c>
    </row>
    <row r="7628" spans="1:7" x14ac:dyDescent="0.2">
      <c r="A7628" t="s">
        <v>1</v>
      </c>
      <c r="B7628" t="str">
        <f>"18018219858"</f>
        <v>18018219858</v>
      </c>
      <c r="C7628" t="s">
        <v>1</v>
      </c>
      <c r="D7628" t="s">
        <v>1</v>
      </c>
      <c r="E7628" t="s">
        <v>1</v>
      </c>
      <c r="F7628" t="s">
        <v>0</v>
      </c>
      <c r="G7628" t="str">
        <f>"2018-10-16 11:33:37"</f>
        <v>2018-10-16 11:33:37</v>
      </c>
    </row>
    <row r="7629" spans="1:7" x14ac:dyDescent="0.2">
      <c r="A7629" t="s">
        <v>8415</v>
      </c>
      <c r="B7629" t="str">
        <f>"18728441470"</f>
        <v>18728441470</v>
      </c>
      <c r="C7629" t="str">
        <f>"513122199607091912"</f>
        <v>513122199607091912</v>
      </c>
      <c r="D7629" t="s">
        <v>8416</v>
      </c>
      <c r="E7629" t="s">
        <v>8417</v>
      </c>
      <c r="F7629" t="s">
        <v>0</v>
      </c>
      <c r="G7629" t="str">
        <f>"2018-10-30 21:42:25"</f>
        <v>2018-10-30 21:42:25</v>
      </c>
    </row>
    <row r="7630" spans="1:7" x14ac:dyDescent="0.2">
      <c r="A7630" t="s">
        <v>8418</v>
      </c>
      <c r="B7630" t="str">
        <f>"13773689141"</f>
        <v>13773689141</v>
      </c>
      <c r="C7630" t="str">
        <f>"320621199012173225"</f>
        <v>320621199012173225</v>
      </c>
      <c r="D7630" t="s">
        <v>1</v>
      </c>
      <c r="E7630" t="s">
        <v>1</v>
      </c>
      <c r="F7630" t="s">
        <v>0</v>
      </c>
      <c r="G7630" t="str">
        <f>"2018-10-16 11:35:16"</f>
        <v>2018-10-16 11:35:16</v>
      </c>
    </row>
    <row r="7631" spans="1:7" x14ac:dyDescent="0.2">
      <c r="A7631" t="s">
        <v>1003</v>
      </c>
      <c r="B7631" t="str">
        <f>"13231301887"</f>
        <v>13231301887</v>
      </c>
      <c r="C7631" t="str">
        <f>"130730198804101811"</f>
        <v>130730198804101811</v>
      </c>
      <c r="D7631" t="s">
        <v>1</v>
      </c>
      <c r="E7631" t="s">
        <v>1</v>
      </c>
      <c r="F7631" t="s">
        <v>0</v>
      </c>
      <c r="G7631" t="str">
        <f>"2018-10-20 18:36:55"</f>
        <v>2018-10-20 18:36:55</v>
      </c>
    </row>
    <row r="7632" spans="1:7" x14ac:dyDescent="0.2">
      <c r="A7632" t="s">
        <v>8419</v>
      </c>
      <c r="B7632" t="str">
        <f>"15888732954"</f>
        <v>15888732954</v>
      </c>
      <c r="C7632" t="str">
        <f>"330324199405185344"</f>
        <v>330324199405185344</v>
      </c>
      <c r="D7632" t="s">
        <v>1</v>
      </c>
      <c r="E7632" t="s">
        <v>1</v>
      </c>
      <c r="F7632" t="s">
        <v>0</v>
      </c>
      <c r="G7632" t="str">
        <f>"2018-10-16 11:32:39"</f>
        <v>2018-10-16 11:32:39</v>
      </c>
    </row>
    <row r="7633" spans="1:7" x14ac:dyDescent="0.2">
      <c r="A7633" t="s">
        <v>1</v>
      </c>
      <c r="B7633" t="str">
        <f>"18855406685"</f>
        <v>18855406685</v>
      </c>
      <c r="C7633" t="s">
        <v>1</v>
      </c>
      <c r="D7633" t="s">
        <v>1</v>
      </c>
      <c r="E7633" t="s">
        <v>1</v>
      </c>
      <c r="F7633" t="s">
        <v>0</v>
      </c>
      <c r="G7633" t="str">
        <f>"2018-10-16 11:47:49"</f>
        <v>2018-10-16 11:47:49</v>
      </c>
    </row>
    <row r="7634" spans="1:7" x14ac:dyDescent="0.2">
      <c r="A7634" t="s">
        <v>52</v>
      </c>
      <c r="B7634" t="str">
        <f>"13529502856"</f>
        <v>13529502856</v>
      </c>
      <c r="C7634" t="str">
        <f>"532331199007051415"</f>
        <v>532331199007051415</v>
      </c>
      <c r="D7634" t="s">
        <v>1</v>
      </c>
      <c r="E7634" t="s">
        <v>1</v>
      </c>
      <c r="F7634" t="s">
        <v>0</v>
      </c>
      <c r="G7634" t="str">
        <f>"2018-10-16 12:01:24"</f>
        <v>2018-10-16 12:01:24</v>
      </c>
    </row>
    <row r="7635" spans="1:7" x14ac:dyDescent="0.2">
      <c r="A7635" t="s">
        <v>1</v>
      </c>
      <c r="B7635" t="str">
        <f>"13916247868"</f>
        <v>13916247868</v>
      </c>
      <c r="C7635" t="s">
        <v>1</v>
      </c>
      <c r="D7635" t="s">
        <v>1</v>
      </c>
      <c r="E7635" t="s">
        <v>1</v>
      </c>
      <c r="F7635" t="s">
        <v>0</v>
      </c>
      <c r="G7635" t="str">
        <f>"2018-10-16 11:31:51"</f>
        <v>2018-10-16 11:31:51</v>
      </c>
    </row>
    <row r="7636" spans="1:7" x14ac:dyDescent="0.2">
      <c r="A7636" t="s">
        <v>8420</v>
      </c>
      <c r="B7636" t="str">
        <f>"17623047328"</f>
        <v>17623047328</v>
      </c>
      <c r="C7636" t="str">
        <f>"500222199705210920"</f>
        <v>500222199705210920</v>
      </c>
      <c r="D7636" t="s">
        <v>1</v>
      </c>
      <c r="E7636" t="s">
        <v>1</v>
      </c>
      <c r="F7636" t="s">
        <v>0</v>
      </c>
      <c r="G7636" t="str">
        <f>"2018-10-16 11:31:59"</f>
        <v>2018-10-16 11:31:59</v>
      </c>
    </row>
    <row r="7637" spans="1:7" x14ac:dyDescent="0.2">
      <c r="A7637" t="s">
        <v>8421</v>
      </c>
      <c r="B7637" t="str">
        <f>"13857249433"</f>
        <v>13857249433</v>
      </c>
      <c r="C7637" t="str">
        <f>"330523198302101814"</f>
        <v>330523198302101814</v>
      </c>
      <c r="D7637" t="s">
        <v>1</v>
      </c>
      <c r="E7637" t="s">
        <v>1</v>
      </c>
      <c r="F7637" t="s">
        <v>0</v>
      </c>
      <c r="G7637" t="str">
        <f>"2018-10-16 11:32:32"</f>
        <v>2018-10-16 11:32:32</v>
      </c>
    </row>
    <row r="7638" spans="1:7" x14ac:dyDescent="0.2">
      <c r="A7638" t="s">
        <v>8422</v>
      </c>
      <c r="B7638" t="str">
        <f>"15724634543"</f>
        <v>15724634543</v>
      </c>
      <c r="C7638" t="str">
        <f>"210321199501222612"</f>
        <v>210321199501222612</v>
      </c>
      <c r="D7638" t="s">
        <v>1</v>
      </c>
      <c r="E7638" t="s">
        <v>1</v>
      </c>
      <c r="F7638" t="s">
        <v>0</v>
      </c>
      <c r="G7638" t="str">
        <f>"2018-10-16 11:30:45"</f>
        <v>2018-10-16 11:30:45</v>
      </c>
    </row>
    <row r="7639" spans="1:7" x14ac:dyDescent="0.2">
      <c r="A7639" t="s">
        <v>8423</v>
      </c>
      <c r="B7639" t="str">
        <f>"13887630087"</f>
        <v>13887630087</v>
      </c>
      <c r="C7639" t="str">
        <f>"532622198712050958"</f>
        <v>532622198712050958</v>
      </c>
      <c r="D7639" t="s">
        <v>1</v>
      </c>
      <c r="E7639" t="s">
        <v>1</v>
      </c>
      <c r="F7639" t="s">
        <v>0</v>
      </c>
      <c r="G7639" t="str">
        <f>"2018-10-23 13:29:35"</f>
        <v>2018-10-23 13:29:35</v>
      </c>
    </row>
    <row r="7640" spans="1:7" x14ac:dyDescent="0.2">
      <c r="A7640" t="s">
        <v>8424</v>
      </c>
      <c r="B7640" t="str">
        <f>"13960917700"</f>
        <v>13960917700</v>
      </c>
      <c r="C7640" t="str">
        <f>"350121197510090237"</f>
        <v>350121197510090237</v>
      </c>
      <c r="D7640" t="s">
        <v>1</v>
      </c>
      <c r="E7640" t="s">
        <v>1</v>
      </c>
      <c r="F7640" t="s">
        <v>0</v>
      </c>
      <c r="G7640" t="str">
        <f>"2018-10-16 11:33:16"</f>
        <v>2018-10-16 11:33:16</v>
      </c>
    </row>
    <row r="7641" spans="1:7" x14ac:dyDescent="0.2">
      <c r="A7641" t="s">
        <v>561</v>
      </c>
      <c r="B7641" t="str">
        <f>"15004143968"</f>
        <v>15004143968</v>
      </c>
      <c r="C7641" t="str">
        <f>"210502199603070623"</f>
        <v>210502199603070623</v>
      </c>
      <c r="D7641" t="s">
        <v>1</v>
      </c>
      <c r="E7641" t="s">
        <v>1</v>
      </c>
      <c r="F7641" t="s">
        <v>0</v>
      </c>
      <c r="G7641" t="str">
        <f>"2018-10-16 11:31:17"</f>
        <v>2018-10-16 11:31:17</v>
      </c>
    </row>
    <row r="7642" spans="1:7" x14ac:dyDescent="0.2">
      <c r="A7642" t="s">
        <v>8425</v>
      </c>
      <c r="B7642" t="str">
        <f>"15031298460"</f>
        <v>15031298460</v>
      </c>
      <c r="C7642" t="str">
        <f>"130625200003120813"</f>
        <v>130625200003120813</v>
      </c>
      <c r="D7642" t="s">
        <v>1</v>
      </c>
      <c r="E7642" t="s">
        <v>1</v>
      </c>
      <c r="F7642" t="s">
        <v>0</v>
      </c>
      <c r="G7642" t="str">
        <f>"2018-10-16 11:28:20"</f>
        <v>2018-10-16 11:28:20</v>
      </c>
    </row>
    <row r="7643" spans="1:7" x14ac:dyDescent="0.2">
      <c r="A7643" t="s">
        <v>8426</v>
      </c>
      <c r="B7643" t="str">
        <f>"13172929358"</f>
        <v>13172929358</v>
      </c>
      <c r="C7643" t="str">
        <f>"44180219980608243X"</f>
        <v>44180219980608243X</v>
      </c>
      <c r="D7643" t="s">
        <v>1</v>
      </c>
      <c r="E7643" t="s">
        <v>1</v>
      </c>
      <c r="F7643" t="s">
        <v>0</v>
      </c>
      <c r="G7643" t="str">
        <f>"2018-10-16 11:30:11"</f>
        <v>2018-10-16 11:30:11</v>
      </c>
    </row>
    <row r="7644" spans="1:7" x14ac:dyDescent="0.2">
      <c r="A7644" t="s">
        <v>3386</v>
      </c>
      <c r="B7644" t="str">
        <f>"13959332357"</f>
        <v>13959332357</v>
      </c>
      <c r="C7644" t="str">
        <f>"352227198110041313"</f>
        <v>352227198110041313</v>
      </c>
      <c r="D7644" t="s">
        <v>1</v>
      </c>
      <c r="E7644" t="s">
        <v>1</v>
      </c>
      <c r="F7644" t="s">
        <v>0</v>
      </c>
      <c r="G7644" t="str">
        <f>"2018-10-16 11:29:23"</f>
        <v>2018-10-16 11:29:23</v>
      </c>
    </row>
    <row r="7645" spans="1:7" x14ac:dyDescent="0.2">
      <c r="A7645" t="s">
        <v>1</v>
      </c>
      <c r="B7645" t="str">
        <f>"18505087026"</f>
        <v>18505087026</v>
      </c>
      <c r="C7645" t="s">
        <v>1</v>
      </c>
      <c r="D7645" t="s">
        <v>1</v>
      </c>
      <c r="E7645" t="s">
        <v>1</v>
      </c>
      <c r="F7645" t="s">
        <v>0</v>
      </c>
      <c r="G7645" t="str">
        <f>"2018-10-16 11:27:40"</f>
        <v>2018-10-16 11:27:40</v>
      </c>
    </row>
    <row r="7646" spans="1:7" x14ac:dyDescent="0.2">
      <c r="A7646" t="s">
        <v>8427</v>
      </c>
      <c r="B7646" t="str">
        <f>"13327014738"</f>
        <v>13327014738</v>
      </c>
      <c r="C7646" t="str">
        <f>"150428199010171535"</f>
        <v>150428199010171535</v>
      </c>
      <c r="D7646" t="s">
        <v>8428</v>
      </c>
      <c r="E7646" t="s">
        <v>8429</v>
      </c>
      <c r="F7646" t="s">
        <v>0</v>
      </c>
      <c r="G7646" t="str">
        <f>"2018-10-27 08:02:18"</f>
        <v>2018-10-27 08:02:18</v>
      </c>
    </row>
    <row r="7647" spans="1:7" x14ac:dyDescent="0.2">
      <c r="A7647" t="s">
        <v>1</v>
      </c>
      <c r="B7647" t="str">
        <f>"18648109482"</f>
        <v>18648109482</v>
      </c>
      <c r="C7647" t="s">
        <v>1</v>
      </c>
      <c r="D7647" t="s">
        <v>1</v>
      </c>
      <c r="E7647" t="s">
        <v>1</v>
      </c>
      <c r="F7647" t="s">
        <v>0</v>
      </c>
      <c r="G7647" t="str">
        <f>"2018-10-16 11:27:27"</f>
        <v>2018-10-16 11:27:27</v>
      </c>
    </row>
    <row r="7648" spans="1:7" x14ac:dyDescent="0.2">
      <c r="A7648" t="s">
        <v>475</v>
      </c>
      <c r="B7648" t="str">
        <f>"15026035878"</f>
        <v>15026035878</v>
      </c>
      <c r="C7648" t="str">
        <f>"65232719810713411X"</f>
        <v>65232719810713411X</v>
      </c>
      <c r="D7648" t="s">
        <v>8430</v>
      </c>
      <c r="E7648" t="s">
        <v>8431</v>
      </c>
      <c r="F7648" t="s">
        <v>0</v>
      </c>
      <c r="G7648" t="str">
        <f>"2018-10-16 11:34:21"</f>
        <v>2018-10-16 11:34:21</v>
      </c>
    </row>
    <row r="7649" spans="1:7" x14ac:dyDescent="0.2">
      <c r="A7649" t="s">
        <v>8432</v>
      </c>
      <c r="B7649" t="str">
        <f>"15505941110"</f>
        <v>15505941110</v>
      </c>
      <c r="C7649" t="str">
        <f>"35030119910328045X"</f>
        <v>35030119910328045X</v>
      </c>
      <c r="D7649" t="s">
        <v>1</v>
      </c>
      <c r="E7649" t="s">
        <v>1</v>
      </c>
      <c r="F7649" t="s">
        <v>0</v>
      </c>
      <c r="G7649" t="str">
        <f>"2018-10-16 11:37:20"</f>
        <v>2018-10-16 11:37:20</v>
      </c>
    </row>
    <row r="7650" spans="1:7" x14ac:dyDescent="0.2">
      <c r="A7650" t="s">
        <v>8433</v>
      </c>
      <c r="B7650" t="str">
        <f>"18554066066"</f>
        <v>18554066066</v>
      </c>
      <c r="C7650" t="str">
        <f>"370681199010310033"</f>
        <v>370681199010310033</v>
      </c>
      <c r="D7650" t="s">
        <v>1</v>
      </c>
      <c r="E7650" t="s">
        <v>1</v>
      </c>
      <c r="F7650" t="s">
        <v>0</v>
      </c>
      <c r="G7650" t="str">
        <f>"2018-10-16 11:27:40"</f>
        <v>2018-10-16 11:27:40</v>
      </c>
    </row>
    <row r="7651" spans="1:7" x14ac:dyDescent="0.2">
      <c r="A7651" t="s">
        <v>8434</v>
      </c>
      <c r="B7651" t="str">
        <f>"13479806172"</f>
        <v>13479806172</v>
      </c>
      <c r="C7651" t="str">
        <f>"360281198008010033"</f>
        <v>360281198008010033</v>
      </c>
      <c r="D7651" t="s">
        <v>1</v>
      </c>
      <c r="E7651" t="s">
        <v>1</v>
      </c>
      <c r="F7651" t="s">
        <v>0</v>
      </c>
      <c r="G7651" t="str">
        <f>"2018-10-16 11:30:07"</f>
        <v>2018-10-16 11:30:07</v>
      </c>
    </row>
    <row r="7652" spans="1:7" x14ac:dyDescent="0.2">
      <c r="A7652" t="s">
        <v>8435</v>
      </c>
      <c r="B7652" t="str">
        <f>"13134339330"</f>
        <v>13134339330</v>
      </c>
      <c r="C7652" t="str">
        <f>"222401199008211817"</f>
        <v>222401199008211817</v>
      </c>
      <c r="D7652" t="s">
        <v>1</v>
      </c>
      <c r="E7652" t="s">
        <v>1</v>
      </c>
      <c r="F7652" t="s">
        <v>0</v>
      </c>
      <c r="G7652" t="str">
        <f>"2018-10-16 11:27:08"</f>
        <v>2018-10-16 11:27:08</v>
      </c>
    </row>
    <row r="7653" spans="1:7" x14ac:dyDescent="0.2">
      <c r="A7653" t="s">
        <v>4756</v>
      </c>
      <c r="B7653" t="str">
        <f>"15515573616"</f>
        <v>15515573616</v>
      </c>
      <c r="C7653" t="str">
        <f>"411423199607232516"</f>
        <v>411423199607232516</v>
      </c>
      <c r="D7653" t="s">
        <v>1</v>
      </c>
      <c r="E7653" t="s">
        <v>1</v>
      </c>
      <c r="F7653" t="s">
        <v>0</v>
      </c>
      <c r="G7653" t="str">
        <f>"2018-10-16 11:55:26"</f>
        <v>2018-10-16 11:55:26</v>
      </c>
    </row>
    <row r="7654" spans="1:7" x14ac:dyDescent="0.2">
      <c r="A7654" t="s">
        <v>8436</v>
      </c>
      <c r="B7654" t="str">
        <f>"15383178909"</f>
        <v>15383178909</v>
      </c>
      <c r="C7654" t="str">
        <f>"132928198203032751"</f>
        <v>132928198203032751</v>
      </c>
      <c r="D7654" t="s">
        <v>1</v>
      </c>
      <c r="E7654" t="s">
        <v>1</v>
      </c>
      <c r="F7654" t="s">
        <v>0</v>
      </c>
      <c r="G7654" t="str">
        <f>"2018-10-16 11:39:37"</f>
        <v>2018-10-16 11:39:37</v>
      </c>
    </row>
    <row r="7655" spans="1:7" x14ac:dyDescent="0.2">
      <c r="A7655" t="s">
        <v>8437</v>
      </c>
      <c r="B7655" t="str">
        <f>"15626223540"</f>
        <v>15626223540</v>
      </c>
      <c r="C7655" t="str">
        <f>"440204199702133625"</f>
        <v>440204199702133625</v>
      </c>
      <c r="D7655" t="s">
        <v>1</v>
      </c>
      <c r="E7655" t="s">
        <v>1</v>
      </c>
      <c r="F7655" t="s">
        <v>0</v>
      </c>
      <c r="G7655" t="str">
        <f>"2018-10-16 11:29:09"</f>
        <v>2018-10-16 11:29:09</v>
      </c>
    </row>
    <row r="7656" spans="1:7" x14ac:dyDescent="0.2">
      <c r="A7656" t="s">
        <v>8438</v>
      </c>
      <c r="B7656" t="str">
        <f>"15062610711"</f>
        <v>15062610711</v>
      </c>
      <c r="C7656" t="str">
        <f>"350322197406216212"</f>
        <v>350322197406216212</v>
      </c>
      <c r="D7656" t="s">
        <v>1</v>
      </c>
      <c r="E7656" t="s">
        <v>1</v>
      </c>
      <c r="F7656" t="s">
        <v>0</v>
      </c>
      <c r="G7656" t="str">
        <f>"2018-10-16 11:56:14"</f>
        <v>2018-10-16 11:56:14</v>
      </c>
    </row>
    <row r="7657" spans="1:7" x14ac:dyDescent="0.2">
      <c r="A7657" t="s">
        <v>8439</v>
      </c>
      <c r="B7657" t="str">
        <f>"15158918518"</f>
        <v>15158918518</v>
      </c>
      <c r="C7657" t="str">
        <f>"522629198707124812"</f>
        <v>522629198707124812</v>
      </c>
      <c r="D7657" t="s">
        <v>1</v>
      </c>
      <c r="E7657" t="s">
        <v>1</v>
      </c>
      <c r="F7657" t="s">
        <v>0</v>
      </c>
      <c r="G7657" t="str">
        <f>"2018-10-16 11:25:13"</f>
        <v>2018-10-16 11:25:13</v>
      </c>
    </row>
    <row r="7658" spans="1:7" x14ac:dyDescent="0.2">
      <c r="A7658" t="s">
        <v>8440</v>
      </c>
      <c r="B7658" t="str">
        <f>"18761117024"</f>
        <v>18761117024</v>
      </c>
      <c r="C7658" t="str">
        <f>"321323199801162315"</f>
        <v>321323199801162315</v>
      </c>
      <c r="D7658" t="s">
        <v>1</v>
      </c>
      <c r="E7658" t="s">
        <v>1</v>
      </c>
      <c r="F7658" t="s">
        <v>0</v>
      </c>
      <c r="G7658" t="str">
        <f>"2018-10-16 11:24:37"</f>
        <v>2018-10-16 11:24:37</v>
      </c>
    </row>
    <row r="7659" spans="1:7" x14ac:dyDescent="0.2">
      <c r="A7659" t="s">
        <v>116</v>
      </c>
      <c r="B7659" t="str">
        <f>"15216133617"</f>
        <v>15216133617</v>
      </c>
      <c r="C7659" t="str">
        <f>"360726199007100050"</f>
        <v>360726199007100050</v>
      </c>
      <c r="D7659" t="s">
        <v>1</v>
      </c>
      <c r="E7659" t="s">
        <v>1</v>
      </c>
      <c r="F7659" t="s">
        <v>0</v>
      </c>
      <c r="G7659" t="str">
        <f>"2018-10-16 11:24:51"</f>
        <v>2018-10-16 11:24:51</v>
      </c>
    </row>
    <row r="7660" spans="1:7" x14ac:dyDescent="0.2">
      <c r="A7660" t="s">
        <v>8441</v>
      </c>
      <c r="B7660" t="str">
        <f>"17378512500"</f>
        <v>17378512500</v>
      </c>
      <c r="C7660" t="str">
        <f>"510722198011158093"</f>
        <v>510722198011158093</v>
      </c>
      <c r="D7660" t="s">
        <v>8442</v>
      </c>
      <c r="E7660" t="s">
        <v>8443</v>
      </c>
      <c r="F7660" t="s">
        <v>0</v>
      </c>
      <c r="G7660" t="str">
        <f>"2018-10-18 17:21:52"</f>
        <v>2018-10-18 17:21:52</v>
      </c>
    </row>
    <row r="7661" spans="1:7" x14ac:dyDescent="0.2">
      <c r="A7661" t="s">
        <v>1</v>
      </c>
      <c r="B7661" t="str">
        <f>"13984118280"</f>
        <v>13984118280</v>
      </c>
      <c r="C7661" t="s">
        <v>1</v>
      </c>
      <c r="D7661" t="s">
        <v>1</v>
      </c>
      <c r="E7661" t="s">
        <v>1</v>
      </c>
      <c r="F7661" t="s">
        <v>0</v>
      </c>
      <c r="G7661" t="str">
        <f>"2018-10-16 11:22:30"</f>
        <v>2018-10-16 11:22:30</v>
      </c>
    </row>
    <row r="7662" spans="1:7" x14ac:dyDescent="0.2">
      <c r="A7662" t="s">
        <v>8444</v>
      </c>
      <c r="B7662" t="str">
        <f>"18792625191"</f>
        <v>18792625191</v>
      </c>
      <c r="C7662" t="str">
        <f>"61040319860219051X"</f>
        <v>61040319860219051X</v>
      </c>
      <c r="D7662" t="s">
        <v>1</v>
      </c>
      <c r="E7662" t="s">
        <v>1</v>
      </c>
      <c r="F7662" t="s">
        <v>0</v>
      </c>
      <c r="G7662" t="str">
        <f>"2018-10-16 11:25:38"</f>
        <v>2018-10-16 11:25:38</v>
      </c>
    </row>
    <row r="7663" spans="1:7" x14ac:dyDescent="0.2">
      <c r="A7663" t="s">
        <v>1</v>
      </c>
      <c r="B7663" t="str">
        <f>"13679172971"</f>
        <v>13679172971</v>
      </c>
      <c r="C7663" t="s">
        <v>1</v>
      </c>
      <c r="D7663" t="s">
        <v>1</v>
      </c>
      <c r="E7663" t="s">
        <v>1</v>
      </c>
      <c r="F7663" t="s">
        <v>0</v>
      </c>
      <c r="G7663" t="str">
        <f>"2018-10-16 11:23:08"</f>
        <v>2018-10-16 11:23:08</v>
      </c>
    </row>
    <row r="7664" spans="1:7" x14ac:dyDescent="0.2">
      <c r="A7664" t="s">
        <v>8445</v>
      </c>
      <c r="B7664" t="str">
        <f>"13510476417"</f>
        <v>13510476417</v>
      </c>
      <c r="C7664" t="str">
        <f>"445222197606230036"</f>
        <v>445222197606230036</v>
      </c>
      <c r="D7664" t="s">
        <v>1</v>
      </c>
      <c r="E7664" t="s">
        <v>1</v>
      </c>
      <c r="F7664" t="s">
        <v>0</v>
      </c>
      <c r="G7664" t="str">
        <f>"2018-10-16 11:22:34"</f>
        <v>2018-10-16 11:22:34</v>
      </c>
    </row>
    <row r="7665" spans="1:7" x14ac:dyDescent="0.2">
      <c r="A7665" t="s">
        <v>1</v>
      </c>
      <c r="B7665" t="str">
        <f>"13613591255"</f>
        <v>13613591255</v>
      </c>
      <c r="C7665" t="s">
        <v>1</v>
      </c>
      <c r="D7665" t="s">
        <v>1</v>
      </c>
      <c r="E7665" t="s">
        <v>1</v>
      </c>
      <c r="F7665" t="s">
        <v>0</v>
      </c>
      <c r="G7665" t="str">
        <f>"2018-10-16 11:22:13"</f>
        <v>2018-10-16 11:22:13</v>
      </c>
    </row>
    <row r="7666" spans="1:7" x14ac:dyDescent="0.2">
      <c r="A7666" t="s">
        <v>8446</v>
      </c>
      <c r="B7666" t="str">
        <f>"18335971170"</f>
        <v>18335971170</v>
      </c>
      <c r="C7666" t="str">
        <f>"142727199405071512"</f>
        <v>142727199405071512</v>
      </c>
      <c r="D7666" t="s">
        <v>1</v>
      </c>
      <c r="E7666" t="s">
        <v>1</v>
      </c>
      <c r="F7666" t="s">
        <v>0</v>
      </c>
      <c r="G7666" t="str">
        <f>"2018-10-16 11:26:52"</f>
        <v>2018-10-16 11:26:52</v>
      </c>
    </row>
    <row r="7667" spans="1:7" x14ac:dyDescent="0.2">
      <c r="A7667" t="s">
        <v>8447</v>
      </c>
      <c r="B7667" t="str">
        <f>"15923559123"</f>
        <v>15923559123</v>
      </c>
      <c r="C7667" t="str">
        <f>"500104198605032423"</f>
        <v>500104198605032423</v>
      </c>
      <c r="D7667" t="s">
        <v>1</v>
      </c>
      <c r="E7667" t="s">
        <v>1</v>
      </c>
      <c r="F7667" t="s">
        <v>0</v>
      </c>
      <c r="G7667" t="str">
        <f>"2018-10-16 11:26:46"</f>
        <v>2018-10-16 11:26:46</v>
      </c>
    </row>
    <row r="7668" spans="1:7" x14ac:dyDescent="0.2">
      <c r="A7668" t="s">
        <v>973</v>
      </c>
      <c r="B7668" t="str">
        <f>"13455607773"</f>
        <v>13455607773</v>
      </c>
      <c r="C7668" t="str">
        <f>"370782198910151813"</f>
        <v>370782198910151813</v>
      </c>
      <c r="D7668" t="s">
        <v>1</v>
      </c>
      <c r="E7668" t="s">
        <v>1</v>
      </c>
      <c r="F7668" t="s">
        <v>0</v>
      </c>
      <c r="G7668" t="str">
        <f>"2018-11-03 14:50:18"</f>
        <v>2018-11-03 14:50:18</v>
      </c>
    </row>
    <row r="7669" spans="1:7" x14ac:dyDescent="0.2">
      <c r="A7669" t="s">
        <v>8448</v>
      </c>
      <c r="B7669" t="str">
        <f>"18390317229"</f>
        <v>18390317229</v>
      </c>
      <c r="C7669" t="str">
        <f>"522225199506096322"</f>
        <v>522225199506096322</v>
      </c>
      <c r="D7669" t="s">
        <v>1</v>
      </c>
      <c r="E7669" t="s">
        <v>1</v>
      </c>
      <c r="F7669" t="s">
        <v>0</v>
      </c>
      <c r="G7669" t="str">
        <f>"2018-10-23 15:00:19"</f>
        <v>2018-10-23 15:00:19</v>
      </c>
    </row>
    <row r="7670" spans="1:7" x14ac:dyDescent="0.2">
      <c r="A7670" t="s">
        <v>1</v>
      </c>
      <c r="B7670" t="str">
        <f>"13317669192"</f>
        <v>13317669192</v>
      </c>
      <c r="C7670" t="s">
        <v>1</v>
      </c>
      <c r="D7670" t="s">
        <v>1</v>
      </c>
      <c r="E7670" t="s">
        <v>1</v>
      </c>
      <c r="F7670" t="s">
        <v>0</v>
      </c>
      <c r="G7670" t="str">
        <f>"2018-10-16 11:19:19"</f>
        <v>2018-10-16 11:19:19</v>
      </c>
    </row>
    <row r="7671" spans="1:7" x14ac:dyDescent="0.2">
      <c r="A7671" t="s">
        <v>8449</v>
      </c>
      <c r="B7671" t="str">
        <f>"18060804381"</f>
        <v>18060804381</v>
      </c>
      <c r="C7671" t="str">
        <f>"350627199406140016"</f>
        <v>350627199406140016</v>
      </c>
      <c r="D7671" t="s">
        <v>1</v>
      </c>
      <c r="E7671" t="s">
        <v>1</v>
      </c>
      <c r="F7671" t="s">
        <v>0</v>
      </c>
      <c r="G7671" t="str">
        <f>"2018-10-16 11:25:07"</f>
        <v>2018-10-16 11:25:07</v>
      </c>
    </row>
    <row r="7672" spans="1:7" x14ac:dyDescent="0.2">
      <c r="A7672" t="s">
        <v>1</v>
      </c>
      <c r="B7672" t="str">
        <f>"18226891881"</f>
        <v>18226891881</v>
      </c>
      <c r="C7672" t="s">
        <v>1</v>
      </c>
      <c r="D7672" t="s">
        <v>1</v>
      </c>
      <c r="E7672" t="s">
        <v>1</v>
      </c>
      <c r="F7672" t="s">
        <v>0</v>
      </c>
      <c r="G7672" t="str">
        <f>"2018-10-16 11:17:32"</f>
        <v>2018-10-16 11:17:32</v>
      </c>
    </row>
    <row r="7673" spans="1:7" x14ac:dyDescent="0.2">
      <c r="A7673" t="s">
        <v>8450</v>
      </c>
      <c r="B7673" t="str">
        <f>"17857996200"</f>
        <v>17857996200</v>
      </c>
      <c r="C7673" t="str">
        <f>"442000199608231291"</f>
        <v>442000199608231291</v>
      </c>
      <c r="D7673" t="s">
        <v>1</v>
      </c>
      <c r="E7673" t="s">
        <v>1</v>
      </c>
      <c r="F7673" t="s">
        <v>0</v>
      </c>
      <c r="G7673" t="str">
        <f>"2018-10-16 11:18:42"</f>
        <v>2018-10-16 11:18:42</v>
      </c>
    </row>
    <row r="7674" spans="1:7" x14ac:dyDescent="0.2">
      <c r="A7674" t="s">
        <v>8451</v>
      </c>
      <c r="B7674" t="str">
        <f>"15252526503"</f>
        <v>15252526503</v>
      </c>
      <c r="C7674" t="str">
        <f>"321084196804130434"</f>
        <v>321084196804130434</v>
      </c>
      <c r="D7674" t="s">
        <v>1</v>
      </c>
      <c r="E7674" t="s">
        <v>1</v>
      </c>
      <c r="F7674" t="s">
        <v>0</v>
      </c>
      <c r="G7674" t="str">
        <f>"2018-10-16 11:19:03"</f>
        <v>2018-10-16 11:19:03</v>
      </c>
    </row>
    <row r="7675" spans="1:7" x14ac:dyDescent="0.2">
      <c r="A7675" t="s">
        <v>8452</v>
      </c>
      <c r="B7675" t="str">
        <f>"15535168336"</f>
        <v>15535168336</v>
      </c>
      <c r="C7675" t="str">
        <f>"142322199503222026"</f>
        <v>142322199503222026</v>
      </c>
      <c r="D7675" t="s">
        <v>1</v>
      </c>
      <c r="E7675" t="s">
        <v>1</v>
      </c>
      <c r="F7675" t="s">
        <v>0</v>
      </c>
      <c r="G7675" t="str">
        <f>"2018-10-16 11:17:59"</f>
        <v>2018-10-16 11:17:59</v>
      </c>
    </row>
    <row r="7676" spans="1:7" x14ac:dyDescent="0.2">
      <c r="A7676" t="s">
        <v>1</v>
      </c>
      <c r="B7676" t="str">
        <f>"15821758052"</f>
        <v>15821758052</v>
      </c>
      <c r="C7676" t="s">
        <v>1</v>
      </c>
      <c r="D7676" t="s">
        <v>1</v>
      </c>
      <c r="E7676" t="s">
        <v>1</v>
      </c>
      <c r="F7676" t="s">
        <v>0</v>
      </c>
      <c r="G7676" t="str">
        <f>"2018-10-16 11:16:54"</f>
        <v>2018-10-16 11:16:54</v>
      </c>
    </row>
    <row r="7677" spans="1:7" x14ac:dyDescent="0.2">
      <c r="A7677" t="s">
        <v>8453</v>
      </c>
      <c r="B7677" t="str">
        <f>"15902887729"</f>
        <v>15902887729</v>
      </c>
      <c r="C7677" t="str">
        <f>"511002198707291527"</f>
        <v>511002198707291527</v>
      </c>
      <c r="D7677" t="s">
        <v>1</v>
      </c>
      <c r="E7677" t="s">
        <v>1</v>
      </c>
      <c r="F7677" t="s">
        <v>0</v>
      </c>
      <c r="G7677" t="str">
        <f>"2018-10-16 11:22:37"</f>
        <v>2018-10-16 11:22:37</v>
      </c>
    </row>
    <row r="7678" spans="1:7" x14ac:dyDescent="0.2">
      <c r="A7678" t="s">
        <v>8454</v>
      </c>
      <c r="B7678" t="str">
        <f>"15736616767"</f>
        <v>15736616767</v>
      </c>
      <c r="C7678" t="str">
        <f>"500242199404236233"</f>
        <v>500242199404236233</v>
      </c>
      <c r="D7678" t="s">
        <v>8455</v>
      </c>
      <c r="E7678" t="s">
        <v>8456</v>
      </c>
      <c r="F7678" t="s">
        <v>0</v>
      </c>
      <c r="G7678" t="str">
        <f>"2018-10-16 11:16:29"</f>
        <v>2018-10-16 11:16:29</v>
      </c>
    </row>
    <row r="7679" spans="1:7" x14ac:dyDescent="0.2">
      <c r="A7679" t="s">
        <v>257</v>
      </c>
      <c r="B7679" t="str">
        <f>"15908817808"</f>
        <v>15908817808</v>
      </c>
      <c r="C7679" t="str">
        <f>"532822197408170046"</f>
        <v>532822197408170046</v>
      </c>
      <c r="D7679" t="s">
        <v>1</v>
      </c>
      <c r="E7679" t="s">
        <v>1</v>
      </c>
      <c r="F7679" t="s">
        <v>0</v>
      </c>
      <c r="G7679" t="str">
        <f>"2018-10-16 11:16:24"</f>
        <v>2018-10-16 11:16:24</v>
      </c>
    </row>
    <row r="7680" spans="1:7" x14ac:dyDescent="0.2">
      <c r="A7680" t="s">
        <v>8457</v>
      </c>
      <c r="B7680" t="str">
        <f>"15835029715"</f>
        <v>15835029715</v>
      </c>
      <c r="C7680" t="str">
        <f>"152601196610231545"</f>
        <v>152601196610231545</v>
      </c>
      <c r="D7680" t="s">
        <v>1</v>
      </c>
      <c r="E7680" t="s">
        <v>1</v>
      </c>
      <c r="F7680" t="s">
        <v>0</v>
      </c>
      <c r="G7680" t="str">
        <f>"2018-10-16 11:19:13"</f>
        <v>2018-10-16 11:19:13</v>
      </c>
    </row>
    <row r="7681" spans="1:7" x14ac:dyDescent="0.2">
      <c r="A7681" t="s">
        <v>8458</v>
      </c>
      <c r="B7681" t="str">
        <f>"18665430539"</f>
        <v>18665430539</v>
      </c>
      <c r="C7681" t="str">
        <f>"420323199405142411"</f>
        <v>420323199405142411</v>
      </c>
      <c r="D7681" t="s">
        <v>1</v>
      </c>
      <c r="E7681" t="s">
        <v>1</v>
      </c>
      <c r="F7681" t="s">
        <v>0</v>
      </c>
      <c r="G7681" t="str">
        <f>"2018-10-16 12:18:45"</f>
        <v>2018-10-16 12:18:45</v>
      </c>
    </row>
    <row r="7682" spans="1:7" x14ac:dyDescent="0.2">
      <c r="A7682" t="s">
        <v>1216</v>
      </c>
      <c r="B7682" t="str">
        <f>"13005987040"</f>
        <v>13005987040</v>
      </c>
      <c r="C7682" t="str">
        <f>"130283199606220625"</f>
        <v>130283199606220625</v>
      </c>
      <c r="D7682" t="s">
        <v>1</v>
      </c>
      <c r="E7682" t="s">
        <v>1</v>
      </c>
      <c r="F7682" t="s">
        <v>0</v>
      </c>
      <c r="G7682" t="str">
        <f>"2018-10-16 11:16:34"</f>
        <v>2018-10-16 11:16:34</v>
      </c>
    </row>
    <row r="7683" spans="1:7" x14ac:dyDescent="0.2">
      <c r="A7683" t="s">
        <v>8459</v>
      </c>
      <c r="B7683" t="str">
        <f>"18647637467"</f>
        <v>18647637467</v>
      </c>
      <c r="C7683" t="str">
        <f>"150404198109061111"</f>
        <v>150404198109061111</v>
      </c>
      <c r="D7683" t="s">
        <v>1</v>
      </c>
      <c r="E7683" t="s">
        <v>1</v>
      </c>
      <c r="F7683" t="s">
        <v>0</v>
      </c>
      <c r="G7683" t="str">
        <f>"2018-10-16 11:19:36"</f>
        <v>2018-10-16 11:19:36</v>
      </c>
    </row>
    <row r="7684" spans="1:7" x14ac:dyDescent="0.2">
      <c r="A7684" t="s">
        <v>8460</v>
      </c>
      <c r="B7684" t="str">
        <f>"17640488487"</f>
        <v>17640488487</v>
      </c>
      <c r="C7684" t="str">
        <f>"230223198901050027"</f>
        <v>230223198901050027</v>
      </c>
      <c r="D7684" t="s">
        <v>1</v>
      </c>
      <c r="E7684" t="s">
        <v>1</v>
      </c>
      <c r="F7684" t="s">
        <v>0</v>
      </c>
      <c r="G7684" t="str">
        <f>"2018-10-24 12:07:55"</f>
        <v>2018-10-24 12:07:55</v>
      </c>
    </row>
    <row r="7685" spans="1:7" x14ac:dyDescent="0.2">
      <c r="A7685" t="s">
        <v>1</v>
      </c>
      <c r="B7685" t="str">
        <f>"13526023030"</f>
        <v>13526023030</v>
      </c>
      <c r="C7685" t="s">
        <v>1</v>
      </c>
      <c r="D7685" t="s">
        <v>1</v>
      </c>
      <c r="E7685" t="s">
        <v>1</v>
      </c>
      <c r="F7685" t="s">
        <v>0</v>
      </c>
      <c r="G7685" t="str">
        <f>"2018-10-16 11:13:58"</f>
        <v>2018-10-16 11:13:58</v>
      </c>
    </row>
    <row r="7686" spans="1:7" x14ac:dyDescent="0.2">
      <c r="A7686" t="s">
        <v>8461</v>
      </c>
      <c r="B7686" t="str">
        <f>"13127588651"</f>
        <v>13127588651</v>
      </c>
      <c r="C7686" t="str">
        <f>"320882199509283474"</f>
        <v>320882199509283474</v>
      </c>
      <c r="D7686" t="s">
        <v>1</v>
      </c>
      <c r="E7686" t="s">
        <v>1</v>
      </c>
      <c r="F7686" t="s">
        <v>0</v>
      </c>
      <c r="G7686" t="str">
        <f>"2018-10-16 11:35:06"</f>
        <v>2018-10-16 11:35:06</v>
      </c>
    </row>
    <row r="7687" spans="1:7" x14ac:dyDescent="0.2">
      <c r="A7687" t="s">
        <v>8462</v>
      </c>
      <c r="B7687" t="str">
        <f>"13888420082"</f>
        <v>13888420082</v>
      </c>
      <c r="C7687" t="str">
        <f>"530121197610060610"</f>
        <v>530121197610060610</v>
      </c>
      <c r="D7687" t="s">
        <v>1</v>
      </c>
      <c r="E7687" t="s">
        <v>1</v>
      </c>
      <c r="F7687" t="s">
        <v>0</v>
      </c>
      <c r="G7687" t="str">
        <f>"2018-10-16 11:15:07"</f>
        <v>2018-10-16 11:15:07</v>
      </c>
    </row>
    <row r="7688" spans="1:7" x14ac:dyDescent="0.2">
      <c r="A7688" t="s">
        <v>1</v>
      </c>
      <c r="B7688" t="str">
        <f>"13282237479"</f>
        <v>13282237479</v>
      </c>
      <c r="C7688" t="s">
        <v>1</v>
      </c>
      <c r="D7688" t="s">
        <v>1</v>
      </c>
      <c r="E7688" t="s">
        <v>1</v>
      </c>
      <c r="F7688" t="s">
        <v>0</v>
      </c>
      <c r="G7688" t="str">
        <f>"2018-10-16 11:13:20"</f>
        <v>2018-10-16 11:13:20</v>
      </c>
    </row>
    <row r="7689" spans="1:7" x14ac:dyDescent="0.2">
      <c r="A7689" t="s">
        <v>8463</v>
      </c>
      <c r="B7689" t="str">
        <f>"15234504657"</f>
        <v>15234504657</v>
      </c>
      <c r="C7689" t="str">
        <f>"14043119920402082X"</f>
        <v>14043119920402082X</v>
      </c>
      <c r="D7689" t="s">
        <v>8464</v>
      </c>
      <c r="E7689" t="s">
        <v>8465</v>
      </c>
      <c r="F7689" t="s">
        <v>0</v>
      </c>
      <c r="G7689" t="str">
        <f>"2018-10-30 13:06:26"</f>
        <v>2018-10-30 13:06:26</v>
      </c>
    </row>
    <row r="7690" spans="1:7" x14ac:dyDescent="0.2">
      <c r="A7690" t="s">
        <v>1</v>
      </c>
      <c r="B7690" t="str">
        <f>"15940135765"</f>
        <v>15940135765</v>
      </c>
      <c r="C7690" t="s">
        <v>1</v>
      </c>
      <c r="D7690" t="s">
        <v>1</v>
      </c>
      <c r="E7690" t="s">
        <v>1</v>
      </c>
      <c r="F7690" t="s">
        <v>0</v>
      </c>
      <c r="G7690" t="str">
        <f>"2018-10-16 11:12:54"</f>
        <v>2018-10-16 11:12:54</v>
      </c>
    </row>
    <row r="7691" spans="1:7" x14ac:dyDescent="0.2">
      <c r="A7691" t="s">
        <v>1</v>
      </c>
      <c r="B7691" t="str">
        <f>"18243838386"</f>
        <v>18243838386</v>
      </c>
      <c r="C7691" t="s">
        <v>1</v>
      </c>
      <c r="D7691" t="s">
        <v>1</v>
      </c>
      <c r="E7691" t="s">
        <v>1</v>
      </c>
      <c r="F7691" t="s">
        <v>0</v>
      </c>
      <c r="G7691" t="str">
        <f>"2018-10-16 11:13:59"</f>
        <v>2018-10-16 11:13:59</v>
      </c>
    </row>
    <row r="7692" spans="1:7" x14ac:dyDescent="0.2">
      <c r="A7692" t="s">
        <v>1</v>
      </c>
      <c r="B7692" t="str">
        <f>"18780827277"</f>
        <v>18780827277</v>
      </c>
      <c r="C7692" t="s">
        <v>1</v>
      </c>
      <c r="D7692" t="s">
        <v>1</v>
      </c>
      <c r="E7692" t="s">
        <v>1</v>
      </c>
      <c r="F7692" t="s">
        <v>0</v>
      </c>
      <c r="G7692" t="str">
        <f>"2018-10-16 22:54:46"</f>
        <v>2018-10-16 22:54:46</v>
      </c>
    </row>
    <row r="7693" spans="1:7" x14ac:dyDescent="0.2">
      <c r="A7693" t="s">
        <v>8466</v>
      </c>
      <c r="B7693" t="str">
        <f>"13814291926"</f>
        <v>13814291926</v>
      </c>
      <c r="C7693" t="str">
        <f>"320283199611286528"</f>
        <v>320283199611286528</v>
      </c>
      <c r="D7693" t="s">
        <v>1</v>
      </c>
      <c r="E7693" t="s">
        <v>1</v>
      </c>
      <c r="F7693" t="s">
        <v>0</v>
      </c>
      <c r="G7693" t="str">
        <f>"2018-10-16 11:12:33"</f>
        <v>2018-10-16 11:12:33</v>
      </c>
    </row>
    <row r="7694" spans="1:7" x14ac:dyDescent="0.2">
      <c r="A7694" t="s">
        <v>1210</v>
      </c>
      <c r="B7694" t="str">
        <f>"18018936097"</f>
        <v>18018936097</v>
      </c>
      <c r="C7694" t="str">
        <f>"210502199106172434"</f>
        <v>210502199106172434</v>
      </c>
      <c r="D7694" t="s">
        <v>1</v>
      </c>
      <c r="E7694" t="s">
        <v>1</v>
      </c>
      <c r="F7694" t="s">
        <v>0</v>
      </c>
      <c r="G7694" t="str">
        <f>"2018-10-16 11:13:31"</f>
        <v>2018-10-16 11:13:31</v>
      </c>
    </row>
    <row r="7695" spans="1:7" x14ac:dyDescent="0.2">
      <c r="A7695" t="s">
        <v>8467</v>
      </c>
      <c r="B7695" t="str">
        <f>"13606186198"</f>
        <v>13606186198</v>
      </c>
      <c r="C7695" t="str">
        <f>"320202197909263014"</f>
        <v>320202197909263014</v>
      </c>
      <c r="D7695" t="s">
        <v>1</v>
      </c>
      <c r="E7695" t="s">
        <v>1</v>
      </c>
      <c r="F7695" t="s">
        <v>0</v>
      </c>
      <c r="G7695" t="str">
        <f>"2018-10-16 11:14:56"</f>
        <v>2018-10-16 11:14:56</v>
      </c>
    </row>
    <row r="7696" spans="1:7" x14ac:dyDescent="0.2">
      <c r="A7696" t="s">
        <v>8468</v>
      </c>
      <c r="B7696" t="str">
        <f>"15216682613"</f>
        <v>15216682613</v>
      </c>
      <c r="C7696" t="str">
        <f>"310228197712110411"</f>
        <v>310228197712110411</v>
      </c>
      <c r="D7696" t="s">
        <v>1</v>
      </c>
      <c r="E7696" t="s">
        <v>1</v>
      </c>
      <c r="F7696" t="s">
        <v>0</v>
      </c>
      <c r="G7696" t="str">
        <f>"2018-10-16 11:15:52"</f>
        <v>2018-10-16 11:15:52</v>
      </c>
    </row>
    <row r="7697" spans="1:7" x14ac:dyDescent="0.2">
      <c r="A7697" t="s">
        <v>8469</v>
      </c>
      <c r="B7697" t="str">
        <f>"15812029470"</f>
        <v>15812029470</v>
      </c>
      <c r="C7697" t="str">
        <f>"530128199711160913"</f>
        <v>530128199711160913</v>
      </c>
      <c r="D7697" t="s">
        <v>1</v>
      </c>
      <c r="E7697" t="s">
        <v>1</v>
      </c>
      <c r="F7697" t="s">
        <v>0</v>
      </c>
      <c r="G7697" t="str">
        <f>"2018-10-16 11:14:18"</f>
        <v>2018-10-16 11:14:18</v>
      </c>
    </row>
    <row r="7698" spans="1:7" x14ac:dyDescent="0.2">
      <c r="A7698" t="s">
        <v>1</v>
      </c>
      <c r="B7698" t="str">
        <f>"13209121898"</f>
        <v>13209121898</v>
      </c>
      <c r="C7698" t="s">
        <v>1</v>
      </c>
      <c r="D7698" t="s">
        <v>1</v>
      </c>
      <c r="E7698" t="s">
        <v>1</v>
      </c>
      <c r="F7698" t="s">
        <v>0</v>
      </c>
      <c r="G7698" t="str">
        <f>"2018-10-16 11:12:09"</f>
        <v>2018-10-16 11:12:09</v>
      </c>
    </row>
    <row r="7699" spans="1:7" x14ac:dyDescent="0.2">
      <c r="A7699" t="s">
        <v>1</v>
      </c>
      <c r="B7699" t="str">
        <f>"15397827560"</f>
        <v>15397827560</v>
      </c>
      <c r="C7699" t="s">
        <v>1</v>
      </c>
      <c r="D7699" t="s">
        <v>1</v>
      </c>
      <c r="E7699" t="s">
        <v>1</v>
      </c>
      <c r="F7699" t="s">
        <v>0</v>
      </c>
      <c r="G7699" t="str">
        <f>"2018-10-16 11:15:36"</f>
        <v>2018-10-16 11:15:36</v>
      </c>
    </row>
    <row r="7700" spans="1:7" x14ac:dyDescent="0.2">
      <c r="A7700" t="s">
        <v>1</v>
      </c>
      <c r="B7700" t="str">
        <f>"18278239654"</f>
        <v>18278239654</v>
      </c>
      <c r="C7700" t="s">
        <v>1</v>
      </c>
      <c r="D7700" t="s">
        <v>1</v>
      </c>
      <c r="E7700" t="s">
        <v>1</v>
      </c>
      <c r="F7700" t="s">
        <v>0</v>
      </c>
      <c r="G7700" t="str">
        <f>"2018-10-16 18:10:51"</f>
        <v>2018-10-16 18:10:51</v>
      </c>
    </row>
    <row r="7701" spans="1:7" x14ac:dyDescent="0.2">
      <c r="A7701" t="s">
        <v>8470</v>
      </c>
      <c r="B7701" t="str">
        <f>"15615459956"</f>
        <v>15615459956</v>
      </c>
      <c r="C7701" t="str">
        <f>"37068519940924001X"</f>
        <v>37068519940924001X</v>
      </c>
      <c r="D7701" t="s">
        <v>1</v>
      </c>
      <c r="E7701" t="s">
        <v>1</v>
      </c>
      <c r="F7701" t="s">
        <v>0</v>
      </c>
      <c r="G7701" t="str">
        <f>"2018-10-16 11:11:43"</f>
        <v>2018-10-16 11:11:43</v>
      </c>
    </row>
    <row r="7702" spans="1:7" x14ac:dyDescent="0.2">
      <c r="A7702" t="s">
        <v>1376</v>
      </c>
      <c r="B7702" t="str">
        <f>"15161630856"</f>
        <v>15161630856</v>
      </c>
      <c r="C7702" t="str">
        <f>"342401199203199275"</f>
        <v>342401199203199275</v>
      </c>
      <c r="D7702" t="s">
        <v>8471</v>
      </c>
      <c r="E7702" t="s">
        <v>8472</v>
      </c>
      <c r="F7702" t="s">
        <v>0</v>
      </c>
      <c r="G7702" t="str">
        <f>"2018-10-16 11:13:09"</f>
        <v>2018-10-16 11:13:09</v>
      </c>
    </row>
    <row r="7703" spans="1:7" x14ac:dyDescent="0.2">
      <c r="A7703" t="s">
        <v>1</v>
      </c>
      <c r="B7703" t="str">
        <f>"15974481673"</f>
        <v>15974481673</v>
      </c>
      <c r="C7703" t="s">
        <v>1</v>
      </c>
      <c r="D7703" t="s">
        <v>1</v>
      </c>
      <c r="E7703" t="s">
        <v>1</v>
      </c>
      <c r="F7703" t="s">
        <v>0</v>
      </c>
      <c r="G7703" t="str">
        <f>"2018-10-16 11:11:33"</f>
        <v>2018-10-16 11:11:33</v>
      </c>
    </row>
    <row r="7704" spans="1:7" x14ac:dyDescent="0.2">
      <c r="A7704" t="s">
        <v>4902</v>
      </c>
      <c r="B7704" t="str">
        <f>"18373443823"</f>
        <v>18373443823</v>
      </c>
      <c r="C7704" t="str">
        <f>"43041119820108101X"</f>
        <v>43041119820108101X</v>
      </c>
      <c r="D7704" t="s">
        <v>8473</v>
      </c>
      <c r="E7704" t="s">
        <v>8474</v>
      </c>
      <c r="F7704" t="s">
        <v>0</v>
      </c>
      <c r="G7704" t="str">
        <f>"2018-10-16 12:09:55"</f>
        <v>2018-10-16 12:09:55</v>
      </c>
    </row>
    <row r="7705" spans="1:7" x14ac:dyDescent="0.2">
      <c r="A7705" t="s">
        <v>8475</v>
      </c>
      <c r="B7705" t="str">
        <f>"13790709717"</f>
        <v>13790709717</v>
      </c>
      <c r="C7705" t="str">
        <f>"430725198509200331"</f>
        <v>430725198509200331</v>
      </c>
      <c r="D7705" t="s">
        <v>1</v>
      </c>
      <c r="E7705" t="s">
        <v>1</v>
      </c>
      <c r="F7705" t="s">
        <v>0</v>
      </c>
      <c r="G7705" t="str">
        <f>"2018-10-16 11:11:07"</f>
        <v>2018-10-16 11:11:07</v>
      </c>
    </row>
    <row r="7706" spans="1:7" x14ac:dyDescent="0.2">
      <c r="A7706" t="s">
        <v>8476</v>
      </c>
      <c r="B7706" t="str">
        <f>"15388358846"</f>
        <v>15388358846</v>
      </c>
      <c r="C7706" t="str">
        <f>"510902198112282638"</f>
        <v>510902198112282638</v>
      </c>
      <c r="D7706" t="s">
        <v>1</v>
      </c>
      <c r="E7706" t="s">
        <v>1</v>
      </c>
      <c r="F7706" t="s">
        <v>0</v>
      </c>
      <c r="G7706" t="str">
        <f>"2018-10-16 11:10:55"</f>
        <v>2018-10-16 11:10:55</v>
      </c>
    </row>
    <row r="7707" spans="1:7" x14ac:dyDescent="0.2">
      <c r="A7707" t="s">
        <v>8477</v>
      </c>
      <c r="B7707" t="str">
        <f>"13505120924"</f>
        <v>13505120924</v>
      </c>
      <c r="C7707" t="str">
        <f>"620421199308062014"</f>
        <v>620421199308062014</v>
      </c>
      <c r="D7707" t="s">
        <v>1</v>
      </c>
      <c r="E7707" t="s">
        <v>1</v>
      </c>
      <c r="F7707" t="s">
        <v>0</v>
      </c>
      <c r="G7707" t="str">
        <f>"2018-10-16 11:13:13"</f>
        <v>2018-10-16 11:13:13</v>
      </c>
    </row>
    <row r="7708" spans="1:7" x14ac:dyDescent="0.2">
      <c r="A7708" t="s">
        <v>8478</v>
      </c>
      <c r="B7708" t="str">
        <f>"18698941126"</f>
        <v>18698941126</v>
      </c>
      <c r="C7708" t="str">
        <f>"211404199412297639"</f>
        <v>211404199412297639</v>
      </c>
      <c r="D7708" t="s">
        <v>1</v>
      </c>
      <c r="E7708" t="s">
        <v>1</v>
      </c>
      <c r="F7708" t="s">
        <v>0</v>
      </c>
      <c r="G7708" t="str">
        <f>"2018-10-16 11:36:05"</f>
        <v>2018-10-16 11:36:05</v>
      </c>
    </row>
    <row r="7709" spans="1:7" x14ac:dyDescent="0.2">
      <c r="A7709" t="s">
        <v>1</v>
      </c>
      <c r="B7709" t="str">
        <f>"13944476709"</f>
        <v>13944476709</v>
      </c>
      <c r="C7709" t="s">
        <v>1</v>
      </c>
      <c r="D7709" t="s">
        <v>1</v>
      </c>
      <c r="E7709" t="s">
        <v>1</v>
      </c>
      <c r="F7709" t="s">
        <v>0</v>
      </c>
      <c r="G7709" t="str">
        <f>"2018-10-16 11:10:39"</f>
        <v>2018-10-16 11:10:39</v>
      </c>
    </row>
    <row r="7710" spans="1:7" x14ac:dyDescent="0.2">
      <c r="A7710" t="s">
        <v>1</v>
      </c>
      <c r="B7710" t="str">
        <f>"18905435426"</f>
        <v>18905435426</v>
      </c>
      <c r="C7710" t="s">
        <v>1</v>
      </c>
      <c r="D7710" t="s">
        <v>1</v>
      </c>
      <c r="E7710" t="s">
        <v>1</v>
      </c>
      <c r="F7710" t="s">
        <v>0</v>
      </c>
      <c r="G7710" t="str">
        <f>"2018-10-16 11:10:34"</f>
        <v>2018-10-16 11:10:34</v>
      </c>
    </row>
    <row r="7711" spans="1:7" x14ac:dyDescent="0.2">
      <c r="A7711" t="s">
        <v>8479</v>
      </c>
      <c r="B7711" t="str">
        <f>"13685366186"</f>
        <v>13685366186</v>
      </c>
      <c r="C7711" t="str">
        <f>"370702199305144220"</f>
        <v>370702199305144220</v>
      </c>
      <c r="D7711" t="s">
        <v>8480</v>
      </c>
      <c r="E7711" t="s">
        <v>8481</v>
      </c>
      <c r="F7711" t="s">
        <v>0</v>
      </c>
      <c r="G7711" t="str">
        <f>"2018-10-17 11:09:11"</f>
        <v>2018-10-17 11:09:11</v>
      </c>
    </row>
    <row r="7712" spans="1:7" x14ac:dyDescent="0.2">
      <c r="A7712" t="s">
        <v>1</v>
      </c>
      <c r="B7712" t="str">
        <f>"17504218866"</f>
        <v>17504218866</v>
      </c>
      <c r="C7712" t="s">
        <v>1</v>
      </c>
      <c r="D7712" t="s">
        <v>1</v>
      </c>
      <c r="E7712" t="s">
        <v>1</v>
      </c>
      <c r="F7712" t="s">
        <v>0</v>
      </c>
      <c r="G7712" t="str">
        <f>"2018-10-16 11:10:13"</f>
        <v>2018-10-16 11:10:13</v>
      </c>
    </row>
    <row r="7713" spans="1:7" x14ac:dyDescent="0.2">
      <c r="A7713" t="s">
        <v>1</v>
      </c>
      <c r="B7713" t="str">
        <f>"18055553349"</f>
        <v>18055553349</v>
      </c>
      <c r="C7713" t="s">
        <v>1</v>
      </c>
      <c r="D7713" t="s">
        <v>1</v>
      </c>
      <c r="E7713" t="s">
        <v>1</v>
      </c>
      <c r="F7713" t="s">
        <v>0</v>
      </c>
      <c r="G7713" t="str">
        <f>"2018-10-16 11:09:55"</f>
        <v>2018-10-16 11:09:55</v>
      </c>
    </row>
    <row r="7714" spans="1:7" x14ac:dyDescent="0.2">
      <c r="A7714" t="s">
        <v>8482</v>
      </c>
      <c r="B7714" t="str">
        <f>"18593023560"</f>
        <v>18593023560</v>
      </c>
      <c r="C7714" t="str">
        <f>"622201199209212465"</f>
        <v>622201199209212465</v>
      </c>
      <c r="D7714" t="s">
        <v>1</v>
      </c>
      <c r="E7714" t="s">
        <v>1</v>
      </c>
      <c r="F7714" t="s">
        <v>0</v>
      </c>
      <c r="G7714" t="str">
        <f>"2018-10-16 11:12:54"</f>
        <v>2018-10-16 11:12:54</v>
      </c>
    </row>
    <row r="7715" spans="1:7" x14ac:dyDescent="0.2">
      <c r="A7715" t="s">
        <v>1</v>
      </c>
      <c r="B7715" t="str">
        <f>"18699215533"</f>
        <v>18699215533</v>
      </c>
      <c r="C7715" t="s">
        <v>1</v>
      </c>
      <c r="D7715" t="s">
        <v>1</v>
      </c>
      <c r="E7715" t="s">
        <v>1</v>
      </c>
      <c r="F7715" t="s">
        <v>0</v>
      </c>
      <c r="G7715" t="str">
        <f>"2018-10-16 11:10:46"</f>
        <v>2018-10-16 11:10:46</v>
      </c>
    </row>
    <row r="7716" spans="1:7" x14ac:dyDescent="0.2">
      <c r="A7716" t="s">
        <v>1</v>
      </c>
      <c r="B7716" t="str">
        <f>"13656698086"</f>
        <v>13656698086</v>
      </c>
      <c r="C7716" t="s">
        <v>1</v>
      </c>
      <c r="D7716" t="s">
        <v>1</v>
      </c>
      <c r="E7716" t="s">
        <v>1</v>
      </c>
      <c r="F7716" t="s">
        <v>0</v>
      </c>
      <c r="G7716" t="str">
        <f>"2018-10-16 11:08:40"</f>
        <v>2018-10-16 11:08:40</v>
      </c>
    </row>
    <row r="7717" spans="1:7" x14ac:dyDescent="0.2">
      <c r="A7717" t="s">
        <v>8483</v>
      </c>
      <c r="B7717" t="str">
        <f>"13489965658"</f>
        <v>13489965658</v>
      </c>
      <c r="C7717" t="str">
        <f>"350182198507204827"</f>
        <v>350182198507204827</v>
      </c>
      <c r="D7717" t="s">
        <v>8484</v>
      </c>
      <c r="E7717" t="s">
        <v>8485</v>
      </c>
      <c r="F7717" t="s">
        <v>0</v>
      </c>
      <c r="G7717" t="str">
        <f>"2018-10-16 11:08:22"</f>
        <v>2018-10-16 11:08:22</v>
      </c>
    </row>
    <row r="7718" spans="1:7" x14ac:dyDescent="0.2">
      <c r="A7718" t="s">
        <v>8486</v>
      </c>
      <c r="B7718" t="str">
        <f>"18919689820"</f>
        <v>18919689820</v>
      </c>
      <c r="C7718" t="str">
        <f>"340101199210010014"</f>
        <v>340101199210010014</v>
      </c>
      <c r="D7718" t="s">
        <v>1</v>
      </c>
      <c r="E7718" t="s">
        <v>1</v>
      </c>
      <c r="F7718" t="s">
        <v>0</v>
      </c>
      <c r="G7718" t="str">
        <f>"2018-10-16 11:09:33"</f>
        <v>2018-10-16 11:09:33</v>
      </c>
    </row>
    <row r="7719" spans="1:7" x14ac:dyDescent="0.2">
      <c r="A7719" t="s">
        <v>1</v>
      </c>
      <c r="B7719" t="str">
        <f>"13547777563"</f>
        <v>13547777563</v>
      </c>
      <c r="C7719" t="s">
        <v>1</v>
      </c>
      <c r="D7719" t="s">
        <v>1</v>
      </c>
      <c r="E7719" t="s">
        <v>1</v>
      </c>
      <c r="F7719" t="s">
        <v>0</v>
      </c>
      <c r="G7719" t="str">
        <f>"2018-10-16 11:26:38"</f>
        <v>2018-10-16 11:26:38</v>
      </c>
    </row>
    <row r="7720" spans="1:7" x14ac:dyDescent="0.2">
      <c r="A7720" t="s">
        <v>1</v>
      </c>
      <c r="B7720" t="str">
        <f>"13410464076"</f>
        <v>13410464076</v>
      </c>
      <c r="C7720" t="s">
        <v>1</v>
      </c>
      <c r="D7720" t="s">
        <v>1</v>
      </c>
      <c r="E7720" t="s">
        <v>1</v>
      </c>
      <c r="F7720" t="s">
        <v>0</v>
      </c>
      <c r="G7720" t="str">
        <f>"2018-10-16 11:08:03"</f>
        <v>2018-10-16 11:08:03</v>
      </c>
    </row>
    <row r="7721" spans="1:7" x14ac:dyDescent="0.2">
      <c r="A7721" t="s">
        <v>8487</v>
      </c>
      <c r="B7721" t="str">
        <f>"15973597758"</f>
        <v>15973597758</v>
      </c>
      <c r="C7721" t="str">
        <f>"43102619870514353X"</f>
        <v>43102619870514353X</v>
      </c>
      <c r="D7721" t="s">
        <v>8488</v>
      </c>
      <c r="E7721" t="s">
        <v>8489</v>
      </c>
      <c r="F7721" t="s">
        <v>0</v>
      </c>
      <c r="G7721" t="str">
        <f>"2018-10-16 11:15:16"</f>
        <v>2018-10-16 11:15:16</v>
      </c>
    </row>
    <row r="7722" spans="1:7" x14ac:dyDescent="0.2">
      <c r="A7722" t="s">
        <v>8490</v>
      </c>
      <c r="B7722" t="str">
        <f>"15180289297"</f>
        <v>15180289297</v>
      </c>
      <c r="C7722" t="str">
        <f>"360782199202282217"</f>
        <v>360782199202282217</v>
      </c>
      <c r="D7722" t="s">
        <v>1</v>
      </c>
      <c r="E7722" t="s">
        <v>1</v>
      </c>
      <c r="F7722" t="s">
        <v>0</v>
      </c>
      <c r="G7722" t="str">
        <f>"2018-10-16 11:07:07"</f>
        <v>2018-10-16 11:07:07</v>
      </c>
    </row>
    <row r="7723" spans="1:7" x14ac:dyDescent="0.2">
      <c r="A7723" t="s">
        <v>8491</v>
      </c>
      <c r="B7723" t="str">
        <f>"13113305194"</f>
        <v>13113305194</v>
      </c>
      <c r="C7723" t="str">
        <f>"441422199411012633"</f>
        <v>441422199411012633</v>
      </c>
      <c r="D7723" t="s">
        <v>1</v>
      </c>
      <c r="E7723" t="s">
        <v>1</v>
      </c>
      <c r="F7723" t="s">
        <v>0</v>
      </c>
      <c r="G7723" t="str">
        <f>"2018-10-19 23:20:36"</f>
        <v>2018-10-19 23:20:36</v>
      </c>
    </row>
    <row r="7724" spans="1:7" x14ac:dyDescent="0.2">
      <c r="A7724" t="s">
        <v>8492</v>
      </c>
      <c r="B7724" t="str">
        <f>"18076568993"</f>
        <v>18076568993</v>
      </c>
      <c r="C7724" t="str">
        <f>"450103198410170016"</f>
        <v>450103198410170016</v>
      </c>
      <c r="D7724" t="s">
        <v>8493</v>
      </c>
      <c r="E7724" t="s">
        <v>8494</v>
      </c>
      <c r="F7724" t="s">
        <v>0</v>
      </c>
      <c r="G7724" t="str">
        <f>"2018-10-16 11:11:31"</f>
        <v>2018-10-16 11:11:31</v>
      </c>
    </row>
    <row r="7725" spans="1:7" x14ac:dyDescent="0.2">
      <c r="A7725" t="s">
        <v>459</v>
      </c>
      <c r="B7725" t="str">
        <f>"13781595838"</f>
        <v>13781595838</v>
      </c>
      <c r="C7725" t="str">
        <f>"411425199403178426"</f>
        <v>411425199403178426</v>
      </c>
      <c r="D7725" t="s">
        <v>1</v>
      </c>
      <c r="E7725" t="s">
        <v>1</v>
      </c>
      <c r="F7725" t="s">
        <v>0</v>
      </c>
      <c r="G7725" t="str">
        <f>"2018-10-16 11:35:38"</f>
        <v>2018-10-16 11:35:38</v>
      </c>
    </row>
    <row r="7726" spans="1:7" x14ac:dyDescent="0.2">
      <c r="A7726" t="s">
        <v>8495</v>
      </c>
      <c r="B7726" t="str">
        <f>"15187864625"</f>
        <v>15187864625</v>
      </c>
      <c r="C7726" t="str">
        <f>"530325198605031365"</f>
        <v>530325198605031365</v>
      </c>
      <c r="D7726" t="s">
        <v>1</v>
      </c>
      <c r="E7726" t="s">
        <v>1</v>
      </c>
      <c r="F7726" t="s">
        <v>0</v>
      </c>
      <c r="G7726" t="str">
        <f>"2018-10-16 11:07:30"</f>
        <v>2018-10-16 11:07:30</v>
      </c>
    </row>
    <row r="7727" spans="1:7" x14ac:dyDescent="0.2">
      <c r="A7727" t="s">
        <v>1770</v>
      </c>
      <c r="B7727" t="str">
        <f>"18913144578"</f>
        <v>18913144578</v>
      </c>
      <c r="C7727" t="str">
        <f>"410823198502109323"</f>
        <v>410823198502109323</v>
      </c>
      <c r="D7727" t="s">
        <v>1</v>
      </c>
      <c r="E7727" t="s">
        <v>1</v>
      </c>
      <c r="F7727" t="s">
        <v>0</v>
      </c>
      <c r="G7727" t="str">
        <f>"2018-10-16 11:08:03"</f>
        <v>2018-10-16 11:08:03</v>
      </c>
    </row>
    <row r="7728" spans="1:7" x14ac:dyDescent="0.2">
      <c r="A7728" t="s">
        <v>917</v>
      </c>
      <c r="B7728" t="str">
        <f>"17340090100"</f>
        <v>17340090100</v>
      </c>
      <c r="C7728" t="str">
        <f>"510902198207077979"</f>
        <v>510902198207077979</v>
      </c>
      <c r="D7728" t="s">
        <v>1</v>
      </c>
      <c r="E7728" t="s">
        <v>1</v>
      </c>
      <c r="F7728" t="s">
        <v>0</v>
      </c>
      <c r="G7728" t="str">
        <f>"2018-11-04 08:25:01"</f>
        <v>2018-11-04 08:25:01</v>
      </c>
    </row>
    <row r="7729" spans="1:7" x14ac:dyDescent="0.2">
      <c r="A7729" t="s">
        <v>1</v>
      </c>
      <c r="B7729" t="str">
        <f>"18950816255"</f>
        <v>18950816255</v>
      </c>
      <c r="C7729" t="s">
        <v>1</v>
      </c>
      <c r="D7729" t="s">
        <v>1</v>
      </c>
      <c r="E7729" t="s">
        <v>1</v>
      </c>
      <c r="F7729" t="s">
        <v>0</v>
      </c>
      <c r="G7729" t="str">
        <f>"2018-10-16 11:05:10"</f>
        <v>2018-10-16 11:05:10</v>
      </c>
    </row>
    <row r="7730" spans="1:7" x14ac:dyDescent="0.2">
      <c r="A7730" t="s">
        <v>96</v>
      </c>
      <c r="B7730" t="str">
        <f>"15854504303"</f>
        <v>15854504303</v>
      </c>
      <c r="C7730" t="str">
        <f>"370684199001061417"</f>
        <v>370684199001061417</v>
      </c>
      <c r="D7730" t="s">
        <v>1</v>
      </c>
      <c r="E7730" t="s">
        <v>1</v>
      </c>
      <c r="F7730" t="s">
        <v>0</v>
      </c>
      <c r="G7730" t="str">
        <f>"2018-10-16 11:07:02"</f>
        <v>2018-10-16 11:07:02</v>
      </c>
    </row>
    <row r="7731" spans="1:7" x14ac:dyDescent="0.2">
      <c r="A7731" t="s">
        <v>8496</v>
      </c>
      <c r="B7731" t="str">
        <f>"17606070123"</f>
        <v>17606070123</v>
      </c>
      <c r="C7731" t="str">
        <f>"431229199110180213"</f>
        <v>431229199110180213</v>
      </c>
      <c r="D7731" t="s">
        <v>1</v>
      </c>
      <c r="E7731" t="s">
        <v>1</v>
      </c>
      <c r="F7731" t="s">
        <v>0</v>
      </c>
      <c r="G7731" t="str">
        <f>"2018-10-16 13:37:38"</f>
        <v>2018-10-16 13:37:38</v>
      </c>
    </row>
    <row r="7732" spans="1:7" x14ac:dyDescent="0.2">
      <c r="A7732" t="s">
        <v>1</v>
      </c>
      <c r="B7732" t="str">
        <f>"17606955581"</f>
        <v>17606955581</v>
      </c>
      <c r="C7732" t="s">
        <v>1</v>
      </c>
      <c r="D7732" t="s">
        <v>1</v>
      </c>
      <c r="E7732" t="s">
        <v>1</v>
      </c>
      <c r="F7732" t="s">
        <v>0</v>
      </c>
      <c r="G7732" t="str">
        <f>"2018-10-16 11:24:07"</f>
        <v>2018-10-16 11:24:07</v>
      </c>
    </row>
    <row r="7733" spans="1:7" x14ac:dyDescent="0.2">
      <c r="A7733" t="s">
        <v>1</v>
      </c>
      <c r="B7733" t="str">
        <f>"13848015881"</f>
        <v>13848015881</v>
      </c>
      <c r="C7733" t="s">
        <v>1</v>
      </c>
      <c r="D7733" t="s">
        <v>1</v>
      </c>
      <c r="E7733" t="s">
        <v>1</v>
      </c>
      <c r="F7733" t="s">
        <v>0</v>
      </c>
      <c r="G7733" t="str">
        <f>"2018-10-16 11:04:02"</f>
        <v>2018-10-16 11:04:02</v>
      </c>
    </row>
    <row r="7734" spans="1:7" x14ac:dyDescent="0.2">
      <c r="A7734" t="s">
        <v>1</v>
      </c>
      <c r="B7734" t="str">
        <f>"15860005946"</f>
        <v>15860005946</v>
      </c>
      <c r="C7734" t="s">
        <v>1</v>
      </c>
      <c r="D7734" t="s">
        <v>1</v>
      </c>
      <c r="E7734" t="s">
        <v>1</v>
      </c>
      <c r="F7734" t="s">
        <v>0</v>
      </c>
      <c r="G7734" t="str">
        <f>"2018-10-24 15:40:59"</f>
        <v>2018-10-24 15:40:59</v>
      </c>
    </row>
    <row r="7735" spans="1:7" x14ac:dyDescent="0.2">
      <c r="A7735" t="s">
        <v>8497</v>
      </c>
      <c r="B7735" t="str">
        <f>"15919153454"</f>
        <v>15919153454</v>
      </c>
      <c r="C7735" t="str">
        <f>"440402199507109134"</f>
        <v>440402199507109134</v>
      </c>
      <c r="D7735" t="s">
        <v>1</v>
      </c>
      <c r="E7735" t="s">
        <v>1</v>
      </c>
      <c r="F7735" t="s">
        <v>0</v>
      </c>
      <c r="G7735" t="str">
        <f>"2018-10-16 11:05:29"</f>
        <v>2018-10-16 11:05:29</v>
      </c>
    </row>
    <row r="7736" spans="1:7" x14ac:dyDescent="0.2">
      <c r="A7736" t="s">
        <v>8498</v>
      </c>
      <c r="B7736" t="str">
        <f>"13006789188"</f>
        <v>13006789188</v>
      </c>
      <c r="C7736" t="str">
        <f>"412829197702150051"</f>
        <v>412829197702150051</v>
      </c>
      <c r="D7736" t="s">
        <v>1</v>
      </c>
      <c r="E7736" t="s">
        <v>1</v>
      </c>
      <c r="F7736" t="s">
        <v>0</v>
      </c>
      <c r="G7736" t="str">
        <f>"2018-10-16 11:07:13"</f>
        <v>2018-10-16 11:07:13</v>
      </c>
    </row>
    <row r="7737" spans="1:7" x14ac:dyDescent="0.2">
      <c r="A7737" t="s">
        <v>8499</v>
      </c>
      <c r="B7737" t="str">
        <f>"18000750757"</f>
        <v>18000750757</v>
      </c>
      <c r="C7737" t="str">
        <f>"362203199312271825"</f>
        <v>362203199312271825</v>
      </c>
      <c r="D7737" t="s">
        <v>1</v>
      </c>
      <c r="E7737" t="s">
        <v>1</v>
      </c>
      <c r="F7737" t="s">
        <v>0</v>
      </c>
      <c r="G7737" t="str">
        <f>"2018-10-17 16:44:11"</f>
        <v>2018-10-17 16:44:11</v>
      </c>
    </row>
    <row r="7738" spans="1:7" x14ac:dyDescent="0.2">
      <c r="A7738" t="s">
        <v>8500</v>
      </c>
      <c r="B7738" t="str">
        <f>"15960224838"</f>
        <v>15960224838</v>
      </c>
      <c r="C7738" t="str">
        <f>"350625199106150041"</f>
        <v>350625199106150041</v>
      </c>
      <c r="D7738" t="s">
        <v>1</v>
      </c>
      <c r="E7738" t="s">
        <v>1</v>
      </c>
      <c r="F7738" t="s">
        <v>0</v>
      </c>
      <c r="G7738" t="str">
        <f>"2018-10-16 11:04:55"</f>
        <v>2018-10-16 11:04:55</v>
      </c>
    </row>
    <row r="7739" spans="1:7" x14ac:dyDescent="0.2">
      <c r="A7739" t="s">
        <v>8501</v>
      </c>
      <c r="B7739" t="str">
        <f>"15797188995"</f>
        <v>15797188995</v>
      </c>
      <c r="C7739" t="str">
        <f>"420607199309164932"</f>
        <v>420607199309164932</v>
      </c>
      <c r="D7739" t="s">
        <v>1</v>
      </c>
      <c r="E7739" t="s">
        <v>1</v>
      </c>
      <c r="F7739" t="s">
        <v>0</v>
      </c>
      <c r="G7739" t="str">
        <f>"2018-10-16 11:06:02"</f>
        <v>2018-10-16 11:06:02</v>
      </c>
    </row>
    <row r="7740" spans="1:7" x14ac:dyDescent="0.2">
      <c r="A7740" t="s">
        <v>8502</v>
      </c>
      <c r="B7740" t="str">
        <f>"18954897443"</f>
        <v>18954897443</v>
      </c>
      <c r="C7740" t="str">
        <f>"371327199808035436"</f>
        <v>371327199808035436</v>
      </c>
      <c r="D7740" t="s">
        <v>1</v>
      </c>
      <c r="E7740" t="s">
        <v>1</v>
      </c>
      <c r="F7740" t="s">
        <v>0</v>
      </c>
      <c r="G7740" t="str">
        <f>"2018-10-16 11:04:33"</f>
        <v>2018-10-16 11:04:33</v>
      </c>
    </row>
    <row r="7741" spans="1:7" x14ac:dyDescent="0.2">
      <c r="A7741" t="s">
        <v>8503</v>
      </c>
      <c r="B7741" t="str">
        <f>"18869406392"</f>
        <v>18869406392</v>
      </c>
      <c r="C7741" t="str">
        <f>"450703199902117243"</f>
        <v>450703199902117243</v>
      </c>
      <c r="D7741" t="s">
        <v>1</v>
      </c>
      <c r="E7741" t="s">
        <v>1</v>
      </c>
      <c r="F7741" t="s">
        <v>0</v>
      </c>
      <c r="G7741" t="str">
        <f>"2018-10-16 11:03:43"</f>
        <v>2018-10-16 11:03:43</v>
      </c>
    </row>
    <row r="7742" spans="1:7" x14ac:dyDescent="0.2">
      <c r="A7742" t="s">
        <v>8504</v>
      </c>
      <c r="B7742" t="str">
        <f>"15669226727"</f>
        <v>15669226727</v>
      </c>
      <c r="C7742" t="str">
        <f>"411423199306207018"</f>
        <v>411423199306207018</v>
      </c>
      <c r="D7742" t="s">
        <v>1</v>
      </c>
      <c r="E7742" t="s">
        <v>1</v>
      </c>
      <c r="F7742" t="s">
        <v>0</v>
      </c>
      <c r="G7742" t="str">
        <f>"2018-10-16 11:16:22"</f>
        <v>2018-10-16 11:16:22</v>
      </c>
    </row>
    <row r="7743" spans="1:7" x14ac:dyDescent="0.2">
      <c r="A7743" t="s">
        <v>8505</v>
      </c>
      <c r="B7743" t="str">
        <f>"15059249222"</f>
        <v>15059249222</v>
      </c>
      <c r="C7743" t="str">
        <f>"350623199409290022"</f>
        <v>350623199409290022</v>
      </c>
      <c r="D7743" t="s">
        <v>1</v>
      </c>
      <c r="E7743" t="s">
        <v>1</v>
      </c>
      <c r="F7743" t="s">
        <v>0</v>
      </c>
      <c r="G7743" t="str">
        <f>"2018-10-27 12:27:42"</f>
        <v>2018-10-27 12:27:42</v>
      </c>
    </row>
    <row r="7744" spans="1:7" x14ac:dyDescent="0.2">
      <c r="A7744" t="s">
        <v>8506</v>
      </c>
      <c r="B7744" t="str">
        <f>"13998380291"</f>
        <v>13998380291</v>
      </c>
      <c r="C7744" t="str">
        <f>"350824199303191840"</f>
        <v>350824199303191840</v>
      </c>
      <c r="D7744" t="s">
        <v>1</v>
      </c>
      <c r="E7744" t="s">
        <v>1</v>
      </c>
      <c r="F7744" t="s">
        <v>0</v>
      </c>
      <c r="G7744" t="str">
        <f>"2018-10-16 11:03:15"</f>
        <v>2018-10-16 11:03:15</v>
      </c>
    </row>
    <row r="7745" spans="1:7" x14ac:dyDescent="0.2">
      <c r="A7745" t="s">
        <v>1</v>
      </c>
      <c r="B7745" t="str">
        <f>"18921253033"</f>
        <v>18921253033</v>
      </c>
      <c r="C7745" t="s">
        <v>1</v>
      </c>
      <c r="D7745" t="s">
        <v>1</v>
      </c>
      <c r="E7745" t="s">
        <v>1</v>
      </c>
      <c r="F7745" t="s">
        <v>0</v>
      </c>
      <c r="G7745" t="str">
        <f>"2018-10-16 11:02:40"</f>
        <v>2018-10-16 11:02:40</v>
      </c>
    </row>
    <row r="7746" spans="1:7" x14ac:dyDescent="0.2">
      <c r="A7746" t="s">
        <v>8507</v>
      </c>
      <c r="B7746" t="str">
        <f>"18630026505"</f>
        <v>18630026505</v>
      </c>
      <c r="C7746" t="str">
        <f>"130404198908260914"</f>
        <v>130404198908260914</v>
      </c>
      <c r="D7746" t="s">
        <v>1</v>
      </c>
      <c r="E7746" t="s">
        <v>1</v>
      </c>
      <c r="F7746" t="s">
        <v>0</v>
      </c>
      <c r="G7746" t="str">
        <f>"2018-10-16 11:02:05"</f>
        <v>2018-10-16 11:02:05</v>
      </c>
    </row>
    <row r="7747" spans="1:7" x14ac:dyDescent="0.2">
      <c r="A7747" t="s">
        <v>8508</v>
      </c>
      <c r="B7747" t="str">
        <f>"13648111318"</f>
        <v>13648111318</v>
      </c>
      <c r="C7747" t="str">
        <f>"510722199907297832"</f>
        <v>510722199907297832</v>
      </c>
      <c r="D7747" t="s">
        <v>1</v>
      </c>
      <c r="E7747" t="s">
        <v>1</v>
      </c>
      <c r="F7747" t="s">
        <v>0</v>
      </c>
      <c r="G7747" t="str">
        <f>"2018-10-23 11:14:23"</f>
        <v>2018-10-23 11:14:23</v>
      </c>
    </row>
    <row r="7748" spans="1:7" x14ac:dyDescent="0.2">
      <c r="A7748" t="s">
        <v>8509</v>
      </c>
      <c r="B7748" t="str">
        <f>"18133927081"</f>
        <v>18133927081</v>
      </c>
      <c r="C7748" t="str">
        <f>"610111197807152858"</f>
        <v>610111197807152858</v>
      </c>
      <c r="D7748" t="s">
        <v>1</v>
      </c>
      <c r="E7748" t="s">
        <v>1</v>
      </c>
      <c r="F7748" t="s">
        <v>0</v>
      </c>
      <c r="G7748" t="str">
        <f>"2018-10-16 11:00:47"</f>
        <v>2018-10-16 11:00:47</v>
      </c>
    </row>
    <row r="7749" spans="1:7" x14ac:dyDescent="0.2">
      <c r="A7749" t="s">
        <v>8510</v>
      </c>
      <c r="B7749" t="str">
        <f>"18722915254"</f>
        <v>18722915254</v>
      </c>
      <c r="C7749" t="str">
        <f>"522224199901084616"</f>
        <v>522224199901084616</v>
      </c>
      <c r="D7749" t="s">
        <v>1</v>
      </c>
      <c r="E7749" t="s">
        <v>1</v>
      </c>
      <c r="F7749" t="s">
        <v>0</v>
      </c>
      <c r="G7749" t="str">
        <f>"2018-11-04 13:01:49"</f>
        <v>2018-11-04 13:01:49</v>
      </c>
    </row>
    <row r="7750" spans="1:7" x14ac:dyDescent="0.2">
      <c r="A7750" t="s">
        <v>1</v>
      </c>
      <c r="B7750" t="str">
        <f>"15943383683"</f>
        <v>15943383683</v>
      </c>
      <c r="C7750" t="s">
        <v>1</v>
      </c>
      <c r="D7750" t="s">
        <v>1</v>
      </c>
      <c r="E7750" t="s">
        <v>1</v>
      </c>
      <c r="F7750" t="s">
        <v>0</v>
      </c>
      <c r="G7750" t="str">
        <f>"2018-10-16 11:00:32"</f>
        <v>2018-10-16 11:00:32</v>
      </c>
    </row>
    <row r="7751" spans="1:7" x14ac:dyDescent="0.2">
      <c r="A7751" t="s">
        <v>8511</v>
      </c>
      <c r="B7751" t="str">
        <f>"13116793240"</f>
        <v>13116793240</v>
      </c>
      <c r="C7751" t="str">
        <f>"362330199003228537"</f>
        <v>362330199003228537</v>
      </c>
      <c r="D7751" t="s">
        <v>8512</v>
      </c>
      <c r="E7751" t="s">
        <v>8513</v>
      </c>
      <c r="F7751" t="s">
        <v>0</v>
      </c>
      <c r="G7751" t="str">
        <f>"2018-10-16 11:00:54"</f>
        <v>2018-10-16 11:00:54</v>
      </c>
    </row>
    <row r="7752" spans="1:7" x14ac:dyDescent="0.2">
      <c r="A7752" t="s">
        <v>8514</v>
      </c>
      <c r="B7752" t="str">
        <f>"17311281200"</f>
        <v>17311281200</v>
      </c>
      <c r="C7752" t="str">
        <f>"510402198405064717"</f>
        <v>510402198405064717</v>
      </c>
      <c r="D7752" t="s">
        <v>1</v>
      </c>
      <c r="E7752" t="s">
        <v>1</v>
      </c>
      <c r="F7752" t="s">
        <v>0</v>
      </c>
      <c r="G7752" t="str">
        <f>"2018-10-16 11:02:13"</f>
        <v>2018-10-16 11:02:13</v>
      </c>
    </row>
    <row r="7753" spans="1:7" x14ac:dyDescent="0.2">
      <c r="A7753" t="s">
        <v>1</v>
      </c>
      <c r="B7753" t="str">
        <f>"18084401080"</f>
        <v>18084401080</v>
      </c>
      <c r="C7753" t="s">
        <v>1</v>
      </c>
      <c r="D7753" t="s">
        <v>1</v>
      </c>
      <c r="E7753" t="s">
        <v>1</v>
      </c>
      <c r="F7753" t="s">
        <v>0</v>
      </c>
      <c r="G7753" t="str">
        <f>"2018-10-16 10:59:22"</f>
        <v>2018-10-16 10:59:22</v>
      </c>
    </row>
    <row r="7754" spans="1:7" x14ac:dyDescent="0.2">
      <c r="A7754" t="s">
        <v>14</v>
      </c>
      <c r="B7754" t="str">
        <f>"17688057844"</f>
        <v>17688057844</v>
      </c>
      <c r="C7754" t="str">
        <f>"220381199107264257"</f>
        <v>220381199107264257</v>
      </c>
      <c r="D7754" t="s">
        <v>1</v>
      </c>
      <c r="E7754" t="s">
        <v>1</v>
      </c>
      <c r="F7754" t="s">
        <v>0</v>
      </c>
      <c r="G7754" t="str">
        <f>"2018-10-16 11:00:38"</f>
        <v>2018-10-16 11:00:38</v>
      </c>
    </row>
    <row r="7755" spans="1:7" x14ac:dyDescent="0.2">
      <c r="A7755" t="s">
        <v>1194</v>
      </c>
      <c r="B7755" t="str">
        <f>"13924686929"</f>
        <v>13924686929</v>
      </c>
      <c r="C7755" t="str">
        <f>"421081199010225632"</f>
        <v>421081199010225632</v>
      </c>
      <c r="D7755" t="s">
        <v>1</v>
      </c>
      <c r="E7755" t="s">
        <v>1</v>
      </c>
      <c r="F7755" t="s">
        <v>0</v>
      </c>
      <c r="G7755" t="str">
        <f>"2018-10-16 11:04:18"</f>
        <v>2018-10-16 11:04:18</v>
      </c>
    </row>
    <row r="7756" spans="1:7" x14ac:dyDescent="0.2">
      <c r="A7756" t="s">
        <v>8515</v>
      </c>
      <c r="B7756" t="str">
        <f>"18006607077"</f>
        <v>18006607077</v>
      </c>
      <c r="C7756" t="str">
        <f>"330425197701066422"</f>
        <v>330425197701066422</v>
      </c>
      <c r="D7756" t="s">
        <v>1</v>
      </c>
      <c r="E7756" t="s">
        <v>1</v>
      </c>
      <c r="F7756" t="s">
        <v>0</v>
      </c>
      <c r="G7756" t="str">
        <f>"2018-10-16 10:59:54"</f>
        <v>2018-10-16 10:59:54</v>
      </c>
    </row>
    <row r="7757" spans="1:7" x14ac:dyDescent="0.2">
      <c r="A7757" t="s">
        <v>8516</v>
      </c>
      <c r="B7757" t="str">
        <f>"13320299645"</f>
        <v>13320299645</v>
      </c>
      <c r="C7757" t="str">
        <f>"130727199211034373"</f>
        <v>130727199211034373</v>
      </c>
      <c r="D7757" t="s">
        <v>8517</v>
      </c>
      <c r="E7757" t="s">
        <v>8518</v>
      </c>
      <c r="F7757" t="s">
        <v>0</v>
      </c>
      <c r="G7757" t="str">
        <f>"2018-10-18 15:26:12"</f>
        <v>2018-10-18 15:26:12</v>
      </c>
    </row>
    <row r="7758" spans="1:7" x14ac:dyDescent="0.2">
      <c r="A7758" t="s">
        <v>1</v>
      </c>
      <c r="B7758" t="str">
        <f>"13628520854"</f>
        <v>13628520854</v>
      </c>
      <c r="C7758" t="s">
        <v>1</v>
      </c>
      <c r="D7758" t="s">
        <v>1</v>
      </c>
      <c r="E7758" t="s">
        <v>1</v>
      </c>
      <c r="F7758" t="s">
        <v>0</v>
      </c>
      <c r="G7758" t="str">
        <f>"2018-10-17 22:10:49"</f>
        <v>2018-10-17 22:10:49</v>
      </c>
    </row>
    <row r="7759" spans="1:7" x14ac:dyDescent="0.2">
      <c r="A7759" t="s">
        <v>8519</v>
      </c>
      <c r="B7759" t="str">
        <f>"13166208973"</f>
        <v>13166208973</v>
      </c>
      <c r="C7759" t="str">
        <f>"622724199209180119"</f>
        <v>622724199209180119</v>
      </c>
      <c r="D7759" t="s">
        <v>1</v>
      </c>
      <c r="E7759" t="s">
        <v>1</v>
      </c>
      <c r="F7759" t="s">
        <v>0</v>
      </c>
      <c r="G7759" t="str">
        <f>"2018-10-16 11:02:33"</f>
        <v>2018-10-16 11:02:33</v>
      </c>
    </row>
    <row r="7760" spans="1:7" x14ac:dyDescent="0.2">
      <c r="A7760" t="s">
        <v>8520</v>
      </c>
      <c r="B7760" t="str">
        <f>"18979500489"</f>
        <v>18979500489</v>
      </c>
      <c r="C7760" t="str">
        <f>"362233199512284418"</f>
        <v>362233199512284418</v>
      </c>
      <c r="D7760" t="s">
        <v>1</v>
      </c>
      <c r="E7760" t="s">
        <v>1</v>
      </c>
      <c r="F7760" t="s">
        <v>0</v>
      </c>
      <c r="G7760" t="str">
        <f>"2018-10-16 13:05:16"</f>
        <v>2018-10-16 13:05:16</v>
      </c>
    </row>
    <row r="7761" spans="1:7" x14ac:dyDescent="0.2">
      <c r="A7761" t="s">
        <v>8521</v>
      </c>
      <c r="B7761" t="str">
        <f>"18981914824"</f>
        <v>18981914824</v>
      </c>
      <c r="C7761" t="str">
        <f>"510125199401163518"</f>
        <v>510125199401163518</v>
      </c>
      <c r="D7761" t="s">
        <v>1</v>
      </c>
      <c r="E7761" t="s">
        <v>1</v>
      </c>
      <c r="F7761" t="s">
        <v>0</v>
      </c>
      <c r="G7761" t="str">
        <f>"2018-10-16 13:33:45"</f>
        <v>2018-10-16 13:33:45</v>
      </c>
    </row>
    <row r="7762" spans="1:7" x14ac:dyDescent="0.2">
      <c r="A7762" t="s">
        <v>8522</v>
      </c>
      <c r="B7762" t="str">
        <f>"13841067171"</f>
        <v>13841067171</v>
      </c>
      <c r="C7762" t="str">
        <f>"21122119900714241X"</f>
        <v>21122119900714241X</v>
      </c>
      <c r="D7762" t="s">
        <v>1</v>
      </c>
      <c r="E7762" t="s">
        <v>1</v>
      </c>
      <c r="F7762" t="s">
        <v>0</v>
      </c>
      <c r="G7762" t="str">
        <f>"2018-11-01 11:15:11"</f>
        <v>2018-11-01 11:15:11</v>
      </c>
    </row>
    <row r="7763" spans="1:7" x14ac:dyDescent="0.2">
      <c r="A7763" t="s">
        <v>8523</v>
      </c>
      <c r="B7763" t="str">
        <f>"17638151686"</f>
        <v>17638151686</v>
      </c>
      <c r="C7763" t="str">
        <f>"410481199110140512"</f>
        <v>410481199110140512</v>
      </c>
      <c r="D7763" t="s">
        <v>8524</v>
      </c>
      <c r="E7763" t="s">
        <v>8525</v>
      </c>
      <c r="F7763" t="s">
        <v>0</v>
      </c>
      <c r="G7763" t="str">
        <f>"2018-10-16 13:11:50"</f>
        <v>2018-10-16 13:11:50</v>
      </c>
    </row>
    <row r="7764" spans="1:7" x14ac:dyDescent="0.2">
      <c r="A7764" t="s">
        <v>8526</v>
      </c>
      <c r="B7764" t="str">
        <f>"13782810509"</f>
        <v>13782810509</v>
      </c>
      <c r="C7764" t="str">
        <f>"410802199702190018"</f>
        <v>410802199702190018</v>
      </c>
      <c r="D7764" t="s">
        <v>1</v>
      </c>
      <c r="E7764" t="s">
        <v>1</v>
      </c>
      <c r="F7764" t="s">
        <v>0</v>
      </c>
      <c r="G7764" t="str">
        <f>"2018-10-26 21:40:11"</f>
        <v>2018-10-26 21:40:11</v>
      </c>
    </row>
    <row r="7765" spans="1:7" x14ac:dyDescent="0.2">
      <c r="A7765" t="s">
        <v>8527</v>
      </c>
      <c r="B7765" t="str">
        <f>"13761010133"</f>
        <v>13761010133</v>
      </c>
      <c r="C7765" t="str">
        <f>"310108199006162036"</f>
        <v>310108199006162036</v>
      </c>
      <c r="D7765" t="s">
        <v>8528</v>
      </c>
      <c r="E7765" t="s">
        <v>8529</v>
      </c>
      <c r="F7765" t="s">
        <v>0</v>
      </c>
      <c r="G7765" t="str">
        <f>"2018-10-16 10:58:39"</f>
        <v>2018-10-16 10:58:39</v>
      </c>
    </row>
    <row r="7766" spans="1:7" x14ac:dyDescent="0.2">
      <c r="A7766" t="s">
        <v>8530</v>
      </c>
      <c r="B7766" t="str">
        <f>"15394408485"</f>
        <v>15394408485</v>
      </c>
      <c r="C7766" t="str">
        <f>"350824199304105879"</f>
        <v>350824199304105879</v>
      </c>
      <c r="D7766" t="s">
        <v>1</v>
      </c>
      <c r="E7766" t="s">
        <v>1</v>
      </c>
      <c r="F7766" t="s">
        <v>0</v>
      </c>
      <c r="G7766" t="str">
        <f>"2018-10-16 17:41:56"</f>
        <v>2018-10-16 17:41:56</v>
      </c>
    </row>
    <row r="7767" spans="1:7" x14ac:dyDescent="0.2">
      <c r="A7767" t="s">
        <v>1</v>
      </c>
      <c r="B7767" t="str">
        <f>"15947520233"</f>
        <v>15947520233</v>
      </c>
      <c r="C7767" t="s">
        <v>1</v>
      </c>
      <c r="D7767" t="s">
        <v>1</v>
      </c>
      <c r="E7767" t="s">
        <v>1</v>
      </c>
      <c r="F7767" t="s">
        <v>0</v>
      </c>
      <c r="G7767" t="str">
        <f>"2018-10-16 10:57:13"</f>
        <v>2018-10-16 10:57:13</v>
      </c>
    </row>
    <row r="7768" spans="1:7" x14ac:dyDescent="0.2">
      <c r="A7768" t="s">
        <v>8531</v>
      </c>
      <c r="B7768" t="str">
        <f>"15951592832"</f>
        <v>15951592832</v>
      </c>
      <c r="C7768" t="str">
        <f>"321302198311170412"</f>
        <v>321302198311170412</v>
      </c>
      <c r="D7768" t="s">
        <v>1</v>
      </c>
      <c r="E7768" t="s">
        <v>1</v>
      </c>
      <c r="F7768" t="s">
        <v>0</v>
      </c>
      <c r="G7768" t="str">
        <f>"2018-10-16 11:00:09"</f>
        <v>2018-10-16 11:00:09</v>
      </c>
    </row>
    <row r="7769" spans="1:7" x14ac:dyDescent="0.2">
      <c r="A7769" t="s">
        <v>1</v>
      </c>
      <c r="B7769" t="str">
        <f>"17769218900"</f>
        <v>17769218900</v>
      </c>
      <c r="C7769" t="s">
        <v>1</v>
      </c>
      <c r="D7769" t="s">
        <v>1</v>
      </c>
      <c r="E7769" t="s">
        <v>1</v>
      </c>
      <c r="F7769" t="s">
        <v>0</v>
      </c>
      <c r="G7769" t="str">
        <f>"2018-10-16 10:56:57"</f>
        <v>2018-10-16 10:56:57</v>
      </c>
    </row>
    <row r="7770" spans="1:7" x14ac:dyDescent="0.2">
      <c r="A7770" t="s">
        <v>8532</v>
      </c>
      <c r="B7770" t="str">
        <f>"13511718565"</f>
        <v>13511718565</v>
      </c>
      <c r="C7770" t="str">
        <f>"321088198907231048"</f>
        <v>321088198907231048</v>
      </c>
      <c r="D7770" t="s">
        <v>1</v>
      </c>
      <c r="E7770" t="s">
        <v>1</v>
      </c>
      <c r="F7770" t="s">
        <v>0</v>
      </c>
      <c r="G7770" t="str">
        <f>"2018-10-23 10:32:22"</f>
        <v>2018-10-23 10:32:22</v>
      </c>
    </row>
    <row r="7771" spans="1:7" x14ac:dyDescent="0.2">
      <c r="A7771" t="s">
        <v>8533</v>
      </c>
      <c r="B7771" t="str">
        <f>"15984915783"</f>
        <v>15984915783</v>
      </c>
      <c r="C7771" t="str">
        <f>"510681199212021842"</f>
        <v>510681199212021842</v>
      </c>
      <c r="D7771" t="s">
        <v>1</v>
      </c>
      <c r="E7771" t="s">
        <v>1</v>
      </c>
      <c r="F7771" t="s">
        <v>0</v>
      </c>
      <c r="G7771" t="str">
        <f>"2018-10-16 11:05:09"</f>
        <v>2018-10-16 11:05:09</v>
      </c>
    </row>
    <row r="7772" spans="1:7" x14ac:dyDescent="0.2">
      <c r="A7772" t="s">
        <v>8534</v>
      </c>
      <c r="B7772" t="str">
        <f>"18995202255"</f>
        <v>18995202255</v>
      </c>
      <c r="C7772" t="str">
        <f>"64020319790320003X"</f>
        <v>64020319790320003X</v>
      </c>
      <c r="D7772" t="s">
        <v>1</v>
      </c>
      <c r="E7772" t="s">
        <v>1</v>
      </c>
      <c r="F7772" t="s">
        <v>0</v>
      </c>
      <c r="G7772" t="str">
        <f>"2018-10-17 13:45:03"</f>
        <v>2018-10-17 13:45:03</v>
      </c>
    </row>
    <row r="7773" spans="1:7" x14ac:dyDescent="0.2">
      <c r="A7773" t="s">
        <v>8535</v>
      </c>
      <c r="B7773" t="str">
        <f>"13066261430"</f>
        <v>13066261430</v>
      </c>
      <c r="C7773" t="str">
        <f>"430421199009283858"</f>
        <v>430421199009283858</v>
      </c>
      <c r="D7773" t="s">
        <v>1</v>
      </c>
      <c r="E7773" t="s">
        <v>1</v>
      </c>
      <c r="F7773" t="s">
        <v>0</v>
      </c>
      <c r="G7773" t="str">
        <f>"2018-10-16 10:57:53"</f>
        <v>2018-10-16 10:57:53</v>
      </c>
    </row>
    <row r="7774" spans="1:7" x14ac:dyDescent="0.2">
      <c r="A7774" t="s">
        <v>8536</v>
      </c>
      <c r="B7774" t="str">
        <f>"13350423519"</f>
        <v>13350423519</v>
      </c>
      <c r="C7774" t="str">
        <f>"513101199209040317"</f>
        <v>513101199209040317</v>
      </c>
      <c r="D7774" t="s">
        <v>1</v>
      </c>
      <c r="E7774" t="s">
        <v>1</v>
      </c>
      <c r="F7774" t="s">
        <v>0</v>
      </c>
      <c r="G7774" t="str">
        <f>"2018-10-26 09:56:42"</f>
        <v>2018-10-26 09:56:42</v>
      </c>
    </row>
    <row r="7775" spans="1:7" x14ac:dyDescent="0.2">
      <c r="A7775" t="s">
        <v>8537</v>
      </c>
      <c r="B7775" t="str">
        <f>"13637981270"</f>
        <v>13637981270</v>
      </c>
      <c r="C7775" t="str">
        <f>"500234198703270023"</f>
        <v>500234198703270023</v>
      </c>
      <c r="D7775" t="s">
        <v>1</v>
      </c>
      <c r="E7775" t="s">
        <v>1</v>
      </c>
      <c r="F7775" t="s">
        <v>0</v>
      </c>
      <c r="G7775" t="str">
        <f>"2018-10-16 10:58:41"</f>
        <v>2018-10-16 10:58:41</v>
      </c>
    </row>
    <row r="7776" spans="1:7" x14ac:dyDescent="0.2">
      <c r="A7776" t="s">
        <v>1</v>
      </c>
      <c r="B7776" t="str">
        <f>"13995736230"</f>
        <v>13995736230</v>
      </c>
      <c r="C7776" t="s">
        <v>1</v>
      </c>
      <c r="D7776" t="s">
        <v>1</v>
      </c>
      <c r="E7776" t="s">
        <v>1</v>
      </c>
      <c r="F7776" t="s">
        <v>0</v>
      </c>
      <c r="G7776" t="str">
        <f>"2018-10-16 10:58:59"</f>
        <v>2018-10-16 10:58:59</v>
      </c>
    </row>
    <row r="7777" spans="1:7" x14ac:dyDescent="0.2">
      <c r="A7777" t="s">
        <v>1623</v>
      </c>
      <c r="B7777" t="str">
        <f>"13519182521"</f>
        <v>13519182521</v>
      </c>
      <c r="C7777" t="str">
        <f>"610422197909073232"</f>
        <v>610422197909073232</v>
      </c>
      <c r="D7777" t="s">
        <v>1</v>
      </c>
      <c r="E7777" t="s">
        <v>1</v>
      </c>
      <c r="F7777" t="s">
        <v>0</v>
      </c>
      <c r="G7777" t="str">
        <f>"2018-10-18 15:54:12"</f>
        <v>2018-10-18 15:54:12</v>
      </c>
    </row>
    <row r="7778" spans="1:7" x14ac:dyDescent="0.2">
      <c r="A7778" t="s">
        <v>8538</v>
      </c>
      <c r="B7778" t="str">
        <f>"13776794512"</f>
        <v>13776794512</v>
      </c>
      <c r="C7778" t="str">
        <f>"320311198608114329"</f>
        <v>320311198608114329</v>
      </c>
      <c r="D7778" t="s">
        <v>1</v>
      </c>
      <c r="E7778" t="s">
        <v>1</v>
      </c>
      <c r="F7778" t="s">
        <v>0</v>
      </c>
      <c r="G7778" t="str">
        <f>"2018-10-23 10:57:59"</f>
        <v>2018-10-23 10:57:59</v>
      </c>
    </row>
    <row r="7779" spans="1:7" x14ac:dyDescent="0.2">
      <c r="A7779" t="s">
        <v>8539</v>
      </c>
      <c r="B7779" t="str">
        <f>"13997074633"</f>
        <v>13997074633</v>
      </c>
      <c r="C7779" t="str">
        <f>"63222319910518042X"</f>
        <v>63222319910518042X</v>
      </c>
      <c r="D7779" t="s">
        <v>8540</v>
      </c>
      <c r="E7779" t="s">
        <v>8541</v>
      </c>
      <c r="F7779" t="s">
        <v>0</v>
      </c>
      <c r="G7779" t="str">
        <f>"2018-10-25 21:06:57"</f>
        <v>2018-10-25 21:06:57</v>
      </c>
    </row>
    <row r="7780" spans="1:7" x14ac:dyDescent="0.2">
      <c r="A7780" t="s">
        <v>298</v>
      </c>
      <c r="B7780" t="str">
        <f>"18123097619"</f>
        <v>18123097619</v>
      </c>
      <c r="C7780" t="str">
        <f>"511024199606242550"</f>
        <v>511024199606242550</v>
      </c>
      <c r="D7780" t="s">
        <v>1</v>
      </c>
      <c r="E7780" t="s">
        <v>1</v>
      </c>
      <c r="F7780" t="s">
        <v>0</v>
      </c>
      <c r="G7780" t="str">
        <f>"2018-10-16 10:55:48"</f>
        <v>2018-10-16 10:55:48</v>
      </c>
    </row>
    <row r="7781" spans="1:7" x14ac:dyDescent="0.2">
      <c r="A7781" t="s">
        <v>8542</v>
      </c>
      <c r="B7781" t="str">
        <f>"15303335000"</f>
        <v>15303335000</v>
      </c>
      <c r="C7781" t="str">
        <f>"130726199103163518"</f>
        <v>130726199103163518</v>
      </c>
      <c r="D7781" t="s">
        <v>8543</v>
      </c>
      <c r="E7781" t="s">
        <v>8544</v>
      </c>
      <c r="F7781" t="s">
        <v>0</v>
      </c>
      <c r="G7781" t="str">
        <f>"2018-10-17 07:23:03"</f>
        <v>2018-10-17 07:23:03</v>
      </c>
    </row>
    <row r="7782" spans="1:7" x14ac:dyDescent="0.2">
      <c r="A7782" t="s">
        <v>134</v>
      </c>
      <c r="B7782" t="str">
        <f>"13688337030"</f>
        <v>13688337030</v>
      </c>
      <c r="C7782" t="str">
        <f>"620523198403240396"</f>
        <v>620523198403240396</v>
      </c>
      <c r="D7782" t="s">
        <v>1</v>
      </c>
      <c r="E7782" t="s">
        <v>1</v>
      </c>
      <c r="F7782" t="s">
        <v>0</v>
      </c>
      <c r="G7782" t="str">
        <f>"2018-10-23 13:33:41"</f>
        <v>2018-10-23 13:33:41</v>
      </c>
    </row>
    <row r="7783" spans="1:7" x14ac:dyDescent="0.2">
      <c r="A7783" t="s">
        <v>1</v>
      </c>
      <c r="B7783" t="str">
        <f>"15871127748"</f>
        <v>15871127748</v>
      </c>
      <c r="C7783" t="s">
        <v>1</v>
      </c>
      <c r="D7783" t="s">
        <v>1</v>
      </c>
      <c r="E7783" t="s">
        <v>1</v>
      </c>
      <c r="F7783" t="s">
        <v>0</v>
      </c>
      <c r="G7783" t="str">
        <f>"2018-10-16 10:56:11"</f>
        <v>2018-10-16 10:56:11</v>
      </c>
    </row>
    <row r="7784" spans="1:7" x14ac:dyDescent="0.2">
      <c r="A7784" t="s">
        <v>8545</v>
      </c>
      <c r="B7784" t="str">
        <f>"18109082985"</f>
        <v>18109082985</v>
      </c>
      <c r="C7784" t="str">
        <f>"510822199106262977"</f>
        <v>510822199106262977</v>
      </c>
      <c r="D7784" t="s">
        <v>8546</v>
      </c>
      <c r="E7784" t="s">
        <v>8547</v>
      </c>
      <c r="F7784" t="s">
        <v>0</v>
      </c>
      <c r="G7784" t="str">
        <f>"2018-10-16 10:54:41"</f>
        <v>2018-10-16 10:54:41</v>
      </c>
    </row>
    <row r="7785" spans="1:7" x14ac:dyDescent="0.2">
      <c r="A7785" t="s">
        <v>8548</v>
      </c>
      <c r="B7785" t="str">
        <f>"18316806631"</f>
        <v>18316806631</v>
      </c>
      <c r="C7785" t="str">
        <f>"441623198404172041"</f>
        <v>441623198404172041</v>
      </c>
      <c r="D7785" t="s">
        <v>1</v>
      </c>
      <c r="E7785" t="s">
        <v>1</v>
      </c>
      <c r="F7785" t="s">
        <v>0</v>
      </c>
      <c r="G7785" t="str">
        <f>"2018-10-16 10:59:32"</f>
        <v>2018-10-16 10:59:32</v>
      </c>
    </row>
    <row r="7786" spans="1:7" x14ac:dyDescent="0.2">
      <c r="A7786" t="s">
        <v>1</v>
      </c>
      <c r="B7786" t="str">
        <f>"15073130310"</f>
        <v>15073130310</v>
      </c>
      <c r="C7786" t="s">
        <v>1</v>
      </c>
      <c r="D7786" t="s">
        <v>1</v>
      </c>
      <c r="E7786" t="s">
        <v>1</v>
      </c>
      <c r="F7786" t="s">
        <v>0</v>
      </c>
      <c r="G7786" t="str">
        <f>"2018-10-16 10:53:32"</f>
        <v>2018-10-16 10:53:32</v>
      </c>
    </row>
    <row r="7787" spans="1:7" x14ac:dyDescent="0.2">
      <c r="A7787" t="s">
        <v>8549</v>
      </c>
      <c r="B7787" t="str">
        <f>"13834498702"</f>
        <v>13834498702</v>
      </c>
      <c r="C7787" t="str">
        <f>"142230198408046327"</f>
        <v>142230198408046327</v>
      </c>
      <c r="D7787" t="s">
        <v>1</v>
      </c>
      <c r="E7787" t="s">
        <v>1</v>
      </c>
      <c r="F7787" t="s">
        <v>0</v>
      </c>
      <c r="G7787" t="str">
        <f>"2018-10-16 10:53:32"</f>
        <v>2018-10-16 10:53:32</v>
      </c>
    </row>
    <row r="7788" spans="1:7" x14ac:dyDescent="0.2">
      <c r="A7788" t="s">
        <v>8550</v>
      </c>
      <c r="B7788" t="str">
        <f>"13751042503"</f>
        <v>13751042503</v>
      </c>
      <c r="C7788" t="str">
        <f>"352625197108173813"</f>
        <v>352625197108173813</v>
      </c>
      <c r="D7788" t="s">
        <v>1</v>
      </c>
      <c r="E7788" t="s">
        <v>1</v>
      </c>
      <c r="F7788" t="s">
        <v>0</v>
      </c>
      <c r="G7788" t="str">
        <f>"2018-10-16 10:53:31"</f>
        <v>2018-10-16 10:53:31</v>
      </c>
    </row>
    <row r="7789" spans="1:7" x14ac:dyDescent="0.2">
      <c r="A7789" t="s">
        <v>1</v>
      </c>
      <c r="B7789" t="str">
        <f>"18586349586"</f>
        <v>18586349586</v>
      </c>
      <c r="C7789" t="s">
        <v>1</v>
      </c>
      <c r="D7789" t="s">
        <v>1</v>
      </c>
      <c r="E7789" t="s">
        <v>1</v>
      </c>
      <c r="F7789" t="s">
        <v>0</v>
      </c>
      <c r="G7789" t="str">
        <f>"2018-10-16 11:05:14"</f>
        <v>2018-10-16 11:05:14</v>
      </c>
    </row>
    <row r="7790" spans="1:7" x14ac:dyDescent="0.2">
      <c r="A7790" t="s">
        <v>8551</v>
      </c>
      <c r="B7790" t="str">
        <f>"18584445857"</f>
        <v>18584445857</v>
      </c>
      <c r="C7790" t="str">
        <f>"522125199011031011"</f>
        <v>522125199011031011</v>
      </c>
      <c r="D7790" t="s">
        <v>1</v>
      </c>
      <c r="E7790" t="s">
        <v>1</v>
      </c>
      <c r="F7790" t="s">
        <v>0</v>
      </c>
      <c r="G7790" t="str">
        <f>"2018-10-17 22:09:16"</f>
        <v>2018-10-17 22:09:16</v>
      </c>
    </row>
    <row r="7791" spans="1:7" x14ac:dyDescent="0.2">
      <c r="A7791" t="s">
        <v>8552</v>
      </c>
      <c r="B7791" t="str">
        <f>"15162839722"</f>
        <v>15162839722</v>
      </c>
      <c r="C7791" t="str">
        <f>"32068219830810645X"</f>
        <v>32068219830810645X</v>
      </c>
      <c r="D7791" t="s">
        <v>1</v>
      </c>
      <c r="E7791" t="s">
        <v>1</v>
      </c>
      <c r="F7791" t="s">
        <v>0</v>
      </c>
      <c r="G7791" t="str">
        <f>"2018-10-16 10:52:59"</f>
        <v>2018-10-16 10:52:59</v>
      </c>
    </row>
    <row r="7792" spans="1:7" x14ac:dyDescent="0.2">
      <c r="A7792" t="s">
        <v>8553</v>
      </c>
      <c r="B7792" t="str">
        <f>"13976334673"</f>
        <v>13976334673</v>
      </c>
      <c r="C7792" t="str">
        <f>"460006199108032018"</f>
        <v>460006199108032018</v>
      </c>
      <c r="D7792" t="s">
        <v>8554</v>
      </c>
      <c r="E7792" t="s">
        <v>8555</v>
      </c>
      <c r="F7792" t="s">
        <v>0</v>
      </c>
      <c r="G7792" t="str">
        <f>"2018-10-16 10:52:31"</f>
        <v>2018-10-16 10:52:31</v>
      </c>
    </row>
    <row r="7793" spans="1:7" x14ac:dyDescent="0.2">
      <c r="A7793" t="s">
        <v>8556</v>
      </c>
      <c r="B7793" t="str">
        <f>"18457912387"</f>
        <v>18457912387</v>
      </c>
      <c r="C7793" t="str">
        <f>"330702199609035018"</f>
        <v>330702199609035018</v>
      </c>
      <c r="D7793" t="s">
        <v>1</v>
      </c>
      <c r="E7793" t="s">
        <v>1</v>
      </c>
      <c r="F7793" t="s">
        <v>0</v>
      </c>
      <c r="G7793" t="str">
        <f>"2018-10-16 10:52:28"</f>
        <v>2018-10-16 10:52:28</v>
      </c>
    </row>
    <row r="7794" spans="1:7" x14ac:dyDescent="0.2">
      <c r="A7794" t="s">
        <v>8557</v>
      </c>
      <c r="B7794" t="str">
        <f>"18356538584"</f>
        <v>18356538584</v>
      </c>
      <c r="C7794" t="str">
        <f>"340123199108018413"</f>
        <v>340123199108018413</v>
      </c>
      <c r="D7794" t="s">
        <v>1</v>
      </c>
      <c r="E7794" t="s">
        <v>1</v>
      </c>
      <c r="F7794" t="s">
        <v>0</v>
      </c>
      <c r="G7794" t="str">
        <f>"2018-10-23 11:18:43"</f>
        <v>2018-10-23 11:18:43</v>
      </c>
    </row>
    <row r="7795" spans="1:7" x14ac:dyDescent="0.2">
      <c r="A7795" t="s">
        <v>1</v>
      </c>
      <c r="B7795" t="str">
        <f>"14781496484"</f>
        <v>14781496484</v>
      </c>
      <c r="C7795" t="s">
        <v>1</v>
      </c>
      <c r="D7795" t="s">
        <v>1</v>
      </c>
      <c r="E7795" t="s">
        <v>1</v>
      </c>
      <c r="F7795" t="s">
        <v>0</v>
      </c>
      <c r="G7795" t="str">
        <f>"2018-10-16 10:50:52"</f>
        <v>2018-10-16 10:50:52</v>
      </c>
    </row>
    <row r="7796" spans="1:7" x14ac:dyDescent="0.2">
      <c r="A7796" t="s">
        <v>8558</v>
      </c>
      <c r="B7796" t="str">
        <f>"15753810057"</f>
        <v>15753810057</v>
      </c>
      <c r="C7796" t="str">
        <f>"370911198709086832"</f>
        <v>370911198709086832</v>
      </c>
      <c r="D7796" t="s">
        <v>1</v>
      </c>
      <c r="E7796" t="s">
        <v>1</v>
      </c>
      <c r="F7796" t="s">
        <v>0</v>
      </c>
      <c r="G7796" t="str">
        <f>"2018-10-16 10:54:34"</f>
        <v>2018-10-16 10:54:34</v>
      </c>
    </row>
    <row r="7797" spans="1:7" x14ac:dyDescent="0.2">
      <c r="A7797" t="s">
        <v>8559</v>
      </c>
      <c r="B7797" t="str">
        <f>"18588845987"</f>
        <v>18588845987</v>
      </c>
      <c r="C7797" t="str">
        <f>"360312198409161521"</f>
        <v>360312198409161521</v>
      </c>
      <c r="D7797" t="s">
        <v>1</v>
      </c>
      <c r="E7797" t="s">
        <v>1</v>
      </c>
      <c r="F7797" t="s">
        <v>0</v>
      </c>
      <c r="G7797" t="str">
        <f>"2018-10-16 11:01:43"</f>
        <v>2018-10-16 11:01:43</v>
      </c>
    </row>
    <row r="7798" spans="1:7" x14ac:dyDescent="0.2">
      <c r="A7798" t="s">
        <v>8560</v>
      </c>
      <c r="B7798" t="str">
        <f>"17681169335"</f>
        <v>17681169335</v>
      </c>
      <c r="C7798" t="str">
        <f>"340123198412271654"</f>
        <v>340123198412271654</v>
      </c>
      <c r="D7798" t="s">
        <v>1</v>
      </c>
      <c r="E7798" t="s">
        <v>1</v>
      </c>
      <c r="F7798" t="s">
        <v>0</v>
      </c>
      <c r="G7798" t="str">
        <f>"2018-10-16 10:53:12"</f>
        <v>2018-10-16 10:53:12</v>
      </c>
    </row>
    <row r="7799" spans="1:7" x14ac:dyDescent="0.2">
      <c r="A7799" t="s">
        <v>8561</v>
      </c>
      <c r="B7799" t="str">
        <f>"17862913903"</f>
        <v>17862913903</v>
      </c>
      <c r="C7799" t="str">
        <f>"642223199503161410"</f>
        <v>642223199503161410</v>
      </c>
      <c r="D7799" t="s">
        <v>1</v>
      </c>
      <c r="E7799" t="s">
        <v>1</v>
      </c>
      <c r="F7799" t="s">
        <v>0</v>
      </c>
      <c r="G7799" t="str">
        <f>"2018-10-17 00:18:06"</f>
        <v>2018-10-17 00:18:06</v>
      </c>
    </row>
    <row r="7800" spans="1:7" x14ac:dyDescent="0.2">
      <c r="A7800" t="s">
        <v>8562</v>
      </c>
      <c r="B7800" t="str">
        <f>"13935887443"</f>
        <v>13935887443</v>
      </c>
      <c r="C7800" t="str">
        <f>"14232819831221051X"</f>
        <v>14232819831221051X</v>
      </c>
      <c r="D7800" t="s">
        <v>1</v>
      </c>
      <c r="E7800" t="s">
        <v>1</v>
      </c>
      <c r="F7800" t="s">
        <v>0</v>
      </c>
      <c r="G7800" t="str">
        <f>"2018-10-16 11:17:43"</f>
        <v>2018-10-16 11:17:43</v>
      </c>
    </row>
    <row r="7801" spans="1:7" x14ac:dyDescent="0.2">
      <c r="A7801" t="s">
        <v>8563</v>
      </c>
      <c r="B7801" t="str">
        <f>"18992724086"</f>
        <v>18992724086</v>
      </c>
      <c r="C7801" t="str">
        <f>"610330196501311225"</f>
        <v>610330196501311225</v>
      </c>
      <c r="D7801" t="s">
        <v>1</v>
      </c>
      <c r="E7801" t="s">
        <v>1</v>
      </c>
      <c r="F7801" t="s">
        <v>0</v>
      </c>
      <c r="G7801" t="str">
        <f>"2018-10-16 10:51:37"</f>
        <v>2018-10-16 10:51:37</v>
      </c>
    </row>
    <row r="7802" spans="1:7" x14ac:dyDescent="0.2">
      <c r="A7802" t="s">
        <v>8564</v>
      </c>
      <c r="B7802" t="str">
        <f>"13349358848"</f>
        <v>13349358848</v>
      </c>
      <c r="C7802" t="str">
        <f>"232301199403050327"</f>
        <v>232301199403050327</v>
      </c>
      <c r="D7802" t="s">
        <v>1</v>
      </c>
      <c r="E7802" t="s">
        <v>1</v>
      </c>
      <c r="F7802" t="s">
        <v>0</v>
      </c>
      <c r="G7802" t="str">
        <f>"2018-10-16 10:50:22"</f>
        <v>2018-10-16 10:50:22</v>
      </c>
    </row>
    <row r="7803" spans="1:7" x14ac:dyDescent="0.2">
      <c r="A7803" t="s">
        <v>1041</v>
      </c>
      <c r="B7803" t="str">
        <f>"13502655040"</f>
        <v>13502655040</v>
      </c>
      <c r="C7803" t="str">
        <f>"445202198612280370"</f>
        <v>445202198612280370</v>
      </c>
      <c r="D7803" t="s">
        <v>1</v>
      </c>
      <c r="E7803" t="s">
        <v>1</v>
      </c>
      <c r="F7803" t="s">
        <v>0</v>
      </c>
      <c r="G7803" t="str">
        <f>"2018-10-23 18:59:43"</f>
        <v>2018-10-23 18:59:43</v>
      </c>
    </row>
    <row r="7804" spans="1:7" x14ac:dyDescent="0.2">
      <c r="A7804" t="s">
        <v>1</v>
      </c>
      <c r="B7804" t="str">
        <f>"13705036124"</f>
        <v>13705036124</v>
      </c>
      <c r="C7804" t="s">
        <v>1</v>
      </c>
      <c r="D7804" t="s">
        <v>1</v>
      </c>
      <c r="E7804" t="s">
        <v>1</v>
      </c>
      <c r="F7804" t="s">
        <v>0</v>
      </c>
      <c r="G7804" t="str">
        <f>"2018-10-25 14:07:21"</f>
        <v>2018-10-25 14:07:21</v>
      </c>
    </row>
    <row r="7805" spans="1:7" x14ac:dyDescent="0.2">
      <c r="A7805" t="s">
        <v>1</v>
      </c>
      <c r="B7805" t="str">
        <f>"13728107531"</f>
        <v>13728107531</v>
      </c>
      <c r="C7805" t="s">
        <v>1</v>
      </c>
      <c r="D7805" t="s">
        <v>1</v>
      </c>
      <c r="E7805" t="s">
        <v>1</v>
      </c>
      <c r="F7805" t="s">
        <v>0</v>
      </c>
      <c r="G7805" t="str">
        <f>"2018-10-16 10:48:45"</f>
        <v>2018-10-16 10:48:45</v>
      </c>
    </row>
    <row r="7806" spans="1:7" x14ac:dyDescent="0.2">
      <c r="A7806" t="s">
        <v>8565</v>
      </c>
      <c r="B7806" t="str">
        <f>"15271391588"</f>
        <v>15271391588</v>
      </c>
      <c r="C7806" t="str">
        <f>"420324198307272759"</f>
        <v>420324198307272759</v>
      </c>
      <c r="D7806" t="s">
        <v>1</v>
      </c>
      <c r="E7806" t="s">
        <v>1</v>
      </c>
      <c r="F7806" t="s">
        <v>0</v>
      </c>
      <c r="G7806" t="str">
        <f>"2018-10-16 10:49:48"</f>
        <v>2018-10-16 10:49:48</v>
      </c>
    </row>
    <row r="7807" spans="1:7" x14ac:dyDescent="0.2">
      <c r="A7807" t="s">
        <v>1</v>
      </c>
      <c r="B7807" t="str">
        <f>"18972926107"</f>
        <v>18972926107</v>
      </c>
      <c r="C7807" t="s">
        <v>1</v>
      </c>
      <c r="D7807" t="s">
        <v>1</v>
      </c>
      <c r="E7807" t="s">
        <v>1</v>
      </c>
      <c r="F7807" t="s">
        <v>0</v>
      </c>
      <c r="G7807" t="str">
        <f>"2018-10-16 10:48:39"</f>
        <v>2018-10-16 10:48:39</v>
      </c>
    </row>
    <row r="7808" spans="1:7" x14ac:dyDescent="0.2">
      <c r="A7808" t="s">
        <v>1</v>
      </c>
      <c r="B7808" t="str">
        <f>"18101222039"</f>
        <v>18101222039</v>
      </c>
      <c r="C7808" t="s">
        <v>1</v>
      </c>
      <c r="D7808" t="s">
        <v>1</v>
      </c>
      <c r="E7808" t="s">
        <v>1</v>
      </c>
      <c r="F7808" t="s">
        <v>0</v>
      </c>
      <c r="G7808" t="str">
        <f>"2018-10-16 10:48:33"</f>
        <v>2018-10-16 10:48:33</v>
      </c>
    </row>
    <row r="7809" spans="1:7" x14ac:dyDescent="0.2">
      <c r="A7809" t="s">
        <v>8566</v>
      </c>
      <c r="B7809" t="str">
        <f>"13585409283"</f>
        <v>13585409283</v>
      </c>
      <c r="C7809" t="str">
        <f>"320482198001115617"</f>
        <v>320482198001115617</v>
      </c>
      <c r="D7809" t="s">
        <v>1</v>
      </c>
      <c r="E7809" t="s">
        <v>1</v>
      </c>
      <c r="F7809" t="s">
        <v>0</v>
      </c>
      <c r="G7809" t="str">
        <f>"2018-10-16 10:50:12"</f>
        <v>2018-10-16 10:50:12</v>
      </c>
    </row>
    <row r="7810" spans="1:7" x14ac:dyDescent="0.2">
      <c r="A7810" t="s">
        <v>1</v>
      </c>
      <c r="B7810" t="str">
        <f>"13885997126"</f>
        <v>13885997126</v>
      </c>
      <c r="C7810" t="s">
        <v>1</v>
      </c>
      <c r="D7810" t="s">
        <v>1</v>
      </c>
      <c r="E7810" t="s">
        <v>1</v>
      </c>
      <c r="F7810" t="s">
        <v>0</v>
      </c>
      <c r="G7810" t="str">
        <f>"2018-10-16 10:48:21"</f>
        <v>2018-10-16 10:48:21</v>
      </c>
    </row>
    <row r="7811" spans="1:7" x14ac:dyDescent="0.2">
      <c r="A7811" t="s">
        <v>8567</v>
      </c>
      <c r="B7811" t="str">
        <f>"18802596082"</f>
        <v>18802596082</v>
      </c>
      <c r="C7811" t="str">
        <f>"510725199602170522"</f>
        <v>510725199602170522</v>
      </c>
      <c r="D7811" t="s">
        <v>1</v>
      </c>
      <c r="E7811" t="s">
        <v>1</v>
      </c>
      <c r="F7811" t="s">
        <v>0</v>
      </c>
      <c r="G7811" t="str">
        <f>"2018-10-16 11:13:51"</f>
        <v>2018-10-16 11:13:51</v>
      </c>
    </row>
    <row r="7812" spans="1:7" x14ac:dyDescent="0.2">
      <c r="A7812" t="s">
        <v>1</v>
      </c>
      <c r="B7812" t="str">
        <f>"18839138539"</f>
        <v>18839138539</v>
      </c>
      <c r="C7812" t="s">
        <v>1</v>
      </c>
      <c r="D7812" t="s">
        <v>1</v>
      </c>
      <c r="E7812" t="s">
        <v>1</v>
      </c>
      <c r="F7812" t="s">
        <v>0</v>
      </c>
      <c r="G7812" t="str">
        <f>"2018-10-16 10:47:58"</f>
        <v>2018-10-16 10:47:58</v>
      </c>
    </row>
    <row r="7813" spans="1:7" x14ac:dyDescent="0.2">
      <c r="A7813" t="s">
        <v>1</v>
      </c>
      <c r="B7813" t="str">
        <f>"17088934199"</f>
        <v>17088934199</v>
      </c>
      <c r="C7813" t="s">
        <v>1</v>
      </c>
      <c r="D7813" t="s">
        <v>1</v>
      </c>
      <c r="E7813" t="s">
        <v>1</v>
      </c>
      <c r="F7813" t="s">
        <v>0</v>
      </c>
      <c r="G7813" t="str">
        <f>"2018-10-16 10:47:49"</f>
        <v>2018-10-16 10:47:49</v>
      </c>
    </row>
    <row r="7814" spans="1:7" x14ac:dyDescent="0.2">
      <c r="A7814" t="s">
        <v>1767</v>
      </c>
      <c r="B7814" t="str">
        <f>"17787455142"</f>
        <v>17787455142</v>
      </c>
      <c r="C7814" t="str">
        <f>"500231198810157190"</f>
        <v>500231198810157190</v>
      </c>
      <c r="D7814" t="s">
        <v>1</v>
      </c>
      <c r="E7814" t="s">
        <v>1</v>
      </c>
      <c r="F7814" t="s">
        <v>0</v>
      </c>
      <c r="G7814" t="str">
        <f>"2018-10-16 10:48:58"</f>
        <v>2018-10-16 10:48:58</v>
      </c>
    </row>
    <row r="7815" spans="1:7" x14ac:dyDescent="0.2">
      <c r="A7815" t="s">
        <v>8568</v>
      </c>
      <c r="B7815" t="str">
        <f>"18850209518"</f>
        <v>18850209518</v>
      </c>
      <c r="C7815" t="str">
        <f>"350681198909044759"</f>
        <v>350681198909044759</v>
      </c>
      <c r="D7815" t="s">
        <v>8569</v>
      </c>
      <c r="E7815" t="s">
        <v>8570</v>
      </c>
      <c r="F7815" t="s">
        <v>0</v>
      </c>
      <c r="G7815" t="str">
        <f>"2018-10-30 14:14:01"</f>
        <v>2018-10-30 14:14:01</v>
      </c>
    </row>
    <row r="7816" spans="1:7" x14ac:dyDescent="0.2">
      <c r="A7816" t="s">
        <v>8571</v>
      </c>
      <c r="B7816" t="str">
        <f>"13269711809"</f>
        <v>13269711809</v>
      </c>
      <c r="C7816" t="str">
        <f>"11010319861006181X"</f>
        <v>11010319861006181X</v>
      </c>
      <c r="D7816" t="s">
        <v>1</v>
      </c>
      <c r="E7816" t="s">
        <v>1</v>
      </c>
      <c r="F7816" t="s">
        <v>0</v>
      </c>
      <c r="G7816" t="str">
        <f>"2018-10-16 10:48:44"</f>
        <v>2018-10-16 10:48:44</v>
      </c>
    </row>
    <row r="7817" spans="1:7" x14ac:dyDescent="0.2">
      <c r="A7817" t="s">
        <v>1</v>
      </c>
      <c r="B7817" t="str">
        <f>"15981527878"</f>
        <v>15981527878</v>
      </c>
      <c r="C7817" t="s">
        <v>1</v>
      </c>
      <c r="D7817" t="s">
        <v>1</v>
      </c>
      <c r="E7817" t="s">
        <v>1</v>
      </c>
      <c r="F7817" t="s">
        <v>0</v>
      </c>
      <c r="G7817" t="str">
        <f>"2018-10-19 13:12:09"</f>
        <v>2018-10-19 13:12:09</v>
      </c>
    </row>
    <row r="7818" spans="1:7" x14ac:dyDescent="0.2">
      <c r="A7818" t="s">
        <v>1</v>
      </c>
      <c r="B7818" t="str">
        <f>"15221628642"</f>
        <v>15221628642</v>
      </c>
      <c r="C7818" t="s">
        <v>1</v>
      </c>
      <c r="D7818" t="s">
        <v>1</v>
      </c>
      <c r="E7818" t="s">
        <v>1</v>
      </c>
      <c r="F7818" t="s">
        <v>0</v>
      </c>
      <c r="G7818" t="str">
        <f>"2018-10-16 10:48:32"</f>
        <v>2018-10-16 10:48:32</v>
      </c>
    </row>
    <row r="7819" spans="1:7" x14ac:dyDescent="0.2">
      <c r="A7819" t="s">
        <v>8572</v>
      </c>
      <c r="B7819" t="str">
        <f>"13544240572"</f>
        <v>13544240572</v>
      </c>
      <c r="C7819" t="str">
        <f>"44030719870120003X"</f>
        <v>44030719870120003X</v>
      </c>
      <c r="D7819" t="s">
        <v>1</v>
      </c>
      <c r="E7819" t="s">
        <v>1</v>
      </c>
      <c r="F7819" t="s">
        <v>0</v>
      </c>
      <c r="G7819" t="str">
        <f>"2018-10-17 15:09:53"</f>
        <v>2018-10-17 15:09:53</v>
      </c>
    </row>
    <row r="7820" spans="1:7" x14ac:dyDescent="0.2">
      <c r="A7820" t="s">
        <v>8573</v>
      </c>
      <c r="B7820" t="str">
        <f>"18095247999"</f>
        <v>18095247999</v>
      </c>
      <c r="C7820" t="str">
        <f>"640221199311100918"</f>
        <v>640221199311100918</v>
      </c>
      <c r="D7820" t="s">
        <v>1</v>
      </c>
      <c r="E7820" t="s">
        <v>1</v>
      </c>
      <c r="F7820" t="s">
        <v>0</v>
      </c>
      <c r="G7820" t="str">
        <f>"2018-10-16 10:51:22"</f>
        <v>2018-10-16 10:51:22</v>
      </c>
    </row>
    <row r="7821" spans="1:7" x14ac:dyDescent="0.2">
      <c r="A7821" t="s">
        <v>8574</v>
      </c>
      <c r="B7821" t="str">
        <f>"18803457432"</f>
        <v>18803457432</v>
      </c>
      <c r="C7821" t="str">
        <f>"13098219871219961X"</f>
        <v>13098219871219961X</v>
      </c>
      <c r="D7821" t="s">
        <v>1</v>
      </c>
      <c r="E7821" t="s">
        <v>1</v>
      </c>
      <c r="F7821" t="s">
        <v>0</v>
      </c>
      <c r="G7821" t="str">
        <f>"2018-10-16 10:48:21"</f>
        <v>2018-10-16 10:48:21</v>
      </c>
    </row>
    <row r="7822" spans="1:7" x14ac:dyDescent="0.2">
      <c r="A7822" t="s">
        <v>8575</v>
      </c>
      <c r="B7822" t="str">
        <f>"13612831073"</f>
        <v>13612831073</v>
      </c>
      <c r="C7822" t="str">
        <f>"42098219870719563X"</f>
        <v>42098219870719563X</v>
      </c>
      <c r="D7822" t="s">
        <v>8576</v>
      </c>
      <c r="E7822" t="s">
        <v>8577</v>
      </c>
      <c r="F7822" t="s">
        <v>0</v>
      </c>
      <c r="G7822" t="str">
        <f>"2018-10-23 18:57:25"</f>
        <v>2018-10-23 18:57:25</v>
      </c>
    </row>
    <row r="7823" spans="1:7" x14ac:dyDescent="0.2">
      <c r="A7823" t="s">
        <v>8578</v>
      </c>
      <c r="B7823" t="str">
        <f>"15285531975"</f>
        <v>15285531975</v>
      </c>
      <c r="C7823" t="str">
        <f>"522522199008074427"</f>
        <v>522522199008074427</v>
      </c>
      <c r="D7823" t="s">
        <v>1</v>
      </c>
      <c r="E7823" t="s">
        <v>1</v>
      </c>
      <c r="F7823" t="s">
        <v>0</v>
      </c>
      <c r="G7823" t="str">
        <f>"2018-10-16 10:47:46"</f>
        <v>2018-10-16 10:47:46</v>
      </c>
    </row>
    <row r="7824" spans="1:7" x14ac:dyDescent="0.2">
      <c r="A7824" t="s">
        <v>8579</v>
      </c>
      <c r="B7824" t="str">
        <f>"15392799080"</f>
        <v>15392799080</v>
      </c>
      <c r="C7824" t="str">
        <f>"42062119900914681X"</f>
        <v>42062119900914681X</v>
      </c>
      <c r="D7824" t="s">
        <v>8580</v>
      </c>
      <c r="E7824" t="s">
        <v>8581</v>
      </c>
      <c r="F7824" t="s">
        <v>0</v>
      </c>
      <c r="G7824" t="str">
        <f>"2018-10-16 10:47:24"</f>
        <v>2018-10-16 10:47:24</v>
      </c>
    </row>
    <row r="7825" spans="1:7" x14ac:dyDescent="0.2">
      <c r="A7825" t="s">
        <v>8582</v>
      </c>
      <c r="B7825" t="str">
        <f>"18582156857"</f>
        <v>18582156857</v>
      </c>
      <c r="C7825" t="str">
        <f>"511381199706085808"</f>
        <v>511381199706085808</v>
      </c>
      <c r="D7825" t="s">
        <v>1</v>
      </c>
      <c r="E7825" t="s">
        <v>1</v>
      </c>
      <c r="F7825" t="s">
        <v>0</v>
      </c>
      <c r="G7825" t="str">
        <f>"2018-10-16 18:40:09"</f>
        <v>2018-10-16 18:40:09</v>
      </c>
    </row>
    <row r="7826" spans="1:7" x14ac:dyDescent="0.2">
      <c r="A7826" t="s">
        <v>8583</v>
      </c>
      <c r="B7826" t="str">
        <f>"18286153050"</f>
        <v>18286153050</v>
      </c>
      <c r="C7826" t="str">
        <f>"522328199511150017"</f>
        <v>522328199511150017</v>
      </c>
      <c r="D7826" t="s">
        <v>1</v>
      </c>
      <c r="E7826" t="s">
        <v>1</v>
      </c>
      <c r="F7826" t="s">
        <v>0</v>
      </c>
      <c r="G7826" t="str">
        <f>"2018-10-16 10:45:15"</f>
        <v>2018-10-16 10:45:15</v>
      </c>
    </row>
    <row r="7827" spans="1:7" x14ac:dyDescent="0.2">
      <c r="A7827" t="s">
        <v>1132</v>
      </c>
      <c r="B7827" t="str">
        <f>"18850436858"</f>
        <v>18850436858</v>
      </c>
      <c r="C7827" t="str">
        <f>"350121199204201233"</f>
        <v>350121199204201233</v>
      </c>
      <c r="D7827" t="s">
        <v>1</v>
      </c>
      <c r="E7827" t="s">
        <v>1</v>
      </c>
      <c r="F7827" t="s">
        <v>0</v>
      </c>
      <c r="G7827" t="str">
        <f>"2018-10-17 23:33:18"</f>
        <v>2018-10-17 23:33:18</v>
      </c>
    </row>
    <row r="7828" spans="1:7" x14ac:dyDescent="0.2">
      <c r="A7828" t="s">
        <v>1066</v>
      </c>
      <c r="B7828" t="str">
        <f>"15148247774"</f>
        <v>15148247774</v>
      </c>
      <c r="C7828" t="str">
        <f>"15020219861023182X"</f>
        <v>15020219861023182X</v>
      </c>
      <c r="D7828" t="s">
        <v>8584</v>
      </c>
      <c r="E7828" t="s">
        <v>8585</v>
      </c>
      <c r="F7828" t="s">
        <v>0</v>
      </c>
      <c r="G7828" t="str">
        <f>"2018-10-28 14:11:27"</f>
        <v>2018-10-28 14:11:27</v>
      </c>
    </row>
    <row r="7829" spans="1:7" x14ac:dyDescent="0.2">
      <c r="A7829" t="s">
        <v>8586</v>
      </c>
      <c r="B7829" t="str">
        <f>"15599165087"</f>
        <v>15599165087</v>
      </c>
      <c r="C7829" t="str">
        <f>"520102197306024665"</f>
        <v>520102197306024665</v>
      </c>
      <c r="D7829" t="s">
        <v>1</v>
      </c>
      <c r="E7829" t="s">
        <v>1</v>
      </c>
      <c r="F7829" t="s">
        <v>0</v>
      </c>
      <c r="G7829" t="str">
        <f>"2018-10-16 11:17:36"</f>
        <v>2018-10-16 11:17:36</v>
      </c>
    </row>
    <row r="7830" spans="1:7" x14ac:dyDescent="0.2">
      <c r="A7830" t="s">
        <v>8587</v>
      </c>
      <c r="B7830" t="str">
        <f>"13393975255"</f>
        <v>13393975255</v>
      </c>
      <c r="C7830" t="str">
        <f>"412825199007133747"</f>
        <v>412825199007133747</v>
      </c>
      <c r="D7830" t="s">
        <v>1</v>
      </c>
      <c r="E7830" t="s">
        <v>1</v>
      </c>
      <c r="F7830" t="s">
        <v>0</v>
      </c>
      <c r="G7830" t="str">
        <f>"2018-10-16 10:54:21"</f>
        <v>2018-10-16 10:54:21</v>
      </c>
    </row>
    <row r="7831" spans="1:7" x14ac:dyDescent="0.2">
      <c r="A7831" t="s">
        <v>8588</v>
      </c>
      <c r="B7831" t="str">
        <f>"18894148001"</f>
        <v>18894148001</v>
      </c>
      <c r="C7831" t="str">
        <f>"430521198808247555"</f>
        <v>430521198808247555</v>
      </c>
      <c r="D7831" t="s">
        <v>8589</v>
      </c>
      <c r="E7831" t="s">
        <v>8590</v>
      </c>
      <c r="F7831" t="s">
        <v>0</v>
      </c>
      <c r="G7831" t="str">
        <f>"2018-10-16 10:45:27"</f>
        <v>2018-10-16 10:45:27</v>
      </c>
    </row>
    <row r="7832" spans="1:7" x14ac:dyDescent="0.2">
      <c r="A7832" t="s">
        <v>8591</v>
      </c>
      <c r="B7832" t="str">
        <f>"13767806636"</f>
        <v>13767806636</v>
      </c>
      <c r="C7832" t="str">
        <f>"360203196811053536"</f>
        <v>360203196811053536</v>
      </c>
      <c r="D7832" t="s">
        <v>1</v>
      </c>
      <c r="E7832" t="s">
        <v>1</v>
      </c>
      <c r="F7832" t="s">
        <v>0</v>
      </c>
      <c r="G7832" t="str">
        <f>"2018-10-23 15:15:11"</f>
        <v>2018-10-23 15:15:11</v>
      </c>
    </row>
    <row r="7833" spans="1:7" x14ac:dyDescent="0.2">
      <c r="A7833" t="s">
        <v>1</v>
      </c>
      <c r="B7833" t="str">
        <f>"15364070007"</f>
        <v>15364070007</v>
      </c>
      <c r="C7833" t="s">
        <v>1</v>
      </c>
      <c r="D7833" t="s">
        <v>1</v>
      </c>
      <c r="E7833" t="s">
        <v>1</v>
      </c>
      <c r="F7833" t="s">
        <v>0</v>
      </c>
      <c r="G7833" t="str">
        <f>"2018-10-16 10:43:55"</f>
        <v>2018-10-16 10:43:55</v>
      </c>
    </row>
    <row r="7834" spans="1:7" x14ac:dyDescent="0.2">
      <c r="A7834" t="s">
        <v>8592</v>
      </c>
      <c r="B7834" t="str">
        <f>"15309076398"</f>
        <v>15309076398</v>
      </c>
      <c r="C7834" t="str">
        <f>"512901196902192617"</f>
        <v>512901196902192617</v>
      </c>
      <c r="D7834" t="s">
        <v>1</v>
      </c>
      <c r="E7834" t="s">
        <v>1</v>
      </c>
      <c r="F7834" t="s">
        <v>0</v>
      </c>
      <c r="G7834" t="str">
        <f>"2018-10-16 10:45:34"</f>
        <v>2018-10-16 10:45:34</v>
      </c>
    </row>
    <row r="7835" spans="1:7" x14ac:dyDescent="0.2">
      <c r="A7835" t="s">
        <v>1</v>
      </c>
      <c r="B7835" t="str">
        <f>"15090781510"</f>
        <v>15090781510</v>
      </c>
      <c r="C7835" t="s">
        <v>1</v>
      </c>
      <c r="D7835" t="s">
        <v>1</v>
      </c>
      <c r="E7835" t="s">
        <v>1</v>
      </c>
      <c r="F7835" t="s">
        <v>0</v>
      </c>
      <c r="G7835" t="str">
        <f>"2018-10-16 10:43:43"</f>
        <v>2018-10-16 10:43:43</v>
      </c>
    </row>
    <row r="7836" spans="1:7" x14ac:dyDescent="0.2">
      <c r="A7836" t="s">
        <v>8593</v>
      </c>
      <c r="B7836" t="str">
        <f>"18030804917"</f>
        <v>18030804917</v>
      </c>
      <c r="C7836" t="str">
        <f>"510105198602163776"</f>
        <v>510105198602163776</v>
      </c>
      <c r="D7836" t="s">
        <v>1</v>
      </c>
      <c r="E7836" t="s">
        <v>1</v>
      </c>
      <c r="F7836" t="s">
        <v>0</v>
      </c>
      <c r="G7836" t="str">
        <f>"2018-10-16 10:43:09"</f>
        <v>2018-10-16 10:43:09</v>
      </c>
    </row>
    <row r="7837" spans="1:7" x14ac:dyDescent="0.2">
      <c r="A7837" t="s">
        <v>8594</v>
      </c>
      <c r="B7837" t="str">
        <f>"15327728999"</f>
        <v>15327728999</v>
      </c>
      <c r="C7837" t="str">
        <f>"422124196710270413"</f>
        <v>422124196710270413</v>
      </c>
      <c r="D7837" t="s">
        <v>1</v>
      </c>
      <c r="E7837" t="s">
        <v>1</v>
      </c>
      <c r="F7837" t="s">
        <v>0</v>
      </c>
      <c r="G7837" t="str">
        <f>"2018-10-16 10:44:51"</f>
        <v>2018-10-16 10:44:51</v>
      </c>
    </row>
    <row r="7838" spans="1:7" x14ac:dyDescent="0.2">
      <c r="A7838" t="s">
        <v>1</v>
      </c>
      <c r="B7838" t="str">
        <f>"18840887184"</f>
        <v>18840887184</v>
      </c>
      <c r="C7838" t="s">
        <v>1</v>
      </c>
      <c r="D7838" t="s">
        <v>1</v>
      </c>
      <c r="E7838" t="s">
        <v>1</v>
      </c>
      <c r="F7838" t="s">
        <v>0</v>
      </c>
      <c r="G7838" t="str">
        <f>"2018-10-16 10:43:06"</f>
        <v>2018-10-16 10:43:06</v>
      </c>
    </row>
    <row r="7839" spans="1:7" x14ac:dyDescent="0.2">
      <c r="A7839" t="s">
        <v>8595</v>
      </c>
      <c r="B7839" t="str">
        <f>"18738137528"</f>
        <v>18738137528</v>
      </c>
      <c r="C7839" t="str">
        <f>"410183198905164325"</f>
        <v>410183198905164325</v>
      </c>
      <c r="D7839" t="s">
        <v>8596</v>
      </c>
      <c r="E7839" t="s">
        <v>8597</v>
      </c>
      <c r="F7839" t="s">
        <v>0</v>
      </c>
      <c r="G7839" t="str">
        <f>"2018-10-16 10:44:23"</f>
        <v>2018-10-16 10:44:23</v>
      </c>
    </row>
    <row r="7840" spans="1:7" x14ac:dyDescent="0.2">
      <c r="A7840" t="s">
        <v>8598</v>
      </c>
      <c r="B7840" t="str">
        <f>"13943099406"</f>
        <v>13943099406</v>
      </c>
      <c r="C7840" t="str">
        <f>"220104197202288422"</f>
        <v>220104197202288422</v>
      </c>
      <c r="D7840" t="s">
        <v>1</v>
      </c>
      <c r="E7840" t="s">
        <v>1</v>
      </c>
      <c r="F7840" t="s">
        <v>0</v>
      </c>
      <c r="G7840" t="str">
        <f>"2018-10-16 13:07:35"</f>
        <v>2018-10-16 13:07:35</v>
      </c>
    </row>
    <row r="7841" spans="1:7" x14ac:dyDescent="0.2">
      <c r="A7841" t="s">
        <v>8599</v>
      </c>
      <c r="B7841" t="str">
        <f>"15315578297"</f>
        <v>15315578297</v>
      </c>
      <c r="C7841" t="str">
        <f>"370982199703287270"</f>
        <v>370982199703287270</v>
      </c>
      <c r="D7841" t="s">
        <v>1</v>
      </c>
      <c r="E7841" t="s">
        <v>1</v>
      </c>
      <c r="F7841" t="s">
        <v>0</v>
      </c>
      <c r="G7841" t="str">
        <f>"2018-10-16 10:44:05"</f>
        <v>2018-10-16 10:44:05</v>
      </c>
    </row>
    <row r="7842" spans="1:7" x14ac:dyDescent="0.2">
      <c r="A7842" t="s">
        <v>18</v>
      </c>
      <c r="B7842" t="str">
        <f>"18234170171"</f>
        <v>18234170171</v>
      </c>
      <c r="C7842" t="str">
        <f>"140430199510266418"</f>
        <v>140430199510266418</v>
      </c>
      <c r="D7842" t="s">
        <v>1</v>
      </c>
      <c r="E7842" t="s">
        <v>1</v>
      </c>
      <c r="F7842" t="s">
        <v>0</v>
      </c>
      <c r="G7842" t="str">
        <f>"2018-10-16 10:50:41"</f>
        <v>2018-10-16 10:50:41</v>
      </c>
    </row>
    <row r="7843" spans="1:7" x14ac:dyDescent="0.2">
      <c r="A7843" t="s">
        <v>8600</v>
      </c>
      <c r="B7843" t="str">
        <f>"17645197645"</f>
        <v>17645197645</v>
      </c>
      <c r="C7843" t="str">
        <f>"230128199210114811"</f>
        <v>230128199210114811</v>
      </c>
      <c r="D7843" t="s">
        <v>1</v>
      </c>
      <c r="E7843" t="s">
        <v>1</v>
      </c>
      <c r="F7843" t="s">
        <v>0</v>
      </c>
      <c r="G7843" t="str">
        <f>"2018-10-16 11:29:11"</f>
        <v>2018-10-16 11:29:11</v>
      </c>
    </row>
    <row r="7844" spans="1:7" x14ac:dyDescent="0.2">
      <c r="A7844" t="s">
        <v>8601</v>
      </c>
      <c r="B7844" t="str">
        <f>"18981005898"</f>
        <v>18981005898</v>
      </c>
      <c r="C7844" t="str">
        <f>"510681199303290319"</f>
        <v>510681199303290319</v>
      </c>
      <c r="D7844" t="s">
        <v>1</v>
      </c>
      <c r="E7844" t="s">
        <v>1</v>
      </c>
      <c r="F7844" t="s">
        <v>0</v>
      </c>
      <c r="G7844" t="str">
        <f>"2018-10-16 10:43:39"</f>
        <v>2018-10-16 10:43:39</v>
      </c>
    </row>
    <row r="7845" spans="1:7" x14ac:dyDescent="0.2">
      <c r="A7845" t="s">
        <v>426</v>
      </c>
      <c r="B7845" t="str">
        <f>"13728902577"</f>
        <v>13728902577</v>
      </c>
      <c r="C7845" t="str">
        <f>"452632198808083116"</f>
        <v>452632198808083116</v>
      </c>
      <c r="D7845" t="s">
        <v>8602</v>
      </c>
      <c r="E7845" t="s">
        <v>8603</v>
      </c>
      <c r="F7845" t="s">
        <v>0</v>
      </c>
      <c r="G7845" t="str">
        <f>"2018-10-16 10:56:04"</f>
        <v>2018-10-16 10:56:04</v>
      </c>
    </row>
    <row r="7846" spans="1:7" x14ac:dyDescent="0.2">
      <c r="A7846" t="s">
        <v>8604</v>
      </c>
      <c r="B7846" t="str">
        <f>"13317823339"</f>
        <v>13317823339</v>
      </c>
      <c r="C7846" t="str">
        <f>"45223019661113051X"</f>
        <v>45223019661113051X</v>
      </c>
      <c r="D7846" t="s">
        <v>1</v>
      </c>
      <c r="E7846" t="s">
        <v>1</v>
      </c>
      <c r="F7846" t="s">
        <v>0</v>
      </c>
      <c r="G7846" t="str">
        <f>"2018-10-16 10:42:37"</f>
        <v>2018-10-16 10:42:37</v>
      </c>
    </row>
    <row r="7847" spans="1:7" x14ac:dyDescent="0.2">
      <c r="A7847" t="s">
        <v>1</v>
      </c>
      <c r="B7847" t="str">
        <f>"13088512198"</f>
        <v>13088512198</v>
      </c>
      <c r="C7847" t="s">
        <v>1</v>
      </c>
      <c r="D7847" t="s">
        <v>1</v>
      </c>
      <c r="E7847" t="s">
        <v>1</v>
      </c>
      <c r="F7847" t="s">
        <v>0</v>
      </c>
      <c r="G7847" t="str">
        <f>"2018-10-16 10:40:43"</f>
        <v>2018-10-16 10:40:43</v>
      </c>
    </row>
    <row r="7848" spans="1:7" x14ac:dyDescent="0.2">
      <c r="A7848" t="s">
        <v>8605</v>
      </c>
      <c r="B7848" t="str">
        <f>"13679910662"</f>
        <v>13679910662</v>
      </c>
      <c r="C7848" t="str">
        <f>"330824199511260923"</f>
        <v>330824199511260923</v>
      </c>
      <c r="D7848" t="s">
        <v>1</v>
      </c>
      <c r="E7848" t="s">
        <v>1</v>
      </c>
      <c r="F7848" t="s">
        <v>0</v>
      </c>
      <c r="G7848" t="str">
        <f>"2018-10-16 10:43:05"</f>
        <v>2018-10-16 10:43:05</v>
      </c>
    </row>
    <row r="7849" spans="1:7" x14ac:dyDescent="0.2">
      <c r="A7849" t="s">
        <v>1</v>
      </c>
      <c r="B7849" t="str">
        <f>"17704569997"</f>
        <v>17704569997</v>
      </c>
      <c r="C7849" t="s">
        <v>1</v>
      </c>
      <c r="D7849" t="s">
        <v>1</v>
      </c>
      <c r="E7849" t="s">
        <v>1</v>
      </c>
      <c r="F7849" t="s">
        <v>0</v>
      </c>
      <c r="G7849" t="str">
        <f>"2018-10-16 10:53:19"</f>
        <v>2018-10-16 10:53:19</v>
      </c>
    </row>
    <row r="7850" spans="1:7" x14ac:dyDescent="0.2">
      <c r="A7850" t="s">
        <v>1</v>
      </c>
      <c r="B7850" t="str">
        <f>"13367757094"</f>
        <v>13367757094</v>
      </c>
      <c r="C7850" t="s">
        <v>1</v>
      </c>
      <c r="D7850" t="s">
        <v>1</v>
      </c>
      <c r="E7850" t="s">
        <v>1</v>
      </c>
      <c r="F7850" t="s">
        <v>0</v>
      </c>
      <c r="G7850" t="str">
        <f>"2018-10-16 10:40:23"</f>
        <v>2018-10-16 10:40:23</v>
      </c>
    </row>
    <row r="7851" spans="1:7" x14ac:dyDescent="0.2">
      <c r="A7851" t="s">
        <v>561</v>
      </c>
      <c r="B7851" t="str">
        <f>"15120005610"</f>
        <v>15120005610</v>
      </c>
      <c r="C7851" t="str">
        <f>"230203199303040821"</f>
        <v>230203199303040821</v>
      </c>
      <c r="D7851" t="s">
        <v>8606</v>
      </c>
      <c r="E7851" t="s">
        <v>8607</v>
      </c>
      <c r="F7851" t="s">
        <v>0</v>
      </c>
      <c r="G7851" t="str">
        <f>"2018-10-16 10:50:17"</f>
        <v>2018-10-16 10:50:17</v>
      </c>
    </row>
    <row r="7852" spans="1:7" x14ac:dyDescent="0.2">
      <c r="A7852" t="s">
        <v>8608</v>
      </c>
      <c r="B7852" t="str">
        <f>"13866197132"</f>
        <v>13866197132</v>
      </c>
      <c r="C7852" t="str">
        <f>"340123198112194116"</f>
        <v>340123198112194116</v>
      </c>
      <c r="D7852" t="s">
        <v>1</v>
      </c>
      <c r="E7852" t="s">
        <v>1</v>
      </c>
      <c r="F7852" t="s">
        <v>0</v>
      </c>
      <c r="G7852" t="str">
        <f>"2018-10-16 11:12:34"</f>
        <v>2018-10-16 11:12:34</v>
      </c>
    </row>
    <row r="7853" spans="1:7" x14ac:dyDescent="0.2">
      <c r="A7853" t="s">
        <v>1</v>
      </c>
      <c r="B7853" t="str">
        <f>"13846024831"</f>
        <v>13846024831</v>
      </c>
      <c r="C7853" t="s">
        <v>1</v>
      </c>
      <c r="D7853" t="s">
        <v>1</v>
      </c>
      <c r="E7853" t="s">
        <v>1</v>
      </c>
      <c r="F7853" t="s">
        <v>0</v>
      </c>
      <c r="G7853" t="str">
        <f>"2018-10-16 10:40:03"</f>
        <v>2018-10-16 10:40:03</v>
      </c>
    </row>
    <row r="7854" spans="1:7" x14ac:dyDescent="0.2">
      <c r="A7854" t="s">
        <v>8609</v>
      </c>
      <c r="B7854" t="str">
        <f>"18636580712"</f>
        <v>18636580712</v>
      </c>
      <c r="C7854" t="str">
        <f>"140427198706234431"</f>
        <v>140427198706234431</v>
      </c>
      <c r="D7854" t="s">
        <v>1</v>
      </c>
      <c r="E7854" t="s">
        <v>1</v>
      </c>
      <c r="F7854" t="s">
        <v>0</v>
      </c>
      <c r="G7854" t="str">
        <f>"2018-10-16 10:41:13"</f>
        <v>2018-10-16 10:41:13</v>
      </c>
    </row>
    <row r="7855" spans="1:7" x14ac:dyDescent="0.2">
      <c r="A7855" t="s">
        <v>8610</v>
      </c>
      <c r="B7855" t="str">
        <f>"15296116014"</f>
        <v>15296116014</v>
      </c>
      <c r="C7855" t="str">
        <f>"450703199203152752"</f>
        <v>450703199203152752</v>
      </c>
      <c r="D7855" t="s">
        <v>1</v>
      </c>
      <c r="E7855" t="s">
        <v>1</v>
      </c>
      <c r="F7855" t="s">
        <v>0</v>
      </c>
      <c r="G7855" t="str">
        <f>"2018-10-16 10:44:27"</f>
        <v>2018-10-16 10:44:27</v>
      </c>
    </row>
    <row r="7856" spans="1:7" x14ac:dyDescent="0.2">
      <c r="A7856" t="s">
        <v>1</v>
      </c>
      <c r="B7856" t="str">
        <f>"15334756279"</f>
        <v>15334756279</v>
      </c>
      <c r="C7856" t="s">
        <v>1</v>
      </c>
      <c r="D7856" t="s">
        <v>1</v>
      </c>
      <c r="E7856" t="s">
        <v>1</v>
      </c>
      <c r="F7856" t="s">
        <v>0</v>
      </c>
      <c r="G7856" t="str">
        <f>"2018-10-16 10:39:35"</f>
        <v>2018-10-16 10:39:35</v>
      </c>
    </row>
    <row r="7857" spans="1:7" x14ac:dyDescent="0.2">
      <c r="A7857" t="s">
        <v>8611</v>
      </c>
      <c r="B7857" t="str">
        <f>"13469222881"</f>
        <v>13469222881</v>
      </c>
      <c r="C7857" t="str">
        <f>"431081197912150054"</f>
        <v>431081197912150054</v>
      </c>
      <c r="D7857" t="s">
        <v>1</v>
      </c>
      <c r="E7857" t="s">
        <v>1</v>
      </c>
      <c r="F7857" t="s">
        <v>0</v>
      </c>
      <c r="G7857" t="str">
        <f>"2018-10-16 10:42:02"</f>
        <v>2018-10-16 10:42:02</v>
      </c>
    </row>
    <row r="7858" spans="1:7" x14ac:dyDescent="0.2">
      <c r="A7858" t="s">
        <v>1</v>
      </c>
      <c r="B7858" t="str">
        <f>"18604632854"</f>
        <v>18604632854</v>
      </c>
      <c r="C7858" t="s">
        <v>1</v>
      </c>
      <c r="D7858" t="s">
        <v>1</v>
      </c>
      <c r="E7858" t="s">
        <v>1</v>
      </c>
      <c r="F7858" t="s">
        <v>0</v>
      </c>
      <c r="G7858" t="str">
        <f>"2018-10-16 10:40:42"</f>
        <v>2018-10-16 10:40:42</v>
      </c>
    </row>
    <row r="7859" spans="1:7" x14ac:dyDescent="0.2">
      <c r="A7859" t="s">
        <v>8612</v>
      </c>
      <c r="B7859" t="str">
        <f>"15195808752"</f>
        <v>15195808752</v>
      </c>
      <c r="C7859" t="str">
        <f>"32118319971126003X"</f>
        <v>32118319971126003X</v>
      </c>
      <c r="D7859" t="s">
        <v>1</v>
      </c>
      <c r="E7859" t="s">
        <v>1</v>
      </c>
      <c r="F7859" t="s">
        <v>0</v>
      </c>
      <c r="G7859" t="str">
        <f>"2018-10-23 10:20:30"</f>
        <v>2018-10-23 10:20:30</v>
      </c>
    </row>
    <row r="7860" spans="1:7" x14ac:dyDescent="0.2">
      <c r="A7860" t="s">
        <v>1</v>
      </c>
      <c r="B7860" t="str">
        <f>"17331785786"</f>
        <v>17331785786</v>
      </c>
      <c r="C7860" t="s">
        <v>1</v>
      </c>
      <c r="D7860" t="s">
        <v>1</v>
      </c>
      <c r="E7860" t="s">
        <v>1</v>
      </c>
      <c r="F7860" t="s">
        <v>0</v>
      </c>
      <c r="G7860" t="str">
        <f>"2018-10-16 10:38:28"</f>
        <v>2018-10-16 10:38:28</v>
      </c>
    </row>
    <row r="7861" spans="1:7" x14ac:dyDescent="0.2">
      <c r="A7861" t="s">
        <v>8613</v>
      </c>
      <c r="B7861" t="str">
        <f>"18093654029"</f>
        <v>18093654029</v>
      </c>
      <c r="C7861" t="str">
        <f>"622223199606152310"</f>
        <v>622223199606152310</v>
      </c>
      <c r="D7861" t="s">
        <v>1</v>
      </c>
      <c r="E7861" t="s">
        <v>1</v>
      </c>
      <c r="F7861" t="s">
        <v>0</v>
      </c>
      <c r="G7861" t="str">
        <f>"2018-10-29 16:15:09"</f>
        <v>2018-10-29 16:15:09</v>
      </c>
    </row>
    <row r="7862" spans="1:7" x14ac:dyDescent="0.2">
      <c r="A7862" t="s">
        <v>8614</v>
      </c>
      <c r="B7862" t="str">
        <f>"13022614327"</f>
        <v>13022614327</v>
      </c>
      <c r="C7862" t="str">
        <f>"330501198904068654"</f>
        <v>330501198904068654</v>
      </c>
      <c r="D7862" t="s">
        <v>1</v>
      </c>
      <c r="E7862" t="s">
        <v>1</v>
      </c>
      <c r="F7862" t="s">
        <v>0</v>
      </c>
      <c r="G7862" t="str">
        <f>"2018-10-16 10:46:29"</f>
        <v>2018-10-16 10:46:29</v>
      </c>
    </row>
    <row r="7863" spans="1:7" x14ac:dyDescent="0.2">
      <c r="A7863" t="s">
        <v>8615</v>
      </c>
      <c r="B7863" t="str">
        <f>"15232196309"</f>
        <v>15232196309</v>
      </c>
      <c r="C7863" t="str">
        <f>"321323199610090910"</f>
        <v>321323199610090910</v>
      </c>
      <c r="D7863" t="s">
        <v>8616</v>
      </c>
      <c r="E7863" t="s">
        <v>8617</v>
      </c>
      <c r="F7863" t="s">
        <v>0</v>
      </c>
      <c r="G7863" t="str">
        <f>"2018-10-18 15:52:47"</f>
        <v>2018-10-18 15:52:47</v>
      </c>
    </row>
    <row r="7864" spans="1:7" x14ac:dyDescent="0.2">
      <c r="A7864" t="s">
        <v>1</v>
      </c>
      <c r="B7864" t="str">
        <f>"18095440063"</f>
        <v>18095440063</v>
      </c>
      <c r="C7864" t="s">
        <v>1</v>
      </c>
      <c r="D7864" t="s">
        <v>1</v>
      </c>
      <c r="E7864" t="s">
        <v>1</v>
      </c>
      <c r="F7864" t="s">
        <v>0</v>
      </c>
      <c r="G7864" t="str">
        <f>"2018-10-16 10:37:34"</f>
        <v>2018-10-16 10:37:34</v>
      </c>
    </row>
    <row r="7865" spans="1:7" x14ac:dyDescent="0.2">
      <c r="A7865" t="s">
        <v>8618</v>
      </c>
      <c r="B7865" t="str">
        <f>"18796321531"</f>
        <v>18796321531</v>
      </c>
      <c r="C7865" t="str">
        <f>"320321199711257026"</f>
        <v>320321199711257026</v>
      </c>
      <c r="D7865" t="s">
        <v>8619</v>
      </c>
      <c r="E7865" t="s">
        <v>8620</v>
      </c>
      <c r="F7865" t="s">
        <v>0</v>
      </c>
      <c r="G7865" t="str">
        <f>"2018-10-16 10:39:08"</f>
        <v>2018-10-16 10:39:08</v>
      </c>
    </row>
    <row r="7866" spans="1:7" x14ac:dyDescent="0.2">
      <c r="A7866" t="s">
        <v>1</v>
      </c>
      <c r="B7866" t="str">
        <f>"18075675673"</f>
        <v>18075675673</v>
      </c>
      <c r="C7866" t="s">
        <v>1</v>
      </c>
      <c r="D7866" t="s">
        <v>1</v>
      </c>
      <c r="E7866" t="s">
        <v>1</v>
      </c>
      <c r="F7866" t="s">
        <v>0</v>
      </c>
      <c r="G7866" t="str">
        <f>"2018-10-16 10:37:08"</f>
        <v>2018-10-16 10:37:08</v>
      </c>
    </row>
    <row r="7867" spans="1:7" x14ac:dyDescent="0.2">
      <c r="A7867" t="s">
        <v>8621</v>
      </c>
      <c r="B7867" t="str">
        <f>"15182325177"</f>
        <v>15182325177</v>
      </c>
      <c r="C7867" t="str">
        <f>"500235199010025851"</f>
        <v>500235199010025851</v>
      </c>
      <c r="D7867" t="s">
        <v>1</v>
      </c>
      <c r="E7867" t="s">
        <v>1</v>
      </c>
      <c r="F7867" t="s">
        <v>0</v>
      </c>
      <c r="G7867" t="str">
        <f>"2018-10-16 10:36:46"</f>
        <v>2018-10-16 10:36:46</v>
      </c>
    </row>
    <row r="7868" spans="1:7" x14ac:dyDescent="0.2">
      <c r="A7868" t="s">
        <v>8622</v>
      </c>
      <c r="B7868" t="str">
        <f>"17645384645"</f>
        <v>17645384645</v>
      </c>
      <c r="C7868" t="str">
        <f>"230404199511240016"</f>
        <v>230404199511240016</v>
      </c>
      <c r="D7868" t="s">
        <v>1</v>
      </c>
      <c r="E7868" t="s">
        <v>1</v>
      </c>
      <c r="F7868" t="s">
        <v>0</v>
      </c>
      <c r="G7868" t="str">
        <f>"2018-10-16 10:37:28"</f>
        <v>2018-10-16 10:37:28</v>
      </c>
    </row>
    <row r="7869" spans="1:7" x14ac:dyDescent="0.2">
      <c r="A7869" t="s">
        <v>8623</v>
      </c>
      <c r="B7869" t="str">
        <f>"18983981917"</f>
        <v>18983981917</v>
      </c>
      <c r="C7869" t="str">
        <f>"511024199308124249"</f>
        <v>511024199308124249</v>
      </c>
      <c r="D7869" t="s">
        <v>1</v>
      </c>
      <c r="E7869" t="s">
        <v>1</v>
      </c>
      <c r="F7869" t="s">
        <v>0</v>
      </c>
      <c r="G7869" t="str">
        <f>"2018-10-16 10:38:10"</f>
        <v>2018-10-16 10:38:10</v>
      </c>
    </row>
    <row r="7870" spans="1:7" x14ac:dyDescent="0.2">
      <c r="A7870" t="s">
        <v>1496</v>
      </c>
      <c r="B7870" t="str">
        <f>"13398375531"</f>
        <v>13398375531</v>
      </c>
      <c r="C7870" t="str">
        <f>"510781198612172691"</f>
        <v>510781198612172691</v>
      </c>
      <c r="D7870" t="s">
        <v>8624</v>
      </c>
      <c r="E7870" t="s">
        <v>8625</v>
      </c>
      <c r="F7870" t="s">
        <v>0</v>
      </c>
      <c r="G7870" t="str">
        <f>"2018-10-16 11:01:00"</f>
        <v>2018-10-16 11:01:00</v>
      </c>
    </row>
    <row r="7871" spans="1:7" x14ac:dyDescent="0.2">
      <c r="A7871" t="s">
        <v>8626</v>
      </c>
      <c r="B7871" t="str">
        <f>"18185457173"</f>
        <v>18185457173</v>
      </c>
      <c r="C7871" t="str">
        <f>"430523198709195852"</f>
        <v>430523198709195852</v>
      </c>
      <c r="D7871" t="s">
        <v>1</v>
      </c>
      <c r="E7871" t="s">
        <v>1</v>
      </c>
      <c r="F7871" t="s">
        <v>0</v>
      </c>
      <c r="G7871" t="str">
        <f>"2018-10-16 10:41:04"</f>
        <v>2018-10-16 10:41:04</v>
      </c>
    </row>
    <row r="7872" spans="1:7" x14ac:dyDescent="0.2">
      <c r="A7872" t="s">
        <v>1</v>
      </c>
      <c r="B7872" t="str">
        <f>"18808398443"</f>
        <v>18808398443</v>
      </c>
      <c r="C7872" t="s">
        <v>1</v>
      </c>
      <c r="D7872" t="s">
        <v>1</v>
      </c>
      <c r="E7872" t="s">
        <v>1</v>
      </c>
      <c r="F7872" t="s">
        <v>0</v>
      </c>
      <c r="G7872" t="str">
        <f>"2018-10-16 10:36:30"</f>
        <v>2018-10-16 10:36:30</v>
      </c>
    </row>
    <row r="7873" spans="1:7" x14ac:dyDescent="0.2">
      <c r="A7873" t="s">
        <v>1</v>
      </c>
      <c r="B7873" t="str">
        <f>"18080732923"</f>
        <v>18080732923</v>
      </c>
      <c r="C7873" t="s">
        <v>1</v>
      </c>
      <c r="D7873" t="s">
        <v>1</v>
      </c>
      <c r="E7873" t="s">
        <v>1</v>
      </c>
      <c r="F7873" t="s">
        <v>0</v>
      </c>
      <c r="G7873" t="str">
        <f>"2018-10-16 10:36:29"</f>
        <v>2018-10-16 10:36:29</v>
      </c>
    </row>
    <row r="7874" spans="1:7" x14ac:dyDescent="0.2">
      <c r="A7874" t="s">
        <v>1</v>
      </c>
      <c r="B7874" t="str">
        <f>"18166076019"</f>
        <v>18166076019</v>
      </c>
      <c r="C7874" t="s">
        <v>1</v>
      </c>
      <c r="D7874" t="s">
        <v>1</v>
      </c>
      <c r="E7874" t="s">
        <v>1</v>
      </c>
      <c r="F7874" t="s">
        <v>0</v>
      </c>
      <c r="G7874" t="str">
        <f>"2018-10-16 10:37:41"</f>
        <v>2018-10-16 10:37:41</v>
      </c>
    </row>
    <row r="7875" spans="1:7" x14ac:dyDescent="0.2">
      <c r="A7875" t="s">
        <v>1</v>
      </c>
      <c r="B7875" t="str">
        <f>"13598250198"</f>
        <v>13598250198</v>
      </c>
      <c r="C7875" t="s">
        <v>1</v>
      </c>
      <c r="D7875" t="s">
        <v>1</v>
      </c>
      <c r="E7875" t="s">
        <v>1</v>
      </c>
      <c r="F7875" t="s">
        <v>0</v>
      </c>
      <c r="G7875" t="str">
        <f>"2018-10-16 10:36:12"</f>
        <v>2018-10-16 10:36:12</v>
      </c>
    </row>
    <row r="7876" spans="1:7" x14ac:dyDescent="0.2">
      <c r="A7876" t="s">
        <v>1</v>
      </c>
      <c r="B7876" t="str">
        <f>"13330170923"</f>
        <v>13330170923</v>
      </c>
      <c r="C7876" t="s">
        <v>1</v>
      </c>
      <c r="D7876" t="s">
        <v>1</v>
      </c>
      <c r="E7876" t="s">
        <v>1</v>
      </c>
      <c r="F7876" t="s">
        <v>0</v>
      </c>
      <c r="G7876" t="str">
        <f>"2018-10-16 10:36:12"</f>
        <v>2018-10-16 10:36:12</v>
      </c>
    </row>
    <row r="7877" spans="1:7" x14ac:dyDescent="0.2">
      <c r="A7877" t="s">
        <v>8627</v>
      </c>
      <c r="B7877" t="str">
        <f>"15072041910"</f>
        <v>15072041910</v>
      </c>
      <c r="C7877" t="str">
        <f>"420281199508125073"</f>
        <v>420281199508125073</v>
      </c>
      <c r="D7877" t="s">
        <v>8628</v>
      </c>
      <c r="E7877" t="s">
        <v>8629</v>
      </c>
      <c r="F7877" t="s">
        <v>0</v>
      </c>
      <c r="G7877" t="str">
        <f>"2018-10-17 16:34:15"</f>
        <v>2018-10-17 16:34:15</v>
      </c>
    </row>
    <row r="7878" spans="1:7" x14ac:dyDescent="0.2">
      <c r="A7878" t="s">
        <v>8630</v>
      </c>
      <c r="B7878" t="str">
        <f>"17779303182"</f>
        <v>17779303182</v>
      </c>
      <c r="C7878" t="str">
        <f>"362324198406124511"</f>
        <v>362324198406124511</v>
      </c>
      <c r="D7878" t="s">
        <v>1</v>
      </c>
      <c r="E7878" t="s">
        <v>1</v>
      </c>
      <c r="F7878" t="s">
        <v>0</v>
      </c>
      <c r="G7878" t="str">
        <f>"2018-10-16 10:37:35"</f>
        <v>2018-10-16 10:37:35</v>
      </c>
    </row>
    <row r="7879" spans="1:7" x14ac:dyDescent="0.2">
      <c r="A7879" t="s">
        <v>1</v>
      </c>
      <c r="B7879" t="str">
        <f>"18912750822"</f>
        <v>18912750822</v>
      </c>
      <c r="C7879" t="s">
        <v>1</v>
      </c>
      <c r="D7879" t="s">
        <v>1</v>
      </c>
      <c r="E7879" t="s">
        <v>1</v>
      </c>
      <c r="F7879" t="s">
        <v>0</v>
      </c>
      <c r="G7879" t="str">
        <f>"2018-10-16 10:35:57"</f>
        <v>2018-10-16 10:35:57</v>
      </c>
    </row>
    <row r="7880" spans="1:7" x14ac:dyDescent="0.2">
      <c r="A7880" t="s">
        <v>1</v>
      </c>
      <c r="B7880" t="str">
        <f>"13794383524"</f>
        <v>13794383524</v>
      </c>
      <c r="C7880" t="s">
        <v>1</v>
      </c>
      <c r="D7880" t="s">
        <v>1</v>
      </c>
      <c r="E7880" t="s">
        <v>1</v>
      </c>
      <c r="F7880" t="s">
        <v>0</v>
      </c>
      <c r="G7880" t="str">
        <f>"2018-10-16 10:35:34"</f>
        <v>2018-10-16 10:35:34</v>
      </c>
    </row>
    <row r="7881" spans="1:7" x14ac:dyDescent="0.2">
      <c r="A7881" t="s">
        <v>8631</v>
      </c>
      <c r="B7881" t="str">
        <f>"15353158378"</f>
        <v>15353158378</v>
      </c>
      <c r="C7881" t="str">
        <f>"610425198803211717"</f>
        <v>610425198803211717</v>
      </c>
      <c r="D7881" t="s">
        <v>1</v>
      </c>
      <c r="E7881" t="s">
        <v>1</v>
      </c>
      <c r="F7881" t="s">
        <v>0</v>
      </c>
      <c r="G7881" t="str">
        <f>"2018-10-16 10:37:02"</f>
        <v>2018-10-16 10:37:02</v>
      </c>
    </row>
    <row r="7882" spans="1:7" x14ac:dyDescent="0.2">
      <c r="A7882" t="s">
        <v>1</v>
      </c>
      <c r="B7882" t="str">
        <f>"18161126788"</f>
        <v>18161126788</v>
      </c>
      <c r="C7882" t="s">
        <v>1</v>
      </c>
      <c r="D7882" t="s">
        <v>1</v>
      </c>
      <c r="E7882" t="s">
        <v>1</v>
      </c>
      <c r="F7882" t="s">
        <v>0</v>
      </c>
      <c r="G7882" t="str">
        <f>"2018-10-16 10:36:44"</f>
        <v>2018-10-16 10:36:44</v>
      </c>
    </row>
    <row r="7883" spans="1:7" x14ac:dyDescent="0.2">
      <c r="A7883" t="s">
        <v>8632</v>
      </c>
      <c r="B7883" t="str">
        <f>"15992033519"</f>
        <v>15992033519</v>
      </c>
      <c r="C7883" t="str">
        <f>"441882199609055725"</f>
        <v>441882199609055725</v>
      </c>
      <c r="D7883" t="s">
        <v>1</v>
      </c>
      <c r="E7883" t="s">
        <v>1</v>
      </c>
      <c r="F7883" t="s">
        <v>0</v>
      </c>
      <c r="G7883" t="str">
        <f>"2018-10-16 10:37:16"</f>
        <v>2018-10-16 10:37:16</v>
      </c>
    </row>
    <row r="7884" spans="1:7" x14ac:dyDescent="0.2">
      <c r="A7884" t="s">
        <v>1</v>
      </c>
      <c r="B7884" t="str">
        <f>"18085102430"</f>
        <v>18085102430</v>
      </c>
      <c r="C7884" t="s">
        <v>1</v>
      </c>
      <c r="D7884" t="s">
        <v>1</v>
      </c>
      <c r="E7884" t="s">
        <v>1</v>
      </c>
      <c r="F7884" t="s">
        <v>0</v>
      </c>
      <c r="G7884" t="str">
        <f>"2018-10-16 10:35:11"</f>
        <v>2018-10-16 10:35:11</v>
      </c>
    </row>
    <row r="7885" spans="1:7" x14ac:dyDescent="0.2">
      <c r="A7885" t="s">
        <v>266</v>
      </c>
      <c r="B7885" t="str">
        <f>"13714982277"</f>
        <v>13714982277</v>
      </c>
      <c r="C7885" t="str">
        <f>"445224198512106314"</f>
        <v>445224198512106314</v>
      </c>
      <c r="D7885" t="s">
        <v>1</v>
      </c>
      <c r="E7885" t="s">
        <v>1</v>
      </c>
      <c r="F7885" t="s">
        <v>0</v>
      </c>
      <c r="G7885" t="str">
        <f>"2018-10-16 10:36:41"</f>
        <v>2018-10-16 10:36:41</v>
      </c>
    </row>
    <row r="7886" spans="1:7" x14ac:dyDescent="0.2">
      <c r="A7886" t="s">
        <v>8633</v>
      </c>
      <c r="B7886" t="str">
        <f>"15958716242"</f>
        <v>15958716242</v>
      </c>
      <c r="C7886" t="str">
        <f>"362330199102104599"</f>
        <v>362330199102104599</v>
      </c>
      <c r="D7886" t="s">
        <v>1</v>
      </c>
      <c r="E7886" t="s">
        <v>1</v>
      </c>
      <c r="F7886" t="s">
        <v>0</v>
      </c>
      <c r="G7886" t="str">
        <f>"2018-10-16 10:34:55"</f>
        <v>2018-10-16 10:34:55</v>
      </c>
    </row>
    <row r="7887" spans="1:7" x14ac:dyDescent="0.2">
      <c r="A7887" t="s">
        <v>8634</v>
      </c>
      <c r="B7887" t="str">
        <f>"18365419676"</f>
        <v>18365419676</v>
      </c>
      <c r="C7887" t="str">
        <f>"360721198609204467"</f>
        <v>360721198609204467</v>
      </c>
      <c r="D7887" t="s">
        <v>8635</v>
      </c>
      <c r="E7887" t="s">
        <v>8636</v>
      </c>
      <c r="F7887" t="s">
        <v>0</v>
      </c>
      <c r="G7887" t="str">
        <f>"2018-11-02 17:20:53"</f>
        <v>2018-11-02 17:20:53</v>
      </c>
    </row>
    <row r="7888" spans="1:7" x14ac:dyDescent="0.2">
      <c r="A7888" t="s">
        <v>8637</v>
      </c>
      <c r="B7888" t="str">
        <f>"13331269678"</f>
        <v>13331269678</v>
      </c>
      <c r="C7888" t="str">
        <f>"130524198107104023"</f>
        <v>130524198107104023</v>
      </c>
      <c r="D7888" t="s">
        <v>1</v>
      </c>
      <c r="E7888" t="s">
        <v>1</v>
      </c>
      <c r="F7888" t="s">
        <v>0</v>
      </c>
      <c r="G7888" t="str">
        <f>"2018-10-27 20:30:05"</f>
        <v>2018-10-27 20:30:05</v>
      </c>
    </row>
    <row r="7889" spans="1:7" x14ac:dyDescent="0.2">
      <c r="A7889" t="s">
        <v>8638</v>
      </c>
      <c r="B7889" t="str">
        <f>"18993179482"</f>
        <v>18993179482</v>
      </c>
      <c r="C7889" t="str">
        <f>"620123199104180955"</f>
        <v>620123199104180955</v>
      </c>
      <c r="D7889" t="s">
        <v>1</v>
      </c>
      <c r="E7889" t="s">
        <v>1</v>
      </c>
      <c r="F7889" t="s">
        <v>0</v>
      </c>
      <c r="G7889" t="str">
        <f>"2018-10-16 10:34:29"</f>
        <v>2018-10-16 10:34:29</v>
      </c>
    </row>
    <row r="7890" spans="1:7" x14ac:dyDescent="0.2">
      <c r="A7890" t="s">
        <v>8639</v>
      </c>
      <c r="B7890" t="str">
        <f>"13302025920"</f>
        <v>13302025920</v>
      </c>
      <c r="C7890" t="str">
        <f>"120102198909140622"</f>
        <v>120102198909140622</v>
      </c>
      <c r="D7890" t="s">
        <v>1</v>
      </c>
      <c r="E7890" t="s">
        <v>1</v>
      </c>
      <c r="F7890" t="s">
        <v>0</v>
      </c>
      <c r="G7890" t="str">
        <f>"2018-10-16 10:36:04"</f>
        <v>2018-10-16 10:36:04</v>
      </c>
    </row>
    <row r="7891" spans="1:7" x14ac:dyDescent="0.2">
      <c r="A7891" t="s">
        <v>393</v>
      </c>
      <c r="B7891" t="str">
        <f>"13548957647"</f>
        <v>13548957647</v>
      </c>
      <c r="C7891" t="str">
        <f>"430124199306225163"</f>
        <v>430124199306225163</v>
      </c>
      <c r="D7891" t="s">
        <v>8640</v>
      </c>
      <c r="E7891" t="s">
        <v>8641</v>
      </c>
      <c r="F7891" t="s">
        <v>0</v>
      </c>
      <c r="G7891" t="str">
        <f>"2018-10-16 10:37:12"</f>
        <v>2018-10-16 10:37:12</v>
      </c>
    </row>
    <row r="7892" spans="1:7" x14ac:dyDescent="0.2">
      <c r="A7892" t="s">
        <v>1</v>
      </c>
      <c r="B7892" t="str">
        <f>"13296730494"</f>
        <v>13296730494</v>
      </c>
      <c r="C7892" t="s">
        <v>1</v>
      </c>
      <c r="D7892" t="s">
        <v>1</v>
      </c>
      <c r="E7892" t="s">
        <v>1</v>
      </c>
      <c r="F7892" t="s">
        <v>0</v>
      </c>
      <c r="G7892" t="str">
        <f>"2018-10-16 10:34:19"</f>
        <v>2018-10-16 10:34:19</v>
      </c>
    </row>
    <row r="7893" spans="1:7" x14ac:dyDescent="0.2">
      <c r="A7893" t="s">
        <v>1776</v>
      </c>
      <c r="B7893" t="str">
        <f>"18773162074"</f>
        <v>18773162074</v>
      </c>
      <c r="C7893" t="str">
        <f>"430181199801078815"</f>
        <v>430181199801078815</v>
      </c>
      <c r="D7893" t="s">
        <v>8642</v>
      </c>
      <c r="E7893" t="s">
        <v>8643</v>
      </c>
      <c r="F7893" t="s">
        <v>0</v>
      </c>
      <c r="G7893" t="str">
        <f>"2018-10-18 14:21:09"</f>
        <v>2018-10-18 14:21:09</v>
      </c>
    </row>
    <row r="7894" spans="1:7" x14ac:dyDescent="0.2">
      <c r="A7894" t="s">
        <v>1</v>
      </c>
      <c r="B7894" t="str">
        <f>"13342003225"</f>
        <v>13342003225</v>
      </c>
      <c r="C7894" t="s">
        <v>1</v>
      </c>
      <c r="D7894" t="s">
        <v>1</v>
      </c>
      <c r="E7894" t="s">
        <v>1</v>
      </c>
      <c r="F7894" t="s">
        <v>0</v>
      </c>
      <c r="G7894" t="str">
        <f>"2018-10-16 10:35:58"</f>
        <v>2018-10-16 10:35:58</v>
      </c>
    </row>
    <row r="7895" spans="1:7" x14ac:dyDescent="0.2">
      <c r="A7895" t="s">
        <v>1325</v>
      </c>
      <c r="B7895" t="str">
        <f>"15580731918"</f>
        <v>15580731918</v>
      </c>
      <c r="C7895" t="str">
        <f>"433027197809140441"</f>
        <v>433027197809140441</v>
      </c>
      <c r="D7895" t="s">
        <v>1</v>
      </c>
      <c r="E7895" t="s">
        <v>1</v>
      </c>
      <c r="F7895" t="s">
        <v>0</v>
      </c>
      <c r="G7895" t="str">
        <f>"2018-10-16 10:35:21"</f>
        <v>2018-10-16 10:35:21</v>
      </c>
    </row>
    <row r="7896" spans="1:7" x14ac:dyDescent="0.2">
      <c r="A7896" t="s">
        <v>1</v>
      </c>
      <c r="B7896" t="str">
        <f>"13339231088"</f>
        <v>13339231088</v>
      </c>
      <c r="C7896" t="s">
        <v>1</v>
      </c>
      <c r="D7896" t="s">
        <v>1</v>
      </c>
      <c r="E7896" t="s">
        <v>1</v>
      </c>
      <c r="F7896" t="s">
        <v>0</v>
      </c>
      <c r="G7896" t="str">
        <f>"2018-10-16 10:33:54"</f>
        <v>2018-10-16 10:33:54</v>
      </c>
    </row>
    <row r="7897" spans="1:7" x14ac:dyDescent="0.2">
      <c r="A7897" t="s">
        <v>1</v>
      </c>
      <c r="B7897" t="str">
        <f>"17721542331"</f>
        <v>17721542331</v>
      </c>
      <c r="C7897" t="s">
        <v>1</v>
      </c>
      <c r="D7897" t="s">
        <v>1</v>
      </c>
      <c r="E7897" t="s">
        <v>1</v>
      </c>
      <c r="F7897" t="s">
        <v>0</v>
      </c>
      <c r="G7897" t="str">
        <f>"2018-10-16 10:35:24"</f>
        <v>2018-10-16 10:35:24</v>
      </c>
    </row>
    <row r="7898" spans="1:7" x14ac:dyDescent="0.2">
      <c r="A7898" t="s">
        <v>8644</v>
      </c>
      <c r="B7898" t="str">
        <f>"17719519951"</f>
        <v>17719519951</v>
      </c>
      <c r="C7898" t="str">
        <f>"610624199102192516"</f>
        <v>610624199102192516</v>
      </c>
      <c r="D7898" t="s">
        <v>1</v>
      </c>
      <c r="E7898" t="s">
        <v>1</v>
      </c>
      <c r="F7898" t="s">
        <v>0</v>
      </c>
      <c r="G7898" t="str">
        <f>"2018-10-20 18:02:36"</f>
        <v>2018-10-20 18:02:36</v>
      </c>
    </row>
    <row r="7899" spans="1:7" x14ac:dyDescent="0.2">
      <c r="A7899" t="s">
        <v>1</v>
      </c>
      <c r="B7899" t="str">
        <f>"13299480143"</f>
        <v>13299480143</v>
      </c>
      <c r="C7899" t="s">
        <v>1</v>
      </c>
      <c r="D7899" t="s">
        <v>1</v>
      </c>
      <c r="E7899" t="s">
        <v>1</v>
      </c>
      <c r="F7899" t="s">
        <v>0</v>
      </c>
      <c r="G7899" t="str">
        <f>"2018-10-16 10:33:18"</f>
        <v>2018-10-16 10:33:18</v>
      </c>
    </row>
    <row r="7900" spans="1:7" x14ac:dyDescent="0.2">
      <c r="A7900" t="s">
        <v>8645</v>
      </c>
      <c r="B7900" t="str">
        <f>"18997531938"</f>
        <v>18997531938</v>
      </c>
      <c r="C7900" t="str">
        <f>"65322419840531115X"</f>
        <v>65322419840531115X</v>
      </c>
      <c r="D7900" t="s">
        <v>8646</v>
      </c>
      <c r="E7900" t="s">
        <v>8647</v>
      </c>
      <c r="F7900" t="s">
        <v>0</v>
      </c>
      <c r="G7900" t="str">
        <f>"2018-10-16 10:35:44"</f>
        <v>2018-10-16 10:35:44</v>
      </c>
    </row>
    <row r="7901" spans="1:7" x14ac:dyDescent="0.2">
      <c r="A7901" t="s">
        <v>8648</v>
      </c>
      <c r="B7901" t="str">
        <f>"17761197867"</f>
        <v>17761197867</v>
      </c>
      <c r="C7901" t="str">
        <f>"510125199210190919"</f>
        <v>510125199210190919</v>
      </c>
      <c r="D7901" t="s">
        <v>1</v>
      </c>
      <c r="E7901" t="s">
        <v>1</v>
      </c>
      <c r="F7901" t="s">
        <v>0</v>
      </c>
      <c r="G7901" t="str">
        <f>"2018-10-16 10:36:17"</f>
        <v>2018-10-16 10:36:17</v>
      </c>
    </row>
    <row r="7902" spans="1:7" x14ac:dyDescent="0.2">
      <c r="A7902" t="s">
        <v>1</v>
      </c>
      <c r="B7902" t="str">
        <f>"18077168881"</f>
        <v>18077168881</v>
      </c>
      <c r="C7902" t="s">
        <v>1</v>
      </c>
      <c r="D7902" t="s">
        <v>1</v>
      </c>
      <c r="E7902" t="s">
        <v>1</v>
      </c>
      <c r="F7902" t="s">
        <v>0</v>
      </c>
      <c r="G7902" t="str">
        <f>"2018-10-16 10:33:01"</f>
        <v>2018-10-16 10:33:01</v>
      </c>
    </row>
    <row r="7903" spans="1:7" x14ac:dyDescent="0.2">
      <c r="A7903" t="s">
        <v>1</v>
      </c>
      <c r="B7903" t="str">
        <f>"18945594913"</f>
        <v>18945594913</v>
      </c>
      <c r="C7903" t="s">
        <v>1</v>
      </c>
      <c r="D7903" t="s">
        <v>1</v>
      </c>
      <c r="E7903" t="s">
        <v>1</v>
      </c>
      <c r="F7903" t="s">
        <v>0</v>
      </c>
      <c r="G7903" t="str">
        <f>"2018-10-16 10:33:01"</f>
        <v>2018-10-16 10:33:01</v>
      </c>
    </row>
    <row r="7904" spans="1:7" x14ac:dyDescent="0.2">
      <c r="A7904" t="s">
        <v>8649</v>
      </c>
      <c r="B7904" t="str">
        <f>"17790745076"</f>
        <v>17790745076</v>
      </c>
      <c r="C7904" t="str">
        <f>"150923199712054216"</f>
        <v>150923199712054216</v>
      </c>
      <c r="D7904" t="s">
        <v>8650</v>
      </c>
      <c r="E7904" t="s">
        <v>8651</v>
      </c>
      <c r="F7904" t="s">
        <v>0</v>
      </c>
      <c r="G7904" t="str">
        <f>"2018-10-16 10:33:59"</f>
        <v>2018-10-16 10:33:59</v>
      </c>
    </row>
    <row r="7905" spans="1:7" x14ac:dyDescent="0.2">
      <c r="A7905" t="s">
        <v>8652</v>
      </c>
      <c r="B7905" t="str">
        <f>"18153959791"</f>
        <v>18153959791</v>
      </c>
      <c r="C7905" t="str">
        <f>"620123199112285415"</f>
        <v>620123199112285415</v>
      </c>
      <c r="D7905" t="s">
        <v>1</v>
      </c>
      <c r="E7905" t="s">
        <v>1</v>
      </c>
      <c r="F7905" t="s">
        <v>0</v>
      </c>
      <c r="G7905" t="str">
        <f>"2018-10-16 10:36:14"</f>
        <v>2018-10-16 10:36:14</v>
      </c>
    </row>
    <row r="7906" spans="1:7" x14ac:dyDescent="0.2">
      <c r="A7906" t="s">
        <v>8653</v>
      </c>
      <c r="B7906" t="str">
        <f>"18143754226"</f>
        <v>18143754226</v>
      </c>
      <c r="C7906" t="str">
        <f>"622424199512064712"</f>
        <v>622424199512064712</v>
      </c>
      <c r="D7906" t="s">
        <v>1</v>
      </c>
      <c r="E7906" t="s">
        <v>1</v>
      </c>
      <c r="F7906" t="s">
        <v>0</v>
      </c>
      <c r="G7906" t="str">
        <f>"2018-10-16 10:34:09"</f>
        <v>2018-10-16 10:34:09</v>
      </c>
    </row>
    <row r="7907" spans="1:7" x14ac:dyDescent="0.2">
      <c r="A7907" t="s">
        <v>8654</v>
      </c>
      <c r="B7907" t="str">
        <f>"13350219838"</f>
        <v>13350219838</v>
      </c>
      <c r="C7907" t="str">
        <f>"510921197703208653"</f>
        <v>510921197703208653</v>
      </c>
      <c r="D7907" t="s">
        <v>1</v>
      </c>
      <c r="E7907" t="s">
        <v>1</v>
      </c>
      <c r="F7907" t="s">
        <v>0</v>
      </c>
      <c r="G7907" t="str">
        <f>"2018-10-16 10:33:15"</f>
        <v>2018-10-16 10:33:15</v>
      </c>
    </row>
    <row r="7908" spans="1:7" x14ac:dyDescent="0.2">
      <c r="A7908" t="s">
        <v>1</v>
      </c>
      <c r="B7908" t="str">
        <f>"18009462645"</f>
        <v>18009462645</v>
      </c>
      <c r="C7908" t="s">
        <v>1</v>
      </c>
      <c r="D7908" t="s">
        <v>1</v>
      </c>
      <c r="E7908" t="s">
        <v>1</v>
      </c>
      <c r="F7908" t="s">
        <v>0</v>
      </c>
      <c r="G7908" t="str">
        <f>"2018-10-16 10:32:29"</f>
        <v>2018-10-16 10:32:29</v>
      </c>
    </row>
    <row r="7909" spans="1:7" x14ac:dyDescent="0.2">
      <c r="A7909" t="s">
        <v>1</v>
      </c>
      <c r="B7909" t="str">
        <f>"13836260292"</f>
        <v>13836260292</v>
      </c>
      <c r="C7909" t="s">
        <v>1</v>
      </c>
      <c r="D7909" t="s">
        <v>1</v>
      </c>
      <c r="E7909" t="s">
        <v>1</v>
      </c>
      <c r="F7909" t="s">
        <v>0</v>
      </c>
      <c r="G7909" t="str">
        <f>"2018-10-16 10:32:28"</f>
        <v>2018-10-16 10:32:28</v>
      </c>
    </row>
    <row r="7910" spans="1:7" x14ac:dyDescent="0.2">
      <c r="A7910" t="s">
        <v>8655</v>
      </c>
      <c r="B7910" t="str">
        <f>"18075500810"</f>
        <v>18075500810</v>
      </c>
      <c r="C7910" t="str">
        <f>"431002199406130513"</f>
        <v>431002199406130513</v>
      </c>
      <c r="D7910" t="s">
        <v>1</v>
      </c>
      <c r="E7910" t="s">
        <v>1</v>
      </c>
      <c r="F7910" t="s">
        <v>0</v>
      </c>
      <c r="G7910" t="str">
        <f>"2018-10-26 14:56:48"</f>
        <v>2018-10-26 14:56:48</v>
      </c>
    </row>
    <row r="7911" spans="1:7" x14ac:dyDescent="0.2">
      <c r="A7911" t="s">
        <v>8656</v>
      </c>
      <c r="B7911" t="str">
        <f>"13302011603"</f>
        <v>13302011603</v>
      </c>
      <c r="C7911" t="str">
        <f>"120103198010206124"</f>
        <v>120103198010206124</v>
      </c>
      <c r="D7911" t="s">
        <v>1</v>
      </c>
      <c r="E7911" t="s">
        <v>1</v>
      </c>
      <c r="F7911" t="s">
        <v>0</v>
      </c>
      <c r="G7911" t="str">
        <f>"2018-10-16 10:36:10"</f>
        <v>2018-10-16 10:36:10</v>
      </c>
    </row>
    <row r="7912" spans="1:7" x14ac:dyDescent="0.2">
      <c r="A7912" t="s">
        <v>8657</v>
      </c>
      <c r="B7912" t="str">
        <f>"18920067869"</f>
        <v>18920067869</v>
      </c>
      <c r="C7912" t="str">
        <f>"120225199010132514"</f>
        <v>120225199010132514</v>
      </c>
      <c r="D7912" t="s">
        <v>1</v>
      </c>
      <c r="E7912" t="s">
        <v>1</v>
      </c>
      <c r="F7912" t="s">
        <v>0</v>
      </c>
      <c r="G7912" t="str">
        <f>"2018-10-16 10:34:51"</f>
        <v>2018-10-16 10:34:51</v>
      </c>
    </row>
    <row r="7913" spans="1:7" x14ac:dyDescent="0.2">
      <c r="A7913" t="s">
        <v>8658</v>
      </c>
      <c r="B7913" t="str">
        <f>"15393398682"</f>
        <v>15393398682</v>
      </c>
      <c r="C7913" t="str">
        <f>"620421196302110034"</f>
        <v>620421196302110034</v>
      </c>
      <c r="D7913" t="s">
        <v>1</v>
      </c>
      <c r="E7913" t="s">
        <v>1</v>
      </c>
      <c r="F7913" t="s">
        <v>0</v>
      </c>
      <c r="G7913" t="str">
        <f>"2018-10-16 10:40:10"</f>
        <v>2018-10-16 10:40:10</v>
      </c>
    </row>
    <row r="7914" spans="1:7" x14ac:dyDescent="0.2">
      <c r="A7914" t="s">
        <v>1092</v>
      </c>
      <c r="B7914" t="str">
        <f>"18106600355"</f>
        <v>18106600355</v>
      </c>
      <c r="C7914" t="str">
        <f>"332603197704180911"</f>
        <v>332603197704180911</v>
      </c>
      <c r="D7914" t="s">
        <v>1</v>
      </c>
      <c r="E7914" t="s">
        <v>1</v>
      </c>
      <c r="F7914" t="s">
        <v>0</v>
      </c>
      <c r="G7914" t="str">
        <f>"2018-10-16 10:33:02"</f>
        <v>2018-10-16 10:33:02</v>
      </c>
    </row>
    <row r="7915" spans="1:7" x14ac:dyDescent="0.2">
      <c r="A7915" t="s">
        <v>1</v>
      </c>
      <c r="B7915" t="str">
        <f>"18158113239"</f>
        <v>18158113239</v>
      </c>
      <c r="C7915" t="s">
        <v>1</v>
      </c>
      <c r="D7915" t="s">
        <v>1</v>
      </c>
      <c r="E7915" t="s">
        <v>1</v>
      </c>
      <c r="F7915" t="s">
        <v>0</v>
      </c>
      <c r="G7915" t="str">
        <f>"2018-10-16 10:36:19"</f>
        <v>2018-10-16 10:36:19</v>
      </c>
    </row>
    <row r="7916" spans="1:7" x14ac:dyDescent="0.2">
      <c r="A7916" t="s">
        <v>1</v>
      </c>
      <c r="B7916" t="str">
        <f>"13567979200"</f>
        <v>13567979200</v>
      </c>
      <c r="C7916" t="s">
        <v>1</v>
      </c>
      <c r="D7916" t="s">
        <v>1</v>
      </c>
      <c r="E7916" t="s">
        <v>1</v>
      </c>
      <c r="F7916" t="s">
        <v>0</v>
      </c>
      <c r="G7916" t="str">
        <f>"2018-10-16 10:33:19"</f>
        <v>2018-10-16 10:33:19</v>
      </c>
    </row>
    <row r="7917" spans="1:7" x14ac:dyDescent="0.2">
      <c r="A7917" t="s">
        <v>1</v>
      </c>
      <c r="B7917" t="str">
        <f>"18177502270"</f>
        <v>18177502270</v>
      </c>
      <c r="C7917" t="s">
        <v>1</v>
      </c>
      <c r="D7917" t="s">
        <v>1</v>
      </c>
      <c r="E7917" t="s">
        <v>1</v>
      </c>
      <c r="F7917" t="s">
        <v>0</v>
      </c>
      <c r="G7917" t="str">
        <f>"2018-10-16 10:35:02"</f>
        <v>2018-10-16 10:35:02</v>
      </c>
    </row>
    <row r="7918" spans="1:7" x14ac:dyDescent="0.2">
      <c r="A7918" t="s">
        <v>1</v>
      </c>
      <c r="B7918" t="str">
        <f>"13310455044"</f>
        <v>13310455044</v>
      </c>
      <c r="C7918" t="s">
        <v>1</v>
      </c>
      <c r="D7918" t="s">
        <v>1</v>
      </c>
      <c r="E7918" t="s">
        <v>1</v>
      </c>
      <c r="F7918" t="s">
        <v>0</v>
      </c>
      <c r="G7918" t="str">
        <f>"2018-10-16 10:31:40"</f>
        <v>2018-10-16 10:31:40</v>
      </c>
    </row>
    <row r="7919" spans="1:7" x14ac:dyDescent="0.2">
      <c r="A7919" t="s">
        <v>8659</v>
      </c>
      <c r="B7919" t="str">
        <f>"18359598178"</f>
        <v>18359598178</v>
      </c>
      <c r="C7919" t="str">
        <f>"350425199608082420"</f>
        <v>350425199608082420</v>
      </c>
      <c r="D7919" t="s">
        <v>8660</v>
      </c>
      <c r="E7919" t="s">
        <v>8661</v>
      </c>
      <c r="F7919" t="s">
        <v>0</v>
      </c>
      <c r="G7919" t="str">
        <f>"2018-10-16 10:32:34"</f>
        <v>2018-10-16 10:32:34</v>
      </c>
    </row>
    <row r="7920" spans="1:7" x14ac:dyDescent="0.2">
      <c r="A7920" t="s">
        <v>1</v>
      </c>
      <c r="B7920" t="str">
        <f>"18958986638"</f>
        <v>18958986638</v>
      </c>
      <c r="C7920" t="s">
        <v>1</v>
      </c>
      <c r="D7920" t="s">
        <v>1</v>
      </c>
      <c r="E7920" t="s">
        <v>1</v>
      </c>
      <c r="F7920" t="s">
        <v>0</v>
      </c>
      <c r="G7920" t="str">
        <f>"2018-10-16 10:31:19"</f>
        <v>2018-10-16 10:31:19</v>
      </c>
    </row>
    <row r="7921" spans="1:7" x14ac:dyDescent="0.2">
      <c r="A7921" t="s">
        <v>8662</v>
      </c>
      <c r="B7921" t="str">
        <f>"18183170208"</f>
        <v>18183170208</v>
      </c>
      <c r="C7921" t="str">
        <f>"511227197509073514"</f>
        <v>511227197509073514</v>
      </c>
      <c r="D7921" t="s">
        <v>1</v>
      </c>
      <c r="E7921" t="s">
        <v>1</v>
      </c>
      <c r="F7921" t="s">
        <v>0</v>
      </c>
      <c r="G7921" t="str">
        <f>"2018-10-16 10:33:28"</f>
        <v>2018-10-16 10:33:28</v>
      </c>
    </row>
    <row r="7922" spans="1:7" x14ac:dyDescent="0.2">
      <c r="A7922" t="s">
        <v>1</v>
      </c>
      <c r="B7922" t="str">
        <f>"13361535916"</f>
        <v>13361535916</v>
      </c>
      <c r="C7922" t="s">
        <v>1</v>
      </c>
      <c r="D7922" t="s">
        <v>1</v>
      </c>
      <c r="E7922" t="s">
        <v>1</v>
      </c>
      <c r="F7922" t="s">
        <v>0</v>
      </c>
      <c r="G7922" t="str">
        <f>"2018-10-16 10:31:02"</f>
        <v>2018-10-16 10:31:02</v>
      </c>
    </row>
    <row r="7923" spans="1:7" x14ac:dyDescent="0.2">
      <c r="A7923" t="s">
        <v>8663</v>
      </c>
      <c r="B7923" t="str">
        <f>"18633459880"</f>
        <v>18633459880</v>
      </c>
      <c r="C7923" t="str">
        <f>"130182198206142932"</f>
        <v>130182198206142932</v>
      </c>
      <c r="D7923" t="s">
        <v>8664</v>
      </c>
      <c r="E7923" t="s">
        <v>8665</v>
      </c>
      <c r="F7923" t="s">
        <v>0</v>
      </c>
      <c r="G7923" t="str">
        <f>"2018-10-16 11:06:14"</f>
        <v>2018-10-16 11:06:14</v>
      </c>
    </row>
    <row r="7924" spans="1:7" x14ac:dyDescent="0.2">
      <c r="A7924" t="s">
        <v>8666</v>
      </c>
      <c r="B7924" t="str">
        <f>"15875551881"</f>
        <v>15875551881</v>
      </c>
      <c r="C7924" t="str">
        <f>"522422199205022639"</f>
        <v>522422199205022639</v>
      </c>
      <c r="D7924" t="s">
        <v>1</v>
      </c>
      <c r="E7924" t="s">
        <v>1</v>
      </c>
      <c r="F7924" t="s">
        <v>0</v>
      </c>
      <c r="G7924" t="str">
        <f>"2018-10-16 10:40:27"</f>
        <v>2018-10-16 10:40:27</v>
      </c>
    </row>
    <row r="7925" spans="1:7" x14ac:dyDescent="0.2">
      <c r="A7925" t="s">
        <v>1</v>
      </c>
      <c r="B7925" t="str">
        <f>"17731034579"</f>
        <v>17731034579</v>
      </c>
      <c r="C7925" t="s">
        <v>1</v>
      </c>
      <c r="D7925" t="s">
        <v>1</v>
      </c>
      <c r="E7925" t="s">
        <v>1</v>
      </c>
      <c r="F7925" t="s">
        <v>0</v>
      </c>
      <c r="G7925" t="str">
        <f>"2018-10-16 10:31:46"</f>
        <v>2018-10-16 10:31:46</v>
      </c>
    </row>
    <row r="7926" spans="1:7" x14ac:dyDescent="0.2">
      <c r="A7926" t="s">
        <v>8667</v>
      </c>
      <c r="B7926" t="str">
        <f>"17795466949"</f>
        <v>17795466949</v>
      </c>
      <c r="C7926" t="str">
        <f>"642226198404123413"</f>
        <v>642226198404123413</v>
      </c>
      <c r="D7926" t="s">
        <v>1</v>
      </c>
      <c r="E7926" t="s">
        <v>1</v>
      </c>
      <c r="F7926" t="s">
        <v>0</v>
      </c>
      <c r="G7926" t="str">
        <f>"2018-10-16 10:32:43"</f>
        <v>2018-10-16 10:32:43</v>
      </c>
    </row>
    <row r="7927" spans="1:7" x14ac:dyDescent="0.2">
      <c r="A7927" t="s">
        <v>1</v>
      </c>
      <c r="B7927" t="str">
        <f>"13221747309"</f>
        <v>13221747309</v>
      </c>
      <c r="C7927" t="s">
        <v>1</v>
      </c>
      <c r="D7927" t="s">
        <v>1</v>
      </c>
      <c r="E7927" t="s">
        <v>1</v>
      </c>
      <c r="F7927" t="s">
        <v>0</v>
      </c>
      <c r="G7927" t="str">
        <f>"2018-10-16 10:29:36"</f>
        <v>2018-10-16 10:29:36</v>
      </c>
    </row>
    <row r="7928" spans="1:7" x14ac:dyDescent="0.2">
      <c r="A7928" t="s">
        <v>1174</v>
      </c>
      <c r="B7928" t="str">
        <f>"15953229284"</f>
        <v>15953229284</v>
      </c>
      <c r="C7928" t="str">
        <f>"370214198606023514"</f>
        <v>370214198606023514</v>
      </c>
      <c r="D7928" t="s">
        <v>8668</v>
      </c>
      <c r="E7928" t="s">
        <v>8669</v>
      </c>
      <c r="F7928" t="s">
        <v>0</v>
      </c>
      <c r="G7928" t="str">
        <f>"2018-10-16 12:23:22"</f>
        <v>2018-10-16 12:23:22</v>
      </c>
    </row>
    <row r="7929" spans="1:7" x14ac:dyDescent="0.2">
      <c r="A7929" t="s">
        <v>8670</v>
      </c>
      <c r="B7929" t="str">
        <f>"15262021377"</f>
        <v>15262021377</v>
      </c>
      <c r="C7929" t="str">
        <f>"320322199811175315"</f>
        <v>320322199811175315</v>
      </c>
      <c r="D7929" t="s">
        <v>8671</v>
      </c>
      <c r="E7929" t="s">
        <v>8672</v>
      </c>
      <c r="F7929" t="s">
        <v>0</v>
      </c>
      <c r="G7929" t="str">
        <f>"2018-10-16 10:51:58"</f>
        <v>2018-10-16 10:51:58</v>
      </c>
    </row>
    <row r="7930" spans="1:7" x14ac:dyDescent="0.2">
      <c r="A7930" t="s">
        <v>8673</v>
      </c>
      <c r="B7930" t="str">
        <f>"15591277071"</f>
        <v>15591277071</v>
      </c>
      <c r="C7930" t="str">
        <f>"612727199607011131"</f>
        <v>612727199607011131</v>
      </c>
      <c r="D7930" t="s">
        <v>1</v>
      </c>
      <c r="E7930" t="s">
        <v>1</v>
      </c>
      <c r="F7930" t="s">
        <v>0</v>
      </c>
      <c r="G7930" t="str">
        <f>"2018-10-16 10:32:48"</f>
        <v>2018-10-16 10:32:48</v>
      </c>
    </row>
    <row r="7931" spans="1:7" x14ac:dyDescent="0.2">
      <c r="A7931" t="s">
        <v>8674</v>
      </c>
      <c r="B7931" t="str">
        <f>"15518036823"</f>
        <v>15518036823</v>
      </c>
      <c r="C7931" t="str">
        <f>"412723198602065969"</f>
        <v>412723198602065969</v>
      </c>
      <c r="D7931" t="s">
        <v>1</v>
      </c>
      <c r="E7931" t="s">
        <v>1</v>
      </c>
      <c r="F7931" t="s">
        <v>0</v>
      </c>
      <c r="G7931" t="str">
        <f>"2018-10-18 15:10:50"</f>
        <v>2018-10-18 15:10:50</v>
      </c>
    </row>
    <row r="7932" spans="1:7" x14ac:dyDescent="0.2">
      <c r="A7932" t="s">
        <v>869</v>
      </c>
      <c r="B7932" t="str">
        <f>"18055787287"</f>
        <v>18055787287</v>
      </c>
      <c r="C7932" t="str">
        <f>"342225198504210015"</f>
        <v>342225198504210015</v>
      </c>
      <c r="D7932" t="s">
        <v>8675</v>
      </c>
      <c r="E7932" t="s">
        <v>8676</v>
      </c>
      <c r="F7932" t="s">
        <v>0</v>
      </c>
      <c r="G7932" t="str">
        <f>"2018-10-16 10:41:29"</f>
        <v>2018-10-16 10:41:29</v>
      </c>
    </row>
    <row r="7933" spans="1:7" x14ac:dyDescent="0.2">
      <c r="A7933" t="s">
        <v>8677</v>
      </c>
      <c r="B7933" t="str">
        <f>"13977030687"</f>
        <v>13977030687</v>
      </c>
      <c r="C7933" t="str">
        <f>"450602198106101519"</f>
        <v>450602198106101519</v>
      </c>
      <c r="D7933" t="s">
        <v>8678</v>
      </c>
      <c r="E7933" t="s">
        <v>8679</v>
      </c>
      <c r="F7933" t="s">
        <v>0</v>
      </c>
      <c r="G7933" t="str">
        <f>"2018-10-16 11:22:42"</f>
        <v>2018-10-16 11:22:42</v>
      </c>
    </row>
    <row r="7934" spans="1:7" x14ac:dyDescent="0.2">
      <c r="A7934" t="s">
        <v>1</v>
      </c>
      <c r="B7934" t="str">
        <f>"18098092329"</f>
        <v>18098092329</v>
      </c>
      <c r="C7934" t="s">
        <v>1</v>
      </c>
      <c r="D7934" t="s">
        <v>1</v>
      </c>
      <c r="E7934" t="s">
        <v>1</v>
      </c>
      <c r="F7934" t="s">
        <v>0</v>
      </c>
      <c r="G7934" t="str">
        <f>"2018-10-16 10:27:59"</f>
        <v>2018-10-16 10:27:59</v>
      </c>
    </row>
    <row r="7935" spans="1:7" x14ac:dyDescent="0.2">
      <c r="A7935" t="s">
        <v>8680</v>
      </c>
      <c r="B7935" t="str">
        <f>"13438802655"</f>
        <v>13438802655</v>
      </c>
      <c r="C7935" t="str">
        <f>"511024199206300010"</f>
        <v>511024199206300010</v>
      </c>
      <c r="D7935" t="s">
        <v>1</v>
      </c>
      <c r="E7935" t="s">
        <v>1</v>
      </c>
      <c r="F7935" t="s">
        <v>0</v>
      </c>
      <c r="G7935" t="str">
        <f>"2018-10-16 10:28:34"</f>
        <v>2018-10-16 10:28:34</v>
      </c>
    </row>
    <row r="7936" spans="1:7" x14ac:dyDescent="0.2">
      <c r="A7936" t="s">
        <v>8681</v>
      </c>
      <c r="B7936" t="str">
        <f>"13912023270"</f>
        <v>13912023270</v>
      </c>
      <c r="C7936" t="str">
        <f>"320324199404143511"</f>
        <v>320324199404143511</v>
      </c>
      <c r="D7936" t="s">
        <v>1</v>
      </c>
      <c r="E7936" t="s">
        <v>1</v>
      </c>
      <c r="F7936" t="s">
        <v>0</v>
      </c>
      <c r="G7936" t="str">
        <f>"2018-10-16 10:27:37"</f>
        <v>2018-10-16 10:27:37</v>
      </c>
    </row>
    <row r="7937" spans="1:7" x14ac:dyDescent="0.2">
      <c r="A7937" t="s">
        <v>8682</v>
      </c>
      <c r="B7937" t="str">
        <f>"13622175662"</f>
        <v>13622175662</v>
      </c>
      <c r="C7937" t="str">
        <f>"500237198908185315"</f>
        <v>500237198908185315</v>
      </c>
      <c r="D7937" t="s">
        <v>1</v>
      </c>
      <c r="E7937" t="s">
        <v>1</v>
      </c>
      <c r="F7937" t="s">
        <v>0</v>
      </c>
      <c r="G7937" t="str">
        <f>"2018-10-16 11:00:34"</f>
        <v>2018-10-16 11:00:34</v>
      </c>
    </row>
    <row r="7938" spans="1:7" x14ac:dyDescent="0.2">
      <c r="A7938" t="s">
        <v>1</v>
      </c>
      <c r="B7938" t="str">
        <f>"18048931800"</f>
        <v>18048931800</v>
      </c>
      <c r="C7938" t="s">
        <v>1</v>
      </c>
      <c r="D7938" t="s">
        <v>1</v>
      </c>
      <c r="E7938" t="s">
        <v>1</v>
      </c>
      <c r="F7938" t="s">
        <v>0</v>
      </c>
      <c r="G7938" t="str">
        <f>"2018-10-16 10:25:35"</f>
        <v>2018-10-16 10:25:35</v>
      </c>
    </row>
    <row r="7939" spans="1:7" x14ac:dyDescent="0.2">
      <c r="A7939" t="s">
        <v>1827</v>
      </c>
      <c r="B7939" t="str">
        <f>"13588460471"</f>
        <v>13588460471</v>
      </c>
      <c r="C7939" t="str">
        <f>"330124197903313521"</f>
        <v>330124197903313521</v>
      </c>
      <c r="D7939" t="s">
        <v>1</v>
      </c>
      <c r="E7939" t="s">
        <v>1</v>
      </c>
      <c r="F7939" t="s">
        <v>0</v>
      </c>
      <c r="G7939" t="str">
        <f>"2018-10-16 10:25:21"</f>
        <v>2018-10-16 10:25:21</v>
      </c>
    </row>
    <row r="7940" spans="1:7" x14ac:dyDescent="0.2">
      <c r="A7940" t="s">
        <v>1441</v>
      </c>
      <c r="B7940" t="str">
        <f>"18870776231"</f>
        <v>18870776231</v>
      </c>
      <c r="C7940" t="str">
        <f>"431027199603053825"</f>
        <v>431027199603053825</v>
      </c>
      <c r="D7940" t="s">
        <v>1</v>
      </c>
      <c r="E7940" t="s">
        <v>1</v>
      </c>
      <c r="F7940" t="s">
        <v>0</v>
      </c>
      <c r="G7940" t="str">
        <f>"2018-10-16 10:27:44"</f>
        <v>2018-10-16 10:27:44</v>
      </c>
    </row>
    <row r="7941" spans="1:7" x14ac:dyDescent="0.2">
      <c r="A7941" t="s">
        <v>8683</v>
      </c>
      <c r="B7941" t="str">
        <f>"13045432579"</f>
        <v>13045432579</v>
      </c>
      <c r="C7941" t="str">
        <f>"230881198502200311"</f>
        <v>230881198502200311</v>
      </c>
      <c r="D7941" t="s">
        <v>1</v>
      </c>
      <c r="E7941" t="s">
        <v>1</v>
      </c>
      <c r="F7941" t="s">
        <v>0</v>
      </c>
      <c r="G7941" t="str">
        <f>"2018-10-16 10:26:14"</f>
        <v>2018-10-16 10:26:14</v>
      </c>
    </row>
    <row r="7942" spans="1:7" x14ac:dyDescent="0.2">
      <c r="A7942" t="s">
        <v>1</v>
      </c>
      <c r="B7942" t="str">
        <f>"18918100912"</f>
        <v>18918100912</v>
      </c>
      <c r="C7942" t="s">
        <v>1</v>
      </c>
      <c r="D7942" t="s">
        <v>1</v>
      </c>
      <c r="E7942" t="s">
        <v>1</v>
      </c>
      <c r="F7942" t="s">
        <v>0</v>
      </c>
      <c r="G7942" t="str">
        <f>"2018-10-16 10:24:13"</f>
        <v>2018-10-16 10:24:13</v>
      </c>
    </row>
    <row r="7943" spans="1:7" x14ac:dyDescent="0.2">
      <c r="A7943" t="s">
        <v>1</v>
      </c>
      <c r="B7943" t="str">
        <f>"15259066881"</f>
        <v>15259066881</v>
      </c>
      <c r="C7943" t="s">
        <v>1</v>
      </c>
      <c r="D7943" t="s">
        <v>1</v>
      </c>
      <c r="E7943" t="s">
        <v>1</v>
      </c>
      <c r="F7943" t="s">
        <v>0</v>
      </c>
      <c r="G7943" t="str">
        <f>"2018-10-16 10:24:10"</f>
        <v>2018-10-16 10:24:10</v>
      </c>
    </row>
    <row r="7944" spans="1:7" x14ac:dyDescent="0.2">
      <c r="A7944" t="s">
        <v>1</v>
      </c>
      <c r="B7944" t="str">
        <f>"15006080816"</f>
        <v>15006080816</v>
      </c>
      <c r="C7944" t="s">
        <v>1</v>
      </c>
      <c r="D7944" t="s">
        <v>1</v>
      </c>
      <c r="E7944" t="s">
        <v>1</v>
      </c>
      <c r="F7944" t="s">
        <v>0</v>
      </c>
      <c r="G7944" t="str">
        <f>"2018-10-16 10:24:00"</f>
        <v>2018-10-16 10:24:00</v>
      </c>
    </row>
    <row r="7945" spans="1:7" x14ac:dyDescent="0.2">
      <c r="A7945" t="s">
        <v>8684</v>
      </c>
      <c r="B7945" t="str">
        <f>"17786417365"</f>
        <v>17786417365</v>
      </c>
      <c r="C7945" t="str">
        <f>"42010219660424123X"</f>
        <v>42010219660424123X</v>
      </c>
      <c r="D7945" t="s">
        <v>1</v>
      </c>
      <c r="E7945" t="s">
        <v>1</v>
      </c>
      <c r="F7945" t="s">
        <v>0</v>
      </c>
      <c r="G7945" t="str">
        <f>"2018-10-16 10:25:33"</f>
        <v>2018-10-16 10:25:33</v>
      </c>
    </row>
    <row r="7946" spans="1:7" x14ac:dyDescent="0.2">
      <c r="A7946" t="s">
        <v>8685</v>
      </c>
      <c r="B7946" t="str">
        <f>"15256593027"</f>
        <v>15256593027</v>
      </c>
      <c r="C7946" t="str">
        <f>"340406199910213638"</f>
        <v>340406199910213638</v>
      </c>
      <c r="D7946" t="s">
        <v>1</v>
      </c>
      <c r="E7946" t="s">
        <v>1</v>
      </c>
      <c r="F7946" t="s">
        <v>0</v>
      </c>
      <c r="G7946" t="str">
        <f>"2018-10-16 10:29:40"</f>
        <v>2018-10-16 10:29:40</v>
      </c>
    </row>
    <row r="7947" spans="1:7" x14ac:dyDescent="0.2">
      <c r="A7947" t="s">
        <v>141</v>
      </c>
      <c r="B7947" t="str">
        <f>"13867726738"</f>
        <v>13867726738</v>
      </c>
      <c r="C7947" t="str">
        <f>"33032819880930112X"</f>
        <v>33032819880930112X</v>
      </c>
      <c r="D7947" t="s">
        <v>1</v>
      </c>
      <c r="E7947" t="s">
        <v>1</v>
      </c>
      <c r="F7947" t="s">
        <v>0</v>
      </c>
      <c r="G7947" t="str">
        <f>"2018-10-16 10:28:03"</f>
        <v>2018-10-16 10:28:03</v>
      </c>
    </row>
    <row r="7948" spans="1:7" x14ac:dyDescent="0.2">
      <c r="A7948" t="s">
        <v>603</v>
      </c>
      <c r="B7948" t="str">
        <f>"18370869265"</f>
        <v>18370869265</v>
      </c>
      <c r="C7948" t="str">
        <f>"360781198711142916"</f>
        <v>360781198711142916</v>
      </c>
      <c r="D7948" t="s">
        <v>1</v>
      </c>
      <c r="E7948" t="s">
        <v>1</v>
      </c>
      <c r="F7948" t="s">
        <v>0</v>
      </c>
      <c r="G7948" t="str">
        <f>"2018-10-16 10:22:36"</f>
        <v>2018-10-16 10:22:36</v>
      </c>
    </row>
    <row r="7949" spans="1:7" x14ac:dyDescent="0.2">
      <c r="A7949" t="s">
        <v>8686</v>
      </c>
      <c r="B7949" t="str">
        <f>"13951308977"</f>
        <v>13951308977</v>
      </c>
      <c r="C7949" t="str">
        <f>"320682198903165593"</f>
        <v>320682198903165593</v>
      </c>
      <c r="D7949" t="s">
        <v>1</v>
      </c>
      <c r="E7949" t="s">
        <v>1</v>
      </c>
      <c r="F7949" t="s">
        <v>0</v>
      </c>
      <c r="G7949" t="str">
        <f>"2018-10-16 10:23:39"</f>
        <v>2018-10-16 10:23:39</v>
      </c>
    </row>
    <row r="7950" spans="1:7" x14ac:dyDescent="0.2">
      <c r="A7950" t="s">
        <v>1</v>
      </c>
      <c r="B7950" t="str">
        <f>"17600305522"</f>
        <v>17600305522</v>
      </c>
      <c r="C7950" t="s">
        <v>1</v>
      </c>
      <c r="D7950" t="s">
        <v>1</v>
      </c>
      <c r="E7950" t="s">
        <v>1</v>
      </c>
      <c r="F7950" t="s">
        <v>0</v>
      </c>
      <c r="G7950" t="str">
        <f>"2018-10-16 10:31:59"</f>
        <v>2018-10-16 10:31:59</v>
      </c>
    </row>
    <row r="7951" spans="1:7" x14ac:dyDescent="0.2">
      <c r="A7951" t="s">
        <v>852</v>
      </c>
      <c r="B7951" t="str">
        <f>"18795138000"</f>
        <v>18795138000</v>
      </c>
      <c r="C7951" t="str">
        <f>"622301197001150062"</f>
        <v>622301197001150062</v>
      </c>
      <c r="D7951" t="s">
        <v>1</v>
      </c>
      <c r="E7951" t="s">
        <v>1</v>
      </c>
      <c r="F7951" t="s">
        <v>0</v>
      </c>
      <c r="G7951" t="str">
        <f>"2018-10-16 10:29:50"</f>
        <v>2018-10-16 10:29:50</v>
      </c>
    </row>
    <row r="7952" spans="1:7" x14ac:dyDescent="0.2">
      <c r="A7952" t="s">
        <v>8687</v>
      </c>
      <c r="B7952" t="str">
        <f>"13314456777"</f>
        <v>13314456777</v>
      </c>
      <c r="C7952" t="str">
        <f>"522631198301150019"</f>
        <v>522631198301150019</v>
      </c>
      <c r="D7952" t="s">
        <v>1</v>
      </c>
      <c r="E7952" t="s">
        <v>1</v>
      </c>
      <c r="F7952" t="s">
        <v>0</v>
      </c>
      <c r="G7952" t="str">
        <f>"2018-10-16 10:21:39"</f>
        <v>2018-10-16 10:21:39</v>
      </c>
    </row>
    <row r="7953" spans="1:7" x14ac:dyDescent="0.2">
      <c r="A7953" t="s">
        <v>222</v>
      </c>
      <c r="B7953" t="str">
        <f>"13474987410"</f>
        <v>13474987410</v>
      </c>
      <c r="C7953" t="str">
        <f>"150222198809015636"</f>
        <v>150222198809015636</v>
      </c>
      <c r="D7953" t="s">
        <v>1</v>
      </c>
      <c r="E7953" t="s">
        <v>1</v>
      </c>
      <c r="F7953" t="s">
        <v>0</v>
      </c>
      <c r="G7953" t="str">
        <f>"2018-10-23 10:51:59"</f>
        <v>2018-10-23 10:51:59</v>
      </c>
    </row>
    <row r="7954" spans="1:7" x14ac:dyDescent="0.2">
      <c r="A7954" t="s">
        <v>8688</v>
      </c>
      <c r="B7954" t="str">
        <f>"13233975501"</f>
        <v>13233975501</v>
      </c>
      <c r="C7954" t="str">
        <f>"411527199002085294"</f>
        <v>411527199002085294</v>
      </c>
      <c r="D7954" t="s">
        <v>8689</v>
      </c>
      <c r="E7954" t="s">
        <v>8690</v>
      </c>
      <c r="F7954" t="s">
        <v>0</v>
      </c>
      <c r="G7954" t="str">
        <f>"2018-10-23 13:42:16"</f>
        <v>2018-10-23 13:42:16</v>
      </c>
    </row>
    <row r="7955" spans="1:7" x14ac:dyDescent="0.2">
      <c r="A7955" t="s">
        <v>8691</v>
      </c>
      <c r="B7955" t="str">
        <f>"18672361298"</f>
        <v>18672361298</v>
      </c>
      <c r="C7955" t="str">
        <f>"422127197903072388"</f>
        <v>422127197903072388</v>
      </c>
      <c r="D7955" t="s">
        <v>1</v>
      </c>
      <c r="E7955" t="s">
        <v>1</v>
      </c>
      <c r="F7955" t="s">
        <v>0</v>
      </c>
      <c r="G7955" t="str">
        <f>"2018-10-16 10:20:20"</f>
        <v>2018-10-16 10:20:20</v>
      </c>
    </row>
    <row r="7956" spans="1:7" x14ac:dyDescent="0.2">
      <c r="A7956" t="s">
        <v>21</v>
      </c>
      <c r="B7956" t="str">
        <f>"15051835753"</f>
        <v>15051835753</v>
      </c>
      <c r="C7956" t="str">
        <f>"320121199009153752"</f>
        <v>320121199009153752</v>
      </c>
      <c r="D7956" t="s">
        <v>1</v>
      </c>
      <c r="E7956" t="s">
        <v>1</v>
      </c>
      <c r="F7956" t="s">
        <v>0</v>
      </c>
      <c r="G7956" t="str">
        <f>"2018-10-16 10:23:17"</f>
        <v>2018-10-16 10:23:17</v>
      </c>
    </row>
    <row r="7957" spans="1:7" x14ac:dyDescent="0.2">
      <c r="A7957" t="s">
        <v>1</v>
      </c>
      <c r="B7957" t="str">
        <f>"18714572134"</f>
        <v>18714572134</v>
      </c>
      <c r="C7957" t="s">
        <v>1</v>
      </c>
      <c r="D7957" t="s">
        <v>1</v>
      </c>
      <c r="E7957" t="s">
        <v>1</v>
      </c>
      <c r="F7957" t="s">
        <v>0</v>
      </c>
      <c r="G7957" t="str">
        <f>"2018-10-16 10:19:22"</f>
        <v>2018-10-16 10:19:22</v>
      </c>
    </row>
    <row r="7958" spans="1:7" x14ac:dyDescent="0.2">
      <c r="A7958" t="s">
        <v>8692</v>
      </c>
      <c r="B7958" t="str">
        <f>"13861661734"</f>
        <v>13861661734</v>
      </c>
      <c r="C7958" t="str">
        <f>"320281199005035531"</f>
        <v>320281199005035531</v>
      </c>
      <c r="D7958" t="s">
        <v>1</v>
      </c>
      <c r="E7958" t="s">
        <v>1</v>
      </c>
      <c r="F7958" t="s">
        <v>0</v>
      </c>
      <c r="G7958" t="str">
        <f>"2018-10-16 10:38:16"</f>
        <v>2018-10-16 10:38:16</v>
      </c>
    </row>
    <row r="7959" spans="1:7" x14ac:dyDescent="0.2">
      <c r="A7959" t="s">
        <v>1</v>
      </c>
      <c r="B7959" t="str">
        <f>"15319711981"</f>
        <v>15319711981</v>
      </c>
      <c r="C7959" t="s">
        <v>1</v>
      </c>
      <c r="D7959" t="s">
        <v>1</v>
      </c>
      <c r="E7959" t="s">
        <v>1</v>
      </c>
      <c r="F7959" t="s">
        <v>0</v>
      </c>
      <c r="G7959" t="str">
        <f>"2018-10-16 10:17:43"</f>
        <v>2018-10-16 10:17:43</v>
      </c>
    </row>
    <row r="7960" spans="1:7" x14ac:dyDescent="0.2">
      <c r="A7960" t="s">
        <v>8693</v>
      </c>
      <c r="B7960" t="str">
        <f>"15575156721"</f>
        <v>15575156721</v>
      </c>
      <c r="C7960" t="str">
        <f>"610321198912099786"</f>
        <v>610321198912099786</v>
      </c>
      <c r="D7960" t="s">
        <v>1</v>
      </c>
      <c r="E7960" t="s">
        <v>1</v>
      </c>
      <c r="F7960" t="s">
        <v>0</v>
      </c>
      <c r="G7960" t="str">
        <f>"2018-10-16 10:18:41"</f>
        <v>2018-10-16 10:18:41</v>
      </c>
    </row>
    <row r="7961" spans="1:7" x14ac:dyDescent="0.2">
      <c r="A7961" t="s">
        <v>8694</v>
      </c>
      <c r="B7961" t="str">
        <f>"18908806578"</f>
        <v>18908806578</v>
      </c>
      <c r="C7961" t="str">
        <f>"330327198012107366"</f>
        <v>330327198012107366</v>
      </c>
      <c r="D7961" t="s">
        <v>1</v>
      </c>
      <c r="E7961" t="s">
        <v>1</v>
      </c>
      <c r="F7961" t="s">
        <v>0</v>
      </c>
      <c r="G7961" t="str">
        <f>"2018-10-16 10:20:02"</f>
        <v>2018-10-16 10:20:02</v>
      </c>
    </row>
    <row r="7962" spans="1:7" x14ac:dyDescent="0.2">
      <c r="A7962" t="s">
        <v>1</v>
      </c>
      <c r="B7962" t="str">
        <f>"13609909727"</f>
        <v>13609909727</v>
      </c>
      <c r="C7962" t="s">
        <v>1</v>
      </c>
      <c r="D7962" t="s">
        <v>1</v>
      </c>
      <c r="E7962" t="s">
        <v>1</v>
      </c>
      <c r="F7962" t="s">
        <v>0</v>
      </c>
      <c r="G7962" t="str">
        <f>"2018-10-16 10:16:49"</f>
        <v>2018-10-16 10:16:49</v>
      </c>
    </row>
    <row r="7963" spans="1:7" x14ac:dyDescent="0.2">
      <c r="A7963" t="s">
        <v>8695</v>
      </c>
      <c r="B7963" t="str">
        <f>"18096881726"</f>
        <v>18096881726</v>
      </c>
      <c r="C7963" t="str">
        <f>"622101199205312316"</f>
        <v>622101199205312316</v>
      </c>
      <c r="D7963" t="s">
        <v>1</v>
      </c>
      <c r="E7963" t="s">
        <v>1</v>
      </c>
      <c r="F7963" t="s">
        <v>0</v>
      </c>
      <c r="G7963" t="str">
        <f>"2018-10-16 10:16:38"</f>
        <v>2018-10-16 10:16:38</v>
      </c>
    </row>
    <row r="7964" spans="1:7" x14ac:dyDescent="0.2">
      <c r="A7964" t="s">
        <v>1</v>
      </c>
      <c r="B7964" t="str">
        <f>"18091657510"</f>
        <v>18091657510</v>
      </c>
      <c r="C7964" t="s">
        <v>1</v>
      </c>
      <c r="D7964" t="s">
        <v>1</v>
      </c>
      <c r="E7964" t="s">
        <v>1</v>
      </c>
      <c r="F7964" t="s">
        <v>0</v>
      </c>
      <c r="G7964" t="str">
        <f>"2018-10-16 10:16:21"</f>
        <v>2018-10-16 10:16:21</v>
      </c>
    </row>
    <row r="7965" spans="1:7" x14ac:dyDescent="0.2">
      <c r="A7965" t="s">
        <v>8696</v>
      </c>
      <c r="B7965" t="str">
        <f>"13910415116"</f>
        <v>13910415116</v>
      </c>
      <c r="C7965" t="str">
        <f>"110105198103261510"</f>
        <v>110105198103261510</v>
      </c>
      <c r="D7965" t="s">
        <v>1</v>
      </c>
      <c r="E7965" t="s">
        <v>1</v>
      </c>
      <c r="F7965" t="s">
        <v>0</v>
      </c>
      <c r="G7965" t="str">
        <f>"2018-10-16 10:17:47"</f>
        <v>2018-10-16 10:17:47</v>
      </c>
    </row>
    <row r="7966" spans="1:7" x14ac:dyDescent="0.2">
      <c r="A7966" t="s">
        <v>8697</v>
      </c>
      <c r="B7966" t="str">
        <f>"18012797999"</f>
        <v>18012797999</v>
      </c>
      <c r="C7966" t="str">
        <f>"32050119791215701X"</f>
        <v>32050119791215701X</v>
      </c>
      <c r="D7966" t="s">
        <v>1</v>
      </c>
      <c r="E7966" t="s">
        <v>1</v>
      </c>
      <c r="F7966" t="s">
        <v>0</v>
      </c>
      <c r="G7966" t="str">
        <f>"2018-10-16 10:17:40"</f>
        <v>2018-10-16 10:17:40</v>
      </c>
    </row>
    <row r="7967" spans="1:7" x14ac:dyDescent="0.2">
      <c r="A7967" t="s">
        <v>8698</v>
      </c>
      <c r="B7967" t="str">
        <f>"13751764380"</f>
        <v>13751764380</v>
      </c>
      <c r="C7967" t="str">
        <f>"441224198806083310"</f>
        <v>441224198806083310</v>
      </c>
      <c r="D7967" t="s">
        <v>1</v>
      </c>
      <c r="E7967" t="s">
        <v>1</v>
      </c>
      <c r="F7967" t="s">
        <v>0</v>
      </c>
      <c r="G7967" t="str">
        <f>"2018-10-16 10:25:04"</f>
        <v>2018-10-16 10:25:04</v>
      </c>
    </row>
    <row r="7968" spans="1:7" x14ac:dyDescent="0.2">
      <c r="A7968" t="s">
        <v>1</v>
      </c>
      <c r="B7968" t="str">
        <f>"18038998884"</f>
        <v>18038998884</v>
      </c>
      <c r="C7968" t="s">
        <v>1</v>
      </c>
      <c r="D7968" t="s">
        <v>1</v>
      </c>
      <c r="E7968" t="s">
        <v>1</v>
      </c>
      <c r="F7968" t="s">
        <v>0</v>
      </c>
      <c r="G7968" t="str">
        <f>"2018-10-16 10:15:12"</f>
        <v>2018-10-16 10:15:12</v>
      </c>
    </row>
    <row r="7969" spans="1:7" x14ac:dyDescent="0.2">
      <c r="A7969" t="s">
        <v>1</v>
      </c>
      <c r="B7969" t="str">
        <f>"13850164336"</f>
        <v>13850164336</v>
      </c>
      <c r="C7969" t="s">
        <v>1</v>
      </c>
      <c r="D7969" t="s">
        <v>1</v>
      </c>
      <c r="E7969" t="s">
        <v>1</v>
      </c>
      <c r="F7969" t="s">
        <v>0</v>
      </c>
      <c r="G7969" t="str">
        <f>"2018-10-16 10:18:23"</f>
        <v>2018-10-16 10:18:23</v>
      </c>
    </row>
    <row r="7970" spans="1:7" x14ac:dyDescent="0.2">
      <c r="A7970" t="s">
        <v>8699</v>
      </c>
      <c r="B7970" t="str">
        <f>"15377751304"</f>
        <v>15377751304</v>
      </c>
      <c r="C7970" t="str">
        <f>"430923199509022013"</f>
        <v>430923199509022013</v>
      </c>
      <c r="D7970" t="s">
        <v>1</v>
      </c>
      <c r="E7970" t="s">
        <v>1</v>
      </c>
      <c r="F7970" t="s">
        <v>0</v>
      </c>
      <c r="G7970" t="str">
        <f>"2018-10-16 10:18:10"</f>
        <v>2018-10-16 10:18:10</v>
      </c>
    </row>
    <row r="7971" spans="1:7" x14ac:dyDescent="0.2">
      <c r="A7971" t="s">
        <v>8700</v>
      </c>
      <c r="B7971" t="str">
        <f>"18697057606"</f>
        <v>18697057606</v>
      </c>
      <c r="C7971" t="str">
        <f>"232301198705310214"</f>
        <v>232301198705310214</v>
      </c>
      <c r="D7971" t="s">
        <v>1</v>
      </c>
      <c r="E7971" t="s">
        <v>1</v>
      </c>
      <c r="F7971" t="s">
        <v>0</v>
      </c>
      <c r="G7971" t="str">
        <f>"2018-10-16 10:17:15"</f>
        <v>2018-10-16 10:17:15</v>
      </c>
    </row>
    <row r="7972" spans="1:7" x14ac:dyDescent="0.2">
      <c r="A7972" t="s">
        <v>8701</v>
      </c>
      <c r="B7972" t="str">
        <f>"18230198669"</f>
        <v>18230198669</v>
      </c>
      <c r="C7972" t="str">
        <f>"130523199404073823"</f>
        <v>130523199404073823</v>
      </c>
      <c r="D7972" t="s">
        <v>1</v>
      </c>
      <c r="E7972" t="s">
        <v>1</v>
      </c>
      <c r="F7972" t="s">
        <v>0</v>
      </c>
      <c r="G7972" t="str">
        <f>"2018-10-16 10:16:27"</f>
        <v>2018-10-16 10:16:27</v>
      </c>
    </row>
    <row r="7973" spans="1:7" x14ac:dyDescent="0.2">
      <c r="A7973" t="s">
        <v>1</v>
      </c>
      <c r="B7973" t="str">
        <f>"13489968870"</f>
        <v>13489968870</v>
      </c>
      <c r="C7973" t="s">
        <v>1</v>
      </c>
      <c r="D7973" t="s">
        <v>1</v>
      </c>
      <c r="E7973" t="s">
        <v>1</v>
      </c>
      <c r="F7973" t="s">
        <v>0</v>
      </c>
      <c r="G7973" t="str">
        <f>"2018-10-16 10:14:03"</f>
        <v>2018-10-16 10:14:03</v>
      </c>
    </row>
    <row r="7974" spans="1:7" x14ac:dyDescent="0.2">
      <c r="A7974" t="s">
        <v>1534</v>
      </c>
      <c r="B7974" t="str">
        <f>"15333470202"</f>
        <v>15333470202</v>
      </c>
      <c r="C7974" t="str">
        <f>"142625199108161732"</f>
        <v>142625199108161732</v>
      </c>
      <c r="D7974" t="s">
        <v>1</v>
      </c>
      <c r="E7974" t="s">
        <v>1</v>
      </c>
      <c r="F7974" t="s">
        <v>0</v>
      </c>
      <c r="G7974" t="str">
        <f>"2018-10-16 10:14:40"</f>
        <v>2018-10-16 10:14:40</v>
      </c>
    </row>
    <row r="7975" spans="1:7" x14ac:dyDescent="0.2">
      <c r="A7975" t="s">
        <v>8702</v>
      </c>
      <c r="B7975" t="str">
        <f>"17726465698"</f>
        <v>17726465698</v>
      </c>
      <c r="C7975" t="str">
        <f>"510182196909096647"</f>
        <v>510182196909096647</v>
      </c>
      <c r="D7975" t="s">
        <v>8703</v>
      </c>
      <c r="E7975" t="s">
        <v>8704</v>
      </c>
      <c r="F7975" t="s">
        <v>0</v>
      </c>
      <c r="G7975" t="str">
        <f>"2018-10-16 10:12:48"</f>
        <v>2018-10-16 10:12:48</v>
      </c>
    </row>
    <row r="7976" spans="1:7" x14ac:dyDescent="0.2">
      <c r="A7976" t="s">
        <v>8705</v>
      </c>
      <c r="B7976" t="str">
        <f>"18650901070"</f>
        <v>18650901070</v>
      </c>
      <c r="C7976" t="str">
        <f>"350583198902098364"</f>
        <v>350583198902098364</v>
      </c>
      <c r="D7976" t="s">
        <v>1</v>
      </c>
      <c r="E7976" t="s">
        <v>1</v>
      </c>
      <c r="F7976" t="s">
        <v>0</v>
      </c>
      <c r="G7976" t="str">
        <f>"2018-10-16 10:16:25"</f>
        <v>2018-10-16 10:16:25</v>
      </c>
    </row>
    <row r="7977" spans="1:7" x14ac:dyDescent="0.2">
      <c r="A7977" t="s">
        <v>1</v>
      </c>
      <c r="B7977" t="str">
        <f>"18957686389"</f>
        <v>18957686389</v>
      </c>
      <c r="C7977" t="s">
        <v>1</v>
      </c>
      <c r="D7977" t="s">
        <v>1</v>
      </c>
      <c r="E7977" t="s">
        <v>1</v>
      </c>
      <c r="F7977" t="s">
        <v>0</v>
      </c>
      <c r="G7977" t="str">
        <f>"2018-10-16 10:12:14"</f>
        <v>2018-10-16 10:12:14</v>
      </c>
    </row>
    <row r="7978" spans="1:7" x14ac:dyDescent="0.2">
      <c r="A7978" t="s">
        <v>8706</v>
      </c>
      <c r="B7978" t="str">
        <f>"18321848404"</f>
        <v>18321848404</v>
      </c>
      <c r="C7978" t="str">
        <f>"410825199103033015"</f>
        <v>410825199103033015</v>
      </c>
      <c r="D7978" t="s">
        <v>1</v>
      </c>
      <c r="E7978" t="s">
        <v>1</v>
      </c>
      <c r="F7978" t="s">
        <v>0</v>
      </c>
      <c r="G7978" t="str">
        <f>"2018-10-16 10:14:36"</f>
        <v>2018-10-16 10:14:36</v>
      </c>
    </row>
    <row r="7979" spans="1:7" x14ac:dyDescent="0.2">
      <c r="A7979" t="s">
        <v>8707</v>
      </c>
      <c r="B7979" t="str">
        <f>"17756674454"</f>
        <v>17756674454</v>
      </c>
      <c r="C7979" t="str">
        <f>"342923198904273117"</f>
        <v>342923198904273117</v>
      </c>
      <c r="D7979" t="s">
        <v>1</v>
      </c>
      <c r="E7979" t="s">
        <v>1</v>
      </c>
      <c r="F7979" t="s">
        <v>0</v>
      </c>
      <c r="G7979" t="str">
        <f>"2018-10-20 17:54:41"</f>
        <v>2018-10-20 17:54:41</v>
      </c>
    </row>
    <row r="7980" spans="1:7" x14ac:dyDescent="0.2">
      <c r="A7980" t="s">
        <v>1</v>
      </c>
      <c r="B7980" t="str">
        <f>"13872159180"</f>
        <v>13872159180</v>
      </c>
      <c r="C7980" t="s">
        <v>1</v>
      </c>
      <c r="D7980" t="s">
        <v>1</v>
      </c>
      <c r="E7980" t="s">
        <v>1</v>
      </c>
      <c r="F7980" t="s">
        <v>0</v>
      </c>
      <c r="G7980" t="str">
        <f>"2018-10-16 10:11:30"</f>
        <v>2018-10-16 10:11:30</v>
      </c>
    </row>
    <row r="7981" spans="1:7" x14ac:dyDescent="0.2">
      <c r="A7981" t="s">
        <v>601</v>
      </c>
      <c r="B7981" t="str">
        <f>"17340407912"</f>
        <v>17340407912</v>
      </c>
      <c r="C7981" t="str">
        <f>"510524199309074972"</f>
        <v>510524199309074972</v>
      </c>
      <c r="D7981" t="s">
        <v>1</v>
      </c>
      <c r="E7981" t="s">
        <v>1</v>
      </c>
      <c r="F7981" t="s">
        <v>0</v>
      </c>
      <c r="G7981" t="str">
        <f>"2018-10-16 10:12:34"</f>
        <v>2018-10-16 10:12:34</v>
      </c>
    </row>
    <row r="7982" spans="1:7" x14ac:dyDescent="0.2">
      <c r="A7982" t="s">
        <v>1421</v>
      </c>
      <c r="B7982" t="str">
        <f>"13393210788"</f>
        <v>13393210788</v>
      </c>
      <c r="C7982" t="str">
        <f>"13018319951105143X"</f>
        <v>13018319951105143X</v>
      </c>
      <c r="D7982" t="s">
        <v>1</v>
      </c>
      <c r="E7982" t="s">
        <v>1</v>
      </c>
      <c r="F7982" t="s">
        <v>0</v>
      </c>
      <c r="G7982" t="str">
        <f>"2018-10-16 12:10:37"</f>
        <v>2018-10-16 12:10:37</v>
      </c>
    </row>
    <row r="7983" spans="1:7" x14ac:dyDescent="0.2">
      <c r="A7983" t="s">
        <v>1</v>
      </c>
      <c r="B7983" t="str">
        <f>"17671929963"</f>
        <v>17671929963</v>
      </c>
      <c r="C7983" t="s">
        <v>1</v>
      </c>
      <c r="D7983" t="s">
        <v>1</v>
      </c>
      <c r="E7983" t="s">
        <v>1</v>
      </c>
      <c r="F7983" t="s">
        <v>0</v>
      </c>
      <c r="G7983" t="str">
        <f>"2018-10-16 10:10:31"</f>
        <v>2018-10-16 10:10:31</v>
      </c>
    </row>
    <row r="7984" spans="1:7" x14ac:dyDescent="0.2">
      <c r="A7984" t="s">
        <v>1</v>
      </c>
      <c r="B7984" t="str">
        <f>"18995194618"</f>
        <v>18995194618</v>
      </c>
      <c r="C7984" t="s">
        <v>1</v>
      </c>
      <c r="D7984" t="s">
        <v>1</v>
      </c>
      <c r="E7984" t="s">
        <v>1</v>
      </c>
      <c r="F7984" t="s">
        <v>0</v>
      </c>
      <c r="G7984" t="str">
        <f>"2018-10-16 10:11:27"</f>
        <v>2018-10-16 10:11:27</v>
      </c>
    </row>
    <row r="7985" spans="1:7" x14ac:dyDescent="0.2">
      <c r="A7985" t="s">
        <v>8708</v>
      </c>
      <c r="B7985" t="str">
        <f>"15309705775"</f>
        <v>15309705775</v>
      </c>
      <c r="C7985" t="str">
        <f>"632223198410230011"</f>
        <v>632223198410230011</v>
      </c>
      <c r="D7985" t="s">
        <v>1</v>
      </c>
      <c r="E7985" t="s">
        <v>1</v>
      </c>
      <c r="F7985" t="s">
        <v>0</v>
      </c>
      <c r="G7985" t="str">
        <f>"2018-10-16 10:11:08"</f>
        <v>2018-10-16 10:11:08</v>
      </c>
    </row>
    <row r="7986" spans="1:7" x14ac:dyDescent="0.2">
      <c r="A7986" t="s">
        <v>6042</v>
      </c>
      <c r="B7986" t="str">
        <f>"15319168057"</f>
        <v>15319168057</v>
      </c>
      <c r="C7986" t="str">
        <f>"610581198807111330"</f>
        <v>610581198807111330</v>
      </c>
      <c r="D7986" t="s">
        <v>1</v>
      </c>
      <c r="E7986" t="s">
        <v>1</v>
      </c>
      <c r="F7986" t="s">
        <v>0</v>
      </c>
      <c r="G7986" t="str">
        <f>"2018-10-16 10:11:34"</f>
        <v>2018-10-16 10:11:34</v>
      </c>
    </row>
    <row r="7987" spans="1:7" x14ac:dyDescent="0.2">
      <c r="A7987" t="s">
        <v>8709</v>
      </c>
      <c r="B7987" t="str">
        <f>"18763034222"</f>
        <v>18763034222</v>
      </c>
      <c r="C7987" t="str">
        <f>"372301198805191911"</f>
        <v>372301198805191911</v>
      </c>
      <c r="D7987" t="s">
        <v>1</v>
      </c>
      <c r="E7987" t="s">
        <v>1</v>
      </c>
      <c r="F7987" t="s">
        <v>0</v>
      </c>
      <c r="G7987" t="str">
        <f>"2018-10-16 10:14:16"</f>
        <v>2018-10-16 10:14:16</v>
      </c>
    </row>
    <row r="7988" spans="1:7" x14ac:dyDescent="0.2">
      <c r="A7988" t="s">
        <v>8710</v>
      </c>
      <c r="B7988" t="str">
        <f>"13899571829"</f>
        <v>13899571829</v>
      </c>
      <c r="C7988" t="str">
        <f>"412728198810111677"</f>
        <v>412728198810111677</v>
      </c>
      <c r="D7988" t="s">
        <v>8711</v>
      </c>
      <c r="E7988" t="s">
        <v>8712</v>
      </c>
      <c r="F7988" t="s">
        <v>0</v>
      </c>
      <c r="G7988" t="str">
        <f>"2018-10-16 18:44:32"</f>
        <v>2018-10-16 18:44:32</v>
      </c>
    </row>
    <row r="7989" spans="1:7" x14ac:dyDescent="0.2">
      <c r="A7989" t="s">
        <v>8713</v>
      </c>
      <c r="B7989" t="str">
        <f>"15333048787"</f>
        <v>15333048787</v>
      </c>
      <c r="C7989" t="str">
        <f>"142725198101200015"</f>
        <v>142725198101200015</v>
      </c>
      <c r="D7989" t="s">
        <v>1</v>
      </c>
      <c r="E7989" t="s">
        <v>1</v>
      </c>
      <c r="F7989" t="s">
        <v>0</v>
      </c>
      <c r="G7989" t="str">
        <f>"2018-10-16 10:08:45"</f>
        <v>2018-10-16 10:08:45</v>
      </c>
    </row>
    <row r="7990" spans="1:7" x14ac:dyDescent="0.2">
      <c r="A7990" t="s">
        <v>1</v>
      </c>
      <c r="B7990" t="str">
        <f>"13230041222"</f>
        <v>13230041222</v>
      </c>
      <c r="C7990" t="s">
        <v>1</v>
      </c>
      <c r="D7990" t="s">
        <v>1</v>
      </c>
      <c r="E7990" t="s">
        <v>1</v>
      </c>
      <c r="F7990" t="s">
        <v>0</v>
      </c>
      <c r="G7990" t="str">
        <f>"2018-10-16 10:08:40"</f>
        <v>2018-10-16 10:08:40</v>
      </c>
    </row>
    <row r="7991" spans="1:7" x14ac:dyDescent="0.2">
      <c r="A7991" t="s">
        <v>8714</v>
      </c>
      <c r="B7991" t="str">
        <f>"15284283649"</f>
        <v>15284283649</v>
      </c>
      <c r="C7991" t="str">
        <f>"130582199506050622"</f>
        <v>130582199506050622</v>
      </c>
      <c r="D7991" t="s">
        <v>1</v>
      </c>
      <c r="E7991" t="s">
        <v>1</v>
      </c>
      <c r="F7991" t="s">
        <v>0</v>
      </c>
      <c r="G7991" t="str">
        <f>"2018-10-16 10:08:48"</f>
        <v>2018-10-16 10:08:48</v>
      </c>
    </row>
    <row r="7992" spans="1:7" x14ac:dyDescent="0.2">
      <c r="A7992" t="s">
        <v>8715</v>
      </c>
      <c r="B7992" t="str">
        <f>"18725806869"</f>
        <v>18725806869</v>
      </c>
      <c r="C7992" t="str">
        <f>"500112199504130010"</f>
        <v>500112199504130010</v>
      </c>
      <c r="D7992" t="s">
        <v>1</v>
      </c>
      <c r="E7992" t="s">
        <v>1</v>
      </c>
      <c r="F7992" t="s">
        <v>0</v>
      </c>
      <c r="G7992" t="str">
        <f>"2018-10-16 10:09:36"</f>
        <v>2018-10-16 10:09:36</v>
      </c>
    </row>
    <row r="7993" spans="1:7" x14ac:dyDescent="0.2">
      <c r="A7993" t="s">
        <v>8716</v>
      </c>
      <c r="B7993" t="str">
        <f>"15327956767"</f>
        <v>15327956767</v>
      </c>
      <c r="C7993" t="str">
        <f>"612401197210184772"</f>
        <v>612401197210184772</v>
      </c>
      <c r="D7993" t="s">
        <v>8717</v>
      </c>
      <c r="E7993" t="s">
        <v>8718</v>
      </c>
      <c r="F7993" t="s">
        <v>0</v>
      </c>
      <c r="G7993" t="str">
        <f>"2018-10-16 10:08:23"</f>
        <v>2018-10-16 10:08:23</v>
      </c>
    </row>
    <row r="7994" spans="1:7" x14ac:dyDescent="0.2">
      <c r="A7994" t="s">
        <v>1</v>
      </c>
      <c r="B7994" t="str">
        <f>"15152177798"</f>
        <v>15152177798</v>
      </c>
      <c r="C7994" t="s">
        <v>1</v>
      </c>
      <c r="D7994" t="s">
        <v>1</v>
      </c>
      <c r="E7994" t="s">
        <v>1</v>
      </c>
      <c r="F7994" t="s">
        <v>0</v>
      </c>
      <c r="G7994" t="str">
        <f>"2018-10-16 10:10:50"</f>
        <v>2018-10-16 10:10:50</v>
      </c>
    </row>
    <row r="7995" spans="1:7" x14ac:dyDescent="0.2">
      <c r="A7995" t="s">
        <v>8719</v>
      </c>
      <c r="B7995" t="str">
        <f>"13189287913"</f>
        <v>13189287913</v>
      </c>
      <c r="C7995" t="str">
        <f>"452226199008139228"</f>
        <v>452226199008139228</v>
      </c>
      <c r="D7995" t="s">
        <v>8720</v>
      </c>
      <c r="E7995" t="s">
        <v>8720</v>
      </c>
      <c r="F7995" t="s">
        <v>0</v>
      </c>
      <c r="G7995" t="str">
        <f>"2018-10-16 10:06:54"</f>
        <v>2018-10-16 10:06:54</v>
      </c>
    </row>
    <row r="7996" spans="1:7" x14ac:dyDescent="0.2">
      <c r="A7996" t="s">
        <v>8721</v>
      </c>
      <c r="B7996" t="str">
        <f>"18105507153"</f>
        <v>18105507153</v>
      </c>
      <c r="C7996" t="str">
        <f>"34112419970820361X"</f>
        <v>34112419970820361X</v>
      </c>
      <c r="D7996" t="s">
        <v>1</v>
      </c>
      <c r="E7996" t="s">
        <v>1</v>
      </c>
      <c r="F7996" t="s">
        <v>0</v>
      </c>
      <c r="G7996" t="str">
        <f>"2018-10-16 10:08:01"</f>
        <v>2018-10-16 10:08:01</v>
      </c>
    </row>
    <row r="7997" spans="1:7" x14ac:dyDescent="0.2">
      <c r="A7997" t="s">
        <v>1</v>
      </c>
      <c r="B7997" t="str">
        <f>"15064414648"</f>
        <v>15064414648</v>
      </c>
      <c r="C7997" t="s">
        <v>1</v>
      </c>
      <c r="D7997" t="s">
        <v>1</v>
      </c>
      <c r="E7997" t="s">
        <v>1</v>
      </c>
      <c r="F7997" t="s">
        <v>0</v>
      </c>
      <c r="G7997" t="str">
        <f>"2018-10-16 10:20:17"</f>
        <v>2018-10-16 10:20:17</v>
      </c>
    </row>
    <row r="7998" spans="1:7" x14ac:dyDescent="0.2">
      <c r="A7998" t="s">
        <v>1279</v>
      </c>
      <c r="B7998" t="str">
        <f>"18971468132"</f>
        <v>18971468132</v>
      </c>
      <c r="C7998" t="str">
        <f>"420105197607181635"</f>
        <v>420105197607181635</v>
      </c>
      <c r="D7998" t="s">
        <v>1</v>
      </c>
      <c r="E7998" t="s">
        <v>1</v>
      </c>
      <c r="F7998" t="s">
        <v>0</v>
      </c>
      <c r="G7998" t="str">
        <f>"2018-10-16 10:06:28"</f>
        <v>2018-10-16 10:06:28</v>
      </c>
    </row>
    <row r="7999" spans="1:7" x14ac:dyDescent="0.2">
      <c r="A7999" t="s">
        <v>1</v>
      </c>
      <c r="B7999" t="str">
        <f>"15063779327"</f>
        <v>15063779327</v>
      </c>
      <c r="C7999" t="s">
        <v>1</v>
      </c>
      <c r="D7999" t="s">
        <v>1</v>
      </c>
      <c r="E7999" t="s">
        <v>1</v>
      </c>
      <c r="F7999" t="s">
        <v>0</v>
      </c>
      <c r="G7999" t="str">
        <f>"2018-10-16 10:06:24"</f>
        <v>2018-10-16 10:06:24</v>
      </c>
    </row>
    <row r="8000" spans="1:7" x14ac:dyDescent="0.2">
      <c r="A8000" t="s">
        <v>8722</v>
      </c>
      <c r="B8000" t="str">
        <f>"13271355511"</f>
        <v>13271355511</v>
      </c>
      <c r="C8000" t="str">
        <f>"41130319940418674X"</f>
        <v>41130319940418674X</v>
      </c>
      <c r="D8000" t="s">
        <v>1</v>
      </c>
      <c r="E8000" t="s">
        <v>1</v>
      </c>
      <c r="F8000" t="s">
        <v>0</v>
      </c>
      <c r="G8000" t="str">
        <f>"2018-10-16 10:12:08"</f>
        <v>2018-10-16 10:12:08</v>
      </c>
    </row>
    <row r="8001" spans="1:7" x14ac:dyDescent="0.2">
      <c r="A8001" t="s">
        <v>8723</v>
      </c>
      <c r="B8001" t="str">
        <f>"15381531153"</f>
        <v>15381531153</v>
      </c>
      <c r="C8001" t="str">
        <f>"342224198804070038"</f>
        <v>342224198804070038</v>
      </c>
      <c r="D8001" t="s">
        <v>8724</v>
      </c>
      <c r="E8001" t="s">
        <v>8724</v>
      </c>
      <c r="F8001" t="s">
        <v>0</v>
      </c>
      <c r="G8001" t="str">
        <f>"2018-10-16 10:10:10"</f>
        <v>2018-10-16 10:10:10</v>
      </c>
    </row>
    <row r="8002" spans="1:7" x14ac:dyDescent="0.2">
      <c r="A8002" t="s">
        <v>1</v>
      </c>
      <c r="B8002" t="str">
        <f>"18942965713"</f>
        <v>18942965713</v>
      </c>
      <c r="C8002" t="s">
        <v>1</v>
      </c>
      <c r="D8002" t="s">
        <v>1</v>
      </c>
      <c r="E8002" t="s">
        <v>1</v>
      </c>
      <c r="F8002" t="s">
        <v>0</v>
      </c>
      <c r="G8002" t="str">
        <f>"2018-10-16 10:06:05"</f>
        <v>2018-10-16 10:06:05</v>
      </c>
    </row>
    <row r="8003" spans="1:7" x14ac:dyDescent="0.2">
      <c r="A8003" t="s">
        <v>1</v>
      </c>
      <c r="B8003" t="str">
        <f>"18089136664"</f>
        <v>18089136664</v>
      </c>
      <c r="C8003" t="s">
        <v>1</v>
      </c>
      <c r="D8003" t="s">
        <v>1</v>
      </c>
      <c r="E8003" t="s">
        <v>1</v>
      </c>
      <c r="F8003" t="s">
        <v>0</v>
      </c>
      <c r="G8003" t="str">
        <f>"2018-10-16 10:05:49"</f>
        <v>2018-10-16 10:05:49</v>
      </c>
    </row>
    <row r="8004" spans="1:7" x14ac:dyDescent="0.2">
      <c r="A8004" t="s">
        <v>8725</v>
      </c>
      <c r="B8004" t="str">
        <f>"13364924433"</f>
        <v>13364924433</v>
      </c>
      <c r="C8004" t="str">
        <f>"513027197711294012"</f>
        <v>513027197711294012</v>
      </c>
      <c r="D8004" t="s">
        <v>1</v>
      </c>
      <c r="E8004" t="s">
        <v>1</v>
      </c>
      <c r="F8004" t="s">
        <v>0</v>
      </c>
      <c r="G8004" t="str">
        <f>"2018-10-16 10:06:43"</f>
        <v>2018-10-16 10:06:43</v>
      </c>
    </row>
    <row r="8005" spans="1:7" x14ac:dyDescent="0.2">
      <c r="A8005" t="s">
        <v>8726</v>
      </c>
      <c r="B8005" t="str">
        <f>"17755539452"</f>
        <v>17755539452</v>
      </c>
      <c r="C8005" t="str">
        <f>"342626199407150172"</f>
        <v>342626199407150172</v>
      </c>
      <c r="D8005" t="s">
        <v>1</v>
      </c>
      <c r="E8005" t="s">
        <v>1</v>
      </c>
      <c r="F8005" t="s">
        <v>0</v>
      </c>
      <c r="G8005" t="str">
        <f>"2018-10-16 10:37:14"</f>
        <v>2018-10-16 10:37:14</v>
      </c>
    </row>
    <row r="8006" spans="1:7" x14ac:dyDescent="0.2">
      <c r="A8006" t="s">
        <v>1</v>
      </c>
      <c r="B8006" t="str">
        <f>"17708944499"</f>
        <v>17708944499</v>
      </c>
      <c r="C8006" t="s">
        <v>1</v>
      </c>
      <c r="D8006" t="s">
        <v>1</v>
      </c>
      <c r="E8006" t="s">
        <v>1</v>
      </c>
      <c r="F8006" t="s">
        <v>0</v>
      </c>
      <c r="G8006" t="str">
        <f>"2018-10-16 10:07:15"</f>
        <v>2018-10-16 10:07:15</v>
      </c>
    </row>
    <row r="8007" spans="1:7" x14ac:dyDescent="0.2">
      <c r="A8007" t="s">
        <v>8727</v>
      </c>
      <c r="B8007" t="str">
        <f>"18625760098"</f>
        <v>18625760098</v>
      </c>
      <c r="C8007" t="str">
        <f>"41062119961006205X"</f>
        <v>41062119961006205X</v>
      </c>
      <c r="D8007" t="s">
        <v>1</v>
      </c>
      <c r="E8007" t="s">
        <v>1</v>
      </c>
      <c r="F8007" t="s">
        <v>0</v>
      </c>
      <c r="G8007" t="str">
        <f>"2018-10-16 10:08:58"</f>
        <v>2018-10-16 10:08:58</v>
      </c>
    </row>
    <row r="8008" spans="1:7" x14ac:dyDescent="0.2">
      <c r="A8008" t="s">
        <v>127</v>
      </c>
      <c r="B8008" t="str">
        <f>"15351822216"</f>
        <v>15351822216</v>
      </c>
      <c r="C8008" t="str">
        <f>"320722197705104858"</f>
        <v>320722197705104858</v>
      </c>
      <c r="D8008" t="s">
        <v>1</v>
      </c>
      <c r="E8008" t="s">
        <v>1</v>
      </c>
      <c r="F8008" t="s">
        <v>0</v>
      </c>
      <c r="G8008" t="str">
        <f>"2018-10-16 10:08:11"</f>
        <v>2018-10-16 10:08:11</v>
      </c>
    </row>
    <row r="8009" spans="1:7" x14ac:dyDescent="0.2">
      <c r="A8009" t="s">
        <v>1</v>
      </c>
      <c r="B8009" t="str">
        <f>"17755943320"</f>
        <v>17755943320</v>
      </c>
      <c r="C8009" t="s">
        <v>1</v>
      </c>
      <c r="D8009" t="s">
        <v>1</v>
      </c>
      <c r="E8009" t="s">
        <v>1</v>
      </c>
      <c r="F8009" t="s">
        <v>0</v>
      </c>
      <c r="G8009" t="str">
        <f>"2018-10-16 10:07:55"</f>
        <v>2018-10-16 10:07:55</v>
      </c>
    </row>
    <row r="8010" spans="1:7" x14ac:dyDescent="0.2">
      <c r="A8010" t="s">
        <v>8728</v>
      </c>
      <c r="B8010" t="str">
        <f>"15849362464"</f>
        <v>15849362464</v>
      </c>
      <c r="C8010" t="str">
        <f>"150121198506046820"</f>
        <v>150121198506046820</v>
      </c>
      <c r="D8010" t="s">
        <v>1</v>
      </c>
      <c r="E8010" t="s">
        <v>1</v>
      </c>
      <c r="F8010" t="s">
        <v>0</v>
      </c>
      <c r="G8010" t="str">
        <f>"2018-10-16 10:06:43"</f>
        <v>2018-10-16 10:06:43</v>
      </c>
    </row>
    <row r="8011" spans="1:7" x14ac:dyDescent="0.2">
      <c r="A8011" t="s">
        <v>8729</v>
      </c>
      <c r="B8011" t="str">
        <f>"15380565639"</f>
        <v>15380565639</v>
      </c>
      <c r="C8011" t="str">
        <f>"32092519880918317X"</f>
        <v>32092519880918317X</v>
      </c>
      <c r="D8011" t="s">
        <v>1</v>
      </c>
      <c r="E8011" t="s">
        <v>1</v>
      </c>
      <c r="F8011" t="s">
        <v>0</v>
      </c>
      <c r="G8011" t="str">
        <f>"2018-10-16 14:58:50"</f>
        <v>2018-10-16 14:58:50</v>
      </c>
    </row>
    <row r="8012" spans="1:7" x14ac:dyDescent="0.2">
      <c r="A8012" t="s">
        <v>813</v>
      </c>
      <c r="B8012" t="str">
        <f>"13990348767"</f>
        <v>13990348767</v>
      </c>
      <c r="C8012" t="str">
        <f>"51090219910602539X"</f>
        <v>51090219910602539X</v>
      </c>
      <c r="D8012" t="s">
        <v>1</v>
      </c>
      <c r="E8012" t="s">
        <v>1</v>
      </c>
      <c r="F8012" t="s">
        <v>0</v>
      </c>
      <c r="G8012" t="str">
        <f>"2018-10-16 10:11:29"</f>
        <v>2018-10-16 10:11:29</v>
      </c>
    </row>
    <row r="8013" spans="1:7" x14ac:dyDescent="0.2">
      <c r="A8013" t="s">
        <v>8730</v>
      </c>
      <c r="B8013" t="str">
        <f>"18993134482"</f>
        <v>18993134482</v>
      </c>
      <c r="C8013" t="str">
        <f>"622326196412141518"</f>
        <v>622326196412141518</v>
      </c>
      <c r="D8013" t="s">
        <v>8731</v>
      </c>
      <c r="E8013" t="s">
        <v>8732</v>
      </c>
      <c r="F8013" t="s">
        <v>0</v>
      </c>
      <c r="G8013" t="str">
        <f>"2018-10-16 10:05:13"</f>
        <v>2018-10-16 10:05:13</v>
      </c>
    </row>
    <row r="8014" spans="1:7" x14ac:dyDescent="0.2">
      <c r="A8014" t="s">
        <v>8733</v>
      </c>
      <c r="B8014" t="str">
        <f>"13516206942"</f>
        <v>13516206942</v>
      </c>
      <c r="C8014" t="str">
        <f>"120109198512264015"</f>
        <v>120109198512264015</v>
      </c>
      <c r="D8014" t="s">
        <v>1</v>
      </c>
      <c r="E8014" t="s">
        <v>1</v>
      </c>
      <c r="F8014" t="s">
        <v>0</v>
      </c>
      <c r="G8014" t="str">
        <f>"2018-10-16 11:12:41"</f>
        <v>2018-10-16 11:12:41</v>
      </c>
    </row>
    <row r="8015" spans="1:7" x14ac:dyDescent="0.2">
      <c r="A8015" t="s">
        <v>8734</v>
      </c>
      <c r="B8015" t="str">
        <f>"15076517675"</f>
        <v>15076517675</v>
      </c>
      <c r="C8015" t="str">
        <f>"13023019930124181X"</f>
        <v>13023019930124181X</v>
      </c>
      <c r="D8015" t="s">
        <v>8735</v>
      </c>
      <c r="E8015" t="s">
        <v>8736</v>
      </c>
      <c r="F8015" t="s">
        <v>0</v>
      </c>
      <c r="G8015" t="str">
        <f>"2018-10-16 10:02:59"</f>
        <v>2018-10-16 10:02:59</v>
      </c>
    </row>
    <row r="8016" spans="1:7" x14ac:dyDescent="0.2">
      <c r="A8016" t="s">
        <v>1</v>
      </c>
      <c r="B8016" t="str">
        <f>"13397054740"</f>
        <v>13397054740</v>
      </c>
      <c r="C8016" t="s">
        <v>1</v>
      </c>
      <c r="D8016" t="s">
        <v>1</v>
      </c>
      <c r="E8016" t="s">
        <v>1</v>
      </c>
      <c r="F8016" t="s">
        <v>0</v>
      </c>
      <c r="G8016" t="str">
        <f>"2018-10-16 10:02:56"</f>
        <v>2018-10-16 10:02:56</v>
      </c>
    </row>
    <row r="8017" spans="1:7" x14ac:dyDescent="0.2">
      <c r="A8017" t="s">
        <v>1</v>
      </c>
      <c r="B8017" t="str">
        <f>"13337292918"</f>
        <v>13337292918</v>
      </c>
      <c r="C8017" t="s">
        <v>1</v>
      </c>
      <c r="D8017" t="s">
        <v>1</v>
      </c>
      <c r="E8017" t="s">
        <v>1</v>
      </c>
      <c r="F8017" t="s">
        <v>0</v>
      </c>
      <c r="G8017" t="str">
        <f>"2018-10-16 10:02:52"</f>
        <v>2018-10-16 10:02:52</v>
      </c>
    </row>
    <row r="8018" spans="1:7" x14ac:dyDescent="0.2">
      <c r="A8018" t="s">
        <v>998</v>
      </c>
      <c r="B8018" t="str">
        <f>"15879138900"</f>
        <v>15879138900</v>
      </c>
      <c r="C8018" t="str">
        <f>"362330198910043849"</f>
        <v>362330198910043849</v>
      </c>
      <c r="D8018" t="s">
        <v>1</v>
      </c>
      <c r="E8018" t="s">
        <v>1</v>
      </c>
      <c r="F8018" t="s">
        <v>0</v>
      </c>
      <c r="G8018" t="str">
        <f>"2018-10-16 10:02:36"</f>
        <v>2018-10-16 10:02:36</v>
      </c>
    </row>
    <row r="8019" spans="1:7" x14ac:dyDescent="0.2">
      <c r="A8019" t="s">
        <v>8737</v>
      </c>
      <c r="B8019" t="str">
        <f>"13191131445"</f>
        <v>13191131445</v>
      </c>
      <c r="C8019" t="str">
        <f>"140311198905170913"</f>
        <v>140311198905170913</v>
      </c>
      <c r="D8019" t="s">
        <v>1</v>
      </c>
      <c r="E8019" t="s">
        <v>1</v>
      </c>
      <c r="F8019" t="s">
        <v>0</v>
      </c>
      <c r="G8019" t="str">
        <f>"2018-10-16 10:02:55"</f>
        <v>2018-10-16 10:02:55</v>
      </c>
    </row>
    <row r="8020" spans="1:7" x14ac:dyDescent="0.2">
      <c r="A8020" t="s">
        <v>1</v>
      </c>
      <c r="B8020" t="str">
        <f>"17307827571"</f>
        <v>17307827571</v>
      </c>
      <c r="C8020" t="s">
        <v>1</v>
      </c>
      <c r="D8020" t="s">
        <v>1</v>
      </c>
      <c r="E8020" t="s">
        <v>1</v>
      </c>
      <c r="F8020" t="s">
        <v>0</v>
      </c>
      <c r="G8020" t="str">
        <f>"2018-10-16 10:01:06"</f>
        <v>2018-10-16 10:01:06</v>
      </c>
    </row>
    <row r="8021" spans="1:7" x14ac:dyDescent="0.2">
      <c r="A8021" t="s">
        <v>8738</v>
      </c>
      <c r="B8021" t="str">
        <f>"13857434455"</f>
        <v>13857434455</v>
      </c>
      <c r="C8021" t="str">
        <f>"330283198910274321"</f>
        <v>330283198910274321</v>
      </c>
      <c r="D8021" t="s">
        <v>8739</v>
      </c>
      <c r="E8021" t="s">
        <v>8740</v>
      </c>
      <c r="F8021" t="s">
        <v>0</v>
      </c>
      <c r="G8021" t="str">
        <f>"2018-10-16 10:03:50"</f>
        <v>2018-10-16 10:03:50</v>
      </c>
    </row>
    <row r="8022" spans="1:7" x14ac:dyDescent="0.2">
      <c r="A8022" t="s">
        <v>8741</v>
      </c>
      <c r="B8022" t="str">
        <f>"18469843265"</f>
        <v>18469843265</v>
      </c>
      <c r="C8022" t="str">
        <f>"533524199202131590"</f>
        <v>533524199202131590</v>
      </c>
      <c r="D8022" t="s">
        <v>1</v>
      </c>
      <c r="E8022" t="s">
        <v>1</v>
      </c>
      <c r="F8022" t="s">
        <v>0</v>
      </c>
      <c r="G8022" t="str">
        <f>"2018-10-16 10:48:00"</f>
        <v>2018-10-16 10:48:00</v>
      </c>
    </row>
    <row r="8023" spans="1:7" x14ac:dyDescent="0.2">
      <c r="A8023" t="s">
        <v>8742</v>
      </c>
      <c r="B8023" t="str">
        <f>"13710311280"</f>
        <v>13710311280</v>
      </c>
      <c r="C8023" t="str">
        <f>"440883199802102939"</f>
        <v>440883199802102939</v>
      </c>
      <c r="D8023" t="s">
        <v>1</v>
      </c>
      <c r="E8023" t="s">
        <v>1</v>
      </c>
      <c r="F8023" t="s">
        <v>0</v>
      </c>
      <c r="G8023" t="str">
        <f>"2018-10-16 10:01:21"</f>
        <v>2018-10-16 10:01:21</v>
      </c>
    </row>
    <row r="8024" spans="1:7" x14ac:dyDescent="0.2">
      <c r="A8024" t="s">
        <v>8743</v>
      </c>
      <c r="B8024" t="str">
        <f>"13959980915"</f>
        <v>13959980915</v>
      </c>
      <c r="C8024" t="str">
        <f>"350583199110224355"</f>
        <v>350583199110224355</v>
      </c>
      <c r="D8024" t="s">
        <v>1</v>
      </c>
      <c r="E8024" t="s">
        <v>1</v>
      </c>
      <c r="F8024" t="s">
        <v>0</v>
      </c>
      <c r="G8024" t="str">
        <f>"2018-10-21 09:32:03"</f>
        <v>2018-10-21 09:32:03</v>
      </c>
    </row>
    <row r="8025" spans="1:7" x14ac:dyDescent="0.2">
      <c r="A8025" t="s">
        <v>8744</v>
      </c>
      <c r="B8025" t="str">
        <f>"15108703805"</f>
        <v>15108703805</v>
      </c>
      <c r="C8025" t="str">
        <f>"530428199808060341"</f>
        <v>530428199808060341</v>
      </c>
      <c r="D8025" t="s">
        <v>1</v>
      </c>
      <c r="E8025" t="s">
        <v>1</v>
      </c>
      <c r="F8025" t="s">
        <v>0</v>
      </c>
      <c r="G8025" t="str">
        <f>"2018-10-16 10:00:05"</f>
        <v>2018-10-16 10:00:05</v>
      </c>
    </row>
    <row r="8026" spans="1:7" x14ac:dyDescent="0.2">
      <c r="A8026" t="s">
        <v>8745</v>
      </c>
      <c r="B8026" t="str">
        <f>"15246630432"</f>
        <v>15246630432</v>
      </c>
      <c r="C8026" t="str">
        <f>"230119198703273529"</f>
        <v>230119198703273529</v>
      </c>
      <c r="D8026" t="s">
        <v>8746</v>
      </c>
      <c r="E8026" t="s">
        <v>8747</v>
      </c>
      <c r="F8026" t="s">
        <v>0</v>
      </c>
      <c r="G8026" t="str">
        <f>"2018-10-16 10:00:43"</f>
        <v>2018-10-16 10:00:43</v>
      </c>
    </row>
    <row r="8027" spans="1:7" x14ac:dyDescent="0.2">
      <c r="A8027" t="s">
        <v>8748</v>
      </c>
      <c r="B8027" t="str">
        <f>"15908939996"</f>
        <v>15908939996</v>
      </c>
      <c r="C8027" t="str">
        <f>"654001197907246512"</f>
        <v>654001197907246512</v>
      </c>
      <c r="D8027" t="s">
        <v>1</v>
      </c>
      <c r="E8027" t="s">
        <v>1</v>
      </c>
      <c r="F8027" t="s">
        <v>0</v>
      </c>
      <c r="G8027" t="str">
        <f>"2018-10-16 10:00:06"</f>
        <v>2018-10-16 10:00:06</v>
      </c>
    </row>
    <row r="8028" spans="1:7" x14ac:dyDescent="0.2">
      <c r="A8028" t="s">
        <v>8749</v>
      </c>
      <c r="B8028" t="str">
        <f>"15501795292"</f>
        <v>15501795292</v>
      </c>
      <c r="C8028" t="str">
        <f>"460033199307173277"</f>
        <v>460033199307173277</v>
      </c>
      <c r="D8028" t="s">
        <v>1</v>
      </c>
      <c r="E8028" t="s">
        <v>1</v>
      </c>
      <c r="F8028" t="s">
        <v>0</v>
      </c>
      <c r="G8028" t="str">
        <f>"2018-10-16 10:00:49"</f>
        <v>2018-10-16 10:00:49</v>
      </c>
    </row>
    <row r="8029" spans="1:7" x14ac:dyDescent="0.2">
      <c r="A8029" t="s">
        <v>8750</v>
      </c>
      <c r="B8029" t="str">
        <f>"18962973350"</f>
        <v>18962973350</v>
      </c>
      <c r="C8029" t="str">
        <f>"320684199104085172"</f>
        <v>320684199104085172</v>
      </c>
      <c r="D8029" t="s">
        <v>8751</v>
      </c>
      <c r="E8029" t="s">
        <v>8752</v>
      </c>
      <c r="F8029" t="s">
        <v>0</v>
      </c>
      <c r="G8029" t="str">
        <f>"2018-10-16 13:22:48"</f>
        <v>2018-10-16 13:22:48</v>
      </c>
    </row>
    <row r="8030" spans="1:7" x14ac:dyDescent="0.2">
      <c r="A8030" t="s">
        <v>8753</v>
      </c>
      <c r="B8030" t="str">
        <f>"15652110576"</f>
        <v>15652110576</v>
      </c>
      <c r="C8030" t="str">
        <f>"220722198702021038"</f>
        <v>220722198702021038</v>
      </c>
      <c r="D8030" t="s">
        <v>1</v>
      </c>
      <c r="E8030" t="s">
        <v>1</v>
      </c>
      <c r="F8030" t="s">
        <v>0</v>
      </c>
      <c r="G8030" t="str">
        <f>"2018-10-16 09:58:11"</f>
        <v>2018-10-16 09:58:11</v>
      </c>
    </row>
    <row r="8031" spans="1:7" x14ac:dyDescent="0.2">
      <c r="A8031" t="s">
        <v>8754</v>
      </c>
      <c r="B8031" t="str">
        <f>"18476266177"</f>
        <v>18476266177</v>
      </c>
      <c r="C8031" t="str">
        <f>"440923198906033733"</f>
        <v>440923198906033733</v>
      </c>
      <c r="D8031" t="s">
        <v>1</v>
      </c>
      <c r="E8031" t="s">
        <v>1</v>
      </c>
      <c r="F8031" t="s">
        <v>0</v>
      </c>
      <c r="G8031" t="str">
        <f>"2018-10-16 09:57:08"</f>
        <v>2018-10-16 09:57:08</v>
      </c>
    </row>
    <row r="8032" spans="1:7" x14ac:dyDescent="0.2">
      <c r="A8032" t="s">
        <v>1</v>
      </c>
      <c r="B8032" t="str">
        <f>"18538133661"</f>
        <v>18538133661</v>
      </c>
      <c r="C8032" t="s">
        <v>1</v>
      </c>
      <c r="D8032" t="s">
        <v>1</v>
      </c>
      <c r="E8032" t="s">
        <v>1</v>
      </c>
      <c r="F8032" t="s">
        <v>0</v>
      </c>
      <c r="G8032" t="str">
        <f>"2018-10-16 09:53:04"</f>
        <v>2018-10-16 09:53:04</v>
      </c>
    </row>
    <row r="8033" spans="1:7" x14ac:dyDescent="0.2">
      <c r="A8033" t="s">
        <v>377</v>
      </c>
      <c r="B8033" t="str">
        <f>"17681707432"</f>
        <v>17681707432</v>
      </c>
      <c r="C8033" t="str">
        <f>"330324199908236393"</f>
        <v>330324199908236393</v>
      </c>
      <c r="D8033" t="s">
        <v>8755</v>
      </c>
      <c r="E8033" t="s">
        <v>8756</v>
      </c>
      <c r="F8033" t="s">
        <v>0</v>
      </c>
      <c r="G8033" t="str">
        <f>"2018-10-16 09:52:50"</f>
        <v>2018-10-16 09:52:50</v>
      </c>
    </row>
    <row r="8034" spans="1:7" x14ac:dyDescent="0.2">
      <c r="A8034" t="s">
        <v>4223</v>
      </c>
      <c r="B8034" t="str">
        <f>"14747126733"</f>
        <v>14747126733</v>
      </c>
      <c r="C8034" t="str">
        <f>"513022199108143014"</f>
        <v>513022199108143014</v>
      </c>
      <c r="D8034" t="s">
        <v>1</v>
      </c>
      <c r="E8034" t="s">
        <v>1</v>
      </c>
      <c r="F8034" t="s">
        <v>0</v>
      </c>
      <c r="G8034" t="str">
        <f>"2018-10-16 09:54:00"</f>
        <v>2018-10-16 09:54:00</v>
      </c>
    </row>
    <row r="8035" spans="1:7" x14ac:dyDescent="0.2">
      <c r="A8035" t="s">
        <v>8757</v>
      </c>
      <c r="B8035" t="str">
        <f>"15047909300"</f>
        <v>15047909300</v>
      </c>
      <c r="C8035" t="str">
        <f>"15250119940311001X"</f>
        <v>15250119940311001X</v>
      </c>
      <c r="D8035" t="s">
        <v>1</v>
      </c>
      <c r="E8035" t="s">
        <v>1</v>
      </c>
      <c r="F8035" t="s">
        <v>0</v>
      </c>
      <c r="G8035" t="str">
        <f>"2018-10-16 09:52:53"</f>
        <v>2018-10-16 09:52:53</v>
      </c>
    </row>
    <row r="8036" spans="1:7" x14ac:dyDescent="0.2">
      <c r="A8036" t="s">
        <v>1</v>
      </c>
      <c r="B8036" t="str">
        <f>"13715658604"</f>
        <v>13715658604</v>
      </c>
      <c r="C8036" t="s">
        <v>1</v>
      </c>
      <c r="D8036" t="s">
        <v>1</v>
      </c>
      <c r="E8036" t="s">
        <v>1</v>
      </c>
      <c r="F8036" t="s">
        <v>0</v>
      </c>
      <c r="G8036" t="str">
        <f>"2018-10-16 09:49:35"</f>
        <v>2018-10-16 09:49:35</v>
      </c>
    </row>
    <row r="8037" spans="1:7" x14ac:dyDescent="0.2">
      <c r="A8037" t="s">
        <v>8758</v>
      </c>
      <c r="B8037" t="str">
        <f>"18977574143"</f>
        <v>18977574143</v>
      </c>
      <c r="C8037" t="str">
        <f>"452501199108070511"</f>
        <v>452501199108070511</v>
      </c>
      <c r="D8037" t="s">
        <v>1</v>
      </c>
      <c r="E8037" t="s">
        <v>1</v>
      </c>
      <c r="F8037" t="s">
        <v>0</v>
      </c>
      <c r="G8037" t="str">
        <f>"2018-10-16 09:52:28"</f>
        <v>2018-10-16 09:52:28</v>
      </c>
    </row>
    <row r="8038" spans="1:7" x14ac:dyDescent="0.2">
      <c r="A8038" t="s">
        <v>8759</v>
      </c>
      <c r="B8038" t="str">
        <f>"13950219027"</f>
        <v>13950219027</v>
      </c>
      <c r="C8038" t="str">
        <f>"350125199112254157"</f>
        <v>350125199112254157</v>
      </c>
      <c r="D8038" t="s">
        <v>1</v>
      </c>
      <c r="E8038" t="s">
        <v>1</v>
      </c>
      <c r="F8038" t="s">
        <v>0</v>
      </c>
      <c r="G8038" t="str">
        <f>"2018-10-16 09:52:14"</f>
        <v>2018-10-16 09:52:14</v>
      </c>
    </row>
    <row r="8039" spans="1:7" x14ac:dyDescent="0.2">
      <c r="A8039" t="s">
        <v>8760</v>
      </c>
      <c r="B8039" t="str">
        <f>"18737665178"</f>
        <v>18737665178</v>
      </c>
      <c r="C8039" t="str">
        <f>"411524199004294736"</f>
        <v>411524199004294736</v>
      </c>
      <c r="D8039" t="s">
        <v>8761</v>
      </c>
      <c r="E8039" t="s">
        <v>8762</v>
      </c>
      <c r="F8039" t="s">
        <v>0</v>
      </c>
      <c r="G8039" t="str">
        <f>"2018-10-16 09:59:27"</f>
        <v>2018-10-16 09:59:27</v>
      </c>
    </row>
    <row r="8040" spans="1:7" x14ac:dyDescent="0.2">
      <c r="A8040" t="s">
        <v>1</v>
      </c>
      <c r="B8040" t="str">
        <f>"18367087218"</f>
        <v>18367087218</v>
      </c>
      <c r="C8040" t="s">
        <v>1</v>
      </c>
      <c r="D8040" t="s">
        <v>1</v>
      </c>
      <c r="E8040" t="s">
        <v>1</v>
      </c>
      <c r="F8040" t="s">
        <v>0</v>
      </c>
      <c r="G8040" t="str">
        <f>"2018-10-16 09:48:30"</f>
        <v>2018-10-16 09:48:30</v>
      </c>
    </row>
    <row r="8041" spans="1:7" x14ac:dyDescent="0.2">
      <c r="A8041" t="s">
        <v>8763</v>
      </c>
      <c r="B8041" t="str">
        <f>"13092170939"</f>
        <v>13092170939</v>
      </c>
      <c r="C8041" t="str">
        <f>"320928199306195316"</f>
        <v>320928199306195316</v>
      </c>
      <c r="D8041" t="s">
        <v>1</v>
      </c>
      <c r="E8041" t="s">
        <v>1</v>
      </c>
      <c r="F8041" t="s">
        <v>0</v>
      </c>
      <c r="G8041" t="str">
        <f>"2018-10-16 09:50:54"</f>
        <v>2018-10-16 09:50:54</v>
      </c>
    </row>
    <row r="8042" spans="1:7" x14ac:dyDescent="0.2">
      <c r="A8042" t="s">
        <v>8764</v>
      </c>
      <c r="B8042" t="str">
        <f>"15881276349"</f>
        <v>15881276349</v>
      </c>
      <c r="C8042" t="str">
        <f>"510421199312282129"</f>
        <v>510421199312282129</v>
      </c>
      <c r="D8042" t="s">
        <v>1</v>
      </c>
      <c r="E8042" t="s">
        <v>1</v>
      </c>
      <c r="F8042" t="s">
        <v>0</v>
      </c>
      <c r="G8042" t="str">
        <f>"2018-10-16 10:05:23"</f>
        <v>2018-10-16 10:05:23</v>
      </c>
    </row>
    <row r="8043" spans="1:7" x14ac:dyDescent="0.2">
      <c r="A8043" t="s">
        <v>1</v>
      </c>
      <c r="B8043" t="str">
        <f>"13998381554"</f>
        <v>13998381554</v>
      </c>
      <c r="C8043" t="s">
        <v>1</v>
      </c>
      <c r="D8043" t="s">
        <v>1</v>
      </c>
      <c r="E8043" t="s">
        <v>1</v>
      </c>
      <c r="F8043" t="s">
        <v>0</v>
      </c>
      <c r="G8043" t="str">
        <f>"2018-10-16 09:44:27"</f>
        <v>2018-10-16 09:44:27</v>
      </c>
    </row>
    <row r="8044" spans="1:7" x14ac:dyDescent="0.2">
      <c r="A8044" t="s">
        <v>8765</v>
      </c>
      <c r="B8044" t="str">
        <f>"15297946852"</f>
        <v>15297946852</v>
      </c>
      <c r="C8044" t="str">
        <f>"362522197808270056"</f>
        <v>362522197808270056</v>
      </c>
      <c r="D8044" t="s">
        <v>8766</v>
      </c>
      <c r="E8044" t="s">
        <v>8767</v>
      </c>
      <c r="F8044" t="s">
        <v>0</v>
      </c>
      <c r="G8044" t="str">
        <f>"2018-10-16 09:44:20"</f>
        <v>2018-10-16 09:44:20</v>
      </c>
    </row>
    <row r="8045" spans="1:7" x14ac:dyDescent="0.2">
      <c r="A8045" t="s">
        <v>8768</v>
      </c>
      <c r="B8045" t="str">
        <f>"18985752904"</f>
        <v>18985752904</v>
      </c>
      <c r="C8045" t="str">
        <f>"522725198311244834"</f>
        <v>522725198311244834</v>
      </c>
      <c r="D8045" t="s">
        <v>1</v>
      </c>
      <c r="E8045" t="s">
        <v>1</v>
      </c>
      <c r="F8045" t="s">
        <v>0</v>
      </c>
      <c r="G8045" t="str">
        <f>"2018-10-18 15:49:30"</f>
        <v>2018-10-18 15:49:30</v>
      </c>
    </row>
    <row r="8046" spans="1:7" x14ac:dyDescent="0.2">
      <c r="A8046" t="s">
        <v>8769</v>
      </c>
      <c r="B8046" t="str">
        <f>"13060689974"</f>
        <v>13060689974</v>
      </c>
      <c r="C8046" t="str">
        <f>"421083198604030910"</f>
        <v>421083198604030910</v>
      </c>
      <c r="D8046" t="s">
        <v>1</v>
      </c>
      <c r="E8046" t="s">
        <v>1</v>
      </c>
      <c r="F8046" t="s">
        <v>0</v>
      </c>
      <c r="G8046" t="str">
        <f>"2018-10-16 09:43:35"</f>
        <v>2018-10-16 09:43:35</v>
      </c>
    </row>
    <row r="8047" spans="1:7" x14ac:dyDescent="0.2">
      <c r="A8047" t="s">
        <v>8770</v>
      </c>
      <c r="B8047" t="str">
        <f>"17638822836"</f>
        <v>17638822836</v>
      </c>
      <c r="C8047" t="str">
        <f>"410105199004090088"</f>
        <v>410105199004090088</v>
      </c>
      <c r="D8047" t="s">
        <v>8771</v>
      </c>
      <c r="E8047" t="s">
        <v>8772</v>
      </c>
      <c r="F8047" t="s">
        <v>0</v>
      </c>
      <c r="G8047" t="str">
        <f>"2018-11-05 09:50:55"</f>
        <v>2018-11-05 09:50:55</v>
      </c>
    </row>
    <row r="8048" spans="1:7" x14ac:dyDescent="0.2">
      <c r="A8048" t="s">
        <v>1</v>
      </c>
      <c r="B8048" t="str">
        <f>"15707795377"</f>
        <v>15707795377</v>
      </c>
      <c r="C8048" t="s">
        <v>1</v>
      </c>
      <c r="D8048" t="s">
        <v>1</v>
      </c>
      <c r="E8048" t="s">
        <v>1</v>
      </c>
      <c r="F8048" t="s">
        <v>0</v>
      </c>
      <c r="G8048" t="str">
        <f>"2018-10-16 09:42:16"</f>
        <v>2018-10-16 09:42:16</v>
      </c>
    </row>
    <row r="8049" spans="1:7" x14ac:dyDescent="0.2">
      <c r="A8049" t="s">
        <v>8773</v>
      </c>
      <c r="B8049" t="str">
        <f>"15867660965"</f>
        <v>15867660965</v>
      </c>
      <c r="C8049" t="str">
        <f>"331082198605268906"</f>
        <v>331082198605268906</v>
      </c>
      <c r="D8049" t="s">
        <v>1</v>
      </c>
      <c r="E8049" t="s">
        <v>1</v>
      </c>
      <c r="F8049" t="s">
        <v>0</v>
      </c>
      <c r="G8049" t="str">
        <f>"2018-10-16 09:51:37"</f>
        <v>2018-10-16 09:51:37</v>
      </c>
    </row>
    <row r="8050" spans="1:7" x14ac:dyDescent="0.2">
      <c r="A8050" t="s">
        <v>1</v>
      </c>
      <c r="B8050" t="str">
        <f>"18166139921"</f>
        <v>18166139921</v>
      </c>
      <c r="C8050" t="s">
        <v>1</v>
      </c>
      <c r="D8050" t="s">
        <v>1</v>
      </c>
      <c r="E8050" t="s">
        <v>1</v>
      </c>
      <c r="F8050" t="s">
        <v>0</v>
      </c>
      <c r="G8050" t="str">
        <f>"2018-10-16 09:41:32"</f>
        <v>2018-10-16 09:41:32</v>
      </c>
    </row>
    <row r="8051" spans="1:7" x14ac:dyDescent="0.2">
      <c r="A8051" t="s">
        <v>8774</v>
      </c>
      <c r="B8051" t="str">
        <f>"15808543549"</f>
        <v>15808543549</v>
      </c>
      <c r="C8051" t="str">
        <f>"522728199110091214"</f>
        <v>522728199110091214</v>
      </c>
      <c r="D8051" t="s">
        <v>1</v>
      </c>
      <c r="E8051" t="s">
        <v>1</v>
      </c>
      <c r="F8051" t="s">
        <v>0</v>
      </c>
      <c r="G8051" t="str">
        <f>"2018-10-16 17:07:00"</f>
        <v>2018-10-16 17:07:00</v>
      </c>
    </row>
    <row r="8052" spans="1:7" x14ac:dyDescent="0.2">
      <c r="A8052" t="s">
        <v>1</v>
      </c>
      <c r="B8052" t="str">
        <f>"17698205522"</f>
        <v>17698205522</v>
      </c>
      <c r="C8052" t="s">
        <v>1</v>
      </c>
      <c r="D8052" t="s">
        <v>1</v>
      </c>
      <c r="E8052" t="s">
        <v>1</v>
      </c>
      <c r="F8052" t="s">
        <v>0</v>
      </c>
      <c r="G8052" t="str">
        <f>"2018-10-16 09:41:09"</f>
        <v>2018-10-16 09:41:09</v>
      </c>
    </row>
    <row r="8053" spans="1:7" x14ac:dyDescent="0.2">
      <c r="A8053" t="s">
        <v>8775</v>
      </c>
      <c r="B8053" t="str">
        <f>"13859690356"</f>
        <v>13859690356</v>
      </c>
      <c r="C8053" t="str">
        <f>"352203198412230020"</f>
        <v>352203198412230020</v>
      </c>
      <c r="D8053" t="s">
        <v>1</v>
      </c>
      <c r="E8053" t="s">
        <v>1</v>
      </c>
      <c r="F8053" t="s">
        <v>0</v>
      </c>
      <c r="G8053" t="str">
        <f>"2018-10-16 19:28:11"</f>
        <v>2018-10-16 19:28:11</v>
      </c>
    </row>
    <row r="8054" spans="1:7" x14ac:dyDescent="0.2">
      <c r="A8054" t="s">
        <v>8776</v>
      </c>
      <c r="B8054" t="str">
        <f>"18654119351"</f>
        <v>18654119351</v>
      </c>
      <c r="C8054" t="str">
        <f>"340123199311153338"</f>
        <v>340123199311153338</v>
      </c>
      <c r="D8054" t="s">
        <v>1</v>
      </c>
      <c r="E8054" t="s">
        <v>1</v>
      </c>
      <c r="F8054" t="s">
        <v>0</v>
      </c>
      <c r="G8054" t="str">
        <f>"2018-10-16 09:45:10"</f>
        <v>2018-10-16 09:45:10</v>
      </c>
    </row>
    <row r="8055" spans="1:7" x14ac:dyDescent="0.2">
      <c r="A8055" t="s">
        <v>8777</v>
      </c>
      <c r="B8055" t="str">
        <f>"15147325327"</f>
        <v>15147325327</v>
      </c>
      <c r="C8055" t="str">
        <f>"150302198308231023"</f>
        <v>150302198308231023</v>
      </c>
      <c r="D8055" t="s">
        <v>1</v>
      </c>
      <c r="E8055" t="s">
        <v>1</v>
      </c>
      <c r="F8055" t="s">
        <v>0</v>
      </c>
      <c r="G8055" t="str">
        <f>"2018-10-16 10:05:22"</f>
        <v>2018-10-16 10:05:22</v>
      </c>
    </row>
    <row r="8056" spans="1:7" x14ac:dyDescent="0.2">
      <c r="A8056" t="s">
        <v>1</v>
      </c>
      <c r="B8056" t="str">
        <f>"13510122371"</f>
        <v>13510122371</v>
      </c>
      <c r="C8056" t="s">
        <v>1</v>
      </c>
      <c r="D8056" t="s">
        <v>1</v>
      </c>
      <c r="E8056" t="s">
        <v>1</v>
      </c>
      <c r="F8056" t="s">
        <v>0</v>
      </c>
      <c r="G8056" t="str">
        <f>"2018-10-16 09:41:31"</f>
        <v>2018-10-16 09:41:31</v>
      </c>
    </row>
    <row r="8057" spans="1:7" x14ac:dyDescent="0.2">
      <c r="A8057" t="s">
        <v>1</v>
      </c>
      <c r="B8057" t="str">
        <f>"13082522223"</f>
        <v>13082522223</v>
      </c>
      <c r="C8057" t="s">
        <v>1</v>
      </c>
      <c r="D8057" t="s">
        <v>1</v>
      </c>
      <c r="E8057" t="s">
        <v>1</v>
      </c>
      <c r="F8057" t="s">
        <v>0</v>
      </c>
      <c r="G8057" t="str">
        <f>"2018-10-16 09:40:24"</f>
        <v>2018-10-16 09:40:24</v>
      </c>
    </row>
    <row r="8058" spans="1:7" x14ac:dyDescent="0.2">
      <c r="A8058" t="s">
        <v>4612</v>
      </c>
      <c r="B8058" t="str">
        <f>"15380012959"</f>
        <v>15380012959</v>
      </c>
      <c r="C8058" t="str">
        <f>"320483198906108215"</f>
        <v>320483198906108215</v>
      </c>
      <c r="D8058" t="s">
        <v>1</v>
      </c>
      <c r="E8058" t="s">
        <v>1</v>
      </c>
      <c r="F8058" t="s">
        <v>0</v>
      </c>
      <c r="G8058" t="str">
        <f>"2018-10-16 09:41:19"</f>
        <v>2018-10-16 09:41:19</v>
      </c>
    </row>
    <row r="8059" spans="1:7" x14ac:dyDescent="0.2">
      <c r="A8059" t="s">
        <v>277</v>
      </c>
      <c r="B8059" t="str">
        <f>"13648438442"</f>
        <v>13648438442</v>
      </c>
      <c r="C8059" t="str">
        <f>"500227199312303933"</f>
        <v>500227199312303933</v>
      </c>
      <c r="D8059" t="s">
        <v>1</v>
      </c>
      <c r="E8059" t="s">
        <v>1</v>
      </c>
      <c r="F8059" t="s">
        <v>0</v>
      </c>
      <c r="G8059" t="str">
        <f>"2018-10-23 14:03:53"</f>
        <v>2018-10-23 14:03:53</v>
      </c>
    </row>
    <row r="8060" spans="1:7" x14ac:dyDescent="0.2">
      <c r="A8060" t="s">
        <v>8778</v>
      </c>
      <c r="B8060" t="str">
        <f>"18851718918"</f>
        <v>18851718918</v>
      </c>
      <c r="C8060" t="str">
        <f>"321183198605175312"</f>
        <v>321183198605175312</v>
      </c>
      <c r="D8060" t="s">
        <v>1</v>
      </c>
      <c r="E8060" t="s">
        <v>1</v>
      </c>
      <c r="F8060" t="s">
        <v>0</v>
      </c>
      <c r="G8060" t="str">
        <f>"2018-10-23 10:08:55"</f>
        <v>2018-10-23 10:08:55</v>
      </c>
    </row>
    <row r="8061" spans="1:7" x14ac:dyDescent="0.2">
      <c r="A8061" t="s">
        <v>1</v>
      </c>
      <c r="B8061" t="str">
        <f>"15714068245"</f>
        <v>15714068245</v>
      </c>
      <c r="C8061" t="s">
        <v>1</v>
      </c>
      <c r="D8061" t="s">
        <v>1</v>
      </c>
      <c r="E8061" t="s">
        <v>1</v>
      </c>
      <c r="F8061" t="s">
        <v>0</v>
      </c>
      <c r="G8061" t="str">
        <f>"2018-10-16 09:35:18"</f>
        <v>2018-10-16 09:35:18</v>
      </c>
    </row>
    <row r="8062" spans="1:7" x14ac:dyDescent="0.2">
      <c r="A8062" t="s">
        <v>8779</v>
      </c>
      <c r="B8062" t="str">
        <f>"18876002658"</f>
        <v>18876002658</v>
      </c>
      <c r="C8062" t="str">
        <f>"460002199603150331"</f>
        <v>460002199603150331</v>
      </c>
      <c r="D8062" t="s">
        <v>1</v>
      </c>
      <c r="E8062" t="s">
        <v>1</v>
      </c>
      <c r="F8062" t="s">
        <v>0</v>
      </c>
      <c r="G8062" t="str">
        <f>"2018-10-16 09:36:01"</f>
        <v>2018-10-16 09:36:01</v>
      </c>
    </row>
    <row r="8063" spans="1:7" x14ac:dyDescent="0.2">
      <c r="A8063" t="s">
        <v>8780</v>
      </c>
      <c r="B8063" t="str">
        <f>"18262505559"</f>
        <v>18262505559</v>
      </c>
      <c r="C8063" t="str">
        <f>"320682197807298455"</f>
        <v>320682197807298455</v>
      </c>
      <c r="D8063" t="s">
        <v>8781</v>
      </c>
      <c r="E8063" t="s">
        <v>8782</v>
      </c>
      <c r="F8063" t="s">
        <v>0</v>
      </c>
      <c r="G8063" t="str">
        <f>"2018-10-16 10:15:36"</f>
        <v>2018-10-16 10:15:36</v>
      </c>
    </row>
    <row r="8064" spans="1:7" x14ac:dyDescent="0.2">
      <c r="A8064" t="s">
        <v>8783</v>
      </c>
      <c r="B8064" t="str">
        <f>"15960265422"</f>
        <v>15960265422</v>
      </c>
      <c r="C8064" t="str">
        <f>"350628199012120537"</f>
        <v>350628199012120537</v>
      </c>
      <c r="D8064" t="s">
        <v>1</v>
      </c>
      <c r="E8064" t="s">
        <v>1</v>
      </c>
      <c r="F8064" t="s">
        <v>0</v>
      </c>
      <c r="G8064" t="str">
        <f>"2018-10-16 10:39:44"</f>
        <v>2018-10-16 10:39:44</v>
      </c>
    </row>
    <row r="8065" spans="1:7" x14ac:dyDescent="0.2">
      <c r="A8065" t="s">
        <v>8784</v>
      </c>
      <c r="B8065" t="str">
        <f>"17638702501"</f>
        <v>17638702501</v>
      </c>
      <c r="C8065" t="str">
        <f>"410426199810250531"</f>
        <v>410426199810250531</v>
      </c>
      <c r="D8065" t="s">
        <v>1</v>
      </c>
      <c r="E8065" t="s">
        <v>1</v>
      </c>
      <c r="F8065" t="s">
        <v>0</v>
      </c>
      <c r="G8065" t="str">
        <f>"2018-10-16 09:33:02"</f>
        <v>2018-10-16 09:33:02</v>
      </c>
    </row>
    <row r="8066" spans="1:7" x14ac:dyDescent="0.2">
      <c r="A8066" t="s">
        <v>8785</v>
      </c>
      <c r="B8066" t="str">
        <f>"13787039276"</f>
        <v>13787039276</v>
      </c>
      <c r="C8066" t="str">
        <f>"430105198607017428"</f>
        <v>430105198607017428</v>
      </c>
      <c r="D8066" t="s">
        <v>8786</v>
      </c>
      <c r="E8066" t="s">
        <v>8787</v>
      </c>
      <c r="F8066" t="s">
        <v>0</v>
      </c>
      <c r="G8066" t="str">
        <f>"2018-10-23 14:20:20"</f>
        <v>2018-10-23 14:20:20</v>
      </c>
    </row>
    <row r="8067" spans="1:7" x14ac:dyDescent="0.2">
      <c r="A8067" t="s">
        <v>1</v>
      </c>
      <c r="B8067" t="str">
        <f>"15367845772"</f>
        <v>15367845772</v>
      </c>
      <c r="C8067" t="s">
        <v>1</v>
      </c>
      <c r="D8067" t="s">
        <v>1</v>
      </c>
      <c r="E8067" t="s">
        <v>1</v>
      </c>
      <c r="F8067" t="s">
        <v>0</v>
      </c>
      <c r="G8067" t="str">
        <f>"2018-10-16 09:34:34"</f>
        <v>2018-10-16 09:34:34</v>
      </c>
    </row>
    <row r="8068" spans="1:7" x14ac:dyDescent="0.2">
      <c r="A8068" t="s">
        <v>8788</v>
      </c>
      <c r="B8068" t="str">
        <f>"13340115881"</f>
        <v>13340115881</v>
      </c>
      <c r="C8068" t="str">
        <f>"362502199805092016"</f>
        <v>362502199805092016</v>
      </c>
      <c r="D8068" t="s">
        <v>8789</v>
      </c>
      <c r="E8068" t="s">
        <v>8790</v>
      </c>
      <c r="F8068" t="s">
        <v>0</v>
      </c>
      <c r="G8068" t="str">
        <f>"2018-10-20 16:27:17"</f>
        <v>2018-10-20 16:27:17</v>
      </c>
    </row>
    <row r="8069" spans="1:7" x14ac:dyDescent="0.2">
      <c r="A8069" t="s">
        <v>8791</v>
      </c>
      <c r="B8069" t="str">
        <f>"13708836848"</f>
        <v>13708836848</v>
      </c>
      <c r="C8069" t="str">
        <f>"533521198203013621"</f>
        <v>533521198203013621</v>
      </c>
      <c r="D8069" t="s">
        <v>8792</v>
      </c>
      <c r="E8069" t="s">
        <v>8793</v>
      </c>
      <c r="F8069" t="s">
        <v>0</v>
      </c>
      <c r="G8069" t="str">
        <f>"2018-10-16 14:34:51"</f>
        <v>2018-10-16 14:34:51</v>
      </c>
    </row>
    <row r="8070" spans="1:7" x14ac:dyDescent="0.2">
      <c r="A8070" t="s">
        <v>1</v>
      </c>
      <c r="B8070" t="str">
        <f>"17081972829"</f>
        <v>17081972829</v>
      </c>
      <c r="C8070" t="s">
        <v>1</v>
      </c>
      <c r="D8070" t="s">
        <v>1</v>
      </c>
      <c r="E8070" t="s">
        <v>1</v>
      </c>
      <c r="F8070" t="s">
        <v>0</v>
      </c>
      <c r="G8070" t="str">
        <f>"2018-10-16 09:27:53"</f>
        <v>2018-10-16 09:27:53</v>
      </c>
    </row>
    <row r="8071" spans="1:7" x14ac:dyDescent="0.2">
      <c r="A8071" t="s">
        <v>1</v>
      </c>
      <c r="B8071" t="str">
        <f>"18501152224"</f>
        <v>18501152224</v>
      </c>
      <c r="C8071" t="s">
        <v>1</v>
      </c>
      <c r="D8071" t="s">
        <v>1</v>
      </c>
      <c r="E8071" t="s">
        <v>1</v>
      </c>
      <c r="F8071" t="s">
        <v>0</v>
      </c>
      <c r="G8071" t="str">
        <f>"2018-10-16 09:28:52"</f>
        <v>2018-10-16 09:28:52</v>
      </c>
    </row>
    <row r="8072" spans="1:7" x14ac:dyDescent="0.2">
      <c r="A8072" t="s">
        <v>1</v>
      </c>
      <c r="B8072" t="str">
        <f>"17316939483"</f>
        <v>17316939483</v>
      </c>
      <c r="C8072" t="s">
        <v>1</v>
      </c>
      <c r="D8072" t="s">
        <v>1</v>
      </c>
      <c r="E8072" t="s">
        <v>1</v>
      </c>
      <c r="F8072" t="s">
        <v>0</v>
      </c>
      <c r="G8072" t="str">
        <f>"2018-10-16 09:30:53"</f>
        <v>2018-10-16 09:30:53</v>
      </c>
    </row>
    <row r="8073" spans="1:7" x14ac:dyDescent="0.2">
      <c r="A8073" t="s">
        <v>8794</v>
      </c>
      <c r="B8073" t="str">
        <f>"18876632568"</f>
        <v>18876632568</v>
      </c>
      <c r="C8073" t="str">
        <f>"460002198905104918"</f>
        <v>460002198905104918</v>
      </c>
      <c r="D8073" t="s">
        <v>1</v>
      </c>
      <c r="E8073" t="s">
        <v>1</v>
      </c>
      <c r="F8073" t="s">
        <v>0</v>
      </c>
      <c r="G8073" t="str">
        <f>"2018-10-16 09:27:24"</f>
        <v>2018-10-16 09:27:24</v>
      </c>
    </row>
    <row r="8074" spans="1:7" x14ac:dyDescent="0.2">
      <c r="A8074" t="s">
        <v>1</v>
      </c>
      <c r="B8074" t="str">
        <f>"17049143543"</f>
        <v>17049143543</v>
      </c>
      <c r="C8074" t="s">
        <v>1</v>
      </c>
      <c r="D8074" t="s">
        <v>1</v>
      </c>
      <c r="E8074" t="s">
        <v>1</v>
      </c>
      <c r="F8074" t="s">
        <v>0</v>
      </c>
      <c r="G8074" t="str">
        <f>"2018-10-16 09:25:29"</f>
        <v>2018-10-16 09:25:29</v>
      </c>
    </row>
    <row r="8075" spans="1:7" x14ac:dyDescent="0.2">
      <c r="A8075" t="s">
        <v>8795</v>
      </c>
      <c r="B8075" t="str">
        <f>"13355345949"</f>
        <v>13355345949</v>
      </c>
      <c r="C8075" t="str">
        <f>"371424198611231523"</f>
        <v>371424198611231523</v>
      </c>
      <c r="D8075" t="s">
        <v>1</v>
      </c>
      <c r="E8075" t="s">
        <v>1</v>
      </c>
      <c r="F8075" t="s">
        <v>0</v>
      </c>
      <c r="G8075" t="str">
        <f>"2018-10-29 10:39:10"</f>
        <v>2018-10-29 10:39:10</v>
      </c>
    </row>
    <row r="8076" spans="1:7" x14ac:dyDescent="0.2">
      <c r="A8076" t="s">
        <v>1</v>
      </c>
      <c r="B8076" t="str">
        <f>"15098074141"</f>
        <v>15098074141</v>
      </c>
      <c r="C8076" t="s">
        <v>1</v>
      </c>
      <c r="D8076" t="s">
        <v>1</v>
      </c>
      <c r="E8076" t="s">
        <v>1</v>
      </c>
      <c r="F8076" t="s">
        <v>0</v>
      </c>
      <c r="G8076" t="str">
        <f>"2018-10-16 09:23:22"</f>
        <v>2018-10-16 09:23:22</v>
      </c>
    </row>
    <row r="8077" spans="1:7" x14ac:dyDescent="0.2">
      <c r="A8077" t="s">
        <v>135</v>
      </c>
      <c r="B8077" t="str">
        <f>"13009958843"</f>
        <v>13009958843</v>
      </c>
      <c r="C8077" t="str">
        <f>"23213119870224161X"</f>
        <v>23213119870224161X</v>
      </c>
      <c r="D8077" t="s">
        <v>1</v>
      </c>
      <c r="E8077" t="s">
        <v>1</v>
      </c>
      <c r="F8077" t="s">
        <v>0</v>
      </c>
      <c r="G8077" t="str">
        <f>"2018-10-16 09:24:17"</f>
        <v>2018-10-16 09:24:17</v>
      </c>
    </row>
    <row r="8078" spans="1:7" x14ac:dyDescent="0.2">
      <c r="A8078" t="s">
        <v>1</v>
      </c>
      <c r="B8078" t="str">
        <f>"18251153840"</f>
        <v>18251153840</v>
      </c>
      <c r="C8078" t="s">
        <v>1</v>
      </c>
      <c r="D8078" t="s">
        <v>1</v>
      </c>
      <c r="E8078" t="s">
        <v>1</v>
      </c>
      <c r="F8078" t="s">
        <v>0</v>
      </c>
      <c r="G8078" t="str">
        <f>"2018-10-16 09:22:01"</f>
        <v>2018-10-16 09:22:01</v>
      </c>
    </row>
    <row r="8079" spans="1:7" x14ac:dyDescent="0.2">
      <c r="A8079" t="s">
        <v>330</v>
      </c>
      <c r="B8079" t="str">
        <f>"13988173889"</f>
        <v>13988173889</v>
      </c>
      <c r="C8079" t="str">
        <f>"532801198809020279"</f>
        <v>532801198809020279</v>
      </c>
      <c r="D8079" t="s">
        <v>1</v>
      </c>
      <c r="E8079" t="s">
        <v>1</v>
      </c>
      <c r="F8079" t="s">
        <v>0</v>
      </c>
      <c r="G8079" t="str">
        <f>"2018-10-16 09:24:27"</f>
        <v>2018-10-16 09:24:27</v>
      </c>
    </row>
    <row r="8080" spans="1:7" x14ac:dyDescent="0.2">
      <c r="A8080" t="s">
        <v>1457</v>
      </c>
      <c r="B8080" t="str">
        <f>"18230517122"</f>
        <v>18230517122</v>
      </c>
      <c r="C8080" t="str">
        <f>"430923199012016312"</f>
        <v>430923199012016312</v>
      </c>
      <c r="D8080" t="s">
        <v>1</v>
      </c>
      <c r="E8080" t="s">
        <v>1</v>
      </c>
      <c r="F8080" t="s">
        <v>0</v>
      </c>
      <c r="G8080" t="str">
        <f>"2018-10-16 09:21:08"</f>
        <v>2018-10-16 09:21:08</v>
      </c>
    </row>
    <row r="8081" spans="1:7" x14ac:dyDescent="0.2">
      <c r="A8081" t="s">
        <v>8796</v>
      </c>
      <c r="B8081" t="str">
        <f>"13484274224"</f>
        <v>13484274224</v>
      </c>
      <c r="C8081" t="str">
        <f>"330226198908112887"</f>
        <v>330226198908112887</v>
      </c>
      <c r="D8081" t="s">
        <v>1</v>
      </c>
      <c r="E8081" t="s">
        <v>1</v>
      </c>
      <c r="F8081" t="s">
        <v>0</v>
      </c>
      <c r="G8081" t="str">
        <f>"2018-11-05 11:43:46"</f>
        <v>2018-11-05 11:43:46</v>
      </c>
    </row>
    <row r="8082" spans="1:7" x14ac:dyDescent="0.2">
      <c r="A8082" t="s">
        <v>8797</v>
      </c>
      <c r="B8082" t="str">
        <f>"15256186855"</f>
        <v>15256186855</v>
      </c>
      <c r="C8082" t="str">
        <f>"341227199601124019"</f>
        <v>341227199601124019</v>
      </c>
      <c r="D8082" t="s">
        <v>1</v>
      </c>
      <c r="E8082" t="s">
        <v>1</v>
      </c>
      <c r="F8082" t="s">
        <v>0</v>
      </c>
      <c r="G8082" t="str">
        <f>"2018-10-16 09:19:39"</f>
        <v>2018-10-16 09:19:39</v>
      </c>
    </row>
    <row r="8083" spans="1:7" x14ac:dyDescent="0.2">
      <c r="A8083" t="s">
        <v>1</v>
      </c>
      <c r="B8083" t="str">
        <f>"15830312423"</f>
        <v>15830312423</v>
      </c>
      <c r="C8083" t="s">
        <v>1</v>
      </c>
      <c r="D8083" t="s">
        <v>1</v>
      </c>
      <c r="E8083" t="s">
        <v>1</v>
      </c>
      <c r="F8083" t="s">
        <v>0</v>
      </c>
      <c r="G8083" t="str">
        <f>"2018-10-16 09:17:45"</f>
        <v>2018-10-16 09:17:45</v>
      </c>
    </row>
    <row r="8084" spans="1:7" x14ac:dyDescent="0.2">
      <c r="A8084" t="s">
        <v>1</v>
      </c>
      <c r="B8084" t="str">
        <f>"13845000584"</f>
        <v>13845000584</v>
      </c>
      <c r="C8084" t="s">
        <v>1</v>
      </c>
      <c r="D8084" t="s">
        <v>1</v>
      </c>
      <c r="E8084" t="s">
        <v>1</v>
      </c>
      <c r="F8084" t="s">
        <v>0</v>
      </c>
      <c r="G8084" t="str">
        <f>"2018-10-16 09:15:44"</f>
        <v>2018-10-16 09:15:44</v>
      </c>
    </row>
    <row r="8085" spans="1:7" x14ac:dyDescent="0.2">
      <c r="A8085" t="s">
        <v>8798</v>
      </c>
      <c r="B8085" t="str">
        <f>"15339550004"</f>
        <v>15339550004</v>
      </c>
      <c r="C8085" t="str">
        <f>"522633198808231013"</f>
        <v>522633198808231013</v>
      </c>
      <c r="D8085" t="s">
        <v>1</v>
      </c>
      <c r="E8085" t="s">
        <v>1</v>
      </c>
      <c r="F8085" t="s">
        <v>0</v>
      </c>
      <c r="G8085" t="str">
        <f>"2018-10-16 09:16:39"</f>
        <v>2018-10-16 09:16:39</v>
      </c>
    </row>
    <row r="8086" spans="1:7" x14ac:dyDescent="0.2">
      <c r="A8086" t="s">
        <v>8799</v>
      </c>
      <c r="B8086" t="str">
        <f>"18769105151"</f>
        <v>18769105151</v>
      </c>
      <c r="C8086" t="str">
        <f>"37108319860329053X"</f>
        <v>37108319860329053X</v>
      </c>
      <c r="D8086" t="s">
        <v>1</v>
      </c>
      <c r="E8086" t="s">
        <v>1</v>
      </c>
      <c r="F8086" t="s">
        <v>0</v>
      </c>
      <c r="G8086" t="str">
        <f>"2018-10-16 09:14:50"</f>
        <v>2018-10-16 09:14:50</v>
      </c>
    </row>
    <row r="8087" spans="1:7" x14ac:dyDescent="0.2">
      <c r="A8087" t="s">
        <v>8800</v>
      </c>
      <c r="B8087" t="str">
        <f>"13540645840"</f>
        <v>13540645840</v>
      </c>
      <c r="C8087" t="str">
        <f>"511523199312272894"</f>
        <v>511523199312272894</v>
      </c>
      <c r="D8087" t="s">
        <v>1</v>
      </c>
      <c r="E8087" t="s">
        <v>1</v>
      </c>
      <c r="F8087" t="s">
        <v>0</v>
      </c>
      <c r="G8087" t="str">
        <f>"2018-10-16 09:16:03"</f>
        <v>2018-10-16 09:16:03</v>
      </c>
    </row>
    <row r="8088" spans="1:7" x14ac:dyDescent="0.2">
      <c r="A8088" t="s">
        <v>451</v>
      </c>
      <c r="B8088" t="str">
        <f>"13105315980"</f>
        <v>13105315980</v>
      </c>
      <c r="C8088" t="str">
        <f>"370104199009294523"</f>
        <v>370104199009294523</v>
      </c>
      <c r="D8088" t="s">
        <v>8801</v>
      </c>
      <c r="E8088" t="s">
        <v>8802</v>
      </c>
      <c r="F8088" t="s">
        <v>0</v>
      </c>
      <c r="G8088" t="str">
        <f>"2018-10-18 16:15:43"</f>
        <v>2018-10-18 16:15:43</v>
      </c>
    </row>
    <row r="8089" spans="1:7" x14ac:dyDescent="0.2">
      <c r="A8089" t="s">
        <v>8803</v>
      </c>
      <c r="B8089" t="str">
        <f>"13878452014"</f>
        <v>13878452014</v>
      </c>
      <c r="C8089" t="str">
        <f>"452427198210101613"</f>
        <v>452427198210101613</v>
      </c>
      <c r="D8089" t="s">
        <v>8804</v>
      </c>
      <c r="E8089" t="s">
        <v>8805</v>
      </c>
      <c r="F8089" t="s">
        <v>0</v>
      </c>
      <c r="G8089" t="str">
        <f>"2018-10-16 10:37:50"</f>
        <v>2018-10-16 10:37:50</v>
      </c>
    </row>
    <row r="8090" spans="1:7" x14ac:dyDescent="0.2">
      <c r="A8090" t="s">
        <v>8806</v>
      </c>
      <c r="B8090" t="str">
        <f>"15019028694"</f>
        <v>15019028694</v>
      </c>
      <c r="C8090" t="str">
        <f>"440981199409271472"</f>
        <v>440981199409271472</v>
      </c>
      <c r="D8090" t="s">
        <v>1</v>
      </c>
      <c r="E8090" t="s">
        <v>1</v>
      </c>
      <c r="F8090" t="s">
        <v>0</v>
      </c>
      <c r="G8090" t="str">
        <f>"2018-10-16 09:13:53"</f>
        <v>2018-10-16 09:13:53</v>
      </c>
    </row>
    <row r="8091" spans="1:7" x14ac:dyDescent="0.2">
      <c r="A8091" t="s">
        <v>8807</v>
      </c>
      <c r="B8091" t="str">
        <f>"18223018768"</f>
        <v>18223018768</v>
      </c>
      <c r="C8091" t="str">
        <f>"500381199603294938"</f>
        <v>500381199603294938</v>
      </c>
      <c r="D8091" t="s">
        <v>1</v>
      </c>
      <c r="E8091" t="s">
        <v>1</v>
      </c>
      <c r="F8091" t="s">
        <v>0</v>
      </c>
      <c r="G8091" t="str">
        <f>"2018-10-26 16:21:12"</f>
        <v>2018-10-26 16:21:12</v>
      </c>
    </row>
    <row r="8092" spans="1:7" x14ac:dyDescent="0.2">
      <c r="A8092" t="s">
        <v>679</v>
      </c>
      <c r="B8092" t="str">
        <f>"13916280308"</f>
        <v>13916280308</v>
      </c>
      <c r="C8092" t="str">
        <f>"310108197910145235"</f>
        <v>310108197910145235</v>
      </c>
      <c r="D8092" t="s">
        <v>1</v>
      </c>
      <c r="E8092" t="s">
        <v>1</v>
      </c>
      <c r="F8092" t="s">
        <v>0</v>
      </c>
      <c r="G8092" t="str">
        <f>"2018-10-16 09:12:28"</f>
        <v>2018-10-16 09:12:28</v>
      </c>
    </row>
    <row r="8093" spans="1:7" x14ac:dyDescent="0.2">
      <c r="A8093" t="s">
        <v>8808</v>
      </c>
      <c r="B8093" t="str">
        <f>"13943016348"</f>
        <v>13943016348</v>
      </c>
      <c r="C8093" t="str">
        <f>"220102197909294858"</f>
        <v>220102197909294858</v>
      </c>
      <c r="D8093" t="s">
        <v>1</v>
      </c>
      <c r="E8093" t="s">
        <v>1</v>
      </c>
      <c r="F8093" t="s">
        <v>0</v>
      </c>
      <c r="G8093" t="str">
        <f>"2018-10-17 08:03:05"</f>
        <v>2018-10-17 08:03:05</v>
      </c>
    </row>
    <row r="8094" spans="1:7" x14ac:dyDescent="0.2">
      <c r="A8094" t="s">
        <v>8809</v>
      </c>
      <c r="B8094" t="str">
        <f>"18292239900"</f>
        <v>18292239900</v>
      </c>
      <c r="C8094" t="str">
        <f>"612731199004040413"</f>
        <v>612731199004040413</v>
      </c>
      <c r="D8094" t="s">
        <v>1</v>
      </c>
      <c r="E8094" t="s">
        <v>1</v>
      </c>
      <c r="F8094" t="s">
        <v>0</v>
      </c>
      <c r="G8094" t="str">
        <f>"2018-10-16 09:11:22"</f>
        <v>2018-10-16 09:11:22</v>
      </c>
    </row>
    <row r="8095" spans="1:7" x14ac:dyDescent="0.2">
      <c r="A8095" t="s">
        <v>206</v>
      </c>
      <c r="B8095" t="str">
        <f>"15222296209"</f>
        <v>15222296209</v>
      </c>
      <c r="C8095" t="str">
        <f>"62010219900816112X"</f>
        <v>62010219900816112X</v>
      </c>
      <c r="D8095" t="s">
        <v>1</v>
      </c>
      <c r="E8095" t="s">
        <v>1</v>
      </c>
      <c r="F8095" t="s">
        <v>0</v>
      </c>
      <c r="G8095" t="str">
        <f>"2018-10-17 11:17:25"</f>
        <v>2018-10-17 11:17:25</v>
      </c>
    </row>
    <row r="8096" spans="1:7" x14ac:dyDescent="0.2">
      <c r="A8096" t="s">
        <v>8810</v>
      </c>
      <c r="B8096" t="str">
        <f>"15842625560"</f>
        <v>15842625560</v>
      </c>
      <c r="C8096" t="str">
        <f>"220283198009152713"</f>
        <v>220283198009152713</v>
      </c>
      <c r="D8096" t="s">
        <v>1</v>
      </c>
      <c r="E8096" t="s">
        <v>1</v>
      </c>
      <c r="F8096" t="s">
        <v>0</v>
      </c>
      <c r="G8096" t="str">
        <f>"2018-10-16 09:11:16"</f>
        <v>2018-10-16 09:11:16</v>
      </c>
    </row>
    <row r="8097" spans="1:7" x14ac:dyDescent="0.2">
      <c r="A8097" t="s">
        <v>8811</v>
      </c>
      <c r="B8097" t="str">
        <f>"15821887329"</f>
        <v>15821887329</v>
      </c>
      <c r="C8097" t="str">
        <f>"340825199107210260"</f>
        <v>340825199107210260</v>
      </c>
      <c r="D8097" t="s">
        <v>8812</v>
      </c>
      <c r="E8097" t="s">
        <v>8813</v>
      </c>
      <c r="F8097" t="s">
        <v>0</v>
      </c>
      <c r="G8097" t="str">
        <f>"2018-10-16 09:06:12"</f>
        <v>2018-10-16 09:06:12</v>
      </c>
    </row>
    <row r="8098" spans="1:7" x14ac:dyDescent="0.2">
      <c r="A8098" t="s">
        <v>8814</v>
      </c>
      <c r="B8098" t="str">
        <f>"15969550731"</f>
        <v>15969550731</v>
      </c>
      <c r="C8098" t="str">
        <f>"530122198402181312"</f>
        <v>530122198402181312</v>
      </c>
      <c r="D8098" t="s">
        <v>8815</v>
      </c>
      <c r="E8098" t="s">
        <v>8816</v>
      </c>
      <c r="F8098" t="s">
        <v>0</v>
      </c>
      <c r="G8098" t="str">
        <f>"2018-10-16 10:00:31"</f>
        <v>2018-10-16 10:00:31</v>
      </c>
    </row>
    <row r="8099" spans="1:7" x14ac:dyDescent="0.2">
      <c r="A8099" t="s">
        <v>8817</v>
      </c>
      <c r="B8099" t="str">
        <f>"15819685972"</f>
        <v>15819685972</v>
      </c>
      <c r="C8099" t="str">
        <f>"445224198103143915"</f>
        <v>445224198103143915</v>
      </c>
      <c r="D8099" t="s">
        <v>1</v>
      </c>
      <c r="E8099" t="s">
        <v>1</v>
      </c>
      <c r="F8099" t="s">
        <v>0</v>
      </c>
      <c r="G8099" t="str">
        <f>"2018-10-16 09:06:35"</f>
        <v>2018-10-16 09:06:35</v>
      </c>
    </row>
    <row r="8100" spans="1:7" x14ac:dyDescent="0.2">
      <c r="A8100" t="s">
        <v>8818</v>
      </c>
      <c r="B8100" t="str">
        <f>"18345026571"</f>
        <v>18345026571</v>
      </c>
      <c r="C8100" t="str">
        <f>"230521199102182312"</f>
        <v>230521199102182312</v>
      </c>
      <c r="D8100" t="s">
        <v>1</v>
      </c>
      <c r="E8100" t="s">
        <v>1</v>
      </c>
      <c r="F8100" t="s">
        <v>0</v>
      </c>
      <c r="G8100" t="str">
        <f>"2018-10-16 09:14:53"</f>
        <v>2018-10-16 09:14:53</v>
      </c>
    </row>
    <row r="8101" spans="1:7" x14ac:dyDescent="0.2">
      <c r="A8101" t="s">
        <v>1648</v>
      </c>
      <c r="B8101" t="str">
        <f>"13821768688"</f>
        <v>13821768688</v>
      </c>
      <c r="C8101" t="str">
        <f>"120112199002090417"</f>
        <v>120112199002090417</v>
      </c>
      <c r="D8101" t="s">
        <v>1</v>
      </c>
      <c r="E8101" t="s">
        <v>1</v>
      </c>
      <c r="F8101" t="s">
        <v>0</v>
      </c>
      <c r="G8101" t="str">
        <f>"2018-10-16 10:20:44"</f>
        <v>2018-10-16 10:20:44</v>
      </c>
    </row>
    <row r="8102" spans="1:7" x14ac:dyDescent="0.2">
      <c r="A8102" t="s">
        <v>8819</v>
      </c>
      <c r="B8102" t="str">
        <f>"15700168634"</f>
        <v>15700168634</v>
      </c>
      <c r="C8102" t="str">
        <f>"43312219940913351X"</f>
        <v>43312219940913351X</v>
      </c>
      <c r="D8102" t="s">
        <v>1</v>
      </c>
      <c r="E8102" t="s">
        <v>1</v>
      </c>
      <c r="F8102" t="s">
        <v>0</v>
      </c>
      <c r="G8102" t="str">
        <f>"2018-10-28 18:28:37"</f>
        <v>2018-10-28 18:28:37</v>
      </c>
    </row>
    <row r="8103" spans="1:7" x14ac:dyDescent="0.2">
      <c r="A8103" t="s">
        <v>1</v>
      </c>
      <c r="B8103" t="str">
        <f>"15253401135"</f>
        <v>15253401135</v>
      </c>
      <c r="C8103" t="s">
        <v>1</v>
      </c>
      <c r="D8103" t="s">
        <v>1</v>
      </c>
      <c r="E8103" t="s">
        <v>1</v>
      </c>
      <c r="F8103" t="s">
        <v>0</v>
      </c>
      <c r="G8103" t="str">
        <f>"2018-10-16 09:00:17"</f>
        <v>2018-10-16 09:00:17</v>
      </c>
    </row>
    <row r="8104" spans="1:7" x14ac:dyDescent="0.2">
      <c r="A8104" t="s">
        <v>205</v>
      </c>
      <c r="B8104" t="str">
        <f>"13540044099"</f>
        <v>13540044099</v>
      </c>
      <c r="C8104" t="str">
        <f>"511025199611151414"</f>
        <v>511025199611151414</v>
      </c>
      <c r="D8104" t="s">
        <v>8820</v>
      </c>
      <c r="E8104" t="s">
        <v>8821</v>
      </c>
      <c r="F8104" t="s">
        <v>0</v>
      </c>
      <c r="G8104" t="str">
        <f>"2018-10-16 09:01:48"</f>
        <v>2018-10-16 09:01:48</v>
      </c>
    </row>
    <row r="8105" spans="1:7" x14ac:dyDescent="0.2">
      <c r="A8105" t="s">
        <v>8822</v>
      </c>
      <c r="B8105" t="str">
        <f>"15059341007"</f>
        <v>15059341007</v>
      </c>
      <c r="C8105" t="str">
        <f>"352227198606301019"</f>
        <v>352227198606301019</v>
      </c>
      <c r="D8105" t="s">
        <v>8823</v>
      </c>
      <c r="E8105" t="s">
        <v>8824</v>
      </c>
      <c r="F8105" t="s">
        <v>0</v>
      </c>
      <c r="G8105" t="str">
        <f>"2018-10-16 09:40:11"</f>
        <v>2018-10-16 09:40:11</v>
      </c>
    </row>
    <row r="8106" spans="1:7" x14ac:dyDescent="0.2">
      <c r="A8106" t="s">
        <v>1356</v>
      </c>
      <c r="B8106" t="str">
        <f>"13413130162"</f>
        <v>13413130162</v>
      </c>
      <c r="C8106" t="str">
        <f>"362425199312013219"</f>
        <v>362425199312013219</v>
      </c>
      <c r="D8106" t="s">
        <v>1</v>
      </c>
      <c r="E8106" t="s">
        <v>1</v>
      </c>
      <c r="F8106" t="s">
        <v>0</v>
      </c>
      <c r="G8106" t="str">
        <f>"2018-10-16 09:04:58"</f>
        <v>2018-10-16 09:04:58</v>
      </c>
    </row>
    <row r="8107" spans="1:7" x14ac:dyDescent="0.2">
      <c r="A8107" t="s">
        <v>1</v>
      </c>
      <c r="B8107" t="str">
        <f>"18776003575"</f>
        <v>18776003575</v>
      </c>
      <c r="C8107" t="s">
        <v>1</v>
      </c>
      <c r="D8107" t="s">
        <v>1</v>
      </c>
      <c r="E8107" t="s">
        <v>1</v>
      </c>
      <c r="F8107" t="s">
        <v>0</v>
      </c>
      <c r="G8107" t="str">
        <f>"2018-10-16 08:58:14"</f>
        <v>2018-10-16 08:58:14</v>
      </c>
    </row>
    <row r="8108" spans="1:7" x14ac:dyDescent="0.2">
      <c r="A8108" t="s">
        <v>1</v>
      </c>
      <c r="B8108" t="str">
        <f>"13305543636"</f>
        <v>13305543636</v>
      </c>
      <c r="C8108" t="s">
        <v>1</v>
      </c>
      <c r="D8108" t="s">
        <v>1</v>
      </c>
      <c r="E8108" t="s">
        <v>1</v>
      </c>
      <c r="F8108" t="s">
        <v>0</v>
      </c>
      <c r="G8108" t="str">
        <f>"2018-10-16 08:52:45"</f>
        <v>2018-10-16 08:52:45</v>
      </c>
    </row>
    <row r="8109" spans="1:7" x14ac:dyDescent="0.2">
      <c r="A8109" t="s">
        <v>8825</v>
      </c>
      <c r="B8109" t="str">
        <f>"15963615790"</f>
        <v>15963615790</v>
      </c>
      <c r="C8109" t="str">
        <f>"370784198510276812"</f>
        <v>370784198510276812</v>
      </c>
      <c r="D8109" t="s">
        <v>1</v>
      </c>
      <c r="E8109" t="s">
        <v>1</v>
      </c>
      <c r="F8109" t="s">
        <v>0</v>
      </c>
      <c r="G8109" t="str">
        <f>"2018-10-16 08:51:58"</f>
        <v>2018-10-16 08:51:58</v>
      </c>
    </row>
    <row r="8110" spans="1:7" x14ac:dyDescent="0.2">
      <c r="A8110" t="s">
        <v>1</v>
      </c>
      <c r="B8110" t="str">
        <f>"15272275161"</f>
        <v>15272275161</v>
      </c>
      <c r="C8110" t="s">
        <v>1</v>
      </c>
      <c r="D8110" t="s">
        <v>1</v>
      </c>
      <c r="E8110" t="s">
        <v>1</v>
      </c>
      <c r="F8110" t="s">
        <v>0</v>
      </c>
      <c r="G8110" t="str">
        <f>"2018-10-16 08:51:01"</f>
        <v>2018-10-16 08:51:01</v>
      </c>
    </row>
    <row r="8111" spans="1:7" x14ac:dyDescent="0.2">
      <c r="A8111" t="s">
        <v>8826</v>
      </c>
      <c r="B8111" t="str">
        <f>"15877377095"</f>
        <v>15877377095</v>
      </c>
      <c r="C8111" t="str">
        <f>"610321198711260019"</f>
        <v>610321198711260019</v>
      </c>
      <c r="D8111" t="s">
        <v>8827</v>
      </c>
      <c r="E8111" t="s">
        <v>8828</v>
      </c>
      <c r="F8111" t="s">
        <v>0</v>
      </c>
      <c r="G8111" t="str">
        <f>"2018-10-16 08:53:57"</f>
        <v>2018-10-16 08:53:57</v>
      </c>
    </row>
    <row r="8112" spans="1:7" x14ac:dyDescent="0.2">
      <c r="A8112" t="s">
        <v>8829</v>
      </c>
      <c r="B8112" t="str">
        <f>"15967024207"</f>
        <v>15967024207</v>
      </c>
      <c r="C8112" t="str">
        <f>"331004199508031419"</f>
        <v>331004199508031419</v>
      </c>
      <c r="D8112" t="s">
        <v>1</v>
      </c>
      <c r="E8112" t="s">
        <v>1</v>
      </c>
      <c r="F8112" t="s">
        <v>0</v>
      </c>
      <c r="G8112" t="str">
        <f>"2018-10-16 08:50:57"</f>
        <v>2018-10-16 08:50:57</v>
      </c>
    </row>
    <row r="8113" spans="1:7" x14ac:dyDescent="0.2">
      <c r="A8113" t="s">
        <v>8830</v>
      </c>
      <c r="B8113" t="str">
        <f>"13942027227"</f>
        <v>13942027227</v>
      </c>
      <c r="C8113" t="str">
        <f>"371082199609186344"</f>
        <v>371082199609186344</v>
      </c>
      <c r="D8113" t="s">
        <v>1</v>
      </c>
      <c r="E8113" t="s">
        <v>1</v>
      </c>
      <c r="F8113" t="s">
        <v>0</v>
      </c>
      <c r="G8113" t="str">
        <f>"2018-10-16 08:50:58"</f>
        <v>2018-10-16 08:50:58</v>
      </c>
    </row>
    <row r="8114" spans="1:7" x14ac:dyDescent="0.2">
      <c r="A8114" t="s">
        <v>1143</v>
      </c>
      <c r="B8114" t="str">
        <f>"13411790609"</f>
        <v>13411790609</v>
      </c>
      <c r="C8114" t="str">
        <f>"445302199611172749"</f>
        <v>445302199611172749</v>
      </c>
      <c r="D8114" t="s">
        <v>8831</v>
      </c>
      <c r="E8114" t="s">
        <v>8832</v>
      </c>
      <c r="F8114" t="s">
        <v>0</v>
      </c>
      <c r="G8114" t="str">
        <f>"2018-11-03 14:34:31"</f>
        <v>2018-11-03 14:34:31</v>
      </c>
    </row>
    <row r="8115" spans="1:7" x14ac:dyDescent="0.2">
      <c r="A8115" t="s">
        <v>8833</v>
      </c>
      <c r="B8115" t="str">
        <f>"18339952661"</f>
        <v>18339952661</v>
      </c>
      <c r="C8115" t="str">
        <f>"411122200005188258"</f>
        <v>411122200005188258</v>
      </c>
      <c r="D8115" t="s">
        <v>1</v>
      </c>
      <c r="E8115" t="s">
        <v>1</v>
      </c>
      <c r="F8115" t="s">
        <v>0</v>
      </c>
      <c r="G8115" t="str">
        <f>"2018-10-17 14:00:01"</f>
        <v>2018-10-17 14:00:01</v>
      </c>
    </row>
    <row r="8116" spans="1:7" x14ac:dyDescent="0.2">
      <c r="A8116" t="s">
        <v>8834</v>
      </c>
      <c r="B8116" t="str">
        <f>"13251322347"</f>
        <v>13251322347</v>
      </c>
      <c r="C8116" t="str">
        <f>"511623200007073953"</f>
        <v>511623200007073953</v>
      </c>
      <c r="D8116" t="s">
        <v>1</v>
      </c>
      <c r="E8116" t="s">
        <v>1</v>
      </c>
      <c r="F8116" t="s">
        <v>0</v>
      </c>
      <c r="G8116" t="str">
        <f>"2018-10-16 08:46:01"</f>
        <v>2018-10-16 08:46:01</v>
      </c>
    </row>
    <row r="8117" spans="1:7" x14ac:dyDescent="0.2">
      <c r="A8117" t="s">
        <v>813</v>
      </c>
      <c r="B8117" t="str">
        <f>"13842299654"</f>
        <v>13842299654</v>
      </c>
      <c r="C8117" t="str">
        <f>"210321198609080412"</f>
        <v>210321198609080412</v>
      </c>
      <c r="D8117" t="s">
        <v>8835</v>
      </c>
      <c r="E8117" t="s">
        <v>8836</v>
      </c>
      <c r="F8117" t="s">
        <v>0</v>
      </c>
      <c r="G8117" t="str">
        <f>"2018-10-16 09:15:51"</f>
        <v>2018-10-16 09:15:51</v>
      </c>
    </row>
    <row r="8118" spans="1:7" x14ac:dyDescent="0.2">
      <c r="A8118" t="s">
        <v>8837</v>
      </c>
      <c r="B8118" t="str">
        <f>"18593430891"</f>
        <v>18593430891</v>
      </c>
      <c r="C8118" t="str">
        <f>"431121198602288414"</f>
        <v>431121198602288414</v>
      </c>
      <c r="D8118" t="s">
        <v>1</v>
      </c>
      <c r="E8118" t="s">
        <v>1</v>
      </c>
      <c r="F8118" t="s">
        <v>0</v>
      </c>
      <c r="G8118" t="str">
        <f>"2018-10-16 08:49:21"</f>
        <v>2018-10-16 08:49:21</v>
      </c>
    </row>
    <row r="8119" spans="1:7" x14ac:dyDescent="0.2">
      <c r="A8119" t="s">
        <v>1</v>
      </c>
      <c r="B8119" t="str">
        <f>"13106003834"</f>
        <v>13106003834</v>
      </c>
      <c r="C8119" t="s">
        <v>1</v>
      </c>
      <c r="D8119" t="s">
        <v>1</v>
      </c>
      <c r="E8119" t="s">
        <v>1</v>
      </c>
      <c r="F8119" t="s">
        <v>0</v>
      </c>
      <c r="G8119" t="str">
        <f>"2018-10-16 08:40:55"</f>
        <v>2018-10-16 08:40:55</v>
      </c>
    </row>
    <row r="8120" spans="1:7" x14ac:dyDescent="0.2">
      <c r="A8120" t="s">
        <v>8838</v>
      </c>
      <c r="B8120" t="str">
        <f>"17608958917"</f>
        <v>17608958917</v>
      </c>
      <c r="C8120" t="str">
        <f>"460104199511270916"</f>
        <v>460104199511270916</v>
      </c>
      <c r="D8120" t="s">
        <v>1</v>
      </c>
      <c r="E8120" t="s">
        <v>1</v>
      </c>
      <c r="F8120" t="s">
        <v>0</v>
      </c>
      <c r="G8120" t="str">
        <f>"2018-10-16 08:40:49"</f>
        <v>2018-10-16 08:40:49</v>
      </c>
    </row>
    <row r="8121" spans="1:7" x14ac:dyDescent="0.2">
      <c r="A8121" t="s">
        <v>8839</v>
      </c>
      <c r="B8121" t="str">
        <f>"17640321869"</f>
        <v>17640321869</v>
      </c>
      <c r="C8121" t="str">
        <f>"220421198710013510"</f>
        <v>220421198710013510</v>
      </c>
      <c r="D8121" t="s">
        <v>1</v>
      </c>
      <c r="E8121" t="s">
        <v>1</v>
      </c>
      <c r="F8121" t="s">
        <v>0</v>
      </c>
      <c r="G8121" t="str">
        <f>"2018-10-16 08:41:39"</f>
        <v>2018-10-16 08:41:39</v>
      </c>
    </row>
    <row r="8122" spans="1:7" x14ac:dyDescent="0.2">
      <c r="A8122" t="s">
        <v>8840</v>
      </c>
      <c r="B8122" t="str">
        <f>"18827120247"</f>
        <v>18827120247</v>
      </c>
      <c r="C8122" t="str">
        <f>"430724199612185844"</f>
        <v>430724199612185844</v>
      </c>
      <c r="D8122" t="s">
        <v>1</v>
      </c>
      <c r="E8122" t="s">
        <v>1</v>
      </c>
      <c r="F8122" t="s">
        <v>0</v>
      </c>
      <c r="G8122" t="str">
        <f>"2018-10-16 08:50:39"</f>
        <v>2018-10-16 08:50:39</v>
      </c>
    </row>
    <row r="8123" spans="1:7" x14ac:dyDescent="0.2">
      <c r="A8123" t="s">
        <v>8841</v>
      </c>
      <c r="B8123" t="str">
        <f>"18780280017"</f>
        <v>18780280017</v>
      </c>
      <c r="C8123" t="str">
        <f>"510902198611196179"</f>
        <v>510902198611196179</v>
      </c>
      <c r="D8123" t="s">
        <v>1</v>
      </c>
      <c r="E8123" t="s">
        <v>1</v>
      </c>
      <c r="F8123" t="s">
        <v>0</v>
      </c>
      <c r="G8123" t="str">
        <f>"2018-10-16 08:44:58"</f>
        <v>2018-10-16 08:44:58</v>
      </c>
    </row>
    <row r="8124" spans="1:7" x14ac:dyDescent="0.2">
      <c r="A8124" t="s">
        <v>556</v>
      </c>
      <c r="B8124" t="str">
        <f>"18356885861"</f>
        <v>18356885861</v>
      </c>
      <c r="C8124" t="str">
        <f>"341222198401036317"</f>
        <v>341222198401036317</v>
      </c>
      <c r="D8124" t="s">
        <v>8842</v>
      </c>
      <c r="E8124" t="s">
        <v>8843</v>
      </c>
      <c r="F8124" t="s">
        <v>0</v>
      </c>
      <c r="G8124" t="str">
        <f>"2018-10-18 17:12:55"</f>
        <v>2018-10-18 17:12:55</v>
      </c>
    </row>
    <row r="8125" spans="1:7" x14ac:dyDescent="0.2">
      <c r="A8125" t="s">
        <v>8844</v>
      </c>
      <c r="B8125" t="str">
        <f>"15695962332"</f>
        <v>15695962332</v>
      </c>
      <c r="C8125" t="str">
        <f>"350603199302020510"</f>
        <v>350603199302020510</v>
      </c>
      <c r="D8125" t="s">
        <v>1</v>
      </c>
      <c r="E8125" t="s">
        <v>1</v>
      </c>
      <c r="F8125" t="s">
        <v>0</v>
      </c>
      <c r="G8125" t="str">
        <f>"2018-10-16 08:38:29"</f>
        <v>2018-10-16 08:38:29</v>
      </c>
    </row>
    <row r="8126" spans="1:7" x14ac:dyDescent="0.2">
      <c r="A8126" t="s">
        <v>8845</v>
      </c>
      <c r="B8126" t="str">
        <f>"13777968882"</f>
        <v>13777968882</v>
      </c>
      <c r="C8126" t="str">
        <f>"330225198310281014"</f>
        <v>330225198310281014</v>
      </c>
      <c r="D8126" t="s">
        <v>8846</v>
      </c>
      <c r="E8126" t="s">
        <v>8847</v>
      </c>
      <c r="F8126" t="s">
        <v>0</v>
      </c>
      <c r="G8126" t="str">
        <f>"2018-10-16 08:32:17"</f>
        <v>2018-10-16 08:32:17</v>
      </c>
    </row>
    <row r="8127" spans="1:7" x14ac:dyDescent="0.2">
      <c r="A8127" t="s">
        <v>8848</v>
      </c>
      <c r="B8127" t="str">
        <f>"13757257215"</f>
        <v>13757257215</v>
      </c>
      <c r="C8127" t="str">
        <f>"330522197806264114"</f>
        <v>330522197806264114</v>
      </c>
      <c r="D8127" t="s">
        <v>1</v>
      </c>
      <c r="E8127" t="s">
        <v>1</v>
      </c>
      <c r="F8127" t="s">
        <v>0</v>
      </c>
      <c r="G8127" t="str">
        <f>"2018-10-16 08:33:10"</f>
        <v>2018-10-16 08:33:10</v>
      </c>
    </row>
    <row r="8128" spans="1:7" x14ac:dyDescent="0.2">
      <c r="A8128" t="s">
        <v>8849</v>
      </c>
      <c r="B8128" t="str">
        <f>"18930713857"</f>
        <v>18930713857</v>
      </c>
      <c r="C8128" t="str">
        <f>"310110198602182719"</f>
        <v>310110198602182719</v>
      </c>
      <c r="D8128" t="s">
        <v>8850</v>
      </c>
      <c r="E8128" t="s">
        <v>8851</v>
      </c>
      <c r="F8128" t="s">
        <v>0</v>
      </c>
      <c r="G8128" t="str">
        <f>"2018-10-16 09:05:36"</f>
        <v>2018-10-16 09:05:36</v>
      </c>
    </row>
    <row r="8129" spans="1:7" x14ac:dyDescent="0.2">
      <c r="A8129" t="s">
        <v>8852</v>
      </c>
      <c r="B8129" t="str">
        <f>"15393490314"</f>
        <v>15393490314</v>
      </c>
      <c r="C8129" t="str">
        <f>"620421198203273611"</f>
        <v>620421198203273611</v>
      </c>
      <c r="D8129" t="s">
        <v>1</v>
      </c>
      <c r="E8129" t="s">
        <v>1</v>
      </c>
      <c r="F8129" t="s">
        <v>0</v>
      </c>
      <c r="G8129" t="str">
        <f>"2018-10-20 17:56:49"</f>
        <v>2018-10-20 17:56:49</v>
      </c>
    </row>
    <row r="8130" spans="1:7" x14ac:dyDescent="0.2">
      <c r="A8130" t="s">
        <v>8853</v>
      </c>
      <c r="B8130" t="str">
        <f>"15626519781"</f>
        <v>15626519781</v>
      </c>
      <c r="C8130" t="str">
        <f>"420281198612260051"</f>
        <v>420281198612260051</v>
      </c>
      <c r="D8130" t="s">
        <v>1</v>
      </c>
      <c r="E8130" t="s">
        <v>1</v>
      </c>
      <c r="F8130" t="s">
        <v>0</v>
      </c>
      <c r="G8130" t="str">
        <f>"2018-10-16 08:29:32"</f>
        <v>2018-10-16 08:29:32</v>
      </c>
    </row>
    <row r="8131" spans="1:7" x14ac:dyDescent="0.2">
      <c r="A8131" t="s">
        <v>1</v>
      </c>
      <c r="B8131" t="str">
        <f>"13412870866"</f>
        <v>13412870866</v>
      </c>
      <c r="C8131" t="s">
        <v>1</v>
      </c>
      <c r="D8131" t="s">
        <v>1</v>
      </c>
      <c r="E8131" t="s">
        <v>1</v>
      </c>
      <c r="F8131" t="s">
        <v>0</v>
      </c>
      <c r="G8131" t="str">
        <f>"2018-10-16 08:27:13"</f>
        <v>2018-10-16 08:27:13</v>
      </c>
    </row>
    <row r="8132" spans="1:7" x14ac:dyDescent="0.2">
      <c r="A8132" t="s">
        <v>8854</v>
      </c>
      <c r="B8132" t="str">
        <f>"15238651324"</f>
        <v>15238651324</v>
      </c>
      <c r="C8132" t="str">
        <f>"410108199706090030"</f>
        <v>410108199706090030</v>
      </c>
      <c r="D8132" t="s">
        <v>8855</v>
      </c>
      <c r="E8132" t="s">
        <v>8856</v>
      </c>
      <c r="F8132" t="s">
        <v>0</v>
      </c>
      <c r="G8132" t="str">
        <f>"2018-10-16 08:27:58"</f>
        <v>2018-10-16 08:27:58</v>
      </c>
    </row>
    <row r="8133" spans="1:7" x14ac:dyDescent="0.2">
      <c r="A8133" t="s">
        <v>8857</v>
      </c>
      <c r="B8133" t="str">
        <f>"13187957773"</f>
        <v>13187957773</v>
      </c>
      <c r="C8133" t="str">
        <f>"230827196903064907"</f>
        <v>230827196903064907</v>
      </c>
      <c r="D8133" t="s">
        <v>1</v>
      </c>
      <c r="E8133" t="s">
        <v>1</v>
      </c>
      <c r="F8133" t="s">
        <v>0</v>
      </c>
      <c r="G8133" t="str">
        <f>"2018-10-16 08:29:28"</f>
        <v>2018-10-16 08:29:28</v>
      </c>
    </row>
    <row r="8134" spans="1:7" x14ac:dyDescent="0.2">
      <c r="A8134" t="s">
        <v>8858</v>
      </c>
      <c r="B8134" t="str">
        <f>"15146438828"</f>
        <v>15146438828</v>
      </c>
      <c r="C8134" t="str">
        <f>"23011919830814003X"</f>
        <v>23011919830814003X</v>
      </c>
      <c r="D8134" t="s">
        <v>8859</v>
      </c>
      <c r="E8134" t="s">
        <v>8860</v>
      </c>
      <c r="F8134" t="s">
        <v>0</v>
      </c>
      <c r="G8134" t="str">
        <f>"2018-10-25 14:41:43"</f>
        <v>2018-10-25 14:41:43</v>
      </c>
    </row>
    <row r="8135" spans="1:7" x14ac:dyDescent="0.2">
      <c r="A8135" t="s">
        <v>8861</v>
      </c>
      <c r="B8135" t="str">
        <f>"18670485989"</f>
        <v>18670485989</v>
      </c>
      <c r="C8135" t="str">
        <f>"431202199911183211"</f>
        <v>431202199911183211</v>
      </c>
      <c r="D8135" t="s">
        <v>1</v>
      </c>
      <c r="E8135" t="s">
        <v>1</v>
      </c>
      <c r="F8135" t="s">
        <v>0</v>
      </c>
      <c r="G8135" t="str">
        <f>"2018-10-16 08:25:19"</f>
        <v>2018-10-16 08:25:19</v>
      </c>
    </row>
    <row r="8136" spans="1:7" x14ac:dyDescent="0.2">
      <c r="A8136" t="s">
        <v>446</v>
      </c>
      <c r="B8136" t="str">
        <f>"18979437532"</f>
        <v>18979437532</v>
      </c>
      <c r="C8136" t="str">
        <f>"362531199003213017"</f>
        <v>362531199003213017</v>
      </c>
      <c r="D8136" t="s">
        <v>1</v>
      </c>
      <c r="E8136" t="s">
        <v>1</v>
      </c>
      <c r="F8136" t="s">
        <v>0</v>
      </c>
      <c r="G8136" t="str">
        <f>"2018-10-16 08:24:25"</f>
        <v>2018-10-16 08:24:25</v>
      </c>
    </row>
    <row r="8137" spans="1:7" x14ac:dyDescent="0.2">
      <c r="A8137" t="s">
        <v>324</v>
      </c>
      <c r="B8137" t="str">
        <f>"13390811675"</f>
        <v>13390811675</v>
      </c>
      <c r="C8137" t="str">
        <f>"320826199004085439"</f>
        <v>320826199004085439</v>
      </c>
      <c r="D8137" t="s">
        <v>8862</v>
      </c>
      <c r="E8137" t="s">
        <v>8863</v>
      </c>
      <c r="F8137" t="s">
        <v>0</v>
      </c>
      <c r="G8137" t="str">
        <f>"2018-10-16 08:30:41"</f>
        <v>2018-10-16 08:30:41</v>
      </c>
    </row>
    <row r="8138" spans="1:7" x14ac:dyDescent="0.2">
      <c r="A8138" t="s">
        <v>8864</v>
      </c>
      <c r="B8138" t="str">
        <f>"13407515821"</f>
        <v>13407515821</v>
      </c>
      <c r="C8138" t="str">
        <f>"320911198611245349"</f>
        <v>320911198611245349</v>
      </c>
      <c r="D8138" t="s">
        <v>1</v>
      </c>
      <c r="E8138" t="s">
        <v>1</v>
      </c>
      <c r="F8138" t="s">
        <v>0</v>
      </c>
      <c r="G8138" t="str">
        <f>"2018-10-16 08:23:31"</f>
        <v>2018-10-16 08:23:31</v>
      </c>
    </row>
    <row r="8139" spans="1:7" x14ac:dyDescent="0.2">
      <c r="A8139" t="s">
        <v>8865</v>
      </c>
      <c r="B8139" t="str">
        <f>"15869196686"</f>
        <v>15869196686</v>
      </c>
      <c r="C8139" t="str">
        <f>"42080419880826111X"</f>
        <v>42080419880826111X</v>
      </c>
      <c r="D8139" t="s">
        <v>1</v>
      </c>
      <c r="E8139" t="s">
        <v>1</v>
      </c>
      <c r="F8139" t="s">
        <v>0</v>
      </c>
      <c r="G8139" t="str">
        <f>"2018-10-16 08:21:29"</f>
        <v>2018-10-16 08:21:29</v>
      </c>
    </row>
    <row r="8140" spans="1:7" x14ac:dyDescent="0.2">
      <c r="A8140" t="s">
        <v>1</v>
      </c>
      <c r="B8140" t="str">
        <f>"13913804869"</f>
        <v>13913804869</v>
      </c>
      <c r="C8140" t="s">
        <v>1</v>
      </c>
      <c r="D8140" t="s">
        <v>1</v>
      </c>
      <c r="E8140" t="s">
        <v>1</v>
      </c>
      <c r="F8140" t="s">
        <v>0</v>
      </c>
      <c r="G8140" t="str">
        <f>"2018-10-16 08:19:07"</f>
        <v>2018-10-16 08:19:07</v>
      </c>
    </row>
    <row r="8141" spans="1:7" x14ac:dyDescent="0.2">
      <c r="A8141" t="s">
        <v>1</v>
      </c>
      <c r="B8141" t="str">
        <f>"18612310717"</f>
        <v>18612310717</v>
      </c>
      <c r="C8141" t="s">
        <v>1</v>
      </c>
      <c r="D8141" t="s">
        <v>1</v>
      </c>
      <c r="E8141" t="s">
        <v>1</v>
      </c>
      <c r="F8141" t="s">
        <v>0</v>
      </c>
      <c r="G8141" t="str">
        <f>"2018-10-16 08:17:56"</f>
        <v>2018-10-16 08:17:56</v>
      </c>
    </row>
    <row r="8142" spans="1:7" x14ac:dyDescent="0.2">
      <c r="A8142" t="s">
        <v>1</v>
      </c>
      <c r="B8142" t="str">
        <f>"15220317117"</f>
        <v>15220317117</v>
      </c>
      <c r="C8142" t="s">
        <v>1</v>
      </c>
      <c r="D8142" t="s">
        <v>1</v>
      </c>
      <c r="E8142" t="s">
        <v>1</v>
      </c>
      <c r="F8142" t="s">
        <v>0</v>
      </c>
      <c r="G8142" t="str">
        <f>"2018-10-16 17:53:27"</f>
        <v>2018-10-16 17:53:27</v>
      </c>
    </row>
    <row r="8143" spans="1:7" x14ac:dyDescent="0.2">
      <c r="A8143" t="s">
        <v>1</v>
      </c>
      <c r="B8143" t="str">
        <f>"13962335577"</f>
        <v>13962335577</v>
      </c>
      <c r="C8143" t="s">
        <v>1</v>
      </c>
      <c r="D8143" t="s">
        <v>1</v>
      </c>
      <c r="E8143" t="s">
        <v>1</v>
      </c>
      <c r="F8143" t="s">
        <v>0</v>
      </c>
      <c r="G8143" t="str">
        <f>"2018-10-16 08:17:32"</f>
        <v>2018-10-16 08:17:32</v>
      </c>
    </row>
    <row r="8144" spans="1:7" x14ac:dyDescent="0.2">
      <c r="A8144" t="s">
        <v>8866</v>
      </c>
      <c r="B8144" t="str">
        <f>"18112756999"</f>
        <v>18112756999</v>
      </c>
      <c r="C8144" t="str">
        <f>"513701198410067210"</f>
        <v>513701198410067210</v>
      </c>
      <c r="D8144" t="s">
        <v>8867</v>
      </c>
      <c r="E8144" t="s">
        <v>8868</v>
      </c>
      <c r="F8144" t="s">
        <v>0</v>
      </c>
      <c r="G8144" t="str">
        <f>"2018-10-16 08:38:32"</f>
        <v>2018-10-16 08:38:32</v>
      </c>
    </row>
    <row r="8145" spans="1:7" x14ac:dyDescent="0.2">
      <c r="A8145" t="s">
        <v>1</v>
      </c>
      <c r="B8145" t="str">
        <f>"17759705525"</f>
        <v>17759705525</v>
      </c>
      <c r="C8145" t="s">
        <v>1</v>
      </c>
      <c r="D8145" t="s">
        <v>1</v>
      </c>
      <c r="E8145" t="s">
        <v>1</v>
      </c>
      <c r="F8145" t="s">
        <v>0</v>
      </c>
      <c r="G8145" t="str">
        <f>"2018-10-16 08:17:22"</f>
        <v>2018-10-16 08:17:22</v>
      </c>
    </row>
    <row r="8146" spans="1:7" x14ac:dyDescent="0.2">
      <c r="A8146" t="s">
        <v>8869</v>
      </c>
      <c r="B8146" t="str">
        <f>"15288639471"</f>
        <v>15288639471</v>
      </c>
      <c r="C8146" t="str">
        <f>"53012519960120041X"</f>
        <v>53012519960120041X</v>
      </c>
      <c r="D8146" t="s">
        <v>1</v>
      </c>
      <c r="E8146" t="s">
        <v>1</v>
      </c>
      <c r="F8146" t="s">
        <v>0</v>
      </c>
      <c r="G8146" t="str">
        <f>"2018-10-16 08:15:51"</f>
        <v>2018-10-16 08:15:51</v>
      </c>
    </row>
    <row r="8147" spans="1:7" x14ac:dyDescent="0.2">
      <c r="A8147" t="s">
        <v>1</v>
      </c>
      <c r="B8147" t="str">
        <f>"15815027711"</f>
        <v>15815027711</v>
      </c>
      <c r="C8147" t="s">
        <v>1</v>
      </c>
      <c r="D8147" t="s">
        <v>1</v>
      </c>
      <c r="E8147" t="s">
        <v>1</v>
      </c>
      <c r="F8147" t="s">
        <v>0</v>
      </c>
      <c r="G8147" t="str">
        <f>"2018-10-16 08:13:37"</f>
        <v>2018-10-16 08:13:37</v>
      </c>
    </row>
    <row r="8148" spans="1:7" x14ac:dyDescent="0.2">
      <c r="A8148" t="s">
        <v>8870</v>
      </c>
      <c r="B8148" t="str">
        <f>"13694431190"</f>
        <v>13694431190</v>
      </c>
      <c r="C8148" t="str">
        <f>"150430198907031083"</f>
        <v>150430198907031083</v>
      </c>
      <c r="D8148" t="s">
        <v>1</v>
      </c>
      <c r="E8148" t="s">
        <v>1</v>
      </c>
      <c r="F8148" t="s">
        <v>0</v>
      </c>
      <c r="G8148" t="str">
        <f>"2018-10-16 08:16:10"</f>
        <v>2018-10-16 08:16:10</v>
      </c>
    </row>
    <row r="8149" spans="1:7" x14ac:dyDescent="0.2">
      <c r="A8149" t="s">
        <v>30</v>
      </c>
      <c r="B8149" t="str">
        <f>"18702868248"</f>
        <v>18702868248</v>
      </c>
      <c r="C8149" t="str">
        <f>"510122199511287790"</f>
        <v>510122199511287790</v>
      </c>
      <c r="D8149" t="s">
        <v>1</v>
      </c>
      <c r="E8149" t="s">
        <v>1</v>
      </c>
      <c r="F8149" t="s">
        <v>0</v>
      </c>
      <c r="G8149" t="str">
        <f>"2018-10-16 08:24:00"</f>
        <v>2018-10-16 08:24:00</v>
      </c>
    </row>
    <row r="8150" spans="1:7" x14ac:dyDescent="0.2">
      <c r="A8150" t="s">
        <v>8871</v>
      </c>
      <c r="B8150" t="str">
        <f>"17673910552"</f>
        <v>17673910552</v>
      </c>
      <c r="C8150" t="str">
        <f>"43112519970712001X"</f>
        <v>43112519970712001X</v>
      </c>
      <c r="D8150" t="s">
        <v>1</v>
      </c>
      <c r="E8150" t="s">
        <v>1</v>
      </c>
      <c r="F8150" t="s">
        <v>0</v>
      </c>
      <c r="G8150" t="str">
        <f>"2018-10-16 08:07:56"</f>
        <v>2018-10-16 08:07:56</v>
      </c>
    </row>
    <row r="8151" spans="1:7" x14ac:dyDescent="0.2">
      <c r="A8151" t="s">
        <v>8872</v>
      </c>
      <c r="B8151" t="str">
        <f>"13845955358"</f>
        <v>13845955358</v>
      </c>
      <c r="C8151" t="str">
        <f>"230184198803063542"</f>
        <v>230184198803063542</v>
      </c>
      <c r="D8151" t="s">
        <v>1</v>
      </c>
      <c r="E8151" t="s">
        <v>1</v>
      </c>
      <c r="F8151" t="s">
        <v>0</v>
      </c>
      <c r="G8151" t="str">
        <f>"2018-10-16 08:10:40"</f>
        <v>2018-10-16 08:10:40</v>
      </c>
    </row>
    <row r="8152" spans="1:7" x14ac:dyDescent="0.2">
      <c r="A8152" t="s">
        <v>8873</v>
      </c>
      <c r="B8152" t="str">
        <f>"15185544613"</f>
        <v>15185544613</v>
      </c>
      <c r="C8152" t="str">
        <f>"522730197212131013"</f>
        <v>522730197212131013</v>
      </c>
      <c r="D8152" t="s">
        <v>1</v>
      </c>
      <c r="E8152" t="s">
        <v>1</v>
      </c>
      <c r="F8152" t="s">
        <v>0</v>
      </c>
      <c r="G8152" t="str">
        <f>"2018-10-16 08:20:14"</f>
        <v>2018-10-16 08:20:14</v>
      </c>
    </row>
    <row r="8153" spans="1:7" x14ac:dyDescent="0.2">
      <c r="A8153" t="s">
        <v>8874</v>
      </c>
      <c r="B8153" t="str">
        <f>"13175212111"</f>
        <v>13175212111</v>
      </c>
      <c r="C8153" t="str">
        <f>"330501198703177619"</f>
        <v>330501198703177619</v>
      </c>
      <c r="D8153" t="s">
        <v>1</v>
      </c>
      <c r="E8153" t="s">
        <v>1</v>
      </c>
      <c r="F8153" t="s">
        <v>0</v>
      </c>
      <c r="G8153" t="str">
        <f>"2018-10-21 16:33:53"</f>
        <v>2018-10-21 16:33:53</v>
      </c>
    </row>
    <row r="8154" spans="1:7" x14ac:dyDescent="0.2">
      <c r="A8154" t="s">
        <v>8875</v>
      </c>
      <c r="B8154" t="str">
        <f>"15170187297"</f>
        <v>15170187297</v>
      </c>
      <c r="C8154" t="str">
        <f>"360722198701230912"</f>
        <v>360722198701230912</v>
      </c>
      <c r="D8154" t="s">
        <v>8876</v>
      </c>
      <c r="E8154" t="s">
        <v>8877</v>
      </c>
      <c r="F8154" t="s">
        <v>0</v>
      </c>
      <c r="G8154" t="str">
        <f>"2018-10-16 08:00:00"</f>
        <v>2018-10-16 08:00:00</v>
      </c>
    </row>
    <row r="8155" spans="1:7" x14ac:dyDescent="0.2">
      <c r="A8155" t="s">
        <v>8878</v>
      </c>
      <c r="B8155" t="str">
        <f>"13103833765"</f>
        <v>13103833765</v>
      </c>
      <c r="C8155" t="str">
        <f>"410181198903107287"</f>
        <v>410181198903107287</v>
      </c>
      <c r="D8155" t="s">
        <v>1</v>
      </c>
      <c r="E8155" t="s">
        <v>1</v>
      </c>
      <c r="F8155" t="s">
        <v>0</v>
      </c>
      <c r="G8155" t="str">
        <f>"2018-10-16 07:51:37"</f>
        <v>2018-10-16 07:51:37</v>
      </c>
    </row>
    <row r="8156" spans="1:7" x14ac:dyDescent="0.2">
      <c r="A8156" t="s">
        <v>8879</v>
      </c>
      <c r="B8156" t="str">
        <f>"13976746919"</f>
        <v>13976746919</v>
      </c>
      <c r="C8156" t="str">
        <f>"460006199105034034"</f>
        <v>460006199105034034</v>
      </c>
      <c r="D8156" t="s">
        <v>1</v>
      </c>
      <c r="E8156" t="s">
        <v>1</v>
      </c>
      <c r="F8156" t="s">
        <v>0</v>
      </c>
      <c r="G8156" t="str">
        <f>"2018-10-16 07:58:17"</f>
        <v>2018-10-16 07:58:17</v>
      </c>
    </row>
    <row r="8157" spans="1:7" x14ac:dyDescent="0.2">
      <c r="A8157" t="s">
        <v>140</v>
      </c>
      <c r="B8157" t="str">
        <f>"18915963850"</f>
        <v>18915963850</v>
      </c>
      <c r="C8157" t="str">
        <f>"320121197608202115"</f>
        <v>320121197608202115</v>
      </c>
      <c r="D8157" t="s">
        <v>1</v>
      </c>
      <c r="E8157" t="s">
        <v>1</v>
      </c>
      <c r="F8157" t="s">
        <v>0</v>
      </c>
      <c r="G8157" t="str">
        <f>"2018-10-25 09:42:57"</f>
        <v>2018-10-25 09:42:57</v>
      </c>
    </row>
    <row r="8158" spans="1:7" x14ac:dyDescent="0.2">
      <c r="A8158" t="s">
        <v>8880</v>
      </c>
      <c r="B8158" t="str">
        <f>"15108994298"</f>
        <v>15108994298</v>
      </c>
      <c r="C8158" t="str">
        <f>"460002197309155415"</f>
        <v>460002197309155415</v>
      </c>
      <c r="D8158" t="s">
        <v>1</v>
      </c>
      <c r="E8158" t="s">
        <v>1</v>
      </c>
      <c r="F8158" t="s">
        <v>0</v>
      </c>
      <c r="G8158" t="str">
        <f>"2018-10-16 07:45:26"</f>
        <v>2018-10-16 07:45:26</v>
      </c>
    </row>
    <row r="8159" spans="1:7" x14ac:dyDescent="0.2">
      <c r="A8159" t="s">
        <v>8881</v>
      </c>
      <c r="B8159" t="str">
        <f>"18841653450"</f>
        <v>18841653450</v>
      </c>
      <c r="C8159" t="str">
        <f>"210726198911200562"</f>
        <v>210726198911200562</v>
      </c>
      <c r="D8159" t="s">
        <v>1</v>
      </c>
      <c r="E8159" t="s">
        <v>1</v>
      </c>
      <c r="F8159" t="s">
        <v>0</v>
      </c>
      <c r="G8159" t="str">
        <f>"2018-10-16 07:38:46"</f>
        <v>2018-10-16 07:38:46</v>
      </c>
    </row>
    <row r="8160" spans="1:7" x14ac:dyDescent="0.2">
      <c r="A8160" t="s">
        <v>8882</v>
      </c>
      <c r="B8160" t="str">
        <f>"13433313580"</f>
        <v>13433313580</v>
      </c>
      <c r="C8160" t="str">
        <f>"440510198705250412"</f>
        <v>440510198705250412</v>
      </c>
      <c r="D8160" t="s">
        <v>1</v>
      </c>
      <c r="E8160" t="s">
        <v>1</v>
      </c>
      <c r="F8160" t="s">
        <v>0</v>
      </c>
      <c r="G8160" t="str">
        <f>"2018-10-16 07:40:14"</f>
        <v>2018-10-16 07:40:14</v>
      </c>
    </row>
    <row r="8161" spans="1:7" x14ac:dyDescent="0.2">
      <c r="A8161" t="s">
        <v>8883</v>
      </c>
      <c r="B8161" t="str">
        <f>"18659840292"</f>
        <v>18659840292</v>
      </c>
      <c r="C8161" t="str">
        <f>"500237199402024412"</f>
        <v>500237199402024412</v>
      </c>
      <c r="D8161" t="s">
        <v>8884</v>
      </c>
      <c r="E8161" t="s">
        <v>8885</v>
      </c>
      <c r="F8161" t="s">
        <v>0</v>
      </c>
      <c r="G8161" t="str">
        <f>"2018-10-16 07:41:55"</f>
        <v>2018-10-16 07:41:55</v>
      </c>
    </row>
    <row r="8162" spans="1:7" x14ac:dyDescent="0.2">
      <c r="A8162" t="s">
        <v>8886</v>
      </c>
      <c r="B8162" t="str">
        <f>"13981177856"</f>
        <v>13981177856</v>
      </c>
      <c r="C8162" t="str">
        <f>"510704197909264573"</f>
        <v>510704197909264573</v>
      </c>
      <c r="D8162" t="s">
        <v>1</v>
      </c>
      <c r="E8162" t="s">
        <v>1</v>
      </c>
      <c r="F8162" t="s">
        <v>0</v>
      </c>
      <c r="G8162" t="str">
        <f>"2018-10-16 07:57:07"</f>
        <v>2018-10-16 07:57:07</v>
      </c>
    </row>
    <row r="8163" spans="1:7" x14ac:dyDescent="0.2">
      <c r="A8163" t="s">
        <v>1722</v>
      </c>
      <c r="B8163" t="str">
        <f>"15718330677"</f>
        <v>15718330677</v>
      </c>
      <c r="C8163" t="str">
        <f>"360731199010030330"</f>
        <v>360731199010030330</v>
      </c>
      <c r="D8163" t="s">
        <v>1</v>
      </c>
      <c r="E8163" t="s">
        <v>1</v>
      </c>
      <c r="F8163" t="s">
        <v>0</v>
      </c>
      <c r="G8163" t="str">
        <f>"2018-10-16 07:38:01"</f>
        <v>2018-10-16 07:38:01</v>
      </c>
    </row>
    <row r="8164" spans="1:7" x14ac:dyDescent="0.2">
      <c r="A8164" t="s">
        <v>8887</v>
      </c>
      <c r="B8164" t="str">
        <f>"13114505785"</f>
        <v>13114505785</v>
      </c>
      <c r="C8164" t="str">
        <f>"232127199003081610"</f>
        <v>232127199003081610</v>
      </c>
      <c r="D8164" t="s">
        <v>1</v>
      </c>
      <c r="E8164" t="s">
        <v>1</v>
      </c>
      <c r="F8164" t="s">
        <v>0</v>
      </c>
      <c r="G8164" t="str">
        <f>"2018-10-16 07:34:11"</f>
        <v>2018-10-16 07:34:11</v>
      </c>
    </row>
    <row r="8165" spans="1:7" x14ac:dyDescent="0.2">
      <c r="A8165" t="s">
        <v>8888</v>
      </c>
      <c r="B8165" t="str">
        <f>"13523033793"</f>
        <v>13523033793</v>
      </c>
      <c r="C8165" t="str">
        <f>"421022198510177679"</f>
        <v>421022198510177679</v>
      </c>
      <c r="D8165" t="s">
        <v>1</v>
      </c>
      <c r="E8165" t="s">
        <v>1</v>
      </c>
      <c r="F8165" t="s">
        <v>0</v>
      </c>
      <c r="G8165" t="str">
        <f>"2018-10-16 07:34:21"</f>
        <v>2018-10-16 07:34:21</v>
      </c>
    </row>
    <row r="8166" spans="1:7" x14ac:dyDescent="0.2">
      <c r="A8166" t="s">
        <v>8889</v>
      </c>
      <c r="B8166" t="str">
        <f>"15809381406"</f>
        <v>15809381406</v>
      </c>
      <c r="C8166" t="str">
        <f>"622621199008151720"</f>
        <v>622621199008151720</v>
      </c>
      <c r="D8166" t="s">
        <v>1</v>
      </c>
      <c r="E8166" t="s">
        <v>1</v>
      </c>
      <c r="F8166" t="s">
        <v>0</v>
      </c>
      <c r="G8166" t="str">
        <f>"2018-10-16 07:31:21"</f>
        <v>2018-10-16 07:31:21</v>
      </c>
    </row>
    <row r="8167" spans="1:7" x14ac:dyDescent="0.2">
      <c r="A8167" t="s">
        <v>8890</v>
      </c>
      <c r="B8167" t="str">
        <f>"15988231361"</f>
        <v>15988231361</v>
      </c>
      <c r="C8167" t="str">
        <f>"350424198902111631"</f>
        <v>350424198902111631</v>
      </c>
      <c r="D8167" t="s">
        <v>1</v>
      </c>
      <c r="E8167" t="s">
        <v>1</v>
      </c>
      <c r="F8167" t="s">
        <v>0</v>
      </c>
      <c r="G8167" t="str">
        <f>"2018-10-16 07:29:52"</f>
        <v>2018-10-16 07:29:52</v>
      </c>
    </row>
    <row r="8168" spans="1:7" x14ac:dyDescent="0.2">
      <c r="A8168" t="s">
        <v>8891</v>
      </c>
      <c r="B8168" t="str">
        <f>"15935907125"</f>
        <v>15935907125</v>
      </c>
      <c r="C8168" t="str">
        <f>"142733198712195710"</f>
        <v>142733198712195710</v>
      </c>
      <c r="D8168" t="s">
        <v>1</v>
      </c>
      <c r="E8168" t="s">
        <v>1</v>
      </c>
      <c r="F8168" t="s">
        <v>0</v>
      </c>
      <c r="G8168" t="str">
        <f>"2018-10-16 07:28:46"</f>
        <v>2018-10-16 07:28:46</v>
      </c>
    </row>
    <row r="8169" spans="1:7" x14ac:dyDescent="0.2">
      <c r="A8169" t="s">
        <v>1</v>
      </c>
      <c r="B8169" t="str">
        <f>"18763710704"</f>
        <v>18763710704</v>
      </c>
      <c r="C8169" t="s">
        <v>1</v>
      </c>
      <c r="D8169" t="s">
        <v>1</v>
      </c>
      <c r="E8169" t="s">
        <v>1</v>
      </c>
      <c r="F8169" t="s">
        <v>0</v>
      </c>
      <c r="G8169" t="str">
        <f>"2018-10-16 07:25:27"</f>
        <v>2018-10-16 07:25:27</v>
      </c>
    </row>
    <row r="8170" spans="1:7" x14ac:dyDescent="0.2">
      <c r="A8170" t="s">
        <v>8892</v>
      </c>
      <c r="B8170" t="str">
        <f>"15680772687"</f>
        <v>15680772687</v>
      </c>
      <c r="C8170" t="str">
        <f>"14058119940726521X"</f>
        <v>14058119940726521X</v>
      </c>
      <c r="D8170" t="s">
        <v>1</v>
      </c>
      <c r="E8170" t="s">
        <v>1</v>
      </c>
      <c r="F8170" t="s">
        <v>0</v>
      </c>
      <c r="G8170" t="str">
        <f>"2018-10-16 07:21:50"</f>
        <v>2018-10-16 07:21:50</v>
      </c>
    </row>
    <row r="8171" spans="1:7" x14ac:dyDescent="0.2">
      <c r="A8171" t="s">
        <v>8893</v>
      </c>
      <c r="B8171" t="str">
        <f>"13592560572"</f>
        <v>13592560572</v>
      </c>
      <c r="C8171" t="str">
        <f>"410122198509024432"</f>
        <v>410122198509024432</v>
      </c>
      <c r="D8171" t="s">
        <v>1</v>
      </c>
      <c r="E8171" t="s">
        <v>1</v>
      </c>
      <c r="F8171" t="s">
        <v>0</v>
      </c>
      <c r="G8171" t="str">
        <f>"2018-10-17 18:35:36"</f>
        <v>2018-10-17 18:35:36</v>
      </c>
    </row>
    <row r="8172" spans="1:7" x14ac:dyDescent="0.2">
      <c r="A8172" t="s">
        <v>1</v>
      </c>
      <c r="B8172" t="str">
        <f>"13675380188"</f>
        <v>13675380188</v>
      </c>
      <c r="C8172" t="s">
        <v>1</v>
      </c>
      <c r="D8172" t="s">
        <v>1</v>
      </c>
      <c r="E8172" t="s">
        <v>1</v>
      </c>
      <c r="F8172" t="s">
        <v>0</v>
      </c>
      <c r="G8172" t="str">
        <f>"2018-10-16 07:17:22"</f>
        <v>2018-10-16 07:17:22</v>
      </c>
    </row>
    <row r="8173" spans="1:7" x14ac:dyDescent="0.2">
      <c r="A8173" t="s">
        <v>8894</v>
      </c>
      <c r="B8173" t="str">
        <f>"15553661787"</f>
        <v>15553661787</v>
      </c>
      <c r="C8173" t="str">
        <f>"370784198706162518"</f>
        <v>370784198706162518</v>
      </c>
      <c r="D8173" t="s">
        <v>1</v>
      </c>
      <c r="E8173" t="s">
        <v>1</v>
      </c>
      <c r="F8173" t="s">
        <v>0</v>
      </c>
      <c r="G8173" t="str">
        <f>"2018-10-16 07:23:33"</f>
        <v>2018-10-16 07:23:33</v>
      </c>
    </row>
    <row r="8174" spans="1:7" x14ac:dyDescent="0.2">
      <c r="A8174" t="s">
        <v>8895</v>
      </c>
      <c r="B8174" t="str">
        <f>"13614235116"</f>
        <v>13614235116</v>
      </c>
      <c r="C8174" t="str">
        <f>"210423198201043421"</f>
        <v>210423198201043421</v>
      </c>
      <c r="D8174" t="s">
        <v>1</v>
      </c>
      <c r="E8174" t="s">
        <v>1</v>
      </c>
      <c r="F8174" t="s">
        <v>0</v>
      </c>
      <c r="G8174" t="str">
        <f>"2018-10-16 07:14:41"</f>
        <v>2018-10-16 07:14:41</v>
      </c>
    </row>
    <row r="8175" spans="1:7" x14ac:dyDescent="0.2">
      <c r="A8175" t="s">
        <v>8896</v>
      </c>
      <c r="B8175" t="str">
        <f>"13940424494"</f>
        <v>13940424494</v>
      </c>
      <c r="C8175" t="str">
        <f>"210114198907275125"</f>
        <v>210114198907275125</v>
      </c>
      <c r="D8175" t="s">
        <v>1</v>
      </c>
      <c r="E8175" t="s">
        <v>1</v>
      </c>
      <c r="F8175" t="s">
        <v>0</v>
      </c>
      <c r="G8175" t="str">
        <f>"2018-10-16 07:09:45"</f>
        <v>2018-10-16 07:09:45</v>
      </c>
    </row>
    <row r="8176" spans="1:7" x14ac:dyDescent="0.2">
      <c r="A8176" t="s">
        <v>8897</v>
      </c>
      <c r="B8176" t="str">
        <f>"15336265342"</f>
        <v>15336265342</v>
      </c>
      <c r="C8176" t="str">
        <f>"61240119801105403X"</f>
        <v>61240119801105403X</v>
      </c>
      <c r="D8176" t="s">
        <v>1</v>
      </c>
      <c r="E8176" t="s">
        <v>1</v>
      </c>
      <c r="F8176" t="s">
        <v>0</v>
      </c>
      <c r="G8176" t="str">
        <f>"2018-10-16 20:29:41"</f>
        <v>2018-10-16 20:29:41</v>
      </c>
    </row>
    <row r="8177" spans="1:7" x14ac:dyDescent="0.2">
      <c r="A8177" t="s">
        <v>1</v>
      </c>
      <c r="B8177" t="str">
        <f>"18296976410"</f>
        <v>18296976410</v>
      </c>
      <c r="C8177" t="s">
        <v>1</v>
      </c>
      <c r="D8177" t="s">
        <v>1</v>
      </c>
      <c r="E8177" t="s">
        <v>1</v>
      </c>
      <c r="F8177" t="s">
        <v>0</v>
      </c>
      <c r="G8177" t="str">
        <f>"2018-10-16 07:04:19"</f>
        <v>2018-10-16 07:04:19</v>
      </c>
    </row>
    <row r="8178" spans="1:7" x14ac:dyDescent="0.2">
      <c r="A8178" t="s">
        <v>1673</v>
      </c>
      <c r="B8178" t="str">
        <f>"13504528725"</f>
        <v>13504528725</v>
      </c>
      <c r="C8178" t="str">
        <f>"230204198705191712"</f>
        <v>230204198705191712</v>
      </c>
      <c r="D8178" t="s">
        <v>1</v>
      </c>
      <c r="E8178" t="s">
        <v>1</v>
      </c>
      <c r="F8178" t="s">
        <v>0</v>
      </c>
      <c r="G8178" t="str">
        <f>"2018-10-23 09:56:01"</f>
        <v>2018-10-23 09:56:01</v>
      </c>
    </row>
    <row r="8179" spans="1:7" x14ac:dyDescent="0.2">
      <c r="A8179" t="s">
        <v>1234</v>
      </c>
      <c r="B8179" t="str">
        <f>"18093764850"</f>
        <v>18093764850</v>
      </c>
      <c r="C8179" t="str">
        <f>"62210219850207431X"</f>
        <v>62210219850207431X</v>
      </c>
      <c r="D8179" t="s">
        <v>8898</v>
      </c>
      <c r="E8179" t="s">
        <v>8899</v>
      </c>
      <c r="F8179" t="s">
        <v>0</v>
      </c>
      <c r="G8179" t="str">
        <f>"2018-10-16 11:57:19"</f>
        <v>2018-10-16 11:57:19</v>
      </c>
    </row>
    <row r="8180" spans="1:7" x14ac:dyDescent="0.2">
      <c r="A8180" t="s">
        <v>8900</v>
      </c>
      <c r="B8180" t="str">
        <f>"13838726792"</f>
        <v>13838726792</v>
      </c>
      <c r="C8180" t="str">
        <f>"411329198111300034"</f>
        <v>411329198111300034</v>
      </c>
      <c r="D8180" t="s">
        <v>8901</v>
      </c>
      <c r="E8180" t="s">
        <v>8902</v>
      </c>
      <c r="F8180" t="s">
        <v>0</v>
      </c>
      <c r="G8180" t="str">
        <f>"2018-10-16 07:02:35"</f>
        <v>2018-10-16 07:02:35</v>
      </c>
    </row>
    <row r="8181" spans="1:7" x14ac:dyDescent="0.2">
      <c r="A8181" t="s">
        <v>1</v>
      </c>
      <c r="B8181" t="str">
        <f>"15657902435"</f>
        <v>15657902435</v>
      </c>
      <c r="C8181" t="s">
        <v>1</v>
      </c>
      <c r="D8181" t="s">
        <v>1</v>
      </c>
      <c r="E8181" t="s">
        <v>1</v>
      </c>
      <c r="F8181" t="s">
        <v>0</v>
      </c>
      <c r="G8181" t="str">
        <f>"2018-10-16 06:58:37"</f>
        <v>2018-10-16 06:58:37</v>
      </c>
    </row>
    <row r="8182" spans="1:7" x14ac:dyDescent="0.2">
      <c r="A8182" t="s">
        <v>8903</v>
      </c>
      <c r="B8182" t="str">
        <f>"13880838616"</f>
        <v>13880838616</v>
      </c>
      <c r="C8182" t="str">
        <f>"510106198304295515"</f>
        <v>510106198304295515</v>
      </c>
      <c r="D8182" t="s">
        <v>1</v>
      </c>
      <c r="E8182" t="s">
        <v>1</v>
      </c>
      <c r="F8182" t="s">
        <v>0</v>
      </c>
      <c r="G8182" t="str">
        <f>"2018-10-22 01:57:18"</f>
        <v>2018-10-22 01:57:18</v>
      </c>
    </row>
    <row r="8183" spans="1:7" x14ac:dyDescent="0.2">
      <c r="A8183" t="s">
        <v>8904</v>
      </c>
      <c r="B8183" t="str">
        <f>"18739969273"</f>
        <v>18739969273</v>
      </c>
      <c r="C8183" t="str">
        <f>"41022419901228037X"</f>
        <v>41022419901228037X</v>
      </c>
      <c r="D8183" t="s">
        <v>1</v>
      </c>
      <c r="E8183" t="s">
        <v>1</v>
      </c>
      <c r="F8183" t="s">
        <v>0</v>
      </c>
      <c r="G8183" t="str">
        <f>"2018-10-16 08:06:28"</f>
        <v>2018-10-16 08:06:28</v>
      </c>
    </row>
    <row r="8184" spans="1:7" x14ac:dyDescent="0.2">
      <c r="A8184" t="s">
        <v>8905</v>
      </c>
      <c r="B8184" t="str">
        <f>"13266801618"</f>
        <v>13266801618</v>
      </c>
      <c r="C8184" t="str">
        <f>"44092119900410838X"</f>
        <v>44092119900410838X</v>
      </c>
      <c r="D8184" t="s">
        <v>8906</v>
      </c>
      <c r="E8184" t="s">
        <v>8907</v>
      </c>
      <c r="F8184" t="s">
        <v>0</v>
      </c>
      <c r="G8184" t="str">
        <f>"2018-10-16 06:49:22"</f>
        <v>2018-10-16 06:49:22</v>
      </c>
    </row>
    <row r="8185" spans="1:7" x14ac:dyDescent="0.2">
      <c r="A8185" t="s">
        <v>1</v>
      </c>
      <c r="B8185" t="str">
        <f>"15933874981"</f>
        <v>15933874981</v>
      </c>
      <c r="C8185" t="s">
        <v>1</v>
      </c>
      <c r="D8185" t="s">
        <v>1</v>
      </c>
      <c r="E8185" t="s">
        <v>1</v>
      </c>
      <c r="F8185" t="s">
        <v>0</v>
      </c>
      <c r="G8185" t="str">
        <f>"2018-10-16 06:40:25"</f>
        <v>2018-10-16 06:40:25</v>
      </c>
    </row>
    <row r="8186" spans="1:7" x14ac:dyDescent="0.2">
      <c r="A8186" t="s">
        <v>8908</v>
      </c>
      <c r="B8186" t="str">
        <f>"15941055223"</f>
        <v>15941055223</v>
      </c>
      <c r="C8186" t="str">
        <f>"211224199104049216"</f>
        <v>211224199104049216</v>
      </c>
      <c r="D8186" t="s">
        <v>1</v>
      </c>
      <c r="E8186" t="s">
        <v>1</v>
      </c>
      <c r="F8186" t="s">
        <v>0</v>
      </c>
      <c r="G8186" t="str">
        <f>"2018-10-16 06:26:49"</f>
        <v>2018-10-16 06:26:49</v>
      </c>
    </row>
    <row r="8187" spans="1:7" x14ac:dyDescent="0.2">
      <c r="A8187" t="s">
        <v>8909</v>
      </c>
      <c r="B8187" t="str">
        <f>"13998178937"</f>
        <v>13998178937</v>
      </c>
      <c r="C8187" t="str">
        <f>"230622198312243598"</f>
        <v>230622198312243598</v>
      </c>
      <c r="D8187" t="s">
        <v>1</v>
      </c>
      <c r="E8187" t="s">
        <v>1</v>
      </c>
      <c r="F8187" t="s">
        <v>0</v>
      </c>
      <c r="G8187" t="str">
        <f>"2018-10-16 06:16:00"</f>
        <v>2018-10-16 06:16:00</v>
      </c>
    </row>
    <row r="8188" spans="1:7" x14ac:dyDescent="0.2">
      <c r="A8188" t="s">
        <v>1</v>
      </c>
      <c r="B8188" t="str">
        <f>"15021295140"</f>
        <v>15021295140</v>
      </c>
      <c r="C8188" t="s">
        <v>1</v>
      </c>
      <c r="D8188" t="s">
        <v>1</v>
      </c>
      <c r="E8188" t="s">
        <v>1</v>
      </c>
      <c r="F8188" t="s">
        <v>0</v>
      </c>
      <c r="G8188" t="str">
        <f>"2018-10-16 06:08:20"</f>
        <v>2018-10-16 06:08:20</v>
      </c>
    </row>
    <row r="8189" spans="1:7" x14ac:dyDescent="0.2">
      <c r="A8189" t="s">
        <v>8910</v>
      </c>
      <c r="B8189" t="str">
        <f>"18216390122"</f>
        <v>18216390122</v>
      </c>
      <c r="C8189" t="str">
        <f>"430602198105150550"</f>
        <v>430602198105150550</v>
      </c>
      <c r="D8189" t="s">
        <v>1</v>
      </c>
      <c r="E8189" t="s">
        <v>1</v>
      </c>
      <c r="F8189" t="s">
        <v>0</v>
      </c>
      <c r="G8189" t="str">
        <f>"2018-10-16 06:10:47"</f>
        <v>2018-10-16 06:10:47</v>
      </c>
    </row>
    <row r="8190" spans="1:7" x14ac:dyDescent="0.2">
      <c r="A8190" t="s">
        <v>518</v>
      </c>
      <c r="B8190" t="str">
        <f>"17857659630"</f>
        <v>17857659630</v>
      </c>
      <c r="C8190" t="str">
        <f>"330825200001131824"</f>
        <v>330825200001131824</v>
      </c>
      <c r="D8190" t="s">
        <v>1</v>
      </c>
      <c r="E8190" t="s">
        <v>1</v>
      </c>
      <c r="F8190" t="s">
        <v>0</v>
      </c>
      <c r="G8190" t="str">
        <f>"2018-10-16 06:06:56"</f>
        <v>2018-10-16 06:06:56</v>
      </c>
    </row>
    <row r="8191" spans="1:7" x14ac:dyDescent="0.2">
      <c r="A8191" t="s">
        <v>1</v>
      </c>
      <c r="B8191" t="str">
        <f>"13134483830"</f>
        <v>13134483830</v>
      </c>
      <c r="C8191" t="s">
        <v>1</v>
      </c>
      <c r="D8191" t="s">
        <v>1</v>
      </c>
      <c r="E8191" t="s">
        <v>1</v>
      </c>
      <c r="F8191" t="s">
        <v>0</v>
      </c>
      <c r="G8191" t="str">
        <f>"2018-10-16 05:56:20"</f>
        <v>2018-10-16 05:56:20</v>
      </c>
    </row>
    <row r="8192" spans="1:7" x14ac:dyDescent="0.2">
      <c r="A8192" t="s">
        <v>8911</v>
      </c>
      <c r="B8192" t="str">
        <f>"15032793354"</f>
        <v>15032793354</v>
      </c>
      <c r="C8192" t="str">
        <f>"130181198607144529"</f>
        <v>130181198607144529</v>
      </c>
      <c r="D8192" t="s">
        <v>1</v>
      </c>
      <c r="E8192" t="s">
        <v>1</v>
      </c>
      <c r="F8192" t="s">
        <v>0</v>
      </c>
      <c r="G8192" t="str">
        <f>"2018-10-16 08:00:20"</f>
        <v>2018-10-16 08:00:20</v>
      </c>
    </row>
    <row r="8193" spans="1:7" x14ac:dyDescent="0.2">
      <c r="A8193" t="s">
        <v>1</v>
      </c>
      <c r="B8193" t="str">
        <f>"18727356789"</f>
        <v>18727356789</v>
      </c>
      <c r="C8193" t="s">
        <v>1</v>
      </c>
      <c r="D8193" t="s">
        <v>1</v>
      </c>
      <c r="E8193" t="s">
        <v>1</v>
      </c>
      <c r="F8193" t="s">
        <v>0</v>
      </c>
      <c r="G8193" t="str">
        <f>"2018-10-16 05:54:29"</f>
        <v>2018-10-16 05:54:29</v>
      </c>
    </row>
    <row r="8194" spans="1:7" x14ac:dyDescent="0.2">
      <c r="A8194" t="s">
        <v>1</v>
      </c>
      <c r="B8194" t="str">
        <f>"15264923557"</f>
        <v>15264923557</v>
      </c>
      <c r="C8194" t="s">
        <v>1</v>
      </c>
      <c r="D8194" t="s">
        <v>1</v>
      </c>
      <c r="E8194" t="s">
        <v>1</v>
      </c>
      <c r="F8194" t="s">
        <v>0</v>
      </c>
      <c r="G8194" t="str">
        <f>"2018-10-16 05:54:30"</f>
        <v>2018-10-16 05:54:30</v>
      </c>
    </row>
    <row r="8195" spans="1:7" x14ac:dyDescent="0.2">
      <c r="A8195" t="s">
        <v>8912</v>
      </c>
      <c r="B8195" t="str">
        <f>"15711347389"</f>
        <v>15711347389</v>
      </c>
      <c r="C8195" t="str">
        <f>"430381199004277791"</f>
        <v>430381199004277791</v>
      </c>
      <c r="D8195" t="s">
        <v>1</v>
      </c>
      <c r="E8195" t="s">
        <v>1</v>
      </c>
      <c r="F8195" t="s">
        <v>0</v>
      </c>
      <c r="G8195" t="str">
        <f>"2018-10-16 12:57:21"</f>
        <v>2018-10-16 12:57:21</v>
      </c>
    </row>
    <row r="8196" spans="1:7" x14ac:dyDescent="0.2">
      <c r="A8196" t="s">
        <v>8913</v>
      </c>
      <c r="B8196" t="str">
        <f>"15263194853"</f>
        <v>15263194853</v>
      </c>
      <c r="C8196" t="str">
        <f>"371082200010162114"</f>
        <v>371082200010162114</v>
      </c>
      <c r="D8196" t="s">
        <v>1</v>
      </c>
      <c r="E8196" t="s">
        <v>1</v>
      </c>
      <c r="F8196" t="s">
        <v>0</v>
      </c>
      <c r="G8196" t="str">
        <f>"2018-10-16 05:36:53"</f>
        <v>2018-10-16 05:36:53</v>
      </c>
    </row>
    <row r="8197" spans="1:7" x14ac:dyDescent="0.2">
      <c r="A8197" t="s">
        <v>1</v>
      </c>
      <c r="B8197" t="str">
        <f>"17823856338"</f>
        <v>17823856338</v>
      </c>
      <c r="C8197" t="s">
        <v>1</v>
      </c>
      <c r="D8197" t="s">
        <v>1</v>
      </c>
      <c r="E8197" t="s">
        <v>1</v>
      </c>
      <c r="F8197" t="s">
        <v>0</v>
      </c>
      <c r="G8197" t="str">
        <f>"2018-10-16 05:35:45"</f>
        <v>2018-10-16 05:35:45</v>
      </c>
    </row>
    <row r="8198" spans="1:7" x14ac:dyDescent="0.2">
      <c r="A8198" t="s">
        <v>1</v>
      </c>
      <c r="B8198" t="str">
        <f>"13841339987"</f>
        <v>13841339987</v>
      </c>
      <c r="C8198" t="s">
        <v>1</v>
      </c>
      <c r="D8198" t="s">
        <v>1</v>
      </c>
      <c r="E8198" t="s">
        <v>1</v>
      </c>
      <c r="F8198" t="s">
        <v>0</v>
      </c>
      <c r="G8198" t="str">
        <f>"2018-10-16 05:21:47"</f>
        <v>2018-10-16 05:21:47</v>
      </c>
    </row>
    <row r="8199" spans="1:7" x14ac:dyDescent="0.2">
      <c r="A8199" t="s">
        <v>1</v>
      </c>
      <c r="B8199" t="str">
        <f>"18155139138"</f>
        <v>18155139138</v>
      </c>
      <c r="C8199" t="s">
        <v>1</v>
      </c>
      <c r="D8199" t="s">
        <v>1</v>
      </c>
      <c r="E8199" t="s">
        <v>1</v>
      </c>
      <c r="F8199" t="s">
        <v>0</v>
      </c>
      <c r="G8199" t="str">
        <f>"2018-10-16 05:05:33"</f>
        <v>2018-10-16 05:05:33</v>
      </c>
    </row>
    <row r="8200" spans="1:7" x14ac:dyDescent="0.2">
      <c r="A8200" t="s">
        <v>1</v>
      </c>
      <c r="B8200" t="str">
        <f>"15969160159"</f>
        <v>15969160159</v>
      </c>
      <c r="C8200" t="s">
        <v>1</v>
      </c>
      <c r="D8200" t="s">
        <v>1</v>
      </c>
      <c r="E8200" t="s">
        <v>1</v>
      </c>
      <c r="F8200" t="s">
        <v>0</v>
      </c>
      <c r="G8200" t="str">
        <f>"2018-10-16 05:01:49"</f>
        <v>2018-10-16 05:01:49</v>
      </c>
    </row>
    <row r="8201" spans="1:7" x14ac:dyDescent="0.2">
      <c r="A8201" t="s">
        <v>8914</v>
      </c>
      <c r="B8201" t="str">
        <f>"15972668226"</f>
        <v>15972668226</v>
      </c>
      <c r="C8201" t="str">
        <f>"420881198609242533"</f>
        <v>420881198609242533</v>
      </c>
      <c r="D8201" t="s">
        <v>8915</v>
      </c>
      <c r="E8201" t="s">
        <v>8916</v>
      </c>
      <c r="F8201" t="s">
        <v>0</v>
      </c>
      <c r="G8201" t="str">
        <f>"2018-10-16 04:51:36"</f>
        <v>2018-10-16 04:51:36</v>
      </c>
    </row>
    <row r="8202" spans="1:7" x14ac:dyDescent="0.2">
      <c r="A8202" t="s">
        <v>8917</v>
      </c>
      <c r="B8202" t="str">
        <f>"18275449454"</f>
        <v>18275449454</v>
      </c>
      <c r="C8202" t="str">
        <f>"522101199207264019"</f>
        <v>522101199207264019</v>
      </c>
      <c r="D8202" t="s">
        <v>1</v>
      </c>
      <c r="E8202" t="s">
        <v>1</v>
      </c>
      <c r="F8202" t="s">
        <v>0</v>
      </c>
      <c r="G8202" t="str">
        <f>"2018-10-16 04:46:20"</f>
        <v>2018-10-16 04:46:20</v>
      </c>
    </row>
    <row r="8203" spans="1:7" x14ac:dyDescent="0.2">
      <c r="A8203" t="s">
        <v>8918</v>
      </c>
      <c r="B8203" t="str">
        <f>"13816362046"</f>
        <v>13816362046</v>
      </c>
      <c r="C8203" t="str">
        <f>"342529199012200044"</f>
        <v>342529199012200044</v>
      </c>
      <c r="D8203" t="s">
        <v>1</v>
      </c>
      <c r="E8203" t="s">
        <v>1</v>
      </c>
      <c r="F8203" t="s">
        <v>0</v>
      </c>
      <c r="G8203" t="str">
        <f>"2018-10-16 08:19:02"</f>
        <v>2018-10-16 08:19:02</v>
      </c>
    </row>
    <row r="8204" spans="1:7" x14ac:dyDescent="0.2">
      <c r="A8204" t="s">
        <v>1</v>
      </c>
      <c r="B8204" t="str">
        <f>"15577824871"</f>
        <v>15577824871</v>
      </c>
      <c r="C8204" t="s">
        <v>1</v>
      </c>
      <c r="D8204" t="s">
        <v>1</v>
      </c>
      <c r="E8204" t="s">
        <v>1</v>
      </c>
      <c r="F8204" t="s">
        <v>0</v>
      </c>
      <c r="G8204" t="str">
        <f>"2018-10-16 04:35:09"</f>
        <v>2018-10-16 04:35:09</v>
      </c>
    </row>
    <row r="8205" spans="1:7" x14ac:dyDescent="0.2">
      <c r="A8205" t="s">
        <v>1759</v>
      </c>
      <c r="B8205" t="str">
        <f>"13876215921"</f>
        <v>13876215921</v>
      </c>
      <c r="C8205" t="str">
        <f>"460002199712221514"</f>
        <v>460002199712221514</v>
      </c>
      <c r="D8205" t="s">
        <v>8919</v>
      </c>
      <c r="E8205" t="s">
        <v>8920</v>
      </c>
      <c r="F8205" t="s">
        <v>0</v>
      </c>
      <c r="G8205" t="str">
        <f>"2018-10-16 04:30:17"</f>
        <v>2018-10-16 04:30:17</v>
      </c>
    </row>
    <row r="8206" spans="1:7" x14ac:dyDescent="0.2">
      <c r="A8206" t="s">
        <v>1</v>
      </c>
      <c r="B8206" t="str">
        <f>"15017237770"</f>
        <v>15017237770</v>
      </c>
      <c r="C8206" t="s">
        <v>1</v>
      </c>
      <c r="D8206" t="s">
        <v>1</v>
      </c>
      <c r="E8206" t="s">
        <v>1</v>
      </c>
      <c r="F8206" t="s">
        <v>0</v>
      </c>
      <c r="G8206" t="str">
        <f>"2018-10-16 04:22:36"</f>
        <v>2018-10-16 04:22:36</v>
      </c>
    </row>
    <row r="8207" spans="1:7" x14ac:dyDescent="0.2">
      <c r="A8207" t="s">
        <v>8921</v>
      </c>
      <c r="B8207" t="str">
        <f>"15629970393"</f>
        <v>15629970393</v>
      </c>
      <c r="C8207" t="str">
        <f>"421223199410290510"</f>
        <v>421223199410290510</v>
      </c>
      <c r="D8207" t="s">
        <v>1</v>
      </c>
      <c r="E8207" t="s">
        <v>1</v>
      </c>
      <c r="F8207" t="s">
        <v>0</v>
      </c>
      <c r="G8207" t="str">
        <f>"2018-10-22 14:17:44"</f>
        <v>2018-10-22 14:17:44</v>
      </c>
    </row>
    <row r="8208" spans="1:7" x14ac:dyDescent="0.2">
      <c r="A8208" t="s">
        <v>8922</v>
      </c>
      <c r="B8208" t="str">
        <f>"13141861901"</f>
        <v>13141861901</v>
      </c>
      <c r="C8208" t="str">
        <f>"320584199208235918"</f>
        <v>320584199208235918</v>
      </c>
      <c r="D8208" t="s">
        <v>1</v>
      </c>
      <c r="E8208" t="s">
        <v>1</v>
      </c>
      <c r="F8208" t="s">
        <v>0</v>
      </c>
      <c r="G8208" t="str">
        <f>"2018-10-16 04:10:33"</f>
        <v>2018-10-16 04:10:33</v>
      </c>
    </row>
    <row r="8209" spans="1:7" x14ac:dyDescent="0.2">
      <c r="A8209" t="s">
        <v>8923</v>
      </c>
      <c r="B8209" t="str">
        <f>"18287803471"</f>
        <v>18287803471</v>
      </c>
      <c r="C8209" t="str">
        <f>"532324199607011720"</f>
        <v>532324199607011720</v>
      </c>
      <c r="D8209" t="s">
        <v>8924</v>
      </c>
      <c r="E8209" t="s">
        <v>8925</v>
      </c>
      <c r="F8209" t="s">
        <v>0</v>
      </c>
      <c r="G8209" t="str">
        <f>"2018-10-16 04:09:36"</f>
        <v>2018-10-16 04:09:36</v>
      </c>
    </row>
    <row r="8210" spans="1:7" x14ac:dyDescent="0.2">
      <c r="A8210" t="s">
        <v>8926</v>
      </c>
      <c r="B8210" t="str">
        <f>"15880613191"</f>
        <v>15880613191</v>
      </c>
      <c r="C8210" t="str">
        <f>"350824198704115879"</f>
        <v>350824198704115879</v>
      </c>
      <c r="D8210" t="s">
        <v>1</v>
      </c>
      <c r="E8210" t="s">
        <v>1</v>
      </c>
      <c r="F8210" t="s">
        <v>0</v>
      </c>
      <c r="G8210" t="str">
        <f>"2018-10-16 04:12:37"</f>
        <v>2018-10-16 04:12:37</v>
      </c>
    </row>
    <row r="8211" spans="1:7" x14ac:dyDescent="0.2">
      <c r="A8211" t="s">
        <v>8927</v>
      </c>
      <c r="B8211" t="str">
        <f>"15670791991"</f>
        <v>15670791991</v>
      </c>
      <c r="C8211" t="str">
        <f>"410527197612180029"</f>
        <v>410527197612180029</v>
      </c>
      <c r="D8211" t="s">
        <v>1</v>
      </c>
      <c r="E8211" t="s">
        <v>1</v>
      </c>
      <c r="F8211" t="s">
        <v>0</v>
      </c>
      <c r="G8211" t="str">
        <f>"2018-10-16 15:17:04"</f>
        <v>2018-10-16 15:17:04</v>
      </c>
    </row>
    <row r="8212" spans="1:7" x14ac:dyDescent="0.2">
      <c r="A8212" t="s">
        <v>8928</v>
      </c>
      <c r="B8212" t="str">
        <f>"15810250148"</f>
        <v>15810250148</v>
      </c>
      <c r="C8212" t="str">
        <f>"141127198910140090"</f>
        <v>141127198910140090</v>
      </c>
      <c r="D8212" t="s">
        <v>8929</v>
      </c>
      <c r="E8212" t="s">
        <v>8930</v>
      </c>
      <c r="F8212" t="s">
        <v>0</v>
      </c>
      <c r="G8212" t="str">
        <f>"2018-10-19 02:00:47"</f>
        <v>2018-10-19 02:00:47</v>
      </c>
    </row>
    <row r="8213" spans="1:7" x14ac:dyDescent="0.2">
      <c r="A8213" t="s">
        <v>8931</v>
      </c>
      <c r="B8213" t="str">
        <f>"17621765961"</f>
        <v>17621765961</v>
      </c>
      <c r="C8213" t="str">
        <f>"340121198908043118"</f>
        <v>340121198908043118</v>
      </c>
      <c r="D8213" t="s">
        <v>1</v>
      </c>
      <c r="E8213" t="s">
        <v>1</v>
      </c>
      <c r="F8213" t="s">
        <v>0</v>
      </c>
      <c r="G8213" t="str">
        <f>"2018-10-16 03:57:51"</f>
        <v>2018-10-16 03:57:51</v>
      </c>
    </row>
    <row r="8214" spans="1:7" x14ac:dyDescent="0.2">
      <c r="A8214" t="s">
        <v>1</v>
      </c>
      <c r="B8214" t="str">
        <f>"18718661368"</f>
        <v>18718661368</v>
      </c>
      <c r="C8214" t="s">
        <v>1</v>
      </c>
      <c r="D8214" t="s">
        <v>1</v>
      </c>
      <c r="E8214" t="s">
        <v>1</v>
      </c>
      <c r="F8214" t="s">
        <v>0</v>
      </c>
      <c r="G8214" t="str">
        <f>"2018-10-16 03:53:42"</f>
        <v>2018-10-16 03:53:42</v>
      </c>
    </row>
    <row r="8215" spans="1:7" x14ac:dyDescent="0.2">
      <c r="A8215" t="s">
        <v>8932</v>
      </c>
      <c r="B8215" t="str">
        <f>"15087383526"</f>
        <v>15087383526</v>
      </c>
      <c r="C8215" t="str">
        <f>"532502198708280629"</f>
        <v>532502198708280629</v>
      </c>
      <c r="D8215" t="s">
        <v>1</v>
      </c>
      <c r="E8215" t="s">
        <v>1</v>
      </c>
      <c r="F8215" t="s">
        <v>0</v>
      </c>
      <c r="G8215" t="str">
        <f>"2018-10-21 21:39:06"</f>
        <v>2018-10-21 21:39:06</v>
      </c>
    </row>
    <row r="8216" spans="1:7" x14ac:dyDescent="0.2">
      <c r="A8216" t="s">
        <v>8933</v>
      </c>
      <c r="B8216" t="str">
        <f>"18510661770"</f>
        <v>18510661770</v>
      </c>
      <c r="C8216" t="str">
        <f>"152104199205311213"</f>
        <v>152104199205311213</v>
      </c>
      <c r="D8216" t="s">
        <v>1</v>
      </c>
      <c r="E8216" t="s">
        <v>1</v>
      </c>
      <c r="F8216" t="s">
        <v>0</v>
      </c>
      <c r="G8216" t="str">
        <f>"2018-10-16 03:39:18"</f>
        <v>2018-10-16 03:39:18</v>
      </c>
    </row>
    <row r="8217" spans="1:7" x14ac:dyDescent="0.2">
      <c r="A8217" t="s">
        <v>8934</v>
      </c>
      <c r="B8217" t="str">
        <f>"15005955171"</f>
        <v>15005955171</v>
      </c>
      <c r="C8217" t="str">
        <f>"350182198606171573"</f>
        <v>350182198606171573</v>
      </c>
      <c r="D8217" t="s">
        <v>1</v>
      </c>
      <c r="E8217" t="s">
        <v>1</v>
      </c>
      <c r="F8217" t="s">
        <v>0</v>
      </c>
      <c r="G8217" t="str">
        <f>"2018-10-18 15:56:56"</f>
        <v>2018-10-18 15:56:56</v>
      </c>
    </row>
    <row r="8218" spans="1:7" x14ac:dyDescent="0.2">
      <c r="A8218" t="s">
        <v>1</v>
      </c>
      <c r="B8218" t="str">
        <f>"18537226516"</f>
        <v>18537226516</v>
      </c>
      <c r="C8218" t="s">
        <v>1</v>
      </c>
      <c r="D8218" t="s">
        <v>1</v>
      </c>
      <c r="E8218" t="s">
        <v>1</v>
      </c>
      <c r="F8218" t="s">
        <v>0</v>
      </c>
      <c r="G8218" t="str">
        <f>"2018-10-16 03:27:30"</f>
        <v>2018-10-16 03:27:30</v>
      </c>
    </row>
    <row r="8219" spans="1:7" x14ac:dyDescent="0.2">
      <c r="A8219" t="s">
        <v>8935</v>
      </c>
      <c r="B8219" t="str">
        <f>"13211012622"</f>
        <v>13211012622</v>
      </c>
      <c r="C8219" t="str">
        <f>"440582199412076138"</f>
        <v>440582199412076138</v>
      </c>
      <c r="D8219" t="s">
        <v>8936</v>
      </c>
      <c r="E8219" t="s">
        <v>8936</v>
      </c>
      <c r="F8219" t="s">
        <v>0</v>
      </c>
      <c r="G8219" t="str">
        <f>"2018-11-04 17:06:42"</f>
        <v>2018-11-04 17:06:42</v>
      </c>
    </row>
    <row r="8220" spans="1:7" x14ac:dyDescent="0.2">
      <c r="A8220" t="s">
        <v>1393</v>
      </c>
      <c r="B8220" t="str">
        <f>"17781895793"</f>
        <v>17781895793</v>
      </c>
      <c r="C8220" t="str">
        <f>"510216197304140437"</f>
        <v>510216197304140437</v>
      </c>
      <c r="D8220" t="s">
        <v>8937</v>
      </c>
      <c r="E8220" t="s">
        <v>8938</v>
      </c>
      <c r="F8220" t="s">
        <v>0</v>
      </c>
      <c r="G8220" t="str">
        <f>"2018-10-16 04:40:10"</f>
        <v>2018-10-16 04:40:10</v>
      </c>
    </row>
    <row r="8221" spans="1:7" x14ac:dyDescent="0.2">
      <c r="A8221" t="s">
        <v>8939</v>
      </c>
      <c r="B8221" t="str">
        <f>"13148841688"</f>
        <v>13148841688</v>
      </c>
      <c r="C8221" t="str">
        <f>"431027199010172618"</f>
        <v>431027199010172618</v>
      </c>
      <c r="D8221" t="s">
        <v>8940</v>
      </c>
      <c r="E8221" t="s">
        <v>8941</v>
      </c>
      <c r="F8221" t="s">
        <v>0</v>
      </c>
      <c r="G8221" t="str">
        <f>"2018-10-16 03:22:38"</f>
        <v>2018-10-16 03:22:38</v>
      </c>
    </row>
    <row r="8222" spans="1:7" x14ac:dyDescent="0.2">
      <c r="A8222" t="s">
        <v>1</v>
      </c>
      <c r="B8222" t="str">
        <f>"18674857353"</f>
        <v>18674857353</v>
      </c>
      <c r="C8222" t="s">
        <v>1</v>
      </c>
      <c r="D8222" t="s">
        <v>1</v>
      </c>
      <c r="E8222" t="s">
        <v>1</v>
      </c>
      <c r="F8222" t="s">
        <v>0</v>
      </c>
      <c r="G8222" t="str">
        <f>"2018-10-16 03:18:41"</f>
        <v>2018-10-16 03:18:41</v>
      </c>
    </row>
    <row r="8223" spans="1:7" x14ac:dyDescent="0.2">
      <c r="A8223" t="s">
        <v>8942</v>
      </c>
      <c r="B8223" t="str">
        <f>"18889148432"</f>
        <v>18889148432</v>
      </c>
      <c r="C8223" t="str">
        <f>"460103199803222733"</f>
        <v>460103199803222733</v>
      </c>
      <c r="D8223" t="s">
        <v>8943</v>
      </c>
      <c r="E8223" t="s">
        <v>8944</v>
      </c>
      <c r="F8223" t="s">
        <v>0</v>
      </c>
      <c r="G8223" t="str">
        <f>"2018-10-16 03:13:49"</f>
        <v>2018-10-16 03:13:49</v>
      </c>
    </row>
    <row r="8224" spans="1:7" x14ac:dyDescent="0.2">
      <c r="A8224" t="s">
        <v>8945</v>
      </c>
      <c r="B8224" t="str">
        <f>"15807249959"</f>
        <v>15807249959</v>
      </c>
      <c r="C8224" t="str">
        <f>"42122219910805561X"</f>
        <v>42122219910805561X</v>
      </c>
      <c r="D8224" t="s">
        <v>1</v>
      </c>
      <c r="E8224" t="s">
        <v>1</v>
      </c>
      <c r="F8224" t="s">
        <v>0</v>
      </c>
      <c r="G8224" t="str">
        <f>"2018-10-16 03:14:51"</f>
        <v>2018-10-16 03:14:51</v>
      </c>
    </row>
    <row r="8225" spans="1:7" x14ac:dyDescent="0.2">
      <c r="A8225" t="s">
        <v>724</v>
      </c>
      <c r="B8225" t="str">
        <f>"13857214203"</f>
        <v>13857214203</v>
      </c>
      <c r="C8225" t="str">
        <f>"330903197003181115"</f>
        <v>330903197003181115</v>
      </c>
      <c r="D8225" t="s">
        <v>8946</v>
      </c>
      <c r="E8225" t="s">
        <v>8947</v>
      </c>
      <c r="F8225" t="s">
        <v>0</v>
      </c>
      <c r="G8225" t="str">
        <f>"2018-10-16 03:07:12"</f>
        <v>2018-10-16 03:07:12</v>
      </c>
    </row>
    <row r="8226" spans="1:7" x14ac:dyDescent="0.2">
      <c r="A8226" t="s">
        <v>8948</v>
      </c>
      <c r="B8226" t="str">
        <f>"18246877802"</f>
        <v>18246877802</v>
      </c>
      <c r="C8226" t="str">
        <f>"232303198709224412"</f>
        <v>232303198709224412</v>
      </c>
      <c r="D8226" t="s">
        <v>1</v>
      </c>
      <c r="E8226" t="s">
        <v>1</v>
      </c>
      <c r="F8226" t="s">
        <v>0</v>
      </c>
      <c r="G8226" t="str">
        <f>"2018-10-16 02:57:57"</f>
        <v>2018-10-16 02:57:57</v>
      </c>
    </row>
    <row r="8227" spans="1:7" x14ac:dyDescent="0.2">
      <c r="A8227" t="s">
        <v>8949</v>
      </c>
      <c r="B8227" t="str">
        <f>"13644044387"</f>
        <v>13644044387</v>
      </c>
      <c r="C8227" t="str">
        <f>"210106198808071813"</f>
        <v>210106198808071813</v>
      </c>
      <c r="D8227" t="s">
        <v>8950</v>
      </c>
      <c r="E8227" t="s">
        <v>8951</v>
      </c>
      <c r="F8227" t="s">
        <v>0</v>
      </c>
      <c r="G8227" t="str">
        <f>"2018-10-16 02:58:27"</f>
        <v>2018-10-16 02:58:27</v>
      </c>
    </row>
    <row r="8228" spans="1:7" x14ac:dyDescent="0.2">
      <c r="A8228" t="s">
        <v>1</v>
      </c>
      <c r="B8228" t="str">
        <f>"15008997804"</f>
        <v>15008997804</v>
      </c>
      <c r="C8228" t="s">
        <v>1</v>
      </c>
      <c r="D8228" t="s">
        <v>1</v>
      </c>
      <c r="E8228" t="s">
        <v>1</v>
      </c>
      <c r="F8228" t="s">
        <v>0</v>
      </c>
      <c r="G8228" t="str">
        <f>"2018-10-16 02:22:21"</f>
        <v>2018-10-16 02:22:21</v>
      </c>
    </row>
    <row r="8229" spans="1:7" x14ac:dyDescent="0.2">
      <c r="A8229" t="s">
        <v>8952</v>
      </c>
      <c r="B8229" t="str">
        <f>"18370716362"</f>
        <v>18370716362</v>
      </c>
      <c r="C8229" t="str">
        <f>"36073119961223631X"</f>
        <v>36073119961223631X</v>
      </c>
      <c r="D8229" t="s">
        <v>1</v>
      </c>
      <c r="E8229" t="s">
        <v>1</v>
      </c>
      <c r="F8229" t="s">
        <v>0</v>
      </c>
      <c r="G8229" t="str">
        <f>"2018-10-16 02:15:54"</f>
        <v>2018-10-16 02:15:54</v>
      </c>
    </row>
    <row r="8230" spans="1:7" x14ac:dyDescent="0.2">
      <c r="A8230" t="s">
        <v>1</v>
      </c>
      <c r="B8230" t="str">
        <f>"17192447784"</f>
        <v>17192447784</v>
      </c>
      <c r="C8230" t="s">
        <v>1</v>
      </c>
      <c r="D8230" t="s">
        <v>1</v>
      </c>
      <c r="E8230" t="s">
        <v>1</v>
      </c>
      <c r="F8230" t="s">
        <v>0</v>
      </c>
      <c r="G8230" t="str">
        <f>"2018-10-16 02:00:00"</f>
        <v>2018-10-16 02:00:00</v>
      </c>
    </row>
    <row r="8231" spans="1:7" x14ac:dyDescent="0.2">
      <c r="A8231" t="s">
        <v>8953</v>
      </c>
      <c r="B8231" t="str">
        <f>"15957619770"</f>
        <v>15957619770</v>
      </c>
      <c r="C8231" t="str">
        <f>"51372319940607981X"</f>
        <v>51372319940607981X</v>
      </c>
      <c r="D8231" t="s">
        <v>8954</v>
      </c>
      <c r="E8231" t="s">
        <v>8955</v>
      </c>
      <c r="F8231" t="s">
        <v>0</v>
      </c>
      <c r="G8231" t="str">
        <f>"2018-10-16 01:57:10"</f>
        <v>2018-10-16 01:57:10</v>
      </c>
    </row>
    <row r="8232" spans="1:7" x14ac:dyDescent="0.2">
      <c r="A8232" t="s">
        <v>1</v>
      </c>
      <c r="B8232" t="str">
        <f>"15132561984"</f>
        <v>15132561984</v>
      </c>
      <c r="C8232" t="s">
        <v>1</v>
      </c>
      <c r="D8232" t="s">
        <v>1</v>
      </c>
      <c r="E8232" t="s">
        <v>1</v>
      </c>
      <c r="F8232" t="s">
        <v>0</v>
      </c>
      <c r="G8232" t="str">
        <f>"2018-10-16 01:47:40"</f>
        <v>2018-10-16 01:47:40</v>
      </c>
    </row>
    <row r="8233" spans="1:7" x14ac:dyDescent="0.2">
      <c r="A8233" t="s">
        <v>8956</v>
      </c>
      <c r="B8233" t="str">
        <f>"13545508330"</f>
        <v>13545508330</v>
      </c>
      <c r="C8233" t="str">
        <f>"420281198903192810"</f>
        <v>420281198903192810</v>
      </c>
      <c r="D8233" t="s">
        <v>8957</v>
      </c>
      <c r="E8233" t="s">
        <v>8958</v>
      </c>
      <c r="F8233" t="s">
        <v>0</v>
      </c>
      <c r="G8233" t="str">
        <f>"2018-10-26 21:08:22"</f>
        <v>2018-10-26 21:08:22</v>
      </c>
    </row>
    <row r="8234" spans="1:7" x14ac:dyDescent="0.2">
      <c r="A8234" t="s">
        <v>8959</v>
      </c>
      <c r="B8234" t="str">
        <f>"17636532347"</f>
        <v>17636532347</v>
      </c>
      <c r="C8234" t="str">
        <f>"140923199805010018"</f>
        <v>140923199805010018</v>
      </c>
      <c r="D8234" t="s">
        <v>1</v>
      </c>
      <c r="E8234" t="s">
        <v>1</v>
      </c>
      <c r="F8234" t="s">
        <v>0</v>
      </c>
      <c r="G8234" t="str">
        <f>"2018-10-16 01:24:13"</f>
        <v>2018-10-16 01:24:13</v>
      </c>
    </row>
    <row r="8235" spans="1:7" x14ac:dyDescent="0.2">
      <c r="A8235" t="s">
        <v>1</v>
      </c>
      <c r="B8235" t="str">
        <f>"13484108760"</f>
        <v>13484108760</v>
      </c>
      <c r="C8235" t="s">
        <v>1</v>
      </c>
      <c r="D8235" t="s">
        <v>1</v>
      </c>
      <c r="E8235" t="s">
        <v>1</v>
      </c>
      <c r="F8235" t="s">
        <v>0</v>
      </c>
      <c r="G8235" t="str">
        <f>"2018-10-16 01:18:05"</f>
        <v>2018-10-16 01:18:05</v>
      </c>
    </row>
    <row r="8236" spans="1:7" x14ac:dyDescent="0.2">
      <c r="A8236" t="s">
        <v>1</v>
      </c>
      <c r="B8236" t="str">
        <f>"13015656230"</f>
        <v>13015656230</v>
      </c>
      <c r="C8236" t="s">
        <v>1</v>
      </c>
      <c r="D8236" t="s">
        <v>1</v>
      </c>
      <c r="E8236" t="s">
        <v>1</v>
      </c>
      <c r="F8236" t="s">
        <v>0</v>
      </c>
      <c r="G8236" t="str">
        <f>"2018-10-16 01:20:10"</f>
        <v>2018-10-16 01:20:10</v>
      </c>
    </row>
    <row r="8237" spans="1:7" x14ac:dyDescent="0.2">
      <c r="A8237" t="s">
        <v>8960</v>
      </c>
      <c r="B8237" t="str">
        <f>"13751567585"</f>
        <v>13751567585</v>
      </c>
      <c r="C8237" t="str">
        <f>"422423197408276616"</f>
        <v>422423197408276616</v>
      </c>
      <c r="D8237" t="s">
        <v>1</v>
      </c>
      <c r="E8237" t="s">
        <v>1</v>
      </c>
      <c r="F8237" t="s">
        <v>0</v>
      </c>
      <c r="G8237" t="str">
        <f>"2018-10-16 01:15:59"</f>
        <v>2018-10-16 01:15:59</v>
      </c>
    </row>
    <row r="8238" spans="1:7" x14ac:dyDescent="0.2">
      <c r="A8238" t="s">
        <v>1</v>
      </c>
      <c r="B8238" t="str">
        <f>"18650020438"</f>
        <v>18650020438</v>
      </c>
      <c r="C8238" t="s">
        <v>1</v>
      </c>
      <c r="D8238" t="s">
        <v>1</v>
      </c>
      <c r="E8238" t="s">
        <v>1</v>
      </c>
      <c r="F8238" t="s">
        <v>0</v>
      </c>
      <c r="G8238" t="str">
        <f>"2018-10-16 01:02:23"</f>
        <v>2018-10-16 01:02:23</v>
      </c>
    </row>
    <row r="8239" spans="1:7" x14ac:dyDescent="0.2">
      <c r="A8239" t="s">
        <v>1</v>
      </c>
      <c r="B8239" t="str">
        <f>"15609736118"</f>
        <v>15609736118</v>
      </c>
      <c r="C8239" t="s">
        <v>1</v>
      </c>
      <c r="D8239" t="s">
        <v>1</v>
      </c>
      <c r="E8239" t="s">
        <v>1</v>
      </c>
      <c r="F8239" t="s">
        <v>0</v>
      </c>
      <c r="G8239" t="str">
        <f>"2018-10-16 01:00:57"</f>
        <v>2018-10-16 01:00:57</v>
      </c>
    </row>
    <row r="8240" spans="1:7" x14ac:dyDescent="0.2">
      <c r="A8240" t="s">
        <v>8961</v>
      </c>
      <c r="B8240" t="str">
        <f>"13201770223"</f>
        <v>13201770223</v>
      </c>
      <c r="C8240" t="str">
        <f>"610104199306022647"</f>
        <v>610104199306022647</v>
      </c>
      <c r="D8240" t="s">
        <v>1</v>
      </c>
      <c r="E8240" t="s">
        <v>1</v>
      </c>
      <c r="F8240" t="s">
        <v>0</v>
      </c>
      <c r="G8240" t="str">
        <f>"2018-10-16 01:27:49"</f>
        <v>2018-10-16 01:27:49</v>
      </c>
    </row>
    <row r="8241" spans="1:7" x14ac:dyDescent="0.2">
      <c r="A8241" t="s">
        <v>1</v>
      </c>
      <c r="B8241" t="str">
        <f>"15001444190"</f>
        <v>15001444190</v>
      </c>
      <c r="C8241" t="s">
        <v>1</v>
      </c>
      <c r="D8241" t="s">
        <v>1</v>
      </c>
      <c r="E8241" t="s">
        <v>1</v>
      </c>
      <c r="F8241" t="s">
        <v>0</v>
      </c>
      <c r="G8241" t="str">
        <f>"2018-10-16 01:10:04"</f>
        <v>2018-10-16 01:10:04</v>
      </c>
    </row>
    <row r="8242" spans="1:7" x14ac:dyDescent="0.2">
      <c r="A8242" t="s">
        <v>8962</v>
      </c>
      <c r="B8242" t="str">
        <f>"15760457581"</f>
        <v>15760457581</v>
      </c>
      <c r="C8242" t="str">
        <f>"511521199710111399"</f>
        <v>511521199710111399</v>
      </c>
      <c r="D8242" t="s">
        <v>1</v>
      </c>
      <c r="E8242" t="s">
        <v>1</v>
      </c>
      <c r="F8242" t="s">
        <v>0</v>
      </c>
      <c r="G8242" t="str">
        <f>"2018-10-16 00:55:24"</f>
        <v>2018-10-16 00:55:24</v>
      </c>
    </row>
    <row r="8243" spans="1:7" x14ac:dyDescent="0.2">
      <c r="A8243" t="s">
        <v>8963</v>
      </c>
      <c r="B8243" t="str">
        <f>"17749657757"</f>
        <v>17749657757</v>
      </c>
      <c r="C8243" t="str">
        <f>"430481198501080317"</f>
        <v>430481198501080317</v>
      </c>
      <c r="D8243" t="s">
        <v>1</v>
      </c>
      <c r="E8243" t="s">
        <v>1</v>
      </c>
      <c r="F8243" t="s">
        <v>0</v>
      </c>
      <c r="G8243" t="str">
        <f>"2018-10-16 00:48:23"</f>
        <v>2018-10-16 00:48:23</v>
      </c>
    </row>
    <row r="8244" spans="1:7" x14ac:dyDescent="0.2">
      <c r="A8244" t="s">
        <v>8964</v>
      </c>
      <c r="B8244" t="str">
        <f>"13545517725"</f>
        <v>13545517725</v>
      </c>
      <c r="C8244" t="str">
        <f>"420281199910262818"</f>
        <v>420281199910262818</v>
      </c>
      <c r="D8244" t="s">
        <v>1</v>
      </c>
      <c r="E8244" t="s">
        <v>1</v>
      </c>
      <c r="F8244" t="s">
        <v>0</v>
      </c>
      <c r="G8244" t="str">
        <f>"2018-10-16 00:32:14"</f>
        <v>2018-10-16 00:32:14</v>
      </c>
    </row>
    <row r="8245" spans="1:7" x14ac:dyDescent="0.2">
      <c r="A8245" t="s">
        <v>8965</v>
      </c>
      <c r="B8245" t="str">
        <f>"18377803233"</f>
        <v>18377803233</v>
      </c>
      <c r="C8245" t="str">
        <f>"452729199709070864"</f>
        <v>452729199709070864</v>
      </c>
      <c r="D8245" t="s">
        <v>1</v>
      </c>
      <c r="E8245" t="s">
        <v>1</v>
      </c>
      <c r="F8245" t="s">
        <v>0</v>
      </c>
      <c r="G8245" t="str">
        <f>"2018-10-20 17:54:20"</f>
        <v>2018-10-20 17:54:20</v>
      </c>
    </row>
    <row r="8246" spans="1:7" x14ac:dyDescent="0.2">
      <c r="A8246" t="s">
        <v>26</v>
      </c>
      <c r="B8246" t="str">
        <f>"13871252840"</f>
        <v>13871252840</v>
      </c>
      <c r="C8246" t="str">
        <f>"421121198106102818"</f>
        <v>421121198106102818</v>
      </c>
      <c r="D8246" t="s">
        <v>1</v>
      </c>
      <c r="E8246" t="s">
        <v>1</v>
      </c>
      <c r="F8246" t="s">
        <v>0</v>
      </c>
      <c r="G8246" t="str">
        <f>"2018-10-27 09:10:05"</f>
        <v>2018-10-27 09:10:05</v>
      </c>
    </row>
    <row r="8247" spans="1:7" x14ac:dyDescent="0.2">
      <c r="A8247" t="s">
        <v>991</v>
      </c>
      <c r="B8247" t="str">
        <f>"13906934243"</f>
        <v>13906934243</v>
      </c>
      <c r="C8247" t="str">
        <f>"500228199607098953"</f>
        <v>500228199607098953</v>
      </c>
      <c r="D8247" t="s">
        <v>1</v>
      </c>
      <c r="E8247" t="s">
        <v>1</v>
      </c>
      <c r="F8247" t="s">
        <v>0</v>
      </c>
      <c r="G8247" t="str">
        <f>"2018-10-16 00:30:05"</f>
        <v>2018-10-16 00:30:05</v>
      </c>
    </row>
    <row r="8248" spans="1:7" x14ac:dyDescent="0.2">
      <c r="A8248" t="s">
        <v>8966</v>
      </c>
      <c r="B8248" t="str">
        <f>"18082778061"</f>
        <v>18082778061</v>
      </c>
      <c r="C8248" t="str">
        <f>"530822199904062711"</f>
        <v>530822199904062711</v>
      </c>
      <c r="D8248" t="s">
        <v>8967</v>
      </c>
      <c r="E8248" t="s">
        <v>8968</v>
      </c>
      <c r="F8248" t="s">
        <v>0</v>
      </c>
      <c r="G8248" t="str">
        <f>"2018-10-16 00:23:07"</f>
        <v>2018-10-16 00:23:07</v>
      </c>
    </row>
    <row r="8249" spans="1:7" x14ac:dyDescent="0.2">
      <c r="A8249" t="s">
        <v>994</v>
      </c>
      <c r="B8249" t="str">
        <f>"15279526476"</f>
        <v>15279526476</v>
      </c>
      <c r="C8249" t="str">
        <f>"36222719910608291X"</f>
        <v>36222719910608291X</v>
      </c>
      <c r="D8249" t="s">
        <v>1</v>
      </c>
      <c r="E8249" t="s">
        <v>1</v>
      </c>
      <c r="F8249" t="s">
        <v>0</v>
      </c>
      <c r="G8249" t="str">
        <f>"2018-10-16 00:23:44"</f>
        <v>2018-10-16 00:23:44</v>
      </c>
    </row>
    <row r="8250" spans="1:7" x14ac:dyDescent="0.2">
      <c r="A8250" t="s">
        <v>8969</v>
      </c>
      <c r="B8250" t="str">
        <f>"15903031863"</f>
        <v>15903031863</v>
      </c>
      <c r="C8250" t="str">
        <f>"410622198304182012"</f>
        <v>410622198304182012</v>
      </c>
      <c r="D8250" t="s">
        <v>1</v>
      </c>
      <c r="E8250" t="s">
        <v>1</v>
      </c>
      <c r="F8250" t="s">
        <v>0</v>
      </c>
      <c r="G8250" t="str">
        <f>"2018-10-16 00:18:05"</f>
        <v>2018-10-16 00:18:05</v>
      </c>
    </row>
    <row r="8251" spans="1:7" x14ac:dyDescent="0.2">
      <c r="A8251" t="s">
        <v>8970</v>
      </c>
      <c r="B8251" t="str">
        <f>"15572577172"</f>
        <v>15572577172</v>
      </c>
      <c r="C8251" t="str">
        <f>"500237199407241571"</f>
        <v>500237199407241571</v>
      </c>
      <c r="D8251" t="s">
        <v>8971</v>
      </c>
      <c r="E8251" t="s">
        <v>8972</v>
      </c>
      <c r="F8251" t="s">
        <v>0</v>
      </c>
      <c r="G8251" t="str">
        <f>"2018-10-16 00:18:37"</f>
        <v>2018-10-16 00:18:37</v>
      </c>
    </row>
    <row r="8252" spans="1:7" x14ac:dyDescent="0.2">
      <c r="A8252" t="s">
        <v>8973</v>
      </c>
      <c r="B8252" t="str">
        <f>"13736314143"</f>
        <v>13736314143</v>
      </c>
      <c r="C8252" t="str">
        <f>"360424199912154340"</f>
        <v>360424199912154340</v>
      </c>
      <c r="D8252" t="s">
        <v>1</v>
      </c>
      <c r="E8252" t="s">
        <v>1</v>
      </c>
      <c r="F8252" t="s">
        <v>0</v>
      </c>
      <c r="G8252" t="str">
        <f>"2018-10-16 00:08:14"</f>
        <v>2018-10-16 00:08:14</v>
      </c>
    </row>
    <row r="8253" spans="1:7" x14ac:dyDescent="0.2">
      <c r="A8253" t="s">
        <v>8974</v>
      </c>
      <c r="B8253" t="str">
        <f>"13712070312"</f>
        <v>13712070312</v>
      </c>
      <c r="C8253" t="str">
        <f>"441900197804124118"</f>
        <v>441900197804124118</v>
      </c>
      <c r="D8253" t="s">
        <v>1</v>
      </c>
      <c r="E8253" t="s">
        <v>1</v>
      </c>
      <c r="F8253" t="s">
        <v>0</v>
      </c>
      <c r="G8253" t="str">
        <f>"2018-10-16 00:12:25"</f>
        <v>2018-10-16 00:12:25</v>
      </c>
    </row>
    <row r="8254" spans="1:7" x14ac:dyDescent="0.2">
      <c r="A8254" t="s">
        <v>1275</v>
      </c>
      <c r="B8254" t="str">
        <f>"15013675361"</f>
        <v>15013675361</v>
      </c>
      <c r="C8254" t="str">
        <f>"513002199205095442"</f>
        <v>513002199205095442</v>
      </c>
      <c r="D8254" t="s">
        <v>1</v>
      </c>
      <c r="E8254" t="s">
        <v>1</v>
      </c>
      <c r="F8254" t="s">
        <v>0</v>
      </c>
      <c r="G8254" t="str">
        <f>"2018-10-16 00:02:58"</f>
        <v>2018-10-16 00:02:58</v>
      </c>
    </row>
    <row r="8255" spans="1:7" x14ac:dyDescent="0.2">
      <c r="A8255" t="s">
        <v>1661</v>
      </c>
      <c r="B8255" t="str">
        <f>"18580197210"</f>
        <v>18580197210</v>
      </c>
      <c r="C8255" t="str">
        <f>"500383199407018453"</f>
        <v>500383199407018453</v>
      </c>
      <c r="D8255" t="s">
        <v>1</v>
      </c>
      <c r="E8255" t="s">
        <v>1</v>
      </c>
      <c r="F8255" t="s">
        <v>0</v>
      </c>
      <c r="G8255" t="str">
        <f>"2018-10-16 00:03:05"</f>
        <v>2018-10-16 00:03:05</v>
      </c>
    </row>
    <row r="8256" spans="1:7" x14ac:dyDescent="0.2">
      <c r="A8256" t="s">
        <v>1</v>
      </c>
      <c r="B8256" t="str">
        <f>"13559209623"</f>
        <v>13559209623</v>
      </c>
      <c r="C8256" t="s">
        <v>1</v>
      </c>
      <c r="D8256" t="s">
        <v>1</v>
      </c>
      <c r="E8256" t="s">
        <v>1</v>
      </c>
      <c r="F8256" t="s">
        <v>0</v>
      </c>
      <c r="G8256" t="str">
        <f>"2018-10-16 00:00:22"</f>
        <v>2018-10-16 00:00:22</v>
      </c>
    </row>
    <row r="8257" spans="1:7" x14ac:dyDescent="0.2">
      <c r="A8257" t="s">
        <v>8975</v>
      </c>
      <c r="B8257" t="str">
        <f>"15602695660"</f>
        <v>15602695660</v>
      </c>
      <c r="C8257" t="str">
        <f>"452726199405170015"</f>
        <v>452726199405170015</v>
      </c>
      <c r="D8257" t="s">
        <v>1</v>
      </c>
      <c r="E8257" t="s">
        <v>1</v>
      </c>
      <c r="F8257" t="s">
        <v>0</v>
      </c>
      <c r="G8257" t="str">
        <f>"2018-10-15 23:59:10"</f>
        <v>2018-10-15 23:59:10</v>
      </c>
    </row>
    <row r="8258" spans="1:7" x14ac:dyDescent="0.2">
      <c r="A8258" t="s">
        <v>908</v>
      </c>
      <c r="B8258" t="str">
        <f>"13811483588"</f>
        <v>13811483588</v>
      </c>
      <c r="C8258" t="str">
        <f>"230307198507104029"</f>
        <v>230307198507104029</v>
      </c>
      <c r="D8258" t="s">
        <v>1</v>
      </c>
      <c r="E8258" t="s">
        <v>1</v>
      </c>
      <c r="F8258" t="s">
        <v>0</v>
      </c>
      <c r="G8258" t="str">
        <f>"2018-10-16 00:10:49"</f>
        <v>2018-10-16 00:10:49</v>
      </c>
    </row>
    <row r="8259" spans="1:7" x14ac:dyDescent="0.2">
      <c r="A8259" t="s">
        <v>1</v>
      </c>
      <c r="B8259" t="str">
        <f>"13221778475"</f>
        <v>13221778475</v>
      </c>
      <c r="C8259" t="s">
        <v>1</v>
      </c>
      <c r="D8259" t="s">
        <v>1</v>
      </c>
      <c r="E8259" t="s">
        <v>1</v>
      </c>
      <c r="F8259" t="s">
        <v>0</v>
      </c>
      <c r="G8259" t="str">
        <f>"2018-10-15 23:55:19"</f>
        <v>2018-10-15 23:55:19</v>
      </c>
    </row>
    <row r="8260" spans="1:7" x14ac:dyDescent="0.2">
      <c r="A8260" t="s">
        <v>1</v>
      </c>
      <c r="B8260" t="str">
        <f>"18811464967"</f>
        <v>18811464967</v>
      </c>
      <c r="C8260" t="s">
        <v>1</v>
      </c>
      <c r="D8260" t="s">
        <v>1</v>
      </c>
      <c r="E8260" t="s">
        <v>1</v>
      </c>
      <c r="F8260" t="s">
        <v>0</v>
      </c>
      <c r="G8260" t="str">
        <f>"2018-10-15 23:54:48"</f>
        <v>2018-10-15 23:54:48</v>
      </c>
    </row>
    <row r="8261" spans="1:7" x14ac:dyDescent="0.2">
      <c r="A8261" t="s">
        <v>1</v>
      </c>
      <c r="B8261" t="str">
        <f>"15676471384"</f>
        <v>15676471384</v>
      </c>
      <c r="C8261" t="s">
        <v>1</v>
      </c>
      <c r="D8261" t="s">
        <v>1</v>
      </c>
      <c r="E8261" t="s">
        <v>1</v>
      </c>
      <c r="F8261" t="s">
        <v>0</v>
      </c>
      <c r="G8261" t="str">
        <f>"2018-10-15 23:49:33"</f>
        <v>2018-10-15 23:49:33</v>
      </c>
    </row>
    <row r="8262" spans="1:7" x14ac:dyDescent="0.2">
      <c r="A8262" t="s">
        <v>8976</v>
      </c>
      <c r="B8262" t="str">
        <f>"13268077263"</f>
        <v>13268077263</v>
      </c>
      <c r="C8262" t="str">
        <f>"440111197910040350"</f>
        <v>440111197910040350</v>
      </c>
      <c r="D8262" t="s">
        <v>1</v>
      </c>
      <c r="E8262" t="s">
        <v>1</v>
      </c>
      <c r="F8262" t="s">
        <v>0</v>
      </c>
      <c r="G8262" t="str">
        <f>"2018-10-15 23:45:53"</f>
        <v>2018-10-15 23:45:53</v>
      </c>
    </row>
    <row r="8263" spans="1:7" x14ac:dyDescent="0.2">
      <c r="A8263" t="s">
        <v>1</v>
      </c>
      <c r="B8263" t="str">
        <f>"13437290156"</f>
        <v>13437290156</v>
      </c>
      <c r="C8263" t="s">
        <v>1</v>
      </c>
      <c r="D8263" t="s">
        <v>1</v>
      </c>
      <c r="E8263" t="s">
        <v>1</v>
      </c>
      <c r="F8263" t="s">
        <v>0</v>
      </c>
      <c r="G8263" t="str">
        <f>"2018-10-15 23:45:29"</f>
        <v>2018-10-15 23:45:29</v>
      </c>
    </row>
    <row r="8264" spans="1:7" x14ac:dyDescent="0.2">
      <c r="A8264" t="s">
        <v>8977</v>
      </c>
      <c r="B8264" t="str">
        <f>"18290484221"</f>
        <v>18290484221</v>
      </c>
      <c r="C8264" t="str">
        <f>"500110199907301619"</f>
        <v>500110199907301619</v>
      </c>
      <c r="D8264" t="s">
        <v>1</v>
      </c>
      <c r="E8264" t="s">
        <v>1</v>
      </c>
      <c r="F8264" t="s">
        <v>0</v>
      </c>
      <c r="G8264" t="str">
        <f>"2018-10-15 23:47:05"</f>
        <v>2018-10-15 23:47:05</v>
      </c>
    </row>
    <row r="8265" spans="1:7" x14ac:dyDescent="0.2">
      <c r="A8265" t="s">
        <v>8978</v>
      </c>
      <c r="B8265" t="str">
        <f>"15262659180"</f>
        <v>15262659180</v>
      </c>
      <c r="C8265" t="str">
        <f>"320721199607152023"</f>
        <v>320721199607152023</v>
      </c>
      <c r="D8265" t="s">
        <v>321</v>
      </c>
      <c r="E8265" t="s">
        <v>8979</v>
      </c>
      <c r="F8265" t="s">
        <v>0</v>
      </c>
      <c r="G8265" t="str">
        <f>"2018-10-15 23:43:31"</f>
        <v>2018-10-15 23:43:31</v>
      </c>
    </row>
    <row r="8266" spans="1:7" x14ac:dyDescent="0.2">
      <c r="A8266" t="s">
        <v>8980</v>
      </c>
      <c r="B8266" t="str">
        <f>"15083381102"</f>
        <v>15083381102</v>
      </c>
      <c r="C8266" t="str">
        <f>"411323199301132613"</f>
        <v>411323199301132613</v>
      </c>
      <c r="D8266" t="s">
        <v>1</v>
      </c>
      <c r="E8266" t="s">
        <v>1</v>
      </c>
      <c r="F8266" t="s">
        <v>0</v>
      </c>
      <c r="G8266" t="str">
        <f>"2018-10-15 23:42:43"</f>
        <v>2018-10-15 23:42:43</v>
      </c>
    </row>
    <row r="8267" spans="1:7" x14ac:dyDescent="0.2">
      <c r="A8267" t="s">
        <v>1</v>
      </c>
      <c r="B8267" t="str">
        <f>"17128754590"</f>
        <v>17128754590</v>
      </c>
      <c r="C8267" t="s">
        <v>1</v>
      </c>
      <c r="D8267" t="s">
        <v>1</v>
      </c>
      <c r="E8267" t="s">
        <v>1</v>
      </c>
      <c r="F8267" t="s">
        <v>0</v>
      </c>
      <c r="G8267" t="str">
        <f>"2018-10-15 23:39:37"</f>
        <v>2018-10-15 23:39:37</v>
      </c>
    </row>
    <row r="8268" spans="1:7" x14ac:dyDescent="0.2">
      <c r="A8268" t="s">
        <v>8981</v>
      </c>
      <c r="B8268" t="str">
        <f>"13685968483"</f>
        <v>13685968483</v>
      </c>
      <c r="C8268" t="str">
        <f>"350825198110250017"</f>
        <v>350825198110250017</v>
      </c>
      <c r="D8268" t="s">
        <v>1</v>
      </c>
      <c r="E8268" t="s">
        <v>1</v>
      </c>
      <c r="F8268" t="s">
        <v>0</v>
      </c>
      <c r="G8268" t="str">
        <f>"2018-10-15 23:38:35"</f>
        <v>2018-10-15 23:38:35</v>
      </c>
    </row>
    <row r="8269" spans="1:7" x14ac:dyDescent="0.2">
      <c r="A8269" t="s">
        <v>782</v>
      </c>
      <c r="B8269" t="str">
        <f>"18819107715"</f>
        <v>18819107715</v>
      </c>
      <c r="C8269" t="str">
        <f>"450921199212291635"</f>
        <v>450921199212291635</v>
      </c>
      <c r="D8269" t="s">
        <v>1</v>
      </c>
      <c r="E8269" t="s">
        <v>1</v>
      </c>
      <c r="F8269" t="s">
        <v>0</v>
      </c>
      <c r="G8269" t="str">
        <f>"2018-10-15 23:50:59"</f>
        <v>2018-10-15 23:50:59</v>
      </c>
    </row>
    <row r="8270" spans="1:7" x14ac:dyDescent="0.2">
      <c r="A8270" t="s">
        <v>8982</v>
      </c>
      <c r="B8270" t="str">
        <f>"15656176071"</f>
        <v>15656176071</v>
      </c>
      <c r="C8270" t="str">
        <f>"340602196910141613"</f>
        <v>340602196910141613</v>
      </c>
      <c r="D8270" t="s">
        <v>1</v>
      </c>
      <c r="E8270" t="s">
        <v>1</v>
      </c>
      <c r="F8270" t="s">
        <v>0</v>
      </c>
      <c r="G8270" t="str">
        <f>"2018-10-15 23:41:11"</f>
        <v>2018-10-15 23:41:11</v>
      </c>
    </row>
    <row r="8271" spans="1:7" x14ac:dyDescent="0.2">
      <c r="A8271" t="s">
        <v>1</v>
      </c>
      <c r="B8271" t="str">
        <f>"13066444409"</f>
        <v>13066444409</v>
      </c>
      <c r="C8271" t="s">
        <v>1</v>
      </c>
      <c r="D8271" t="s">
        <v>1</v>
      </c>
      <c r="E8271" t="s">
        <v>1</v>
      </c>
      <c r="F8271" t="s">
        <v>0</v>
      </c>
      <c r="G8271" t="str">
        <f>"2018-10-15 23:31:26"</f>
        <v>2018-10-15 23:31:26</v>
      </c>
    </row>
    <row r="8272" spans="1:7" x14ac:dyDescent="0.2">
      <c r="A8272" t="s">
        <v>1</v>
      </c>
      <c r="B8272" t="str">
        <f>"18795605522"</f>
        <v>18795605522</v>
      </c>
      <c r="C8272" t="s">
        <v>1</v>
      </c>
      <c r="D8272" t="s">
        <v>1</v>
      </c>
      <c r="E8272" t="s">
        <v>1</v>
      </c>
      <c r="F8272" t="s">
        <v>0</v>
      </c>
      <c r="G8272" t="str">
        <f>"2018-10-15 23:33:20"</f>
        <v>2018-10-15 23:33:20</v>
      </c>
    </row>
    <row r="8273" spans="1:7" x14ac:dyDescent="0.2">
      <c r="A8273" t="s">
        <v>8983</v>
      </c>
      <c r="B8273" t="str">
        <f>"17776165142"</f>
        <v>17776165142</v>
      </c>
      <c r="C8273" t="str">
        <f>"452625198805263070"</f>
        <v>452625198805263070</v>
      </c>
      <c r="D8273" t="s">
        <v>1</v>
      </c>
      <c r="E8273" t="s">
        <v>1</v>
      </c>
      <c r="F8273" t="s">
        <v>0</v>
      </c>
      <c r="G8273" t="str">
        <f>"2018-10-15 23:29:49"</f>
        <v>2018-10-15 23:29:49</v>
      </c>
    </row>
    <row r="8274" spans="1:7" x14ac:dyDescent="0.2">
      <c r="A8274" t="s">
        <v>8984</v>
      </c>
      <c r="B8274" t="str">
        <f>"15710633625"</f>
        <v>15710633625</v>
      </c>
      <c r="C8274" t="str">
        <f>"350821199611041220"</f>
        <v>350821199611041220</v>
      </c>
      <c r="D8274" t="s">
        <v>1</v>
      </c>
      <c r="E8274" t="s">
        <v>1</v>
      </c>
      <c r="F8274" t="s">
        <v>0</v>
      </c>
      <c r="G8274" t="str">
        <f>"2018-10-16 14:31:16"</f>
        <v>2018-10-16 14:31:16</v>
      </c>
    </row>
    <row r="8275" spans="1:7" x14ac:dyDescent="0.2">
      <c r="A8275" t="s">
        <v>8985</v>
      </c>
      <c r="B8275" t="str">
        <f>"13995836436"</f>
        <v>13995836436</v>
      </c>
      <c r="C8275" t="str">
        <f>"42070419881008580X"</f>
        <v>42070419881008580X</v>
      </c>
      <c r="D8275" t="s">
        <v>1</v>
      </c>
      <c r="E8275" t="s">
        <v>1</v>
      </c>
      <c r="F8275" t="s">
        <v>0</v>
      </c>
      <c r="G8275" t="str">
        <f>"2018-10-15 23:34:01"</f>
        <v>2018-10-15 23:34:01</v>
      </c>
    </row>
    <row r="8276" spans="1:7" x14ac:dyDescent="0.2">
      <c r="A8276" t="s">
        <v>187</v>
      </c>
      <c r="B8276" t="str">
        <f>"15810940763"</f>
        <v>15810940763</v>
      </c>
      <c r="C8276" t="str">
        <f>"130633198906223215"</f>
        <v>130633198906223215</v>
      </c>
      <c r="D8276" t="s">
        <v>1</v>
      </c>
      <c r="E8276" t="s">
        <v>1</v>
      </c>
      <c r="F8276" t="s">
        <v>0</v>
      </c>
      <c r="G8276" t="str">
        <f>"2018-10-15 23:24:52"</f>
        <v>2018-10-15 23:24:52</v>
      </c>
    </row>
    <row r="8277" spans="1:7" x14ac:dyDescent="0.2">
      <c r="A8277" t="s">
        <v>1</v>
      </c>
      <c r="B8277" t="str">
        <f>"15916189564"</f>
        <v>15916189564</v>
      </c>
      <c r="C8277" t="s">
        <v>1</v>
      </c>
      <c r="D8277" t="s">
        <v>1</v>
      </c>
      <c r="E8277" t="s">
        <v>1</v>
      </c>
      <c r="F8277" t="s">
        <v>0</v>
      </c>
      <c r="G8277" t="str">
        <f>"2018-10-15 23:26:46"</f>
        <v>2018-10-15 23:26:46</v>
      </c>
    </row>
    <row r="8278" spans="1:7" x14ac:dyDescent="0.2">
      <c r="A8278" t="s">
        <v>1</v>
      </c>
      <c r="B8278" t="str">
        <f>"18559918104"</f>
        <v>18559918104</v>
      </c>
      <c r="C8278" t="s">
        <v>1</v>
      </c>
      <c r="D8278" t="s">
        <v>1</v>
      </c>
      <c r="E8278" t="s">
        <v>1</v>
      </c>
      <c r="F8278" t="s">
        <v>0</v>
      </c>
      <c r="G8278" t="str">
        <f>"2018-10-16 11:00:58"</f>
        <v>2018-10-16 11:00:58</v>
      </c>
    </row>
    <row r="8279" spans="1:7" x14ac:dyDescent="0.2">
      <c r="A8279" t="s">
        <v>1</v>
      </c>
      <c r="B8279" t="str">
        <f>"13403008454"</f>
        <v>13403008454</v>
      </c>
      <c r="C8279" t="s">
        <v>1</v>
      </c>
      <c r="D8279" t="s">
        <v>1</v>
      </c>
      <c r="E8279" t="s">
        <v>1</v>
      </c>
      <c r="F8279" t="s">
        <v>0</v>
      </c>
      <c r="G8279" t="str">
        <f>"2018-10-15 23:21:31"</f>
        <v>2018-10-15 23:21:31</v>
      </c>
    </row>
    <row r="8280" spans="1:7" x14ac:dyDescent="0.2">
      <c r="A8280" t="s">
        <v>8986</v>
      </c>
      <c r="B8280" t="str">
        <f>"17742474602"</f>
        <v>17742474602</v>
      </c>
      <c r="C8280" t="str">
        <f>"612422199910227818"</f>
        <v>612422199910227818</v>
      </c>
      <c r="D8280" t="s">
        <v>1</v>
      </c>
      <c r="E8280" t="s">
        <v>1</v>
      </c>
      <c r="F8280" t="s">
        <v>0</v>
      </c>
      <c r="G8280" t="str">
        <f>"2018-10-19 22:55:36"</f>
        <v>2018-10-19 22:55:36</v>
      </c>
    </row>
    <row r="8281" spans="1:7" x14ac:dyDescent="0.2">
      <c r="A8281" t="s">
        <v>1</v>
      </c>
      <c r="B8281" t="str">
        <f>"15975027207"</f>
        <v>15975027207</v>
      </c>
      <c r="C8281" t="s">
        <v>1</v>
      </c>
      <c r="D8281" t="s">
        <v>1</v>
      </c>
      <c r="E8281" t="s">
        <v>1</v>
      </c>
      <c r="F8281" t="s">
        <v>0</v>
      </c>
      <c r="G8281" t="str">
        <f>"2018-10-15 23:20:35"</f>
        <v>2018-10-15 23:20:35</v>
      </c>
    </row>
    <row r="8282" spans="1:7" x14ac:dyDescent="0.2">
      <c r="A8282" t="s">
        <v>8987</v>
      </c>
      <c r="B8282" t="str">
        <f>"18212487561"</f>
        <v>18212487561</v>
      </c>
      <c r="C8282" t="str">
        <f>"522226199904050051"</f>
        <v>522226199904050051</v>
      </c>
      <c r="D8282" t="s">
        <v>1</v>
      </c>
      <c r="E8282" t="s">
        <v>1</v>
      </c>
      <c r="F8282" t="s">
        <v>0</v>
      </c>
      <c r="G8282" t="str">
        <f>"2018-10-18 17:49:24"</f>
        <v>2018-10-18 17:49:24</v>
      </c>
    </row>
    <row r="8283" spans="1:7" x14ac:dyDescent="0.2">
      <c r="A8283" t="s">
        <v>8988</v>
      </c>
      <c r="B8283" t="str">
        <f>"13109400340"</f>
        <v>13109400340</v>
      </c>
      <c r="C8283" t="str">
        <f>"62011119970104303X"</f>
        <v>62011119970104303X</v>
      </c>
      <c r="D8283" t="s">
        <v>1</v>
      </c>
      <c r="E8283" t="s">
        <v>1</v>
      </c>
      <c r="F8283" t="s">
        <v>0</v>
      </c>
      <c r="G8283" t="str">
        <f>"2018-10-15 23:10:57"</f>
        <v>2018-10-15 23:10:57</v>
      </c>
    </row>
    <row r="8284" spans="1:7" x14ac:dyDescent="0.2">
      <c r="A8284" t="s">
        <v>8989</v>
      </c>
      <c r="B8284" t="str">
        <f>"13769597936"</f>
        <v>13769597936</v>
      </c>
      <c r="C8284" t="str">
        <f>"530322199301031978"</f>
        <v>530322199301031978</v>
      </c>
      <c r="D8284" t="s">
        <v>8990</v>
      </c>
      <c r="E8284" t="s">
        <v>8991</v>
      </c>
      <c r="F8284" t="s">
        <v>0</v>
      </c>
      <c r="G8284" t="str">
        <f>"2018-10-15 23:52:45"</f>
        <v>2018-10-15 23:52:45</v>
      </c>
    </row>
    <row r="8285" spans="1:7" x14ac:dyDescent="0.2">
      <c r="A8285" t="s">
        <v>8992</v>
      </c>
      <c r="B8285" t="str">
        <f>"13968858695"</f>
        <v>13968858695</v>
      </c>
      <c r="C8285" t="str">
        <f>"330302198302265250"</f>
        <v>330302198302265250</v>
      </c>
      <c r="D8285" t="s">
        <v>1</v>
      </c>
      <c r="E8285" t="s">
        <v>1</v>
      </c>
      <c r="F8285" t="s">
        <v>0</v>
      </c>
      <c r="G8285" t="str">
        <f>"2018-10-15 23:39:08"</f>
        <v>2018-10-15 23:39:08</v>
      </c>
    </row>
    <row r="8286" spans="1:7" x14ac:dyDescent="0.2">
      <c r="A8286" t="s">
        <v>8993</v>
      </c>
      <c r="B8286" t="str">
        <f>"15523897604"</f>
        <v>15523897604</v>
      </c>
      <c r="C8286" t="str">
        <f>"500235198608010051"</f>
        <v>500235198608010051</v>
      </c>
      <c r="D8286" t="s">
        <v>1</v>
      </c>
      <c r="E8286" t="s">
        <v>1</v>
      </c>
      <c r="F8286" t="s">
        <v>0</v>
      </c>
      <c r="G8286" t="str">
        <f>"2018-10-15 23:16:07"</f>
        <v>2018-10-15 23:16:07</v>
      </c>
    </row>
    <row r="8287" spans="1:7" x14ac:dyDescent="0.2">
      <c r="A8287" t="s">
        <v>8994</v>
      </c>
      <c r="B8287" t="str">
        <f>"18823237984"</f>
        <v>18823237984</v>
      </c>
      <c r="C8287" t="str">
        <f>"421121198909226320"</f>
        <v>421121198909226320</v>
      </c>
      <c r="D8287" t="s">
        <v>1</v>
      </c>
      <c r="E8287" t="s">
        <v>1</v>
      </c>
      <c r="F8287" t="s">
        <v>0</v>
      </c>
      <c r="G8287" t="str">
        <f>"2018-10-16 12:51:24"</f>
        <v>2018-10-16 12:51:24</v>
      </c>
    </row>
    <row r="8288" spans="1:7" x14ac:dyDescent="0.2">
      <c r="A8288" t="s">
        <v>8995</v>
      </c>
      <c r="B8288" t="str">
        <f>"18920392902"</f>
        <v>18920392902</v>
      </c>
      <c r="C8288" t="str">
        <f>"120225199211250293"</f>
        <v>120225199211250293</v>
      </c>
      <c r="D8288" t="s">
        <v>1</v>
      </c>
      <c r="E8288" t="s">
        <v>1</v>
      </c>
      <c r="F8288" t="s">
        <v>0</v>
      </c>
      <c r="G8288" t="str">
        <f>"2018-10-30 21:07:52"</f>
        <v>2018-10-30 21:07:52</v>
      </c>
    </row>
    <row r="8289" spans="1:7" x14ac:dyDescent="0.2">
      <c r="A8289" t="s">
        <v>8996</v>
      </c>
      <c r="B8289" t="str">
        <f>"13601135321"</f>
        <v>13601135321</v>
      </c>
      <c r="C8289" t="str">
        <f>"142725198001282818"</f>
        <v>142725198001282818</v>
      </c>
      <c r="D8289" t="s">
        <v>8997</v>
      </c>
      <c r="E8289" t="s">
        <v>8998</v>
      </c>
      <c r="F8289" t="s">
        <v>0</v>
      </c>
      <c r="G8289" t="str">
        <f>"2018-10-15 22:55:33"</f>
        <v>2018-10-15 22:55:33</v>
      </c>
    </row>
    <row r="8290" spans="1:7" x14ac:dyDescent="0.2">
      <c r="A8290" t="s">
        <v>8999</v>
      </c>
      <c r="B8290" t="str">
        <f>"15854215903"</f>
        <v>15854215903</v>
      </c>
      <c r="C8290" t="str">
        <f>"370283198107281212"</f>
        <v>370283198107281212</v>
      </c>
      <c r="D8290" t="s">
        <v>9000</v>
      </c>
      <c r="E8290" t="s">
        <v>9001</v>
      </c>
      <c r="F8290" t="s">
        <v>0</v>
      </c>
      <c r="G8290" t="str">
        <f>"2018-10-15 22:54:53"</f>
        <v>2018-10-15 22:54:53</v>
      </c>
    </row>
    <row r="8291" spans="1:7" x14ac:dyDescent="0.2">
      <c r="A8291" t="s">
        <v>9002</v>
      </c>
      <c r="B8291" t="str">
        <f>"15246003630"</f>
        <v>15246003630</v>
      </c>
      <c r="C8291" t="str">
        <f>"230622198303101133"</f>
        <v>230622198303101133</v>
      </c>
      <c r="D8291" t="s">
        <v>1</v>
      </c>
      <c r="E8291" t="s">
        <v>1</v>
      </c>
      <c r="F8291" t="s">
        <v>0</v>
      </c>
      <c r="G8291" t="str">
        <f>"2018-10-15 22:51:57"</f>
        <v>2018-10-15 22:51:57</v>
      </c>
    </row>
    <row r="8292" spans="1:7" x14ac:dyDescent="0.2">
      <c r="A8292" t="s">
        <v>1</v>
      </c>
      <c r="B8292" t="str">
        <f>"13008923544"</f>
        <v>13008923544</v>
      </c>
      <c r="C8292" t="s">
        <v>1</v>
      </c>
      <c r="D8292" t="s">
        <v>1</v>
      </c>
      <c r="E8292" t="s">
        <v>1</v>
      </c>
      <c r="F8292" t="s">
        <v>0</v>
      </c>
      <c r="G8292" t="str">
        <f>"2018-10-15 22:49:21"</f>
        <v>2018-10-15 22:49:21</v>
      </c>
    </row>
    <row r="8293" spans="1:7" x14ac:dyDescent="0.2">
      <c r="A8293" t="s">
        <v>1</v>
      </c>
      <c r="B8293" t="str">
        <f>"15871727662"</f>
        <v>15871727662</v>
      </c>
      <c r="C8293" t="s">
        <v>1</v>
      </c>
      <c r="D8293" t="s">
        <v>1</v>
      </c>
      <c r="E8293" t="s">
        <v>1</v>
      </c>
      <c r="F8293" t="s">
        <v>0</v>
      </c>
      <c r="G8293" t="str">
        <f>"2018-10-15 22:49:08"</f>
        <v>2018-10-15 22:49:08</v>
      </c>
    </row>
    <row r="8294" spans="1:7" x14ac:dyDescent="0.2">
      <c r="A8294" t="s">
        <v>1</v>
      </c>
      <c r="B8294" t="str">
        <f>"13004767459"</f>
        <v>13004767459</v>
      </c>
      <c r="C8294" t="s">
        <v>1</v>
      </c>
      <c r="D8294" t="s">
        <v>1</v>
      </c>
      <c r="E8294" t="s">
        <v>1</v>
      </c>
      <c r="F8294" t="s">
        <v>0</v>
      </c>
      <c r="G8294" t="str">
        <f>"2018-10-15 22:46:43"</f>
        <v>2018-10-15 22:46:43</v>
      </c>
    </row>
    <row r="8295" spans="1:7" x14ac:dyDescent="0.2">
      <c r="A8295" t="s">
        <v>9003</v>
      </c>
      <c r="B8295" t="str">
        <f>"15219755602"</f>
        <v>15219755602</v>
      </c>
      <c r="C8295" t="str">
        <f>"440981199401125673"</f>
        <v>440981199401125673</v>
      </c>
      <c r="D8295" t="s">
        <v>9004</v>
      </c>
      <c r="E8295" t="s">
        <v>9005</v>
      </c>
      <c r="F8295" t="s">
        <v>0</v>
      </c>
      <c r="G8295" t="str">
        <f>"2018-10-16 13:55:48"</f>
        <v>2018-10-16 13:55:48</v>
      </c>
    </row>
    <row r="8296" spans="1:7" x14ac:dyDescent="0.2">
      <c r="A8296" t="s">
        <v>9006</v>
      </c>
      <c r="B8296" t="str">
        <f>"15224557779"</f>
        <v>15224557779</v>
      </c>
      <c r="C8296" t="str">
        <f>"450512199109040098"</f>
        <v>450512199109040098</v>
      </c>
      <c r="D8296" t="s">
        <v>1</v>
      </c>
      <c r="E8296" t="s">
        <v>1</v>
      </c>
      <c r="F8296" t="s">
        <v>0</v>
      </c>
      <c r="G8296" t="str">
        <f>"2018-10-15 22:48:00"</f>
        <v>2018-10-15 22:48:00</v>
      </c>
    </row>
    <row r="8297" spans="1:7" x14ac:dyDescent="0.2">
      <c r="A8297" t="s">
        <v>9007</v>
      </c>
      <c r="B8297" t="str">
        <f>"13834394890"</f>
        <v>13834394890</v>
      </c>
      <c r="C8297" t="str">
        <f>"142724197705040015"</f>
        <v>142724197705040015</v>
      </c>
      <c r="D8297" t="s">
        <v>1</v>
      </c>
      <c r="E8297" t="s">
        <v>1</v>
      </c>
      <c r="F8297" t="s">
        <v>0</v>
      </c>
      <c r="G8297" t="str">
        <f>"2018-10-15 22:45:25"</f>
        <v>2018-10-15 22:45:25</v>
      </c>
    </row>
    <row r="8298" spans="1:7" x14ac:dyDescent="0.2">
      <c r="A8298" t="s">
        <v>1</v>
      </c>
      <c r="B8298" t="str">
        <f>"13627904209"</f>
        <v>13627904209</v>
      </c>
      <c r="C8298" t="s">
        <v>1</v>
      </c>
      <c r="D8298" t="s">
        <v>1</v>
      </c>
      <c r="E8298" t="s">
        <v>1</v>
      </c>
      <c r="F8298" t="s">
        <v>0</v>
      </c>
      <c r="G8298" t="str">
        <f>"2018-10-15 22:43:14"</f>
        <v>2018-10-15 22:43:14</v>
      </c>
    </row>
    <row r="8299" spans="1:7" x14ac:dyDescent="0.2">
      <c r="A8299" t="s">
        <v>9008</v>
      </c>
      <c r="B8299" t="str">
        <f>"18935225985"</f>
        <v>18935225985</v>
      </c>
      <c r="C8299" t="str">
        <f>"152601198910130630"</f>
        <v>152601198910130630</v>
      </c>
      <c r="D8299" t="s">
        <v>1</v>
      </c>
      <c r="E8299" t="s">
        <v>1</v>
      </c>
      <c r="F8299" t="s">
        <v>0</v>
      </c>
      <c r="G8299" t="str">
        <f>"2018-10-15 22:43:09"</f>
        <v>2018-10-15 22:43:09</v>
      </c>
    </row>
    <row r="8300" spans="1:7" x14ac:dyDescent="0.2">
      <c r="A8300" t="s">
        <v>9009</v>
      </c>
      <c r="B8300" t="str">
        <f>"15944845753"</f>
        <v>15944845753</v>
      </c>
      <c r="C8300" t="str">
        <f>"220724199611125023"</f>
        <v>220724199611125023</v>
      </c>
      <c r="D8300" t="s">
        <v>1</v>
      </c>
      <c r="E8300" t="s">
        <v>1</v>
      </c>
      <c r="F8300" t="s">
        <v>0</v>
      </c>
      <c r="G8300" t="str">
        <f>"2018-10-29 11:59:05"</f>
        <v>2018-10-29 11:59:05</v>
      </c>
    </row>
    <row r="8301" spans="1:7" x14ac:dyDescent="0.2">
      <c r="A8301" t="s">
        <v>9010</v>
      </c>
      <c r="B8301" t="str">
        <f>"18786411419"</f>
        <v>18786411419</v>
      </c>
      <c r="C8301" t="str">
        <f>"52263319940908003X"</f>
        <v>52263319940908003X</v>
      </c>
      <c r="D8301" t="s">
        <v>1</v>
      </c>
      <c r="E8301" t="s">
        <v>1</v>
      </c>
      <c r="F8301" t="s">
        <v>0</v>
      </c>
      <c r="G8301" t="str">
        <f>"2018-10-15 22:47:25"</f>
        <v>2018-10-15 22:47:25</v>
      </c>
    </row>
    <row r="8302" spans="1:7" x14ac:dyDescent="0.2">
      <c r="A8302" t="s">
        <v>9011</v>
      </c>
      <c r="B8302" t="str">
        <f>"17808321163"</f>
        <v>17808321163</v>
      </c>
      <c r="C8302" t="str">
        <f>"513322199202130021"</f>
        <v>513322199202130021</v>
      </c>
      <c r="D8302" t="s">
        <v>1</v>
      </c>
      <c r="E8302" t="s">
        <v>1</v>
      </c>
      <c r="F8302" t="s">
        <v>0</v>
      </c>
      <c r="G8302" t="str">
        <f>"2018-10-15 22:41:53"</f>
        <v>2018-10-15 22:41:53</v>
      </c>
    </row>
    <row r="8303" spans="1:7" x14ac:dyDescent="0.2">
      <c r="A8303" t="s">
        <v>1</v>
      </c>
      <c r="B8303" t="str">
        <f>"15917680538"</f>
        <v>15917680538</v>
      </c>
      <c r="C8303" t="s">
        <v>1</v>
      </c>
      <c r="D8303" t="s">
        <v>1</v>
      </c>
      <c r="E8303" t="s">
        <v>1</v>
      </c>
      <c r="F8303" t="s">
        <v>0</v>
      </c>
      <c r="G8303" t="str">
        <f>"2018-10-15 22:44:40"</f>
        <v>2018-10-15 22:44:40</v>
      </c>
    </row>
    <row r="8304" spans="1:7" x14ac:dyDescent="0.2">
      <c r="A8304" t="s">
        <v>9012</v>
      </c>
      <c r="B8304" t="str">
        <f>"13850530590"</f>
        <v>13850530590</v>
      </c>
      <c r="C8304" t="str">
        <f>"350603199006271534"</f>
        <v>350603199006271534</v>
      </c>
      <c r="D8304" t="s">
        <v>1</v>
      </c>
      <c r="E8304" t="s">
        <v>1</v>
      </c>
      <c r="F8304" t="s">
        <v>0</v>
      </c>
      <c r="G8304" t="str">
        <f>"2018-10-15 22:38:46"</f>
        <v>2018-10-15 22:38:46</v>
      </c>
    </row>
    <row r="8305" spans="1:7" x14ac:dyDescent="0.2">
      <c r="A8305" t="s">
        <v>9013</v>
      </c>
      <c r="B8305" t="str">
        <f>"13102340555"</f>
        <v>13102340555</v>
      </c>
      <c r="C8305" t="str">
        <f>"522124199703212458"</f>
        <v>522124199703212458</v>
      </c>
      <c r="D8305" t="s">
        <v>1</v>
      </c>
      <c r="E8305" t="s">
        <v>1</v>
      </c>
      <c r="F8305" t="s">
        <v>0</v>
      </c>
      <c r="G8305" t="str">
        <f>"2018-10-15 22:37:14"</f>
        <v>2018-10-15 22:37:14</v>
      </c>
    </row>
    <row r="8306" spans="1:7" x14ac:dyDescent="0.2">
      <c r="A8306" t="s">
        <v>1</v>
      </c>
      <c r="B8306" t="str">
        <f>"18089869762"</f>
        <v>18089869762</v>
      </c>
      <c r="C8306" t="s">
        <v>1</v>
      </c>
      <c r="D8306" t="s">
        <v>1</v>
      </c>
      <c r="E8306" t="s">
        <v>1</v>
      </c>
      <c r="F8306" t="s">
        <v>0</v>
      </c>
      <c r="G8306" t="str">
        <f>"2018-10-15 22:32:03"</f>
        <v>2018-10-15 22:32:03</v>
      </c>
    </row>
    <row r="8307" spans="1:7" x14ac:dyDescent="0.2">
      <c r="A8307" t="s">
        <v>9014</v>
      </c>
      <c r="B8307" t="str">
        <f>"18244468539"</f>
        <v>18244468539</v>
      </c>
      <c r="C8307" t="str">
        <f>"513721199803022734"</f>
        <v>513721199803022734</v>
      </c>
      <c r="D8307" t="s">
        <v>1</v>
      </c>
      <c r="E8307" t="s">
        <v>1</v>
      </c>
      <c r="F8307" t="s">
        <v>0</v>
      </c>
      <c r="G8307" t="str">
        <f>"2018-10-15 22:33:20"</f>
        <v>2018-10-15 22:33:20</v>
      </c>
    </row>
    <row r="8308" spans="1:7" x14ac:dyDescent="0.2">
      <c r="A8308" t="s">
        <v>9015</v>
      </c>
      <c r="B8308" t="str">
        <f>"15528957160"</f>
        <v>15528957160</v>
      </c>
      <c r="C8308" t="str">
        <f>"512530198106141674"</f>
        <v>512530198106141674</v>
      </c>
      <c r="D8308" t="s">
        <v>1</v>
      </c>
      <c r="E8308" t="s">
        <v>1</v>
      </c>
      <c r="F8308" t="s">
        <v>0</v>
      </c>
      <c r="G8308" t="str">
        <f>"2018-10-15 22:32:19"</f>
        <v>2018-10-15 22:32:19</v>
      </c>
    </row>
    <row r="8309" spans="1:7" x14ac:dyDescent="0.2">
      <c r="A8309" t="s">
        <v>9016</v>
      </c>
      <c r="B8309" t="str">
        <f>"18632798945"</f>
        <v>18632798945</v>
      </c>
      <c r="C8309" t="str">
        <f>"130926199301301417"</f>
        <v>130926199301301417</v>
      </c>
      <c r="D8309" t="s">
        <v>1</v>
      </c>
      <c r="E8309" t="s">
        <v>1</v>
      </c>
      <c r="F8309" t="s">
        <v>0</v>
      </c>
      <c r="G8309" t="str">
        <f>"2018-10-15 22:28:38"</f>
        <v>2018-10-15 22:28:38</v>
      </c>
    </row>
    <row r="8310" spans="1:7" x14ac:dyDescent="0.2">
      <c r="A8310" t="s">
        <v>9017</v>
      </c>
      <c r="B8310" t="str">
        <f>"15979249338"</f>
        <v>15979249338</v>
      </c>
      <c r="C8310" t="str">
        <f>"360313197607020035"</f>
        <v>360313197607020035</v>
      </c>
      <c r="D8310" t="s">
        <v>1</v>
      </c>
      <c r="E8310" t="s">
        <v>1</v>
      </c>
      <c r="F8310" t="s">
        <v>0</v>
      </c>
      <c r="G8310" t="str">
        <f>"2018-10-15 22:29:05"</f>
        <v>2018-10-15 22:29:05</v>
      </c>
    </row>
    <row r="8311" spans="1:7" x14ac:dyDescent="0.2">
      <c r="A8311" t="s">
        <v>9018</v>
      </c>
      <c r="B8311" t="str">
        <f>"15058110731"</f>
        <v>15058110731</v>
      </c>
      <c r="C8311" t="str">
        <f>"360726198904070539"</f>
        <v>360726198904070539</v>
      </c>
      <c r="D8311" t="s">
        <v>1</v>
      </c>
      <c r="E8311" t="s">
        <v>1</v>
      </c>
      <c r="F8311" t="s">
        <v>0</v>
      </c>
      <c r="G8311" t="str">
        <f>"2018-10-15 22:25:36"</f>
        <v>2018-10-15 22:25:36</v>
      </c>
    </row>
    <row r="8312" spans="1:7" x14ac:dyDescent="0.2">
      <c r="A8312" t="s">
        <v>9019</v>
      </c>
      <c r="B8312" t="str">
        <f>"18859581868"</f>
        <v>18859581868</v>
      </c>
      <c r="C8312" t="str">
        <f>"522401199010246817"</f>
        <v>522401199010246817</v>
      </c>
      <c r="D8312" t="s">
        <v>1</v>
      </c>
      <c r="E8312" t="s">
        <v>1</v>
      </c>
      <c r="F8312" t="s">
        <v>0</v>
      </c>
      <c r="G8312" t="str">
        <f>"2018-10-15 22:25:48"</f>
        <v>2018-10-15 22:25:48</v>
      </c>
    </row>
    <row r="8313" spans="1:7" x14ac:dyDescent="0.2">
      <c r="A8313" t="s">
        <v>9020</v>
      </c>
      <c r="B8313" t="str">
        <f>"13787595141"</f>
        <v>13787595141</v>
      </c>
      <c r="C8313" t="str">
        <f>"431228198305150021"</f>
        <v>431228198305150021</v>
      </c>
      <c r="D8313" t="s">
        <v>9021</v>
      </c>
      <c r="E8313" t="s">
        <v>9022</v>
      </c>
      <c r="F8313" t="s">
        <v>0</v>
      </c>
      <c r="G8313" t="str">
        <f>"2018-10-15 22:19:36"</f>
        <v>2018-10-15 22:19:36</v>
      </c>
    </row>
    <row r="8314" spans="1:7" x14ac:dyDescent="0.2">
      <c r="A8314" t="s">
        <v>9023</v>
      </c>
      <c r="B8314" t="str">
        <f>"13909814978"</f>
        <v>13909814978</v>
      </c>
      <c r="C8314" t="str">
        <f>"230229197904061518"</f>
        <v>230229197904061518</v>
      </c>
      <c r="D8314" t="s">
        <v>1</v>
      </c>
      <c r="E8314" t="s">
        <v>1</v>
      </c>
      <c r="F8314" t="s">
        <v>0</v>
      </c>
      <c r="G8314" t="str">
        <f>"2018-10-15 22:23:50"</f>
        <v>2018-10-15 22:23:50</v>
      </c>
    </row>
    <row r="8315" spans="1:7" x14ac:dyDescent="0.2">
      <c r="A8315" t="s">
        <v>9024</v>
      </c>
      <c r="B8315" t="str">
        <f>"15850339244"</f>
        <v>15850339244</v>
      </c>
      <c r="C8315" t="str">
        <f>"362426199108152517"</f>
        <v>362426199108152517</v>
      </c>
      <c r="D8315" t="s">
        <v>9025</v>
      </c>
      <c r="E8315" t="s">
        <v>9026</v>
      </c>
      <c r="F8315" t="s">
        <v>0</v>
      </c>
      <c r="G8315" t="str">
        <f>"2018-10-15 22:24:05"</f>
        <v>2018-10-15 22:24:05</v>
      </c>
    </row>
    <row r="8316" spans="1:7" x14ac:dyDescent="0.2">
      <c r="A8316" t="s">
        <v>9027</v>
      </c>
      <c r="B8316" t="str">
        <f>"17621330813"</f>
        <v>17621330813</v>
      </c>
      <c r="C8316" t="str">
        <f>"320321199303131651"</f>
        <v>320321199303131651</v>
      </c>
      <c r="D8316" t="s">
        <v>9028</v>
      </c>
      <c r="E8316" t="s">
        <v>9029</v>
      </c>
      <c r="F8316" t="s">
        <v>0</v>
      </c>
      <c r="G8316" t="str">
        <f>"2018-10-15 22:38:02"</f>
        <v>2018-10-15 22:38:02</v>
      </c>
    </row>
    <row r="8317" spans="1:7" x14ac:dyDescent="0.2">
      <c r="A8317" t="s">
        <v>1</v>
      </c>
      <c r="B8317" t="str">
        <f>"13855223102"</f>
        <v>13855223102</v>
      </c>
      <c r="C8317" t="s">
        <v>1</v>
      </c>
      <c r="D8317" t="s">
        <v>1</v>
      </c>
      <c r="E8317" t="s">
        <v>1</v>
      </c>
      <c r="F8317" t="s">
        <v>0</v>
      </c>
      <c r="G8317" t="str">
        <f>"2018-10-15 22:10:21"</f>
        <v>2018-10-15 22:10:21</v>
      </c>
    </row>
    <row r="8318" spans="1:7" x14ac:dyDescent="0.2">
      <c r="A8318" t="s">
        <v>9030</v>
      </c>
      <c r="B8318" t="str">
        <f>"18116828559"</f>
        <v>18116828559</v>
      </c>
      <c r="C8318" t="str">
        <f>"652723197505150029"</f>
        <v>652723197505150029</v>
      </c>
      <c r="D8318" t="s">
        <v>1</v>
      </c>
      <c r="E8318" t="s">
        <v>1</v>
      </c>
      <c r="F8318" t="s">
        <v>0</v>
      </c>
      <c r="G8318" t="str">
        <f>"2018-10-15 22:10:34"</f>
        <v>2018-10-15 22:10:34</v>
      </c>
    </row>
    <row r="8319" spans="1:7" x14ac:dyDescent="0.2">
      <c r="A8319" t="s">
        <v>9031</v>
      </c>
      <c r="B8319" t="str">
        <f>"15723713701"</f>
        <v>15723713701</v>
      </c>
      <c r="C8319" t="str">
        <f>"450111199803121236"</f>
        <v>450111199803121236</v>
      </c>
      <c r="D8319" t="s">
        <v>1</v>
      </c>
      <c r="E8319" t="s">
        <v>1</v>
      </c>
      <c r="F8319" t="s">
        <v>0</v>
      </c>
      <c r="G8319" t="str">
        <f>"2018-10-15 22:11:59"</f>
        <v>2018-10-15 22:11:59</v>
      </c>
    </row>
    <row r="8320" spans="1:7" x14ac:dyDescent="0.2">
      <c r="A8320" t="s">
        <v>9032</v>
      </c>
      <c r="B8320" t="str">
        <f>"15867865115"</f>
        <v>15867865115</v>
      </c>
      <c r="C8320" t="str">
        <f>"330282198202256628"</f>
        <v>330282198202256628</v>
      </c>
      <c r="D8320" t="s">
        <v>9033</v>
      </c>
      <c r="E8320" t="s">
        <v>9034</v>
      </c>
      <c r="F8320" t="s">
        <v>0</v>
      </c>
      <c r="G8320" t="str">
        <f>"2018-10-15 22:11:35"</f>
        <v>2018-10-15 22:11:35</v>
      </c>
    </row>
    <row r="8321" spans="1:7" x14ac:dyDescent="0.2">
      <c r="A8321" t="s">
        <v>9035</v>
      </c>
      <c r="B8321" t="str">
        <f>"13485697262"</f>
        <v>13485697262</v>
      </c>
      <c r="C8321" t="str">
        <f>"342622198608152692"</f>
        <v>342622198608152692</v>
      </c>
      <c r="D8321" t="s">
        <v>1</v>
      </c>
      <c r="E8321" t="s">
        <v>1</v>
      </c>
      <c r="F8321" t="s">
        <v>0</v>
      </c>
      <c r="G8321" t="str">
        <f>"2018-10-15 22:07:28"</f>
        <v>2018-10-15 22:07:28</v>
      </c>
    </row>
    <row r="8322" spans="1:7" x14ac:dyDescent="0.2">
      <c r="A8322" t="s">
        <v>9036</v>
      </c>
      <c r="B8322" t="str">
        <f>"18254185133"</f>
        <v>18254185133</v>
      </c>
      <c r="C8322" t="str">
        <f>"370123199509080555"</f>
        <v>370123199509080555</v>
      </c>
      <c r="D8322" t="s">
        <v>1</v>
      </c>
      <c r="E8322" t="s">
        <v>1</v>
      </c>
      <c r="F8322" t="s">
        <v>0</v>
      </c>
      <c r="G8322" t="str">
        <f>"2018-10-15 22:06:10"</f>
        <v>2018-10-15 22:06:10</v>
      </c>
    </row>
    <row r="8323" spans="1:7" x14ac:dyDescent="0.2">
      <c r="A8323" t="s">
        <v>9037</v>
      </c>
      <c r="B8323" t="str">
        <f>"15233324243"</f>
        <v>15233324243</v>
      </c>
      <c r="C8323" t="str">
        <f>"130229199603285812"</f>
        <v>130229199603285812</v>
      </c>
      <c r="D8323" t="s">
        <v>9038</v>
      </c>
      <c r="E8323" t="s">
        <v>9038</v>
      </c>
      <c r="F8323" t="s">
        <v>0</v>
      </c>
      <c r="G8323" t="str">
        <f>"2018-10-15 23:06:49"</f>
        <v>2018-10-15 23:06:49</v>
      </c>
    </row>
    <row r="8324" spans="1:7" x14ac:dyDescent="0.2">
      <c r="A8324" t="s">
        <v>9039</v>
      </c>
      <c r="B8324" t="str">
        <f>"13602004573"</f>
        <v>13602004573</v>
      </c>
      <c r="C8324" t="str">
        <f>"120222198710232934"</f>
        <v>120222198710232934</v>
      </c>
      <c r="D8324" t="s">
        <v>1</v>
      </c>
      <c r="E8324" t="s">
        <v>1</v>
      </c>
      <c r="F8324" t="s">
        <v>0</v>
      </c>
      <c r="G8324" t="str">
        <f>"2018-10-15 22:16:11"</f>
        <v>2018-10-15 22:16:11</v>
      </c>
    </row>
    <row r="8325" spans="1:7" x14ac:dyDescent="0.2">
      <c r="A8325" t="s">
        <v>9040</v>
      </c>
      <c r="B8325" t="str">
        <f>"13312608796"</f>
        <v>13312608796</v>
      </c>
      <c r="C8325" t="str">
        <f>"532301199610053329"</f>
        <v>532301199610053329</v>
      </c>
      <c r="D8325" t="s">
        <v>1</v>
      </c>
      <c r="E8325" t="s">
        <v>1</v>
      </c>
      <c r="F8325" t="s">
        <v>0</v>
      </c>
      <c r="G8325" t="str">
        <f>"2018-10-15 22:05:08"</f>
        <v>2018-10-15 22:05:08</v>
      </c>
    </row>
    <row r="8326" spans="1:7" x14ac:dyDescent="0.2">
      <c r="A8326" t="s">
        <v>9041</v>
      </c>
      <c r="B8326" t="str">
        <f>"15518702066"</f>
        <v>15518702066</v>
      </c>
      <c r="C8326" t="str">
        <f>"412301198906060542"</f>
        <v>412301198906060542</v>
      </c>
      <c r="D8326" t="s">
        <v>1</v>
      </c>
      <c r="E8326" t="s">
        <v>1</v>
      </c>
      <c r="F8326" t="s">
        <v>0</v>
      </c>
      <c r="G8326" t="str">
        <f>"2018-10-15 22:02:25"</f>
        <v>2018-10-15 22:02:25</v>
      </c>
    </row>
    <row r="8327" spans="1:7" x14ac:dyDescent="0.2">
      <c r="A8327" t="s">
        <v>9042</v>
      </c>
      <c r="B8327" t="str">
        <f>"15248527150"</f>
        <v>15248527150</v>
      </c>
      <c r="C8327" t="str">
        <f>"152222199102225425"</f>
        <v>152222199102225425</v>
      </c>
      <c r="D8327" t="s">
        <v>1</v>
      </c>
      <c r="E8327" t="s">
        <v>1</v>
      </c>
      <c r="F8327" t="s">
        <v>0</v>
      </c>
      <c r="G8327" t="str">
        <f>"2018-10-15 22:02:29"</f>
        <v>2018-10-15 22:02:29</v>
      </c>
    </row>
    <row r="8328" spans="1:7" x14ac:dyDescent="0.2">
      <c r="A8328" t="s">
        <v>14</v>
      </c>
      <c r="B8328" t="str">
        <f>"15140840577"</f>
        <v>15140840577</v>
      </c>
      <c r="C8328" t="str">
        <f>"21042219850925101X"</f>
        <v>21042219850925101X</v>
      </c>
      <c r="D8328" t="s">
        <v>1</v>
      </c>
      <c r="E8328" t="s">
        <v>1</v>
      </c>
      <c r="F8328" t="s">
        <v>0</v>
      </c>
      <c r="G8328" t="str">
        <f>"2018-10-15 21:57:04"</f>
        <v>2018-10-15 21:57:04</v>
      </c>
    </row>
    <row r="8329" spans="1:7" x14ac:dyDescent="0.2">
      <c r="A8329" t="s">
        <v>9043</v>
      </c>
      <c r="B8329" t="str">
        <f>"17333024109"</f>
        <v>17333024109</v>
      </c>
      <c r="C8329" t="str">
        <f>"340123199309043113"</f>
        <v>340123199309043113</v>
      </c>
      <c r="D8329" t="s">
        <v>1</v>
      </c>
      <c r="E8329" t="s">
        <v>1</v>
      </c>
      <c r="F8329" t="s">
        <v>0</v>
      </c>
      <c r="G8329" t="str">
        <f>"2018-10-15 21:56:16"</f>
        <v>2018-10-15 21:56:16</v>
      </c>
    </row>
    <row r="8330" spans="1:7" x14ac:dyDescent="0.2">
      <c r="A8330" t="s">
        <v>483</v>
      </c>
      <c r="B8330" t="str">
        <f>"13180911097"</f>
        <v>13180911097</v>
      </c>
      <c r="C8330" t="str">
        <f>"222404198109200062"</f>
        <v>222404198109200062</v>
      </c>
      <c r="D8330" t="s">
        <v>1</v>
      </c>
      <c r="E8330" t="s">
        <v>1</v>
      </c>
      <c r="F8330" t="s">
        <v>0</v>
      </c>
      <c r="G8330" t="str">
        <f>"2018-10-15 21:57:33"</f>
        <v>2018-10-15 21:57:33</v>
      </c>
    </row>
    <row r="8331" spans="1:7" x14ac:dyDescent="0.2">
      <c r="A8331" t="s">
        <v>1</v>
      </c>
      <c r="B8331" t="str">
        <f>"15707484592"</f>
        <v>15707484592</v>
      </c>
      <c r="C8331" t="s">
        <v>1</v>
      </c>
      <c r="D8331" t="s">
        <v>1</v>
      </c>
      <c r="E8331" t="s">
        <v>1</v>
      </c>
      <c r="F8331" t="s">
        <v>0</v>
      </c>
      <c r="G8331" t="str">
        <f>"2018-10-15 21:54:09"</f>
        <v>2018-10-15 21:54:09</v>
      </c>
    </row>
    <row r="8332" spans="1:7" x14ac:dyDescent="0.2">
      <c r="A8332" t="s">
        <v>3542</v>
      </c>
      <c r="B8332" t="str">
        <f>"13676162121"</f>
        <v>13676162121</v>
      </c>
      <c r="C8332" t="str">
        <f>"452132199402023014"</f>
        <v>452132199402023014</v>
      </c>
      <c r="D8332" t="s">
        <v>9044</v>
      </c>
      <c r="E8332" t="s">
        <v>9045</v>
      </c>
      <c r="F8332" t="s">
        <v>0</v>
      </c>
      <c r="G8332" t="str">
        <f>"2018-10-15 21:53:13"</f>
        <v>2018-10-15 21:53:13</v>
      </c>
    </row>
    <row r="8333" spans="1:7" x14ac:dyDescent="0.2">
      <c r="A8333" t="s">
        <v>665</v>
      </c>
      <c r="B8333" t="str">
        <f>"15050508845"</f>
        <v>15050508845</v>
      </c>
      <c r="C8333" t="str">
        <f>"321201198909050034"</f>
        <v>321201198909050034</v>
      </c>
      <c r="D8333" t="s">
        <v>1</v>
      </c>
      <c r="E8333" t="s">
        <v>1</v>
      </c>
      <c r="F8333" t="s">
        <v>0</v>
      </c>
      <c r="G8333" t="str">
        <f>"2018-10-15 21:51:37"</f>
        <v>2018-10-15 21:51:37</v>
      </c>
    </row>
    <row r="8334" spans="1:7" x14ac:dyDescent="0.2">
      <c r="A8334" t="s">
        <v>1643</v>
      </c>
      <c r="B8334" t="str">
        <f>"13992016329"</f>
        <v>13992016329</v>
      </c>
      <c r="C8334" t="str">
        <f>"61040219920711753X"</f>
        <v>61040219920711753X</v>
      </c>
      <c r="D8334" t="s">
        <v>1</v>
      </c>
      <c r="E8334" t="s">
        <v>1</v>
      </c>
      <c r="F8334" t="s">
        <v>0</v>
      </c>
      <c r="G8334" t="str">
        <f>"2018-10-15 21:50:15"</f>
        <v>2018-10-15 21:50:15</v>
      </c>
    </row>
    <row r="8335" spans="1:7" x14ac:dyDescent="0.2">
      <c r="A8335" t="s">
        <v>9046</v>
      </c>
      <c r="B8335" t="str">
        <f>"13813821104"</f>
        <v>13813821104</v>
      </c>
      <c r="C8335" t="str">
        <f>"341221199805127555"</f>
        <v>341221199805127555</v>
      </c>
      <c r="D8335" t="s">
        <v>1</v>
      </c>
      <c r="E8335" t="s">
        <v>1</v>
      </c>
      <c r="F8335" t="s">
        <v>0</v>
      </c>
      <c r="G8335" t="str">
        <f>"2018-10-15 21:49:02"</f>
        <v>2018-10-15 21:49:02</v>
      </c>
    </row>
    <row r="8336" spans="1:7" x14ac:dyDescent="0.2">
      <c r="A8336" t="s">
        <v>9047</v>
      </c>
      <c r="B8336" t="str">
        <f>"14708883083"</f>
        <v>14708883083</v>
      </c>
      <c r="C8336" t="str">
        <f>"533222198911060015"</f>
        <v>533222198911060015</v>
      </c>
      <c r="D8336" t="s">
        <v>1</v>
      </c>
      <c r="E8336" t="s">
        <v>1</v>
      </c>
      <c r="F8336" t="s">
        <v>0</v>
      </c>
      <c r="G8336" t="str">
        <f>"2018-10-15 21:50:26"</f>
        <v>2018-10-15 21:50:26</v>
      </c>
    </row>
    <row r="8337" spans="1:7" x14ac:dyDescent="0.2">
      <c r="A8337" t="s">
        <v>9048</v>
      </c>
      <c r="B8337" t="str">
        <f>"17636185431"</f>
        <v>17636185431</v>
      </c>
      <c r="C8337" t="str">
        <f>"14230219970403005X"</f>
        <v>14230219970403005X</v>
      </c>
      <c r="D8337" t="s">
        <v>9049</v>
      </c>
      <c r="E8337" t="s">
        <v>9050</v>
      </c>
      <c r="F8337" t="s">
        <v>0</v>
      </c>
      <c r="G8337" t="str">
        <f>"2018-10-15 21:52:34"</f>
        <v>2018-10-15 21:52:34</v>
      </c>
    </row>
    <row r="8338" spans="1:7" x14ac:dyDescent="0.2">
      <c r="A8338" t="s">
        <v>9051</v>
      </c>
      <c r="B8338" t="str">
        <f>"13911227007"</f>
        <v>13911227007</v>
      </c>
      <c r="C8338" t="str">
        <f>"110101198210292077"</f>
        <v>110101198210292077</v>
      </c>
      <c r="D8338" t="s">
        <v>1</v>
      </c>
      <c r="E8338" t="s">
        <v>1</v>
      </c>
      <c r="F8338" t="s">
        <v>0</v>
      </c>
      <c r="G8338" t="str">
        <f>"2018-10-15 21:50:14"</f>
        <v>2018-10-15 21:50:14</v>
      </c>
    </row>
    <row r="8339" spans="1:7" x14ac:dyDescent="0.2">
      <c r="A8339" t="s">
        <v>1</v>
      </c>
      <c r="B8339" t="str">
        <f>"15292656145"</f>
        <v>15292656145</v>
      </c>
      <c r="C8339" t="s">
        <v>1</v>
      </c>
      <c r="D8339" t="s">
        <v>1</v>
      </c>
      <c r="E8339" t="s">
        <v>1</v>
      </c>
      <c r="F8339" t="s">
        <v>0</v>
      </c>
      <c r="G8339" t="str">
        <f>"2018-10-15 21:52:14"</f>
        <v>2018-10-15 21:52:14</v>
      </c>
    </row>
    <row r="8340" spans="1:7" x14ac:dyDescent="0.2">
      <c r="A8340" t="s">
        <v>1</v>
      </c>
      <c r="B8340" t="str">
        <f>"13100532534"</f>
        <v>13100532534</v>
      </c>
      <c r="C8340" t="s">
        <v>1</v>
      </c>
      <c r="D8340" t="s">
        <v>1</v>
      </c>
      <c r="E8340" t="s">
        <v>1</v>
      </c>
      <c r="F8340" t="s">
        <v>0</v>
      </c>
      <c r="G8340" t="str">
        <f>"2018-10-15 21:46:25"</f>
        <v>2018-10-15 21:46:25</v>
      </c>
    </row>
    <row r="8341" spans="1:7" x14ac:dyDescent="0.2">
      <c r="A8341" t="s">
        <v>9052</v>
      </c>
      <c r="B8341" t="str">
        <f>"15536310999"</f>
        <v>15536310999</v>
      </c>
      <c r="C8341" t="str">
        <f>"140102197312155193"</f>
        <v>140102197312155193</v>
      </c>
      <c r="D8341" t="s">
        <v>9053</v>
      </c>
      <c r="E8341" t="s">
        <v>9054</v>
      </c>
      <c r="F8341" t="s">
        <v>0</v>
      </c>
      <c r="G8341" t="str">
        <f>"2018-10-15 21:44:37"</f>
        <v>2018-10-15 21:44:37</v>
      </c>
    </row>
    <row r="8342" spans="1:7" x14ac:dyDescent="0.2">
      <c r="A8342" t="s">
        <v>1</v>
      </c>
      <c r="B8342" t="str">
        <f>"13064602679"</f>
        <v>13064602679</v>
      </c>
      <c r="C8342" t="s">
        <v>1</v>
      </c>
      <c r="D8342" t="s">
        <v>1</v>
      </c>
      <c r="E8342" t="s">
        <v>1</v>
      </c>
      <c r="F8342" t="s">
        <v>0</v>
      </c>
      <c r="G8342" t="str">
        <f>"2018-10-15 21:40:27"</f>
        <v>2018-10-15 21:40:27</v>
      </c>
    </row>
    <row r="8343" spans="1:7" x14ac:dyDescent="0.2">
      <c r="A8343" t="s">
        <v>157</v>
      </c>
      <c r="B8343" t="str">
        <f>"15018533432"</f>
        <v>15018533432</v>
      </c>
      <c r="C8343" t="str">
        <f>"430425198310281377"</f>
        <v>430425198310281377</v>
      </c>
      <c r="D8343" t="s">
        <v>1</v>
      </c>
      <c r="E8343" t="s">
        <v>1</v>
      </c>
      <c r="F8343" t="s">
        <v>0</v>
      </c>
      <c r="G8343" t="str">
        <f>"2018-10-15 21:42:49"</f>
        <v>2018-10-15 21:42:49</v>
      </c>
    </row>
    <row r="8344" spans="1:7" x14ac:dyDescent="0.2">
      <c r="A8344" t="s">
        <v>9055</v>
      </c>
      <c r="B8344" t="str">
        <f>"13477413568"</f>
        <v>13477413568</v>
      </c>
      <c r="C8344" t="str">
        <f>"429004199607164056"</f>
        <v>429004199607164056</v>
      </c>
      <c r="D8344" t="s">
        <v>9056</v>
      </c>
      <c r="E8344" t="s">
        <v>9057</v>
      </c>
      <c r="F8344" t="s">
        <v>0</v>
      </c>
      <c r="G8344" t="str">
        <f>"2018-10-15 21:39:15"</f>
        <v>2018-10-15 21:39:15</v>
      </c>
    </row>
    <row r="8345" spans="1:7" x14ac:dyDescent="0.2">
      <c r="A8345" t="s">
        <v>1</v>
      </c>
      <c r="B8345" t="str">
        <f>"15349777684"</f>
        <v>15349777684</v>
      </c>
      <c r="C8345" t="s">
        <v>1</v>
      </c>
      <c r="D8345" t="s">
        <v>1</v>
      </c>
      <c r="E8345" t="s">
        <v>1</v>
      </c>
      <c r="F8345" t="s">
        <v>0</v>
      </c>
      <c r="G8345" t="str">
        <f>"2018-10-15 21:36:20"</f>
        <v>2018-10-15 21:36:20</v>
      </c>
    </row>
    <row r="8346" spans="1:7" x14ac:dyDescent="0.2">
      <c r="A8346" t="s">
        <v>9058</v>
      </c>
      <c r="B8346" t="str">
        <f>"13761681262"</f>
        <v>13761681262</v>
      </c>
      <c r="C8346" t="str">
        <f>"310228197901066421"</f>
        <v>310228197901066421</v>
      </c>
      <c r="D8346" t="s">
        <v>9059</v>
      </c>
      <c r="E8346" t="s">
        <v>9060</v>
      </c>
      <c r="F8346" t="s">
        <v>0</v>
      </c>
      <c r="G8346" t="str">
        <f>"2018-10-28 14:33:39"</f>
        <v>2018-10-28 14:33:39</v>
      </c>
    </row>
    <row r="8347" spans="1:7" x14ac:dyDescent="0.2">
      <c r="A8347" t="s">
        <v>9061</v>
      </c>
      <c r="B8347" t="str">
        <f>"13828041393"</f>
        <v>13828041393</v>
      </c>
      <c r="C8347" t="str">
        <f>"440721197204100040"</f>
        <v>440721197204100040</v>
      </c>
      <c r="D8347" t="s">
        <v>1</v>
      </c>
      <c r="E8347" t="s">
        <v>1</v>
      </c>
      <c r="F8347" t="s">
        <v>0</v>
      </c>
      <c r="G8347" t="str">
        <f>"2018-10-15 21:32:39"</f>
        <v>2018-10-15 21:32:39</v>
      </c>
    </row>
    <row r="8348" spans="1:7" x14ac:dyDescent="0.2">
      <c r="A8348" t="s">
        <v>9062</v>
      </c>
      <c r="B8348" t="str">
        <f>"15839760222"</f>
        <v>15839760222</v>
      </c>
      <c r="C8348" t="str">
        <f>"411502198611190012"</f>
        <v>411502198611190012</v>
      </c>
      <c r="D8348" t="s">
        <v>1</v>
      </c>
      <c r="E8348" t="s">
        <v>1</v>
      </c>
      <c r="F8348" t="s">
        <v>0</v>
      </c>
      <c r="G8348" t="str">
        <f>"2018-10-15 21:33:20"</f>
        <v>2018-10-15 21:33:20</v>
      </c>
    </row>
    <row r="8349" spans="1:7" x14ac:dyDescent="0.2">
      <c r="A8349" t="s">
        <v>9063</v>
      </c>
      <c r="B8349" t="str">
        <f>"13408673655"</f>
        <v>13408673655</v>
      </c>
      <c r="C8349" t="str">
        <f>"500240198911110638"</f>
        <v>500240198911110638</v>
      </c>
      <c r="D8349" t="s">
        <v>9064</v>
      </c>
      <c r="E8349" t="s">
        <v>9065</v>
      </c>
      <c r="F8349" t="s">
        <v>0</v>
      </c>
      <c r="G8349" t="str">
        <f>"2018-10-15 22:06:30"</f>
        <v>2018-10-15 22:06:30</v>
      </c>
    </row>
    <row r="8350" spans="1:7" x14ac:dyDescent="0.2">
      <c r="A8350" t="s">
        <v>1682</v>
      </c>
      <c r="B8350" t="str">
        <f>"18280445321"</f>
        <v>18280445321</v>
      </c>
      <c r="C8350" t="str">
        <f>"51062319940925913X"</f>
        <v>51062319940925913X</v>
      </c>
      <c r="D8350" t="s">
        <v>9066</v>
      </c>
      <c r="E8350" t="s">
        <v>9067</v>
      </c>
      <c r="F8350" t="s">
        <v>0</v>
      </c>
      <c r="G8350" t="str">
        <f>"2018-10-15 21:29:28"</f>
        <v>2018-10-15 21:29:28</v>
      </c>
    </row>
    <row r="8351" spans="1:7" x14ac:dyDescent="0.2">
      <c r="A8351" t="s">
        <v>9068</v>
      </c>
      <c r="B8351" t="str">
        <f>"13500273214"</f>
        <v>13500273214</v>
      </c>
      <c r="C8351" t="str">
        <f>"513030199810032816"</f>
        <v>513030199810032816</v>
      </c>
      <c r="D8351" t="s">
        <v>1</v>
      </c>
      <c r="E8351" t="s">
        <v>1</v>
      </c>
      <c r="F8351" t="s">
        <v>0</v>
      </c>
      <c r="G8351" t="str">
        <f>"2018-10-15 21:30:36"</f>
        <v>2018-10-15 21:30:36</v>
      </c>
    </row>
    <row r="8352" spans="1:7" x14ac:dyDescent="0.2">
      <c r="A8352" t="s">
        <v>9069</v>
      </c>
      <c r="B8352" t="str">
        <f>"18728693746"</f>
        <v>18728693746</v>
      </c>
      <c r="C8352" t="str">
        <f>"512928197202211615"</f>
        <v>512928197202211615</v>
      </c>
      <c r="D8352" t="s">
        <v>1</v>
      </c>
      <c r="E8352" t="s">
        <v>1</v>
      </c>
      <c r="F8352" t="s">
        <v>0</v>
      </c>
      <c r="G8352" t="str">
        <f>"2018-10-15 21:29:57"</f>
        <v>2018-10-15 21:29:57</v>
      </c>
    </row>
    <row r="8353" spans="1:7" x14ac:dyDescent="0.2">
      <c r="A8353" t="s">
        <v>1</v>
      </c>
      <c r="B8353" t="str">
        <f>"13944540274"</f>
        <v>13944540274</v>
      </c>
      <c r="C8353" t="s">
        <v>1</v>
      </c>
      <c r="D8353" t="s">
        <v>1</v>
      </c>
      <c r="E8353" t="s">
        <v>1</v>
      </c>
      <c r="F8353" t="s">
        <v>0</v>
      </c>
      <c r="G8353" t="str">
        <f>"2018-10-15 21:26:11"</f>
        <v>2018-10-15 21:26:11</v>
      </c>
    </row>
    <row r="8354" spans="1:7" x14ac:dyDescent="0.2">
      <c r="A8354" t="s">
        <v>9070</v>
      </c>
      <c r="B8354" t="str">
        <f>"15022567289"</f>
        <v>15022567289</v>
      </c>
      <c r="C8354" t="str">
        <f>"120103199203213835"</f>
        <v>120103199203213835</v>
      </c>
      <c r="D8354" t="s">
        <v>1</v>
      </c>
      <c r="E8354" t="s">
        <v>1</v>
      </c>
      <c r="F8354" t="s">
        <v>0</v>
      </c>
      <c r="G8354" t="str">
        <f>"2018-10-16 08:16:48"</f>
        <v>2018-10-16 08:16:48</v>
      </c>
    </row>
    <row r="8355" spans="1:7" x14ac:dyDescent="0.2">
      <c r="A8355" t="s">
        <v>9071</v>
      </c>
      <c r="B8355" t="str">
        <f>"15664071170"</f>
        <v>15664071170</v>
      </c>
      <c r="C8355" t="str">
        <f>"410521198904188045"</f>
        <v>410521198904188045</v>
      </c>
      <c r="D8355" t="s">
        <v>1</v>
      </c>
      <c r="E8355" t="s">
        <v>1</v>
      </c>
      <c r="F8355" t="s">
        <v>0</v>
      </c>
      <c r="G8355" t="str">
        <f>"2018-11-02 09:13:37"</f>
        <v>2018-11-02 09:13:37</v>
      </c>
    </row>
    <row r="8356" spans="1:7" x14ac:dyDescent="0.2">
      <c r="A8356" t="s">
        <v>9072</v>
      </c>
      <c r="B8356" t="str">
        <f>"18091190580"</f>
        <v>18091190580</v>
      </c>
      <c r="C8356" t="str">
        <f>"610104197609278392"</f>
        <v>610104197609278392</v>
      </c>
      <c r="D8356" t="s">
        <v>1</v>
      </c>
      <c r="E8356" t="s">
        <v>1</v>
      </c>
      <c r="F8356" t="s">
        <v>0</v>
      </c>
      <c r="G8356" t="str">
        <f>"2018-10-16 01:09:29"</f>
        <v>2018-10-16 01:09:29</v>
      </c>
    </row>
    <row r="8357" spans="1:7" x14ac:dyDescent="0.2">
      <c r="A8357" t="s">
        <v>9073</v>
      </c>
      <c r="B8357" t="str">
        <f>"15171005356"</f>
        <v>15171005356</v>
      </c>
      <c r="C8357" t="str">
        <f>"420621199409104811"</f>
        <v>420621199409104811</v>
      </c>
      <c r="D8357" t="s">
        <v>9074</v>
      </c>
      <c r="E8357" t="s">
        <v>9075</v>
      </c>
      <c r="F8357" t="s">
        <v>0</v>
      </c>
      <c r="G8357" t="str">
        <f>"2018-10-15 21:30:50"</f>
        <v>2018-10-15 21:30:50</v>
      </c>
    </row>
    <row r="8358" spans="1:7" x14ac:dyDescent="0.2">
      <c r="A8358" t="s">
        <v>9076</v>
      </c>
      <c r="B8358" t="str">
        <f>"13238353652"</f>
        <v>13238353652</v>
      </c>
      <c r="C8358" t="str">
        <f>"420626199111272515"</f>
        <v>420626199111272515</v>
      </c>
      <c r="D8358" t="s">
        <v>1</v>
      </c>
      <c r="E8358" t="s">
        <v>1</v>
      </c>
      <c r="F8358" t="s">
        <v>0</v>
      </c>
      <c r="G8358" t="str">
        <f>"2018-10-15 21:24:44"</f>
        <v>2018-10-15 21:24:44</v>
      </c>
    </row>
    <row r="8359" spans="1:7" x14ac:dyDescent="0.2">
      <c r="A8359" t="s">
        <v>1117</v>
      </c>
      <c r="B8359" t="str">
        <f>"18983988549"</f>
        <v>18983988549</v>
      </c>
      <c r="C8359" t="str">
        <f>"500383199606138597"</f>
        <v>500383199606138597</v>
      </c>
      <c r="D8359" t="s">
        <v>1</v>
      </c>
      <c r="E8359" t="s">
        <v>1</v>
      </c>
      <c r="F8359" t="s">
        <v>0</v>
      </c>
      <c r="G8359" t="str">
        <f>"2018-10-15 21:24:24"</f>
        <v>2018-10-15 21:24:24</v>
      </c>
    </row>
    <row r="8360" spans="1:7" x14ac:dyDescent="0.2">
      <c r="A8360" t="s">
        <v>9077</v>
      </c>
      <c r="B8360" t="str">
        <f>"15985823470"</f>
        <v>15985823470</v>
      </c>
      <c r="C8360" t="str">
        <f>"350629199104155514"</f>
        <v>350629199104155514</v>
      </c>
      <c r="D8360" t="s">
        <v>9078</v>
      </c>
      <c r="E8360" t="s">
        <v>9079</v>
      </c>
      <c r="F8360" t="s">
        <v>0</v>
      </c>
      <c r="G8360" t="str">
        <f>"2018-10-15 21:19:39"</f>
        <v>2018-10-15 21:19:39</v>
      </c>
    </row>
    <row r="8361" spans="1:7" x14ac:dyDescent="0.2">
      <c r="A8361" t="s">
        <v>9080</v>
      </c>
      <c r="B8361" t="str">
        <f>"18608063395"</f>
        <v>18608063395</v>
      </c>
      <c r="C8361" t="str">
        <f>"51112919880908003X"</f>
        <v>51112919880908003X</v>
      </c>
      <c r="D8361" t="s">
        <v>1</v>
      </c>
      <c r="E8361" t="s">
        <v>1</v>
      </c>
      <c r="F8361" t="s">
        <v>0</v>
      </c>
      <c r="G8361" t="str">
        <f>"2018-10-15 21:19:17"</f>
        <v>2018-10-15 21:19:17</v>
      </c>
    </row>
    <row r="8362" spans="1:7" x14ac:dyDescent="0.2">
      <c r="A8362" t="s">
        <v>1</v>
      </c>
      <c r="B8362" t="str">
        <f>"17538511054"</f>
        <v>17538511054</v>
      </c>
      <c r="C8362" t="s">
        <v>1</v>
      </c>
      <c r="D8362" t="s">
        <v>1</v>
      </c>
      <c r="E8362" t="s">
        <v>1</v>
      </c>
      <c r="F8362" t="s">
        <v>0</v>
      </c>
      <c r="G8362" t="str">
        <f>"2018-10-15 21:23:51"</f>
        <v>2018-10-15 21:23:51</v>
      </c>
    </row>
    <row r="8363" spans="1:7" x14ac:dyDescent="0.2">
      <c r="A8363" t="s">
        <v>372</v>
      </c>
      <c r="B8363" t="str">
        <f>"13579656633"</f>
        <v>13579656633</v>
      </c>
      <c r="C8363" t="str">
        <f>"652201198402041216"</f>
        <v>652201198402041216</v>
      </c>
      <c r="D8363" t="s">
        <v>1</v>
      </c>
      <c r="E8363" t="s">
        <v>1</v>
      </c>
      <c r="F8363" t="s">
        <v>0</v>
      </c>
      <c r="G8363" t="str">
        <f>"2018-10-15 21:18:47"</f>
        <v>2018-10-15 21:18:47</v>
      </c>
    </row>
    <row r="8364" spans="1:7" x14ac:dyDescent="0.2">
      <c r="A8364" t="s">
        <v>9081</v>
      </c>
      <c r="B8364" t="str">
        <f>"18213893618"</f>
        <v>18213893618</v>
      </c>
      <c r="C8364" t="str">
        <f>"530128198508164869"</f>
        <v>530128198508164869</v>
      </c>
      <c r="D8364" t="s">
        <v>1</v>
      </c>
      <c r="E8364" t="s">
        <v>1</v>
      </c>
      <c r="F8364" t="s">
        <v>0</v>
      </c>
      <c r="G8364" t="str">
        <f>"2018-10-16 10:06:50"</f>
        <v>2018-10-16 10:06:50</v>
      </c>
    </row>
    <row r="8365" spans="1:7" x14ac:dyDescent="0.2">
      <c r="A8365" t="s">
        <v>1</v>
      </c>
      <c r="B8365" t="str">
        <f>"15141919000"</f>
        <v>15141919000</v>
      </c>
      <c r="C8365" t="s">
        <v>1</v>
      </c>
      <c r="D8365" t="s">
        <v>1</v>
      </c>
      <c r="E8365" t="s">
        <v>1</v>
      </c>
      <c r="F8365" t="s">
        <v>0</v>
      </c>
      <c r="G8365" t="str">
        <f>"2018-10-15 21:16:39"</f>
        <v>2018-10-15 21:16:39</v>
      </c>
    </row>
    <row r="8366" spans="1:7" x14ac:dyDescent="0.2">
      <c r="A8366" t="s">
        <v>9082</v>
      </c>
      <c r="B8366" t="str">
        <f>"18682830217"</f>
        <v>18682830217</v>
      </c>
      <c r="C8366" t="str">
        <f>"51302219900319371X"</f>
        <v>51302219900319371X</v>
      </c>
      <c r="D8366" t="s">
        <v>1</v>
      </c>
      <c r="E8366" t="s">
        <v>1</v>
      </c>
      <c r="F8366" t="s">
        <v>0</v>
      </c>
      <c r="G8366" t="str">
        <f>"2018-10-16 07:12:15"</f>
        <v>2018-10-16 07:12:15</v>
      </c>
    </row>
    <row r="8367" spans="1:7" x14ac:dyDescent="0.2">
      <c r="A8367" t="s">
        <v>1</v>
      </c>
      <c r="B8367" t="str">
        <f>"18871162599"</f>
        <v>18871162599</v>
      </c>
      <c r="C8367" t="s">
        <v>1</v>
      </c>
      <c r="D8367" t="s">
        <v>1</v>
      </c>
      <c r="E8367" t="s">
        <v>1</v>
      </c>
      <c r="F8367" t="s">
        <v>0</v>
      </c>
      <c r="G8367" t="str">
        <f>"2018-10-15 21:14:45"</f>
        <v>2018-10-15 21:14:45</v>
      </c>
    </row>
    <row r="8368" spans="1:7" x14ac:dyDescent="0.2">
      <c r="A8368" t="s">
        <v>1</v>
      </c>
      <c r="B8368" t="str">
        <f>"13033682014"</f>
        <v>13033682014</v>
      </c>
      <c r="C8368" t="s">
        <v>1</v>
      </c>
      <c r="D8368" t="s">
        <v>1</v>
      </c>
      <c r="E8368" t="s">
        <v>1</v>
      </c>
      <c r="F8368" t="s">
        <v>0</v>
      </c>
      <c r="G8368" t="str">
        <f>"2018-10-15 21:14:42"</f>
        <v>2018-10-15 21:14:42</v>
      </c>
    </row>
    <row r="8369" spans="1:7" x14ac:dyDescent="0.2">
      <c r="A8369" t="s">
        <v>9083</v>
      </c>
      <c r="B8369" t="str">
        <f>"15040535817"</f>
        <v>15040535817</v>
      </c>
      <c r="C8369" t="str">
        <f>"210222197308041715"</f>
        <v>210222197308041715</v>
      </c>
      <c r="D8369" t="s">
        <v>1</v>
      </c>
      <c r="E8369" t="s">
        <v>1</v>
      </c>
      <c r="F8369" t="s">
        <v>0</v>
      </c>
      <c r="G8369" t="str">
        <f>"2018-10-15 21:17:16"</f>
        <v>2018-10-15 21:17:16</v>
      </c>
    </row>
    <row r="8370" spans="1:7" x14ac:dyDescent="0.2">
      <c r="A8370" t="s">
        <v>9084</v>
      </c>
      <c r="B8370" t="str">
        <f>"18660739870"</f>
        <v>18660739870</v>
      </c>
      <c r="C8370" t="str">
        <f>"612525198909113493"</f>
        <v>612525198909113493</v>
      </c>
      <c r="D8370" t="s">
        <v>1</v>
      </c>
      <c r="E8370" t="s">
        <v>1</v>
      </c>
      <c r="F8370" t="s">
        <v>0</v>
      </c>
      <c r="G8370" t="str">
        <f>"2018-10-16 09:16:59"</f>
        <v>2018-10-16 09:16:59</v>
      </c>
    </row>
    <row r="8371" spans="1:7" x14ac:dyDescent="0.2">
      <c r="A8371" t="s">
        <v>60</v>
      </c>
      <c r="B8371" t="str">
        <f>"15045323509"</f>
        <v>15045323509</v>
      </c>
      <c r="C8371" t="str">
        <f>"231024199105231039"</f>
        <v>231024199105231039</v>
      </c>
      <c r="D8371" t="s">
        <v>9085</v>
      </c>
      <c r="E8371" t="s">
        <v>9086</v>
      </c>
      <c r="F8371" t="s">
        <v>0</v>
      </c>
      <c r="G8371" t="str">
        <f>"2018-10-15 21:12:38"</f>
        <v>2018-10-15 21:12:38</v>
      </c>
    </row>
    <row r="8372" spans="1:7" x14ac:dyDescent="0.2">
      <c r="A8372" t="s">
        <v>9087</v>
      </c>
      <c r="B8372" t="str">
        <f>"18212288330"</f>
        <v>18212288330</v>
      </c>
      <c r="C8372" t="str">
        <f>"522634198810055537"</f>
        <v>522634198810055537</v>
      </c>
      <c r="D8372" t="s">
        <v>1</v>
      </c>
      <c r="E8372" t="s">
        <v>1</v>
      </c>
      <c r="F8372" t="s">
        <v>0</v>
      </c>
      <c r="G8372" t="str">
        <f>"2018-10-17 15:56:44"</f>
        <v>2018-10-17 15:56:44</v>
      </c>
    </row>
    <row r="8373" spans="1:7" x14ac:dyDescent="0.2">
      <c r="A8373" t="s">
        <v>9088</v>
      </c>
      <c r="B8373" t="str">
        <f>"18271477903"</f>
        <v>18271477903</v>
      </c>
      <c r="C8373" t="str">
        <f>"420984199405021412"</f>
        <v>420984199405021412</v>
      </c>
      <c r="D8373" t="s">
        <v>1</v>
      </c>
      <c r="E8373" t="s">
        <v>1</v>
      </c>
      <c r="F8373" t="s">
        <v>0</v>
      </c>
      <c r="G8373" t="str">
        <f>"2018-10-15 21:10:38"</f>
        <v>2018-10-15 21:10:38</v>
      </c>
    </row>
    <row r="8374" spans="1:7" x14ac:dyDescent="0.2">
      <c r="A8374" t="s">
        <v>1</v>
      </c>
      <c r="B8374" t="str">
        <f>"13064750489"</f>
        <v>13064750489</v>
      </c>
      <c r="C8374" t="s">
        <v>1</v>
      </c>
      <c r="D8374" t="s">
        <v>1</v>
      </c>
      <c r="E8374" t="s">
        <v>1</v>
      </c>
      <c r="F8374" t="s">
        <v>0</v>
      </c>
      <c r="G8374" t="str">
        <f>"2018-10-15 21:09:14"</f>
        <v>2018-10-15 21:09:14</v>
      </c>
    </row>
    <row r="8375" spans="1:7" x14ac:dyDescent="0.2">
      <c r="A8375" t="s">
        <v>1</v>
      </c>
      <c r="B8375" t="str">
        <f>"13197704345"</f>
        <v>13197704345</v>
      </c>
      <c r="C8375" t="s">
        <v>1</v>
      </c>
      <c r="D8375" t="s">
        <v>1</v>
      </c>
      <c r="E8375" t="s">
        <v>1</v>
      </c>
      <c r="F8375" t="s">
        <v>0</v>
      </c>
      <c r="G8375" t="str">
        <f>"2018-10-15 21:05:24"</f>
        <v>2018-10-15 21:05:24</v>
      </c>
    </row>
    <row r="8376" spans="1:7" x14ac:dyDescent="0.2">
      <c r="A8376" t="s">
        <v>821</v>
      </c>
      <c r="B8376" t="str">
        <f>"18838112597"</f>
        <v>18838112597</v>
      </c>
      <c r="C8376" t="str">
        <f>"341282199703311215"</f>
        <v>341282199703311215</v>
      </c>
      <c r="D8376" t="s">
        <v>1</v>
      </c>
      <c r="E8376" t="s">
        <v>1</v>
      </c>
      <c r="F8376" t="s">
        <v>0</v>
      </c>
      <c r="G8376" t="str">
        <f>"2018-10-15 21:06:44"</f>
        <v>2018-10-15 21:06:44</v>
      </c>
    </row>
    <row r="8377" spans="1:7" x14ac:dyDescent="0.2">
      <c r="A8377" t="s">
        <v>9089</v>
      </c>
      <c r="B8377" t="str">
        <f>"18523877150"</f>
        <v>18523877150</v>
      </c>
      <c r="C8377" t="str">
        <f>"500383199303068616"</f>
        <v>500383199303068616</v>
      </c>
      <c r="D8377" t="s">
        <v>9090</v>
      </c>
      <c r="E8377" t="s">
        <v>9091</v>
      </c>
      <c r="F8377" t="s">
        <v>0</v>
      </c>
      <c r="G8377" t="str">
        <f>"2018-10-15 21:04:33"</f>
        <v>2018-10-15 21:04:33</v>
      </c>
    </row>
    <row r="8378" spans="1:7" x14ac:dyDescent="0.2">
      <c r="A8378" t="s">
        <v>9092</v>
      </c>
      <c r="B8378" t="str">
        <f>"18641369811"</f>
        <v>18641369811</v>
      </c>
      <c r="C8378" t="str">
        <f>"210404198609300621"</f>
        <v>210404198609300621</v>
      </c>
      <c r="D8378" t="s">
        <v>1</v>
      </c>
      <c r="E8378" t="s">
        <v>1</v>
      </c>
      <c r="F8378" t="s">
        <v>0</v>
      </c>
      <c r="G8378" t="str">
        <f>"2018-10-15 21:11:21"</f>
        <v>2018-10-15 21:11:21</v>
      </c>
    </row>
    <row r="8379" spans="1:7" x14ac:dyDescent="0.2">
      <c r="A8379" t="s">
        <v>9093</v>
      </c>
      <c r="B8379" t="str">
        <f>"15811444012"</f>
        <v>15811444012</v>
      </c>
      <c r="C8379" t="str">
        <f>"232101199701254837"</f>
        <v>232101199701254837</v>
      </c>
      <c r="D8379" t="s">
        <v>1</v>
      </c>
      <c r="E8379" t="s">
        <v>1</v>
      </c>
      <c r="F8379" t="s">
        <v>0</v>
      </c>
      <c r="G8379" t="str">
        <f>"2018-10-15 21:16:05"</f>
        <v>2018-10-15 21:16:05</v>
      </c>
    </row>
    <row r="8380" spans="1:7" x14ac:dyDescent="0.2">
      <c r="A8380" t="s">
        <v>1</v>
      </c>
      <c r="B8380" t="str">
        <f>"13605915234"</f>
        <v>13605915234</v>
      </c>
      <c r="C8380" t="s">
        <v>1</v>
      </c>
      <c r="D8380" t="s">
        <v>1</v>
      </c>
      <c r="E8380" t="s">
        <v>1</v>
      </c>
      <c r="F8380" t="s">
        <v>0</v>
      </c>
      <c r="G8380" t="str">
        <f>"2018-10-15 21:00:41"</f>
        <v>2018-10-15 21:00:41</v>
      </c>
    </row>
    <row r="8381" spans="1:7" x14ac:dyDescent="0.2">
      <c r="A8381" t="s">
        <v>1</v>
      </c>
      <c r="B8381" t="str">
        <f>"18952821027"</f>
        <v>18952821027</v>
      </c>
      <c r="C8381" t="s">
        <v>1</v>
      </c>
      <c r="D8381" t="s">
        <v>1</v>
      </c>
      <c r="E8381" t="s">
        <v>1</v>
      </c>
      <c r="F8381" t="s">
        <v>0</v>
      </c>
      <c r="G8381" t="str">
        <f>"2018-10-15 20:59:57"</f>
        <v>2018-10-15 20:59:57</v>
      </c>
    </row>
    <row r="8382" spans="1:7" x14ac:dyDescent="0.2">
      <c r="A8382" t="s">
        <v>9094</v>
      </c>
      <c r="B8382" t="str">
        <f>"13336999972"</f>
        <v>13336999972</v>
      </c>
      <c r="C8382" t="str">
        <f>"330304198312210918"</f>
        <v>330304198312210918</v>
      </c>
      <c r="D8382" t="s">
        <v>1</v>
      </c>
      <c r="E8382" t="s">
        <v>1</v>
      </c>
      <c r="F8382" t="s">
        <v>0</v>
      </c>
      <c r="G8382" t="str">
        <f>"2018-11-05 09:06:06"</f>
        <v>2018-11-05 09:06:06</v>
      </c>
    </row>
    <row r="8383" spans="1:7" x14ac:dyDescent="0.2">
      <c r="A8383" t="s">
        <v>1</v>
      </c>
      <c r="B8383" t="str">
        <f>"15577160927"</f>
        <v>15577160927</v>
      </c>
      <c r="C8383" t="s">
        <v>1</v>
      </c>
      <c r="D8383" t="s">
        <v>1</v>
      </c>
      <c r="E8383" t="s">
        <v>1</v>
      </c>
      <c r="F8383" t="s">
        <v>0</v>
      </c>
      <c r="G8383" t="str">
        <f>"2018-10-15 20:57:35"</f>
        <v>2018-10-15 20:57:35</v>
      </c>
    </row>
    <row r="8384" spans="1:7" x14ac:dyDescent="0.2">
      <c r="A8384" t="s">
        <v>987</v>
      </c>
      <c r="B8384" t="str">
        <f>"15034529881"</f>
        <v>15034529881</v>
      </c>
      <c r="C8384" t="str">
        <f>"140402198609061658"</f>
        <v>140402198609061658</v>
      </c>
      <c r="D8384" t="s">
        <v>1</v>
      </c>
      <c r="E8384" t="s">
        <v>1</v>
      </c>
      <c r="F8384" t="s">
        <v>0</v>
      </c>
      <c r="G8384" t="str">
        <f>"2018-10-15 20:57:02"</f>
        <v>2018-10-15 20:57:02</v>
      </c>
    </row>
    <row r="8385" spans="1:7" x14ac:dyDescent="0.2">
      <c r="A8385" t="s">
        <v>9095</v>
      </c>
      <c r="B8385" t="str">
        <f>"18229996272"</f>
        <v>18229996272</v>
      </c>
      <c r="C8385" t="str">
        <f>"430121199506257312"</f>
        <v>430121199506257312</v>
      </c>
      <c r="D8385" t="s">
        <v>1</v>
      </c>
      <c r="E8385" t="s">
        <v>1</v>
      </c>
      <c r="F8385" t="s">
        <v>0</v>
      </c>
      <c r="G8385" t="str">
        <f>"2018-10-15 21:00:10"</f>
        <v>2018-10-15 21:00:10</v>
      </c>
    </row>
    <row r="8386" spans="1:7" x14ac:dyDescent="0.2">
      <c r="A8386" t="s">
        <v>1</v>
      </c>
      <c r="B8386" t="str">
        <f>"15973067317"</f>
        <v>15973067317</v>
      </c>
      <c r="C8386" t="s">
        <v>1</v>
      </c>
      <c r="D8386" t="s">
        <v>1</v>
      </c>
      <c r="E8386" t="s">
        <v>1</v>
      </c>
      <c r="F8386" t="s">
        <v>0</v>
      </c>
      <c r="G8386" t="str">
        <f>"2018-10-15 20:53:53"</f>
        <v>2018-10-15 20:53:53</v>
      </c>
    </row>
    <row r="8387" spans="1:7" x14ac:dyDescent="0.2">
      <c r="A8387" t="s">
        <v>9096</v>
      </c>
      <c r="B8387" t="str">
        <f>"18214018400"</f>
        <v>18214018400</v>
      </c>
      <c r="C8387" t="str">
        <f>"532701199606090612"</f>
        <v>532701199606090612</v>
      </c>
      <c r="D8387" t="s">
        <v>1</v>
      </c>
      <c r="E8387" t="s">
        <v>1</v>
      </c>
      <c r="F8387" t="s">
        <v>0</v>
      </c>
      <c r="G8387" t="str">
        <f>"2018-10-15 20:55:49"</f>
        <v>2018-10-15 20:55:49</v>
      </c>
    </row>
    <row r="8388" spans="1:7" x14ac:dyDescent="0.2">
      <c r="A8388" t="s">
        <v>9097</v>
      </c>
      <c r="B8388" t="str">
        <f>"13187668182"</f>
        <v>13187668182</v>
      </c>
      <c r="C8388" t="str">
        <f>"532301196606170027"</f>
        <v>532301196606170027</v>
      </c>
      <c r="D8388" t="s">
        <v>9098</v>
      </c>
      <c r="E8388" t="s">
        <v>9099</v>
      </c>
      <c r="F8388" t="s">
        <v>0</v>
      </c>
      <c r="G8388" t="str">
        <f>"2018-10-15 20:59:13"</f>
        <v>2018-10-15 20:59:13</v>
      </c>
    </row>
    <row r="8389" spans="1:7" x14ac:dyDescent="0.2">
      <c r="A8389" t="s">
        <v>9100</v>
      </c>
      <c r="B8389" t="str">
        <f>"15063321057"</f>
        <v>15063321057</v>
      </c>
      <c r="C8389" t="str">
        <f>"370983198910311810"</f>
        <v>370983198910311810</v>
      </c>
      <c r="D8389" t="s">
        <v>9101</v>
      </c>
      <c r="E8389" t="s">
        <v>9102</v>
      </c>
      <c r="F8389" t="s">
        <v>0</v>
      </c>
      <c r="G8389" t="str">
        <f>"2018-10-15 20:54:20"</f>
        <v>2018-10-15 20:54:20</v>
      </c>
    </row>
    <row r="8390" spans="1:7" x14ac:dyDescent="0.2">
      <c r="A8390" t="s">
        <v>1</v>
      </c>
      <c r="B8390" t="str">
        <f>"18016997190"</f>
        <v>18016997190</v>
      </c>
      <c r="C8390" t="s">
        <v>1</v>
      </c>
      <c r="D8390" t="s">
        <v>1</v>
      </c>
      <c r="E8390" t="s">
        <v>1</v>
      </c>
      <c r="F8390" t="s">
        <v>0</v>
      </c>
      <c r="G8390" t="str">
        <f>"2018-10-15 21:19:52"</f>
        <v>2018-10-15 21:19:52</v>
      </c>
    </row>
    <row r="8391" spans="1:7" x14ac:dyDescent="0.2">
      <c r="A8391" t="s">
        <v>9103</v>
      </c>
      <c r="B8391" t="str">
        <f>"18693557561"</f>
        <v>18693557561</v>
      </c>
      <c r="C8391" t="str">
        <f>"622322199002021415"</f>
        <v>622322199002021415</v>
      </c>
      <c r="D8391" t="s">
        <v>1</v>
      </c>
      <c r="E8391" t="s">
        <v>1</v>
      </c>
      <c r="F8391" t="s">
        <v>0</v>
      </c>
      <c r="G8391" t="str">
        <f>"2018-10-15 20:49:47"</f>
        <v>2018-10-15 20:49:47</v>
      </c>
    </row>
    <row r="8392" spans="1:7" x14ac:dyDescent="0.2">
      <c r="A8392" t="s">
        <v>9104</v>
      </c>
      <c r="B8392" t="str">
        <f>"13659690771"</f>
        <v>13659690771</v>
      </c>
      <c r="C8392" t="str">
        <f>"450922198909090915"</f>
        <v>450922198909090915</v>
      </c>
      <c r="D8392" t="s">
        <v>1</v>
      </c>
      <c r="E8392" t="s">
        <v>1</v>
      </c>
      <c r="F8392" t="s">
        <v>0</v>
      </c>
      <c r="G8392" t="str">
        <f>"2018-10-22 09:58:31"</f>
        <v>2018-10-22 09:58:31</v>
      </c>
    </row>
    <row r="8393" spans="1:7" x14ac:dyDescent="0.2">
      <c r="A8393" t="s">
        <v>619</v>
      </c>
      <c r="B8393" t="str">
        <f>"13691113820"</f>
        <v>13691113820</v>
      </c>
      <c r="C8393" t="str">
        <f>"11010819840426364X"</f>
        <v>11010819840426364X</v>
      </c>
      <c r="D8393" t="s">
        <v>1</v>
      </c>
      <c r="E8393" t="s">
        <v>1</v>
      </c>
      <c r="F8393" t="s">
        <v>0</v>
      </c>
      <c r="G8393" t="str">
        <f>"2018-11-05 14:31:32"</f>
        <v>2018-11-05 14:31:32</v>
      </c>
    </row>
    <row r="8394" spans="1:7" x14ac:dyDescent="0.2">
      <c r="A8394" t="s">
        <v>9105</v>
      </c>
      <c r="B8394" t="str">
        <f>"18654988985"</f>
        <v>18654988985</v>
      </c>
      <c r="C8394" t="str">
        <f>"371324199409212416"</f>
        <v>371324199409212416</v>
      </c>
      <c r="D8394" t="s">
        <v>1</v>
      </c>
      <c r="E8394" t="s">
        <v>1</v>
      </c>
      <c r="F8394" t="s">
        <v>0</v>
      </c>
      <c r="G8394" t="str">
        <f>"2018-10-15 20:47:43"</f>
        <v>2018-10-15 20:47:43</v>
      </c>
    </row>
    <row r="8395" spans="1:7" x14ac:dyDescent="0.2">
      <c r="A8395" t="s">
        <v>1753</v>
      </c>
      <c r="B8395" t="str">
        <f>"13488235545"</f>
        <v>13488235545</v>
      </c>
      <c r="C8395" t="str">
        <f>"610124199501203617"</f>
        <v>610124199501203617</v>
      </c>
      <c r="D8395" t="s">
        <v>1</v>
      </c>
      <c r="E8395" t="s">
        <v>1</v>
      </c>
      <c r="F8395" t="s">
        <v>0</v>
      </c>
      <c r="G8395" t="str">
        <f>"2018-10-16 08:50:50"</f>
        <v>2018-10-16 08:50:50</v>
      </c>
    </row>
    <row r="8396" spans="1:7" x14ac:dyDescent="0.2">
      <c r="A8396" t="s">
        <v>1</v>
      </c>
      <c r="B8396" t="str">
        <f>"17041861868"</f>
        <v>17041861868</v>
      </c>
      <c r="C8396" t="s">
        <v>1</v>
      </c>
      <c r="D8396" t="s">
        <v>1</v>
      </c>
      <c r="E8396" t="s">
        <v>1</v>
      </c>
      <c r="F8396" t="s">
        <v>0</v>
      </c>
      <c r="G8396" t="str">
        <f>"2018-10-15 20:39:56"</f>
        <v>2018-10-15 20:39:56</v>
      </c>
    </row>
    <row r="8397" spans="1:7" x14ac:dyDescent="0.2">
      <c r="A8397" t="s">
        <v>1</v>
      </c>
      <c r="B8397" t="str">
        <f>"13551363532"</f>
        <v>13551363532</v>
      </c>
      <c r="C8397" t="s">
        <v>1</v>
      </c>
      <c r="D8397" t="s">
        <v>1</v>
      </c>
      <c r="E8397" t="s">
        <v>1</v>
      </c>
      <c r="F8397" t="s">
        <v>0</v>
      </c>
      <c r="G8397" t="str">
        <f>"2018-10-15 20:37:15"</f>
        <v>2018-10-15 20:37:15</v>
      </c>
    </row>
    <row r="8398" spans="1:7" x14ac:dyDescent="0.2">
      <c r="A8398" t="s">
        <v>1</v>
      </c>
      <c r="B8398" t="str">
        <f>"13706933890"</f>
        <v>13706933890</v>
      </c>
      <c r="C8398" t="s">
        <v>1</v>
      </c>
      <c r="D8398" t="s">
        <v>1</v>
      </c>
      <c r="E8398" t="s">
        <v>1</v>
      </c>
      <c r="F8398" t="s">
        <v>0</v>
      </c>
      <c r="G8398" t="str">
        <f>"2018-10-23 06:49:22"</f>
        <v>2018-10-23 06:49:22</v>
      </c>
    </row>
    <row r="8399" spans="1:7" x14ac:dyDescent="0.2">
      <c r="A8399" t="s">
        <v>9106</v>
      </c>
      <c r="B8399" t="str">
        <f>"17848541493"</f>
        <v>17848541493</v>
      </c>
      <c r="C8399" t="str">
        <f>"522101199506058012"</f>
        <v>522101199506058012</v>
      </c>
      <c r="D8399" t="s">
        <v>1</v>
      </c>
      <c r="E8399" t="s">
        <v>1</v>
      </c>
      <c r="F8399" t="s">
        <v>0</v>
      </c>
      <c r="G8399" t="str">
        <f>"2018-10-15 23:37:02"</f>
        <v>2018-10-15 23:37:02</v>
      </c>
    </row>
    <row r="8400" spans="1:7" x14ac:dyDescent="0.2">
      <c r="A8400" t="s">
        <v>1</v>
      </c>
      <c r="B8400" t="str">
        <f>"13518768638"</f>
        <v>13518768638</v>
      </c>
      <c r="C8400" t="s">
        <v>1</v>
      </c>
      <c r="D8400" t="s">
        <v>1</v>
      </c>
      <c r="E8400" t="s">
        <v>1</v>
      </c>
      <c r="F8400" t="s">
        <v>0</v>
      </c>
      <c r="G8400" t="str">
        <f>"2018-10-15 20:32:49"</f>
        <v>2018-10-15 20:32:49</v>
      </c>
    </row>
    <row r="8401" spans="1:7" x14ac:dyDescent="0.2">
      <c r="A8401" t="s">
        <v>344</v>
      </c>
      <c r="B8401" t="str">
        <f>"17620430307"</f>
        <v>17620430307</v>
      </c>
      <c r="C8401" t="str">
        <f>"441424199710262555"</f>
        <v>441424199710262555</v>
      </c>
      <c r="D8401" t="s">
        <v>9107</v>
      </c>
      <c r="E8401" t="s">
        <v>9108</v>
      </c>
      <c r="F8401" t="s">
        <v>0</v>
      </c>
      <c r="G8401" t="str">
        <f>"2018-10-15 20:31:17"</f>
        <v>2018-10-15 20:31:17</v>
      </c>
    </row>
    <row r="8402" spans="1:7" x14ac:dyDescent="0.2">
      <c r="A8402" t="s">
        <v>9109</v>
      </c>
      <c r="B8402" t="str">
        <f>"18189817001"</f>
        <v>18189817001</v>
      </c>
      <c r="C8402" t="str">
        <f>"460027199206016240"</f>
        <v>460027199206016240</v>
      </c>
      <c r="D8402" t="s">
        <v>1</v>
      </c>
      <c r="E8402" t="s">
        <v>1</v>
      </c>
      <c r="F8402" t="s">
        <v>0</v>
      </c>
      <c r="G8402" t="str">
        <f>"2018-10-15 20:26:59"</f>
        <v>2018-10-15 20:26:59</v>
      </c>
    </row>
    <row r="8403" spans="1:7" x14ac:dyDescent="0.2">
      <c r="A8403" t="s">
        <v>4422</v>
      </c>
      <c r="B8403" t="str">
        <f>"13462317095"</f>
        <v>13462317095</v>
      </c>
      <c r="C8403" t="str">
        <f>"410702199507271511"</f>
        <v>410702199507271511</v>
      </c>
      <c r="D8403" t="s">
        <v>1</v>
      </c>
      <c r="E8403" t="s">
        <v>1</v>
      </c>
      <c r="F8403" t="s">
        <v>0</v>
      </c>
      <c r="G8403" t="str">
        <f>"2018-10-15 20:31:15"</f>
        <v>2018-10-15 20:31:15</v>
      </c>
    </row>
    <row r="8404" spans="1:7" x14ac:dyDescent="0.2">
      <c r="A8404" t="s">
        <v>9110</v>
      </c>
      <c r="B8404" t="str">
        <f>"13468940308"</f>
        <v>13468940308</v>
      </c>
      <c r="C8404" t="str">
        <f>"612124197905194019"</f>
        <v>612124197905194019</v>
      </c>
      <c r="D8404" t="s">
        <v>1</v>
      </c>
      <c r="E8404" t="s">
        <v>1</v>
      </c>
      <c r="F8404" t="s">
        <v>0</v>
      </c>
      <c r="G8404" t="str">
        <f>"2018-10-15 20:28:42"</f>
        <v>2018-10-15 20:28:42</v>
      </c>
    </row>
    <row r="8405" spans="1:7" x14ac:dyDescent="0.2">
      <c r="A8405" t="s">
        <v>9111</v>
      </c>
      <c r="B8405" t="str">
        <f>"18393251121"</f>
        <v>18393251121</v>
      </c>
      <c r="C8405" t="str">
        <f>"622421198708200815"</f>
        <v>622421198708200815</v>
      </c>
      <c r="D8405" t="s">
        <v>1</v>
      </c>
      <c r="E8405" t="s">
        <v>1</v>
      </c>
      <c r="F8405" t="s">
        <v>0</v>
      </c>
      <c r="G8405" t="str">
        <f>"2018-10-15 20:30:31"</f>
        <v>2018-10-15 20:30:31</v>
      </c>
    </row>
    <row r="8406" spans="1:7" x14ac:dyDescent="0.2">
      <c r="A8406" t="s">
        <v>1</v>
      </c>
      <c r="B8406" t="str">
        <f>"18700468621"</f>
        <v>18700468621</v>
      </c>
      <c r="C8406" t="s">
        <v>1</v>
      </c>
      <c r="D8406" t="s">
        <v>1</v>
      </c>
      <c r="E8406" t="s">
        <v>1</v>
      </c>
      <c r="F8406" t="s">
        <v>0</v>
      </c>
      <c r="G8406" t="str">
        <f>"2018-10-15 21:04:53"</f>
        <v>2018-10-15 21:04:53</v>
      </c>
    </row>
    <row r="8407" spans="1:7" x14ac:dyDescent="0.2">
      <c r="A8407" t="s">
        <v>9112</v>
      </c>
      <c r="B8407" t="str">
        <f>"15213047564"</f>
        <v>15213047564</v>
      </c>
      <c r="C8407" t="str">
        <f>"500383199306258597"</f>
        <v>500383199306258597</v>
      </c>
      <c r="D8407" t="s">
        <v>1</v>
      </c>
      <c r="E8407" t="s">
        <v>1</v>
      </c>
      <c r="F8407" t="s">
        <v>0</v>
      </c>
      <c r="G8407" t="str">
        <f>"2018-10-16 19:04:47"</f>
        <v>2018-10-16 19:04:47</v>
      </c>
    </row>
    <row r="8408" spans="1:7" x14ac:dyDescent="0.2">
      <c r="A8408" t="s">
        <v>1</v>
      </c>
      <c r="B8408" t="str">
        <f>"15578144224"</f>
        <v>15578144224</v>
      </c>
      <c r="C8408" t="s">
        <v>1</v>
      </c>
      <c r="D8408" t="s">
        <v>1</v>
      </c>
      <c r="E8408" t="s">
        <v>1</v>
      </c>
      <c r="F8408" t="s">
        <v>0</v>
      </c>
      <c r="G8408" t="str">
        <f>"2018-10-15 20:24:15"</f>
        <v>2018-10-15 20:24:15</v>
      </c>
    </row>
    <row r="8409" spans="1:7" x14ac:dyDescent="0.2">
      <c r="A8409" t="s">
        <v>9113</v>
      </c>
      <c r="B8409" t="str">
        <f>"15163296332"</f>
        <v>15163296332</v>
      </c>
      <c r="C8409" t="str">
        <f>"37040619790406664X"</f>
        <v>37040619790406664X</v>
      </c>
      <c r="D8409" t="s">
        <v>1</v>
      </c>
      <c r="E8409" t="s">
        <v>1</v>
      </c>
      <c r="F8409" t="s">
        <v>0</v>
      </c>
      <c r="G8409" t="str">
        <f>"2018-10-15 20:45:25"</f>
        <v>2018-10-15 20:45:25</v>
      </c>
    </row>
    <row r="8410" spans="1:7" x14ac:dyDescent="0.2">
      <c r="A8410" t="s">
        <v>9114</v>
      </c>
      <c r="B8410" t="str">
        <f>"13420442528"</f>
        <v>13420442528</v>
      </c>
      <c r="C8410" t="str">
        <f>"522225198804177513"</f>
        <v>522225198804177513</v>
      </c>
      <c r="D8410" t="s">
        <v>1</v>
      </c>
      <c r="E8410" t="s">
        <v>1</v>
      </c>
      <c r="F8410" t="s">
        <v>0</v>
      </c>
      <c r="G8410" t="str">
        <f>"2018-10-15 20:25:18"</f>
        <v>2018-10-15 20:25:18</v>
      </c>
    </row>
    <row r="8411" spans="1:7" x14ac:dyDescent="0.2">
      <c r="A8411" t="s">
        <v>1</v>
      </c>
      <c r="B8411" t="str">
        <f>"15220277752"</f>
        <v>15220277752</v>
      </c>
      <c r="C8411" t="s">
        <v>1</v>
      </c>
      <c r="D8411" t="s">
        <v>1</v>
      </c>
      <c r="E8411" t="s">
        <v>1</v>
      </c>
      <c r="F8411" t="s">
        <v>0</v>
      </c>
      <c r="G8411" t="str">
        <f>"2018-10-15 20:21:54"</f>
        <v>2018-10-15 20:21:54</v>
      </c>
    </row>
    <row r="8412" spans="1:7" x14ac:dyDescent="0.2">
      <c r="A8412" t="s">
        <v>9115</v>
      </c>
      <c r="B8412" t="str">
        <f>"13797724033"</f>
        <v>13797724033</v>
      </c>
      <c r="C8412" t="str">
        <f>"420683198704070348"</f>
        <v>420683198704070348</v>
      </c>
      <c r="D8412" t="s">
        <v>9116</v>
      </c>
      <c r="E8412" t="s">
        <v>9117</v>
      </c>
      <c r="F8412" t="s">
        <v>0</v>
      </c>
      <c r="G8412" t="str">
        <f>"2018-10-28 09:42:16"</f>
        <v>2018-10-28 09:42:16</v>
      </c>
    </row>
    <row r="8413" spans="1:7" x14ac:dyDescent="0.2">
      <c r="A8413" t="s">
        <v>9118</v>
      </c>
      <c r="B8413" t="str">
        <f>"13614660529"</f>
        <v>13614660529</v>
      </c>
      <c r="C8413" t="str">
        <f>"230223199109290929"</f>
        <v>230223199109290929</v>
      </c>
      <c r="D8413" t="s">
        <v>1</v>
      </c>
      <c r="E8413" t="s">
        <v>1</v>
      </c>
      <c r="F8413" t="s">
        <v>0</v>
      </c>
      <c r="G8413" t="str">
        <f>"2018-10-15 20:22:57"</f>
        <v>2018-10-15 20:22:57</v>
      </c>
    </row>
    <row r="8414" spans="1:7" x14ac:dyDescent="0.2">
      <c r="A8414" t="s">
        <v>9119</v>
      </c>
      <c r="B8414" t="str">
        <f>"13208509797"</f>
        <v>13208509797</v>
      </c>
      <c r="C8414" t="str">
        <f>"131121199006255011"</f>
        <v>131121199006255011</v>
      </c>
      <c r="D8414" t="s">
        <v>9120</v>
      </c>
      <c r="E8414" t="s">
        <v>9121</v>
      </c>
      <c r="F8414" t="s">
        <v>0</v>
      </c>
      <c r="G8414" t="str">
        <f>"2018-10-16 13:55:32"</f>
        <v>2018-10-16 13:55:32</v>
      </c>
    </row>
    <row r="8415" spans="1:7" x14ac:dyDescent="0.2">
      <c r="A8415" t="s">
        <v>1</v>
      </c>
      <c r="B8415" t="str">
        <f>"17843553868"</f>
        <v>17843553868</v>
      </c>
      <c r="C8415" t="s">
        <v>1</v>
      </c>
      <c r="D8415" t="s">
        <v>1</v>
      </c>
      <c r="E8415" t="s">
        <v>1</v>
      </c>
      <c r="F8415" t="s">
        <v>0</v>
      </c>
      <c r="G8415" t="str">
        <f>"2018-10-15 20:17:14"</f>
        <v>2018-10-15 20:17:14</v>
      </c>
    </row>
    <row r="8416" spans="1:7" x14ac:dyDescent="0.2">
      <c r="A8416" t="s">
        <v>9122</v>
      </c>
      <c r="B8416" t="str">
        <f>"13924995139"</f>
        <v>13924995139</v>
      </c>
      <c r="C8416" t="str">
        <f>"441825198612031650"</f>
        <v>441825198612031650</v>
      </c>
      <c r="D8416" t="s">
        <v>1</v>
      </c>
      <c r="E8416" t="s">
        <v>1</v>
      </c>
      <c r="F8416" t="s">
        <v>0</v>
      </c>
      <c r="G8416" t="str">
        <f>"2018-10-15 20:13:32"</f>
        <v>2018-10-15 20:13:32</v>
      </c>
    </row>
    <row r="8417" spans="1:7" x14ac:dyDescent="0.2">
      <c r="A8417" t="s">
        <v>1</v>
      </c>
      <c r="B8417" t="str">
        <f>"17074975823"</f>
        <v>17074975823</v>
      </c>
      <c r="C8417" t="s">
        <v>1</v>
      </c>
      <c r="D8417" t="s">
        <v>1</v>
      </c>
      <c r="E8417" t="s">
        <v>1</v>
      </c>
      <c r="F8417" t="s">
        <v>0</v>
      </c>
      <c r="G8417" t="str">
        <f>"2018-10-15 20:11:24"</f>
        <v>2018-10-15 20:11:24</v>
      </c>
    </row>
    <row r="8418" spans="1:7" x14ac:dyDescent="0.2">
      <c r="A8418" t="s">
        <v>452</v>
      </c>
      <c r="B8418" t="str">
        <f>"13914668878"</f>
        <v>13914668878</v>
      </c>
      <c r="C8418" t="str">
        <f>"320981198207307914"</f>
        <v>320981198207307914</v>
      </c>
      <c r="D8418" t="s">
        <v>1</v>
      </c>
      <c r="E8418" t="s">
        <v>1</v>
      </c>
      <c r="F8418" t="s">
        <v>0</v>
      </c>
      <c r="G8418" t="str">
        <f>"2018-10-16 10:22:54"</f>
        <v>2018-10-16 10:22:54</v>
      </c>
    </row>
    <row r="8419" spans="1:7" x14ac:dyDescent="0.2">
      <c r="A8419" t="s">
        <v>9123</v>
      </c>
      <c r="B8419" t="str">
        <f>"18055687630"</f>
        <v>18055687630</v>
      </c>
      <c r="C8419" t="str">
        <f>"340825199209191355"</f>
        <v>340825199209191355</v>
      </c>
      <c r="D8419" t="s">
        <v>1</v>
      </c>
      <c r="E8419" t="s">
        <v>1</v>
      </c>
      <c r="F8419" t="s">
        <v>0</v>
      </c>
      <c r="G8419" t="str">
        <f>"2018-10-15 20:09:58"</f>
        <v>2018-10-15 20:09:58</v>
      </c>
    </row>
    <row r="8420" spans="1:7" x14ac:dyDescent="0.2">
      <c r="A8420" t="s">
        <v>9124</v>
      </c>
      <c r="B8420" t="str">
        <f>"13936294397"</f>
        <v>13936294397</v>
      </c>
      <c r="C8420" t="str">
        <f>"230103198202230618"</f>
        <v>230103198202230618</v>
      </c>
      <c r="D8420" t="s">
        <v>1</v>
      </c>
      <c r="E8420" t="s">
        <v>1</v>
      </c>
      <c r="F8420" t="s">
        <v>0</v>
      </c>
      <c r="G8420" t="str">
        <f>"2018-10-15 20:10:13"</f>
        <v>2018-10-15 20:10:13</v>
      </c>
    </row>
    <row r="8421" spans="1:7" x14ac:dyDescent="0.2">
      <c r="A8421" t="s">
        <v>9125</v>
      </c>
      <c r="B8421" t="str">
        <f>"13944263067"</f>
        <v>13944263067</v>
      </c>
      <c r="C8421" t="str">
        <f>"220223197904055839"</f>
        <v>220223197904055839</v>
      </c>
      <c r="D8421" t="s">
        <v>1</v>
      </c>
      <c r="E8421" t="s">
        <v>1</v>
      </c>
      <c r="F8421" t="s">
        <v>0</v>
      </c>
      <c r="G8421" t="str">
        <f>"2018-10-15 20:09:20"</f>
        <v>2018-10-15 20:09:20</v>
      </c>
    </row>
    <row r="8422" spans="1:7" x14ac:dyDescent="0.2">
      <c r="A8422" t="s">
        <v>1</v>
      </c>
      <c r="B8422" t="str">
        <f>"18365387910"</f>
        <v>18365387910</v>
      </c>
      <c r="C8422" t="s">
        <v>1</v>
      </c>
      <c r="D8422" t="s">
        <v>1</v>
      </c>
      <c r="E8422" t="s">
        <v>1</v>
      </c>
      <c r="F8422" t="s">
        <v>0</v>
      </c>
      <c r="G8422" t="str">
        <f>"2018-10-15 20:07:08"</f>
        <v>2018-10-15 20:07:08</v>
      </c>
    </row>
    <row r="8423" spans="1:7" x14ac:dyDescent="0.2">
      <c r="A8423" t="s">
        <v>1</v>
      </c>
      <c r="B8423" t="str">
        <f>"18016798628"</f>
        <v>18016798628</v>
      </c>
      <c r="C8423" t="s">
        <v>1</v>
      </c>
      <c r="D8423" t="s">
        <v>1</v>
      </c>
      <c r="E8423" t="s">
        <v>1</v>
      </c>
      <c r="F8423" t="s">
        <v>0</v>
      </c>
      <c r="G8423" t="str">
        <f>"2018-10-15 20:05:27"</f>
        <v>2018-10-15 20:05:27</v>
      </c>
    </row>
    <row r="8424" spans="1:7" x14ac:dyDescent="0.2">
      <c r="A8424" t="s">
        <v>9126</v>
      </c>
      <c r="B8424" t="str">
        <f>"13501783378"</f>
        <v>13501783378</v>
      </c>
      <c r="C8424" t="str">
        <f>"310108197409132801"</f>
        <v>310108197409132801</v>
      </c>
      <c r="D8424" t="s">
        <v>1</v>
      </c>
      <c r="E8424" t="s">
        <v>1</v>
      </c>
      <c r="F8424" t="s">
        <v>0</v>
      </c>
      <c r="G8424" t="str">
        <f>"2018-10-15 20:45:07"</f>
        <v>2018-10-15 20:45:07</v>
      </c>
    </row>
    <row r="8425" spans="1:7" x14ac:dyDescent="0.2">
      <c r="A8425" t="s">
        <v>333</v>
      </c>
      <c r="B8425" t="str">
        <f>"13737583244"</f>
        <v>13737583244</v>
      </c>
      <c r="C8425" t="str">
        <f>"450902198509011741"</f>
        <v>450902198509011741</v>
      </c>
      <c r="D8425" t="s">
        <v>1</v>
      </c>
      <c r="E8425" t="s">
        <v>1</v>
      </c>
      <c r="F8425" t="s">
        <v>0</v>
      </c>
      <c r="G8425" t="str">
        <f>"2018-10-15 20:05:44"</f>
        <v>2018-10-15 20:05:44</v>
      </c>
    </row>
    <row r="8426" spans="1:7" x14ac:dyDescent="0.2">
      <c r="A8426" t="s">
        <v>9127</v>
      </c>
      <c r="B8426" t="str">
        <f>"13755295272"</f>
        <v>13755295272</v>
      </c>
      <c r="C8426" t="str">
        <f>"360481197801144033"</f>
        <v>360481197801144033</v>
      </c>
      <c r="D8426" t="s">
        <v>1</v>
      </c>
      <c r="E8426" t="s">
        <v>1</v>
      </c>
      <c r="F8426" t="s">
        <v>0</v>
      </c>
      <c r="G8426" t="str">
        <f>"2018-10-15 20:03:57"</f>
        <v>2018-10-15 20:03:57</v>
      </c>
    </row>
    <row r="8427" spans="1:7" x14ac:dyDescent="0.2">
      <c r="A8427" t="s">
        <v>9128</v>
      </c>
      <c r="B8427" t="str">
        <f>"18985738888"</f>
        <v>18985738888</v>
      </c>
      <c r="C8427" t="str">
        <f>"522530197905012534"</f>
        <v>522530197905012534</v>
      </c>
      <c r="D8427" t="s">
        <v>1</v>
      </c>
      <c r="E8427" t="s">
        <v>1</v>
      </c>
      <c r="F8427" t="s">
        <v>0</v>
      </c>
      <c r="G8427" t="str">
        <f>"2018-10-15 20:05:49"</f>
        <v>2018-10-15 20:05:49</v>
      </c>
    </row>
    <row r="8428" spans="1:7" x14ac:dyDescent="0.2">
      <c r="A8428" t="s">
        <v>1567</v>
      </c>
      <c r="B8428" t="str">
        <f>"13664870146"</f>
        <v>13664870146</v>
      </c>
      <c r="C8428" t="str">
        <f>"150207199010075612"</f>
        <v>150207199010075612</v>
      </c>
      <c r="D8428" t="s">
        <v>1</v>
      </c>
      <c r="E8428" t="s">
        <v>1</v>
      </c>
      <c r="F8428" t="s">
        <v>0</v>
      </c>
      <c r="G8428" t="str">
        <f>"2018-10-15 20:15:13"</f>
        <v>2018-10-15 20:15:13</v>
      </c>
    </row>
    <row r="8429" spans="1:7" x14ac:dyDescent="0.2">
      <c r="A8429" t="s">
        <v>1</v>
      </c>
      <c r="B8429" t="str">
        <f>"15829639602"</f>
        <v>15829639602</v>
      </c>
      <c r="C8429" t="s">
        <v>1</v>
      </c>
      <c r="D8429" t="s">
        <v>1</v>
      </c>
      <c r="E8429" t="s">
        <v>1</v>
      </c>
      <c r="F8429" t="s">
        <v>0</v>
      </c>
      <c r="G8429" t="str">
        <f>"2018-10-15 20:03:22"</f>
        <v>2018-10-15 20:03:22</v>
      </c>
    </row>
    <row r="8430" spans="1:7" x14ac:dyDescent="0.2">
      <c r="A8430" t="s">
        <v>9129</v>
      </c>
      <c r="B8430" t="str">
        <f>"13535536670"</f>
        <v>13535536670</v>
      </c>
      <c r="C8430" t="str">
        <f>"440184199702141816"</f>
        <v>440184199702141816</v>
      </c>
      <c r="D8430" t="s">
        <v>1</v>
      </c>
      <c r="E8430" t="s">
        <v>1</v>
      </c>
      <c r="F8430" t="s">
        <v>0</v>
      </c>
      <c r="G8430" t="str">
        <f>"2018-10-15 20:02:00"</f>
        <v>2018-10-15 20:02:00</v>
      </c>
    </row>
    <row r="8431" spans="1:7" x14ac:dyDescent="0.2">
      <c r="A8431" t="s">
        <v>9130</v>
      </c>
      <c r="B8431" t="str">
        <f>"17355183290"</f>
        <v>17355183290</v>
      </c>
      <c r="C8431" t="str">
        <f>"341002199909240413"</f>
        <v>341002199909240413</v>
      </c>
      <c r="D8431" t="s">
        <v>1</v>
      </c>
      <c r="E8431" t="s">
        <v>1</v>
      </c>
      <c r="F8431" t="s">
        <v>0</v>
      </c>
      <c r="G8431" t="str">
        <f>"2018-10-15 20:02:36"</f>
        <v>2018-10-15 20:02:36</v>
      </c>
    </row>
    <row r="8432" spans="1:7" x14ac:dyDescent="0.2">
      <c r="A8432" t="s">
        <v>642</v>
      </c>
      <c r="B8432" t="str">
        <f>"18606083627"</f>
        <v>18606083627</v>
      </c>
      <c r="C8432" t="str">
        <f>"410327199306274017"</f>
        <v>410327199306274017</v>
      </c>
      <c r="D8432" t="s">
        <v>1</v>
      </c>
      <c r="E8432" t="s">
        <v>1</v>
      </c>
      <c r="F8432" t="s">
        <v>0</v>
      </c>
      <c r="G8432" t="str">
        <f>"2018-10-15 20:11:38"</f>
        <v>2018-10-15 20:11:38</v>
      </c>
    </row>
    <row r="8433" spans="1:7" x14ac:dyDescent="0.2">
      <c r="A8433" t="s">
        <v>9131</v>
      </c>
      <c r="B8433" t="str">
        <f>"13592585697"</f>
        <v>13592585697</v>
      </c>
      <c r="C8433" t="str">
        <f>"412902197512200172"</f>
        <v>412902197512200172</v>
      </c>
      <c r="D8433" t="s">
        <v>1</v>
      </c>
      <c r="E8433" t="s">
        <v>1</v>
      </c>
      <c r="F8433" t="s">
        <v>0</v>
      </c>
      <c r="G8433" t="str">
        <f>"2018-10-15 19:58:16"</f>
        <v>2018-10-15 19:58:16</v>
      </c>
    </row>
    <row r="8434" spans="1:7" x14ac:dyDescent="0.2">
      <c r="A8434" t="s">
        <v>1</v>
      </c>
      <c r="B8434" t="str">
        <f>"15280768092"</f>
        <v>15280768092</v>
      </c>
      <c r="C8434" t="s">
        <v>1</v>
      </c>
      <c r="D8434" t="s">
        <v>1</v>
      </c>
      <c r="E8434" t="s">
        <v>1</v>
      </c>
      <c r="F8434" t="s">
        <v>0</v>
      </c>
      <c r="G8434" t="str">
        <f>"2018-10-15 19:55:50"</f>
        <v>2018-10-15 19:55:50</v>
      </c>
    </row>
    <row r="8435" spans="1:7" x14ac:dyDescent="0.2">
      <c r="A8435" t="s">
        <v>9132</v>
      </c>
      <c r="B8435" t="str">
        <f>"15819143345"</f>
        <v>15819143345</v>
      </c>
      <c r="C8435" t="str">
        <f>"441702199007153339"</f>
        <v>441702199007153339</v>
      </c>
      <c r="D8435" t="s">
        <v>1</v>
      </c>
      <c r="E8435" t="s">
        <v>1</v>
      </c>
      <c r="F8435" t="s">
        <v>0</v>
      </c>
      <c r="G8435" t="str">
        <f>"2018-10-15 22:31:43"</f>
        <v>2018-10-15 22:31:43</v>
      </c>
    </row>
    <row r="8436" spans="1:7" x14ac:dyDescent="0.2">
      <c r="A8436" t="s">
        <v>9133</v>
      </c>
      <c r="B8436" t="str">
        <f>"13158085166"</f>
        <v>13158085166</v>
      </c>
      <c r="C8436" t="str">
        <f>"522427199102237233"</f>
        <v>522427199102237233</v>
      </c>
      <c r="D8436" t="s">
        <v>9134</v>
      </c>
      <c r="E8436" t="s">
        <v>9135</v>
      </c>
      <c r="F8436" t="s">
        <v>0</v>
      </c>
      <c r="G8436" t="str">
        <f>"2018-10-15 19:54:52"</f>
        <v>2018-10-15 19:54:52</v>
      </c>
    </row>
    <row r="8437" spans="1:7" x14ac:dyDescent="0.2">
      <c r="A8437" t="s">
        <v>9136</v>
      </c>
      <c r="B8437" t="str">
        <f>"13697912743"</f>
        <v>13697912743</v>
      </c>
      <c r="C8437" t="str">
        <f>"360104199911252211"</f>
        <v>360104199911252211</v>
      </c>
      <c r="D8437" t="s">
        <v>1</v>
      </c>
      <c r="E8437" t="s">
        <v>1</v>
      </c>
      <c r="F8437" t="s">
        <v>0</v>
      </c>
      <c r="G8437" t="str">
        <f>"2018-10-15 19:53:33"</f>
        <v>2018-10-15 19:53:33</v>
      </c>
    </row>
    <row r="8438" spans="1:7" x14ac:dyDescent="0.2">
      <c r="A8438" t="s">
        <v>9137</v>
      </c>
      <c r="B8438" t="str">
        <f>"15953949719"</f>
        <v>15953949719</v>
      </c>
      <c r="C8438" t="str">
        <f>"371102198009187115"</f>
        <v>371102198009187115</v>
      </c>
      <c r="D8438" t="s">
        <v>1</v>
      </c>
      <c r="E8438" t="s">
        <v>1</v>
      </c>
      <c r="F8438" t="s">
        <v>0</v>
      </c>
      <c r="G8438" t="str">
        <f>"2018-10-16 07:26:24"</f>
        <v>2018-10-16 07:26:24</v>
      </c>
    </row>
    <row r="8439" spans="1:7" x14ac:dyDescent="0.2">
      <c r="A8439" t="s">
        <v>9138</v>
      </c>
      <c r="B8439" t="str">
        <f>"13824582853"</f>
        <v>13824582853</v>
      </c>
      <c r="C8439" t="str">
        <f>"44142619920812001X"</f>
        <v>44142619920812001X</v>
      </c>
      <c r="D8439" t="s">
        <v>9139</v>
      </c>
      <c r="E8439" t="s">
        <v>9140</v>
      </c>
      <c r="F8439" t="s">
        <v>0</v>
      </c>
      <c r="G8439" t="str">
        <f>"2018-10-22 18:08:16"</f>
        <v>2018-10-22 18:08:16</v>
      </c>
    </row>
    <row r="8440" spans="1:7" x14ac:dyDescent="0.2">
      <c r="A8440" t="s">
        <v>9141</v>
      </c>
      <c r="B8440" t="str">
        <f>"15287927433"</f>
        <v>15287927433</v>
      </c>
      <c r="C8440" t="str">
        <f>"530302199109240694"</f>
        <v>530302199109240694</v>
      </c>
      <c r="D8440" t="s">
        <v>1</v>
      </c>
      <c r="E8440" t="s">
        <v>1</v>
      </c>
      <c r="F8440" t="s">
        <v>0</v>
      </c>
      <c r="G8440" t="str">
        <f>"2018-10-15 19:54:48"</f>
        <v>2018-10-15 19:54:48</v>
      </c>
    </row>
    <row r="8441" spans="1:7" x14ac:dyDescent="0.2">
      <c r="A8441" t="s">
        <v>1</v>
      </c>
      <c r="B8441" t="str">
        <f>"14740557389"</f>
        <v>14740557389</v>
      </c>
      <c r="C8441" t="s">
        <v>1</v>
      </c>
      <c r="D8441" t="s">
        <v>1</v>
      </c>
      <c r="E8441" t="s">
        <v>1</v>
      </c>
      <c r="F8441" t="s">
        <v>0</v>
      </c>
      <c r="G8441" t="str">
        <f>"2018-10-15 19:50:50"</f>
        <v>2018-10-15 19:50:50</v>
      </c>
    </row>
    <row r="8442" spans="1:7" x14ac:dyDescent="0.2">
      <c r="A8442" t="s">
        <v>9142</v>
      </c>
      <c r="B8442" t="str">
        <f>"15184134406"</f>
        <v>15184134406</v>
      </c>
      <c r="C8442" t="str">
        <f>"211221198903181834"</f>
        <v>211221198903181834</v>
      </c>
      <c r="D8442" t="s">
        <v>1</v>
      </c>
      <c r="E8442" t="s">
        <v>1</v>
      </c>
      <c r="F8442" t="s">
        <v>0</v>
      </c>
      <c r="G8442" t="str">
        <f>"2018-10-15 19:53:06"</f>
        <v>2018-10-15 19:53:06</v>
      </c>
    </row>
    <row r="8443" spans="1:7" x14ac:dyDescent="0.2">
      <c r="A8443" t="s">
        <v>1</v>
      </c>
      <c r="B8443" t="str">
        <f>"13451497958"</f>
        <v>13451497958</v>
      </c>
      <c r="C8443" t="s">
        <v>1</v>
      </c>
      <c r="D8443" t="s">
        <v>1</v>
      </c>
      <c r="E8443" t="s">
        <v>1</v>
      </c>
      <c r="F8443" t="s">
        <v>0</v>
      </c>
      <c r="G8443" t="str">
        <f>"2018-10-15 19:49:53"</f>
        <v>2018-10-15 19:49:53</v>
      </c>
    </row>
    <row r="8444" spans="1:7" x14ac:dyDescent="0.2">
      <c r="A8444" t="s">
        <v>1</v>
      </c>
      <c r="B8444" t="str">
        <f>"15891165188"</f>
        <v>15891165188</v>
      </c>
      <c r="C8444" t="s">
        <v>1</v>
      </c>
      <c r="D8444" t="s">
        <v>1</v>
      </c>
      <c r="E8444" t="s">
        <v>1</v>
      </c>
      <c r="F8444" t="s">
        <v>0</v>
      </c>
      <c r="G8444" t="str">
        <f>"2018-10-15 19:51:10"</f>
        <v>2018-10-15 19:51:10</v>
      </c>
    </row>
    <row r="8445" spans="1:7" x14ac:dyDescent="0.2">
      <c r="A8445" t="s">
        <v>1</v>
      </c>
      <c r="B8445" t="str">
        <f>"15944252494"</f>
        <v>15944252494</v>
      </c>
      <c r="C8445" t="s">
        <v>1</v>
      </c>
      <c r="D8445" t="s">
        <v>1</v>
      </c>
      <c r="E8445" t="s">
        <v>1</v>
      </c>
      <c r="F8445" t="s">
        <v>0</v>
      </c>
      <c r="G8445" t="str">
        <f>"2018-10-15 19:49:01"</f>
        <v>2018-10-15 19:49:01</v>
      </c>
    </row>
    <row r="8446" spans="1:7" x14ac:dyDescent="0.2">
      <c r="A8446" t="s">
        <v>9143</v>
      </c>
      <c r="B8446" t="str">
        <f>"13263270581"</f>
        <v>13263270581</v>
      </c>
      <c r="C8446" t="str">
        <f>"622225200008073311"</f>
        <v>622225200008073311</v>
      </c>
      <c r="D8446" t="s">
        <v>1</v>
      </c>
      <c r="E8446" t="s">
        <v>1</v>
      </c>
      <c r="F8446" t="s">
        <v>0</v>
      </c>
      <c r="G8446" t="str">
        <f>"2018-10-15 19:49:30"</f>
        <v>2018-10-15 19:49:30</v>
      </c>
    </row>
    <row r="8447" spans="1:7" x14ac:dyDescent="0.2">
      <c r="A8447" t="s">
        <v>330</v>
      </c>
      <c r="B8447" t="str">
        <f>"13472164488"</f>
        <v>13472164488</v>
      </c>
      <c r="C8447" t="str">
        <f>"130133198803160031"</f>
        <v>130133198803160031</v>
      </c>
      <c r="D8447" t="s">
        <v>1</v>
      </c>
      <c r="E8447" t="s">
        <v>1</v>
      </c>
      <c r="F8447" t="s">
        <v>0</v>
      </c>
      <c r="G8447" t="str">
        <f>"2018-10-22 19:38:58"</f>
        <v>2018-10-22 19:38:58</v>
      </c>
    </row>
    <row r="8448" spans="1:7" x14ac:dyDescent="0.2">
      <c r="A8448" t="s">
        <v>9144</v>
      </c>
      <c r="B8448" t="str">
        <f>"13544495796"</f>
        <v>13544495796</v>
      </c>
      <c r="C8448" t="str">
        <f>"452424198707011112"</f>
        <v>452424198707011112</v>
      </c>
      <c r="D8448" t="s">
        <v>1</v>
      </c>
      <c r="E8448" t="s">
        <v>1</v>
      </c>
      <c r="F8448" t="s">
        <v>0</v>
      </c>
      <c r="G8448" t="str">
        <f>"2018-10-15 19:49:09"</f>
        <v>2018-10-15 19:49:09</v>
      </c>
    </row>
    <row r="8449" spans="1:7" x14ac:dyDescent="0.2">
      <c r="A8449" t="s">
        <v>1219</v>
      </c>
      <c r="B8449" t="str">
        <f>"13678969653"</f>
        <v>13678969653</v>
      </c>
      <c r="C8449" t="str">
        <f>"43052119791125779X"</f>
        <v>43052119791125779X</v>
      </c>
      <c r="D8449" t="s">
        <v>1</v>
      </c>
      <c r="E8449" t="s">
        <v>1</v>
      </c>
      <c r="F8449" t="s">
        <v>0</v>
      </c>
      <c r="G8449" t="str">
        <f>"2018-10-15 19:45:52"</f>
        <v>2018-10-15 19:45:52</v>
      </c>
    </row>
    <row r="8450" spans="1:7" x14ac:dyDescent="0.2">
      <c r="A8450" t="s">
        <v>9145</v>
      </c>
      <c r="B8450" t="str">
        <f>"15157376022"</f>
        <v>15157376022</v>
      </c>
      <c r="C8450" t="str">
        <f>"411381198807122630"</f>
        <v>411381198807122630</v>
      </c>
      <c r="D8450" t="s">
        <v>1</v>
      </c>
      <c r="E8450" t="s">
        <v>1</v>
      </c>
      <c r="F8450" t="s">
        <v>0</v>
      </c>
      <c r="G8450" t="str">
        <f>"2018-10-15 19:44:10"</f>
        <v>2018-10-15 19:44:10</v>
      </c>
    </row>
    <row r="8451" spans="1:7" x14ac:dyDescent="0.2">
      <c r="A8451" t="s">
        <v>1</v>
      </c>
      <c r="B8451" t="str">
        <f>"15518005655"</f>
        <v>15518005655</v>
      </c>
      <c r="C8451" t="s">
        <v>1</v>
      </c>
      <c r="D8451" t="s">
        <v>1</v>
      </c>
      <c r="E8451" t="s">
        <v>1</v>
      </c>
      <c r="F8451" t="s">
        <v>0</v>
      </c>
      <c r="G8451" t="str">
        <f>"2018-10-15 19:47:46"</f>
        <v>2018-10-15 19:47:46</v>
      </c>
    </row>
    <row r="8452" spans="1:7" x14ac:dyDescent="0.2">
      <c r="A8452" t="s">
        <v>1</v>
      </c>
      <c r="B8452" t="str">
        <f>"18037698378"</f>
        <v>18037698378</v>
      </c>
      <c r="C8452" t="s">
        <v>1</v>
      </c>
      <c r="D8452" t="s">
        <v>1</v>
      </c>
      <c r="E8452" t="s">
        <v>1</v>
      </c>
      <c r="F8452" t="s">
        <v>0</v>
      </c>
      <c r="G8452" t="str">
        <f>"2018-10-15 19:41:16"</f>
        <v>2018-10-15 19:41:16</v>
      </c>
    </row>
    <row r="8453" spans="1:7" x14ac:dyDescent="0.2">
      <c r="A8453" t="s">
        <v>9146</v>
      </c>
      <c r="B8453" t="str">
        <f>"15265744149"</f>
        <v>15265744149</v>
      </c>
      <c r="C8453" t="str">
        <f>"370882199006243250"</f>
        <v>370882199006243250</v>
      </c>
      <c r="D8453" t="s">
        <v>9147</v>
      </c>
      <c r="E8453" t="s">
        <v>9148</v>
      </c>
      <c r="F8453" t="s">
        <v>0</v>
      </c>
      <c r="G8453" t="str">
        <f>"2018-10-15 19:41:41"</f>
        <v>2018-10-15 19:41:41</v>
      </c>
    </row>
    <row r="8454" spans="1:7" x14ac:dyDescent="0.2">
      <c r="A8454" t="s">
        <v>1</v>
      </c>
      <c r="B8454" t="str">
        <f>"18606105155"</f>
        <v>18606105155</v>
      </c>
      <c r="C8454" t="s">
        <v>1</v>
      </c>
      <c r="D8454" t="s">
        <v>1</v>
      </c>
      <c r="E8454" t="s">
        <v>1</v>
      </c>
      <c r="F8454" t="s">
        <v>0</v>
      </c>
      <c r="G8454" t="str">
        <f>"2018-10-15 19:55:42"</f>
        <v>2018-10-15 19:55:42</v>
      </c>
    </row>
    <row r="8455" spans="1:7" x14ac:dyDescent="0.2">
      <c r="A8455" t="s">
        <v>1</v>
      </c>
      <c r="B8455" t="str">
        <f>"13596354434"</f>
        <v>13596354434</v>
      </c>
      <c r="C8455" t="s">
        <v>1</v>
      </c>
      <c r="D8455" t="s">
        <v>1</v>
      </c>
      <c r="E8455" t="s">
        <v>1</v>
      </c>
      <c r="F8455" t="s">
        <v>0</v>
      </c>
      <c r="G8455" t="str">
        <f>"2018-10-15 19:37:42"</f>
        <v>2018-10-15 19:37:42</v>
      </c>
    </row>
    <row r="8456" spans="1:7" x14ac:dyDescent="0.2">
      <c r="A8456" t="s">
        <v>9149</v>
      </c>
      <c r="B8456" t="str">
        <f>"13986198035"</f>
        <v>13986198035</v>
      </c>
      <c r="C8456" t="str">
        <f>"420581197908170030"</f>
        <v>420581197908170030</v>
      </c>
      <c r="D8456" t="s">
        <v>9150</v>
      </c>
      <c r="E8456" t="s">
        <v>9151</v>
      </c>
      <c r="F8456" t="s">
        <v>0</v>
      </c>
      <c r="G8456" t="str">
        <f>"2018-10-15 19:37:15"</f>
        <v>2018-10-15 19:37:15</v>
      </c>
    </row>
    <row r="8457" spans="1:7" x14ac:dyDescent="0.2">
      <c r="A8457" t="s">
        <v>1</v>
      </c>
      <c r="B8457" t="str">
        <f>"15577834916"</f>
        <v>15577834916</v>
      </c>
      <c r="C8457" t="s">
        <v>1</v>
      </c>
      <c r="D8457" t="s">
        <v>1</v>
      </c>
      <c r="E8457" t="s">
        <v>1</v>
      </c>
      <c r="F8457" t="s">
        <v>0</v>
      </c>
      <c r="G8457" t="str">
        <f>"2018-10-15 19:31:40"</f>
        <v>2018-10-15 19:31:40</v>
      </c>
    </row>
    <row r="8458" spans="1:7" x14ac:dyDescent="0.2">
      <c r="A8458" t="s">
        <v>1</v>
      </c>
      <c r="B8458" t="str">
        <f>"18889894315"</f>
        <v>18889894315</v>
      </c>
      <c r="C8458" t="s">
        <v>1</v>
      </c>
      <c r="D8458" t="s">
        <v>1</v>
      </c>
      <c r="E8458" t="s">
        <v>1</v>
      </c>
      <c r="F8458" t="s">
        <v>0</v>
      </c>
      <c r="G8458" t="str">
        <f>"2018-10-15 19:27:35"</f>
        <v>2018-10-15 19:27:35</v>
      </c>
    </row>
    <row r="8459" spans="1:7" x14ac:dyDescent="0.2">
      <c r="A8459" t="s">
        <v>1</v>
      </c>
      <c r="B8459" t="str">
        <f>"13064535492"</f>
        <v>13064535492</v>
      </c>
      <c r="C8459" t="s">
        <v>1</v>
      </c>
      <c r="D8459" t="s">
        <v>1</v>
      </c>
      <c r="E8459" t="s">
        <v>1</v>
      </c>
      <c r="F8459" t="s">
        <v>0</v>
      </c>
      <c r="G8459" t="str">
        <f>"2018-10-15 19:26:51"</f>
        <v>2018-10-15 19:26:51</v>
      </c>
    </row>
    <row r="8460" spans="1:7" x14ac:dyDescent="0.2">
      <c r="A8460" t="s">
        <v>9152</v>
      </c>
      <c r="B8460" t="str">
        <f>"13903643334"</f>
        <v>13903643334</v>
      </c>
      <c r="C8460" t="str">
        <f>"23081919801106031X"</f>
        <v>23081919801106031X</v>
      </c>
      <c r="D8460" t="s">
        <v>1</v>
      </c>
      <c r="E8460" t="s">
        <v>1</v>
      </c>
      <c r="F8460" t="s">
        <v>0</v>
      </c>
      <c r="G8460" t="str">
        <f>"2018-10-15 19:26:45"</f>
        <v>2018-10-15 19:26:45</v>
      </c>
    </row>
    <row r="8461" spans="1:7" x14ac:dyDescent="0.2">
      <c r="A8461" t="s">
        <v>9153</v>
      </c>
      <c r="B8461" t="str">
        <f>"18643488422"</f>
        <v>18643488422</v>
      </c>
      <c r="C8461" t="str">
        <f>"220323199105065437"</f>
        <v>220323199105065437</v>
      </c>
      <c r="D8461" t="s">
        <v>9154</v>
      </c>
      <c r="E8461" t="s">
        <v>9155</v>
      </c>
      <c r="F8461" t="s">
        <v>0</v>
      </c>
      <c r="G8461" t="str">
        <f>"2018-10-15 19:26:12"</f>
        <v>2018-10-15 19:26:12</v>
      </c>
    </row>
    <row r="8462" spans="1:7" x14ac:dyDescent="0.2">
      <c r="A8462" t="s">
        <v>9156</v>
      </c>
      <c r="B8462" t="str">
        <f>"15838775213"</f>
        <v>15838775213</v>
      </c>
      <c r="C8462" t="str">
        <f>"411321199911050356"</f>
        <v>411321199911050356</v>
      </c>
      <c r="D8462" t="s">
        <v>1</v>
      </c>
      <c r="E8462" t="s">
        <v>1</v>
      </c>
      <c r="F8462" t="s">
        <v>0</v>
      </c>
      <c r="G8462" t="str">
        <f>"2018-10-15 19:27:10"</f>
        <v>2018-10-15 19:27:10</v>
      </c>
    </row>
    <row r="8463" spans="1:7" x14ac:dyDescent="0.2">
      <c r="A8463" t="s">
        <v>9157</v>
      </c>
      <c r="B8463" t="str">
        <f>"18789778822"</f>
        <v>18789778822</v>
      </c>
      <c r="C8463" t="str">
        <f>"460004199512202637"</f>
        <v>460004199512202637</v>
      </c>
      <c r="D8463" t="s">
        <v>1</v>
      </c>
      <c r="E8463" t="s">
        <v>1</v>
      </c>
      <c r="F8463" t="s">
        <v>0</v>
      </c>
      <c r="G8463" t="str">
        <f>"2018-10-15 19:23:33"</f>
        <v>2018-10-15 19:23:33</v>
      </c>
    </row>
    <row r="8464" spans="1:7" x14ac:dyDescent="0.2">
      <c r="A8464" t="s">
        <v>9158</v>
      </c>
      <c r="B8464" t="str">
        <f>"18993595648"</f>
        <v>18993595648</v>
      </c>
      <c r="C8464" t="str">
        <f>"622323198602137018"</f>
        <v>622323198602137018</v>
      </c>
      <c r="D8464" t="s">
        <v>1</v>
      </c>
      <c r="E8464" t="s">
        <v>1</v>
      </c>
      <c r="F8464" t="s">
        <v>0</v>
      </c>
      <c r="G8464" t="str">
        <f>"2018-10-15 19:49:52"</f>
        <v>2018-10-15 19:49:52</v>
      </c>
    </row>
    <row r="8465" spans="1:7" x14ac:dyDescent="0.2">
      <c r="A8465" t="s">
        <v>9159</v>
      </c>
      <c r="B8465" t="str">
        <f>"18979713489"</f>
        <v>18979713489</v>
      </c>
      <c r="C8465" t="str">
        <f>"360727198703182610"</f>
        <v>360727198703182610</v>
      </c>
      <c r="D8465" t="s">
        <v>1</v>
      </c>
      <c r="E8465" t="s">
        <v>1</v>
      </c>
      <c r="F8465" t="s">
        <v>0</v>
      </c>
      <c r="G8465" t="str">
        <f>"2018-10-15 19:22:14"</f>
        <v>2018-10-15 19:22:14</v>
      </c>
    </row>
    <row r="8466" spans="1:7" x14ac:dyDescent="0.2">
      <c r="A8466" t="s">
        <v>9160</v>
      </c>
      <c r="B8466" t="str">
        <f>"18885246568"</f>
        <v>18885246568</v>
      </c>
      <c r="C8466" t="str">
        <f>"522130199311200076"</f>
        <v>522130199311200076</v>
      </c>
      <c r="D8466" t="s">
        <v>9161</v>
      </c>
      <c r="E8466" t="s">
        <v>9162</v>
      </c>
      <c r="F8466" t="s">
        <v>0</v>
      </c>
      <c r="G8466" t="str">
        <f>"2018-11-05 13:19:46"</f>
        <v>2018-11-05 13:19:46</v>
      </c>
    </row>
    <row r="8467" spans="1:7" x14ac:dyDescent="0.2">
      <c r="A8467" t="s">
        <v>9163</v>
      </c>
      <c r="B8467" t="str">
        <f>"18555445552"</f>
        <v>18555445552</v>
      </c>
      <c r="C8467" t="str">
        <f>"34242319971208057X"</f>
        <v>34242319971208057X</v>
      </c>
      <c r="D8467" t="s">
        <v>1</v>
      </c>
      <c r="E8467" t="s">
        <v>1</v>
      </c>
      <c r="F8467" t="s">
        <v>0</v>
      </c>
      <c r="G8467" t="str">
        <f>"2018-10-15 19:22:02"</f>
        <v>2018-10-15 19:22:02</v>
      </c>
    </row>
    <row r="8468" spans="1:7" x14ac:dyDescent="0.2">
      <c r="A8468" t="s">
        <v>9164</v>
      </c>
      <c r="B8468" t="str">
        <f>"15892001988"</f>
        <v>15892001988</v>
      </c>
      <c r="C8468" t="str">
        <f>"350623198510130010"</f>
        <v>350623198510130010</v>
      </c>
      <c r="D8468" t="s">
        <v>1</v>
      </c>
      <c r="E8468" t="s">
        <v>1</v>
      </c>
      <c r="F8468" t="s">
        <v>0</v>
      </c>
      <c r="G8468" t="str">
        <f>"2018-10-15 19:19:54"</f>
        <v>2018-10-15 19:19:54</v>
      </c>
    </row>
    <row r="8469" spans="1:7" x14ac:dyDescent="0.2">
      <c r="A8469" t="s">
        <v>9165</v>
      </c>
      <c r="B8469" t="str">
        <f>"15892568235"</f>
        <v>15892568235</v>
      </c>
      <c r="C8469" t="str">
        <f>"510421199001236512"</f>
        <v>510421199001236512</v>
      </c>
      <c r="D8469" t="s">
        <v>1</v>
      </c>
      <c r="E8469" t="s">
        <v>1</v>
      </c>
      <c r="F8469" t="s">
        <v>0</v>
      </c>
      <c r="G8469" t="str">
        <f>"2018-10-20 17:15:53"</f>
        <v>2018-10-20 17:15:53</v>
      </c>
    </row>
    <row r="8470" spans="1:7" x14ac:dyDescent="0.2">
      <c r="A8470" t="s">
        <v>9166</v>
      </c>
      <c r="B8470" t="str">
        <f>"13650133880"</f>
        <v>13650133880</v>
      </c>
      <c r="C8470" t="str">
        <f>"441900198508224119"</f>
        <v>441900198508224119</v>
      </c>
      <c r="D8470" t="s">
        <v>1</v>
      </c>
      <c r="E8470" t="s">
        <v>1</v>
      </c>
      <c r="F8470" t="s">
        <v>0</v>
      </c>
      <c r="G8470" t="str">
        <f>"2018-10-15 19:19:09"</f>
        <v>2018-10-15 19:19:09</v>
      </c>
    </row>
    <row r="8471" spans="1:7" x14ac:dyDescent="0.2">
      <c r="A8471" t="s">
        <v>9167</v>
      </c>
      <c r="B8471" t="str">
        <f>"18672774193"</f>
        <v>18672774193</v>
      </c>
      <c r="C8471" t="str">
        <f>"42102219940717241X"</f>
        <v>42102219940717241X</v>
      </c>
      <c r="D8471" t="s">
        <v>1</v>
      </c>
      <c r="E8471" t="s">
        <v>1</v>
      </c>
      <c r="F8471" t="s">
        <v>0</v>
      </c>
      <c r="G8471" t="str">
        <f>"2018-10-15 19:23:16"</f>
        <v>2018-10-15 19:23:16</v>
      </c>
    </row>
    <row r="8472" spans="1:7" x14ac:dyDescent="0.2">
      <c r="A8472" t="s">
        <v>1</v>
      </c>
      <c r="B8472" t="str">
        <f>"15950899131"</f>
        <v>15950899131</v>
      </c>
      <c r="C8472" t="s">
        <v>1</v>
      </c>
      <c r="D8472" t="s">
        <v>1</v>
      </c>
      <c r="E8472" t="s">
        <v>1</v>
      </c>
      <c r="F8472" t="s">
        <v>0</v>
      </c>
      <c r="G8472" t="str">
        <f>"2018-10-15 19:15:31"</f>
        <v>2018-10-15 19:15:31</v>
      </c>
    </row>
    <row r="8473" spans="1:7" x14ac:dyDescent="0.2">
      <c r="A8473" t="s">
        <v>79</v>
      </c>
      <c r="B8473" t="str">
        <f>"15190157490"</f>
        <v>15190157490</v>
      </c>
      <c r="C8473" t="str">
        <f>"41108219901127481X"</f>
        <v>41108219901127481X</v>
      </c>
      <c r="D8473" t="s">
        <v>9168</v>
      </c>
      <c r="E8473" t="s">
        <v>9169</v>
      </c>
      <c r="F8473" t="s">
        <v>0</v>
      </c>
      <c r="G8473" t="str">
        <f>"2018-10-16 13:35:52"</f>
        <v>2018-10-16 13:35:52</v>
      </c>
    </row>
    <row r="8474" spans="1:7" x14ac:dyDescent="0.2">
      <c r="A8474" t="s">
        <v>1</v>
      </c>
      <c r="B8474" t="str">
        <f>"13049927704"</f>
        <v>13049927704</v>
      </c>
      <c r="C8474" t="s">
        <v>1</v>
      </c>
      <c r="D8474" t="s">
        <v>1</v>
      </c>
      <c r="E8474" t="s">
        <v>1</v>
      </c>
      <c r="F8474" t="s">
        <v>0</v>
      </c>
      <c r="G8474" t="str">
        <f>"2018-10-15 19:13:37"</f>
        <v>2018-10-15 19:13:37</v>
      </c>
    </row>
    <row r="8475" spans="1:7" x14ac:dyDescent="0.2">
      <c r="A8475" t="s">
        <v>1</v>
      </c>
      <c r="B8475" t="str">
        <f>"18682251255"</f>
        <v>18682251255</v>
      </c>
      <c r="C8475" t="s">
        <v>1</v>
      </c>
      <c r="D8475" t="s">
        <v>1</v>
      </c>
      <c r="E8475" t="s">
        <v>1</v>
      </c>
      <c r="F8475" t="s">
        <v>0</v>
      </c>
      <c r="G8475" t="str">
        <f>"2018-10-15 19:11:59"</f>
        <v>2018-10-15 19:11:59</v>
      </c>
    </row>
    <row r="8476" spans="1:7" x14ac:dyDescent="0.2">
      <c r="A8476" t="s">
        <v>9170</v>
      </c>
      <c r="B8476" t="str">
        <f>"18345403332"</f>
        <v>18345403332</v>
      </c>
      <c r="C8476" t="str">
        <f>"230606198912070213"</f>
        <v>230606198912070213</v>
      </c>
      <c r="D8476" t="s">
        <v>1</v>
      </c>
      <c r="E8476" t="s">
        <v>1</v>
      </c>
      <c r="F8476" t="s">
        <v>0</v>
      </c>
      <c r="G8476" t="str">
        <f>"2018-10-15 19:11:16"</f>
        <v>2018-10-15 19:11:16</v>
      </c>
    </row>
    <row r="8477" spans="1:7" x14ac:dyDescent="0.2">
      <c r="A8477" t="s">
        <v>1</v>
      </c>
      <c r="B8477" t="str">
        <f>"17685455689"</f>
        <v>17685455689</v>
      </c>
      <c r="C8477" t="s">
        <v>1</v>
      </c>
      <c r="D8477" t="s">
        <v>1</v>
      </c>
      <c r="E8477" t="s">
        <v>1</v>
      </c>
      <c r="F8477" t="s">
        <v>0</v>
      </c>
      <c r="G8477" t="str">
        <f>"2018-10-15 19:10:30"</f>
        <v>2018-10-15 19:10:30</v>
      </c>
    </row>
    <row r="8478" spans="1:7" x14ac:dyDescent="0.2">
      <c r="A8478" t="s">
        <v>1</v>
      </c>
      <c r="B8478" t="str">
        <f>"13610946802"</f>
        <v>13610946802</v>
      </c>
      <c r="C8478" t="s">
        <v>1</v>
      </c>
      <c r="D8478" t="s">
        <v>1</v>
      </c>
      <c r="E8478" t="s">
        <v>1</v>
      </c>
      <c r="F8478" t="s">
        <v>0</v>
      </c>
      <c r="G8478" t="str">
        <f>"2018-10-15 19:08:21"</f>
        <v>2018-10-15 19:08:21</v>
      </c>
    </row>
    <row r="8479" spans="1:7" x14ac:dyDescent="0.2">
      <c r="A8479" t="s">
        <v>1</v>
      </c>
      <c r="B8479" t="str">
        <f>"18397678110"</f>
        <v>18397678110</v>
      </c>
      <c r="C8479" t="s">
        <v>1</v>
      </c>
      <c r="D8479" t="s">
        <v>1</v>
      </c>
      <c r="E8479" t="s">
        <v>1</v>
      </c>
      <c r="F8479" t="s">
        <v>0</v>
      </c>
      <c r="G8479" t="str">
        <f>"2018-10-15 19:06:48"</f>
        <v>2018-10-15 19:06:48</v>
      </c>
    </row>
    <row r="8480" spans="1:7" x14ac:dyDescent="0.2">
      <c r="A8480" t="s">
        <v>1</v>
      </c>
      <c r="B8480" t="str">
        <f>"13641624414"</f>
        <v>13641624414</v>
      </c>
      <c r="C8480" t="s">
        <v>1</v>
      </c>
      <c r="D8480" t="s">
        <v>1</v>
      </c>
      <c r="E8480" t="s">
        <v>1</v>
      </c>
      <c r="F8480" t="s">
        <v>0</v>
      </c>
      <c r="G8480" t="str">
        <f>"2018-10-15 19:06:43"</f>
        <v>2018-10-15 19:06:43</v>
      </c>
    </row>
    <row r="8481" spans="1:7" x14ac:dyDescent="0.2">
      <c r="A8481" t="s">
        <v>9171</v>
      </c>
      <c r="B8481" t="str">
        <f>"18604979832"</f>
        <v>18604979832</v>
      </c>
      <c r="C8481" t="str">
        <f>"210811198710230010"</f>
        <v>210811198710230010</v>
      </c>
      <c r="D8481" t="s">
        <v>1</v>
      </c>
      <c r="E8481" t="s">
        <v>1</v>
      </c>
      <c r="F8481" t="s">
        <v>0</v>
      </c>
      <c r="G8481" t="str">
        <f>"2018-10-23 10:18:25"</f>
        <v>2018-10-23 10:18:25</v>
      </c>
    </row>
    <row r="8482" spans="1:7" x14ac:dyDescent="0.2">
      <c r="A8482" t="s">
        <v>471</v>
      </c>
      <c r="B8482" t="str">
        <f>"15594085976"</f>
        <v>15594085976</v>
      </c>
      <c r="C8482" t="str">
        <f>"622201197910152414"</f>
        <v>622201197910152414</v>
      </c>
      <c r="D8482" t="s">
        <v>1</v>
      </c>
      <c r="E8482" t="s">
        <v>1</v>
      </c>
      <c r="F8482" t="s">
        <v>0</v>
      </c>
      <c r="G8482" t="str">
        <f>"2018-10-15 19:21:09"</f>
        <v>2018-10-15 19:21:09</v>
      </c>
    </row>
    <row r="8483" spans="1:7" x14ac:dyDescent="0.2">
      <c r="A8483" t="s">
        <v>1</v>
      </c>
      <c r="B8483" t="str">
        <f>"13040791961"</f>
        <v>13040791961</v>
      </c>
      <c r="C8483" t="s">
        <v>1</v>
      </c>
      <c r="D8483" t="s">
        <v>1</v>
      </c>
      <c r="E8483" t="s">
        <v>1</v>
      </c>
      <c r="F8483" t="s">
        <v>0</v>
      </c>
      <c r="G8483" t="str">
        <f>"2018-10-15 19:05:42"</f>
        <v>2018-10-15 19:05:42</v>
      </c>
    </row>
    <row r="8484" spans="1:7" x14ac:dyDescent="0.2">
      <c r="A8484" t="s">
        <v>9172</v>
      </c>
      <c r="B8484" t="str">
        <f>"13537085822"</f>
        <v>13537085822</v>
      </c>
      <c r="C8484" t="str">
        <f>"452123199701303191"</f>
        <v>452123199701303191</v>
      </c>
      <c r="D8484" t="s">
        <v>9173</v>
      </c>
      <c r="E8484" t="s">
        <v>9174</v>
      </c>
      <c r="F8484" t="s">
        <v>0</v>
      </c>
      <c r="G8484" t="str">
        <f>"2018-10-20 15:25:47"</f>
        <v>2018-10-20 15:25:47</v>
      </c>
    </row>
    <row r="8485" spans="1:7" x14ac:dyDescent="0.2">
      <c r="A8485" t="s">
        <v>1</v>
      </c>
      <c r="B8485" t="str">
        <f>"17817897696"</f>
        <v>17817897696</v>
      </c>
      <c r="C8485" t="s">
        <v>1</v>
      </c>
      <c r="D8485" t="s">
        <v>1</v>
      </c>
      <c r="E8485" t="s">
        <v>1</v>
      </c>
      <c r="F8485" t="s">
        <v>0</v>
      </c>
      <c r="G8485" t="str">
        <f>"2018-10-15 19:04:00"</f>
        <v>2018-10-15 19:04:00</v>
      </c>
    </row>
    <row r="8486" spans="1:7" x14ac:dyDescent="0.2">
      <c r="A8486" t="s">
        <v>382</v>
      </c>
      <c r="B8486" t="str">
        <f>"18366867264"</f>
        <v>18366867264</v>
      </c>
      <c r="C8486" t="str">
        <f>"372321199607232225"</f>
        <v>372321199607232225</v>
      </c>
      <c r="D8486" t="s">
        <v>1</v>
      </c>
      <c r="E8486" t="s">
        <v>1</v>
      </c>
      <c r="F8486" t="s">
        <v>0</v>
      </c>
      <c r="G8486" t="str">
        <f>"2018-10-15 19:03:31"</f>
        <v>2018-10-15 19:03:31</v>
      </c>
    </row>
    <row r="8487" spans="1:7" x14ac:dyDescent="0.2">
      <c r="A8487" t="s">
        <v>1</v>
      </c>
      <c r="B8487" t="str">
        <f>"15857260572"</f>
        <v>15857260572</v>
      </c>
      <c r="C8487" t="s">
        <v>1</v>
      </c>
      <c r="D8487" t="s">
        <v>1</v>
      </c>
      <c r="E8487" t="s">
        <v>1</v>
      </c>
      <c r="F8487" t="s">
        <v>0</v>
      </c>
      <c r="G8487" t="str">
        <f>"2018-10-15 19:02:49"</f>
        <v>2018-10-15 19:02:49</v>
      </c>
    </row>
    <row r="8488" spans="1:7" x14ac:dyDescent="0.2">
      <c r="A8488" t="s">
        <v>1491</v>
      </c>
      <c r="B8488" t="str">
        <f>"15047678582"</f>
        <v>15047678582</v>
      </c>
      <c r="C8488" t="str">
        <f>"150421198109264716"</f>
        <v>150421198109264716</v>
      </c>
      <c r="D8488" t="s">
        <v>1</v>
      </c>
      <c r="E8488" t="s">
        <v>1</v>
      </c>
      <c r="F8488" t="s">
        <v>0</v>
      </c>
      <c r="G8488" t="str">
        <f>"2018-10-15 19:04:09"</f>
        <v>2018-10-15 19:04:09</v>
      </c>
    </row>
    <row r="8489" spans="1:7" x14ac:dyDescent="0.2">
      <c r="A8489" t="s">
        <v>9175</v>
      </c>
      <c r="B8489" t="str">
        <f>"17639600305"</f>
        <v>17639600305</v>
      </c>
      <c r="C8489" t="str">
        <f>"320921199411087136"</f>
        <v>320921199411087136</v>
      </c>
      <c r="D8489" t="s">
        <v>1</v>
      </c>
      <c r="E8489" t="s">
        <v>1</v>
      </c>
      <c r="F8489" t="s">
        <v>0</v>
      </c>
      <c r="G8489" t="str">
        <f>"2018-10-15 19:01:44"</f>
        <v>2018-10-15 19:01:44</v>
      </c>
    </row>
    <row r="8490" spans="1:7" x14ac:dyDescent="0.2">
      <c r="A8490" t="s">
        <v>1</v>
      </c>
      <c r="B8490" t="str">
        <f>"15216926888"</f>
        <v>15216926888</v>
      </c>
      <c r="C8490" t="s">
        <v>1</v>
      </c>
      <c r="D8490" t="s">
        <v>1</v>
      </c>
      <c r="E8490" t="s">
        <v>1</v>
      </c>
      <c r="F8490" t="s">
        <v>0</v>
      </c>
      <c r="G8490" t="str">
        <f>"2018-10-15 18:58:53"</f>
        <v>2018-10-15 18:58:53</v>
      </c>
    </row>
    <row r="8491" spans="1:7" x14ac:dyDescent="0.2">
      <c r="A8491" t="s">
        <v>1</v>
      </c>
      <c r="B8491" t="str">
        <f>"15304168244"</f>
        <v>15304168244</v>
      </c>
      <c r="C8491" t="s">
        <v>1</v>
      </c>
      <c r="D8491" t="s">
        <v>1</v>
      </c>
      <c r="E8491" t="s">
        <v>1</v>
      </c>
      <c r="F8491" t="s">
        <v>0</v>
      </c>
      <c r="G8491" t="str">
        <f>"2018-10-15 18:59:29"</f>
        <v>2018-10-15 18:59:29</v>
      </c>
    </row>
    <row r="8492" spans="1:7" x14ac:dyDescent="0.2">
      <c r="A8492" t="s">
        <v>9176</v>
      </c>
      <c r="B8492" t="str">
        <f>"18538503518"</f>
        <v>18538503518</v>
      </c>
      <c r="C8492" t="str">
        <f>"411327198605043119"</f>
        <v>411327198605043119</v>
      </c>
      <c r="D8492" t="s">
        <v>1</v>
      </c>
      <c r="E8492" t="s">
        <v>1</v>
      </c>
      <c r="F8492" t="s">
        <v>0</v>
      </c>
      <c r="G8492" t="str">
        <f>"2018-10-15 19:33:33"</f>
        <v>2018-10-15 19:33:33</v>
      </c>
    </row>
    <row r="8493" spans="1:7" x14ac:dyDescent="0.2">
      <c r="A8493" t="s">
        <v>1</v>
      </c>
      <c r="B8493" t="str">
        <f>"13139987776"</f>
        <v>13139987776</v>
      </c>
      <c r="C8493" t="s">
        <v>1</v>
      </c>
      <c r="D8493" t="s">
        <v>1</v>
      </c>
      <c r="E8493" t="s">
        <v>1</v>
      </c>
      <c r="F8493" t="s">
        <v>0</v>
      </c>
      <c r="G8493" t="str">
        <f>"2018-10-15 18:54:06"</f>
        <v>2018-10-15 18:54:06</v>
      </c>
    </row>
    <row r="8494" spans="1:7" x14ac:dyDescent="0.2">
      <c r="A8494" t="s">
        <v>1</v>
      </c>
      <c r="B8494" t="str">
        <f>"15597798852"</f>
        <v>15597798852</v>
      </c>
      <c r="C8494" t="s">
        <v>1</v>
      </c>
      <c r="D8494" t="s">
        <v>1</v>
      </c>
      <c r="E8494" t="s">
        <v>1</v>
      </c>
      <c r="F8494" t="s">
        <v>0</v>
      </c>
      <c r="G8494" t="str">
        <f>"2018-10-15 18:53:24"</f>
        <v>2018-10-15 18:53:24</v>
      </c>
    </row>
    <row r="8495" spans="1:7" x14ac:dyDescent="0.2">
      <c r="A8495" t="s">
        <v>1</v>
      </c>
      <c r="B8495" t="str">
        <f>"18558906071"</f>
        <v>18558906071</v>
      </c>
      <c r="C8495" t="s">
        <v>1</v>
      </c>
      <c r="D8495" t="s">
        <v>1</v>
      </c>
      <c r="E8495" t="s">
        <v>1</v>
      </c>
      <c r="F8495" t="s">
        <v>0</v>
      </c>
      <c r="G8495" t="str">
        <f>"2018-10-15 18:52:04"</f>
        <v>2018-10-15 18:52:04</v>
      </c>
    </row>
    <row r="8496" spans="1:7" x14ac:dyDescent="0.2">
      <c r="A8496" t="s">
        <v>1</v>
      </c>
      <c r="B8496" t="str">
        <f>"13982920086"</f>
        <v>13982920086</v>
      </c>
      <c r="C8496" t="s">
        <v>1</v>
      </c>
      <c r="D8496" t="s">
        <v>1</v>
      </c>
      <c r="E8496" t="s">
        <v>1</v>
      </c>
      <c r="F8496" t="s">
        <v>0</v>
      </c>
      <c r="G8496" t="str">
        <f>"2018-10-15 18:51:30"</f>
        <v>2018-10-15 18:51:30</v>
      </c>
    </row>
    <row r="8497" spans="1:7" x14ac:dyDescent="0.2">
      <c r="A8497" t="s">
        <v>1</v>
      </c>
      <c r="B8497" t="str">
        <f>"13967790344"</f>
        <v>13967790344</v>
      </c>
      <c r="C8497" t="s">
        <v>1</v>
      </c>
      <c r="D8497" t="s">
        <v>1</v>
      </c>
      <c r="E8497" t="s">
        <v>1</v>
      </c>
      <c r="F8497" t="s">
        <v>0</v>
      </c>
      <c r="G8497" t="str">
        <f>"2018-10-15 18:51:12"</f>
        <v>2018-10-15 18:51:12</v>
      </c>
    </row>
    <row r="8498" spans="1:7" x14ac:dyDescent="0.2">
      <c r="A8498" t="s">
        <v>9177</v>
      </c>
      <c r="B8498" t="str">
        <f>"15932893295"</f>
        <v>15932893295</v>
      </c>
      <c r="C8498" t="str">
        <f>"360302199411093013"</f>
        <v>360302199411093013</v>
      </c>
      <c r="D8498" t="s">
        <v>1</v>
      </c>
      <c r="E8498" t="s">
        <v>1</v>
      </c>
      <c r="F8498" t="s">
        <v>0</v>
      </c>
      <c r="G8498" t="str">
        <f>"2018-10-15 18:58:30"</f>
        <v>2018-10-15 18:58:30</v>
      </c>
    </row>
    <row r="8499" spans="1:7" x14ac:dyDescent="0.2">
      <c r="A8499" t="s">
        <v>9178</v>
      </c>
      <c r="B8499" t="str">
        <f>"15024359033"</f>
        <v>15024359033</v>
      </c>
      <c r="C8499" t="str">
        <f>"511524199710187210"</f>
        <v>511524199710187210</v>
      </c>
      <c r="D8499" t="s">
        <v>1</v>
      </c>
      <c r="E8499" t="s">
        <v>1</v>
      </c>
      <c r="F8499" t="s">
        <v>0</v>
      </c>
      <c r="G8499" t="str">
        <f>"2018-10-15 18:53:32"</f>
        <v>2018-10-15 18:53:32</v>
      </c>
    </row>
    <row r="8500" spans="1:7" x14ac:dyDescent="0.2">
      <c r="A8500" t="s">
        <v>1</v>
      </c>
      <c r="B8500" t="str">
        <f>"18198853603"</f>
        <v>18198853603</v>
      </c>
      <c r="C8500" t="s">
        <v>1</v>
      </c>
      <c r="D8500" t="s">
        <v>1</v>
      </c>
      <c r="E8500" t="s">
        <v>1</v>
      </c>
      <c r="F8500" t="s">
        <v>0</v>
      </c>
      <c r="G8500" t="str">
        <f>"2018-10-15 18:48:59"</f>
        <v>2018-10-15 18:48:59</v>
      </c>
    </row>
    <row r="8501" spans="1:7" x14ac:dyDescent="0.2">
      <c r="A8501" t="s">
        <v>1</v>
      </c>
      <c r="B8501" t="str">
        <f>"13666337765"</f>
        <v>13666337765</v>
      </c>
      <c r="C8501" t="s">
        <v>1</v>
      </c>
      <c r="D8501" t="s">
        <v>1</v>
      </c>
      <c r="E8501" t="s">
        <v>1</v>
      </c>
      <c r="F8501" t="s">
        <v>0</v>
      </c>
      <c r="G8501" t="str">
        <f>"2018-10-15 18:47:51"</f>
        <v>2018-10-15 18:47:51</v>
      </c>
    </row>
    <row r="8502" spans="1:7" x14ac:dyDescent="0.2">
      <c r="A8502" t="s">
        <v>9179</v>
      </c>
      <c r="B8502" t="str">
        <f>"18369531510"</f>
        <v>18369531510</v>
      </c>
      <c r="C8502" t="str">
        <f>"371329199107160640"</f>
        <v>371329199107160640</v>
      </c>
      <c r="D8502" t="s">
        <v>1</v>
      </c>
      <c r="E8502" t="s">
        <v>1</v>
      </c>
      <c r="F8502" t="s">
        <v>0</v>
      </c>
      <c r="G8502" t="str">
        <f>"2018-10-22 20:54:05"</f>
        <v>2018-10-22 20:54:05</v>
      </c>
    </row>
    <row r="8503" spans="1:7" x14ac:dyDescent="0.2">
      <c r="A8503" t="s">
        <v>1</v>
      </c>
      <c r="B8503" t="str">
        <f>"15170058425"</f>
        <v>15170058425</v>
      </c>
      <c r="C8503" t="s">
        <v>1</v>
      </c>
      <c r="D8503" t="s">
        <v>1</v>
      </c>
      <c r="E8503" t="s">
        <v>1</v>
      </c>
      <c r="F8503" t="s">
        <v>0</v>
      </c>
      <c r="G8503" t="str">
        <f>"2018-10-15 18:47:01"</f>
        <v>2018-10-15 18:47:01</v>
      </c>
    </row>
    <row r="8504" spans="1:7" x14ac:dyDescent="0.2">
      <c r="A8504" t="s">
        <v>9180</v>
      </c>
      <c r="B8504" t="str">
        <f>"18911279009"</f>
        <v>18911279009</v>
      </c>
      <c r="C8504" t="str">
        <f>"131082198504155526"</f>
        <v>131082198504155526</v>
      </c>
      <c r="D8504" t="s">
        <v>1</v>
      </c>
      <c r="E8504" t="s">
        <v>1</v>
      </c>
      <c r="F8504" t="s">
        <v>0</v>
      </c>
      <c r="G8504" t="str">
        <f>"2018-11-03 13:49:11"</f>
        <v>2018-11-03 13:49:11</v>
      </c>
    </row>
    <row r="8505" spans="1:7" x14ac:dyDescent="0.2">
      <c r="A8505" t="s">
        <v>9181</v>
      </c>
      <c r="B8505" t="str">
        <f>"18854707647"</f>
        <v>18854707647</v>
      </c>
      <c r="C8505" t="str">
        <f>"370830198409057259"</f>
        <v>370830198409057259</v>
      </c>
      <c r="D8505" t="s">
        <v>1</v>
      </c>
      <c r="E8505" t="s">
        <v>1</v>
      </c>
      <c r="F8505" t="s">
        <v>0</v>
      </c>
      <c r="G8505" t="str">
        <f>"2018-10-15 18:45:48"</f>
        <v>2018-10-15 18:45:48</v>
      </c>
    </row>
    <row r="8506" spans="1:7" x14ac:dyDescent="0.2">
      <c r="A8506" t="s">
        <v>9182</v>
      </c>
      <c r="B8506" t="str">
        <f>"15187640270"</f>
        <v>15187640270</v>
      </c>
      <c r="C8506" t="str">
        <f>"430525198011073936"</f>
        <v>430525198011073936</v>
      </c>
      <c r="D8506" t="s">
        <v>1</v>
      </c>
      <c r="E8506" t="s">
        <v>1</v>
      </c>
      <c r="F8506" t="s">
        <v>0</v>
      </c>
      <c r="G8506" t="str">
        <f>"2018-10-15 18:42:44"</f>
        <v>2018-10-15 18:42:44</v>
      </c>
    </row>
    <row r="8507" spans="1:7" x14ac:dyDescent="0.2">
      <c r="A8507" t="s">
        <v>1</v>
      </c>
      <c r="B8507" t="str">
        <f>"18596837103"</f>
        <v>18596837103</v>
      </c>
      <c r="C8507" t="s">
        <v>1</v>
      </c>
      <c r="D8507" t="s">
        <v>1</v>
      </c>
      <c r="E8507" t="s">
        <v>1</v>
      </c>
      <c r="F8507" t="s">
        <v>0</v>
      </c>
      <c r="G8507" t="str">
        <f>"2018-10-15 18:41:38"</f>
        <v>2018-10-15 18:41:38</v>
      </c>
    </row>
    <row r="8508" spans="1:7" x14ac:dyDescent="0.2">
      <c r="A8508" t="s">
        <v>1</v>
      </c>
      <c r="B8508" t="str">
        <f>"13554172993"</f>
        <v>13554172993</v>
      </c>
      <c r="C8508" t="s">
        <v>1</v>
      </c>
      <c r="D8508" t="s">
        <v>1</v>
      </c>
      <c r="E8508" t="s">
        <v>1</v>
      </c>
      <c r="F8508" t="s">
        <v>0</v>
      </c>
      <c r="G8508" t="str">
        <f>"2018-10-15 18:38:36"</f>
        <v>2018-10-15 18:38:36</v>
      </c>
    </row>
    <row r="8509" spans="1:7" x14ac:dyDescent="0.2">
      <c r="A8509" t="s">
        <v>9183</v>
      </c>
      <c r="B8509" t="str">
        <f>"13416177316"</f>
        <v>13416177316</v>
      </c>
      <c r="C8509" t="str">
        <f>"622625199508091221"</f>
        <v>622625199508091221</v>
      </c>
      <c r="D8509" t="s">
        <v>1</v>
      </c>
      <c r="E8509" t="s">
        <v>1</v>
      </c>
      <c r="F8509" t="s">
        <v>0</v>
      </c>
      <c r="G8509" t="str">
        <f>"2018-10-15 18:48:11"</f>
        <v>2018-10-15 18:48:11</v>
      </c>
    </row>
    <row r="8510" spans="1:7" x14ac:dyDescent="0.2">
      <c r="A8510" t="s">
        <v>1</v>
      </c>
      <c r="B8510" t="str">
        <f>"15555122026"</f>
        <v>15555122026</v>
      </c>
      <c r="C8510" t="s">
        <v>1</v>
      </c>
      <c r="D8510" t="s">
        <v>1</v>
      </c>
      <c r="E8510" t="s">
        <v>1</v>
      </c>
      <c r="F8510" t="s">
        <v>0</v>
      </c>
      <c r="G8510" t="str">
        <f>"2018-10-15 18:37:04"</f>
        <v>2018-10-15 18:37:04</v>
      </c>
    </row>
    <row r="8511" spans="1:7" x14ac:dyDescent="0.2">
      <c r="A8511" t="s">
        <v>1</v>
      </c>
      <c r="B8511" t="str">
        <f>"13084630243"</f>
        <v>13084630243</v>
      </c>
      <c r="C8511" t="s">
        <v>1</v>
      </c>
      <c r="D8511" t="s">
        <v>1</v>
      </c>
      <c r="E8511" t="s">
        <v>1</v>
      </c>
      <c r="F8511" t="s">
        <v>0</v>
      </c>
      <c r="G8511" t="str">
        <f>"2018-10-15 18:35:11"</f>
        <v>2018-10-15 18:35:11</v>
      </c>
    </row>
    <row r="8512" spans="1:7" x14ac:dyDescent="0.2">
      <c r="A8512" t="s">
        <v>9184</v>
      </c>
      <c r="B8512" t="str">
        <f>"13232591284"</f>
        <v>13232591284</v>
      </c>
      <c r="C8512" t="str">
        <f>"441882199710055711"</f>
        <v>441882199710055711</v>
      </c>
      <c r="D8512" t="s">
        <v>1</v>
      </c>
      <c r="E8512" t="s">
        <v>1</v>
      </c>
      <c r="F8512" t="s">
        <v>0</v>
      </c>
      <c r="G8512" t="str">
        <f>"2018-11-03 21:56:18"</f>
        <v>2018-11-03 21:56:18</v>
      </c>
    </row>
    <row r="8513" spans="1:7" x14ac:dyDescent="0.2">
      <c r="A8513" t="s">
        <v>9185</v>
      </c>
      <c r="B8513" t="str">
        <f>"18390537036"</f>
        <v>18390537036</v>
      </c>
      <c r="C8513" t="str">
        <f>"432524198803186416"</f>
        <v>432524198803186416</v>
      </c>
      <c r="D8513" t="s">
        <v>1</v>
      </c>
      <c r="E8513" t="s">
        <v>1</v>
      </c>
      <c r="F8513" t="s">
        <v>0</v>
      </c>
      <c r="G8513" t="str">
        <f>"2018-10-15 18:37:21"</f>
        <v>2018-10-15 18:37:21</v>
      </c>
    </row>
    <row r="8514" spans="1:7" x14ac:dyDescent="0.2">
      <c r="A8514" t="s">
        <v>1</v>
      </c>
      <c r="B8514" t="str">
        <f>"17621185788"</f>
        <v>17621185788</v>
      </c>
      <c r="C8514" t="s">
        <v>1</v>
      </c>
      <c r="D8514" t="s">
        <v>1</v>
      </c>
      <c r="E8514" t="s">
        <v>1</v>
      </c>
      <c r="F8514" t="s">
        <v>0</v>
      </c>
      <c r="G8514" t="str">
        <f>"2018-10-15 18:32:26"</f>
        <v>2018-10-15 18:32:26</v>
      </c>
    </row>
    <row r="8515" spans="1:7" x14ac:dyDescent="0.2">
      <c r="A8515" t="s">
        <v>1</v>
      </c>
      <c r="B8515" t="str">
        <f>"13809270647"</f>
        <v>13809270647</v>
      </c>
      <c r="C8515" t="s">
        <v>1</v>
      </c>
      <c r="D8515" t="s">
        <v>1</v>
      </c>
      <c r="E8515" t="s">
        <v>1</v>
      </c>
      <c r="F8515" t="s">
        <v>0</v>
      </c>
      <c r="G8515" t="str">
        <f>"2018-10-15 18:32:25"</f>
        <v>2018-10-15 18:32:25</v>
      </c>
    </row>
    <row r="8516" spans="1:7" x14ac:dyDescent="0.2">
      <c r="A8516" t="s">
        <v>9186</v>
      </c>
      <c r="B8516" t="str">
        <f>"15150778858"</f>
        <v>15150778858</v>
      </c>
      <c r="C8516" t="str">
        <f>"321321198808200030"</f>
        <v>321321198808200030</v>
      </c>
      <c r="D8516" t="s">
        <v>9187</v>
      </c>
      <c r="E8516" t="s">
        <v>9188</v>
      </c>
      <c r="F8516" t="s">
        <v>0</v>
      </c>
      <c r="G8516" t="str">
        <f>"2018-10-15 18:33:30"</f>
        <v>2018-10-15 18:33:30</v>
      </c>
    </row>
    <row r="8517" spans="1:7" x14ac:dyDescent="0.2">
      <c r="A8517" t="s">
        <v>1</v>
      </c>
      <c r="B8517" t="str">
        <f>"13157972964"</f>
        <v>13157972964</v>
      </c>
      <c r="C8517" t="s">
        <v>1</v>
      </c>
      <c r="D8517" t="s">
        <v>1</v>
      </c>
      <c r="E8517" t="s">
        <v>1</v>
      </c>
      <c r="F8517" t="s">
        <v>0</v>
      </c>
      <c r="G8517" t="str">
        <f>"2018-10-15 19:15:37"</f>
        <v>2018-10-15 19:15:37</v>
      </c>
    </row>
    <row r="8518" spans="1:7" x14ac:dyDescent="0.2">
      <c r="A8518" t="s">
        <v>9189</v>
      </c>
      <c r="B8518" t="str">
        <f>"15125286315"</f>
        <v>15125286315</v>
      </c>
      <c r="C8518" t="str">
        <f>"532901199811081441"</f>
        <v>532901199811081441</v>
      </c>
      <c r="D8518" t="s">
        <v>1</v>
      </c>
      <c r="E8518" t="s">
        <v>1</v>
      </c>
      <c r="F8518" t="s">
        <v>0</v>
      </c>
      <c r="G8518" t="str">
        <f>"2018-10-26 17:07:32"</f>
        <v>2018-10-26 17:07:32</v>
      </c>
    </row>
    <row r="8519" spans="1:7" x14ac:dyDescent="0.2">
      <c r="A8519" t="s">
        <v>1424</v>
      </c>
      <c r="B8519" t="str">
        <f>"18380346142"</f>
        <v>18380346142</v>
      </c>
      <c r="C8519" t="str">
        <f>"510725199402017718"</f>
        <v>510725199402017718</v>
      </c>
      <c r="D8519" t="s">
        <v>1</v>
      </c>
      <c r="E8519" t="s">
        <v>1</v>
      </c>
      <c r="F8519" t="s">
        <v>0</v>
      </c>
      <c r="G8519" t="str">
        <f>"2018-10-15 18:32:41"</f>
        <v>2018-10-15 18:32:41</v>
      </c>
    </row>
    <row r="8520" spans="1:7" x14ac:dyDescent="0.2">
      <c r="A8520" t="s">
        <v>7596</v>
      </c>
      <c r="B8520" t="str">
        <f>"17677055176"</f>
        <v>17677055176</v>
      </c>
      <c r="C8520" t="str">
        <f>"450924199906105154"</f>
        <v>450924199906105154</v>
      </c>
      <c r="D8520" t="s">
        <v>1</v>
      </c>
      <c r="E8520" t="s">
        <v>1</v>
      </c>
      <c r="F8520" t="s">
        <v>0</v>
      </c>
      <c r="G8520" t="str">
        <f>"2018-10-15 18:32:52"</f>
        <v>2018-10-15 18:32:52</v>
      </c>
    </row>
    <row r="8521" spans="1:7" x14ac:dyDescent="0.2">
      <c r="A8521" t="s">
        <v>9190</v>
      </c>
      <c r="B8521" t="str">
        <f>"13778457717"</f>
        <v>13778457717</v>
      </c>
      <c r="C8521" t="str">
        <f>"513722198302153375"</f>
        <v>513722198302153375</v>
      </c>
      <c r="D8521" t="s">
        <v>1</v>
      </c>
      <c r="E8521" t="s">
        <v>1</v>
      </c>
      <c r="F8521" t="s">
        <v>0</v>
      </c>
      <c r="G8521" t="str">
        <f>"2018-10-15 18:33:59"</f>
        <v>2018-10-15 18:33:59</v>
      </c>
    </row>
    <row r="8522" spans="1:7" x14ac:dyDescent="0.2">
      <c r="A8522" t="s">
        <v>1</v>
      </c>
      <c r="B8522" t="str">
        <f>"18283140086"</f>
        <v>18283140086</v>
      </c>
      <c r="C8522" t="s">
        <v>1</v>
      </c>
      <c r="D8522" t="s">
        <v>1</v>
      </c>
      <c r="E8522" t="s">
        <v>1</v>
      </c>
      <c r="F8522" t="s">
        <v>0</v>
      </c>
      <c r="G8522" t="str">
        <f>"2018-10-15 18:30:46"</f>
        <v>2018-10-15 18:30:46</v>
      </c>
    </row>
    <row r="8523" spans="1:7" x14ac:dyDescent="0.2">
      <c r="A8523" t="s">
        <v>1</v>
      </c>
      <c r="B8523" t="str">
        <f>"15289825581"</f>
        <v>15289825581</v>
      </c>
      <c r="C8523" t="s">
        <v>1</v>
      </c>
      <c r="D8523" t="s">
        <v>1</v>
      </c>
      <c r="E8523" t="s">
        <v>1</v>
      </c>
      <c r="F8523" t="s">
        <v>0</v>
      </c>
      <c r="G8523" t="str">
        <f>"2018-10-15 18:30:15"</f>
        <v>2018-10-15 18:30:15</v>
      </c>
    </row>
    <row r="8524" spans="1:7" x14ac:dyDescent="0.2">
      <c r="A8524" t="s">
        <v>9191</v>
      </c>
      <c r="B8524" t="str">
        <f>"13005335446"</f>
        <v>13005335446</v>
      </c>
      <c r="C8524" t="str">
        <f>"440582199508084650"</f>
        <v>440582199508084650</v>
      </c>
      <c r="D8524" t="s">
        <v>1</v>
      </c>
      <c r="E8524" t="s">
        <v>1</v>
      </c>
      <c r="F8524" t="s">
        <v>0</v>
      </c>
      <c r="G8524" t="str">
        <f>"2018-10-15 18:30:49"</f>
        <v>2018-10-15 18:30:49</v>
      </c>
    </row>
    <row r="8525" spans="1:7" x14ac:dyDescent="0.2">
      <c r="A8525" t="s">
        <v>9192</v>
      </c>
      <c r="B8525" t="str">
        <f>"13968660005"</f>
        <v>13968660005</v>
      </c>
      <c r="C8525" t="str">
        <f>"33100419810808092X"</f>
        <v>33100419810808092X</v>
      </c>
      <c r="D8525" t="s">
        <v>9193</v>
      </c>
      <c r="E8525" t="s">
        <v>9194</v>
      </c>
      <c r="F8525" t="s">
        <v>0</v>
      </c>
      <c r="G8525" t="str">
        <f>"2018-11-01 21:44:26"</f>
        <v>2018-11-01 21:44:26</v>
      </c>
    </row>
    <row r="8526" spans="1:7" x14ac:dyDescent="0.2">
      <c r="A8526" t="s">
        <v>9195</v>
      </c>
      <c r="B8526" t="str">
        <f>"15904152260"</f>
        <v>15904152260</v>
      </c>
      <c r="C8526" t="str">
        <f>"210682199411170029"</f>
        <v>210682199411170029</v>
      </c>
      <c r="D8526" t="s">
        <v>1</v>
      </c>
      <c r="E8526" t="s">
        <v>1</v>
      </c>
      <c r="F8526" t="s">
        <v>0</v>
      </c>
      <c r="G8526" t="str">
        <f>"2018-10-17 20:14:39"</f>
        <v>2018-10-17 20:14:39</v>
      </c>
    </row>
    <row r="8527" spans="1:7" x14ac:dyDescent="0.2">
      <c r="A8527" t="s">
        <v>9196</v>
      </c>
      <c r="B8527" t="str">
        <f>"18606081962"</f>
        <v>18606081962</v>
      </c>
      <c r="C8527" t="str">
        <f>"513723199909131675"</f>
        <v>513723199909131675</v>
      </c>
      <c r="D8527" t="s">
        <v>1</v>
      </c>
      <c r="E8527" t="s">
        <v>1</v>
      </c>
      <c r="F8527" t="s">
        <v>0</v>
      </c>
      <c r="G8527" t="str">
        <f>"2018-10-15 18:28:54"</f>
        <v>2018-10-15 18:28:54</v>
      </c>
    </row>
    <row r="8528" spans="1:7" x14ac:dyDescent="0.2">
      <c r="A8528" t="s">
        <v>9197</v>
      </c>
      <c r="B8528" t="str">
        <f>"18237907733"</f>
        <v>18237907733</v>
      </c>
      <c r="C8528" t="str">
        <f>"410327198901237013"</f>
        <v>410327198901237013</v>
      </c>
      <c r="D8528" t="s">
        <v>1</v>
      </c>
      <c r="E8528" t="s">
        <v>1</v>
      </c>
      <c r="F8528" t="s">
        <v>0</v>
      </c>
      <c r="G8528" t="str">
        <f>"2018-10-15 18:29:00"</f>
        <v>2018-10-15 18:29:00</v>
      </c>
    </row>
    <row r="8529" spans="1:7" x14ac:dyDescent="0.2">
      <c r="A8529" t="s">
        <v>1</v>
      </c>
      <c r="B8529" t="str">
        <f>"15999842237"</f>
        <v>15999842237</v>
      </c>
      <c r="C8529" t="s">
        <v>1</v>
      </c>
      <c r="D8529" t="s">
        <v>1</v>
      </c>
      <c r="E8529" t="s">
        <v>1</v>
      </c>
      <c r="F8529" t="s">
        <v>0</v>
      </c>
      <c r="G8529" t="str">
        <f>"2018-10-16 09:36:01"</f>
        <v>2018-10-16 09:36:01</v>
      </c>
    </row>
    <row r="8530" spans="1:7" x14ac:dyDescent="0.2">
      <c r="A8530" t="s">
        <v>9198</v>
      </c>
      <c r="B8530" t="str">
        <f>"15816905060"</f>
        <v>15816905060</v>
      </c>
      <c r="C8530" t="str">
        <f>"441882198409286612"</f>
        <v>441882198409286612</v>
      </c>
      <c r="D8530" t="s">
        <v>1</v>
      </c>
      <c r="E8530" t="s">
        <v>1</v>
      </c>
      <c r="F8530" t="s">
        <v>0</v>
      </c>
      <c r="G8530" t="str">
        <f>"2018-10-15 18:35:50"</f>
        <v>2018-10-15 18:35:50</v>
      </c>
    </row>
    <row r="8531" spans="1:7" x14ac:dyDescent="0.2">
      <c r="A8531" t="s">
        <v>1867</v>
      </c>
      <c r="B8531" t="str">
        <f>"18325120737"</f>
        <v>18325120737</v>
      </c>
      <c r="C8531" t="str">
        <f>"500239198807232875"</f>
        <v>500239198807232875</v>
      </c>
      <c r="D8531" t="s">
        <v>1</v>
      </c>
      <c r="E8531" t="s">
        <v>1</v>
      </c>
      <c r="F8531" t="s">
        <v>0</v>
      </c>
      <c r="G8531" t="str">
        <f>"2018-10-15 18:25:10"</f>
        <v>2018-10-15 18:25:10</v>
      </c>
    </row>
    <row r="8532" spans="1:7" x14ac:dyDescent="0.2">
      <c r="A8532" t="s">
        <v>1</v>
      </c>
      <c r="B8532" t="str">
        <f>"13436875941"</f>
        <v>13436875941</v>
      </c>
      <c r="C8532" t="s">
        <v>1</v>
      </c>
      <c r="D8532" t="s">
        <v>1</v>
      </c>
      <c r="E8532" t="s">
        <v>1</v>
      </c>
      <c r="F8532" t="s">
        <v>0</v>
      </c>
      <c r="G8532" t="str">
        <f>"2018-10-15 18:22:48"</f>
        <v>2018-10-15 18:22:48</v>
      </c>
    </row>
    <row r="8533" spans="1:7" x14ac:dyDescent="0.2">
      <c r="A8533" t="s">
        <v>1</v>
      </c>
      <c r="B8533" t="str">
        <f>"13719527577"</f>
        <v>13719527577</v>
      </c>
      <c r="C8533" t="s">
        <v>1</v>
      </c>
      <c r="D8533" t="s">
        <v>1</v>
      </c>
      <c r="E8533" t="s">
        <v>1</v>
      </c>
      <c r="F8533" t="s">
        <v>0</v>
      </c>
      <c r="G8533" t="str">
        <f>"2018-10-15 18:21:25"</f>
        <v>2018-10-15 18:21:25</v>
      </c>
    </row>
    <row r="8534" spans="1:7" x14ac:dyDescent="0.2">
      <c r="A8534" t="s">
        <v>1</v>
      </c>
      <c r="B8534" t="str">
        <f>"17689857810"</f>
        <v>17689857810</v>
      </c>
      <c r="C8534" t="s">
        <v>1</v>
      </c>
      <c r="D8534" t="s">
        <v>1</v>
      </c>
      <c r="E8534" t="s">
        <v>1</v>
      </c>
      <c r="F8534" t="s">
        <v>0</v>
      </c>
      <c r="G8534" t="str">
        <f>"2018-10-15 18:20:49"</f>
        <v>2018-10-15 18:20:49</v>
      </c>
    </row>
    <row r="8535" spans="1:7" x14ac:dyDescent="0.2">
      <c r="A8535" t="s">
        <v>9199</v>
      </c>
      <c r="B8535" t="str">
        <f>"13403822516"</f>
        <v>13403822516</v>
      </c>
      <c r="C8535" t="str">
        <f>"410527198610151077"</f>
        <v>410527198610151077</v>
      </c>
      <c r="D8535" t="s">
        <v>1</v>
      </c>
      <c r="E8535" t="s">
        <v>1</v>
      </c>
      <c r="F8535" t="s">
        <v>0</v>
      </c>
      <c r="G8535" t="str">
        <f>"2018-10-15 18:20:17"</f>
        <v>2018-10-15 18:20:17</v>
      </c>
    </row>
    <row r="8536" spans="1:7" x14ac:dyDescent="0.2">
      <c r="A8536" t="s">
        <v>1</v>
      </c>
      <c r="B8536" t="str">
        <f>"17620646491"</f>
        <v>17620646491</v>
      </c>
      <c r="C8536" t="s">
        <v>1</v>
      </c>
      <c r="D8536" t="s">
        <v>1</v>
      </c>
      <c r="E8536" t="s">
        <v>1</v>
      </c>
      <c r="F8536" t="s">
        <v>0</v>
      </c>
      <c r="G8536" t="str">
        <f>"2018-10-15 18:20:16"</f>
        <v>2018-10-15 18:20:16</v>
      </c>
    </row>
    <row r="8537" spans="1:7" x14ac:dyDescent="0.2">
      <c r="A8537" t="s">
        <v>661</v>
      </c>
      <c r="B8537" t="str">
        <f>"18773116451"</f>
        <v>18773116451</v>
      </c>
      <c r="C8537" t="str">
        <f>"430724198902061132"</f>
        <v>430724198902061132</v>
      </c>
      <c r="D8537" t="s">
        <v>1</v>
      </c>
      <c r="E8537" t="s">
        <v>1</v>
      </c>
      <c r="F8537" t="s">
        <v>0</v>
      </c>
      <c r="G8537" t="str">
        <f>"2018-10-15 18:22:32"</f>
        <v>2018-10-15 18:22:32</v>
      </c>
    </row>
    <row r="8538" spans="1:7" x14ac:dyDescent="0.2">
      <c r="A8538" t="s">
        <v>9020</v>
      </c>
      <c r="B8538" t="str">
        <f>"15868445248"</f>
        <v>15868445248</v>
      </c>
      <c r="C8538" t="str">
        <f>"330106198103140820"</f>
        <v>330106198103140820</v>
      </c>
      <c r="D8538" t="s">
        <v>9200</v>
      </c>
      <c r="E8538" t="s">
        <v>9201</v>
      </c>
      <c r="F8538" t="s">
        <v>0</v>
      </c>
      <c r="G8538" t="str">
        <f>"2018-10-15 18:22:25"</f>
        <v>2018-10-15 18:22:25</v>
      </c>
    </row>
    <row r="8539" spans="1:7" x14ac:dyDescent="0.2">
      <c r="A8539" t="s">
        <v>9202</v>
      </c>
      <c r="B8539" t="str">
        <f>"13772343233"</f>
        <v>13772343233</v>
      </c>
      <c r="C8539" t="str">
        <f>"612726199404133036"</f>
        <v>612726199404133036</v>
      </c>
      <c r="D8539" t="s">
        <v>1</v>
      </c>
      <c r="E8539" t="s">
        <v>1</v>
      </c>
      <c r="F8539" t="s">
        <v>0</v>
      </c>
      <c r="G8539" t="str">
        <f>"2018-10-15 18:35:26"</f>
        <v>2018-10-15 18:35:26</v>
      </c>
    </row>
    <row r="8540" spans="1:7" x14ac:dyDescent="0.2">
      <c r="A8540" t="s">
        <v>9203</v>
      </c>
      <c r="B8540" t="str">
        <f>"13696898739"</f>
        <v>13696898739</v>
      </c>
      <c r="C8540" t="str">
        <f>"350721199808091816"</f>
        <v>350721199808091816</v>
      </c>
      <c r="D8540" t="s">
        <v>9204</v>
      </c>
      <c r="E8540" t="s">
        <v>9205</v>
      </c>
      <c r="F8540" t="s">
        <v>0</v>
      </c>
      <c r="G8540" t="str">
        <f>"2018-11-04 12:36:45"</f>
        <v>2018-11-04 12:36:45</v>
      </c>
    </row>
    <row r="8541" spans="1:7" x14ac:dyDescent="0.2">
      <c r="A8541" t="s">
        <v>2953</v>
      </c>
      <c r="B8541" t="str">
        <f>"15677757345"</f>
        <v>15677757345</v>
      </c>
      <c r="C8541" t="str">
        <f>"230231198603041034"</f>
        <v>230231198603041034</v>
      </c>
      <c r="D8541" t="s">
        <v>1</v>
      </c>
      <c r="E8541" t="s">
        <v>1</v>
      </c>
      <c r="F8541" t="s">
        <v>0</v>
      </c>
      <c r="G8541" t="str">
        <f>"2018-10-15 18:17:41"</f>
        <v>2018-10-15 18:17:41</v>
      </c>
    </row>
    <row r="8542" spans="1:7" x14ac:dyDescent="0.2">
      <c r="A8542" t="s">
        <v>573</v>
      </c>
      <c r="B8542" t="str">
        <f>"18204287627"</f>
        <v>18204287627</v>
      </c>
      <c r="C8542" t="str">
        <f>"211421197804146618"</f>
        <v>211421197804146618</v>
      </c>
      <c r="D8542" t="s">
        <v>9206</v>
      </c>
      <c r="E8542" t="s">
        <v>9207</v>
      </c>
      <c r="F8542" t="s">
        <v>0</v>
      </c>
      <c r="G8542" t="str">
        <f>"2018-11-01 08:52:11"</f>
        <v>2018-11-01 08:52:11</v>
      </c>
    </row>
    <row r="8543" spans="1:7" x14ac:dyDescent="0.2">
      <c r="A8543" t="s">
        <v>9208</v>
      </c>
      <c r="B8543" t="str">
        <f>"15105322165"</f>
        <v>15105322165</v>
      </c>
      <c r="C8543" t="str">
        <f>"370222197205104212"</f>
        <v>370222197205104212</v>
      </c>
      <c r="D8543" t="s">
        <v>1</v>
      </c>
      <c r="E8543" t="s">
        <v>1</v>
      </c>
      <c r="F8543" t="s">
        <v>0</v>
      </c>
      <c r="G8543" t="str">
        <f>"2018-10-15 18:16:40"</f>
        <v>2018-10-15 18:16:40</v>
      </c>
    </row>
    <row r="8544" spans="1:7" x14ac:dyDescent="0.2">
      <c r="A8544" t="s">
        <v>1</v>
      </c>
      <c r="B8544" t="str">
        <f>"18745982918"</f>
        <v>18745982918</v>
      </c>
      <c r="C8544" t="s">
        <v>1</v>
      </c>
      <c r="D8544" t="s">
        <v>1</v>
      </c>
      <c r="E8544" t="s">
        <v>1</v>
      </c>
      <c r="F8544" t="s">
        <v>0</v>
      </c>
      <c r="G8544" t="str">
        <f>"2018-10-15 18:13:18"</f>
        <v>2018-10-15 18:13:18</v>
      </c>
    </row>
    <row r="8545" spans="1:7" x14ac:dyDescent="0.2">
      <c r="A8545" t="s">
        <v>9209</v>
      </c>
      <c r="B8545" t="str">
        <f>"15009445067"</f>
        <v>15009445067</v>
      </c>
      <c r="C8545" t="str">
        <f>"622301197307144714"</f>
        <v>622301197307144714</v>
      </c>
      <c r="D8545" t="s">
        <v>1</v>
      </c>
      <c r="E8545" t="s">
        <v>1</v>
      </c>
      <c r="F8545" t="s">
        <v>0</v>
      </c>
      <c r="G8545" t="str">
        <f>"2018-10-15 18:14:41"</f>
        <v>2018-10-15 18:14:41</v>
      </c>
    </row>
    <row r="8546" spans="1:7" x14ac:dyDescent="0.2">
      <c r="A8546" t="s">
        <v>445</v>
      </c>
      <c r="B8546" t="str">
        <f>"13130864554"</f>
        <v>13130864554</v>
      </c>
      <c r="C8546" t="str">
        <f>"211303199510083210"</f>
        <v>211303199510083210</v>
      </c>
      <c r="D8546" t="s">
        <v>9210</v>
      </c>
      <c r="E8546" t="s">
        <v>9211</v>
      </c>
      <c r="F8546" t="s">
        <v>0</v>
      </c>
      <c r="G8546" t="str">
        <f>"2018-10-16 10:26:54"</f>
        <v>2018-10-16 10:26:54</v>
      </c>
    </row>
    <row r="8547" spans="1:7" x14ac:dyDescent="0.2">
      <c r="A8547" t="s">
        <v>1</v>
      </c>
      <c r="B8547" t="str">
        <f>"18799206277"</f>
        <v>18799206277</v>
      </c>
      <c r="C8547" t="s">
        <v>1</v>
      </c>
      <c r="D8547" t="s">
        <v>1</v>
      </c>
      <c r="E8547" t="s">
        <v>1</v>
      </c>
      <c r="F8547" t="s">
        <v>0</v>
      </c>
      <c r="G8547" t="str">
        <f>"2018-10-15 18:10:53"</f>
        <v>2018-10-15 18:10:53</v>
      </c>
    </row>
    <row r="8548" spans="1:7" x14ac:dyDescent="0.2">
      <c r="A8548" t="s">
        <v>370</v>
      </c>
      <c r="B8548" t="str">
        <f>"15064877756"</f>
        <v>15064877756</v>
      </c>
      <c r="C8548" t="str">
        <f>"370281199704253115"</f>
        <v>370281199704253115</v>
      </c>
      <c r="D8548" t="s">
        <v>1</v>
      </c>
      <c r="E8548" t="s">
        <v>1</v>
      </c>
      <c r="F8548" t="s">
        <v>0</v>
      </c>
      <c r="G8548" t="str">
        <f>"2018-10-15 18:23:07"</f>
        <v>2018-10-15 18:23:07</v>
      </c>
    </row>
    <row r="8549" spans="1:7" x14ac:dyDescent="0.2">
      <c r="A8549" t="s">
        <v>9212</v>
      </c>
      <c r="B8549" t="str">
        <f>"18956331915"</f>
        <v>18956331915</v>
      </c>
      <c r="C8549" t="str">
        <f>"342501198901190543"</f>
        <v>342501198901190543</v>
      </c>
      <c r="D8549" t="s">
        <v>1</v>
      </c>
      <c r="E8549" t="s">
        <v>1</v>
      </c>
      <c r="F8549" t="s">
        <v>0</v>
      </c>
      <c r="G8549" t="str">
        <f>"2018-11-02 18:22:55"</f>
        <v>2018-11-02 18:22:55</v>
      </c>
    </row>
    <row r="8550" spans="1:7" x14ac:dyDescent="0.2">
      <c r="A8550" t="s">
        <v>9213</v>
      </c>
      <c r="B8550" t="str">
        <f>"18752175996"</f>
        <v>18752175996</v>
      </c>
      <c r="C8550" t="str">
        <f>"32032319950812583X"</f>
        <v>32032319950812583X</v>
      </c>
      <c r="D8550" t="s">
        <v>1</v>
      </c>
      <c r="E8550" t="s">
        <v>1</v>
      </c>
      <c r="F8550" t="s">
        <v>0</v>
      </c>
      <c r="G8550" t="str">
        <f>"2018-10-15 18:11:15"</f>
        <v>2018-10-15 18:11:15</v>
      </c>
    </row>
    <row r="8551" spans="1:7" x14ac:dyDescent="0.2">
      <c r="A8551" t="s">
        <v>1</v>
      </c>
      <c r="B8551" t="str">
        <f>"13210690580"</f>
        <v>13210690580</v>
      </c>
      <c r="C8551" t="s">
        <v>1</v>
      </c>
      <c r="D8551" t="s">
        <v>1</v>
      </c>
      <c r="E8551" t="s">
        <v>1</v>
      </c>
      <c r="F8551" t="s">
        <v>0</v>
      </c>
      <c r="G8551" t="str">
        <f>"2018-10-15 18:07:38"</f>
        <v>2018-10-15 18:07:38</v>
      </c>
    </row>
    <row r="8552" spans="1:7" x14ac:dyDescent="0.2">
      <c r="A8552" t="s">
        <v>9214</v>
      </c>
      <c r="B8552" t="str">
        <f>"17531360754"</f>
        <v>17531360754</v>
      </c>
      <c r="C8552" t="str">
        <f>"130322199910104816"</f>
        <v>130322199910104816</v>
      </c>
      <c r="D8552" t="s">
        <v>1</v>
      </c>
      <c r="E8552" t="s">
        <v>1</v>
      </c>
      <c r="F8552" t="s">
        <v>0</v>
      </c>
      <c r="G8552" t="str">
        <f>"2018-10-15 18:07:10"</f>
        <v>2018-10-15 18:07:10</v>
      </c>
    </row>
    <row r="8553" spans="1:7" x14ac:dyDescent="0.2">
      <c r="A8553" t="s">
        <v>1</v>
      </c>
      <c r="B8553" t="str">
        <f>"18319253714"</f>
        <v>18319253714</v>
      </c>
      <c r="C8553" t="s">
        <v>1</v>
      </c>
      <c r="D8553" t="s">
        <v>1</v>
      </c>
      <c r="E8553" t="s">
        <v>1</v>
      </c>
      <c r="F8553" t="s">
        <v>0</v>
      </c>
      <c r="G8553" t="str">
        <f>"2018-10-15 18:06:44"</f>
        <v>2018-10-15 18:06:44</v>
      </c>
    </row>
    <row r="8554" spans="1:7" x14ac:dyDescent="0.2">
      <c r="A8554" t="s">
        <v>1</v>
      </c>
      <c r="B8554" t="str">
        <f>"13073650240"</f>
        <v>13073650240</v>
      </c>
      <c r="C8554" t="s">
        <v>1</v>
      </c>
      <c r="D8554" t="s">
        <v>1</v>
      </c>
      <c r="E8554" t="s">
        <v>1</v>
      </c>
      <c r="F8554" t="s">
        <v>0</v>
      </c>
      <c r="G8554" t="str">
        <f>"2018-10-15 18:06:42"</f>
        <v>2018-10-15 18:06:42</v>
      </c>
    </row>
    <row r="8555" spans="1:7" x14ac:dyDescent="0.2">
      <c r="A8555" t="s">
        <v>9215</v>
      </c>
      <c r="B8555" t="str">
        <f>"15864005763"</f>
        <v>15864005763</v>
      </c>
      <c r="C8555" t="str">
        <f>"370112199307035116"</f>
        <v>370112199307035116</v>
      </c>
      <c r="D8555" t="s">
        <v>1</v>
      </c>
      <c r="E8555" t="s">
        <v>1</v>
      </c>
      <c r="F8555" t="s">
        <v>0</v>
      </c>
      <c r="G8555" t="str">
        <f>"2018-10-15 18:09:21"</f>
        <v>2018-10-15 18:09:21</v>
      </c>
    </row>
    <row r="8556" spans="1:7" x14ac:dyDescent="0.2">
      <c r="A8556" t="s">
        <v>9216</v>
      </c>
      <c r="B8556" t="str">
        <f>"14790881088"</f>
        <v>14790881088</v>
      </c>
      <c r="C8556" t="str">
        <f>"341227199302030717"</f>
        <v>341227199302030717</v>
      </c>
      <c r="D8556" t="s">
        <v>1</v>
      </c>
      <c r="E8556" t="s">
        <v>1</v>
      </c>
      <c r="F8556" t="s">
        <v>0</v>
      </c>
      <c r="G8556" t="str">
        <f>"2018-10-15 18:23:42"</f>
        <v>2018-10-15 18:23:42</v>
      </c>
    </row>
    <row r="8557" spans="1:7" x14ac:dyDescent="0.2">
      <c r="A8557" t="s">
        <v>9217</v>
      </c>
      <c r="B8557" t="str">
        <f>"13975159249"</f>
        <v>13975159249</v>
      </c>
      <c r="C8557" t="str">
        <f>"432924198011280027"</f>
        <v>432924198011280027</v>
      </c>
      <c r="D8557" t="s">
        <v>1</v>
      </c>
      <c r="E8557" t="s">
        <v>1</v>
      </c>
      <c r="F8557" t="s">
        <v>0</v>
      </c>
      <c r="G8557" t="str">
        <f>"2018-10-15 18:17:38"</f>
        <v>2018-10-15 18:17:38</v>
      </c>
    </row>
    <row r="8558" spans="1:7" x14ac:dyDescent="0.2">
      <c r="A8558" t="s">
        <v>9218</v>
      </c>
      <c r="B8558" t="str">
        <f>"15882001964"</f>
        <v>15882001964</v>
      </c>
      <c r="C8558" t="str">
        <f>"513901198811143350"</f>
        <v>513901198811143350</v>
      </c>
      <c r="D8558" t="s">
        <v>9219</v>
      </c>
      <c r="E8558" t="s">
        <v>9220</v>
      </c>
      <c r="F8558" t="s">
        <v>0</v>
      </c>
      <c r="G8558" t="str">
        <f>"2018-10-15 18:05:10"</f>
        <v>2018-10-15 18:05:10</v>
      </c>
    </row>
    <row r="8559" spans="1:7" x14ac:dyDescent="0.2">
      <c r="A8559" t="s">
        <v>9221</v>
      </c>
      <c r="B8559" t="str">
        <f>"18631221251"</f>
        <v>18631221251</v>
      </c>
      <c r="C8559" t="str">
        <f>"130681199010035831"</f>
        <v>130681199010035831</v>
      </c>
      <c r="D8559" t="s">
        <v>1</v>
      </c>
      <c r="E8559" t="s">
        <v>1</v>
      </c>
      <c r="F8559" t="s">
        <v>0</v>
      </c>
      <c r="G8559" t="str">
        <f>"2018-10-15 18:05:06"</f>
        <v>2018-10-15 18:05:06</v>
      </c>
    </row>
    <row r="8560" spans="1:7" x14ac:dyDescent="0.2">
      <c r="A8560" t="s">
        <v>9222</v>
      </c>
      <c r="B8560" t="str">
        <f>"15096702841"</f>
        <v>15096702841</v>
      </c>
      <c r="C8560" t="str">
        <f>"532726197912222415"</f>
        <v>532726197912222415</v>
      </c>
      <c r="D8560" t="s">
        <v>1</v>
      </c>
      <c r="E8560" t="s">
        <v>1</v>
      </c>
      <c r="F8560" t="s">
        <v>0</v>
      </c>
      <c r="G8560" t="str">
        <f>"2018-10-15 18:08:05"</f>
        <v>2018-10-15 18:08:05</v>
      </c>
    </row>
    <row r="8561" spans="1:7" x14ac:dyDescent="0.2">
      <c r="A8561" t="s">
        <v>1447</v>
      </c>
      <c r="B8561" t="str">
        <f>"13642530391"</f>
        <v>13642530391</v>
      </c>
      <c r="C8561" t="str">
        <f>"441881198903221711"</f>
        <v>441881198903221711</v>
      </c>
      <c r="D8561" t="s">
        <v>1</v>
      </c>
      <c r="E8561" t="s">
        <v>1</v>
      </c>
      <c r="F8561" t="s">
        <v>0</v>
      </c>
      <c r="G8561" t="str">
        <f>"2018-10-15 18:38:20"</f>
        <v>2018-10-15 18:38:20</v>
      </c>
    </row>
    <row r="8562" spans="1:7" x14ac:dyDescent="0.2">
      <c r="A8562" t="s">
        <v>509</v>
      </c>
      <c r="B8562" t="str">
        <f>"18380373953"</f>
        <v>18380373953</v>
      </c>
      <c r="C8562" t="str">
        <f>"510124199105220817"</f>
        <v>510124199105220817</v>
      </c>
      <c r="D8562" t="s">
        <v>1</v>
      </c>
      <c r="E8562" t="s">
        <v>1</v>
      </c>
      <c r="F8562" t="s">
        <v>0</v>
      </c>
      <c r="G8562" t="str">
        <f>"2018-10-15 18:32:43"</f>
        <v>2018-10-15 18:32:43</v>
      </c>
    </row>
    <row r="8563" spans="1:7" x14ac:dyDescent="0.2">
      <c r="A8563" t="s">
        <v>1</v>
      </c>
      <c r="B8563" t="str">
        <f>"13758557571"</f>
        <v>13758557571</v>
      </c>
      <c r="C8563" t="s">
        <v>1</v>
      </c>
      <c r="D8563" t="s">
        <v>1</v>
      </c>
      <c r="E8563" t="s">
        <v>1</v>
      </c>
      <c r="F8563" t="s">
        <v>0</v>
      </c>
      <c r="G8563" t="str">
        <f>"2018-10-15 18:03:28"</f>
        <v>2018-10-15 18:03:28</v>
      </c>
    </row>
    <row r="8564" spans="1:7" x14ac:dyDescent="0.2">
      <c r="A8564" t="s">
        <v>9223</v>
      </c>
      <c r="B8564" t="str">
        <f>"15235125118"</f>
        <v>15235125118</v>
      </c>
      <c r="C8564" t="str">
        <f>"140105198610052540"</f>
        <v>140105198610052540</v>
      </c>
      <c r="D8564" t="s">
        <v>1</v>
      </c>
      <c r="E8564" t="s">
        <v>1</v>
      </c>
      <c r="F8564" t="s">
        <v>0</v>
      </c>
      <c r="G8564" t="str">
        <f>"2018-10-15 18:10:40"</f>
        <v>2018-10-15 18:10:40</v>
      </c>
    </row>
    <row r="8565" spans="1:7" x14ac:dyDescent="0.2">
      <c r="A8565" t="s">
        <v>9224</v>
      </c>
      <c r="B8565" t="str">
        <f>"17664192726"</f>
        <v>17664192726</v>
      </c>
      <c r="C8565" t="str">
        <f>"370687199802102871"</f>
        <v>370687199802102871</v>
      </c>
      <c r="D8565" t="s">
        <v>1</v>
      </c>
      <c r="E8565" t="s">
        <v>1</v>
      </c>
      <c r="F8565" t="s">
        <v>0</v>
      </c>
      <c r="G8565" t="str">
        <f>"2018-10-15 18:05:14"</f>
        <v>2018-10-15 18:05:14</v>
      </c>
    </row>
    <row r="8566" spans="1:7" x14ac:dyDescent="0.2">
      <c r="A8566" t="s">
        <v>1</v>
      </c>
      <c r="B8566" t="str">
        <f>"18396955755"</f>
        <v>18396955755</v>
      </c>
      <c r="C8566" t="s">
        <v>1</v>
      </c>
      <c r="D8566" t="s">
        <v>1</v>
      </c>
      <c r="E8566" t="s">
        <v>1</v>
      </c>
      <c r="F8566" t="s">
        <v>0</v>
      </c>
      <c r="G8566" t="str">
        <f>"2018-10-15 18:10:34"</f>
        <v>2018-10-15 18:10:34</v>
      </c>
    </row>
    <row r="8567" spans="1:7" x14ac:dyDescent="0.2">
      <c r="A8567" t="s">
        <v>1</v>
      </c>
      <c r="B8567" t="str">
        <f>"17171049943"</f>
        <v>17171049943</v>
      </c>
      <c r="C8567" t="s">
        <v>1</v>
      </c>
      <c r="D8567" t="s">
        <v>1</v>
      </c>
      <c r="E8567" t="s">
        <v>1</v>
      </c>
      <c r="F8567" t="s">
        <v>0</v>
      </c>
      <c r="G8567" t="str">
        <f>"2018-10-15 18:02:01"</f>
        <v>2018-10-15 18:02:01</v>
      </c>
    </row>
    <row r="8568" spans="1:7" x14ac:dyDescent="0.2">
      <c r="A8568" t="s">
        <v>1088</v>
      </c>
      <c r="B8568" t="str">
        <f>"15991454762"</f>
        <v>15991454762</v>
      </c>
      <c r="C8568" t="str">
        <f>"61011519891009553X"</f>
        <v>61011519891009553X</v>
      </c>
      <c r="D8568" t="s">
        <v>1</v>
      </c>
      <c r="E8568" t="s">
        <v>1</v>
      </c>
      <c r="F8568" t="s">
        <v>0</v>
      </c>
      <c r="G8568" t="str">
        <f>"2018-10-15 18:03:09"</f>
        <v>2018-10-15 18:03:09</v>
      </c>
    </row>
    <row r="8569" spans="1:7" x14ac:dyDescent="0.2">
      <c r="A8569" t="s">
        <v>9225</v>
      </c>
      <c r="B8569" t="str">
        <f>"13797558201"</f>
        <v>13797558201</v>
      </c>
      <c r="C8569" t="str">
        <f>"420400197112111832"</f>
        <v>420400197112111832</v>
      </c>
      <c r="D8569" t="s">
        <v>1</v>
      </c>
      <c r="E8569" t="s">
        <v>1</v>
      </c>
      <c r="F8569" t="s">
        <v>0</v>
      </c>
      <c r="G8569" t="str">
        <f>"2018-10-15 18:03:29"</f>
        <v>2018-10-15 18:03:29</v>
      </c>
    </row>
    <row r="8570" spans="1:7" x14ac:dyDescent="0.2">
      <c r="A8570" t="s">
        <v>1</v>
      </c>
      <c r="B8570" t="str">
        <f>"18230975883"</f>
        <v>18230975883</v>
      </c>
      <c r="C8570" t="s">
        <v>1</v>
      </c>
      <c r="D8570" t="s">
        <v>1</v>
      </c>
      <c r="E8570" t="s">
        <v>1</v>
      </c>
      <c r="F8570" t="s">
        <v>0</v>
      </c>
      <c r="G8570" t="str">
        <f>"2018-10-15 18:01:26"</f>
        <v>2018-10-15 18:01:26</v>
      </c>
    </row>
    <row r="8571" spans="1:7" x14ac:dyDescent="0.2">
      <c r="A8571" t="s">
        <v>9226</v>
      </c>
      <c r="B8571" t="str">
        <f>"13061031617"</f>
        <v>13061031617</v>
      </c>
      <c r="C8571" t="str">
        <f>"37230119821102071X"</f>
        <v>37230119821102071X</v>
      </c>
      <c r="D8571" t="s">
        <v>9227</v>
      </c>
      <c r="E8571" t="s">
        <v>9228</v>
      </c>
      <c r="F8571" t="s">
        <v>0</v>
      </c>
      <c r="G8571" t="str">
        <f>"2018-10-15 18:01:25"</f>
        <v>2018-10-15 18:01:25</v>
      </c>
    </row>
    <row r="8572" spans="1:7" x14ac:dyDescent="0.2">
      <c r="A8572" t="s">
        <v>9229</v>
      </c>
      <c r="B8572" t="str">
        <f>"18286186419"</f>
        <v>18286186419</v>
      </c>
      <c r="C8572" t="str">
        <f>"520181198904180828"</f>
        <v>520181198904180828</v>
      </c>
      <c r="D8572" t="s">
        <v>1</v>
      </c>
      <c r="E8572" t="s">
        <v>1</v>
      </c>
      <c r="F8572" t="s">
        <v>0</v>
      </c>
      <c r="G8572" t="str">
        <f>"2018-10-15 18:00:59"</f>
        <v>2018-10-15 18:00:59</v>
      </c>
    </row>
    <row r="8573" spans="1:7" x14ac:dyDescent="0.2">
      <c r="A8573" t="s">
        <v>9230</v>
      </c>
      <c r="B8573" t="str">
        <f>"15859558728"</f>
        <v>15859558728</v>
      </c>
      <c r="C8573" t="str">
        <f>"35058219911126458X"</f>
        <v>35058219911126458X</v>
      </c>
      <c r="D8573" t="s">
        <v>1</v>
      </c>
      <c r="E8573" t="s">
        <v>1</v>
      </c>
      <c r="F8573" t="s">
        <v>0</v>
      </c>
      <c r="G8573" t="str">
        <f>"2018-10-30 18:49:59"</f>
        <v>2018-10-30 18:49:59</v>
      </c>
    </row>
    <row r="8574" spans="1:7" x14ac:dyDescent="0.2">
      <c r="A8574" t="s">
        <v>9231</v>
      </c>
      <c r="B8574" t="str">
        <f>"15880436153"</f>
        <v>15880436153</v>
      </c>
      <c r="C8574" t="str">
        <f>"350124199004172852"</f>
        <v>350124199004172852</v>
      </c>
      <c r="D8574" t="s">
        <v>1</v>
      </c>
      <c r="E8574" t="s">
        <v>1</v>
      </c>
      <c r="F8574" t="s">
        <v>0</v>
      </c>
      <c r="G8574" t="str">
        <f>"2018-10-15 18:25:02"</f>
        <v>2018-10-15 18:25:02</v>
      </c>
    </row>
    <row r="8575" spans="1:7" x14ac:dyDescent="0.2">
      <c r="A8575" t="s">
        <v>9232</v>
      </c>
      <c r="B8575" t="str">
        <f>"15160553126"</f>
        <v>15160553126</v>
      </c>
      <c r="C8575" t="str">
        <f>"352202198904111515"</f>
        <v>352202198904111515</v>
      </c>
      <c r="D8575" t="s">
        <v>9233</v>
      </c>
      <c r="E8575" t="s">
        <v>9234</v>
      </c>
      <c r="F8575" t="s">
        <v>0</v>
      </c>
      <c r="G8575" t="str">
        <f>"2018-10-15 19:04:11"</f>
        <v>2018-10-15 19:04:11</v>
      </c>
    </row>
    <row r="8576" spans="1:7" x14ac:dyDescent="0.2">
      <c r="A8576" t="s">
        <v>9235</v>
      </c>
      <c r="B8576" t="str">
        <f>"15209562786"</f>
        <v>15209562786</v>
      </c>
      <c r="C8576" t="str">
        <f>"640202199112100537"</f>
        <v>640202199112100537</v>
      </c>
      <c r="D8576" t="s">
        <v>1</v>
      </c>
      <c r="E8576" t="s">
        <v>1</v>
      </c>
      <c r="F8576" t="s">
        <v>0</v>
      </c>
      <c r="G8576" t="str">
        <f>"2018-10-15 18:00:30"</f>
        <v>2018-10-15 18:00:30</v>
      </c>
    </row>
    <row r="8577" spans="1:7" x14ac:dyDescent="0.2">
      <c r="A8577" t="s">
        <v>692</v>
      </c>
      <c r="B8577" t="str">
        <f>"17609361947"</f>
        <v>17609361947</v>
      </c>
      <c r="C8577" t="str">
        <f>"622223199706150312"</f>
        <v>622223199706150312</v>
      </c>
      <c r="D8577" t="s">
        <v>1</v>
      </c>
      <c r="E8577" t="s">
        <v>1</v>
      </c>
      <c r="F8577" t="s">
        <v>0</v>
      </c>
      <c r="G8577" t="str">
        <f>"2018-10-15 18:32:50"</f>
        <v>2018-10-15 18:32:50</v>
      </c>
    </row>
    <row r="8578" spans="1:7" x14ac:dyDescent="0.2">
      <c r="A8578" t="s">
        <v>1</v>
      </c>
      <c r="B8578" t="str">
        <f>"13597963103"</f>
        <v>13597963103</v>
      </c>
      <c r="C8578" t="s">
        <v>1</v>
      </c>
      <c r="D8578" t="s">
        <v>1</v>
      </c>
      <c r="E8578" t="s">
        <v>1</v>
      </c>
      <c r="F8578" t="s">
        <v>0</v>
      </c>
      <c r="G8578" t="str">
        <f>"2018-10-15 17:58:27"</f>
        <v>2018-10-15 17:58:27</v>
      </c>
    </row>
    <row r="8579" spans="1:7" x14ac:dyDescent="0.2">
      <c r="A8579" t="s">
        <v>895</v>
      </c>
      <c r="B8579" t="str">
        <f>"18212095295"</f>
        <v>18212095295</v>
      </c>
      <c r="C8579" t="str">
        <f>"522128199901290014"</f>
        <v>522128199901290014</v>
      </c>
      <c r="D8579" t="s">
        <v>1</v>
      </c>
      <c r="E8579" t="s">
        <v>1</v>
      </c>
      <c r="F8579" t="s">
        <v>0</v>
      </c>
      <c r="G8579" t="str">
        <f>"2018-10-15 17:58:19"</f>
        <v>2018-10-15 17:58:19</v>
      </c>
    </row>
    <row r="8580" spans="1:7" x14ac:dyDescent="0.2">
      <c r="A8580" t="s">
        <v>1</v>
      </c>
      <c r="B8580" t="str">
        <f>"18506276826"</f>
        <v>18506276826</v>
      </c>
      <c r="C8580" t="s">
        <v>1</v>
      </c>
      <c r="D8580" t="s">
        <v>1</v>
      </c>
      <c r="E8580" t="s">
        <v>1</v>
      </c>
      <c r="F8580" t="s">
        <v>0</v>
      </c>
      <c r="G8580" t="str">
        <f>"2018-10-15 17:56:57"</f>
        <v>2018-10-15 17:56:57</v>
      </c>
    </row>
    <row r="8581" spans="1:7" x14ac:dyDescent="0.2">
      <c r="A8581" t="s">
        <v>1</v>
      </c>
      <c r="B8581" t="str">
        <f>"15198945284"</f>
        <v>15198945284</v>
      </c>
      <c r="C8581" t="s">
        <v>1</v>
      </c>
      <c r="D8581" t="s">
        <v>1</v>
      </c>
      <c r="E8581" t="s">
        <v>1</v>
      </c>
      <c r="F8581" t="s">
        <v>0</v>
      </c>
      <c r="G8581" t="str">
        <f>"2018-10-15 17:56:56"</f>
        <v>2018-10-15 17:56:56</v>
      </c>
    </row>
    <row r="8582" spans="1:7" x14ac:dyDescent="0.2">
      <c r="A8582" t="s">
        <v>2539</v>
      </c>
      <c r="B8582" t="str">
        <f>"13128966292"</f>
        <v>13128966292</v>
      </c>
      <c r="C8582" t="str">
        <f>"430527199205163339"</f>
        <v>430527199205163339</v>
      </c>
      <c r="D8582" t="s">
        <v>1</v>
      </c>
      <c r="E8582" t="s">
        <v>1</v>
      </c>
      <c r="F8582" t="s">
        <v>0</v>
      </c>
      <c r="G8582" t="str">
        <f>"2018-10-15 17:59:05"</f>
        <v>2018-10-15 17:59:05</v>
      </c>
    </row>
    <row r="8583" spans="1:7" x14ac:dyDescent="0.2">
      <c r="A8583" t="s">
        <v>1</v>
      </c>
      <c r="B8583" t="str">
        <f>"13216624429"</f>
        <v>13216624429</v>
      </c>
      <c r="C8583" t="s">
        <v>1</v>
      </c>
      <c r="D8583" t="s">
        <v>1</v>
      </c>
      <c r="E8583" t="s">
        <v>1</v>
      </c>
      <c r="F8583" t="s">
        <v>0</v>
      </c>
      <c r="G8583" t="str">
        <f>"2018-10-15 17:55:35"</f>
        <v>2018-10-15 17:55:35</v>
      </c>
    </row>
    <row r="8584" spans="1:7" x14ac:dyDescent="0.2">
      <c r="A8584" t="s">
        <v>402</v>
      </c>
      <c r="B8584" t="str">
        <f>"18154398832"</f>
        <v>18154398832</v>
      </c>
      <c r="C8584" t="str">
        <f>"411381198910026356"</f>
        <v>411381198910026356</v>
      </c>
      <c r="D8584" t="s">
        <v>1</v>
      </c>
      <c r="E8584" t="s">
        <v>1</v>
      </c>
      <c r="F8584" t="s">
        <v>0</v>
      </c>
      <c r="G8584" t="str">
        <f>"2018-10-15 18:44:47"</f>
        <v>2018-10-15 18:44:47</v>
      </c>
    </row>
    <row r="8585" spans="1:7" x14ac:dyDescent="0.2">
      <c r="A8585" t="s">
        <v>9236</v>
      </c>
      <c r="B8585" t="str">
        <f>"15262809701"</f>
        <v>15262809701</v>
      </c>
      <c r="C8585" t="str">
        <f>"320681199407260020"</f>
        <v>320681199407260020</v>
      </c>
      <c r="D8585" t="s">
        <v>1</v>
      </c>
      <c r="E8585" t="s">
        <v>1</v>
      </c>
      <c r="F8585" t="s">
        <v>0</v>
      </c>
      <c r="G8585" t="str">
        <f>"2018-10-15 17:54:13"</f>
        <v>2018-10-15 17:54:13</v>
      </c>
    </row>
    <row r="8586" spans="1:7" x14ac:dyDescent="0.2">
      <c r="A8586" t="s">
        <v>9237</v>
      </c>
      <c r="B8586" t="str">
        <f>"15232786976"</f>
        <v>15232786976</v>
      </c>
      <c r="C8586" t="str">
        <f>"130202198002123610"</f>
        <v>130202198002123610</v>
      </c>
      <c r="D8586" t="s">
        <v>1</v>
      </c>
      <c r="E8586" t="s">
        <v>1</v>
      </c>
      <c r="F8586" t="s">
        <v>0</v>
      </c>
      <c r="G8586" t="str">
        <f>"2018-10-15 17:54:45"</f>
        <v>2018-10-15 17:54:45</v>
      </c>
    </row>
    <row r="8587" spans="1:7" x14ac:dyDescent="0.2">
      <c r="A8587" t="s">
        <v>1</v>
      </c>
      <c r="B8587" t="str">
        <f>"15057183731"</f>
        <v>15057183731</v>
      </c>
      <c r="C8587" t="s">
        <v>1</v>
      </c>
      <c r="D8587" t="s">
        <v>1</v>
      </c>
      <c r="E8587" t="s">
        <v>1</v>
      </c>
      <c r="F8587" t="s">
        <v>0</v>
      </c>
      <c r="G8587" t="str">
        <f>"2018-10-15 17:52:41"</f>
        <v>2018-10-15 17:52:41</v>
      </c>
    </row>
    <row r="8588" spans="1:7" x14ac:dyDescent="0.2">
      <c r="A8588" t="s">
        <v>388</v>
      </c>
      <c r="B8588" t="str">
        <f>"13737934675"</f>
        <v>13737934675</v>
      </c>
      <c r="C8588" t="str">
        <f>"452131198604233342"</f>
        <v>452131198604233342</v>
      </c>
      <c r="D8588" t="s">
        <v>1</v>
      </c>
      <c r="E8588" t="s">
        <v>1</v>
      </c>
      <c r="F8588" t="s">
        <v>0</v>
      </c>
      <c r="G8588" t="str">
        <f>"2018-10-15 17:55:06"</f>
        <v>2018-10-15 17:55:06</v>
      </c>
    </row>
    <row r="8589" spans="1:7" x14ac:dyDescent="0.2">
      <c r="A8589" t="s">
        <v>9238</v>
      </c>
      <c r="B8589" t="str">
        <f>"18562523870"</f>
        <v>18562523870</v>
      </c>
      <c r="C8589" t="str">
        <f>"370214199611274523"</f>
        <v>370214199611274523</v>
      </c>
      <c r="D8589" t="s">
        <v>1</v>
      </c>
      <c r="E8589" t="s">
        <v>1</v>
      </c>
      <c r="F8589" t="s">
        <v>0</v>
      </c>
      <c r="G8589" t="str">
        <f>"2018-10-29 11:13:22"</f>
        <v>2018-10-29 11:13:22</v>
      </c>
    </row>
    <row r="8590" spans="1:7" x14ac:dyDescent="0.2">
      <c r="A8590" t="s">
        <v>9239</v>
      </c>
      <c r="B8590" t="str">
        <f>"17373170667"</f>
        <v>17373170667</v>
      </c>
      <c r="C8590" t="str">
        <f>"342921199004132716"</f>
        <v>342921199004132716</v>
      </c>
      <c r="D8590" t="s">
        <v>1</v>
      </c>
      <c r="E8590" t="s">
        <v>1</v>
      </c>
      <c r="F8590" t="s">
        <v>0</v>
      </c>
      <c r="G8590" t="str">
        <f>"2018-10-15 17:50:02"</f>
        <v>2018-10-15 17:50:02</v>
      </c>
    </row>
    <row r="8591" spans="1:7" x14ac:dyDescent="0.2">
      <c r="A8591" t="s">
        <v>1</v>
      </c>
      <c r="B8591" t="str">
        <f>"17171049254"</f>
        <v>17171049254</v>
      </c>
      <c r="C8591" t="s">
        <v>1</v>
      </c>
      <c r="D8591" t="s">
        <v>1</v>
      </c>
      <c r="E8591" t="s">
        <v>1</v>
      </c>
      <c r="F8591" t="s">
        <v>0</v>
      </c>
      <c r="G8591" t="str">
        <f>"2018-10-15 17:49:06"</f>
        <v>2018-10-15 17:49:06</v>
      </c>
    </row>
    <row r="8592" spans="1:7" x14ac:dyDescent="0.2">
      <c r="A8592" t="s">
        <v>211</v>
      </c>
      <c r="B8592" t="str">
        <f>"13564656415"</f>
        <v>13564656415</v>
      </c>
      <c r="C8592" t="str">
        <f>"61052819971202339X"</f>
        <v>61052819971202339X</v>
      </c>
      <c r="D8592" t="s">
        <v>1</v>
      </c>
      <c r="E8592" t="s">
        <v>1</v>
      </c>
      <c r="F8592" t="s">
        <v>0</v>
      </c>
      <c r="G8592" t="str">
        <f>"2018-10-30 18:56:19"</f>
        <v>2018-10-30 18:56:19</v>
      </c>
    </row>
    <row r="8593" spans="1:7" x14ac:dyDescent="0.2">
      <c r="A8593" t="s">
        <v>1</v>
      </c>
      <c r="B8593" t="str">
        <f>"18522533359"</f>
        <v>18522533359</v>
      </c>
      <c r="C8593" t="s">
        <v>1</v>
      </c>
      <c r="D8593" t="s">
        <v>1</v>
      </c>
      <c r="E8593" t="s">
        <v>1</v>
      </c>
      <c r="F8593" t="s">
        <v>0</v>
      </c>
      <c r="G8593" t="str">
        <f>"2018-10-15 17:48:36"</f>
        <v>2018-10-15 17:48:36</v>
      </c>
    </row>
    <row r="8594" spans="1:7" x14ac:dyDescent="0.2">
      <c r="A8594" t="s">
        <v>1</v>
      </c>
      <c r="B8594" t="str">
        <f>"13809954156"</f>
        <v>13809954156</v>
      </c>
      <c r="C8594" t="s">
        <v>1</v>
      </c>
      <c r="D8594" t="s">
        <v>1</v>
      </c>
      <c r="E8594" t="s">
        <v>1</v>
      </c>
      <c r="F8594" t="s">
        <v>0</v>
      </c>
      <c r="G8594" t="str">
        <f>"2018-10-15 17:49:14"</f>
        <v>2018-10-15 17:49:14</v>
      </c>
    </row>
    <row r="8595" spans="1:7" x14ac:dyDescent="0.2">
      <c r="A8595" t="s">
        <v>9240</v>
      </c>
      <c r="B8595" t="str">
        <f>"13717676521"</f>
        <v>13717676521</v>
      </c>
      <c r="C8595" t="str">
        <f>"110221199403317029"</f>
        <v>110221199403317029</v>
      </c>
      <c r="D8595" t="s">
        <v>1</v>
      </c>
      <c r="E8595" t="s">
        <v>1</v>
      </c>
      <c r="F8595" t="s">
        <v>0</v>
      </c>
      <c r="G8595" t="str">
        <f>"2018-10-15 17:47:39"</f>
        <v>2018-10-15 17:47:39</v>
      </c>
    </row>
    <row r="8596" spans="1:7" x14ac:dyDescent="0.2">
      <c r="A8596" t="s">
        <v>9241</v>
      </c>
      <c r="B8596" t="str">
        <f>"13906328977"</f>
        <v>13906328977</v>
      </c>
      <c r="C8596" t="str">
        <f>"370481199012200048"</f>
        <v>370481199012200048</v>
      </c>
      <c r="D8596" t="s">
        <v>1</v>
      </c>
      <c r="E8596" t="s">
        <v>1</v>
      </c>
      <c r="F8596" t="s">
        <v>0</v>
      </c>
      <c r="G8596" t="str">
        <f>"2018-11-01 21:00:47"</f>
        <v>2018-11-01 21:00:47</v>
      </c>
    </row>
    <row r="8597" spans="1:7" x14ac:dyDescent="0.2">
      <c r="A8597" t="s">
        <v>1</v>
      </c>
      <c r="B8597" t="str">
        <f>"13950512329"</f>
        <v>13950512329</v>
      </c>
      <c r="C8597" t="s">
        <v>1</v>
      </c>
      <c r="D8597" t="s">
        <v>1</v>
      </c>
      <c r="E8597" t="s">
        <v>1</v>
      </c>
      <c r="F8597" t="s">
        <v>0</v>
      </c>
      <c r="G8597" t="str">
        <f>"2018-10-15 17:45:40"</f>
        <v>2018-10-15 17:45:40</v>
      </c>
    </row>
    <row r="8598" spans="1:7" x14ac:dyDescent="0.2">
      <c r="A8598" t="s">
        <v>1</v>
      </c>
      <c r="B8598" t="str">
        <f>"15285963284"</f>
        <v>15285963284</v>
      </c>
      <c r="C8598" t="s">
        <v>1</v>
      </c>
      <c r="D8598" t="s">
        <v>1</v>
      </c>
      <c r="E8598" t="s">
        <v>1</v>
      </c>
      <c r="F8598" t="s">
        <v>0</v>
      </c>
      <c r="G8598" t="str">
        <f>"2018-10-15 17:45:18"</f>
        <v>2018-10-15 17:45:18</v>
      </c>
    </row>
    <row r="8599" spans="1:7" x14ac:dyDescent="0.2">
      <c r="A8599" t="s">
        <v>9242</v>
      </c>
      <c r="B8599" t="str">
        <f>"18290410302"</f>
        <v>18290410302</v>
      </c>
      <c r="C8599" t="str">
        <f>"510225197306250775"</f>
        <v>510225197306250775</v>
      </c>
      <c r="D8599" t="s">
        <v>1</v>
      </c>
      <c r="E8599" t="s">
        <v>1</v>
      </c>
      <c r="F8599" t="s">
        <v>0</v>
      </c>
      <c r="G8599" t="str">
        <f>"2018-10-15 17:46:12"</f>
        <v>2018-10-15 17:46:12</v>
      </c>
    </row>
    <row r="8600" spans="1:7" x14ac:dyDescent="0.2">
      <c r="A8600" t="s">
        <v>1</v>
      </c>
      <c r="B8600" t="str">
        <f>"17693512514"</f>
        <v>17693512514</v>
      </c>
      <c r="C8600" t="s">
        <v>1</v>
      </c>
      <c r="D8600" t="s">
        <v>1</v>
      </c>
      <c r="E8600" t="s">
        <v>1</v>
      </c>
      <c r="F8600" t="s">
        <v>0</v>
      </c>
      <c r="G8600" t="str">
        <f>"2018-10-15 17:44:48"</f>
        <v>2018-10-15 17:44:48</v>
      </c>
    </row>
    <row r="8601" spans="1:7" x14ac:dyDescent="0.2">
      <c r="A8601" t="s">
        <v>9243</v>
      </c>
      <c r="B8601" t="str">
        <f>"13438844799"</f>
        <v>13438844799</v>
      </c>
      <c r="C8601" t="str">
        <f>"510802198710280063"</f>
        <v>510802198710280063</v>
      </c>
      <c r="D8601" t="s">
        <v>1</v>
      </c>
      <c r="E8601" t="s">
        <v>1</v>
      </c>
      <c r="F8601" t="s">
        <v>0</v>
      </c>
      <c r="G8601" t="str">
        <f>"2018-10-19 20:13:55"</f>
        <v>2018-10-19 20:13:55</v>
      </c>
    </row>
    <row r="8602" spans="1:7" x14ac:dyDescent="0.2">
      <c r="A8602" t="s">
        <v>9244</v>
      </c>
      <c r="B8602" t="str">
        <f>"13120875957"</f>
        <v>13120875957</v>
      </c>
      <c r="C8602" t="str">
        <f>"340223198812272512"</f>
        <v>340223198812272512</v>
      </c>
      <c r="D8602" t="s">
        <v>1</v>
      </c>
      <c r="E8602" t="s">
        <v>1</v>
      </c>
      <c r="F8602" t="s">
        <v>0</v>
      </c>
      <c r="G8602" t="str">
        <f>"2018-10-15 17:44:12"</f>
        <v>2018-10-15 17:44:12</v>
      </c>
    </row>
    <row r="8603" spans="1:7" x14ac:dyDescent="0.2">
      <c r="A8603" t="s">
        <v>9245</v>
      </c>
      <c r="B8603" t="str">
        <f>"13832127816"</f>
        <v>13832127816</v>
      </c>
      <c r="C8603" t="str">
        <f>"130106198101290633"</f>
        <v>130106198101290633</v>
      </c>
      <c r="D8603" t="s">
        <v>1</v>
      </c>
      <c r="E8603" t="s">
        <v>1</v>
      </c>
      <c r="F8603" t="s">
        <v>0</v>
      </c>
      <c r="G8603" t="str">
        <f>"2018-10-15 17:45:10"</f>
        <v>2018-10-15 17:45:10</v>
      </c>
    </row>
    <row r="8604" spans="1:7" x14ac:dyDescent="0.2">
      <c r="A8604" t="s">
        <v>443</v>
      </c>
      <c r="B8604" t="str">
        <f>"15907441811"</f>
        <v>15907441811</v>
      </c>
      <c r="C8604" t="str">
        <f>"430802198601233495"</f>
        <v>430802198601233495</v>
      </c>
      <c r="D8604" t="s">
        <v>9246</v>
      </c>
      <c r="E8604" t="s">
        <v>9247</v>
      </c>
      <c r="F8604" t="s">
        <v>0</v>
      </c>
      <c r="G8604" t="str">
        <f>"2018-10-15 17:42:56"</f>
        <v>2018-10-15 17:42:56</v>
      </c>
    </row>
    <row r="8605" spans="1:7" x14ac:dyDescent="0.2">
      <c r="A8605" t="s">
        <v>1</v>
      </c>
      <c r="B8605" t="str">
        <f>"18202119553"</f>
        <v>18202119553</v>
      </c>
      <c r="C8605" t="s">
        <v>1</v>
      </c>
      <c r="D8605" t="s">
        <v>1</v>
      </c>
      <c r="E8605" t="s">
        <v>1</v>
      </c>
      <c r="F8605" t="s">
        <v>0</v>
      </c>
      <c r="G8605" t="str">
        <f>"2018-10-15 17:42:48"</f>
        <v>2018-10-15 17:42:48</v>
      </c>
    </row>
    <row r="8606" spans="1:7" x14ac:dyDescent="0.2">
      <c r="A8606" t="s">
        <v>1</v>
      </c>
      <c r="B8606" t="str">
        <f>"18344354857"</f>
        <v>18344354857</v>
      </c>
      <c r="C8606" t="s">
        <v>1</v>
      </c>
      <c r="D8606" t="s">
        <v>1</v>
      </c>
      <c r="E8606" t="s">
        <v>1</v>
      </c>
      <c r="F8606" t="s">
        <v>0</v>
      </c>
      <c r="G8606" t="str">
        <f>"2018-10-15 17:42:19"</f>
        <v>2018-10-15 17:42:19</v>
      </c>
    </row>
    <row r="8607" spans="1:7" x14ac:dyDescent="0.2">
      <c r="A8607" t="s">
        <v>9248</v>
      </c>
      <c r="B8607" t="str">
        <f>"18649738864"</f>
        <v>18649738864</v>
      </c>
      <c r="C8607" t="str">
        <f>"510722199604056687"</f>
        <v>510722199604056687</v>
      </c>
      <c r="D8607" t="s">
        <v>9249</v>
      </c>
      <c r="E8607" t="s">
        <v>9250</v>
      </c>
      <c r="F8607" t="s">
        <v>0</v>
      </c>
      <c r="G8607" t="str">
        <f>"2018-10-15 17:47:59"</f>
        <v>2018-10-15 17:47:59</v>
      </c>
    </row>
    <row r="8608" spans="1:7" x14ac:dyDescent="0.2">
      <c r="A8608" t="s">
        <v>9251</v>
      </c>
      <c r="B8608" t="str">
        <f>"18295223457"</f>
        <v>18295223457</v>
      </c>
      <c r="C8608" t="str">
        <f>"620522198610094233"</f>
        <v>620522198610094233</v>
      </c>
      <c r="D8608" t="s">
        <v>9252</v>
      </c>
      <c r="E8608" t="s">
        <v>9253</v>
      </c>
      <c r="F8608" t="s">
        <v>0</v>
      </c>
      <c r="G8608" t="str">
        <f>"2018-10-15 17:43:18"</f>
        <v>2018-10-15 17:43:18</v>
      </c>
    </row>
    <row r="8609" spans="1:7" x14ac:dyDescent="0.2">
      <c r="A8609" t="s">
        <v>9254</v>
      </c>
      <c r="B8609" t="str">
        <f>"18690196605"</f>
        <v>18690196605</v>
      </c>
      <c r="C8609" t="str">
        <f>"41112319930604905X"</f>
        <v>41112319930604905X</v>
      </c>
      <c r="D8609" t="s">
        <v>1</v>
      </c>
      <c r="E8609" t="s">
        <v>1</v>
      </c>
      <c r="F8609" t="s">
        <v>0</v>
      </c>
      <c r="G8609" t="str">
        <f>"2018-10-15 17:42:25"</f>
        <v>2018-10-15 17:42:25</v>
      </c>
    </row>
    <row r="8610" spans="1:7" x14ac:dyDescent="0.2">
      <c r="A8610" t="s">
        <v>9255</v>
      </c>
      <c r="B8610" t="str">
        <f>"13597119746"</f>
        <v>13597119746</v>
      </c>
      <c r="C8610" t="str">
        <f>"450105198306030024"</f>
        <v>450105198306030024</v>
      </c>
      <c r="D8610" t="s">
        <v>1</v>
      </c>
      <c r="E8610" t="s">
        <v>1</v>
      </c>
      <c r="F8610" t="s">
        <v>0</v>
      </c>
      <c r="G8610" t="str">
        <f>"2018-10-15 17:43:05"</f>
        <v>2018-10-15 17:43:05</v>
      </c>
    </row>
    <row r="8611" spans="1:7" x14ac:dyDescent="0.2">
      <c r="A8611" t="s">
        <v>9256</v>
      </c>
      <c r="B8611" t="str">
        <f>"13411043743"</f>
        <v>13411043743</v>
      </c>
      <c r="C8611" t="str">
        <f>"43042119960924641X"</f>
        <v>43042119960924641X</v>
      </c>
      <c r="D8611" t="s">
        <v>1</v>
      </c>
      <c r="E8611" t="s">
        <v>1</v>
      </c>
      <c r="F8611" t="s">
        <v>0</v>
      </c>
      <c r="G8611" t="str">
        <f>"2018-10-15 17:40:50"</f>
        <v>2018-10-15 17:40:50</v>
      </c>
    </row>
    <row r="8612" spans="1:7" x14ac:dyDescent="0.2">
      <c r="A8612" t="s">
        <v>9257</v>
      </c>
      <c r="B8612" t="str">
        <f>"13467643058"</f>
        <v>13467643058</v>
      </c>
      <c r="C8612" t="str">
        <f>"430123195909130011"</f>
        <v>430123195909130011</v>
      </c>
      <c r="D8612" t="s">
        <v>1</v>
      </c>
      <c r="E8612" t="s">
        <v>1</v>
      </c>
      <c r="F8612" t="s">
        <v>0</v>
      </c>
      <c r="G8612" t="str">
        <f>"2018-10-15 17:58:05"</f>
        <v>2018-10-15 17:58:05</v>
      </c>
    </row>
    <row r="8613" spans="1:7" x14ac:dyDescent="0.2">
      <c r="A8613" t="s">
        <v>9258</v>
      </c>
      <c r="B8613" t="str">
        <f>"18811635832"</f>
        <v>18811635832</v>
      </c>
      <c r="C8613" t="str">
        <f>"110111199807040021"</f>
        <v>110111199807040021</v>
      </c>
      <c r="D8613" t="s">
        <v>1</v>
      </c>
      <c r="E8613" t="s">
        <v>1</v>
      </c>
      <c r="F8613" t="s">
        <v>0</v>
      </c>
      <c r="G8613" t="str">
        <f>"2018-10-15 17:42:20"</f>
        <v>2018-10-15 17:42:20</v>
      </c>
    </row>
    <row r="8614" spans="1:7" x14ac:dyDescent="0.2">
      <c r="A8614" t="s">
        <v>1</v>
      </c>
      <c r="B8614" t="str">
        <f>"13237714490"</f>
        <v>13237714490</v>
      </c>
      <c r="C8614" t="s">
        <v>1</v>
      </c>
      <c r="D8614" t="s">
        <v>1</v>
      </c>
      <c r="E8614" t="s">
        <v>1</v>
      </c>
      <c r="F8614" t="s">
        <v>0</v>
      </c>
      <c r="G8614" t="str">
        <f>"2018-10-15 17:39:03"</f>
        <v>2018-10-15 17:39:03</v>
      </c>
    </row>
    <row r="8615" spans="1:7" x14ac:dyDescent="0.2">
      <c r="A8615" t="s">
        <v>1</v>
      </c>
      <c r="B8615" t="str">
        <f>"18678025890"</f>
        <v>18678025890</v>
      </c>
      <c r="C8615" t="s">
        <v>1</v>
      </c>
      <c r="D8615" t="s">
        <v>1</v>
      </c>
      <c r="E8615" t="s">
        <v>1</v>
      </c>
      <c r="F8615" t="s">
        <v>0</v>
      </c>
      <c r="G8615" t="str">
        <f>"2018-10-15 17:38:44"</f>
        <v>2018-10-15 17:38:44</v>
      </c>
    </row>
    <row r="8616" spans="1:7" x14ac:dyDescent="0.2">
      <c r="A8616" t="s">
        <v>9259</v>
      </c>
      <c r="B8616" t="str">
        <f>"18825690798"</f>
        <v>18825690798</v>
      </c>
      <c r="C8616" t="str">
        <f>"44528119930326131X"</f>
        <v>44528119930326131X</v>
      </c>
      <c r="D8616" t="s">
        <v>1</v>
      </c>
      <c r="E8616" t="s">
        <v>1</v>
      </c>
      <c r="F8616" t="s">
        <v>0</v>
      </c>
      <c r="G8616" t="str">
        <f>"2018-10-15 17:40:55"</f>
        <v>2018-10-15 17:40:55</v>
      </c>
    </row>
    <row r="8617" spans="1:7" x14ac:dyDescent="0.2">
      <c r="A8617" t="s">
        <v>9260</v>
      </c>
      <c r="B8617" t="str">
        <f>"15879334460"</f>
        <v>15879334460</v>
      </c>
      <c r="C8617" t="str">
        <f>"362325199107050031"</f>
        <v>362325199107050031</v>
      </c>
      <c r="D8617" t="s">
        <v>1</v>
      </c>
      <c r="E8617" t="s">
        <v>1</v>
      </c>
      <c r="F8617" t="s">
        <v>0</v>
      </c>
      <c r="G8617" t="str">
        <f>"2018-10-17 17:37:47"</f>
        <v>2018-10-17 17:37:47</v>
      </c>
    </row>
    <row r="8618" spans="1:7" x14ac:dyDescent="0.2">
      <c r="A8618" t="s">
        <v>1</v>
      </c>
      <c r="B8618" t="str">
        <f>"13994170816"</f>
        <v>13994170816</v>
      </c>
      <c r="C8618" t="s">
        <v>1</v>
      </c>
      <c r="D8618" t="s">
        <v>1</v>
      </c>
      <c r="E8618" t="s">
        <v>1</v>
      </c>
      <c r="F8618" t="s">
        <v>0</v>
      </c>
      <c r="G8618" t="str">
        <f>"2018-10-15 17:36:54"</f>
        <v>2018-10-15 17:36:54</v>
      </c>
    </row>
    <row r="8619" spans="1:7" x14ac:dyDescent="0.2">
      <c r="A8619" t="s">
        <v>9261</v>
      </c>
      <c r="B8619" t="str">
        <f>"15961025907"</f>
        <v>15961025907</v>
      </c>
      <c r="C8619" t="str">
        <f>"321283199704302612"</f>
        <v>321283199704302612</v>
      </c>
      <c r="D8619" t="s">
        <v>1</v>
      </c>
      <c r="E8619" t="s">
        <v>1</v>
      </c>
      <c r="F8619" t="s">
        <v>0</v>
      </c>
      <c r="G8619" t="str">
        <f>"2018-10-15 23:58:02"</f>
        <v>2018-10-15 23:58:02</v>
      </c>
    </row>
    <row r="8620" spans="1:7" x14ac:dyDescent="0.2">
      <c r="A8620" t="s">
        <v>9262</v>
      </c>
      <c r="B8620" t="str">
        <f>"15990415674"</f>
        <v>15990415674</v>
      </c>
      <c r="C8620" t="str">
        <f>"332527199904070017"</f>
        <v>332527199904070017</v>
      </c>
      <c r="D8620" t="s">
        <v>1</v>
      </c>
      <c r="E8620" t="s">
        <v>1</v>
      </c>
      <c r="F8620" t="s">
        <v>0</v>
      </c>
      <c r="G8620" t="str">
        <f>"2018-10-15 17:37:06"</f>
        <v>2018-10-15 17:37:06</v>
      </c>
    </row>
    <row r="8621" spans="1:7" x14ac:dyDescent="0.2">
      <c r="A8621" t="s">
        <v>806</v>
      </c>
      <c r="B8621" t="str">
        <f>"13137312851"</f>
        <v>13137312851</v>
      </c>
      <c r="C8621" t="str">
        <f>"410782197910190036"</f>
        <v>410782197910190036</v>
      </c>
      <c r="D8621" t="s">
        <v>9263</v>
      </c>
      <c r="E8621" t="s">
        <v>9264</v>
      </c>
      <c r="F8621" t="s">
        <v>0</v>
      </c>
      <c r="G8621" t="str">
        <f>"2018-10-15 17:39:26"</f>
        <v>2018-10-15 17:39:26</v>
      </c>
    </row>
    <row r="8622" spans="1:7" x14ac:dyDescent="0.2">
      <c r="A8622" t="s">
        <v>9265</v>
      </c>
      <c r="B8622" t="str">
        <f>"18703398798"</f>
        <v>18703398798</v>
      </c>
      <c r="C8622" t="str">
        <f>"13052119931104027X"</f>
        <v>13052119931104027X</v>
      </c>
      <c r="D8622" t="s">
        <v>1</v>
      </c>
      <c r="E8622" t="s">
        <v>1</v>
      </c>
      <c r="F8622" t="s">
        <v>0</v>
      </c>
      <c r="G8622" t="str">
        <f>"2018-10-15 17:35:49"</f>
        <v>2018-10-15 17:35:49</v>
      </c>
    </row>
    <row r="8623" spans="1:7" x14ac:dyDescent="0.2">
      <c r="A8623" t="s">
        <v>1592</v>
      </c>
      <c r="B8623" t="str">
        <f>"15163948833"</f>
        <v>15163948833</v>
      </c>
      <c r="C8623" t="str">
        <f>"231182199303063725"</f>
        <v>231182199303063725</v>
      </c>
      <c r="D8623" t="s">
        <v>1</v>
      </c>
      <c r="E8623" t="s">
        <v>1</v>
      </c>
      <c r="F8623" t="s">
        <v>0</v>
      </c>
      <c r="G8623" t="str">
        <f>"2018-10-15 17:39:04"</f>
        <v>2018-10-15 17:39:04</v>
      </c>
    </row>
    <row r="8624" spans="1:7" x14ac:dyDescent="0.2">
      <c r="A8624" t="s">
        <v>9266</v>
      </c>
      <c r="B8624" t="str">
        <f>"18577478188"</f>
        <v>18577478188</v>
      </c>
      <c r="C8624" t="str">
        <f>"450703199707253354"</f>
        <v>450703199707253354</v>
      </c>
      <c r="D8624" t="s">
        <v>1</v>
      </c>
      <c r="E8624" t="s">
        <v>1</v>
      </c>
      <c r="F8624" t="s">
        <v>0</v>
      </c>
      <c r="G8624" t="str">
        <f>"2018-10-15 17:36:13"</f>
        <v>2018-10-15 17:36:13</v>
      </c>
    </row>
    <row r="8625" spans="1:7" x14ac:dyDescent="0.2">
      <c r="A8625" t="s">
        <v>3794</v>
      </c>
      <c r="B8625" t="str">
        <f>"15108500426"</f>
        <v>15108500426</v>
      </c>
      <c r="C8625" t="str">
        <f>"520102199006084614"</f>
        <v>520102199006084614</v>
      </c>
      <c r="D8625" t="s">
        <v>9267</v>
      </c>
      <c r="E8625" t="s">
        <v>9268</v>
      </c>
      <c r="F8625" t="s">
        <v>0</v>
      </c>
      <c r="G8625" t="str">
        <f>"2018-10-15 17:36:29"</f>
        <v>2018-10-15 17:36:29</v>
      </c>
    </row>
    <row r="8626" spans="1:7" x14ac:dyDescent="0.2">
      <c r="A8626" t="s">
        <v>9269</v>
      </c>
      <c r="B8626" t="str">
        <f>"13792937607"</f>
        <v>13792937607</v>
      </c>
      <c r="C8626" t="str">
        <f>"230422198011042628"</f>
        <v>230422198011042628</v>
      </c>
      <c r="D8626" t="s">
        <v>1</v>
      </c>
      <c r="E8626" t="s">
        <v>1</v>
      </c>
      <c r="F8626" t="s">
        <v>0</v>
      </c>
      <c r="G8626" t="str">
        <f>"2018-10-15 18:31:50"</f>
        <v>2018-10-15 18:31:50</v>
      </c>
    </row>
    <row r="8627" spans="1:7" x14ac:dyDescent="0.2">
      <c r="A8627" t="s">
        <v>9270</v>
      </c>
      <c r="B8627" t="str">
        <f>"15260878283"</f>
        <v>15260878283</v>
      </c>
      <c r="C8627" t="str">
        <f>"422326197310015059"</f>
        <v>422326197310015059</v>
      </c>
      <c r="D8627" t="s">
        <v>9271</v>
      </c>
      <c r="E8627" t="s">
        <v>9272</v>
      </c>
      <c r="F8627" t="s">
        <v>0</v>
      </c>
      <c r="G8627" t="str">
        <f>"2018-10-15 17:35:25"</f>
        <v>2018-10-15 17:35:25</v>
      </c>
    </row>
    <row r="8628" spans="1:7" x14ac:dyDescent="0.2">
      <c r="A8628" t="s">
        <v>1</v>
      </c>
      <c r="B8628" t="str">
        <f>"13637658534"</f>
        <v>13637658534</v>
      </c>
      <c r="C8628" t="s">
        <v>1</v>
      </c>
      <c r="D8628" t="s">
        <v>1</v>
      </c>
      <c r="E8628" t="s">
        <v>1</v>
      </c>
      <c r="F8628" t="s">
        <v>0</v>
      </c>
      <c r="G8628" t="str">
        <f>"2018-10-15 17:35:24"</f>
        <v>2018-10-15 17:35:24</v>
      </c>
    </row>
    <row r="8629" spans="1:7" x14ac:dyDescent="0.2">
      <c r="A8629" t="s">
        <v>9273</v>
      </c>
      <c r="B8629" t="str">
        <f>"15099309910"</f>
        <v>15099309910</v>
      </c>
      <c r="C8629" t="str">
        <f>"411422198811132714"</f>
        <v>411422198811132714</v>
      </c>
      <c r="D8629" t="s">
        <v>1</v>
      </c>
      <c r="E8629" t="s">
        <v>1</v>
      </c>
      <c r="F8629" t="s">
        <v>0</v>
      </c>
      <c r="G8629" t="str">
        <f>"2018-10-15 17:36:18"</f>
        <v>2018-10-15 17:36:18</v>
      </c>
    </row>
    <row r="8630" spans="1:7" x14ac:dyDescent="0.2">
      <c r="A8630" t="s">
        <v>1</v>
      </c>
      <c r="B8630" t="str">
        <f>"18347085300"</f>
        <v>18347085300</v>
      </c>
      <c r="C8630" t="s">
        <v>1</v>
      </c>
      <c r="D8630" t="s">
        <v>1</v>
      </c>
      <c r="E8630" t="s">
        <v>1</v>
      </c>
      <c r="F8630" t="s">
        <v>0</v>
      </c>
      <c r="G8630" t="str">
        <f>"2018-10-15 17:31:57"</f>
        <v>2018-10-15 17:31:57</v>
      </c>
    </row>
    <row r="8631" spans="1:7" x14ac:dyDescent="0.2">
      <c r="A8631" t="s">
        <v>9274</v>
      </c>
      <c r="B8631" t="str">
        <f>"17642130905"</f>
        <v>17642130905</v>
      </c>
      <c r="C8631" t="str">
        <f>"211324199407176517"</f>
        <v>211324199407176517</v>
      </c>
      <c r="D8631" t="s">
        <v>9275</v>
      </c>
      <c r="E8631" t="s">
        <v>9276</v>
      </c>
      <c r="F8631" t="s">
        <v>0</v>
      </c>
      <c r="G8631" t="str">
        <f>"2018-10-15 17:33:29"</f>
        <v>2018-10-15 17:33:29</v>
      </c>
    </row>
    <row r="8632" spans="1:7" x14ac:dyDescent="0.2">
      <c r="A8632" t="s">
        <v>1</v>
      </c>
      <c r="B8632" t="str">
        <f>"18398103656"</f>
        <v>18398103656</v>
      </c>
      <c r="C8632" t="s">
        <v>1</v>
      </c>
      <c r="D8632" t="s">
        <v>1</v>
      </c>
      <c r="E8632" t="s">
        <v>1</v>
      </c>
      <c r="F8632" t="s">
        <v>0</v>
      </c>
      <c r="G8632" t="str">
        <f>"2018-10-15 17:31:35"</f>
        <v>2018-10-15 17:31:35</v>
      </c>
    </row>
    <row r="8633" spans="1:7" x14ac:dyDescent="0.2">
      <c r="A8633" t="s">
        <v>3102</v>
      </c>
      <c r="B8633" t="str">
        <f>"15918704036"</f>
        <v>15918704036</v>
      </c>
      <c r="C8633" t="str">
        <f>"440781198510086030"</f>
        <v>440781198510086030</v>
      </c>
      <c r="D8633" t="s">
        <v>1</v>
      </c>
      <c r="E8633" t="s">
        <v>1</v>
      </c>
      <c r="F8633" t="s">
        <v>0</v>
      </c>
      <c r="G8633" t="str">
        <f>"2018-10-15 17:34:53"</f>
        <v>2018-10-15 17:34:53</v>
      </c>
    </row>
    <row r="8634" spans="1:7" x14ac:dyDescent="0.2">
      <c r="A8634" t="s">
        <v>9277</v>
      </c>
      <c r="B8634" t="str">
        <f>"15937589982"</f>
        <v>15937589982</v>
      </c>
      <c r="C8634" t="str">
        <f>"41042219790108911X"</f>
        <v>41042219790108911X</v>
      </c>
      <c r="D8634" t="s">
        <v>1</v>
      </c>
      <c r="E8634" t="s">
        <v>1</v>
      </c>
      <c r="F8634" t="s">
        <v>0</v>
      </c>
      <c r="G8634" t="str">
        <f>"2018-10-15 17:31:05"</f>
        <v>2018-10-15 17:31:05</v>
      </c>
    </row>
    <row r="8635" spans="1:7" x14ac:dyDescent="0.2">
      <c r="A8635" t="s">
        <v>9278</v>
      </c>
      <c r="B8635" t="str">
        <f>"13516478212"</f>
        <v>13516478212</v>
      </c>
      <c r="C8635" t="str">
        <f>"342923198510290037"</f>
        <v>342923198510290037</v>
      </c>
      <c r="D8635" t="s">
        <v>9279</v>
      </c>
      <c r="E8635" t="s">
        <v>9280</v>
      </c>
      <c r="F8635" t="s">
        <v>0</v>
      </c>
      <c r="G8635" t="str">
        <f>"2018-10-26 05:59:27"</f>
        <v>2018-10-26 05:59:27</v>
      </c>
    </row>
    <row r="8636" spans="1:7" x14ac:dyDescent="0.2">
      <c r="A8636" t="s">
        <v>9281</v>
      </c>
      <c r="B8636" t="str">
        <f>"15988399638"</f>
        <v>15988399638</v>
      </c>
      <c r="C8636" t="str">
        <f>"331082199907088112"</f>
        <v>331082199907088112</v>
      </c>
      <c r="D8636" t="s">
        <v>1</v>
      </c>
      <c r="E8636" t="s">
        <v>1</v>
      </c>
      <c r="F8636" t="s">
        <v>0</v>
      </c>
      <c r="G8636" t="str">
        <f>"2018-10-15 17:33:33"</f>
        <v>2018-10-15 17:33:33</v>
      </c>
    </row>
    <row r="8637" spans="1:7" x14ac:dyDescent="0.2">
      <c r="A8637" t="s">
        <v>9282</v>
      </c>
      <c r="B8637" t="str">
        <f>"18991725677"</f>
        <v>18991725677</v>
      </c>
      <c r="C8637" t="str">
        <f>"610326199410092310"</f>
        <v>610326199410092310</v>
      </c>
      <c r="D8637" t="s">
        <v>9283</v>
      </c>
      <c r="E8637" t="s">
        <v>9284</v>
      </c>
      <c r="F8637" t="s">
        <v>0</v>
      </c>
      <c r="G8637" t="str">
        <f>"2018-10-30 16:24:27"</f>
        <v>2018-10-30 16:24:27</v>
      </c>
    </row>
    <row r="8638" spans="1:7" x14ac:dyDescent="0.2">
      <c r="A8638" t="s">
        <v>9285</v>
      </c>
      <c r="B8638" t="str">
        <f>"13932784210"</f>
        <v>13932784210</v>
      </c>
      <c r="C8638" t="str">
        <f>"220322198709218595"</f>
        <v>220322198709218595</v>
      </c>
      <c r="D8638" t="s">
        <v>1</v>
      </c>
      <c r="E8638" t="s">
        <v>1</v>
      </c>
      <c r="F8638" t="s">
        <v>0</v>
      </c>
      <c r="G8638" t="str">
        <f>"2018-10-18 18:12:21"</f>
        <v>2018-10-18 18:12:21</v>
      </c>
    </row>
    <row r="8639" spans="1:7" x14ac:dyDescent="0.2">
      <c r="A8639" t="s">
        <v>851</v>
      </c>
      <c r="B8639" t="str">
        <f>"13882165174"</f>
        <v>13882165174</v>
      </c>
      <c r="C8639" t="str">
        <f>"510122198312155539"</f>
        <v>510122198312155539</v>
      </c>
      <c r="D8639" t="s">
        <v>1</v>
      </c>
      <c r="E8639" t="s">
        <v>1</v>
      </c>
      <c r="F8639" t="s">
        <v>0</v>
      </c>
      <c r="G8639" t="str">
        <f>"2018-10-15 17:31:05"</f>
        <v>2018-10-15 17:31:05</v>
      </c>
    </row>
    <row r="8640" spans="1:7" x14ac:dyDescent="0.2">
      <c r="A8640" t="s">
        <v>9286</v>
      </c>
      <c r="B8640" t="str">
        <f>"15067827308"</f>
        <v>15067827308</v>
      </c>
      <c r="C8640" t="str">
        <f>"330326199409250759"</f>
        <v>330326199409250759</v>
      </c>
      <c r="D8640" t="s">
        <v>1</v>
      </c>
      <c r="E8640" t="s">
        <v>1</v>
      </c>
      <c r="F8640" t="s">
        <v>0</v>
      </c>
      <c r="G8640" t="str">
        <f>"2018-10-15 17:29:12"</f>
        <v>2018-10-15 17:29:12</v>
      </c>
    </row>
    <row r="8641" spans="1:7" x14ac:dyDescent="0.2">
      <c r="A8641" t="s">
        <v>1493</v>
      </c>
      <c r="B8641" t="str">
        <f>"18560852451"</f>
        <v>18560852451</v>
      </c>
      <c r="C8641" t="str">
        <f>"37032119940920001X"</f>
        <v>37032119940920001X</v>
      </c>
      <c r="D8641" t="s">
        <v>1</v>
      </c>
      <c r="E8641" t="s">
        <v>1</v>
      </c>
      <c r="F8641" t="s">
        <v>0</v>
      </c>
      <c r="G8641" t="str">
        <f>"2018-10-15 17:28:59"</f>
        <v>2018-10-15 17:28:59</v>
      </c>
    </row>
    <row r="8642" spans="1:7" x14ac:dyDescent="0.2">
      <c r="A8642" t="s">
        <v>1</v>
      </c>
      <c r="B8642" t="str">
        <f>"18697550633"</f>
        <v>18697550633</v>
      </c>
      <c r="C8642" t="s">
        <v>1</v>
      </c>
      <c r="D8642" t="s">
        <v>1</v>
      </c>
      <c r="E8642" t="s">
        <v>1</v>
      </c>
      <c r="F8642" t="s">
        <v>0</v>
      </c>
      <c r="G8642" t="str">
        <f>"2018-10-15 17:31:06"</f>
        <v>2018-10-15 17:31:06</v>
      </c>
    </row>
    <row r="8643" spans="1:7" x14ac:dyDescent="0.2">
      <c r="A8643" t="s">
        <v>1</v>
      </c>
      <c r="B8643" t="str">
        <f>"15932222539"</f>
        <v>15932222539</v>
      </c>
      <c r="C8643" t="s">
        <v>1</v>
      </c>
      <c r="D8643" t="s">
        <v>1</v>
      </c>
      <c r="E8643" t="s">
        <v>1</v>
      </c>
      <c r="F8643" t="s">
        <v>0</v>
      </c>
      <c r="G8643" t="str">
        <f>"2018-10-15 17:29:40"</f>
        <v>2018-10-15 17:29:40</v>
      </c>
    </row>
    <row r="8644" spans="1:7" x14ac:dyDescent="0.2">
      <c r="A8644" t="s">
        <v>1</v>
      </c>
      <c r="B8644" t="str">
        <f>"18658914451"</f>
        <v>18658914451</v>
      </c>
      <c r="C8644" t="s">
        <v>1</v>
      </c>
      <c r="D8644" t="s">
        <v>1</v>
      </c>
      <c r="E8644" t="s">
        <v>1</v>
      </c>
      <c r="F8644" t="s">
        <v>0</v>
      </c>
      <c r="G8644" t="str">
        <f>"2018-10-15 18:27:22"</f>
        <v>2018-10-15 18:27:22</v>
      </c>
    </row>
    <row r="8645" spans="1:7" x14ac:dyDescent="0.2">
      <c r="A8645" t="s">
        <v>9287</v>
      </c>
      <c r="B8645" t="str">
        <f>"15627925396"</f>
        <v>15627925396</v>
      </c>
      <c r="C8645" t="str">
        <f>"441521199310158819"</f>
        <v>441521199310158819</v>
      </c>
      <c r="D8645" t="s">
        <v>1</v>
      </c>
      <c r="E8645" t="s">
        <v>1</v>
      </c>
      <c r="F8645" t="s">
        <v>0</v>
      </c>
      <c r="G8645" t="str">
        <f>"2018-10-15 18:37:57"</f>
        <v>2018-10-15 18:37:57</v>
      </c>
    </row>
    <row r="8646" spans="1:7" x14ac:dyDescent="0.2">
      <c r="A8646" t="s">
        <v>1</v>
      </c>
      <c r="B8646" t="str">
        <f>"13058743792"</f>
        <v>13058743792</v>
      </c>
      <c r="C8646" t="s">
        <v>1</v>
      </c>
      <c r="D8646" t="s">
        <v>1</v>
      </c>
      <c r="E8646" t="s">
        <v>1</v>
      </c>
      <c r="F8646" t="s">
        <v>0</v>
      </c>
      <c r="G8646" t="str">
        <f>"2018-10-15 17:27:28"</f>
        <v>2018-10-15 17:27:28</v>
      </c>
    </row>
    <row r="8647" spans="1:7" x14ac:dyDescent="0.2">
      <c r="A8647" t="s">
        <v>9288</v>
      </c>
      <c r="B8647" t="str">
        <f>"18946151130"</f>
        <v>18946151130</v>
      </c>
      <c r="C8647" t="str">
        <f>"23010419810301043X"</f>
        <v>23010419810301043X</v>
      </c>
      <c r="D8647" t="s">
        <v>9289</v>
      </c>
      <c r="E8647" t="s">
        <v>9290</v>
      </c>
      <c r="F8647" t="s">
        <v>0</v>
      </c>
      <c r="G8647" t="str">
        <f>"2018-10-15 17:28:18"</f>
        <v>2018-10-15 17:28:18</v>
      </c>
    </row>
    <row r="8648" spans="1:7" x14ac:dyDescent="0.2">
      <c r="A8648" t="s">
        <v>1</v>
      </c>
      <c r="B8648" t="str">
        <f>"15240942373"</f>
        <v>15240942373</v>
      </c>
      <c r="C8648" t="s">
        <v>1</v>
      </c>
      <c r="D8648" t="s">
        <v>1</v>
      </c>
      <c r="E8648" t="s">
        <v>1</v>
      </c>
      <c r="F8648" t="s">
        <v>0</v>
      </c>
      <c r="G8648" t="str">
        <f>"2018-10-15 17:26:09"</f>
        <v>2018-10-15 17:26:09</v>
      </c>
    </row>
    <row r="8649" spans="1:7" x14ac:dyDescent="0.2">
      <c r="A8649" t="s">
        <v>1</v>
      </c>
      <c r="B8649" t="str">
        <f>"13667901632"</f>
        <v>13667901632</v>
      </c>
      <c r="C8649" t="s">
        <v>1</v>
      </c>
      <c r="D8649" t="s">
        <v>1</v>
      </c>
      <c r="E8649" t="s">
        <v>1</v>
      </c>
      <c r="F8649" t="s">
        <v>0</v>
      </c>
      <c r="G8649" t="str">
        <f>"2018-10-15 17:37:44"</f>
        <v>2018-10-15 17:37:44</v>
      </c>
    </row>
    <row r="8650" spans="1:7" x14ac:dyDescent="0.2">
      <c r="A8650" t="s">
        <v>1</v>
      </c>
      <c r="B8650" t="str">
        <f>"15677626477"</f>
        <v>15677626477</v>
      </c>
      <c r="C8650" t="s">
        <v>1</v>
      </c>
      <c r="D8650" t="s">
        <v>1</v>
      </c>
      <c r="E8650" t="s">
        <v>1</v>
      </c>
      <c r="F8650" t="s">
        <v>0</v>
      </c>
      <c r="G8650" t="str">
        <f>"2018-10-15 17:25:33"</f>
        <v>2018-10-15 17:25:33</v>
      </c>
    </row>
    <row r="8651" spans="1:7" x14ac:dyDescent="0.2">
      <c r="A8651" t="s">
        <v>9291</v>
      </c>
      <c r="B8651" t="str">
        <f>"18150859120"</f>
        <v>18150859120</v>
      </c>
      <c r="C8651" t="str">
        <f>"352225199301244019"</f>
        <v>352225199301244019</v>
      </c>
      <c r="D8651" t="s">
        <v>1</v>
      </c>
      <c r="E8651" t="s">
        <v>1</v>
      </c>
      <c r="F8651" t="s">
        <v>0</v>
      </c>
      <c r="G8651" t="str">
        <f>"2018-10-15 17:25:10"</f>
        <v>2018-10-15 17:25:10</v>
      </c>
    </row>
    <row r="8652" spans="1:7" x14ac:dyDescent="0.2">
      <c r="A8652" t="s">
        <v>9292</v>
      </c>
      <c r="B8652" t="str">
        <f>"13970142106"</f>
        <v>13970142106</v>
      </c>
      <c r="C8652" t="str">
        <f>"360725198503150611"</f>
        <v>360725198503150611</v>
      </c>
      <c r="D8652" t="s">
        <v>1</v>
      </c>
      <c r="E8652" t="s">
        <v>1</v>
      </c>
      <c r="F8652" t="s">
        <v>0</v>
      </c>
      <c r="G8652" t="str">
        <f>"2018-10-15 17:26:35"</f>
        <v>2018-10-15 17:26:35</v>
      </c>
    </row>
    <row r="8653" spans="1:7" x14ac:dyDescent="0.2">
      <c r="A8653" t="s">
        <v>9293</v>
      </c>
      <c r="B8653" t="str">
        <f>"17614845469"</f>
        <v>17614845469</v>
      </c>
      <c r="C8653" t="str">
        <f>"152626200009265417"</f>
        <v>152626200009265417</v>
      </c>
      <c r="D8653" t="s">
        <v>9294</v>
      </c>
      <c r="E8653" t="s">
        <v>9295</v>
      </c>
      <c r="F8653" t="s">
        <v>0</v>
      </c>
      <c r="G8653" t="str">
        <f>"2018-10-15 17:23:39"</f>
        <v>2018-10-15 17:23:39</v>
      </c>
    </row>
    <row r="8654" spans="1:7" x14ac:dyDescent="0.2">
      <c r="A8654" t="s">
        <v>1</v>
      </c>
      <c r="B8654" t="str">
        <f>"13312673807"</f>
        <v>13312673807</v>
      </c>
      <c r="C8654" t="s">
        <v>1</v>
      </c>
      <c r="D8654" t="s">
        <v>1</v>
      </c>
      <c r="E8654" t="s">
        <v>1</v>
      </c>
      <c r="F8654" t="s">
        <v>0</v>
      </c>
      <c r="G8654" t="str">
        <f>"2018-10-15 17:23:26"</f>
        <v>2018-10-15 17:23:26</v>
      </c>
    </row>
    <row r="8655" spans="1:7" x14ac:dyDescent="0.2">
      <c r="A8655" t="s">
        <v>1</v>
      </c>
      <c r="B8655" t="str">
        <f>"13646673711"</f>
        <v>13646673711</v>
      </c>
      <c r="C8655" t="s">
        <v>1</v>
      </c>
      <c r="D8655" t="s">
        <v>1</v>
      </c>
      <c r="E8655" t="s">
        <v>1</v>
      </c>
      <c r="F8655" t="s">
        <v>0</v>
      </c>
      <c r="G8655" t="str">
        <f>"2018-10-15 17:23:23"</f>
        <v>2018-10-15 17:23:23</v>
      </c>
    </row>
    <row r="8656" spans="1:7" x14ac:dyDescent="0.2">
      <c r="A8656" t="s">
        <v>9296</v>
      </c>
      <c r="B8656" t="str">
        <f>"15739462624"</f>
        <v>15739462624</v>
      </c>
      <c r="C8656" t="str">
        <f>"652325199501102628"</f>
        <v>652325199501102628</v>
      </c>
      <c r="D8656" t="s">
        <v>9297</v>
      </c>
      <c r="E8656" t="s">
        <v>9298</v>
      </c>
      <c r="F8656" t="s">
        <v>0</v>
      </c>
      <c r="G8656" t="str">
        <f>"2018-10-15 17:24:29"</f>
        <v>2018-10-15 17:24:29</v>
      </c>
    </row>
    <row r="8657" spans="1:7" x14ac:dyDescent="0.2">
      <c r="A8657" t="s">
        <v>395</v>
      </c>
      <c r="B8657" t="str">
        <f>"13339378191"</f>
        <v>13339378191</v>
      </c>
      <c r="C8657" t="str">
        <f>"232326199004283534"</f>
        <v>232326199004283534</v>
      </c>
      <c r="D8657" t="s">
        <v>1</v>
      </c>
      <c r="E8657" t="s">
        <v>1</v>
      </c>
      <c r="F8657" t="s">
        <v>0</v>
      </c>
      <c r="G8657" t="str">
        <f>"2018-10-15 17:23:45"</f>
        <v>2018-10-15 17:23:45</v>
      </c>
    </row>
    <row r="8658" spans="1:7" x14ac:dyDescent="0.2">
      <c r="A8658" t="s">
        <v>1</v>
      </c>
      <c r="B8658" t="str">
        <f>"15027095876"</f>
        <v>15027095876</v>
      </c>
      <c r="C8658" t="s">
        <v>1</v>
      </c>
      <c r="D8658" t="s">
        <v>1</v>
      </c>
      <c r="E8658" t="s">
        <v>1</v>
      </c>
      <c r="F8658" t="s">
        <v>0</v>
      </c>
      <c r="G8658" t="str">
        <f>"2018-10-15 17:22:09"</f>
        <v>2018-10-15 17:22:09</v>
      </c>
    </row>
    <row r="8659" spans="1:7" x14ac:dyDescent="0.2">
      <c r="A8659" t="s">
        <v>1</v>
      </c>
      <c r="B8659" t="str">
        <f>"15991672268"</f>
        <v>15991672268</v>
      </c>
      <c r="C8659" t="s">
        <v>1</v>
      </c>
      <c r="D8659" t="s">
        <v>1</v>
      </c>
      <c r="E8659" t="s">
        <v>1</v>
      </c>
      <c r="F8659" t="s">
        <v>0</v>
      </c>
      <c r="G8659" t="str">
        <f>"2018-10-15 17:20:13"</f>
        <v>2018-10-15 17:20:13</v>
      </c>
    </row>
    <row r="8660" spans="1:7" x14ac:dyDescent="0.2">
      <c r="A8660" t="s">
        <v>1</v>
      </c>
      <c r="B8660" t="str">
        <f>"18955222561"</f>
        <v>18955222561</v>
      </c>
      <c r="C8660" t="s">
        <v>1</v>
      </c>
      <c r="D8660" t="s">
        <v>1</v>
      </c>
      <c r="E8660" t="s">
        <v>1</v>
      </c>
      <c r="F8660" t="s">
        <v>0</v>
      </c>
      <c r="G8660" t="str">
        <f>"2018-10-15 17:20:11"</f>
        <v>2018-10-15 17:20:11</v>
      </c>
    </row>
    <row r="8661" spans="1:7" x14ac:dyDescent="0.2">
      <c r="A8661" t="s">
        <v>9299</v>
      </c>
      <c r="B8661" t="str">
        <f>"18889923052"</f>
        <v>18889923052</v>
      </c>
      <c r="C8661" t="str">
        <f>"460036198810114519"</f>
        <v>460036198810114519</v>
      </c>
      <c r="D8661" t="s">
        <v>9300</v>
      </c>
      <c r="E8661" t="s">
        <v>9301</v>
      </c>
      <c r="F8661" t="s">
        <v>0</v>
      </c>
      <c r="G8661" t="str">
        <f>"2018-10-15 17:22:17"</f>
        <v>2018-10-15 17:22:17</v>
      </c>
    </row>
    <row r="8662" spans="1:7" x14ac:dyDescent="0.2">
      <c r="A8662" t="s">
        <v>9302</v>
      </c>
      <c r="B8662" t="str">
        <f>"17385094363"</f>
        <v>17385094363</v>
      </c>
      <c r="C8662" t="str">
        <f>"522322198401072414"</f>
        <v>522322198401072414</v>
      </c>
      <c r="D8662" t="s">
        <v>9303</v>
      </c>
      <c r="E8662" t="s">
        <v>9304</v>
      </c>
      <c r="F8662" t="s">
        <v>0</v>
      </c>
      <c r="G8662" t="str">
        <f>"2018-10-23 16:30:20"</f>
        <v>2018-10-23 16:30:20</v>
      </c>
    </row>
    <row r="8663" spans="1:7" x14ac:dyDescent="0.2">
      <c r="A8663" t="s">
        <v>9305</v>
      </c>
      <c r="B8663" t="str">
        <f>"13924641107"</f>
        <v>13924641107</v>
      </c>
      <c r="C8663" t="str">
        <f>"362323198607063210"</f>
        <v>362323198607063210</v>
      </c>
      <c r="D8663" t="s">
        <v>9306</v>
      </c>
      <c r="E8663" t="s">
        <v>9307</v>
      </c>
      <c r="F8663" t="s">
        <v>0</v>
      </c>
      <c r="G8663" t="str">
        <f>"2018-10-15 17:20:04"</f>
        <v>2018-10-15 17:20:04</v>
      </c>
    </row>
    <row r="8664" spans="1:7" x14ac:dyDescent="0.2">
      <c r="A8664" t="s">
        <v>1</v>
      </c>
      <c r="B8664" t="str">
        <f>"15174718176"</f>
        <v>15174718176</v>
      </c>
      <c r="C8664" t="s">
        <v>1</v>
      </c>
      <c r="D8664" t="s">
        <v>1</v>
      </c>
      <c r="E8664" t="s">
        <v>1</v>
      </c>
      <c r="F8664" t="s">
        <v>0</v>
      </c>
      <c r="G8664" t="str">
        <f>"2018-10-15 17:18:50"</f>
        <v>2018-10-15 17:18:50</v>
      </c>
    </row>
    <row r="8665" spans="1:7" x14ac:dyDescent="0.2">
      <c r="A8665" t="s">
        <v>9308</v>
      </c>
      <c r="B8665" t="str">
        <f>"18506240280"</f>
        <v>18506240280</v>
      </c>
      <c r="C8665" t="str">
        <f>"420626199403033524"</f>
        <v>420626199403033524</v>
      </c>
      <c r="D8665" t="s">
        <v>1</v>
      </c>
      <c r="E8665" t="s">
        <v>1</v>
      </c>
      <c r="F8665" t="s">
        <v>0</v>
      </c>
      <c r="G8665" t="str">
        <f>"2018-10-15 17:22:17"</f>
        <v>2018-10-15 17:22:17</v>
      </c>
    </row>
    <row r="8666" spans="1:7" x14ac:dyDescent="0.2">
      <c r="A8666" t="s">
        <v>9309</v>
      </c>
      <c r="B8666" t="str">
        <f>"18624501703"</f>
        <v>18624501703</v>
      </c>
      <c r="C8666" t="str">
        <f>"211122198701101761"</f>
        <v>211122198701101761</v>
      </c>
      <c r="D8666" t="s">
        <v>9310</v>
      </c>
      <c r="E8666" t="s">
        <v>9311</v>
      </c>
      <c r="F8666" t="s">
        <v>0</v>
      </c>
      <c r="G8666" t="str">
        <f>"2018-10-15 17:16:46"</f>
        <v>2018-10-15 17:16:46</v>
      </c>
    </row>
    <row r="8667" spans="1:7" x14ac:dyDescent="0.2">
      <c r="A8667" t="s">
        <v>370</v>
      </c>
      <c r="B8667" t="str">
        <f>"18522513593"</f>
        <v>18522513593</v>
      </c>
      <c r="C8667" t="str">
        <f>"12022319820920483X"</f>
        <v>12022319820920483X</v>
      </c>
      <c r="D8667" t="s">
        <v>1</v>
      </c>
      <c r="E8667" t="s">
        <v>1</v>
      </c>
      <c r="F8667" t="s">
        <v>0</v>
      </c>
      <c r="G8667" t="str">
        <f>"2018-10-15 17:16:18"</f>
        <v>2018-10-15 17:16:18</v>
      </c>
    </row>
    <row r="8668" spans="1:7" x14ac:dyDescent="0.2">
      <c r="A8668" t="s">
        <v>9312</v>
      </c>
      <c r="B8668" t="str">
        <f>"15108579015"</f>
        <v>15108579015</v>
      </c>
      <c r="C8668" t="str">
        <f>"522427198704180014"</f>
        <v>522427198704180014</v>
      </c>
      <c r="D8668" t="s">
        <v>9313</v>
      </c>
      <c r="E8668" t="s">
        <v>9314</v>
      </c>
      <c r="F8668" t="s">
        <v>0</v>
      </c>
      <c r="G8668" t="str">
        <f>"2018-10-15 17:21:30"</f>
        <v>2018-10-15 17:21:30</v>
      </c>
    </row>
    <row r="8669" spans="1:7" x14ac:dyDescent="0.2">
      <c r="A8669" t="s">
        <v>1</v>
      </c>
      <c r="B8669" t="str">
        <f>"15279028523"</f>
        <v>15279028523</v>
      </c>
      <c r="C8669" t="s">
        <v>1</v>
      </c>
      <c r="D8669" t="s">
        <v>1</v>
      </c>
      <c r="E8669" t="s">
        <v>1</v>
      </c>
      <c r="F8669" t="s">
        <v>0</v>
      </c>
      <c r="G8669" t="str">
        <f>"2018-10-15 17:17:01"</f>
        <v>2018-10-15 17:17:01</v>
      </c>
    </row>
    <row r="8670" spans="1:7" x14ac:dyDescent="0.2">
      <c r="A8670" t="s">
        <v>1</v>
      </c>
      <c r="B8670" t="str">
        <f>"13453947781"</f>
        <v>13453947781</v>
      </c>
      <c r="C8670" t="s">
        <v>1</v>
      </c>
      <c r="D8670" t="s">
        <v>1</v>
      </c>
      <c r="E8670" t="s">
        <v>1</v>
      </c>
      <c r="F8670" t="s">
        <v>0</v>
      </c>
      <c r="G8670" t="str">
        <f>"2018-10-15 17:16:01"</f>
        <v>2018-10-15 17:16:01</v>
      </c>
    </row>
    <row r="8671" spans="1:7" x14ac:dyDescent="0.2">
      <c r="A8671" t="s">
        <v>576</v>
      </c>
      <c r="B8671" t="str">
        <f>"13759685722"</f>
        <v>13759685722</v>
      </c>
      <c r="C8671" t="str">
        <f>"610527198512282118"</f>
        <v>610527198512282118</v>
      </c>
      <c r="D8671" t="s">
        <v>1</v>
      </c>
      <c r="E8671" t="s">
        <v>1</v>
      </c>
      <c r="F8671" t="s">
        <v>0</v>
      </c>
      <c r="G8671" t="str">
        <f>"2018-10-15 17:18:50"</f>
        <v>2018-10-15 17:18:50</v>
      </c>
    </row>
    <row r="8672" spans="1:7" x14ac:dyDescent="0.2">
      <c r="A8672" t="s">
        <v>1828</v>
      </c>
      <c r="B8672" t="str">
        <f>"15868676218"</f>
        <v>15868676218</v>
      </c>
      <c r="C8672" t="str">
        <f>"341125199702240555"</f>
        <v>341125199702240555</v>
      </c>
      <c r="D8672" t="s">
        <v>9315</v>
      </c>
      <c r="E8672" t="s">
        <v>9316</v>
      </c>
      <c r="F8672" t="s">
        <v>0</v>
      </c>
      <c r="G8672" t="str">
        <f>"2018-10-15 17:17:53"</f>
        <v>2018-10-15 17:17:53</v>
      </c>
    </row>
    <row r="8673" spans="1:7" x14ac:dyDescent="0.2">
      <c r="A8673" t="s">
        <v>1</v>
      </c>
      <c r="B8673" t="str">
        <f>"13100465294"</f>
        <v>13100465294</v>
      </c>
      <c r="C8673" t="s">
        <v>1</v>
      </c>
      <c r="D8673" t="s">
        <v>1</v>
      </c>
      <c r="E8673" t="s">
        <v>1</v>
      </c>
      <c r="F8673" t="s">
        <v>0</v>
      </c>
      <c r="G8673" t="str">
        <f>"2018-10-15 17:14:58"</f>
        <v>2018-10-15 17:14:58</v>
      </c>
    </row>
    <row r="8674" spans="1:7" x14ac:dyDescent="0.2">
      <c r="A8674" t="s">
        <v>9317</v>
      </c>
      <c r="B8674" t="str">
        <f>"18337457058"</f>
        <v>18337457058</v>
      </c>
      <c r="C8674" t="str">
        <f>"130102198909230320"</f>
        <v>130102198909230320</v>
      </c>
      <c r="D8674" t="s">
        <v>1</v>
      </c>
      <c r="E8674" t="s">
        <v>1</v>
      </c>
      <c r="F8674" t="s">
        <v>0</v>
      </c>
      <c r="G8674" t="str">
        <f>"2018-10-15 17:16:05"</f>
        <v>2018-10-15 17:16:05</v>
      </c>
    </row>
    <row r="8675" spans="1:7" x14ac:dyDescent="0.2">
      <c r="A8675" t="s">
        <v>1</v>
      </c>
      <c r="B8675" t="str">
        <f>"18209597877"</f>
        <v>18209597877</v>
      </c>
      <c r="C8675" t="s">
        <v>1</v>
      </c>
      <c r="D8675" t="s">
        <v>1</v>
      </c>
      <c r="E8675" t="s">
        <v>1</v>
      </c>
      <c r="F8675" t="s">
        <v>0</v>
      </c>
      <c r="G8675" t="str">
        <f>"2018-10-15 17:14:40"</f>
        <v>2018-10-15 17:14:40</v>
      </c>
    </row>
    <row r="8676" spans="1:7" x14ac:dyDescent="0.2">
      <c r="A8676" t="s">
        <v>1</v>
      </c>
      <c r="B8676" t="str">
        <f>"18991685136"</f>
        <v>18991685136</v>
      </c>
      <c r="C8676" t="s">
        <v>1</v>
      </c>
      <c r="D8676" t="s">
        <v>1</v>
      </c>
      <c r="E8676" t="s">
        <v>1</v>
      </c>
      <c r="F8676" t="s">
        <v>0</v>
      </c>
      <c r="G8676" t="str">
        <f>"2018-10-15 17:14:30"</f>
        <v>2018-10-15 17:14:30</v>
      </c>
    </row>
    <row r="8677" spans="1:7" x14ac:dyDescent="0.2">
      <c r="A8677" t="s">
        <v>1</v>
      </c>
      <c r="B8677" t="str">
        <f>"15077180209"</f>
        <v>15077180209</v>
      </c>
      <c r="C8677" t="s">
        <v>1</v>
      </c>
      <c r="D8677" t="s">
        <v>1</v>
      </c>
      <c r="E8677" t="s">
        <v>1</v>
      </c>
      <c r="F8677" t="s">
        <v>0</v>
      </c>
      <c r="G8677" t="str">
        <f>"2018-10-15 17:14:10"</f>
        <v>2018-10-15 17:14:10</v>
      </c>
    </row>
    <row r="8678" spans="1:7" x14ac:dyDescent="0.2">
      <c r="A8678" t="s">
        <v>1</v>
      </c>
      <c r="B8678" t="str">
        <f>"13533308849"</f>
        <v>13533308849</v>
      </c>
      <c r="C8678" t="s">
        <v>1</v>
      </c>
      <c r="D8678" t="s">
        <v>1</v>
      </c>
      <c r="E8678" t="s">
        <v>1</v>
      </c>
      <c r="F8678" t="s">
        <v>0</v>
      </c>
      <c r="G8678" t="str">
        <f>"2018-10-15 17:13:05"</f>
        <v>2018-10-15 17:13:05</v>
      </c>
    </row>
    <row r="8679" spans="1:7" x14ac:dyDescent="0.2">
      <c r="A8679" t="s">
        <v>1</v>
      </c>
      <c r="B8679" t="str">
        <f>"17171049246"</f>
        <v>17171049246</v>
      </c>
      <c r="C8679" t="s">
        <v>1</v>
      </c>
      <c r="D8679" t="s">
        <v>1</v>
      </c>
      <c r="E8679" t="s">
        <v>1</v>
      </c>
      <c r="F8679" t="s">
        <v>0</v>
      </c>
      <c r="G8679" t="str">
        <f>"2018-10-15 17:12:53"</f>
        <v>2018-10-15 17:12:53</v>
      </c>
    </row>
    <row r="8680" spans="1:7" x14ac:dyDescent="0.2">
      <c r="A8680" t="s">
        <v>1</v>
      </c>
      <c r="B8680" t="str">
        <f>"13632437046"</f>
        <v>13632437046</v>
      </c>
      <c r="C8680" t="s">
        <v>1</v>
      </c>
      <c r="D8680" t="s">
        <v>1</v>
      </c>
      <c r="E8680" t="s">
        <v>1</v>
      </c>
      <c r="F8680" t="s">
        <v>0</v>
      </c>
      <c r="G8680" t="str">
        <f>"2018-10-15 17:11:40"</f>
        <v>2018-10-15 17:11:40</v>
      </c>
    </row>
    <row r="8681" spans="1:7" x14ac:dyDescent="0.2">
      <c r="A8681" t="s">
        <v>9318</v>
      </c>
      <c r="B8681" t="str">
        <f>"18514779023"</f>
        <v>18514779023</v>
      </c>
      <c r="C8681" t="str">
        <f>"142222197102182719"</f>
        <v>142222197102182719</v>
      </c>
      <c r="D8681" t="s">
        <v>1</v>
      </c>
      <c r="E8681" t="s">
        <v>1</v>
      </c>
      <c r="F8681" t="s">
        <v>0</v>
      </c>
      <c r="G8681" t="str">
        <f>"2018-10-26 18:43:57"</f>
        <v>2018-10-26 18:43:57</v>
      </c>
    </row>
    <row r="8682" spans="1:7" x14ac:dyDescent="0.2">
      <c r="A8682" t="s">
        <v>9319</v>
      </c>
      <c r="B8682" t="str">
        <f>"18617561893"</f>
        <v>18617561893</v>
      </c>
      <c r="C8682" t="str">
        <f>"130427199006274451"</f>
        <v>130427199006274451</v>
      </c>
      <c r="D8682" t="s">
        <v>1</v>
      </c>
      <c r="E8682" t="s">
        <v>1</v>
      </c>
      <c r="F8682" t="s">
        <v>0</v>
      </c>
      <c r="G8682" t="str">
        <f>"2018-10-15 17:12:16"</f>
        <v>2018-10-15 17:12:16</v>
      </c>
    </row>
    <row r="8683" spans="1:7" x14ac:dyDescent="0.2">
      <c r="A8683" t="s">
        <v>9320</v>
      </c>
      <c r="B8683" t="str">
        <f>"15091966120"</f>
        <v>15091966120</v>
      </c>
      <c r="C8683" t="str">
        <f>"460007198009015396"</f>
        <v>460007198009015396</v>
      </c>
      <c r="D8683" t="s">
        <v>1</v>
      </c>
      <c r="E8683" t="s">
        <v>1</v>
      </c>
      <c r="F8683" t="s">
        <v>0</v>
      </c>
      <c r="G8683" t="str">
        <f>"2018-10-15 17:12:58"</f>
        <v>2018-10-15 17:12:58</v>
      </c>
    </row>
    <row r="8684" spans="1:7" x14ac:dyDescent="0.2">
      <c r="A8684" t="s">
        <v>328</v>
      </c>
      <c r="B8684" t="str">
        <f>"18762589728"</f>
        <v>18762589728</v>
      </c>
      <c r="C8684" t="str">
        <f>"321323199608262357"</f>
        <v>321323199608262357</v>
      </c>
      <c r="D8684" t="s">
        <v>1</v>
      </c>
      <c r="E8684" t="s">
        <v>1</v>
      </c>
      <c r="F8684" t="s">
        <v>0</v>
      </c>
      <c r="G8684" t="str">
        <f>"2018-10-15 17:34:08"</f>
        <v>2018-10-15 17:34:08</v>
      </c>
    </row>
    <row r="8685" spans="1:7" x14ac:dyDescent="0.2">
      <c r="A8685" t="s">
        <v>1</v>
      </c>
      <c r="B8685" t="str">
        <f>"18056463330"</f>
        <v>18056463330</v>
      </c>
      <c r="C8685" t="s">
        <v>1</v>
      </c>
      <c r="D8685" t="s">
        <v>1</v>
      </c>
      <c r="E8685" t="s">
        <v>1</v>
      </c>
      <c r="F8685" t="s">
        <v>0</v>
      </c>
      <c r="G8685" t="str">
        <f>"2018-10-26 05:56:09"</f>
        <v>2018-10-26 05:56:09</v>
      </c>
    </row>
    <row r="8686" spans="1:7" x14ac:dyDescent="0.2">
      <c r="A8686" t="s">
        <v>9321</v>
      </c>
      <c r="B8686" t="str">
        <f>"13409859651"</f>
        <v>13409859651</v>
      </c>
      <c r="C8686" t="str">
        <f>"422101197909065812"</f>
        <v>422101197909065812</v>
      </c>
      <c r="D8686" t="s">
        <v>1</v>
      </c>
      <c r="E8686" t="s">
        <v>1</v>
      </c>
      <c r="F8686" t="s">
        <v>0</v>
      </c>
      <c r="G8686" t="str">
        <f>"2018-10-15 17:09:21"</f>
        <v>2018-10-15 17:09:21</v>
      </c>
    </row>
    <row r="8687" spans="1:7" x14ac:dyDescent="0.2">
      <c r="A8687" t="s">
        <v>287</v>
      </c>
      <c r="B8687" t="str">
        <f>"18505468107"</f>
        <v>18505468107</v>
      </c>
      <c r="C8687" t="str">
        <f>"370724198103043652"</f>
        <v>370724198103043652</v>
      </c>
      <c r="D8687" t="s">
        <v>9322</v>
      </c>
      <c r="E8687" t="s">
        <v>9323</v>
      </c>
      <c r="F8687" t="s">
        <v>0</v>
      </c>
      <c r="G8687" t="str">
        <f>"2018-10-15 17:23:40"</f>
        <v>2018-10-15 17:23:40</v>
      </c>
    </row>
    <row r="8688" spans="1:7" x14ac:dyDescent="0.2">
      <c r="A8688" t="s">
        <v>9324</v>
      </c>
      <c r="B8688" t="str">
        <f>"13824886113"</f>
        <v>13824886113</v>
      </c>
      <c r="C8688" t="str">
        <f>"440902198212234037"</f>
        <v>440902198212234037</v>
      </c>
      <c r="D8688" t="s">
        <v>9325</v>
      </c>
      <c r="E8688" t="s">
        <v>9326</v>
      </c>
      <c r="F8688" t="s">
        <v>0</v>
      </c>
      <c r="G8688" t="str">
        <f>"2018-10-15 17:11:00"</f>
        <v>2018-10-15 17:11:00</v>
      </c>
    </row>
    <row r="8689" spans="1:7" x14ac:dyDescent="0.2">
      <c r="A8689" t="s">
        <v>1</v>
      </c>
      <c r="B8689" t="str">
        <f>"18722702294"</f>
        <v>18722702294</v>
      </c>
      <c r="C8689" t="s">
        <v>1</v>
      </c>
      <c r="D8689" t="s">
        <v>1</v>
      </c>
      <c r="E8689" t="s">
        <v>1</v>
      </c>
      <c r="F8689" t="s">
        <v>0</v>
      </c>
      <c r="G8689" t="str">
        <f>"2018-10-15 17:08:35"</f>
        <v>2018-10-15 17:08:35</v>
      </c>
    </row>
    <row r="8690" spans="1:7" x14ac:dyDescent="0.2">
      <c r="A8690" t="s">
        <v>1217</v>
      </c>
      <c r="B8690" t="str">
        <f>"15964208850"</f>
        <v>15964208850</v>
      </c>
      <c r="C8690" t="str">
        <f>"23102619840109214X"</f>
        <v>23102619840109214X</v>
      </c>
      <c r="D8690" t="s">
        <v>1</v>
      </c>
      <c r="E8690" t="s">
        <v>1</v>
      </c>
      <c r="F8690" t="s">
        <v>0</v>
      </c>
      <c r="G8690" t="str">
        <f>"2018-10-15 17:15:22"</f>
        <v>2018-10-15 17:15:22</v>
      </c>
    </row>
    <row r="8691" spans="1:7" x14ac:dyDescent="0.2">
      <c r="A8691" t="s">
        <v>9327</v>
      </c>
      <c r="B8691" t="str">
        <f>"15771815677"</f>
        <v>15771815677</v>
      </c>
      <c r="C8691" t="str">
        <f>"610602199811021439"</f>
        <v>610602199811021439</v>
      </c>
      <c r="D8691" t="s">
        <v>1</v>
      </c>
      <c r="E8691" t="s">
        <v>1</v>
      </c>
      <c r="F8691" t="s">
        <v>0</v>
      </c>
      <c r="G8691" t="str">
        <f>"2018-10-15 17:08:30"</f>
        <v>2018-10-15 17:08:30</v>
      </c>
    </row>
    <row r="8692" spans="1:7" x14ac:dyDescent="0.2">
      <c r="A8692" t="s">
        <v>1477</v>
      </c>
      <c r="B8692" t="str">
        <f>"13510675062"</f>
        <v>13510675062</v>
      </c>
      <c r="C8692" t="str">
        <f>"441721198212203053"</f>
        <v>441721198212203053</v>
      </c>
      <c r="D8692" t="s">
        <v>1</v>
      </c>
      <c r="E8692" t="s">
        <v>1</v>
      </c>
      <c r="F8692" t="s">
        <v>0</v>
      </c>
      <c r="G8692" t="str">
        <f>"2018-10-15 17:15:09"</f>
        <v>2018-10-15 17:15:09</v>
      </c>
    </row>
    <row r="8693" spans="1:7" x14ac:dyDescent="0.2">
      <c r="A8693" t="s">
        <v>9328</v>
      </c>
      <c r="B8693" t="str">
        <f>"13077761693"</f>
        <v>13077761693</v>
      </c>
      <c r="C8693" t="str">
        <f>"450103196311260041"</f>
        <v>450103196311260041</v>
      </c>
      <c r="D8693" t="s">
        <v>1</v>
      </c>
      <c r="E8693" t="s">
        <v>1</v>
      </c>
      <c r="F8693" t="s">
        <v>0</v>
      </c>
      <c r="G8693" t="str">
        <f>"2018-10-15 17:14:12"</f>
        <v>2018-10-15 17:14:12</v>
      </c>
    </row>
    <row r="8694" spans="1:7" x14ac:dyDescent="0.2">
      <c r="A8694" t="s">
        <v>9329</v>
      </c>
      <c r="B8694" t="str">
        <f>"17727491094"</f>
        <v>17727491094</v>
      </c>
      <c r="C8694" t="str">
        <f>"130621199709150917"</f>
        <v>130621199709150917</v>
      </c>
      <c r="D8694" t="s">
        <v>1</v>
      </c>
      <c r="E8694" t="s">
        <v>1</v>
      </c>
      <c r="F8694" t="s">
        <v>0</v>
      </c>
      <c r="G8694" t="str">
        <f>"2018-10-15 17:09:39"</f>
        <v>2018-10-15 17:09:39</v>
      </c>
    </row>
    <row r="8695" spans="1:7" x14ac:dyDescent="0.2">
      <c r="A8695" t="s">
        <v>9330</v>
      </c>
      <c r="B8695" t="str">
        <f>"18130359781"</f>
        <v>18130359781</v>
      </c>
      <c r="C8695" t="str">
        <f>"341125199306251818"</f>
        <v>341125199306251818</v>
      </c>
      <c r="D8695" t="s">
        <v>9331</v>
      </c>
      <c r="E8695" t="s">
        <v>9332</v>
      </c>
      <c r="F8695" t="s">
        <v>0</v>
      </c>
      <c r="G8695" t="str">
        <f>"2018-10-15 18:02:21"</f>
        <v>2018-10-15 18:02:21</v>
      </c>
    </row>
    <row r="8696" spans="1:7" x14ac:dyDescent="0.2">
      <c r="A8696" t="s">
        <v>9333</v>
      </c>
      <c r="B8696" t="str">
        <f>"18108888369"</f>
        <v>18108888369</v>
      </c>
      <c r="C8696" t="str">
        <f>"654221198005264616"</f>
        <v>654221198005264616</v>
      </c>
      <c r="D8696" t="s">
        <v>1</v>
      </c>
      <c r="E8696" t="s">
        <v>1</v>
      </c>
      <c r="F8696" t="s">
        <v>0</v>
      </c>
      <c r="G8696" t="str">
        <f>"2018-10-15 17:08:53"</f>
        <v>2018-10-15 17:08:53</v>
      </c>
    </row>
    <row r="8697" spans="1:7" x14ac:dyDescent="0.2">
      <c r="A8697" t="s">
        <v>9334</v>
      </c>
      <c r="B8697" t="str">
        <f>"15585402657"</f>
        <v>15585402657</v>
      </c>
      <c r="C8697" t="str">
        <f>"220523197505110016"</f>
        <v>220523197505110016</v>
      </c>
      <c r="D8697" t="s">
        <v>1</v>
      </c>
      <c r="E8697" t="s">
        <v>1</v>
      </c>
      <c r="F8697" t="s">
        <v>0</v>
      </c>
      <c r="G8697" t="str">
        <f>"2018-10-15 17:06:50"</f>
        <v>2018-10-15 17:06:50</v>
      </c>
    </row>
    <row r="8698" spans="1:7" x14ac:dyDescent="0.2">
      <c r="A8698" t="s">
        <v>1</v>
      </c>
      <c r="B8698" t="str">
        <f>"13484640332"</f>
        <v>13484640332</v>
      </c>
      <c r="C8698" t="s">
        <v>1</v>
      </c>
      <c r="D8698" t="s">
        <v>1</v>
      </c>
      <c r="E8698" t="s">
        <v>1</v>
      </c>
      <c r="F8698" t="s">
        <v>0</v>
      </c>
      <c r="G8698" t="str">
        <f>"2018-10-15 17:06:31"</f>
        <v>2018-10-15 17:06:31</v>
      </c>
    </row>
    <row r="8699" spans="1:7" x14ac:dyDescent="0.2">
      <c r="A8699" t="s">
        <v>104</v>
      </c>
      <c r="B8699" t="str">
        <f>"13998305373"</f>
        <v>13998305373</v>
      </c>
      <c r="C8699" t="str">
        <f>"210304198512203416"</f>
        <v>210304198512203416</v>
      </c>
      <c r="D8699" t="s">
        <v>1</v>
      </c>
      <c r="E8699" t="s">
        <v>1</v>
      </c>
      <c r="F8699" t="s">
        <v>0</v>
      </c>
      <c r="G8699" t="str">
        <f>"2018-10-15 17:09:49"</f>
        <v>2018-10-15 17:09:49</v>
      </c>
    </row>
    <row r="8700" spans="1:7" x14ac:dyDescent="0.2">
      <c r="A8700" t="s">
        <v>9335</v>
      </c>
      <c r="B8700" t="str">
        <f>"15512947471"</f>
        <v>15512947471</v>
      </c>
      <c r="C8700" t="str">
        <f>"130821199004027995"</f>
        <v>130821199004027995</v>
      </c>
      <c r="D8700" t="s">
        <v>1</v>
      </c>
      <c r="E8700" t="s">
        <v>1</v>
      </c>
      <c r="F8700" t="s">
        <v>0</v>
      </c>
      <c r="G8700" t="str">
        <f>"2018-10-15 17:05:49"</f>
        <v>2018-10-15 17:05:49</v>
      </c>
    </row>
    <row r="8701" spans="1:7" x14ac:dyDescent="0.2">
      <c r="A8701" t="s">
        <v>1247</v>
      </c>
      <c r="B8701" t="str">
        <f>"17774453111"</f>
        <v>17774453111</v>
      </c>
      <c r="C8701" t="str">
        <f>"430821197803217017"</f>
        <v>430821197803217017</v>
      </c>
      <c r="D8701" t="s">
        <v>1</v>
      </c>
      <c r="E8701" t="s">
        <v>1</v>
      </c>
      <c r="F8701" t="s">
        <v>0</v>
      </c>
      <c r="G8701" t="str">
        <f>"2018-10-15 17:06:42"</f>
        <v>2018-10-15 17:06:42</v>
      </c>
    </row>
    <row r="8702" spans="1:7" x14ac:dyDescent="0.2">
      <c r="A8702" t="s">
        <v>9336</v>
      </c>
      <c r="B8702" t="str">
        <f>"18751586318"</f>
        <v>18751586318</v>
      </c>
      <c r="C8702" t="str">
        <f>"320203198212272552"</f>
        <v>320203198212272552</v>
      </c>
      <c r="D8702" t="s">
        <v>1</v>
      </c>
      <c r="E8702" t="s">
        <v>1</v>
      </c>
      <c r="F8702" t="s">
        <v>0</v>
      </c>
      <c r="G8702" t="str">
        <f>"2018-10-23 14:23:41"</f>
        <v>2018-10-23 14:23:41</v>
      </c>
    </row>
    <row r="8703" spans="1:7" x14ac:dyDescent="0.2">
      <c r="A8703" t="s">
        <v>9337</v>
      </c>
      <c r="B8703" t="str">
        <f>"18172123858"</f>
        <v>18172123858</v>
      </c>
      <c r="C8703" t="str">
        <f>"452225199012252139"</f>
        <v>452225199012252139</v>
      </c>
      <c r="D8703" t="s">
        <v>1</v>
      </c>
      <c r="E8703" t="s">
        <v>1</v>
      </c>
      <c r="F8703" t="s">
        <v>0</v>
      </c>
      <c r="G8703" t="str">
        <f>"2018-10-15 17:09:02"</f>
        <v>2018-10-15 17:09:02</v>
      </c>
    </row>
    <row r="8704" spans="1:7" x14ac:dyDescent="0.2">
      <c r="A8704" t="s">
        <v>1</v>
      </c>
      <c r="B8704" t="str">
        <f>"13527192011"</f>
        <v>13527192011</v>
      </c>
      <c r="C8704" t="s">
        <v>1</v>
      </c>
      <c r="D8704" t="s">
        <v>1</v>
      </c>
      <c r="E8704" t="s">
        <v>1</v>
      </c>
      <c r="F8704" t="s">
        <v>0</v>
      </c>
      <c r="G8704" t="str">
        <f>"2018-10-15 17:03:49"</f>
        <v>2018-10-15 17:03:49</v>
      </c>
    </row>
    <row r="8705" spans="1:7" x14ac:dyDescent="0.2">
      <c r="A8705" t="s">
        <v>9338</v>
      </c>
      <c r="B8705" t="str">
        <f>"18275363220"</f>
        <v>18275363220</v>
      </c>
      <c r="C8705" t="str">
        <f>"522128199708150095"</f>
        <v>522128199708150095</v>
      </c>
      <c r="D8705" t="s">
        <v>1</v>
      </c>
      <c r="E8705" t="s">
        <v>1</v>
      </c>
      <c r="F8705" t="s">
        <v>0</v>
      </c>
      <c r="G8705" t="str">
        <f>"2018-10-15 17:03:16"</f>
        <v>2018-10-15 17:03:16</v>
      </c>
    </row>
    <row r="8706" spans="1:7" x14ac:dyDescent="0.2">
      <c r="A8706" t="s">
        <v>1</v>
      </c>
      <c r="B8706" t="str">
        <f>"18868027446"</f>
        <v>18868027446</v>
      </c>
      <c r="C8706" t="s">
        <v>1</v>
      </c>
      <c r="D8706" t="s">
        <v>1</v>
      </c>
      <c r="E8706" t="s">
        <v>1</v>
      </c>
      <c r="F8706" t="s">
        <v>0</v>
      </c>
      <c r="G8706" t="str">
        <f>"2018-10-15 17:07:12"</f>
        <v>2018-10-15 17:07:12</v>
      </c>
    </row>
    <row r="8707" spans="1:7" x14ac:dyDescent="0.2">
      <c r="A8707" t="s">
        <v>9339</v>
      </c>
      <c r="B8707" t="str">
        <f>"15155986077"</f>
        <v>15155986077</v>
      </c>
      <c r="C8707" t="str">
        <f>"341021199109100016"</f>
        <v>341021199109100016</v>
      </c>
      <c r="D8707" t="s">
        <v>1</v>
      </c>
      <c r="E8707" t="s">
        <v>1</v>
      </c>
      <c r="F8707" t="s">
        <v>0</v>
      </c>
      <c r="G8707" t="str">
        <f>"2018-10-15 17:02:48"</f>
        <v>2018-10-15 17:02:48</v>
      </c>
    </row>
    <row r="8708" spans="1:7" x14ac:dyDescent="0.2">
      <c r="A8708" t="s">
        <v>354</v>
      </c>
      <c r="B8708" t="str">
        <f>"17323213805"</f>
        <v>17323213805</v>
      </c>
      <c r="C8708" t="str">
        <f>"510921199808265354"</f>
        <v>510921199808265354</v>
      </c>
      <c r="D8708" t="s">
        <v>1</v>
      </c>
      <c r="E8708" t="s">
        <v>1</v>
      </c>
      <c r="F8708" t="s">
        <v>0</v>
      </c>
      <c r="G8708" t="str">
        <f>"2018-10-15 17:23:45"</f>
        <v>2018-10-15 17:23:45</v>
      </c>
    </row>
    <row r="8709" spans="1:7" x14ac:dyDescent="0.2">
      <c r="A8709" t="s">
        <v>9340</v>
      </c>
      <c r="B8709" t="str">
        <f>"13888877571"</f>
        <v>13888877571</v>
      </c>
      <c r="C8709" t="str">
        <f>"530103198803081516"</f>
        <v>530103198803081516</v>
      </c>
      <c r="D8709" t="s">
        <v>1</v>
      </c>
      <c r="E8709" t="s">
        <v>1</v>
      </c>
      <c r="F8709" t="s">
        <v>0</v>
      </c>
      <c r="G8709" t="str">
        <f>"2018-10-15 17:04:33"</f>
        <v>2018-10-15 17:04:33</v>
      </c>
    </row>
    <row r="8710" spans="1:7" x14ac:dyDescent="0.2">
      <c r="A8710" t="s">
        <v>9341</v>
      </c>
      <c r="B8710" t="str">
        <f>"15022743204"</f>
        <v>15022743204</v>
      </c>
      <c r="C8710" t="str">
        <f>"130502198802171537"</f>
        <v>130502198802171537</v>
      </c>
      <c r="D8710" t="s">
        <v>1</v>
      </c>
      <c r="E8710" t="s">
        <v>1</v>
      </c>
      <c r="F8710" t="s">
        <v>0</v>
      </c>
      <c r="G8710" t="str">
        <f>"2018-10-15 17:08:25"</f>
        <v>2018-10-15 17:08:25</v>
      </c>
    </row>
    <row r="8711" spans="1:7" x14ac:dyDescent="0.2">
      <c r="A8711" t="s">
        <v>9342</v>
      </c>
      <c r="B8711" t="str">
        <f>"17317638837"</f>
        <v>17317638837</v>
      </c>
      <c r="C8711" t="str">
        <f>"532101199109082432"</f>
        <v>532101199109082432</v>
      </c>
      <c r="D8711" t="s">
        <v>1</v>
      </c>
      <c r="E8711" t="s">
        <v>1</v>
      </c>
      <c r="F8711" t="s">
        <v>0</v>
      </c>
      <c r="G8711" t="str">
        <f>"2018-10-28 14:25:34"</f>
        <v>2018-10-28 14:25:34</v>
      </c>
    </row>
    <row r="8712" spans="1:7" x14ac:dyDescent="0.2">
      <c r="A8712" t="s">
        <v>1</v>
      </c>
      <c r="B8712" t="str">
        <f>"15889207502"</f>
        <v>15889207502</v>
      </c>
      <c r="C8712" t="s">
        <v>1</v>
      </c>
      <c r="D8712" t="s">
        <v>1</v>
      </c>
      <c r="E8712" t="s">
        <v>1</v>
      </c>
      <c r="F8712" t="s">
        <v>0</v>
      </c>
      <c r="G8712" t="str">
        <f>"2018-10-15 16:59:40"</f>
        <v>2018-10-15 16:59:40</v>
      </c>
    </row>
    <row r="8713" spans="1:7" x14ac:dyDescent="0.2">
      <c r="A8713" t="s">
        <v>1327</v>
      </c>
      <c r="B8713" t="str">
        <f>"17350596283"</f>
        <v>17350596283</v>
      </c>
      <c r="C8713" t="str">
        <f>"350429199908307017"</f>
        <v>350429199908307017</v>
      </c>
      <c r="D8713" t="s">
        <v>1</v>
      </c>
      <c r="E8713" t="s">
        <v>1</v>
      </c>
      <c r="F8713" t="s">
        <v>0</v>
      </c>
      <c r="G8713" t="str">
        <f>"2018-10-15 17:02:32"</f>
        <v>2018-10-15 17:02:32</v>
      </c>
    </row>
    <row r="8714" spans="1:7" x14ac:dyDescent="0.2">
      <c r="A8714" t="s">
        <v>9343</v>
      </c>
      <c r="B8714" t="str">
        <f>"17635649672"</f>
        <v>17635649672</v>
      </c>
      <c r="C8714" t="str">
        <f>"230107199406261539"</f>
        <v>230107199406261539</v>
      </c>
      <c r="D8714" t="s">
        <v>1</v>
      </c>
      <c r="E8714" t="s">
        <v>1</v>
      </c>
      <c r="F8714" t="s">
        <v>0</v>
      </c>
      <c r="G8714" t="str">
        <f>"2018-10-15 17:01:09"</f>
        <v>2018-10-15 17:01:09</v>
      </c>
    </row>
    <row r="8715" spans="1:7" x14ac:dyDescent="0.2">
      <c r="A8715" t="s">
        <v>1</v>
      </c>
      <c r="B8715" t="str">
        <f>"13415402946"</f>
        <v>13415402946</v>
      </c>
      <c r="C8715" t="s">
        <v>1</v>
      </c>
      <c r="D8715" t="s">
        <v>1</v>
      </c>
      <c r="E8715" t="s">
        <v>1</v>
      </c>
      <c r="F8715" t="s">
        <v>0</v>
      </c>
      <c r="G8715" t="str">
        <f>"2018-10-15 16:58:54"</f>
        <v>2018-10-15 16:58:54</v>
      </c>
    </row>
    <row r="8716" spans="1:7" x14ac:dyDescent="0.2">
      <c r="A8716" t="s">
        <v>9344</v>
      </c>
      <c r="B8716" t="str">
        <f>"15676965052"</f>
        <v>15676965052</v>
      </c>
      <c r="C8716" t="str">
        <f>"130126198407272134"</f>
        <v>130126198407272134</v>
      </c>
      <c r="D8716" t="s">
        <v>9345</v>
      </c>
      <c r="E8716" t="s">
        <v>9346</v>
      </c>
      <c r="F8716" t="s">
        <v>0</v>
      </c>
      <c r="G8716" t="str">
        <f>"2018-10-15 17:24:39"</f>
        <v>2018-10-15 17:24:39</v>
      </c>
    </row>
    <row r="8717" spans="1:7" x14ac:dyDescent="0.2">
      <c r="A8717" t="s">
        <v>9347</v>
      </c>
      <c r="B8717" t="str">
        <f>"18831294229"</f>
        <v>18831294229</v>
      </c>
      <c r="C8717" t="str">
        <f>"152323199309230047"</f>
        <v>152323199309230047</v>
      </c>
      <c r="D8717" t="s">
        <v>1</v>
      </c>
      <c r="E8717" t="s">
        <v>1</v>
      </c>
      <c r="F8717" t="s">
        <v>0</v>
      </c>
      <c r="G8717" t="str">
        <f>"2018-10-15 17:00:40"</f>
        <v>2018-10-15 17:00:40</v>
      </c>
    </row>
    <row r="8718" spans="1:7" x14ac:dyDescent="0.2">
      <c r="A8718" t="s">
        <v>9348</v>
      </c>
      <c r="B8718" t="str">
        <f>"15992645096"</f>
        <v>15992645096</v>
      </c>
      <c r="C8718" t="str">
        <f>"440402199510229022"</f>
        <v>440402199510229022</v>
      </c>
      <c r="D8718" t="s">
        <v>1</v>
      </c>
      <c r="E8718" t="s">
        <v>1</v>
      </c>
      <c r="F8718" t="s">
        <v>0</v>
      </c>
      <c r="G8718" t="str">
        <f>"2018-10-29 12:52:37"</f>
        <v>2018-10-29 12:52:37</v>
      </c>
    </row>
    <row r="8719" spans="1:7" x14ac:dyDescent="0.2">
      <c r="A8719" t="s">
        <v>1</v>
      </c>
      <c r="B8719" t="str">
        <f>"13568613105"</f>
        <v>13568613105</v>
      </c>
      <c r="C8719" t="s">
        <v>1</v>
      </c>
      <c r="D8719" t="s">
        <v>1</v>
      </c>
      <c r="E8719" t="s">
        <v>1</v>
      </c>
      <c r="F8719" t="s">
        <v>0</v>
      </c>
      <c r="G8719" t="str">
        <f>"2018-10-15 16:57:28"</f>
        <v>2018-10-15 16:57:28</v>
      </c>
    </row>
    <row r="8720" spans="1:7" x14ac:dyDescent="0.2">
      <c r="A8720" t="s">
        <v>9349</v>
      </c>
      <c r="B8720" t="str">
        <f>"15080739221"</f>
        <v>15080739221</v>
      </c>
      <c r="C8720" t="str">
        <f>"430902198708297072"</f>
        <v>430902198708297072</v>
      </c>
      <c r="D8720" t="s">
        <v>1</v>
      </c>
      <c r="E8720" t="s">
        <v>1</v>
      </c>
      <c r="F8720" t="s">
        <v>0</v>
      </c>
      <c r="G8720" t="str">
        <f>"2018-10-18 15:06:31"</f>
        <v>2018-10-18 15:06:31</v>
      </c>
    </row>
    <row r="8721" spans="1:7" x14ac:dyDescent="0.2">
      <c r="A8721" t="s">
        <v>9350</v>
      </c>
      <c r="B8721" t="str">
        <f>"18863591611"</f>
        <v>18863591611</v>
      </c>
      <c r="C8721" t="str">
        <f>"371502198908163311"</f>
        <v>371502198908163311</v>
      </c>
      <c r="D8721" t="s">
        <v>1</v>
      </c>
      <c r="E8721" t="s">
        <v>1</v>
      </c>
      <c r="F8721" t="s">
        <v>0</v>
      </c>
      <c r="G8721" t="str">
        <f>"2018-10-15 16:58:55"</f>
        <v>2018-10-15 16:58:55</v>
      </c>
    </row>
    <row r="8722" spans="1:7" x14ac:dyDescent="0.2">
      <c r="A8722" t="s">
        <v>9351</v>
      </c>
      <c r="B8722" t="str">
        <f>"18373415668"</f>
        <v>18373415668</v>
      </c>
      <c r="C8722" t="str">
        <f>"430221198604060020"</f>
        <v>430221198604060020</v>
      </c>
      <c r="D8722" t="s">
        <v>1</v>
      </c>
      <c r="E8722" t="s">
        <v>1</v>
      </c>
      <c r="F8722" t="s">
        <v>0</v>
      </c>
      <c r="G8722" t="str">
        <f>"2018-10-15 17:01:19"</f>
        <v>2018-10-15 17:01:19</v>
      </c>
    </row>
    <row r="8723" spans="1:7" x14ac:dyDescent="0.2">
      <c r="A8723" t="s">
        <v>9352</v>
      </c>
      <c r="B8723" t="str">
        <f>"15269472125"</f>
        <v>15269472125</v>
      </c>
      <c r="C8723" t="str">
        <f>"372421197605146768"</f>
        <v>372421197605146768</v>
      </c>
      <c r="D8723" t="s">
        <v>1</v>
      </c>
      <c r="E8723" t="s">
        <v>1</v>
      </c>
      <c r="F8723" t="s">
        <v>0</v>
      </c>
      <c r="G8723" t="str">
        <f>"2018-10-15 16:57:19"</f>
        <v>2018-10-15 16:57:19</v>
      </c>
    </row>
    <row r="8724" spans="1:7" x14ac:dyDescent="0.2">
      <c r="A8724" t="s">
        <v>1235</v>
      </c>
      <c r="B8724" t="str">
        <f>"15500023373"</f>
        <v>15500023373</v>
      </c>
      <c r="C8724" t="str">
        <f>"210503198911272421"</f>
        <v>210503198911272421</v>
      </c>
      <c r="D8724" t="s">
        <v>1</v>
      </c>
      <c r="E8724" t="s">
        <v>1</v>
      </c>
      <c r="F8724" t="s">
        <v>0</v>
      </c>
      <c r="G8724" t="str">
        <f>"2018-10-15 17:17:40"</f>
        <v>2018-10-15 17:17:40</v>
      </c>
    </row>
    <row r="8725" spans="1:7" x14ac:dyDescent="0.2">
      <c r="A8725" t="s">
        <v>1</v>
      </c>
      <c r="B8725" t="str">
        <f>"13803539269"</f>
        <v>13803539269</v>
      </c>
      <c r="C8725" t="s">
        <v>1</v>
      </c>
      <c r="D8725" t="s">
        <v>1</v>
      </c>
      <c r="E8725" t="s">
        <v>1</v>
      </c>
      <c r="F8725" t="s">
        <v>0</v>
      </c>
      <c r="G8725" t="str">
        <f>"2018-10-15 16:57:15"</f>
        <v>2018-10-15 16:57:15</v>
      </c>
    </row>
    <row r="8726" spans="1:7" x14ac:dyDescent="0.2">
      <c r="A8726" t="s">
        <v>1</v>
      </c>
      <c r="B8726" t="str">
        <f>"15662344774"</f>
        <v>15662344774</v>
      </c>
      <c r="C8726" t="s">
        <v>1</v>
      </c>
      <c r="D8726" t="s">
        <v>1</v>
      </c>
      <c r="E8726" t="s">
        <v>1</v>
      </c>
      <c r="F8726" t="s">
        <v>0</v>
      </c>
      <c r="G8726" t="str">
        <f>"2018-10-15 16:54:58"</f>
        <v>2018-10-15 16:54:58</v>
      </c>
    </row>
    <row r="8727" spans="1:7" x14ac:dyDescent="0.2">
      <c r="A8727" t="s">
        <v>1</v>
      </c>
      <c r="B8727" t="str">
        <f>"18506606873"</f>
        <v>18506606873</v>
      </c>
      <c r="C8727" t="s">
        <v>1</v>
      </c>
      <c r="D8727" t="s">
        <v>1</v>
      </c>
      <c r="E8727" t="s">
        <v>1</v>
      </c>
      <c r="F8727" t="s">
        <v>0</v>
      </c>
      <c r="G8727" t="str">
        <f>"2018-10-15 17:19:50"</f>
        <v>2018-10-15 17:19:50</v>
      </c>
    </row>
    <row r="8728" spans="1:7" x14ac:dyDescent="0.2">
      <c r="A8728" t="s">
        <v>866</v>
      </c>
      <c r="B8728" t="str">
        <f>"15529799157"</f>
        <v>15529799157</v>
      </c>
      <c r="C8728" t="str">
        <f>"612728199804133011"</f>
        <v>612728199804133011</v>
      </c>
      <c r="D8728" t="s">
        <v>1</v>
      </c>
      <c r="E8728" t="s">
        <v>1</v>
      </c>
      <c r="F8728" t="s">
        <v>0</v>
      </c>
      <c r="G8728" t="str">
        <f>"2018-10-15 17:04:18"</f>
        <v>2018-10-15 17:04:18</v>
      </c>
    </row>
    <row r="8729" spans="1:7" x14ac:dyDescent="0.2">
      <c r="A8729" t="s">
        <v>1</v>
      </c>
      <c r="B8729" t="str">
        <f>"15058326255"</f>
        <v>15058326255</v>
      </c>
      <c r="C8729" t="s">
        <v>1</v>
      </c>
      <c r="D8729" t="s">
        <v>1</v>
      </c>
      <c r="E8729" t="s">
        <v>1</v>
      </c>
      <c r="F8729" t="s">
        <v>0</v>
      </c>
      <c r="G8729" t="str">
        <f>"2018-10-15 16:54:42"</f>
        <v>2018-10-15 16:54:42</v>
      </c>
    </row>
    <row r="8730" spans="1:7" x14ac:dyDescent="0.2">
      <c r="A8730" t="s">
        <v>9353</v>
      </c>
      <c r="B8730" t="str">
        <f>"18601212240"</f>
        <v>18601212240</v>
      </c>
      <c r="C8730" t="str">
        <f>"510202198201233215"</f>
        <v>510202198201233215</v>
      </c>
      <c r="D8730" t="s">
        <v>9354</v>
      </c>
      <c r="E8730" t="s">
        <v>9355</v>
      </c>
      <c r="F8730" t="s">
        <v>0</v>
      </c>
      <c r="G8730" t="str">
        <f>"2018-10-23 16:58:21"</f>
        <v>2018-10-23 16:58:21</v>
      </c>
    </row>
    <row r="8731" spans="1:7" x14ac:dyDescent="0.2">
      <c r="A8731" t="s">
        <v>9356</v>
      </c>
      <c r="B8731" t="str">
        <f>"15860819210"</f>
        <v>15860819210</v>
      </c>
      <c r="C8731" t="str">
        <f>"370829199602016618"</f>
        <v>370829199602016618</v>
      </c>
      <c r="D8731" t="s">
        <v>1</v>
      </c>
      <c r="E8731" t="s">
        <v>1</v>
      </c>
      <c r="F8731" t="s">
        <v>0</v>
      </c>
      <c r="G8731" t="str">
        <f>"2018-10-15 16:54:31"</f>
        <v>2018-10-15 16:54:31</v>
      </c>
    </row>
    <row r="8732" spans="1:7" x14ac:dyDescent="0.2">
      <c r="A8732" t="s">
        <v>9357</v>
      </c>
      <c r="B8732" t="str">
        <f>"13892007946"</f>
        <v>13892007946</v>
      </c>
      <c r="C8732" t="str">
        <f>"610402198810085195"</f>
        <v>610402198810085195</v>
      </c>
      <c r="D8732" t="s">
        <v>1</v>
      </c>
      <c r="E8732" t="s">
        <v>1</v>
      </c>
      <c r="F8732" t="s">
        <v>0</v>
      </c>
      <c r="G8732" t="str">
        <f>"2018-10-15 16:55:40"</f>
        <v>2018-10-15 16:55:40</v>
      </c>
    </row>
    <row r="8733" spans="1:7" x14ac:dyDescent="0.2">
      <c r="A8733" t="s">
        <v>9358</v>
      </c>
      <c r="B8733" t="str">
        <f>"15754043319"</f>
        <v>15754043319</v>
      </c>
      <c r="C8733" t="str">
        <f>"230306199311064924"</f>
        <v>230306199311064924</v>
      </c>
      <c r="D8733" t="s">
        <v>1</v>
      </c>
      <c r="E8733" t="s">
        <v>1</v>
      </c>
      <c r="F8733" t="s">
        <v>0</v>
      </c>
      <c r="G8733" t="str">
        <f>"2018-10-15 17:06:29"</f>
        <v>2018-10-15 17:06:29</v>
      </c>
    </row>
    <row r="8734" spans="1:7" x14ac:dyDescent="0.2">
      <c r="A8734" t="s">
        <v>1</v>
      </c>
      <c r="B8734" t="str">
        <f>"18622815239"</f>
        <v>18622815239</v>
      </c>
      <c r="C8734" t="s">
        <v>1</v>
      </c>
      <c r="D8734" t="s">
        <v>1</v>
      </c>
      <c r="E8734" t="s">
        <v>1</v>
      </c>
      <c r="F8734" t="s">
        <v>0</v>
      </c>
      <c r="G8734" t="str">
        <f>"2018-10-15 16:54:04"</f>
        <v>2018-10-15 16:54:04</v>
      </c>
    </row>
    <row r="8735" spans="1:7" x14ac:dyDescent="0.2">
      <c r="A8735" t="s">
        <v>9359</v>
      </c>
      <c r="B8735" t="str">
        <f>"18770753154"</f>
        <v>18770753154</v>
      </c>
      <c r="C8735" t="str">
        <f>"360782199607131126"</f>
        <v>360782199607131126</v>
      </c>
      <c r="D8735" t="s">
        <v>9360</v>
      </c>
      <c r="E8735" t="s">
        <v>9361</v>
      </c>
      <c r="F8735" t="s">
        <v>0</v>
      </c>
      <c r="G8735" t="str">
        <f>"2018-10-15 16:57:04"</f>
        <v>2018-10-15 16:57:04</v>
      </c>
    </row>
    <row r="8736" spans="1:7" x14ac:dyDescent="0.2">
      <c r="A8736" t="s">
        <v>1</v>
      </c>
      <c r="B8736" t="str">
        <f>"15002967090"</f>
        <v>15002967090</v>
      </c>
      <c r="C8736" t="s">
        <v>1</v>
      </c>
      <c r="D8736" t="s">
        <v>1</v>
      </c>
      <c r="E8736" t="s">
        <v>1</v>
      </c>
      <c r="F8736" t="s">
        <v>0</v>
      </c>
      <c r="G8736" t="str">
        <f>"2018-10-15 16:54:53"</f>
        <v>2018-10-15 16:54:53</v>
      </c>
    </row>
    <row r="8737" spans="1:7" x14ac:dyDescent="0.2">
      <c r="A8737" t="s">
        <v>9362</v>
      </c>
      <c r="B8737" t="str">
        <f>"17776095731"</f>
        <v>17776095731</v>
      </c>
      <c r="C8737" t="str">
        <f>"450324198407176110"</f>
        <v>450324198407176110</v>
      </c>
      <c r="D8737" t="s">
        <v>1</v>
      </c>
      <c r="E8737" t="s">
        <v>1</v>
      </c>
      <c r="F8737" t="s">
        <v>0</v>
      </c>
      <c r="G8737" t="str">
        <f>"2018-10-15 16:56:51"</f>
        <v>2018-10-15 16:56:51</v>
      </c>
    </row>
    <row r="8738" spans="1:7" x14ac:dyDescent="0.2">
      <c r="A8738" t="s">
        <v>1</v>
      </c>
      <c r="B8738" t="str">
        <f>"18735074369"</f>
        <v>18735074369</v>
      </c>
      <c r="C8738" t="s">
        <v>1</v>
      </c>
      <c r="D8738" t="s">
        <v>1</v>
      </c>
      <c r="E8738" t="s">
        <v>1</v>
      </c>
      <c r="F8738" t="s">
        <v>0</v>
      </c>
      <c r="G8738" t="str">
        <f>"2018-10-15 16:51:49"</f>
        <v>2018-10-15 16:51:49</v>
      </c>
    </row>
    <row r="8739" spans="1:7" x14ac:dyDescent="0.2">
      <c r="A8739" t="s">
        <v>1</v>
      </c>
      <c r="B8739" t="str">
        <f>"13634466731"</f>
        <v>13634466731</v>
      </c>
      <c r="C8739" t="s">
        <v>1</v>
      </c>
      <c r="D8739" t="s">
        <v>1</v>
      </c>
      <c r="E8739" t="s">
        <v>1</v>
      </c>
      <c r="F8739" t="s">
        <v>0</v>
      </c>
      <c r="G8739" t="str">
        <f>"2018-10-15 16:51:25"</f>
        <v>2018-10-15 16:51:25</v>
      </c>
    </row>
    <row r="8740" spans="1:7" x14ac:dyDescent="0.2">
      <c r="A8740" t="s">
        <v>1</v>
      </c>
      <c r="B8740" t="str">
        <f>"18155217629"</f>
        <v>18155217629</v>
      </c>
      <c r="C8740" t="s">
        <v>1</v>
      </c>
      <c r="D8740" t="s">
        <v>1</v>
      </c>
      <c r="E8740" t="s">
        <v>1</v>
      </c>
      <c r="F8740" t="s">
        <v>0</v>
      </c>
      <c r="G8740" t="str">
        <f>"2018-10-15 16:51:09"</f>
        <v>2018-10-15 16:51:09</v>
      </c>
    </row>
    <row r="8741" spans="1:7" x14ac:dyDescent="0.2">
      <c r="A8741" t="s">
        <v>9363</v>
      </c>
      <c r="B8741" t="str">
        <f>"13477676504"</f>
        <v>13477676504</v>
      </c>
      <c r="C8741" t="str">
        <f>"422124197507041329"</f>
        <v>422124197507041329</v>
      </c>
      <c r="D8741" t="s">
        <v>1</v>
      </c>
      <c r="E8741" t="s">
        <v>1</v>
      </c>
      <c r="F8741" t="s">
        <v>0</v>
      </c>
      <c r="G8741" t="str">
        <f>"2018-10-15 16:50:45"</f>
        <v>2018-10-15 16:50:45</v>
      </c>
    </row>
    <row r="8742" spans="1:7" x14ac:dyDescent="0.2">
      <c r="A8742" t="s">
        <v>9364</v>
      </c>
      <c r="B8742" t="str">
        <f>"18088321252"</f>
        <v>18088321252</v>
      </c>
      <c r="C8742" t="str">
        <f>"330722199103244512"</f>
        <v>330722199103244512</v>
      </c>
      <c r="D8742" t="s">
        <v>1</v>
      </c>
      <c r="E8742" t="s">
        <v>1</v>
      </c>
      <c r="F8742" t="s">
        <v>0</v>
      </c>
      <c r="G8742" t="str">
        <f>"2018-10-15 16:51:53"</f>
        <v>2018-10-15 16:51:53</v>
      </c>
    </row>
    <row r="8743" spans="1:7" x14ac:dyDescent="0.2">
      <c r="A8743" t="s">
        <v>1</v>
      </c>
      <c r="B8743" t="str">
        <f>"13483330187"</f>
        <v>13483330187</v>
      </c>
      <c r="C8743" t="s">
        <v>1</v>
      </c>
      <c r="D8743" t="s">
        <v>1</v>
      </c>
      <c r="E8743" t="s">
        <v>1</v>
      </c>
      <c r="F8743" t="s">
        <v>0</v>
      </c>
      <c r="G8743" t="str">
        <f>"2018-10-15 16:47:58"</f>
        <v>2018-10-15 16:47:58</v>
      </c>
    </row>
    <row r="8744" spans="1:7" x14ac:dyDescent="0.2">
      <c r="A8744" t="s">
        <v>1</v>
      </c>
      <c r="B8744" t="str">
        <f>"15509553771"</f>
        <v>15509553771</v>
      </c>
      <c r="C8744" t="s">
        <v>1</v>
      </c>
      <c r="D8744" t="s">
        <v>1</v>
      </c>
      <c r="E8744" t="s">
        <v>1</v>
      </c>
      <c r="F8744" t="s">
        <v>0</v>
      </c>
      <c r="G8744" t="str">
        <f>"2018-10-15 16:47:46"</f>
        <v>2018-10-15 16:47:46</v>
      </c>
    </row>
    <row r="8745" spans="1:7" x14ac:dyDescent="0.2">
      <c r="A8745" t="s">
        <v>9365</v>
      </c>
      <c r="B8745" t="str">
        <f>"15130733188"</f>
        <v>15130733188</v>
      </c>
      <c r="C8745" t="str">
        <f>"130921196402062616"</f>
        <v>130921196402062616</v>
      </c>
      <c r="D8745" t="s">
        <v>9366</v>
      </c>
      <c r="E8745" t="s">
        <v>9367</v>
      </c>
      <c r="F8745" t="s">
        <v>0</v>
      </c>
      <c r="G8745" t="str">
        <f>"2018-10-15 17:31:01"</f>
        <v>2018-10-15 17:31:01</v>
      </c>
    </row>
    <row r="8746" spans="1:7" x14ac:dyDescent="0.2">
      <c r="A8746" t="s">
        <v>9368</v>
      </c>
      <c r="B8746" t="str">
        <f>"13617589954"</f>
        <v>13617589954</v>
      </c>
      <c r="C8746" t="str">
        <f>"460300199002130611"</f>
        <v>460300199002130611</v>
      </c>
      <c r="D8746" t="s">
        <v>1</v>
      </c>
      <c r="E8746" t="s">
        <v>1</v>
      </c>
      <c r="F8746" t="s">
        <v>0</v>
      </c>
      <c r="G8746" t="str">
        <f>"2018-10-15 16:49:08"</f>
        <v>2018-10-15 16:49:08</v>
      </c>
    </row>
    <row r="8747" spans="1:7" x14ac:dyDescent="0.2">
      <c r="A8747" t="s">
        <v>9369</v>
      </c>
      <c r="B8747" t="str">
        <f>"13505982978"</f>
        <v>13505982978</v>
      </c>
      <c r="C8747" t="str">
        <f>"350581199406263545"</f>
        <v>350581199406263545</v>
      </c>
      <c r="D8747" t="s">
        <v>9370</v>
      </c>
      <c r="E8747" t="s">
        <v>9371</v>
      </c>
      <c r="F8747" t="s">
        <v>0</v>
      </c>
      <c r="G8747" t="str">
        <f>"2018-10-28 15:10:26"</f>
        <v>2018-10-28 15:10:26</v>
      </c>
    </row>
    <row r="8748" spans="1:7" x14ac:dyDescent="0.2">
      <c r="A8748" t="s">
        <v>9372</v>
      </c>
      <c r="B8748" t="str">
        <f>"13637000445"</f>
        <v>13637000445</v>
      </c>
      <c r="C8748" t="str">
        <f>"341125199303033612"</f>
        <v>341125199303033612</v>
      </c>
      <c r="D8748" t="s">
        <v>1</v>
      </c>
      <c r="E8748" t="s">
        <v>1</v>
      </c>
      <c r="F8748" t="s">
        <v>0</v>
      </c>
      <c r="G8748" t="str">
        <f>"2018-10-15 16:49:46"</f>
        <v>2018-10-15 16:49:46</v>
      </c>
    </row>
    <row r="8749" spans="1:7" x14ac:dyDescent="0.2">
      <c r="A8749" t="s">
        <v>9373</v>
      </c>
      <c r="B8749" t="str">
        <f>"13915535396"</f>
        <v>13915535396</v>
      </c>
      <c r="C8749" t="str">
        <f>"320586198109154811"</f>
        <v>320586198109154811</v>
      </c>
      <c r="D8749" t="s">
        <v>1</v>
      </c>
      <c r="E8749" t="s">
        <v>1</v>
      </c>
      <c r="F8749" t="s">
        <v>0</v>
      </c>
      <c r="G8749" t="str">
        <f>"2018-10-16 18:18:19"</f>
        <v>2018-10-16 18:18:19</v>
      </c>
    </row>
    <row r="8750" spans="1:7" x14ac:dyDescent="0.2">
      <c r="A8750" t="s">
        <v>9374</v>
      </c>
      <c r="B8750" t="str">
        <f>"13812033684"</f>
        <v>13812033684</v>
      </c>
      <c r="C8750" t="str">
        <f>"230703199206220318"</f>
        <v>230703199206220318</v>
      </c>
      <c r="D8750" t="s">
        <v>1</v>
      </c>
      <c r="E8750" t="s">
        <v>1</v>
      </c>
      <c r="F8750" t="s">
        <v>0</v>
      </c>
      <c r="G8750" t="str">
        <f>"2018-10-15 16:50:46"</f>
        <v>2018-10-15 16:50:46</v>
      </c>
    </row>
    <row r="8751" spans="1:7" x14ac:dyDescent="0.2">
      <c r="A8751" t="s">
        <v>9375</v>
      </c>
      <c r="B8751" t="str">
        <f>"18216799447"</f>
        <v>18216799447</v>
      </c>
      <c r="C8751" t="str">
        <f>"520201198706073611"</f>
        <v>520201198706073611</v>
      </c>
      <c r="D8751" t="s">
        <v>1</v>
      </c>
      <c r="E8751" t="s">
        <v>1</v>
      </c>
      <c r="F8751" t="s">
        <v>0</v>
      </c>
      <c r="G8751" t="str">
        <f>"2018-10-15 16:48:43"</f>
        <v>2018-10-15 16:48:43</v>
      </c>
    </row>
    <row r="8752" spans="1:7" x14ac:dyDescent="0.2">
      <c r="A8752" t="s">
        <v>1</v>
      </c>
      <c r="B8752" t="str">
        <f>"13875543263"</f>
        <v>13875543263</v>
      </c>
      <c r="C8752" t="s">
        <v>1</v>
      </c>
      <c r="D8752" t="s">
        <v>1</v>
      </c>
      <c r="E8752" t="s">
        <v>1</v>
      </c>
      <c r="F8752" t="s">
        <v>0</v>
      </c>
      <c r="G8752" t="str">
        <f>"2018-10-15 16:44:11"</f>
        <v>2018-10-15 16:44:11</v>
      </c>
    </row>
    <row r="8753" spans="1:7" x14ac:dyDescent="0.2">
      <c r="A8753" t="s">
        <v>9376</v>
      </c>
      <c r="B8753" t="str">
        <f>"18353522767"</f>
        <v>18353522767</v>
      </c>
      <c r="C8753" t="str">
        <f>"211022198510013413"</f>
        <v>211022198510013413</v>
      </c>
      <c r="D8753" t="s">
        <v>1</v>
      </c>
      <c r="E8753" t="s">
        <v>1</v>
      </c>
      <c r="F8753" t="s">
        <v>0</v>
      </c>
      <c r="G8753" t="str">
        <f>"2018-10-15 16:53:34"</f>
        <v>2018-10-15 16:53:34</v>
      </c>
    </row>
    <row r="8754" spans="1:7" x14ac:dyDescent="0.2">
      <c r="A8754" t="s">
        <v>9377</v>
      </c>
      <c r="B8754" t="str">
        <f>"15198320708"</f>
        <v>15198320708</v>
      </c>
      <c r="C8754" t="str">
        <f>"532901199606164627"</f>
        <v>532901199606164627</v>
      </c>
      <c r="D8754" t="s">
        <v>1</v>
      </c>
      <c r="E8754" t="s">
        <v>1</v>
      </c>
      <c r="F8754" t="s">
        <v>0</v>
      </c>
      <c r="G8754" t="str">
        <f>"2018-10-15 16:45:09"</f>
        <v>2018-10-15 16:45:09</v>
      </c>
    </row>
    <row r="8755" spans="1:7" x14ac:dyDescent="0.2">
      <c r="A8755" t="s">
        <v>9378</v>
      </c>
      <c r="B8755" t="str">
        <f>"18899877508"</f>
        <v>18899877508</v>
      </c>
      <c r="C8755" t="str">
        <f>"362228198706263118"</f>
        <v>362228198706263118</v>
      </c>
      <c r="D8755" t="s">
        <v>9379</v>
      </c>
      <c r="E8755" t="s">
        <v>9380</v>
      </c>
      <c r="F8755" t="s">
        <v>0</v>
      </c>
      <c r="G8755" t="str">
        <f>"2018-10-15 16:42:53"</f>
        <v>2018-10-15 16:42:53</v>
      </c>
    </row>
    <row r="8756" spans="1:7" x14ac:dyDescent="0.2">
      <c r="A8756" t="s">
        <v>9381</v>
      </c>
      <c r="B8756" t="str">
        <f>"13850609086"</f>
        <v>13850609086</v>
      </c>
      <c r="C8756" t="str">
        <f>"352601197306166031"</f>
        <v>352601197306166031</v>
      </c>
      <c r="D8756" t="s">
        <v>1</v>
      </c>
      <c r="E8756" t="s">
        <v>1</v>
      </c>
      <c r="F8756" t="s">
        <v>0</v>
      </c>
      <c r="G8756" t="str">
        <f>"2018-10-15 16:44:14"</f>
        <v>2018-10-15 16:44:14</v>
      </c>
    </row>
    <row r="8757" spans="1:7" x14ac:dyDescent="0.2">
      <c r="A8757" t="s">
        <v>9382</v>
      </c>
      <c r="B8757" t="str">
        <f>"15162135345"</f>
        <v>15162135345</v>
      </c>
      <c r="C8757" t="str">
        <f>"320282199010161571"</f>
        <v>320282199010161571</v>
      </c>
      <c r="D8757" t="s">
        <v>9383</v>
      </c>
      <c r="E8757" t="s">
        <v>9384</v>
      </c>
      <c r="F8757" t="s">
        <v>0</v>
      </c>
      <c r="G8757" t="str">
        <f>"2018-10-15 16:42:05"</f>
        <v>2018-10-15 16:42:05</v>
      </c>
    </row>
    <row r="8758" spans="1:7" x14ac:dyDescent="0.2">
      <c r="A8758" t="s">
        <v>1</v>
      </c>
      <c r="B8758" t="str">
        <f>"13858898487"</f>
        <v>13858898487</v>
      </c>
      <c r="C8758" t="s">
        <v>1</v>
      </c>
      <c r="D8758" t="s">
        <v>1</v>
      </c>
      <c r="E8758" t="s">
        <v>1</v>
      </c>
      <c r="F8758" t="s">
        <v>0</v>
      </c>
      <c r="G8758" t="str">
        <f>"2018-10-15 16:39:53"</f>
        <v>2018-10-15 16:39:53</v>
      </c>
    </row>
    <row r="8759" spans="1:7" x14ac:dyDescent="0.2">
      <c r="A8759" t="s">
        <v>9385</v>
      </c>
      <c r="B8759" t="str">
        <f>"13764666996"</f>
        <v>13764666996</v>
      </c>
      <c r="C8759" t="str">
        <f>"310115198309107025"</f>
        <v>310115198309107025</v>
      </c>
      <c r="D8759" t="s">
        <v>1</v>
      </c>
      <c r="E8759" t="s">
        <v>1</v>
      </c>
      <c r="F8759" t="s">
        <v>0</v>
      </c>
      <c r="G8759" t="str">
        <f>"2018-11-03 13:13:30"</f>
        <v>2018-11-03 13:13:30</v>
      </c>
    </row>
    <row r="8760" spans="1:7" x14ac:dyDescent="0.2">
      <c r="A8760" t="s">
        <v>9386</v>
      </c>
      <c r="B8760" t="str">
        <f>"15868386460"</f>
        <v>15868386460</v>
      </c>
      <c r="C8760" t="str">
        <f>"330421198401160811"</f>
        <v>330421198401160811</v>
      </c>
      <c r="D8760" t="s">
        <v>9387</v>
      </c>
      <c r="E8760" t="s">
        <v>9388</v>
      </c>
      <c r="F8760" t="s">
        <v>0</v>
      </c>
      <c r="G8760" t="str">
        <f>"2018-10-15 16:39:18"</f>
        <v>2018-10-15 16:39:18</v>
      </c>
    </row>
    <row r="8761" spans="1:7" x14ac:dyDescent="0.2">
      <c r="A8761" t="s">
        <v>539</v>
      </c>
      <c r="B8761" t="str">
        <f>"13409908806"</f>
        <v>13409908806</v>
      </c>
      <c r="C8761" t="str">
        <f>"422128199004271717"</f>
        <v>422128199004271717</v>
      </c>
      <c r="D8761" t="s">
        <v>1</v>
      </c>
      <c r="E8761" t="s">
        <v>1</v>
      </c>
      <c r="F8761" t="s">
        <v>0</v>
      </c>
      <c r="G8761" t="str">
        <f>"2018-10-15 16:49:20"</f>
        <v>2018-10-15 16:49:20</v>
      </c>
    </row>
    <row r="8762" spans="1:7" x14ac:dyDescent="0.2">
      <c r="A8762" t="s">
        <v>102</v>
      </c>
      <c r="B8762" t="str">
        <f>"13389707757"</f>
        <v>13389707757</v>
      </c>
      <c r="C8762" t="str">
        <f>"632224199304150510"</f>
        <v>632224199304150510</v>
      </c>
      <c r="D8762" t="s">
        <v>1</v>
      </c>
      <c r="E8762" t="s">
        <v>1</v>
      </c>
      <c r="F8762" t="s">
        <v>0</v>
      </c>
      <c r="G8762" t="str">
        <f>"2018-10-15 16:36:19"</f>
        <v>2018-10-15 16:36:19</v>
      </c>
    </row>
    <row r="8763" spans="1:7" x14ac:dyDescent="0.2">
      <c r="A8763" t="s">
        <v>9389</v>
      </c>
      <c r="B8763" t="str">
        <f>"18851563209"</f>
        <v>18851563209</v>
      </c>
      <c r="C8763" t="str">
        <f>"320830199309161812"</f>
        <v>320830199309161812</v>
      </c>
      <c r="D8763" t="s">
        <v>1</v>
      </c>
      <c r="E8763" t="s">
        <v>1</v>
      </c>
      <c r="F8763" t="s">
        <v>0</v>
      </c>
      <c r="G8763" t="str">
        <f>"2018-10-16 11:59:01"</f>
        <v>2018-10-16 11:59:01</v>
      </c>
    </row>
    <row r="8764" spans="1:7" x14ac:dyDescent="0.2">
      <c r="A8764" t="s">
        <v>9390</v>
      </c>
      <c r="B8764" t="str">
        <f>"13600641098"</f>
        <v>13600641098</v>
      </c>
      <c r="C8764" t="str">
        <f>"33030419821103031X"</f>
        <v>33030419821103031X</v>
      </c>
      <c r="D8764" t="s">
        <v>1</v>
      </c>
      <c r="E8764" t="s">
        <v>1</v>
      </c>
      <c r="F8764" t="s">
        <v>0</v>
      </c>
      <c r="G8764" t="str">
        <f>"2018-10-22 12:37:19"</f>
        <v>2018-10-22 12:37:19</v>
      </c>
    </row>
    <row r="8765" spans="1:7" x14ac:dyDescent="0.2">
      <c r="A8765" t="s">
        <v>9391</v>
      </c>
      <c r="B8765" t="str">
        <f>"13103020106"</f>
        <v>13103020106</v>
      </c>
      <c r="C8765" t="str">
        <f>"130622199203217631"</f>
        <v>130622199203217631</v>
      </c>
      <c r="D8765" t="s">
        <v>1</v>
      </c>
      <c r="E8765" t="s">
        <v>1</v>
      </c>
      <c r="F8765" t="s">
        <v>0</v>
      </c>
      <c r="G8765" t="str">
        <f>"2018-10-15 16:37:54"</f>
        <v>2018-10-15 16:37:54</v>
      </c>
    </row>
    <row r="8766" spans="1:7" x14ac:dyDescent="0.2">
      <c r="A8766" t="s">
        <v>555</v>
      </c>
      <c r="B8766" t="str">
        <f>"18978878995"</f>
        <v>18978878995</v>
      </c>
      <c r="C8766" t="str">
        <f>"452623198502170632"</f>
        <v>452623198502170632</v>
      </c>
      <c r="D8766" t="s">
        <v>1</v>
      </c>
      <c r="E8766" t="s">
        <v>1</v>
      </c>
      <c r="F8766" t="s">
        <v>0</v>
      </c>
      <c r="G8766" t="str">
        <f>"2018-10-15 16:37:39"</f>
        <v>2018-10-15 16:37:39</v>
      </c>
    </row>
    <row r="8767" spans="1:7" x14ac:dyDescent="0.2">
      <c r="A8767" t="s">
        <v>9392</v>
      </c>
      <c r="B8767" t="str">
        <f>"13833173117"</f>
        <v>13833173117</v>
      </c>
      <c r="C8767" t="str">
        <f>"130185199005080919"</f>
        <v>130185199005080919</v>
      </c>
      <c r="D8767" t="s">
        <v>1</v>
      </c>
      <c r="E8767" t="s">
        <v>1</v>
      </c>
      <c r="F8767" t="s">
        <v>0</v>
      </c>
      <c r="G8767" t="str">
        <f>"2018-10-15 16:36:26"</f>
        <v>2018-10-15 16:36:26</v>
      </c>
    </row>
    <row r="8768" spans="1:7" x14ac:dyDescent="0.2">
      <c r="A8768" t="s">
        <v>9393</v>
      </c>
      <c r="B8768" t="str">
        <f>"13737696721"</f>
        <v>13737696721</v>
      </c>
      <c r="C8768" t="str">
        <f>"452601198610150921"</f>
        <v>452601198610150921</v>
      </c>
      <c r="D8768" t="s">
        <v>1</v>
      </c>
      <c r="E8768" t="s">
        <v>1</v>
      </c>
      <c r="F8768" t="s">
        <v>0</v>
      </c>
      <c r="G8768" t="str">
        <f>"2018-10-15 16:57:04"</f>
        <v>2018-10-15 16:57:04</v>
      </c>
    </row>
    <row r="8769" spans="1:7" x14ac:dyDescent="0.2">
      <c r="A8769" t="s">
        <v>9394</v>
      </c>
      <c r="B8769" t="str">
        <f>"18639756803"</f>
        <v>18639756803</v>
      </c>
      <c r="C8769" t="str">
        <f>"411424199305246214"</f>
        <v>411424199305246214</v>
      </c>
      <c r="D8769" t="s">
        <v>1</v>
      </c>
      <c r="E8769" t="s">
        <v>1</v>
      </c>
      <c r="F8769" t="s">
        <v>0</v>
      </c>
      <c r="G8769" t="str">
        <f>"2018-10-20 15:27:23"</f>
        <v>2018-10-20 15:27:23</v>
      </c>
    </row>
    <row r="8770" spans="1:7" x14ac:dyDescent="0.2">
      <c r="A8770" t="s">
        <v>9395</v>
      </c>
      <c r="B8770" t="str">
        <f>"18872808111"</f>
        <v>18872808111</v>
      </c>
      <c r="C8770" t="str">
        <f>"422801198005043824"</f>
        <v>422801198005043824</v>
      </c>
      <c r="D8770" t="s">
        <v>9396</v>
      </c>
      <c r="E8770" t="s">
        <v>9397</v>
      </c>
      <c r="F8770" t="s">
        <v>0</v>
      </c>
      <c r="G8770" t="str">
        <f>"2018-10-28 15:51:41"</f>
        <v>2018-10-28 15:51:41</v>
      </c>
    </row>
    <row r="8771" spans="1:7" x14ac:dyDescent="0.2">
      <c r="A8771" t="s">
        <v>9398</v>
      </c>
      <c r="B8771" t="str">
        <f>"15289894049"</f>
        <v>15289894049</v>
      </c>
      <c r="C8771" t="str">
        <f>"460025198609091520"</f>
        <v>460025198609091520</v>
      </c>
      <c r="D8771" t="s">
        <v>1</v>
      </c>
      <c r="E8771" t="s">
        <v>1</v>
      </c>
      <c r="F8771" t="s">
        <v>0</v>
      </c>
      <c r="G8771" t="str">
        <f>"2018-10-15 16:36:18"</f>
        <v>2018-10-15 16:36:18</v>
      </c>
    </row>
    <row r="8772" spans="1:7" x14ac:dyDescent="0.2">
      <c r="A8772" t="s">
        <v>9399</v>
      </c>
      <c r="B8772" t="str">
        <f>"18757422735"</f>
        <v>18757422735</v>
      </c>
      <c r="C8772" t="str">
        <f>"330226199405086714"</f>
        <v>330226199405086714</v>
      </c>
      <c r="D8772" t="s">
        <v>1</v>
      </c>
      <c r="E8772" t="s">
        <v>1</v>
      </c>
      <c r="F8772" t="s">
        <v>0</v>
      </c>
      <c r="G8772" t="str">
        <f>"2018-10-15 16:40:29"</f>
        <v>2018-10-15 16:40:29</v>
      </c>
    </row>
    <row r="8773" spans="1:7" x14ac:dyDescent="0.2">
      <c r="A8773" t="s">
        <v>670</v>
      </c>
      <c r="B8773" t="str">
        <f>"13975065087"</f>
        <v>13975065087</v>
      </c>
      <c r="C8773" t="str">
        <f>"430623199409167219"</f>
        <v>430623199409167219</v>
      </c>
      <c r="D8773" t="s">
        <v>1</v>
      </c>
      <c r="E8773" t="s">
        <v>1</v>
      </c>
      <c r="F8773" t="s">
        <v>0</v>
      </c>
      <c r="G8773" t="str">
        <f>"2018-10-15 16:35:13"</f>
        <v>2018-10-15 16:35:13</v>
      </c>
    </row>
    <row r="8774" spans="1:7" x14ac:dyDescent="0.2">
      <c r="A8774" t="s">
        <v>9400</v>
      </c>
      <c r="B8774" t="str">
        <f>"17501513384"</f>
        <v>17501513384</v>
      </c>
      <c r="C8774" t="str">
        <f>"320223198009097379"</f>
        <v>320223198009097379</v>
      </c>
      <c r="D8774" t="s">
        <v>1</v>
      </c>
      <c r="E8774" t="s">
        <v>1</v>
      </c>
      <c r="F8774" t="s">
        <v>0</v>
      </c>
      <c r="G8774" t="str">
        <f>"2018-10-15 16:36:48"</f>
        <v>2018-10-15 16:36:48</v>
      </c>
    </row>
    <row r="8775" spans="1:7" x14ac:dyDescent="0.2">
      <c r="A8775" t="s">
        <v>9401</v>
      </c>
      <c r="B8775" t="str">
        <f>"13569191034"</f>
        <v>13569191034</v>
      </c>
      <c r="C8775" t="str">
        <f>"410822198907104540"</f>
        <v>410822198907104540</v>
      </c>
      <c r="D8775" t="s">
        <v>1</v>
      </c>
      <c r="E8775" t="s">
        <v>1</v>
      </c>
      <c r="F8775" t="s">
        <v>0</v>
      </c>
      <c r="G8775" t="str">
        <f>"2018-10-15 16:34:08"</f>
        <v>2018-10-15 16:34:08</v>
      </c>
    </row>
    <row r="8776" spans="1:7" x14ac:dyDescent="0.2">
      <c r="A8776" t="s">
        <v>9402</v>
      </c>
      <c r="B8776" t="str">
        <f>"13127083367"</f>
        <v>13127083367</v>
      </c>
      <c r="C8776" t="str">
        <f>"342422199502162319"</f>
        <v>342422199502162319</v>
      </c>
      <c r="D8776" t="s">
        <v>1</v>
      </c>
      <c r="E8776" t="s">
        <v>1</v>
      </c>
      <c r="F8776" t="s">
        <v>0</v>
      </c>
      <c r="G8776" t="str">
        <f>"2018-10-15 16:35:57"</f>
        <v>2018-10-15 16:35:57</v>
      </c>
    </row>
    <row r="8777" spans="1:7" x14ac:dyDescent="0.2">
      <c r="A8777" t="s">
        <v>1</v>
      </c>
      <c r="B8777" t="str">
        <f>"15932345368"</f>
        <v>15932345368</v>
      </c>
      <c r="C8777" t="s">
        <v>1</v>
      </c>
      <c r="D8777" t="s">
        <v>1</v>
      </c>
      <c r="E8777" t="s">
        <v>1</v>
      </c>
      <c r="F8777" t="s">
        <v>0</v>
      </c>
      <c r="G8777" t="str">
        <f>"2018-10-15 16:31:29"</f>
        <v>2018-10-15 16:31:29</v>
      </c>
    </row>
    <row r="8778" spans="1:7" x14ac:dyDescent="0.2">
      <c r="A8778" t="s">
        <v>9403</v>
      </c>
      <c r="B8778" t="str">
        <f>"18404074499"</f>
        <v>18404074499</v>
      </c>
      <c r="C8778" t="str">
        <f>"232325198901251638"</f>
        <v>232325198901251638</v>
      </c>
      <c r="D8778" t="s">
        <v>1</v>
      </c>
      <c r="E8778" t="s">
        <v>1</v>
      </c>
      <c r="F8778" t="s">
        <v>0</v>
      </c>
      <c r="G8778" t="str">
        <f>"2018-10-15 16:35:19"</f>
        <v>2018-10-15 16:35:19</v>
      </c>
    </row>
    <row r="8779" spans="1:7" x14ac:dyDescent="0.2">
      <c r="A8779" t="s">
        <v>1</v>
      </c>
      <c r="B8779" t="str">
        <f>"15677854957"</f>
        <v>15677854957</v>
      </c>
      <c r="C8779" t="s">
        <v>1</v>
      </c>
      <c r="D8779" t="s">
        <v>1</v>
      </c>
      <c r="E8779" t="s">
        <v>1</v>
      </c>
      <c r="F8779" t="s">
        <v>0</v>
      </c>
      <c r="G8779" t="str">
        <f>"2018-10-15 16:29:50"</f>
        <v>2018-10-15 16:29:50</v>
      </c>
    </row>
    <row r="8780" spans="1:7" x14ac:dyDescent="0.2">
      <c r="A8780" t="s">
        <v>807</v>
      </c>
      <c r="B8780" t="str">
        <f>"18686130288"</f>
        <v>18686130288</v>
      </c>
      <c r="C8780" t="str">
        <f>"150202197809213632"</f>
        <v>150202197809213632</v>
      </c>
      <c r="D8780" t="s">
        <v>1</v>
      </c>
      <c r="E8780" t="s">
        <v>1</v>
      </c>
      <c r="F8780" t="s">
        <v>0</v>
      </c>
      <c r="G8780" t="str">
        <f>"2018-10-28 11:03:40"</f>
        <v>2018-10-28 11:03:40</v>
      </c>
    </row>
    <row r="8781" spans="1:7" x14ac:dyDescent="0.2">
      <c r="A8781" t="s">
        <v>1</v>
      </c>
      <c r="B8781" t="str">
        <f>"15824230648"</f>
        <v>15824230648</v>
      </c>
      <c r="C8781" t="s">
        <v>1</v>
      </c>
      <c r="D8781" t="s">
        <v>1</v>
      </c>
      <c r="E8781" t="s">
        <v>1</v>
      </c>
      <c r="F8781" t="s">
        <v>0</v>
      </c>
      <c r="G8781" t="str">
        <f>"2018-10-15 16:29:22"</f>
        <v>2018-10-15 16:29:22</v>
      </c>
    </row>
    <row r="8782" spans="1:7" x14ac:dyDescent="0.2">
      <c r="A8782" t="s">
        <v>9404</v>
      </c>
      <c r="B8782" t="str">
        <f>"13132732773"</f>
        <v>13132732773</v>
      </c>
      <c r="C8782" t="str">
        <f>"450331199304043612"</f>
        <v>450331199304043612</v>
      </c>
      <c r="D8782" t="s">
        <v>1</v>
      </c>
      <c r="E8782" t="s">
        <v>1</v>
      </c>
      <c r="F8782" t="s">
        <v>0</v>
      </c>
      <c r="G8782" t="str">
        <f>"2018-10-15 16:30:55"</f>
        <v>2018-10-15 16:30:55</v>
      </c>
    </row>
    <row r="8783" spans="1:7" x14ac:dyDescent="0.2">
      <c r="A8783" t="s">
        <v>9405</v>
      </c>
      <c r="B8783" t="str">
        <f>"13976112667"</f>
        <v>13976112667</v>
      </c>
      <c r="C8783" t="str">
        <f>"460025198511160639"</f>
        <v>460025198511160639</v>
      </c>
      <c r="D8783" t="s">
        <v>9406</v>
      </c>
      <c r="E8783" t="s">
        <v>9407</v>
      </c>
      <c r="F8783" t="s">
        <v>0</v>
      </c>
      <c r="G8783" t="str">
        <f>"2018-10-15 16:35:32"</f>
        <v>2018-10-15 16:35:32</v>
      </c>
    </row>
    <row r="8784" spans="1:7" x14ac:dyDescent="0.2">
      <c r="A8784" t="s">
        <v>9408</v>
      </c>
      <c r="B8784" t="str">
        <f>"15059768798"</f>
        <v>15059768798</v>
      </c>
      <c r="C8784" t="str">
        <f>"350582199309172541"</f>
        <v>350582199309172541</v>
      </c>
      <c r="D8784" t="s">
        <v>1</v>
      </c>
      <c r="E8784" t="s">
        <v>1</v>
      </c>
      <c r="F8784" t="s">
        <v>0</v>
      </c>
      <c r="G8784" t="str">
        <f>"2018-10-15 16:34:46"</f>
        <v>2018-10-15 16:34:46</v>
      </c>
    </row>
    <row r="8785" spans="1:7" x14ac:dyDescent="0.2">
      <c r="A8785" t="s">
        <v>9409</v>
      </c>
      <c r="B8785" t="str">
        <f>"18145191929"</f>
        <v>18145191929</v>
      </c>
      <c r="C8785" t="str">
        <f>"230123199101210036"</f>
        <v>230123199101210036</v>
      </c>
      <c r="D8785" t="s">
        <v>1</v>
      </c>
      <c r="E8785" t="s">
        <v>1</v>
      </c>
      <c r="F8785" t="s">
        <v>0</v>
      </c>
      <c r="G8785" t="str">
        <f>"2018-10-15 16:29:55"</f>
        <v>2018-10-15 16:29:55</v>
      </c>
    </row>
    <row r="8786" spans="1:7" x14ac:dyDescent="0.2">
      <c r="A8786" t="s">
        <v>1</v>
      </c>
      <c r="B8786" t="str">
        <f>"13191445592"</f>
        <v>13191445592</v>
      </c>
      <c r="C8786" t="s">
        <v>1</v>
      </c>
      <c r="D8786" t="s">
        <v>1</v>
      </c>
      <c r="E8786" t="s">
        <v>1</v>
      </c>
      <c r="F8786" t="s">
        <v>0</v>
      </c>
      <c r="G8786" t="str">
        <f>"2018-10-31 15:22:21"</f>
        <v>2018-10-31 15:22:21</v>
      </c>
    </row>
    <row r="8787" spans="1:7" x14ac:dyDescent="0.2">
      <c r="A8787" t="s">
        <v>9410</v>
      </c>
      <c r="B8787" t="str">
        <f>"13753998801"</f>
        <v>13753998801</v>
      </c>
      <c r="C8787" t="str">
        <f>"142727198112191516"</f>
        <v>142727198112191516</v>
      </c>
      <c r="D8787" t="s">
        <v>1</v>
      </c>
      <c r="E8787" t="s">
        <v>1</v>
      </c>
      <c r="F8787" t="s">
        <v>0</v>
      </c>
      <c r="G8787" t="str">
        <f>"2018-10-15 16:30:30"</f>
        <v>2018-10-15 16:30:30</v>
      </c>
    </row>
    <row r="8788" spans="1:7" x14ac:dyDescent="0.2">
      <c r="A8788" t="s">
        <v>451</v>
      </c>
      <c r="B8788" t="str">
        <f>"18740125706"</f>
        <v>18740125706</v>
      </c>
      <c r="C8788" t="str">
        <f>"210505199312081049"</f>
        <v>210505199312081049</v>
      </c>
      <c r="D8788" t="s">
        <v>9411</v>
      </c>
      <c r="E8788" t="s">
        <v>9412</v>
      </c>
      <c r="F8788" t="s">
        <v>0</v>
      </c>
      <c r="G8788" t="str">
        <f>"2018-10-16 17:55:10"</f>
        <v>2018-10-16 17:55:10</v>
      </c>
    </row>
    <row r="8789" spans="1:7" x14ac:dyDescent="0.2">
      <c r="A8789" t="s">
        <v>9413</v>
      </c>
      <c r="B8789" t="str">
        <f>"15996860842"</f>
        <v>15996860842</v>
      </c>
      <c r="C8789" t="str">
        <f>"320321199304140410"</f>
        <v>320321199304140410</v>
      </c>
      <c r="D8789" t="s">
        <v>9414</v>
      </c>
      <c r="E8789" t="s">
        <v>9415</v>
      </c>
      <c r="F8789" t="s">
        <v>0</v>
      </c>
      <c r="G8789" t="str">
        <f>"2018-10-15 17:34:34"</f>
        <v>2018-10-15 17:34:34</v>
      </c>
    </row>
    <row r="8790" spans="1:7" x14ac:dyDescent="0.2">
      <c r="A8790" t="s">
        <v>9416</v>
      </c>
      <c r="B8790" t="str">
        <f>"15053315939"</f>
        <v>15053315939</v>
      </c>
      <c r="C8790" t="str">
        <f>"370302197905095417"</f>
        <v>370302197905095417</v>
      </c>
      <c r="D8790" t="s">
        <v>1</v>
      </c>
      <c r="E8790" t="s">
        <v>1</v>
      </c>
      <c r="F8790" t="s">
        <v>0</v>
      </c>
      <c r="G8790" t="str">
        <f>"2018-10-15 16:27:52"</f>
        <v>2018-10-15 16:27:52</v>
      </c>
    </row>
    <row r="8791" spans="1:7" x14ac:dyDescent="0.2">
      <c r="A8791" t="s">
        <v>999</v>
      </c>
      <c r="B8791" t="str">
        <f>"15024997853"</f>
        <v>15024997853</v>
      </c>
      <c r="C8791" t="str">
        <f>"142703198610080068"</f>
        <v>142703198610080068</v>
      </c>
      <c r="D8791" t="s">
        <v>1</v>
      </c>
      <c r="E8791" t="s">
        <v>1</v>
      </c>
      <c r="F8791" t="s">
        <v>0</v>
      </c>
      <c r="G8791" t="str">
        <f>"2018-10-15 16:27:26"</f>
        <v>2018-10-15 16:27:26</v>
      </c>
    </row>
    <row r="8792" spans="1:7" x14ac:dyDescent="0.2">
      <c r="A8792" t="s">
        <v>1</v>
      </c>
      <c r="B8792" t="str">
        <f>"13907612503"</f>
        <v>13907612503</v>
      </c>
      <c r="C8792" t="s">
        <v>1</v>
      </c>
      <c r="D8792" t="s">
        <v>1</v>
      </c>
      <c r="E8792" t="s">
        <v>1</v>
      </c>
      <c r="F8792" t="s">
        <v>0</v>
      </c>
      <c r="G8792" t="str">
        <f>"2018-10-15 16:25:51"</f>
        <v>2018-10-15 16:25:51</v>
      </c>
    </row>
    <row r="8793" spans="1:7" x14ac:dyDescent="0.2">
      <c r="A8793" t="s">
        <v>9417</v>
      </c>
      <c r="B8793" t="str">
        <f>"18739945129"</f>
        <v>18739945129</v>
      </c>
      <c r="C8793" t="str">
        <f>"411202199402040534"</f>
        <v>411202199402040534</v>
      </c>
      <c r="D8793" t="s">
        <v>1</v>
      </c>
      <c r="E8793" t="s">
        <v>1</v>
      </c>
      <c r="F8793" t="s">
        <v>0</v>
      </c>
      <c r="G8793" t="str">
        <f>"2018-10-15 16:26:45"</f>
        <v>2018-10-15 16:26:45</v>
      </c>
    </row>
    <row r="8794" spans="1:7" x14ac:dyDescent="0.2">
      <c r="A8794" t="s">
        <v>1</v>
      </c>
      <c r="B8794" t="str">
        <f>"17781605203"</f>
        <v>17781605203</v>
      </c>
      <c r="C8794" t="s">
        <v>1</v>
      </c>
      <c r="D8794" t="s">
        <v>1</v>
      </c>
      <c r="E8794" t="s">
        <v>1</v>
      </c>
      <c r="F8794" t="s">
        <v>0</v>
      </c>
      <c r="G8794" t="str">
        <f>"2018-10-15 16:25:23"</f>
        <v>2018-10-15 16:25:23</v>
      </c>
    </row>
    <row r="8795" spans="1:7" x14ac:dyDescent="0.2">
      <c r="A8795" t="s">
        <v>1</v>
      </c>
      <c r="B8795" t="str">
        <f>"18282887271"</f>
        <v>18282887271</v>
      </c>
      <c r="C8795" t="s">
        <v>1</v>
      </c>
      <c r="D8795" t="s">
        <v>1</v>
      </c>
      <c r="E8795" t="s">
        <v>1</v>
      </c>
      <c r="F8795" t="s">
        <v>0</v>
      </c>
      <c r="G8795" t="str">
        <f>"2018-10-15 16:25:16"</f>
        <v>2018-10-15 16:25:16</v>
      </c>
    </row>
    <row r="8796" spans="1:7" x14ac:dyDescent="0.2">
      <c r="A8796" t="s">
        <v>1</v>
      </c>
      <c r="B8796" t="str">
        <f>"13398201939"</f>
        <v>13398201939</v>
      </c>
      <c r="C8796" t="s">
        <v>1</v>
      </c>
      <c r="D8796" t="s">
        <v>1</v>
      </c>
      <c r="E8796" t="s">
        <v>1</v>
      </c>
      <c r="F8796" t="s">
        <v>0</v>
      </c>
      <c r="G8796" t="str">
        <f>"2018-10-15 16:24:59"</f>
        <v>2018-10-15 16:24:59</v>
      </c>
    </row>
    <row r="8797" spans="1:7" x14ac:dyDescent="0.2">
      <c r="A8797" t="s">
        <v>9418</v>
      </c>
      <c r="B8797" t="str">
        <f>"13397600479"</f>
        <v>13397600479</v>
      </c>
      <c r="C8797" t="str">
        <f>"430381199005215031"</f>
        <v>430381199005215031</v>
      </c>
      <c r="D8797" t="s">
        <v>1</v>
      </c>
      <c r="E8797" t="s">
        <v>1</v>
      </c>
      <c r="F8797" t="s">
        <v>0</v>
      </c>
      <c r="G8797" t="str">
        <f>"2018-10-15 16:23:02"</f>
        <v>2018-10-15 16:23:02</v>
      </c>
    </row>
    <row r="8798" spans="1:7" x14ac:dyDescent="0.2">
      <c r="A8798" t="s">
        <v>9419</v>
      </c>
      <c r="B8798" t="str">
        <f>"15260507427"</f>
        <v>15260507427</v>
      </c>
      <c r="C8798" t="str">
        <f>"350603198711161555"</f>
        <v>350603198711161555</v>
      </c>
      <c r="D8798" t="s">
        <v>1</v>
      </c>
      <c r="E8798" t="s">
        <v>1</v>
      </c>
      <c r="F8798" t="s">
        <v>0</v>
      </c>
      <c r="G8798" t="str">
        <f>"2018-10-15 16:24:40"</f>
        <v>2018-10-15 16:24:40</v>
      </c>
    </row>
    <row r="8799" spans="1:7" x14ac:dyDescent="0.2">
      <c r="A8799" t="s">
        <v>9420</v>
      </c>
      <c r="B8799" t="str">
        <f>"15045363633"</f>
        <v>15045363633</v>
      </c>
      <c r="C8799" t="str">
        <f>"230103198208082820"</f>
        <v>230103198208082820</v>
      </c>
      <c r="D8799" t="s">
        <v>1</v>
      </c>
      <c r="E8799" t="s">
        <v>1</v>
      </c>
      <c r="F8799" t="s">
        <v>0</v>
      </c>
      <c r="G8799" t="str">
        <f>"2018-10-20 10:04:41"</f>
        <v>2018-10-20 10:04:41</v>
      </c>
    </row>
    <row r="8800" spans="1:7" x14ac:dyDescent="0.2">
      <c r="A8800" t="s">
        <v>9421</v>
      </c>
      <c r="B8800" t="str">
        <f>"13860813820"</f>
        <v>13860813820</v>
      </c>
      <c r="C8800" t="str">
        <f>"350628198903052537"</f>
        <v>350628198903052537</v>
      </c>
      <c r="D8800" t="s">
        <v>1</v>
      </c>
      <c r="E8800" t="s">
        <v>1</v>
      </c>
      <c r="F8800" t="s">
        <v>0</v>
      </c>
      <c r="G8800" t="str">
        <f>"2018-10-15 16:22:05"</f>
        <v>2018-10-15 16:22:05</v>
      </c>
    </row>
    <row r="8801" spans="1:7" x14ac:dyDescent="0.2">
      <c r="A8801" t="s">
        <v>9422</v>
      </c>
      <c r="B8801" t="str">
        <f>"13663799139"</f>
        <v>13663799139</v>
      </c>
      <c r="C8801" t="str">
        <f>"410322197208120021"</f>
        <v>410322197208120021</v>
      </c>
      <c r="D8801" t="s">
        <v>9423</v>
      </c>
      <c r="E8801" t="s">
        <v>9424</v>
      </c>
      <c r="F8801" t="s">
        <v>0</v>
      </c>
      <c r="G8801" t="str">
        <f>"2018-10-15 16:24:38"</f>
        <v>2018-10-15 16:24:38</v>
      </c>
    </row>
    <row r="8802" spans="1:7" x14ac:dyDescent="0.2">
      <c r="A8802" t="s">
        <v>9425</v>
      </c>
      <c r="B8802" t="str">
        <f>"13137027444"</f>
        <v>13137027444</v>
      </c>
      <c r="C8802" t="str">
        <f>"411424198706130939"</f>
        <v>411424198706130939</v>
      </c>
      <c r="D8802" t="s">
        <v>1</v>
      </c>
      <c r="E8802" t="s">
        <v>1</v>
      </c>
      <c r="F8802" t="s">
        <v>0</v>
      </c>
      <c r="G8802" t="str">
        <f>"2018-10-15 16:30:16"</f>
        <v>2018-10-15 16:30:16</v>
      </c>
    </row>
    <row r="8803" spans="1:7" x14ac:dyDescent="0.2">
      <c r="A8803" t="s">
        <v>9426</v>
      </c>
      <c r="B8803" t="str">
        <f>"13685979552"</f>
        <v>13685979552</v>
      </c>
      <c r="C8803" t="str">
        <f>"352623198107064713"</f>
        <v>352623198107064713</v>
      </c>
      <c r="D8803" t="s">
        <v>1</v>
      </c>
      <c r="E8803" t="s">
        <v>1</v>
      </c>
      <c r="F8803" t="s">
        <v>0</v>
      </c>
      <c r="G8803" t="str">
        <f>"2018-10-15 16:22:41"</f>
        <v>2018-10-15 16:22:41</v>
      </c>
    </row>
    <row r="8804" spans="1:7" x14ac:dyDescent="0.2">
      <c r="A8804" t="s">
        <v>9427</v>
      </c>
      <c r="B8804" t="str">
        <f>"15770545484"</f>
        <v>15770545484</v>
      </c>
      <c r="C8804" t="str">
        <f>"362201199606053812"</f>
        <v>362201199606053812</v>
      </c>
      <c r="D8804" t="s">
        <v>9428</v>
      </c>
      <c r="E8804" t="s">
        <v>9429</v>
      </c>
      <c r="F8804" t="s">
        <v>0</v>
      </c>
      <c r="G8804" t="str">
        <f>"2018-10-15 16:20:57"</f>
        <v>2018-10-15 16:20:57</v>
      </c>
    </row>
    <row r="8805" spans="1:7" x14ac:dyDescent="0.2">
      <c r="A8805" t="s">
        <v>9430</v>
      </c>
      <c r="B8805" t="str">
        <f>"13571752650"</f>
        <v>13571752650</v>
      </c>
      <c r="C8805" t="str">
        <f>"610330198105190627"</f>
        <v>610330198105190627</v>
      </c>
      <c r="D8805" t="s">
        <v>1</v>
      </c>
      <c r="E8805" t="s">
        <v>1</v>
      </c>
      <c r="F8805" t="s">
        <v>0</v>
      </c>
      <c r="G8805" t="str">
        <f>"2018-10-15 16:22:58"</f>
        <v>2018-10-15 16:22:58</v>
      </c>
    </row>
    <row r="8806" spans="1:7" x14ac:dyDescent="0.2">
      <c r="A8806" t="s">
        <v>9431</v>
      </c>
      <c r="B8806" t="str">
        <f>"18822235223"</f>
        <v>18822235223</v>
      </c>
      <c r="C8806" t="str">
        <f>"130926198906060455"</f>
        <v>130926198906060455</v>
      </c>
      <c r="D8806" t="s">
        <v>1</v>
      </c>
      <c r="E8806" t="s">
        <v>1</v>
      </c>
      <c r="F8806" t="s">
        <v>0</v>
      </c>
      <c r="G8806" t="str">
        <f>"2018-10-15 16:20:58"</f>
        <v>2018-10-15 16:20:58</v>
      </c>
    </row>
    <row r="8807" spans="1:7" x14ac:dyDescent="0.2">
      <c r="A8807" t="s">
        <v>823</v>
      </c>
      <c r="B8807" t="str">
        <f>"15545601141"</f>
        <v>15545601141</v>
      </c>
      <c r="C8807" t="str">
        <f>"230304198708254016"</f>
        <v>230304198708254016</v>
      </c>
      <c r="D8807" t="s">
        <v>1</v>
      </c>
      <c r="E8807" t="s">
        <v>1</v>
      </c>
      <c r="F8807" t="s">
        <v>0</v>
      </c>
      <c r="G8807" t="str">
        <f>"2018-10-15 16:36:55"</f>
        <v>2018-10-15 16:36:55</v>
      </c>
    </row>
    <row r="8808" spans="1:7" x14ac:dyDescent="0.2">
      <c r="A8808" t="s">
        <v>101</v>
      </c>
      <c r="B8808" t="str">
        <f>"18761169020"</f>
        <v>18761169020</v>
      </c>
      <c r="C8808" t="str">
        <f>"321081199312192430"</f>
        <v>321081199312192430</v>
      </c>
      <c r="D8808" t="s">
        <v>1</v>
      </c>
      <c r="E8808" t="s">
        <v>1</v>
      </c>
      <c r="F8808" t="s">
        <v>0</v>
      </c>
      <c r="G8808" t="str">
        <f>"2018-10-15 16:19:25"</f>
        <v>2018-10-15 16:19:25</v>
      </c>
    </row>
    <row r="8809" spans="1:7" x14ac:dyDescent="0.2">
      <c r="A8809" t="s">
        <v>1</v>
      </c>
      <c r="B8809" t="str">
        <f>"18635451587"</f>
        <v>18635451587</v>
      </c>
      <c r="C8809" t="s">
        <v>1</v>
      </c>
      <c r="D8809" t="s">
        <v>1</v>
      </c>
      <c r="E8809" t="s">
        <v>1</v>
      </c>
      <c r="F8809" t="s">
        <v>0</v>
      </c>
      <c r="G8809" t="str">
        <f>"2018-10-15 16:16:59"</f>
        <v>2018-10-15 16:16:59</v>
      </c>
    </row>
    <row r="8810" spans="1:7" x14ac:dyDescent="0.2">
      <c r="A8810" t="s">
        <v>1</v>
      </c>
      <c r="B8810" t="str">
        <f>"15729257163"</f>
        <v>15729257163</v>
      </c>
      <c r="C8810" t="s">
        <v>1</v>
      </c>
      <c r="D8810" t="s">
        <v>1</v>
      </c>
      <c r="E8810" t="s">
        <v>1</v>
      </c>
      <c r="F8810" t="s">
        <v>0</v>
      </c>
      <c r="G8810" t="str">
        <f>"2018-10-15 16:16:55"</f>
        <v>2018-10-15 16:16:55</v>
      </c>
    </row>
    <row r="8811" spans="1:7" x14ac:dyDescent="0.2">
      <c r="A8811" t="s">
        <v>1</v>
      </c>
      <c r="B8811" t="str">
        <f>"17171049845"</f>
        <v>17171049845</v>
      </c>
      <c r="C8811" t="s">
        <v>1</v>
      </c>
      <c r="D8811" t="s">
        <v>1</v>
      </c>
      <c r="E8811" t="s">
        <v>1</v>
      </c>
      <c r="F8811" t="s">
        <v>0</v>
      </c>
      <c r="G8811" t="str">
        <f>"2018-10-15 16:16:44"</f>
        <v>2018-10-15 16:16:44</v>
      </c>
    </row>
    <row r="8812" spans="1:7" x14ac:dyDescent="0.2">
      <c r="A8812" t="s">
        <v>9432</v>
      </c>
      <c r="B8812" t="str">
        <f>"15013497353"</f>
        <v>15013497353</v>
      </c>
      <c r="C8812" t="str">
        <f>"452631199412100512"</f>
        <v>452631199412100512</v>
      </c>
      <c r="D8812" t="s">
        <v>1</v>
      </c>
      <c r="E8812" t="s">
        <v>1</v>
      </c>
      <c r="F8812" t="s">
        <v>0</v>
      </c>
      <c r="G8812" t="str">
        <f>"2018-10-15 16:19:10"</f>
        <v>2018-10-15 16:19:10</v>
      </c>
    </row>
    <row r="8813" spans="1:7" x14ac:dyDescent="0.2">
      <c r="A8813" t="s">
        <v>9433</v>
      </c>
      <c r="B8813" t="str">
        <f>"18722952543"</f>
        <v>18722952543</v>
      </c>
      <c r="C8813" t="str">
        <f>"522225198512052014"</f>
        <v>522225198512052014</v>
      </c>
      <c r="D8813" t="s">
        <v>1</v>
      </c>
      <c r="E8813" t="s">
        <v>1</v>
      </c>
      <c r="F8813" t="s">
        <v>0</v>
      </c>
      <c r="G8813" t="str">
        <f>"2018-10-15 16:22:20"</f>
        <v>2018-10-15 16:22:20</v>
      </c>
    </row>
    <row r="8814" spans="1:7" x14ac:dyDescent="0.2">
      <c r="A8814" t="s">
        <v>8130</v>
      </c>
      <c r="B8814" t="str">
        <f>"17863344567"</f>
        <v>17863344567</v>
      </c>
      <c r="C8814" t="str">
        <f>"342224199710300116"</f>
        <v>342224199710300116</v>
      </c>
      <c r="D8814" t="s">
        <v>1</v>
      </c>
      <c r="E8814" t="s">
        <v>1</v>
      </c>
      <c r="F8814" t="s">
        <v>0</v>
      </c>
      <c r="G8814" t="str">
        <f>"2018-10-15 16:16:14"</f>
        <v>2018-10-15 16:16:14</v>
      </c>
    </row>
    <row r="8815" spans="1:7" x14ac:dyDescent="0.2">
      <c r="A8815" t="s">
        <v>9434</v>
      </c>
      <c r="B8815" t="str">
        <f>"18827444151"</f>
        <v>18827444151</v>
      </c>
      <c r="C8815" t="str">
        <f>"42010619920427164X"</f>
        <v>42010619920427164X</v>
      </c>
      <c r="D8815" t="s">
        <v>1</v>
      </c>
      <c r="E8815" t="s">
        <v>1</v>
      </c>
      <c r="F8815" t="s">
        <v>0</v>
      </c>
      <c r="G8815" t="str">
        <f>"2018-10-15 16:17:58"</f>
        <v>2018-10-15 16:17:58</v>
      </c>
    </row>
    <row r="8816" spans="1:7" x14ac:dyDescent="0.2">
      <c r="A8816" t="s">
        <v>9435</v>
      </c>
      <c r="B8816" t="str">
        <f>"18589282778"</f>
        <v>18589282778</v>
      </c>
      <c r="C8816" t="str">
        <f>"452227198402152676"</f>
        <v>452227198402152676</v>
      </c>
      <c r="D8816" t="s">
        <v>1</v>
      </c>
      <c r="E8816" t="s">
        <v>1</v>
      </c>
      <c r="F8816" t="s">
        <v>0</v>
      </c>
      <c r="G8816" t="str">
        <f>"2018-10-15 16:13:55"</f>
        <v>2018-10-15 16:13:55</v>
      </c>
    </row>
    <row r="8817" spans="1:7" x14ac:dyDescent="0.2">
      <c r="A8817" t="s">
        <v>9436</v>
      </c>
      <c r="B8817" t="str">
        <f>"15232904088"</f>
        <v>15232904088</v>
      </c>
      <c r="C8817" t="str">
        <f>"130629198708170576"</f>
        <v>130629198708170576</v>
      </c>
      <c r="D8817" t="s">
        <v>1</v>
      </c>
      <c r="E8817" t="s">
        <v>1</v>
      </c>
      <c r="F8817" t="s">
        <v>0</v>
      </c>
      <c r="G8817" t="str">
        <f>"2018-10-15 16:16:56"</f>
        <v>2018-10-15 16:16:56</v>
      </c>
    </row>
    <row r="8818" spans="1:7" x14ac:dyDescent="0.2">
      <c r="A8818" t="s">
        <v>202</v>
      </c>
      <c r="B8818" t="str">
        <f>"13759300295"</f>
        <v>13759300295</v>
      </c>
      <c r="C8818" t="str">
        <f>"533521199303183614"</f>
        <v>533521199303183614</v>
      </c>
      <c r="D8818" t="s">
        <v>1</v>
      </c>
      <c r="E8818" t="s">
        <v>1</v>
      </c>
      <c r="F8818" t="s">
        <v>0</v>
      </c>
      <c r="G8818" t="str">
        <f>"2018-10-15 16:17:05"</f>
        <v>2018-10-15 16:17:05</v>
      </c>
    </row>
    <row r="8819" spans="1:7" x14ac:dyDescent="0.2">
      <c r="A8819" t="s">
        <v>9437</v>
      </c>
      <c r="B8819" t="str">
        <f>"15758044905"</f>
        <v>15758044905</v>
      </c>
      <c r="C8819" t="str">
        <f>"530427199611180730"</f>
        <v>530427199611180730</v>
      </c>
      <c r="D8819" t="s">
        <v>1</v>
      </c>
      <c r="E8819" t="s">
        <v>1</v>
      </c>
      <c r="F8819" t="s">
        <v>0</v>
      </c>
      <c r="G8819" t="str">
        <f>"2018-10-15 16:13:21"</f>
        <v>2018-10-15 16:13:21</v>
      </c>
    </row>
    <row r="8820" spans="1:7" x14ac:dyDescent="0.2">
      <c r="A8820" t="s">
        <v>9438</v>
      </c>
      <c r="B8820" t="str">
        <f>"17605075486"</f>
        <v>17605075486</v>
      </c>
      <c r="C8820" t="str">
        <f>"350424199112161938"</f>
        <v>350424199112161938</v>
      </c>
      <c r="D8820" t="s">
        <v>53</v>
      </c>
      <c r="E8820" t="s">
        <v>9439</v>
      </c>
      <c r="F8820" t="s">
        <v>0</v>
      </c>
      <c r="G8820" t="str">
        <f>"2018-10-16 17:05:54"</f>
        <v>2018-10-16 17:05:54</v>
      </c>
    </row>
    <row r="8821" spans="1:7" x14ac:dyDescent="0.2">
      <c r="A8821" t="s">
        <v>9440</v>
      </c>
      <c r="B8821" t="str">
        <f>"18385438357"</f>
        <v>18385438357</v>
      </c>
      <c r="C8821" t="str">
        <f>"52252619960810009X"</f>
        <v>52252619960810009X</v>
      </c>
      <c r="D8821" t="s">
        <v>1</v>
      </c>
      <c r="E8821" t="s">
        <v>1</v>
      </c>
      <c r="F8821" t="s">
        <v>0</v>
      </c>
      <c r="G8821" t="str">
        <f>"2018-10-15 16:13:53"</f>
        <v>2018-10-15 16:13:53</v>
      </c>
    </row>
    <row r="8822" spans="1:7" x14ac:dyDescent="0.2">
      <c r="A8822" t="s">
        <v>28</v>
      </c>
      <c r="B8822" t="str">
        <f>"15972212325"</f>
        <v>15972212325</v>
      </c>
      <c r="C8822" t="str">
        <f>"421122199005282136"</f>
        <v>421122199005282136</v>
      </c>
      <c r="D8822" t="s">
        <v>1</v>
      </c>
      <c r="E8822" t="s">
        <v>1</v>
      </c>
      <c r="F8822" t="s">
        <v>0</v>
      </c>
      <c r="G8822" t="str">
        <f>"2018-10-15 16:26:36"</f>
        <v>2018-10-15 16:26:36</v>
      </c>
    </row>
    <row r="8823" spans="1:7" x14ac:dyDescent="0.2">
      <c r="A8823" t="s">
        <v>1074</v>
      </c>
      <c r="B8823" t="str">
        <f>"18862930610"</f>
        <v>18862930610</v>
      </c>
      <c r="C8823" t="str">
        <f>"320683199602105213"</f>
        <v>320683199602105213</v>
      </c>
      <c r="D8823" t="s">
        <v>1</v>
      </c>
      <c r="E8823" t="s">
        <v>1</v>
      </c>
      <c r="F8823" t="s">
        <v>0</v>
      </c>
      <c r="G8823" t="str">
        <f>"2018-10-15 16:11:29"</f>
        <v>2018-10-15 16:11:29</v>
      </c>
    </row>
    <row r="8824" spans="1:7" x14ac:dyDescent="0.2">
      <c r="A8824" t="s">
        <v>1</v>
      </c>
      <c r="B8824" t="str">
        <f>"13987009056"</f>
        <v>13987009056</v>
      </c>
      <c r="C8824" t="s">
        <v>1</v>
      </c>
      <c r="D8824" t="s">
        <v>1</v>
      </c>
      <c r="E8824" t="s">
        <v>1</v>
      </c>
      <c r="F8824" t="s">
        <v>0</v>
      </c>
      <c r="G8824" t="str">
        <f>"2018-10-15 16:12:55"</f>
        <v>2018-10-15 16:12:55</v>
      </c>
    </row>
    <row r="8825" spans="1:7" x14ac:dyDescent="0.2">
      <c r="A8825" t="s">
        <v>343</v>
      </c>
      <c r="B8825" t="str">
        <f>"15186026687"</f>
        <v>15186026687</v>
      </c>
      <c r="C8825" t="str">
        <f>"52222319891208002X"</f>
        <v>52222319891208002X</v>
      </c>
      <c r="D8825" t="s">
        <v>1</v>
      </c>
      <c r="E8825" t="s">
        <v>1</v>
      </c>
      <c r="F8825" t="s">
        <v>0</v>
      </c>
      <c r="G8825" t="str">
        <f>"2018-10-15 16:32:36"</f>
        <v>2018-10-15 16:32:36</v>
      </c>
    </row>
    <row r="8826" spans="1:7" x14ac:dyDescent="0.2">
      <c r="A8826" t="s">
        <v>1470</v>
      </c>
      <c r="B8826" t="str">
        <f>"15379878207"</f>
        <v>15379878207</v>
      </c>
      <c r="C8826" t="str">
        <f>"620502199011206351"</f>
        <v>620502199011206351</v>
      </c>
      <c r="D8826" t="s">
        <v>1</v>
      </c>
      <c r="E8826" t="s">
        <v>1</v>
      </c>
      <c r="F8826" t="s">
        <v>0</v>
      </c>
      <c r="G8826" t="str">
        <f>"2018-10-15 16:13:19"</f>
        <v>2018-10-15 16:13:19</v>
      </c>
    </row>
    <row r="8827" spans="1:7" x14ac:dyDescent="0.2">
      <c r="A8827" t="s">
        <v>9441</v>
      </c>
      <c r="B8827" t="str">
        <f>"18612318900"</f>
        <v>18612318900</v>
      </c>
      <c r="C8827" t="str">
        <f>"130924198604183537"</f>
        <v>130924198604183537</v>
      </c>
      <c r="D8827" t="s">
        <v>1</v>
      </c>
      <c r="E8827" t="s">
        <v>1</v>
      </c>
      <c r="F8827" t="s">
        <v>0</v>
      </c>
      <c r="G8827" t="str">
        <f>"2018-10-15 16:12:10"</f>
        <v>2018-10-15 16:12:10</v>
      </c>
    </row>
    <row r="8828" spans="1:7" x14ac:dyDescent="0.2">
      <c r="A8828" t="s">
        <v>1865</v>
      </c>
      <c r="B8828" t="str">
        <f>"13477427636"</f>
        <v>13477427636</v>
      </c>
      <c r="C8828" t="str">
        <f>"51122419771221861X"</f>
        <v>51122419771221861X</v>
      </c>
      <c r="D8828" t="s">
        <v>1</v>
      </c>
      <c r="E8828" t="s">
        <v>1</v>
      </c>
      <c r="F8828" t="s">
        <v>0</v>
      </c>
      <c r="G8828" t="str">
        <f>"2018-10-15 16:12:23"</f>
        <v>2018-10-15 16:12:23</v>
      </c>
    </row>
    <row r="8829" spans="1:7" x14ac:dyDescent="0.2">
      <c r="A8829" t="s">
        <v>1</v>
      </c>
      <c r="B8829" t="str">
        <f>"18078469957"</f>
        <v>18078469957</v>
      </c>
      <c r="C8829" t="s">
        <v>1</v>
      </c>
      <c r="D8829" t="s">
        <v>1</v>
      </c>
      <c r="E8829" t="s">
        <v>1</v>
      </c>
      <c r="F8829" t="s">
        <v>0</v>
      </c>
      <c r="G8829" t="str">
        <f>"2018-10-15 16:10:26"</f>
        <v>2018-10-15 16:10:26</v>
      </c>
    </row>
    <row r="8830" spans="1:7" x14ac:dyDescent="0.2">
      <c r="A8830" t="s">
        <v>9442</v>
      </c>
      <c r="B8830" t="str">
        <f>"15034597789"</f>
        <v>15034597789</v>
      </c>
      <c r="C8830" t="str">
        <f>"142732198509166010"</f>
        <v>142732198509166010</v>
      </c>
      <c r="D8830" t="s">
        <v>1</v>
      </c>
      <c r="E8830" t="s">
        <v>1</v>
      </c>
      <c r="F8830" t="s">
        <v>0</v>
      </c>
      <c r="G8830" t="str">
        <f>"2018-10-15 16:11:47"</f>
        <v>2018-10-15 16:11:47</v>
      </c>
    </row>
    <row r="8831" spans="1:7" x14ac:dyDescent="0.2">
      <c r="A8831" t="s">
        <v>1</v>
      </c>
      <c r="B8831" t="str">
        <f>"13609549273"</f>
        <v>13609549273</v>
      </c>
      <c r="C8831" t="s">
        <v>1</v>
      </c>
      <c r="D8831" t="s">
        <v>1</v>
      </c>
      <c r="E8831" t="s">
        <v>1</v>
      </c>
      <c r="F8831" t="s">
        <v>0</v>
      </c>
      <c r="G8831" t="str">
        <f>"2018-10-15 16:10:09"</f>
        <v>2018-10-15 16:10:09</v>
      </c>
    </row>
    <row r="8832" spans="1:7" x14ac:dyDescent="0.2">
      <c r="A8832" t="s">
        <v>9443</v>
      </c>
      <c r="B8832" t="str">
        <f>"15624158485"</f>
        <v>15624158485</v>
      </c>
      <c r="C8832" t="str">
        <f>"370784198903262518"</f>
        <v>370784198903262518</v>
      </c>
      <c r="D8832" t="s">
        <v>1</v>
      </c>
      <c r="E8832" t="s">
        <v>1</v>
      </c>
      <c r="F8832" t="s">
        <v>0</v>
      </c>
      <c r="G8832" t="str">
        <f>"2018-10-15 16:09:24"</f>
        <v>2018-10-15 16:09:24</v>
      </c>
    </row>
    <row r="8833" spans="1:7" x14ac:dyDescent="0.2">
      <c r="A8833" t="s">
        <v>9444</v>
      </c>
      <c r="B8833" t="str">
        <f>"15843197623"</f>
        <v>15843197623</v>
      </c>
      <c r="C8833" t="str">
        <f>"220181199104134659"</f>
        <v>220181199104134659</v>
      </c>
      <c r="D8833" t="s">
        <v>1</v>
      </c>
      <c r="E8833" t="s">
        <v>1</v>
      </c>
      <c r="F8833" t="s">
        <v>0</v>
      </c>
      <c r="G8833" t="str">
        <f>"2018-10-15 16:14:47"</f>
        <v>2018-10-15 16:14:47</v>
      </c>
    </row>
    <row r="8834" spans="1:7" x14ac:dyDescent="0.2">
      <c r="A8834" t="s">
        <v>9445</v>
      </c>
      <c r="B8834" t="str">
        <f>"15354199900"</f>
        <v>15354199900</v>
      </c>
      <c r="C8834" t="str">
        <f>"130502198702181578"</f>
        <v>130502198702181578</v>
      </c>
      <c r="D8834" t="s">
        <v>1</v>
      </c>
      <c r="E8834" t="s">
        <v>1</v>
      </c>
      <c r="F8834" t="s">
        <v>0</v>
      </c>
      <c r="G8834" t="str">
        <f>"2018-10-15 16:07:48"</f>
        <v>2018-10-15 16:07:48</v>
      </c>
    </row>
    <row r="8835" spans="1:7" x14ac:dyDescent="0.2">
      <c r="A8835" t="s">
        <v>9446</v>
      </c>
      <c r="B8835" t="str">
        <f>"18622341544"</f>
        <v>18622341544</v>
      </c>
      <c r="C8835" t="str">
        <f>"120109197203100530"</f>
        <v>120109197203100530</v>
      </c>
      <c r="D8835" t="s">
        <v>1</v>
      </c>
      <c r="E8835" t="s">
        <v>1</v>
      </c>
      <c r="F8835" t="s">
        <v>0</v>
      </c>
      <c r="G8835" t="str">
        <f>"2018-10-15 16:08:29"</f>
        <v>2018-10-15 16:08:29</v>
      </c>
    </row>
    <row r="8836" spans="1:7" x14ac:dyDescent="0.2">
      <c r="A8836" t="s">
        <v>1</v>
      </c>
      <c r="B8836" t="str">
        <f>"13950852000"</f>
        <v>13950852000</v>
      </c>
      <c r="C8836" t="s">
        <v>1</v>
      </c>
      <c r="D8836" t="s">
        <v>1</v>
      </c>
      <c r="E8836" t="s">
        <v>1</v>
      </c>
      <c r="F8836" t="s">
        <v>0</v>
      </c>
      <c r="G8836" t="str">
        <f>"2018-10-15 16:25:03"</f>
        <v>2018-10-15 16:25:03</v>
      </c>
    </row>
    <row r="8837" spans="1:7" x14ac:dyDescent="0.2">
      <c r="A8837" t="s">
        <v>4851</v>
      </c>
      <c r="B8837" t="str">
        <f>"13674300601"</f>
        <v>13674300601</v>
      </c>
      <c r="C8837" t="str">
        <f>"23090219910115091X"</f>
        <v>23090219910115091X</v>
      </c>
      <c r="D8837" t="s">
        <v>1</v>
      </c>
      <c r="E8837" t="s">
        <v>1</v>
      </c>
      <c r="F8837" t="s">
        <v>0</v>
      </c>
      <c r="G8837" t="str">
        <f>"2018-10-15 16:12:46"</f>
        <v>2018-10-15 16:12:46</v>
      </c>
    </row>
    <row r="8838" spans="1:7" x14ac:dyDescent="0.2">
      <c r="A8838" t="s">
        <v>9447</v>
      </c>
      <c r="B8838" t="str">
        <f>"18559909435"</f>
        <v>18559909435</v>
      </c>
      <c r="C8838" t="str">
        <f>"360681199405194223"</f>
        <v>360681199405194223</v>
      </c>
      <c r="D8838" t="s">
        <v>9448</v>
      </c>
      <c r="E8838" t="s">
        <v>9449</v>
      </c>
      <c r="F8838" t="s">
        <v>0</v>
      </c>
      <c r="G8838" t="str">
        <f>"2018-10-15 16:10:27"</f>
        <v>2018-10-15 16:10:27</v>
      </c>
    </row>
    <row r="8839" spans="1:7" x14ac:dyDescent="0.2">
      <c r="A8839" t="s">
        <v>9450</v>
      </c>
      <c r="B8839" t="str">
        <f>"13990760480"</f>
        <v>13990760480</v>
      </c>
      <c r="C8839" t="str">
        <f>"510213198001216129"</f>
        <v>510213198001216129</v>
      </c>
      <c r="D8839" t="s">
        <v>1</v>
      </c>
      <c r="E8839" t="s">
        <v>1</v>
      </c>
      <c r="F8839" t="s">
        <v>0</v>
      </c>
      <c r="G8839" t="str">
        <f>"2018-10-22 09:58:18"</f>
        <v>2018-10-22 09:58:18</v>
      </c>
    </row>
    <row r="8840" spans="1:7" x14ac:dyDescent="0.2">
      <c r="A8840" t="s">
        <v>9451</v>
      </c>
      <c r="B8840" t="str">
        <f>"15984098688"</f>
        <v>15984098688</v>
      </c>
      <c r="C8840" t="str">
        <f>"510824199408253622"</f>
        <v>510824199408253622</v>
      </c>
      <c r="D8840" t="s">
        <v>1</v>
      </c>
      <c r="E8840" t="s">
        <v>1</v>
      </c>
      <c r="F8840" t="s">
        <v>0</v>
      </c>
      <c r="G8840" t="str">
        <f>"2018-10-15 16:07:35"</f>
        <v>2018-10-15 16:07:35</v>
      </c>
    </row>
    <row r="8841" spans="1:7" x14ac:dyDescent="0.2">
      <c r="A8841" t="s">
        <v>94</v>
      </c>
      <c r="B8841" t="str">
        <f>"15619879095"</f>
        <v>15619879095</v>
      </c>
      <c r="C8841" t="str">
        <f>"610632199208012034"</f>
        <v>610632199208012034</v>
      </c>
      <c r="D8841" t="s">
        <v>1</v>
      </c>
      <c r="E8841" t="s">
        <v>1</v>
      </c>
      <c r="F8841" t="s">
        <v>0</v>
      </c>
      <c r="G8841" t="str">
        <f>"2018-10-22 11:46:45"</f>
        <v>2018-10-22 11:46:45</v>
      </c>
    </row>
    <row r="8842" spans="1:7" x14ac:dyDescent="0.2">
      <c r="A8842" t="s">
        <v>1870</v>
      </c>
      <c r="B8842" t="str">
        <f>"15171174565"</f>
        <v>15171174565</v>
      </c>
      <c r="C8842" t="str">
        <f>"421087198902070035"</f>
        <v>421087198902070035</v>
      </c>
      <c r="D8842" t="s">
        <v>1</v>
      </c>
      <c r="E8842" t="s">
        <v>1</v>
      </c>
      <c r="F8842" t="s">
        <v>0</v>
      </c>
      <c r="G8842" t="str">
        <f>"2018-10-15 16:15:41"</f>
        <v>2018-10-15 16:15:41</v>
      </c>
    </row>
    <row r="8843" spans="1:7" x14ac:dyDescent="0.2">
      <c r="A8843" t="s">
        <v>9452</v>
      </c>
      <c r="B8843" t="str">
        <f>"15163475799"</f>
        <v>15163475799</v>
      </c>
      <c r="C8843" t="str">
        <f>"371202198201244015"</f>
        <v>371202198201244015</v>
      </c>
      <c r="D8843" t="s">
        <v>1</v>
      </c>
      <c r="E8843" t="s">
        <v>1</v>
      </c>
      <c r="F8843" t="s">
        <v>0</v>
      </c>
      <c r="G8843" t="str">
        <f>"2018-10-15 16:10:40"</f>
        <v>2018-10-15 16:10:40</v>
      </c>
    </row>
    <row r="8844" spans="1:7" x14ac:dyDescent="0.2">
      <c r="A8844" t="s">
        <v>9453</v>
      </c>
      <c r="B8844" t="str">
        <f>"15759701876"</f>
        <v>15759701876</v>
      </c>
      <c r="C8844" t="str">
        <f>"350525199406094314"</f>
        <v>350525199406094314</v>
      </c>
      <c r="D8844" t="s">
        <v>1</v>
      </c>
      <c r="E8844" t="s">
        <v>1</v>
      </c>
      <c r="F8844" t="s">
        <v>0</v>
      </c>
      <c r="G8844" t="str">
        <f>"2018-10-15 16:05:54"</f>
        <v>2018-10-15 16:05:54</v>
      </c>
    </row>
    <row r="8845" spans="1:7" x14ac:dyDescent="0.2">
      <c r="A8845" t="s">
        <v>9454</v>
      </c>
      <c r="B8845" t="str">
        <f>"13655083431"</f>
        <v>13655083431</v>
      </c>
      <c r="C8845" t="str">
        <f>"350124198412144610"</f>
        <v>350124198412144610</v>
      </c>
      <c r="D8845" t="s">
        <v>9455</v>
      </c>
      <c r="E8845" t="s">
        <v>9456</v>
      </c>
      <c r="F8845" t="s">
        <v>0</v>
      </c>
      <c r="G8845" t="str">
        <f>"2018-10-15 16:07:18"</f>
        <v>2018-10-15 16:07:18</v>
      </c>
    </row>
    <row r="8846" spans="1:7" x14ac:dyDescent="0.2">
      <c r="A8846" t="s">
        <v>1</v>
      </c>
      <c r="B8846" t="str">
        <f>"15012889147"</f>
        <v>15012889147</v>
      </c>
      <c r="C8846" t="s">
        <v>1</v>
      </c>
      <c r="D8846" t="s">
        <v>1</v>
      </c>
      <c r="E8846" t="s">
        <v>1</v>
      </c>
      <c r="F8846" t="s">
        <v>0</v>
      </c>
      <c r="G8846" t="str">
        <f>"2018-10-15 17:01:47"</f>
        <v>2018-10-15 17:01:47</v>
      </c>
    </row>
    <row r="8847" spans="1:7" x14ac:dyDescent="0.2">
      <c r="A8847" t="s">
        <v>9457</v>
      </c>
      <c r="B8847" t="str">
        <f>"13789691605"</f>
        <v>13789691605</v>
      </c>
      <c r="C8847" t="str">
        <f>"150428199108152519"</f>
        <v>150428199108152519</v>
      </c>
      <c r="D8847" t="s">
        <v>9458</v>
      </c>
      <c r="E8847" t="s">
        <v>9459</v>
      </c>
      <c r="F8847" t="s">
        <v>0</v>
      </c>
      <c r="G8847" t="str">
        <f>"2018-10-15 16:05:08"</f>
        <v>2018-10-15 16:05:08</v>
      </c>
    </row>
    <row r="8848" spans="1:7" x14ac:dyDescent="0.2">
      <c r="A8848" t="s">
        <v>148</v>
      </c>
      <c r="B8848" t="str">
        <f>"15526959997"</f>
        <v>15526959997</v>
      </c>
      <c r="C8848" t="str">
        <f>"220821198804090391"</f>
        <v>220821198804090391</v>
      </c>
      <c r="D8848" t="s">
        <v>1</v>
      </c>
      <c r="E8848" t="s">
        <v>1</v>
      </c>
      <c r="F8848" t="s">
        <v>0</v>
      </c>
      <c r="G8848" t="str">
        <f>"2018-10-22 13:55:41"</f>
        <v>2018-10-22 13:55:41</v>
      </c>
    </row>
    <row r="8849" spans="1:7" x14ac:dyDescent="0.2">
      <c r="A8849" t="s">
        <v>9460</v>
      </c>
      <c r="B8849" t="str">
        <f>"13918385405"</f>
        <v>13918385405</v>
      </c>
      <c r="C8849" t="str">
        <f>"310225198807191838"</f>
        <v>310225198807191838</v>
      </c>
      <c r="D8849" t="s">
        <v>1</v>
      </c>
      <c r="E8849" t="s">
        <v>1</v>
      </c>
      <c r="F8849" t="s">
        <v>0</v>
      </c>
      <c r="G8849" t="str">
        <f>"2018-10-15 19:12:30"</f>
        <v>2018-10-15 19:12:30</v>
      </c>
    </row>
    <row r="8850" spans="1:7" x14ac:dyDescent="0.2">
      <c r="A8850" t="s">
        <v>9461</v>
      </c>
      <c r="B8850" t="str">
        <f>"13111006386"</f>
        <v>13111006386</v>
      </c>
      <c r="C8850" t="str">
        <f>"140108198506182512"</f>
        <v>140108198506182512</v>
      </c>
      <c r="D8850" t="s">
        <v>1</v>
      </c>
      <c r="E8850" t="s">
        <v>1</v>
      </c>
      <c r="F8850" t="s">
        <v>0</v>
      </c>
      <c r="G8850" t="str">
        <f>"2018-10-15 17:12:11"</f>
        <v>2018-10-15 17:12:11</v>
      </c>
    </row>
    <row r="8851" spans="1:7" x14ac:dyDescent="0.2">
      <c r="A8851" t="s">
        <v>9462</v>
      </c>
      <c r="B8851" t="str">
        <f>"13718964104"</f>
        <v>13718964104</v>
      </c>
      <c r="C8851" t="str">
        <f>"513723198410264933"</f>
        <v>513723198410264933</v>
      </c>
      <c r="D8851" t="s">
        <v>1</v>
      </c>
      <c r="E8851" t="s">
        <v>1</v>
      </c>
      <c r="F8851" t="s">
        <v>0</v>
      </c>
      <c r="G8851" t="str">
        <f>"2018-10-15 17:02:25"</f>
        <v>2018-10-15 17:02:25</v>
      </c>
    </row>
    <row r="8852" spans="1:7" x14ac:dyDescent="0.2">
      <c r="A8852" t="s">
        <v>688</v>
      </c>
      <c r="B8852" t="str">
        <f>"13687338631"</f>
        <v>13687338631</v>
      </c>
      <c r="C8852" t="str">
        <f>"430181199109157357"</f>
        <v>430181199109157357</v>
      </c>
      <c r="D8852" t="s">
        <v>1</v>
      </c>
      <c r="E8852" t="s">
        <v>1</v>
      </c>
      <c r="F8852" t="s">
        <v>0</v>
      </c>
      <c r="G8852" t="str">
        <f>"2018-10-15 16:05:18"</f>
        <v>2018-10-15 16:05:18</v>
      </c>
    </row>
    <row r="8853" spans="1:7" x14ac:dyDescent="0.2">
      <c r="A8853" t="s">
        <v>9463</v>
      </c>
      <c r="B8853" t="str">
        <f>"15285519060"</f>
        <v>15285519060</v>
      </c>
      <c r="C8853" t="str">
        <f>"520113199012152838"</f>
        <v>520113199012152838</v>
      </c>
      <c r="D8853" t="s">
        <v>1</v>
      </c>
      <c r="E8853" t="s">
        <v>1</v>
      </c>
      <c r="F8853" t="s">
        <v>0</v>
      </c>
      <c r="G8853" t="str">
        <f>"2018-10-15 16:05:41"</f>
        <v>2018-10-15 16:05:41</v>
      </c>
    </row>
    <row r="8854" spans="1:7" x14ac:dyDescent="0.2">
      <c r="A8854" t="s">
        <v>1227</v>
      </c>
      <c r="B8854" t="str">
        <f>"15985280130"</f>
        <v>15985280130</v>
      </c>
      <c r="C8854" t="str">
        <f>"522126198711012016"</f>
        <v>522126198711012016</v>
      </c>
      <c r="D8854" t="s">
        <v>1</v>
      </c>
      <c r="E8854" t="s">
        <v>1</v>
      </c>
      <c r="F8854" t="s">
        <v>0</v>
      </c>
      <c r="G8854" t="str">
        <f>"2018-10-15 16:03:33"</f>
        <v>2018-10-15 16:03:33</v>
      </c>
    </row>
    <row r="8855" spans="1:7" x14ac:dyDescent="0.2">
      <c r="A8855" t="s">
        <v>9464</v>
      </c>
      <c r="B8855" t="str">
        <f>"18715425057"</f>
        <v>18715425057</v>
      </c>
      <c r="C8855" t="str">
        <f>"32052519890314831X"</f>
        <v>32052519890314831X</v>
      </c>
      <c r="D8855" t="s">
        <v>1</v>
      </c>
      <c r="E8855" t="s">
        <v>1</v>
      </c>
      <c r="F8855" t="s">
        <v>0</v>
      </c>
      <c r="G8855" t="str">
        <f>"2018-11-01 08:39:04"</f>
        <v>2018-11-01 08:39:04</v>
      </c>
    </row>
    <row r="8856" spans="1:7" x14ac:dyDescent="0.2">
      <c r="A8856" t="s">
        <v>9465</v>
      </c>
      <c r="B8856" t="str">
        <f>"18175529302"</f>
        <v>18175529302</v>
      </c>
      <c r="C8856" t="str">
        <f>"431021198509163195"</f>
        <v>431021198509163195</v>
      </c>
      <c r="D8856" t="s">
        <v>1</v>
      </c>
      <c r="E8856" t="s">
        <v>1</v>
      </c>
      <c r="F8856" t="s">
        <v>0</v>
      </c>
      <c r="G8856" t="str">
        <f>"2018-10-15 16:09:43"</f>
        <v>2018-10-15 16:09:43</v>
      </c>
    </row>
    <row r="8857" spans="1:7" x14ac:dyDescent="0.2">
      <c r="A8857" t="s">
        <v>1</v>
      </c>
      <c r="B8857" t="str">
        <f>"13773899614"</f>
        <v>13773899614</v>
      </c>
      <c r="C8857" t="s">
        <v>1</v>
      </c>
      <c r="D8857" t="s">
        <v>1</v>
      </c>
      <c r="E8857" t="s">
        <v>1</v>
      </c>
      <c r="F8857" t="s">
        <v>0</v>
      </c>
      <c r="G8857" t="str">
        <f>"2018-10-15 16:02:05"</f>
        <v>2018-10-15 16:02:05</v>
      </c>
    </row>
    <row r="8858" spans="1:7" x14ac:dyDescent="0.2">
      <c r="A8858" t="s">
        <v>9466</v>
      </c>
      <c r="B8858" t="str">
        <f>"13399011234"</f>
        <v>13399011234</v>
      </c>
      <c r="C8858" t="str">
        <f>"654201198206280019"</f>
        <v>654201198206280019</v>
      </c>
      <c r="D8858" t="s">
        <v>1</v>
      </c>
      <c r="E8858" t="s">
        <v>1</v>
      </c>
      <c r="F8858" t="s">
        <v>0</v>
      </c>
      <c r="G8858" t="str">
        <f>"2018-10-15 16:08:32"</f>
        <v>2018-10-15 16:08:32</v>
      </c>
    </row>
    <row r="8859" spans="1:7" x14ac:dyDescent="0.2">
      <c r="A8859" t="s">
        <v>9467</v>
      </c>
      <c r="B8859" t="str">
        <f>"18397415702"</f>
        <v>18397415702</v>
      </c>
      <c r="C8859" t="str">
        <f>"430426198609022739"</f>
        <v>430426198609022739</v>
      </c>
      <c r="D8859" t="s">
        <v>1</v>
      </c>
      <c r="E8859" t="s">
        <v>1</v>
      </c>
      <c r="F8859" t="s">
        <v>0</v>
      </c>
      <c r="G8859" t="str">
        <f>"2018-10-15 16:03:08"</f>
        <v>2018-10-15 16:03:08</v>
      </c>
    </row>
    <row r="8860" spans="1:7" x14ac:dyDescent="0.2">
      <c r="A8860" t="s">
        <v>9468</v>
      </c>
      <c r="B8860" t="str">
        <f>"15035588642"</f>
        <v>15035588642</v>
      </c>
      <c r="C8860" t="str">
        <f>"140411199308010436"</f>
        <v>140411199308010436</v>
      </c>
      <c r="D8860" t="s">
        <v>9469</v>
      </c>
      <c r="E8860" t="s">
        <v>9470</v>
      </c>
      <c r="F8860" t="s">
        <v>0</v>
      </c>
      <c r="G8860" t="str">
        <f>"2018-10-28 14:47:57"</f>
        <v>2018-10-28 14:47:57</v>
      </c>
    </row>
    <row r="8861" spans="1:7" x14ac:dyDescent="0.2">
      <c r="A8861" t="s">
        <v>9471</v>
      </c>
      <c r="B8861" t="str">
        <f>"13329654861"</f>
        <v>13329654861</v>
      </c>
      <c r="C8861" t="str">
        <f>"522632199204251599"</f>
        <v>522632199204251599</v>
      </c>
      <c r="D8861" t="s">
        <v>9472</v>
      </c>
      <c r="E8861" t="s">
        <v>9473</v>
      </c>
      <c r="F8861" t="s">
        <v>0</v>
      </c>
      <c r="G8861" t="str">
        <f>"2018-10-15 16:08:58"</f>
        <v>2018-10-15 16:08:58</v>
      </c>
    </row>
    <row r="8862" spans="1:7" x14ac:dyDescent="0.2">
      <c r="A8862" t="s">
        <v>9474</v>
      </c>
      <c r="B8862" t="str">
        <f>"13175095526"</f>
        <v>13175095526</v>
      </c>
      <c r="C8862" t="str">
        <f>"150304199410201514"</f>
        <v>150304199410201514</v>
      </c>
      <c r="D8862" t="s">
        <v>9475</v>
      </c>
      <c r="E8862" t="s">
        <v>9476</v>
      </c>
      <c r="F8862" t="s">
        <v>0</v>
      </c>
      <c r="G8862" t="str">
        <f>"2018-10-15 16:02:08"</f>
        <v>2018-10-15 16:02:08</v>
      </c>
    </row>
    <row r="8863" spans="1:7" x14ac:dyDescent="0.2">
      <c r="A8863" t="s">
        <v>9477</v>
      </c>
      <c r="B8863" t="str">
        <f>"17512548139"</f>
        <v>17512548139</v>
      </c>
      <c r="C8863" t="str">
        <f>"320121196909173712"</f>
        <v>320121196909173712</v>
      </c>
      <c r="D8863" t="s">
        <v>1</v>
      </c>
      <c r="E8863" t="s">
        <v>1</v>
      </c>
      <c r="F8863" t="s">
        <v>0</v>
      </c>
      <c r="G8863" t="str">
        <f>"2018-10-15 16:10:36"</f>
        <v>2018-10-15 16:10:36</v>
      </c>
    </row>
    <row r="8864" spans="1:7" x14ac:dyDescent="0.2">
      <c r="A8864" t="s">
        <v>1</v>
      </c>
      <c r="B8864" t="str">
        <f>"18219066917"</f>
        <v>18219066917</v>
      </c>
      <c r="C8864" t="s">
        <v>1</v>
      </c>
      <c r="D8864" t="s">
        <v>1</v>
      </c>
      <c r="E8864" t="s">
        <v>1</v>
      </c>
      <c r="F8864" t="s">
        <v>0</v>
      </c>
      <c r="G8864" t="str">
        <f>"2018-10-15 16:02:05"</f>
        <v>2018-10-15 16:02:05</v>
      </c>
    </row>
    <row r="8865" spans="1:7" x14ac:dyDescent="0.2">
      <c r="A8865" t="s">
        <v>9478</v>
      </c>
      <c r="B8865" t="str">
        <f>"15096863160"</f>
        <v>15096863160</v>
      </c>
      <c r="C8865" t="str">
        <f>"532501199408220024"</f>
        <v>532501199408220024</v>
      </c>
      <c r="D8865" t="s">
        <v>1</v>
      </c>
      <c r="E8865" t="s">
        <v>1</v>
      </c>
      <c r="F8865" t="s">
        <v>0</v>
      </c>
      <c r="G8865" t="str">
        <f>"2018-10-16 06:39:22"</f>
        <v>2018-10-16 06:39:22</v>
      </c>
    </row>
    <row r="8866" spans="1:7" x14ac:dyDescent="0.2">
      <c r="A8866" t="s">
        <v>9479</v>
      </c>
      <c r="B8866" t="str">
        <f>"18203409872"</f>
        <v>18203409872</v>
      </c>
      <c r="C8866" t="str">
        <f>"142225199506234050"</f>
        <v>142225199506234050</v>
      </c>
      <c r="D8866" t="s">
        <v>9480</v>
      </c>
      <c r="E8866" t="s">
        <v>9481</v>
      </c>
      <c r="F8866" t="s">
        <v>0</v>
      </c>
      <c r="G8866" t="str">
        <f>"2018-10-15 16:25:36"</f>
        <v>2018-10-15 16:25:36</v>
      </c>
    </row>
    <row r="8867" spans="1:7" x14ac:dyDescent="0.2">
      <c r="A8867" t="s">
        <v>642</v>
      </c>
      <c r="B8867" t="str">
        <f>"15288819313"</f>
        <v>15288819313</v>
      </c>
      <c r="C8867" t="str">
        <f>"37028419911108241X"</f>
        <v>37028419911108241X</v>
      </c>
      <c r="D8867" t="s">
        <v>1</v>
      </c>
      <c r="E8867" t="s">
        <v>1</v>
      </c>
      <c r="F8867" t="s">
        <v>0</v>
      </c>
      <c r="G8867" t="str">
        <f>"2018-10-15 16:01:07"</f>
        <v>2018-10-15 16:01:07</v>
      </c>
    </row>
    <row r="8868" spans="1:7" x14ac:dyDescent="0.2">
      <c r="A8868" t="s">
        <v>9482</v>
      </c>
      <c r="B8868" t="str">
        <f>"13439591977"</f>
        <v>13439591977</v>
      </c>
      <c r="C8868" t="str">
        <f>"110101197706184024"</f>
        <v>110101197706184024</v>
      </c>
      <c r="D8868" t="s">
        <v>1</v>
      </c>
      <c r="E8868" t="s">
        <v>1</v>
      </c>
      <c r="F8868" t="s">
        <v>0</v>
      </c>
      <c r="G8868" t="str">
        <f>"2018-10-15 16:33:47"</f>
        <v>2018-10-15 16:33:47</v>
      </c>
    </row>
    <row r="8869" spans="1:7" x14ac:dyDescent="0.2">
      <c r="A8869" t="s">
        <v>9483</v>
      </c>
      <c r="B8869" t="str">
        <f>"15159041130"</f>
        <v>15159041130</v>
      </c>
      <c r="C8869" t="str">
        <f>"350823198505100029"</f>
        <v>350823198505100029</v>
      </c>
      <c r="D8869" t="s">
        <v>1</v>
      </c>
      <c r="E8869" t="s">
        <v>1</v>
      </c>
      <c r="F8869" t="s">
        <v>0</v>
      </c>
      <c r="G8869" t="str">
        <f>"2018-10-15 16:00:12"</f>
        <v>2018-10-15 16:00:12</v>
      </c>
    </row>
    <row r="8870" spans="1:7" x14ac:dyDescent="0.2">
      <c r="A8870" t="s">
        <v>1</v>
      </c>
      <c r="B8870" t="str">
        <f>"13623283082"</f>
        <v>13623283082</v>
      </c>
      <c r="C8870" t="s">
        <v>1</v>
      </c>
      <c r="D8870" t="s">
        <v>1</v>
      </c>
      <c r="E8870" t="s">
        <v>1</v>
      </c>
      <c r="F8870" t="s">
        <v>0</v>
      </c>
      <c r="G8870" t="str">
        <f>"2018-10-15 16:04:15"</f>
        <v>2018-10-15 16:04:15</v>
      </c>
    </row>
    <row r="8871" spans="1:7" x14ac:dyDescent="0.2">
      <c r="A8871" t="s">
        <v>9484</v>
      </c>
      <c r="B8871" t="str">
        <f>"13932971013"</f>
        <v>13932971013</v>
      </c>
      <c r="C8871" t="str">
        <f>"130529198603026222"</f>
        <v>130529198603026222</v>
      </c>
      <c r="D8871" t="s">
        <v>9485</v>
      </c>
      <c r="E8871" t="s">
        <v>9486</v>
      </c>
      <c r="F8871" t="s">
        <v>0</v>
      </c>
      <c r="G8871" t="str">
        <f>"2018-10-15 16:24:27"</f>
        <v>2018-10-15 16:24:27</v>
      </c>
    </row>
    <row r="8872" spans="1:7" x14ac:dyDescent="0.2">
      <c r="A8872" t="s">
        <v>1</v>
      </c>
      <c r="B8872" t="str">
        <f>"13086864400"</f>
        <v>13086864400</v>
      </c>
      <c r="C8872" t="s">
        <v>1</v>
      </c>
      <c r="D8872" t="s">
        <v>1</v>
      </c>
      <c r="E8872" t="s">
        <v>1</v>
      </c>
      <c r="F8872" t="s">
        <v>0</v>
      </c>
      <c r="G8872" t="str">
        <f>"2018-10-15 15:58:17"</f>
        <v>2018-10-15 15:58:17</v>
      </c>
    </row>
    <row r="8873" spans="1:7" x14ac:dyDescent="0.2">
      <c r="A8873" t="s">
        <v>1286</v>
      </c>
      <c r="B8873" t="str">
        <f>"13040988897"</f>
        <v>13040988897</v>
      </c>
      <c r="C8873" t="str">
        <f>"420521199303135614"</f>
        <v>420521199303135614</v>
      </c>
      <c r="D8873" t="s">
        <v>1</v>
      </c>
      <c r="E8873" t="s">
        <v>1</v>
      </c>
      <c r="F8873" t="s">
        <v>0</v>
      </c>
      <c r="G8873" t="str">
        <f>"2018-10-15 19:26:57"</f>
        <v>2018-10-15 19:26:57</v>
      </c>
    </row>
    <row r="8874" spans="1:7" x14ac:dyDescent="0.2">
      <c r="A8874" t="s">
        <v>9487</v>
      </c>
      <c r="B8874" t="str">
        <f>"18607560403"</f>
        <v>18607560403</v>
      </c>
      <c r="C8874" t="str">
        <f>"440402198904039139"</f>
        <v>440402198904039139</v>
      </c>
      <c r="D8874" t="s">
        <v>1</v>
      </c>
      <c r="E8874" t="s">
        <v>1</v>
      </c>
      <c r="F8874" t="s">
        <v>0</v>
      </c>
      <c r="G8874" t="str">
        <f>"2018-10-15 16:08:52"</f>
        <v>2018-10-15 16:08:52</v>
      </c>
    </row>
    <row r="8875" spans="1:7" x14ac:dyDescent="0.2">
      <c r="A8875" t="s">
        <v>9488</v>
      </c>
      <c r="B8875" t="str">
        <f>"15091617379"</f>
        <v>15091617379</v>
      </c>
      <c r="C8875" t="str">
        <f>"612328199004032528"</f>
        <v>612328199004032528</v>
      </c>
      <c r="D8875" t="s">
        <v>1</v>
      </c>
      <c r="E8875" t="s">
        <v>1</v>
      </c>
      <c r="F8875" t="s">
        <v>0</v>
      </c>
      <c r="G8875" t="str">
        <f>"2018-10-26 20:32:06"</f>
        <v>2018-10-26 20:32:06</v>
      </c>
    </row>
    <row r="8876" spans="1:7" x14ac:dyDescent="0.2">
      <c r="A8876" t="s">
        <v>9489</v>
      </c>
      <c r="B8876" t="str">
        <f>"13590397501"</f>
        <v>13590397501</v>
      </c>
      <c r="C8876" t="str">
        <f>"421181199409143941"</f>
        <v>421181199409143941</v>
      </c>
      <c r="D8876" t="s">
        <v>1</v>
      </c>
      <c r="E8876" t="s">
        <v>1</v>
      </c>
      <c r="F8876" t="s">
        <v>0</v>
      </c>
      <c r="G8876" t="str">
        <f>"2018-10-15 16:06:32"</f>
        <v>2018-10-15 16:06:32</v>
      </c>
    </row>
    <row r="8877" spans="1:7" x14ac:dyDescent="0.2">
      <c r="A8877" t="s">
        <v>9490</v>
      </c>
      <c r="B8877" t="str">
        <f>"13203940529"</f>
        <v>13203940529</v>
      </c>
      <c r="C8877" t="str">
        <f>"410883199107100338"</f>
        <v>410883199107100338</v>
      </c>
      <c r="D8877" t="s">
        <v>1</v>
      </c>
      <c r="E8877" t="s">
        <v>1</v>
      </c>
      <c r="F8877" t="s">
        <v>0</v>
      </c>
      <c r="G8877" t="str">
        <f>"2018-10-15 15:56:43"</f>
        <v>2018-10-15 15:56:43</v>
      </c>
    </row>
    <row r="8878" spans="1:7" x14ac:dyDescent="0.2">
      <c r="A8878" t="s">
        <v>9491</v>
      </c>
      <c r="B8878" t="str">
        <f>"18221912795"</f>
        <v>18221912795</v>
      </c>
      <c r="C8878" t="str">
        <f>"610322199212110738"</f>
        <v>610322199212110738</v>
      </c>
      <c r="D8878" t="s">
        <v>9492</v>
      </c>
      <c r="E8878" t="s">
        <v>9493</v>
      </c>
      <c r="F8878" t="s">
        <v>0</v>
      </c>
      <c r="G8878" t="str">
        <f>"2018-10-15 15:57:42"</f>
        <v>2018-10-15 15:57:42</v>
      </c>
    </row>
    <row r="8879" spans="1:7" x14ac:dyDescent="0.2">
      <c r="A8879" t="s">
        <v>9494</v>
      </c>
      <c r="B8879" t="str">
        <f>"18055320771"</f>
        <v>18055320771</v>
      </c>
      <c r="C8879" t="str">
        <f>"320830199108026817"</f>
        <v>320830199108026817</v>
      </c>
      <c r="D8879" t="s">
        <v>1</v>
      </c>
      <c r="E8879" t="s">
        <v>1</v>
      </c>
      <c r="F8879" t="s">
        <v>0</v>
      </c>
      <c r="G8879" t="str">
        <f>"2018-10-15 17:06:14"</f>
        <v>2018-10-15 17:06:14</v>
      </c>
    </row>
    <row r="8880" spans="1:7" x14ac:dyDescent="0.2">
      <c r="A8880" t="s">
        <v>1</v>
      </c>
      <c r="B8880" t="str">
        <f>"13737817618"</f>
        <v>13737817618</v>
      </c>
      <c r="C8880" t="s">
        <v>1</v>
      </c>
      <c r="D8880" t="s">
        <v>1</v>
      </c>
      <c r="E8880" t="s">
        <v>1</v>
      </c>
      <c r="F8880" t="s">
        <v>0</v>
      </c>
      <c r="G8880" t="str">
        <f>"2018-10-15 15:55:39"</f>
        <v>2018-10-15 15:55:39</v>
      </c>
    </row>
    <row r="8881" spans="1:7" x14ac:dyDescent="0.2">
      <c r="A8881" t="s">
        <v>9495</v>
      </c>
      <c r="B8881" t="str">
        <f>"18108240418"</f>
        <v>18108240418</v>
      </c>
      <c r="C8881" t="str">
        <f>"510107198904182641"</f>
        <v>510107198904182641</v>
      </c>
      <c r="D8881" t="s">
        <v>1</v>
      </c>
      <c r="E8881" t="s">
        <v>1</v>
      </c>
      <c r="F8881" t="s">
        <v>0</v>
      </c>
      <c r="G8881" t="str">
        <f>"2018-10-15 15:57:17"</f>
        <v>2018-10-15 15:57:17</v>
      </c>
    </row>
    <row r="8882" spans="1:7" x14ac:dyDescent="0.2">
      <c r="A8882" t="s">
        <v>9496</v>
      </c>
      <c r="B8882" t="str">
        <f>"18903881277"</f>
        <v>18903881277</v>
      </c>
      <c r="C8882" t="str">
        <f>"410323199205210510"</f>
        <v>410323199205210510</v>
      </c>
      <c r="D8882" t="s">
        <v>1</v>
      </c>
      <c r="E8882" t="s">
        <v>1</v>
      </c>
      <c r="F8882" t="s">
        <v>0</v>
      </c>
      <c r="G8882" t="str">
        <f>"2018-10-15 15:53:43"</f>
        <v>2018-10-15 15:53:43</v>
      </c>
    </row>
    <row r="8883" spans="1:7" x14ac:dyDescent="0.2">
      <c r="A8883" t="s">
        <v>9497</v>
      </c>
      <c r="B8883" t="str">
        <f>"18753777808"</f>
        <v>18753777808</v>
      </c>
      <c r="C8883" t="str">
        <f>"370830198604255242"</f>
        <v>370830198604255242</v>
      </c>
      <c r="D8883" t="s">
        <v>1</v>
      </c>
      <c r="E8883" t="s">
        <v>1</v>
      </c>
      <c r="F8883" t="s">
        <v>0</v>
      </c>
      <c r="G8883" t="str">
        <f>"2018-10-15 15:56:07"</f>
        <v>2018-10-15 15:56:07</v>
      </c>
    </row>
    <row r="8884" spans="1:7" x14ac:dyDescent="0.2">
      <c r="A8884" t="s">
        <v>9498</v>
      </c>
      <c r="B8884" t="str">
        <f>"15330983332"</f>
        <v>15330983332</v>
      </c>
      <c r="C8884" t="str">
        <f>"230602198209236212"</f>
        <v>230602198209236212</v>
      </c>
      <c r="D8884" t="s">
        <v>1</v>
      </c>
      <c r="E8884" t="s">
        <v>1</v>
      </c>
      <c r="F8884" t="s">
        <v>0</v>
      </c>
      <c r="G8884" t="str">
        <f>"2018-10-15 15:55:04"</f>
        <v>2018-10-15 15:55:04</v>
      </c>
    </row>
    <row r="8885" spans="1:7" x14ac:dyDescent="0.2">
      <c r="A8885" t="s">
        <v>9499</v>
      </c>
      <c r="B8885" t="str">
        <f>"13759490466"</f>
        <v>13759490466</v>
      </c>
      <c r="C8885" t="str">
        <f>"532328197703040712"</f>
        <v>532328197703040712</v>
      </c>
      <c r="D8885" t="s">
        <v>1</v>
      </c>
      <c r="E8885" t="s">
        <v>1</v>
      </c>
      <c r="F8885" t="s">
        <v>0</v>
      </c>
      <c r="G8885" t="str">
        <f>"2018-10-15 15:53:23"</f>
        <v>2018-10-15 15:53:23</v>
      </c>
    </row>
    <row r="8886" spans="1:7" x14ac:dyDescent="0.2">
      <c r="A8886" t="s">
        <v>1</v>
      </c>
      <c r="B8886" t="str">
        <f>"15677676924"</f>
        <v>15677676924</v>
      </c>
      <c r="C8886" t="s">
        <v>1</v>
      </c>
      <c r="D8886" t="s">
        <v>1</v>
      </c>
      <c r="E8886" t="s">
        <v>1</v>
      </c>
      <c r="F8886" t="s">
        <v>0</v>
      </c>
      <c r="G8886" t="str">
        <f>"2018-10-15 15:51:44"</f>
        <v>2018-10-15 15:51:44</v>
      </c>
    </row>
    <row r="8887" spans="1:7" x14ac:dyDescent="0.2">
      <c r="A8887" t="s">
        <v>1147</v>
      </c>
      <c r="B8887" t="str">
        <f>"13754077467"</f>
        <v>13754077467</v>
      </c>
      <c r="C8887" t="str">
        <f>"152723197911171214"</f>
        <v>152723197911171214</v>
      </c>
      <c r="D8887" t="s">
        <v>9500</v>
      </c>
      <c r="E8887" t="s">
        <v>9501</v>
      </c>
      <c r="F8887" t="s">
        <v>0</v>
      </c>
      <c r="G8887" t="str">
        <f>"2018-10-22 10:09:01"</f>
        <v>2018-10-22 10:09:01</v>
      </c>
    </row>
    <row r="8888" spans="1:7" x14ac:dyDescent="0.2">
      <c r="A8888" t="s">
        <v>9502</v>
      </c>
      <c r="B8888" t="str">
        <f>"13365393699"</f>
        <v>13365393699</v>
      </c>
      <c r="C8888" t="str">
        <f>"371325198411187530"</f>
        <v>371325198411187530</v>
      </c>
      <c r="D8888" t="s">
        <v>9503</v>
      </c>
      <c r="E8888" t="s">
        <v>9504</v>
      </c>
      <c r="F8888" t="s">
        <v>0</v>
      </c>
      <c r="G8888" t="str">
        <f>"2018-10-15 15:54:39"</f>
        <v>2018-10-15 15:54:39</v>
      </c>
    </row>
    <row r="8889" spans="1:7" x14ac:dyDescent="0.2">
      <c r="A8889" t="s">
        <v>67</v>
      </c>
      <c r="B8889" t="str">
        <f>"18845874736"</f>
        <v>18845874736</v>
      </c>
      <c r="C8889" t="str">
        <f>"230119198404030180"</f>
        <v>230119198404030180</v>
      </c>
      <c r="D8889" t="s">
        <v>9505</v>
      </c>
      <c r="E8889" t="s">
        <v>9506</v>
      </c>
      <c r="F8889" t="s">
        <v>0</v>
      </c>
      <c r="G8889" t="str">
        <f>"2018-10-15 15:50:53"</f>
        <v>2018-10-15 15:50:53</v>
      </c>
    </row>
    <row r="8890" spans="1:7" x14ac:dyDescent="0.2">
      <c r="A8890" t="s">
        <v>1</v>
      </c>
      <c r="B8890" t="str">
        <f>"13503486791"</f>
        <v>13503486791</v>
      </c>
      <c r="C8890" t="s">
        <v>1</v>
      </c>
      <c r="D8890" t="s">
        <v>1</v>
      </c>
      <c r="E8890" t="s">
        <v>1</v>
      </c>
      <c r="F8890" t="s">
        <v>0</v>
      </c>
      <c r="G8890" t="str">
        <f>"2018-10-15 15:48:43"</f>
        <v>2018-10-15 15:48:43</v>
      </c>
    </row>
    <row r="8891" spans="1:7" x14ac:dyDescent="0.2">
      <c r="A8891" t="s">
        <v>9507</v>
      </c>
      <c r="B8891" t="str">
        <f>"15235967466"</f>
        <v>15235967466</v>
      </c>
      <c r="C8891" t="str">
        <f>"142732198307200014"</f>
        <v>142732198307200014</v>
      </c>
      <c r="D8891" t="s">
        <v>1</v>
      </c>
      <c r="E8891" t="s">
        <v>1</v>
      </c>
      <c r="F8891" t="s">
        <v>0</v>
      </c>
      <c r="G8891" t="str">
        <f>"2018-10-15 15:50:31"</f>
        <v>2018-10-15 15:50:31</v>
      </c>
    </row>
    <row r="8892" spans="1:7" x14ac:dyDescent="0.2">
      <c r="A8892" t="s">
        <v>9508</v>
      </c>
      <c r="B8892" t="str">
        <f>"18394332896"</f>
        <v>18394332896</v>
      </c>
      <c r="C8892" t="str">
        <f>"620111199311240011"</f>
        <v>620111199311240011</v>
      </c>
      <c r="D8892" t="s">
        <v>9509</v>
      </c>
      <c r="E8892" t="s">
        <v>9510</v>
      </c>
      <c r="F8892" t="s">
        <v>0</v>
      </c>
      <c r="G8892" t="str">
        <f>"2018-10-15 15:58:10"</f>
        <v>2018-10-15 15:58:10</v>
      </c>
    </row>
    <row r="8893" spans="1:7" x14ac:dyDescent="0.2">
      <c r="A8893" t="s">
        <v>9511</v>
      </c>
      <c r="B8893" t="str">
        <f>"13192788927"</f>
        <v>13192788927</v>
      </c>
      <c r="C8893" t="str">
        <f>"441802199305030041"</f>
        <v>441802199305030041</v>
      </c>
      <c r="D8893" t="s">
        <v>1</v>
      </c>
      <c r="E8893" t="s">
        <v>1</v>
      </c>
      <c r="F8893" t="s">
        <v>0</v>
      </c>
      <c r="G8893" t="str">
        <f>"2018-10-15 16:06:16"</f>
        <v>2018-10-15 16:06:16</v>
      </c>
    </row>
    <row r="8894" spans="1:7" x14ac:dyDescent="0.2">
      <c r="A8894" t="s">
        <v>1</v>
      </c>
      <c r="B8894" t="str">
        <f>"13035711498"</f>
        <v>13035711498</v>
      </c>
      <c r="C8894" t="s">
        <v>1</v>
      </c>
      <c r="D8894" t="s">
        <v>1</v>
      </c>
      <c r="E8894" t="s">
        <v>1</v>
      </c>
      <c r="F8894" t="s">
        <v>0</v>
      </c>
      <c r="G8894" t="str">
        <f>"2018-10-15 15:47:55"</f>
        <v>2018-10-15 15:47:55</v>
      </c>
    </row>
    <row r="8895" spans="1:7" x14ac:dyDescent="0.2">
      <c r="A8895" t="s">
        <v>14</v>
      </c>
      <c r="B8895" t="str">
        <f>"15196190216"</f>
        <v>15196190216</v>
      </c>
      <c r="C8895" t="str">
        <f>"513425198512090037"</f>
        <v>513425198512090037</v>
      </c>
      <c r="D8895" t="s">
        <v>1</v>
      </c>
      <c r="E8895" t="s">
        <v>1</v>
      </c>
      <c r="F8895" t="s">
        <v>0</v>
      </c>
      <c r="G8895" t="str">
        <f>"2018-10-15 16:16:13"</f>
        <v>2018-10-15 16:16:13</v>
      </c>
    </row>
    <row r="8896" spans="1:7" x14ac:dyDescent="0.2">
      <c r="A8896" t="s">
        <v>9512</v>
      </c>
      <c r="B8896" t="str">
        <f>"13895899138"</f>
        <v>13895899138</v>
      </c>
      <c r="C8896" t="str">
        <f>"232326198408011514"</f>
        <v>232326198408011514</v>
      </c>
      <c r="D8896" t="s">
        <v>1</v>
      </c>
      <c r="E8896" t="s">
        <v>1</v>
      </c>
      <c r="F8896" t="s">
        <v>0</v>
      </c>
      <c r="G8896" t="str">
        <f>"2018-10-15 15:50:42"</f>
        <v>2018-10-15 15:50:42</v>
      </c>
    </row>
    <row r="8897" spans="1:7" x14ac:dyDescent="0.2">
      <c r="A8897" t="s">
        <v>699</v>
      </c>
      <c r="B8897" t="str">
        <f>"18714166626"</f>
        <v>18714166626</v>
      </c>
      <c r="C8897" t="str">
        <f>"130221199201173913"</f>
        <v>130221199201173913</v>
      </c>
      <c r="D8897" t="s">
        <v>1</v>
      </c>
      <c r="E8897" t="s">
        <v>1</v>
      </c>
      <c r="F8897" t="s">
        <v>0</v>
      </c>
      <c r="G8897" t="str">
        <f>"2018-10-15 15:56:46"</f>
        <v>2018-10-15 15:56:46</v>
      </c>
    </row>
    <row r="8898" spans="1:7" x14ac:dyDescent="0.2">
      <c r="A8898" t="s">
        <v>9513</v>
      </c>
      <c r="B8898" t="str">
        <f>"17680317096"</f>
        <v>17680317096</v>
      </c>
      <c r="C8898" t="str">
        <f>"370213199702242811"</f>
        <v>370213199702242811</v>
      </c>
      <c r="D8898" t="s">
        <v>9514</v>
      </c>
      <c r="E8898" t="s">
        <v>9515</v>
      </c>
      <c r="F8898" t="s">
        <v>0</v>
      </c>
      <c r="G8898" t="str">
        <f>"2018-10-15 15:52:29"</f>
        <v>2018-10-15 15:52:29</v>
      </c>
    </row>
    <row r="8899" spans="1:7" x14ac:dyDescent="0.2">
      <c r="A8899" t="s">
        <v>9494</v>
      </c>
      <c r="B8899" t="str">
        <f>"13408289044"</f>
        <v>13408289044</v>
      </c>
      <c r="C8899" t="str">
        <f>"511304199904051155"</f>
        <v>511304199904051155</v>
      </c>
      <c r="D8899" t="s">
        <v>1</v>
      </c>
      <c r="E8899" t="s">
        <v>1</v>
      </c>
      <c r="F8899" t="s">
        <v>0</v>
      </c>
      <c r="G8899" t="str">
        <f>"2018-10-15 15:47:51"</f>
        <v>2018-10-15 15:47:51</v>
      </c>
    </row>
    <row r="8900" spans="1:7" x14ac:dyDescent="0.2">
      <c r="A8900" t="s">
        <v>9516</v>
      </c>
      <c r="B8900" t="str">
        <f>"13410062615"</f>
        <v>13410062615</v>
      </c>
      <c r="C8900" t="str">
        <f>"441523199302127011"</f>
        <v>441523199302127011</v>
      </c>
      <c r="D8900" t="s">
        <v>1</v>
      </c>
      <c r="E8900" t="s">
        <v>1</v>
      </c>
      <c r="F8900" t="s">
        <v>0</v>
      </c>
      <c r="G8900" t="str">
        <f>"2018-10-15 15:46:09"</f>
        <v>2018-10-15 15:46:09</v>
      </c>
    </row>
    <row r="8901" spans="1:7" x14ac:dyDescent="0.2">
      <c r="A8901" t="s">
        <v>1</v>
      </c>
      <c r="B8901" t="str">
        <f>"15160003034"</f>
        <v>15160003034</v>
      </c>
      <c r="C8901" t="s">
        <v>1</v>
      </c>
      <c r="D8901" t="s">
        <v>1</v>
      </c>
      <c r="E8901" t="s">
        <v>1</v>
      </c>
      <c r="F8901" t="s">
        <v>0</v>
      </c>
      <c r="G8901" t="str">
        <f>"2018-10-15 15:44:52"</f>
        <v>2018-10-15 15:44:52</v>
      </c>
    </row>
    <row r="8902" spans="1:7" x14ac:dyDescent="0.2">
      <c r="A8902" t="s">
        <v>301</v>
      </c>
      <c r="B8902" t="str">
        <f>"15235158420"</f>
        <v>15235158420</v>
      </c>
      <c r="C8902" t="str">
        <f>"140522198911105317"</f>
        <v>140522198911105317</v>
      </c>
      <c r="D8902" t="s">
        <v>1</v>
      </c>
      <c r="E8902" t="s">
        <v>1</v>
      </c>
      <c r="F8902" t="s">
        <v>0</v>
      </c>
      <c r="G8902" t="str">
        <f>"2018-10-15 16:11:59"</f>
        <v>2018-10-15 16:11:59</v>
      </c>
    </row>
    <row r="8903" spans="1:7" x14ac:dyDescent="0.2">
      <c r="A8903" t="s">
        <v>9517</v>
      </c>
      <c r="B8903" t="str">
        <f>"18650266109"</f>
        <v>18650266109</v>
      </c>
      <c r="C8903" t="str">
        <f>"350301198307010019"</f>
        <v>350301198307010019</v>
      </c>
      <c r="D8903" t="s">
        <v>1</v>
      </c>
      <c r="E8903" t="s">
        <v>1</v>
      </c>
      <c r="F8903" t="s">
        <v>0</v>
      </c>
      <c r="G8903" t="str">
        <f>"2018-10-15 15:45:27"</f>
        <v>2018-10-15 15:45:27</v>
      </c>
    </row>
    <row r="8904" spans="1:7" x14ac:dyDescent="0.2">
      <c r="A8904" t="s">
        <v>9518</v>
      </c>
      <c r="B8904" t="str">
        <f>"15841800755"</f>
        <v>15841800755</v>
      </c>
      <c r="C8904" t="str">
        <f>"210902197608042026"</f>
        <v>210902197608042026</v>
      </c>
      <c r="D8904" t="s">
        <v>1</v>
      </c>
      <c r="E8904" t="s">
        <v>1</v>
      </c>
      <c r="F8904" t="s">
        <v>0</v>
      </c>
      <c r="G8904" t="str">
        <f>"2018-10-15 15:45:14"</f>
        <v>2018-10-15 15:45:14</v>
      </c>
    </row>
    <row r="8905" spans="1:7" x14ac:dyDescent="0.2">
      <c r="A8905" t="s">
        <v>9519</v>
      </c>
      <c r="B8905" t="str">
        <f>"18288429536"</f>
        <v>18288429536</v>
      </c>
      <c r="C8905" t="str">
        <f>"530325198910050693"</f>
        <v>530325198910050693</v>
      </c>
      <c r="D8905" t="s">
        <v>9520</v>
      </c>
      <c r="E8905" t="s">
        <v>9521</v>
      </c>
      <c r="F8905" t="s">
        <v>0</v>
      </c>
      <c r="G8905" t="str">
        <f>"2018-10-15 16:26:06"</f>
        <v>2018-10-15 16:26:06</v>
      </c>
    </row>
    <row r="8906" spans="1:7" x14ac:dyDescent="0.2">
      <c r="A8906" t="s">
        <v>1</v>
      </c>
      <c r="B8906" t="str">
        <f>"18925118814"</f>
        <v>18925118814</v>
      </c>
      <c r="C8906" t="s">
        <v>1</v>
      </c>
      <c r="D8906" t="s">
        <v>1</v>
      </c>
      <c r="E8906" t="s">
        <v>1</v>
      </c>
      <c r="F8906" t="s">
        <v>0</v>
      </c>
      <c r="G8906" t="str">
        <f>"2018-10-15 15:42:44"</f>
        <v>2018-10-15 15:42:44</v>
      </c>
    </row>
    <row r="8907" spans="1:7" x14ac:dyDescent="0.2">
      <c r="A8907" t="s">
        <v>1695</v>
      </c>
      <c r="B8907" t="str">
        <f>"15961551824"</f>
        <v>15961551824</v>
      </c>
      <c r="C8907" t="str">
        <f>"510182198607154863"</f>
        <v>510182198607154863</v>
      </c>
      <c r="D8907" t="s">
        <v>1</v>
      </c>
      <c r="E8907" t="s">
        <v>1</v>
      </c>
      <c r="F8907" t="s">
        <v>0</v>
      </c>
      <c r="G8907" t="str">
        <f>"2018-10-15 15:52:58"</f>
        <v>2018-10-15 15:52:58</v>
      </c>
    </row>
    <row r="8908" spans="1:7" x14ac:dyDescent="0.2">
      <c r="A8908" t="s">
        <v>128</v>
      </c>
      <c r="B8908" t="str">
        <f>"13505402395"</f>
        <v>13505402395</v>
      </c>
      <c r="C8908" t="str">
        <f>"370181198506210018"</f>
        <v>370181198506210018</v>
      </c>
      <c r="D8908" t="s">
        <v>1</v>
      </c>
      <c r="E8908" t="s">
        <v>1</v>
      </c>
      <c r="F8908" t="s">
        <v>0</v>
      </c>
      <c r="G8908" t="str">
        <f>"2018-10-15 15:44:18"</f>
        <v>2018-10-15 15:44:18</v>
      </c>
    </row>
    <row r="8909" spans="1:7" x14ac:dyDescent="0.2">
      <c r="A8909" t="s">
        <v>9522</v>
      </c>
      <c r="B8909" t="str">
        <f>"15774069371"</f>
        <v>15774069371</v>
      </c>
      <c r="C8909" t="str">
        <f>"430529198208272336"</f>
        <v>430529198208272336</v>
      </c>
      <c r="D8909" t="s">
        <v>1</v>
      </c>
      <c r="E8909" t="s">
        <v>1</v>
      </c>
      <c r="F8909" t="s">
        <v>0</v>
      </c>
      <c r="G8909" t="str">
        <f>"2018-10-15 16:07:57"</f>
        <v>2018-10-15 16:07:57</v>
      </c>
    </row>
    <row r="8910" spans="1:7" x14ac:dyDescent="0.2">
      <c r="A8910" t="s">
        <v>9523</v>
      </c>
      <c r="B8910" t="str">
        <f>"13573261809"</f>
        <v>13573261809</v>
      </c>
      <c r="C8910" t="str">
        <f>"370283197605203917"</f>
        <v>370283197605203917</v>
      </c>
      <c r="D8910" t="s">
        <v>9524</v>
      </c>
      <c r="E8910" t="s">
        <v>9525</v>
      </c>
      <c r="F8910" t="s">
        <v>0</v>
      </c>
      <c r="G8910" t="str">
        <f>"2018-10-15 15:42:57"</f>
        <v>2018-10-15 15:42:57</v>
      </c>
    </row>
    <row r="8911" spans="1:7" x14ac:dyDescent="0.2">
      <c r="A8911" t="s">
        <v>1</v>
      </c>
      <c r="B8911" t="str">
        <f>"15912875103"</f>
        <v>15912875103</v>
      </c>
      <c r="C8911" t="s">
        <v>1</v>
      </c>
      <c r="D8911" t="s">
        <v>1</v>
      </c>
      <c r="E8911" t="s">
        <v>1</v>
      </c>
      <c r="F8911" t="s">
        <v>0</v>
      </c>
      <c r="G8911" t="str">
        <f>"2018-10-15 15:41:23"</f>
        <v>2018-10-15 15:41:23</v>
      </c>
    </row>
    <row r="8912" spans="1:7" x14ac:dyDescent="0.2">
      <c r="A8912" t="s">
        <v>9526</v>
      </c>
      <c r="B8912" t="str">
        <f>"13680519120"</f>
        <v>13680519120</v>
      </c>
      <c r="C8912" t="str">
        <f>"440785199609091016"</f>
        <v>440785199609091016</v>
      </c>
      <c r="D8912" t="s">
        <v>1</v>
      </c>
      <c r="E8912" t="s">
        <v>1</v>
      </c>
      <c r="F8912" t="s">
        <v>0</v>
      </c>
      <c r="G8912" t="str">
        <f>"2018-10-16 04:48:25"</f>
        <v>2018-10-16 04:48:25</v>
      </c>
    </row>
    <row r="8913" spans="1:7" x14ac:dyDescent="0.2">
      <c r="A8913" t="s">
        <v>2552</v>
      </c>
      <c r="B8913" t="str">
        <f>"18339728483"</f>
        <v>18339728483</v>
      </c>
      <c r="C8913" t="str">
        <f>"410883199609036532"</f>
        <v>410883199609036532</v>
      </c>
      <c r="D8913" t="s">
        <v>1</v>
      </c>
      <c r="E8913" t="s">
        <v>1</v>
      </c>
      <c r="F8913" t="s">
        <v>0</v>
      </c>
      <c r="G8913" t="str">
        <f>"2018-10-15 15:41:52"</f>
        <v>2018-10-15 15:41:52</v>
      </c>
    </row>
    <row r="8914" spans="1:7" x14ac:dyDescent="0.2">
      <c r="A8914" t="s">
        <v>1</v>
      </c>
      <c r="B8914" t="str">
        <f>"18337377001"</f>
        <v>18337377001</v>
      </c>
      <c r="C8914" t="s">
        <v>1</v>
      </c>
      <c r="D8914" t="s">
        <v>1</v>
      </c>
      <c r="E8914" t="s">
        <v>1</v>
      </c>
      <c r="F8914" t="s">
        <v>0</v>
      </c>
      <c r="G8914" t="str">
        <f>"2018-10-15 15:42:13"</f>
        <v>2018-10-15 15:42:13</v>
      </c>
    </row>
    <row r="8915" spans="1:7" x14ac:dyDescent="0.2">
      <c r="A8915" t="s">
        <v>9527</v>
      </c>
      <c r="B8915" t="str">
        <f>"15916312325"</f>
        <v>15916312325</v>
      </c>
      <c r="C8915" t="str">
        <f>"430524199005145313"</f>
        <v>430524199005145313</v>
      </c>
      <c r="D8915" t="s">
        <v>1</v>
      </c>
      <c r="E8915" t="s">
        <v>1</v>
      </c>
      <c r="F8915" t="s">
        <v>0</v>
      </c>
      <c r="G8915" t="str">
        <f>"2018-10-15 15:42:30"</f>
        <v>2018-10-15 15:42:30</v>
      </c>
    </row>
    <row r="8916" spans="1:7" x14ac:dyDescent="0.2">
      <c r="A8916" t="s">
        <v>9528</v>
      </c>
      <c r="B8916" t="str">
        <f>"13432553183"</f>
        <v>13432553183</v>
      </c>
      <c r="C8916" t="str">
        <f>"441702199001030020"</f>
        <v>441702199001030020</v>
      </c>
      <c r="D8916" t="s">
        <v>9529</v>
      </c>
      <c r="E8916" t="s">
        <v>9530</v>
      </c>
      <c r="F8916" t="s">
        <v>0</v>
      </c>
      <c r="G8916" t="str">
        <f>"2018-10-15 15:40:04"</f>
        <v>2018-10-15 15:40:04</v>
      </c>
    </row>
    <row r="8917" spans="1:7" x14ac:dyDescent="0.2">
      <c r="A8917" t="s">
        <v>1</v>
      </c>
      <c r="B8917" t="str">
        <f>"17180246230"</f>
        <v>17180246230</v>
      </c>
      <c r="C8917" t="s">
        <v>1</v>
      </c>
      <c r="D8917" t="s">
        <v>1</v>
      </c>
      <c r="E8917" t="s">
        <v>1</v>
      </c>
      <c r="F8917" t="s">
        <v>0</v>
      </c>
      <c r="G8917" t="str">
        <f>"2018-10-15 15:39:58"</f>
        <v>2018-10-15 15:39:58</v>
      </c>
    </row>
    <row r="8918" spans="1:7" x14ac:dyDescent="0.2">
      <c r="A8918" t="s">
        <v>9531</v>
      </c>
      <c r="B8918" t="str">
        <f>"13409399119"</f>
        <v>13409399119</v>
      </c>
      <c r="C8918" t="str">
        <f>"411081197509021291"</f>
        <v>411081197509021291</v>
      </c>
      <c r="D8918" t="s">
        <v>9532</v>
      </c>
      <c r="E8918" t="s">
        <v>9533</v>
      </c>
      <c r="F8918" t="s">
        <v>0</v>
      </c>
      <c r="G8918" t="str">
        <f>"2018-10-15 15:39:54"</f>
        <v>2018-10-15 15:39:54</v>
      </c>
    </row>
    <row r="8919" spans="1:7" x14ac:dyDescent="0.2">
      <c r="A8919" t="s">
        <v>9534</v>
      </c>
      <c r="B8919" t="str">
        <f>"13892540317"</f>
        <v>13892540317</v>
      </c>
      <c r="C8919" t="str">
        <f>"610423198511070964"</f>
        <v>610423198511070964</v>
      </c>
      <c r="D8919" t="s">
        <v>1</v>
      </c>
      <c r="E8919" t="s">
        <v>1</v>
      </c>
      <c r="F8919" t="s">
        <v>0</v>
      </c>
      <c r="G8919" t="str">
        <f>"2018-10-15 15:41:54"</f>
        <v>2018-10-15 15:41:54</v>
      </c>
    </row>
    <row r="8920" spans="1:7" x14ac:dyDescent="0.2">
      <c r="A8920" t="s">
        <v>9535</v>
      </c>
      <c r="B8920" t="str">
        <f>"13112622072"</f>
        <v>13112622072</v>
      </c>
      <c r="C8920" t="str">
        <f>"441322199804013025"</f>
        <v>441322199804013025</v>
      </c>
      <c r="D8920" t="s">
        <v>1</v>
      </c>
      <c r="E8920" t="s">
        <v>1</v>
      </c>
      <c r="F8920" t="s">
        <v>0</v>
      </c>
      <c r="G8920" t="str">
        <f>"2018-10-15 15:44:30"</f>
        <v>2018-10-15 15:44:30</v>
      </c>
    </row>
    <row r="8921" spans="1:7" x14ac:dyDescent="0.2">
      <c r="A8921" t="s">
        <v>1</v>
      </c>
      <c r="B8921" t="str">
        <f>"17606188755"</f>
        <v>17606188755</v>
      </c>
      <c r="C8921" t="s">
        <v>1</v>
      </c>
      <c r="D8921" t="s">
        <v>1</v>
      </c>
      <c r="E8921" t="s">
        <v>1</v>
      </c>
      <c r="F8921" t="s">
        <v>0</v>
      </c>
      <c r="G8921" t="str">
        <f>"2018-10-15 15:38:22"</f>
        <v>2018-10-15 15:38:22</v>
      </c>
    </row>
    <row r="8922" spans="1:7" x14ac:dyDescent="0.2">
      <c r="A8922" t="s">
        <v>4340</v>
      </c>
      <c r="B8922" t="str">
        <f>"15234002141"</f>
        <v>15234002141</v>
      </c>
      <c r="C8922" t="str">
        <f>"140211199705243312"</f>
        <v>140211199705243312</v>
      </c>
      <c r="D8922" t="s">
        <v>1</v>
      </c>
      <c r="E8922" t="s">
        <v>1</v>
      </c>
      <c r="F8922" t="s">
        <v>0</v>
      </c>
      <c r="G8922" t="str">
        <f>"2018-10-15 15:38:14"</f>
        <v>2018-10-15 15:38:14</v>
      </c>
    </row>
    <row r="8923" spans="1:7" x14ac:dyDescent="0.2">
      <c r="A8923" t="s">
        <v>9536</v>
      </c>
      <c r="B8923" t="str">
        <f>"13333910600"</f>
        <v>13333910600</v>
      </c>
      <c r="C8923" t="str">
        <f>"410804198610230121"</f>
        <v>410804198610230121</v>
      </c>
      <c r="D8923" t="s">
        <v>1</v>
      </c>
      <c r="E8923" t="s">
        <v>1</v>
      </c>
      <c r="F8923" t="s">
        <v>0</v>
      </c>
      <c r="G8923" t="str">
        <f>"2018-10-15 15:51:02"</f>
        <v>2018-10-15 15:51:02</v>
      </c>
    </row>
    <row r="8924" spans="1:7" x14ac:dyDescent="0.2">
      <c r="A8924" t="s">
        <v>9537</v>
      </c>
      <c r="B8924" t="str">
        <f>"15756387613"</f>
        <v>15756387613</v>
      </c>
      <c r="C8924" t="str">
        <f>"511002199102056414"</f>
        <v>511002199102056414</v>
      </c>
      <c r="D8924" t="s">
        <v>1</v>
      </c>
      <c r="E8924" t="s">
        <v>1</v>
      </c>
      <c r="F8924" t="s">
        <v>0</v>
      </c>
      <c r="G8924" t="str">
        <f>"2018-10-15 15:39:20"</f>
        <v>2018-10-15 15:39:20</v>
      </c>
    </row>
    <row r="8925" spans="1:7" x14ac:dyDescent="0.2">
      <c r="A8925" t="s">
        <v>9538</v>
      </c>
      <c r="B8925" t="str">
        <f>"18855857790"</f>
        <v>18855857790</v>
      </c>
      <c r="C8925" t="str">
        <f>"341221199007079296"</f>
        <v>341221199007079296</v>
      </c>
      <c r="D8925" t="s">
        <v>1</v>
      </c>
      <c r="E8925" t="s">
        <v>1</v>
      </c>
      <c r="F8925" t="s">
        <v>0</v>
      </c>
      <c r="G8925" t="str">
        <f>"2018-10-15 15:42:20"</f>
        <v>2018-10-15 15:42:20</v>
      </c>
    </row>
    <row r="8926" spans="1:7" x14ac:dyDescent="0.2">
      <c r="A8926" t="s">
        <v>9539</v>
      </c>
      <c r="B8926" t="str">
        <f>"13810209507"</f>
        <v>13810209507</v>
      </c>
      <c r="C8926" t="str">
        <f>"131182199010101093"</f>
        <v>131182199010101093</v>
      </c>
      <c r="D8926" t="s">
        <v>9540</v>
      </c>
      <c r="E8926" t="s">
        <v>9541</v>
      </c>
      <c r="F8926" t="s">
        <v>0</v>
      </c>
      <c r="G8926" t="str">
        <f>"2018-10-18 00:38:46"</f>
        <v>2018-10-18 00:38:46</v>
      </c>
    </row>
    <row r="8927" spans="1:7" x14ac:dyDescent="0.2">
      <c r="A8927" t="s">
        <v>137</v>
      </c>
      <c r="B8927" t="str">
        <f>"13209936292"</f>
        <v>13209936292</v>
      </c>
      <c r="C8927" t="str">
        <f>"412724199111192518"</f>
        <v>412724199111192518</v>
      </c>
      <c r="D8927" t="s">
        <v>1</v>
      </c>
      <c r="E8927" t="s">
        <v>1</v>
      </c>
      <c r="F8927" t="s">
        <v>0</v>
      </c>
      <c r="G8927" t="str">
        <f>"2018-10-19 18:16:26"</f>
        <v>2018-10-19 18:16:26</v>
      </c>
    </row>
    <row r="8928" spans="1:7" x14ac:dyDescent="0.2">
      <c r="A8928" t="s">
        <v>9542</v>
      </c>
      <c r="B8928" t="str">
        <f>"15637366667"</f>
        <v>15637366667</v>
      </c>
      <c r="C8928" t="str">
        <f>"410703198501233516"</f>
        <v>410703198501233516</v>
      </c>
      <c r="D8928" t="s">
        <v>1</v>
      </c>
      <c r="E8928" t="s">
        <v>1</v>
      </c>
      <c r="F8928" t="s">
        <v>0</v>
      </c>
      <c r="G8928" t="str">
        <f>"2018-10-15 15:36:33"</f>
        <v>2018-10-15 15:36:33</v>
      </c>
    </row>
    <row r="8929" spans="1:7" x14ac:dyDescent="0.2">
      <c r="A8929" t="s">
        <v>9543</v>
      </c>
      <c r="B8929" t="str">
        <f>"18737458855"</f>
        <v>18737458855</v>
      </c>
      <c r="C8929" t="str">
        <f>"411081197112095655"</f>
        <v>411081197112095655</v>
      </c>
      <c r="D8929" t="s">
        <v>1</v>
      </c>
      <c r="E8929" t="s">
        <v>1</v>
      </c>
      <c r="F8929" t="s">
        <v>0</v>
      </c>
      <c r="G8929" t="str">
        <f>"2018-10-15 16:03:23"</f>
        <v>2018-10-15 16:03:23</v>
      </c>
    </row>
    <row r="8930" spans="1:7" x14ac:dyDescent="0.2">
      <c r="A8930" t="s">
        <v>9544</v>
      </c>
      <c r="B8930" t="str">
        <f>"18893163010"</f>
        <v>18893163010</v>
      </c>
      <c r="C8930" t="str">
        <f>"622727199704253214"</f>
        <v>622727199704253214</v>
      </c>
      <c r="D8930" t="s">
        <v>1</v>
      </c>
      <c r="E8930" t="s">
        <v>1</v>
      </c>
      <c r="F8930" t="s">
        <v>0</v>
      </c>
      <c r="G8930" t="str">
        <f>"2018-10-15 15:37:35"</f>
        <v>2018-10-15 15:37:35</v>
      </c>
    </row>
    <row r="8931" spans="1:7" x14ac:dyDescent="0.2">
      <c r="A8931" t="s">
        <v>9545</v>
      </c>
      <c r="B8931" t="str">
        <f>"18287378099"</f>
        <v>18287378099</v>
      </c>
      <c r="C8931" t="str">
        <f>"342122198204251515"</f>
        <v>342122198204251515</v>
      </c>
      <c r="D8931" t="s">
        <v>1</v>
      </c>
      <c r="E8931" t="s">
        <v>1</v>
      </c>
      <c r="F8931" t="s">
        <v>0</v>
      </c>
      <c r="G8931" t="str">
        <f>"2018-10-15 15:35:26"</f>
        <v>2018-10-15 15:35:26</v>
      </c>
    </row>
    <row r="8932" spans="1:7" x14ac:dyDescent="0.2">
      <c r="A8932" t="s">
        <v>9546</v>
      </c>
      <c r="B8932" t="str">
        <f>"18361969194"</f>
        <v>18361969194</v>
      </c>
      <c r="C8932" t="str">
        <f>"63212419950426121X"</f>
        <v>63212419950426121X</v>
      </c>
      <c r="D8932" t="s">
        <v>1</v>
      </c>
      <c r="E8932" t="s">
        <v>1</v>
      </c>
      <c r="F8932" t="s">
        <v>0</v>
      </c>
      <c r="G8932" t="str">
        <f>"2018-10-15 15:34:28"</f>
        <v>2018-10-15 15:34:28</v>
      </c>
    </row>
    <row r="8933" spans="1:7" x14ac:dyDescent="0.2">
      <c r="A8933" t="s">
        <v>9547</v>
      </c>
      <c r="B8933" t="str">
        <f>"13635136577"</f>
        <v>13635136577</v>
      </c>
      <c r="C8933" t="str">
        <f>"450331198408031814"</f>
        <v>450331198408031814</v>
      </c>
      <c r="D8933" t="s">
        <v>9548</v>
      </c>
      <c r="E8933" t="s">
        <v>9549</v>
      </c>
      <c r="F8933" t="s">
        <v>0</v>
      </c>
      <c r="G8933" t="str">
        <f>"2018-10-15 15:35:28"</f>
        <v>2018-10-15 15:35:28</v>
      </c>
    </row>
    <row r="8934" spans="1:7" x14ac:dyDescent="0.2">
      <c r="A8934" t="s">
        <v>159</v>
      </c>
      <c r="B8934" t="str">
        <f>"18387186361"</f>
        <v>18387186361</v>
      </c>
      <c r="C8934" t="str">
        <f>"532930199208050626"</f>
        <v>532930199208050626</v>
      </c>
      <c r="D8934" t="s">
        <v>1</v>
      </c>
      <c r="E8934" t="s">
        <v>1</v>
      </c>
      <c r="F8934" t="s">
        <v>0</v>
      </c>
      <c r="G8934" t="str">
        <f>"2018-10-15 15:40:01"</f>
        <v>2018-10-15 15:40:01</v>
      </c>
    </row>
    <row r="8935" spans="1:7" x14ac:dyDescent="0.2">
      <c r="A8935" t="s">
        <v>9550</v>
      </c>
      <c r="B8935" t="str">
        <f>"15005087232"</f>
        <v>15005087232</v>
      </c>
      <c r="C8935" t="str">
        <f>"35052519930608053X"</f>
        <v>35052519930608053X</v>
      </c>
      <c r="D8935" t="s">
        <v>1</v>
      </c>
      <c r="E8935" t="s">
        <v>1</v>
      </c>
      <c r="F8935" t="s">
        <v>0</v>
      </c>
      <c r="G8935" t="str">
        <f>"2018-10-19 19:15:00"</f>
        <v>2018-10-19 19:15:00</v>
      </c>
    </row>
    <row r="8936" spans="1:7" x14ac:dyDescent="0.2">
      <c r="A8936" t="s">
        <v>581</v>
      </c>
      <c r="B8936" t="str">
        <f>"13799005323"</f>
        <v>13799005323</v>
      </c>
      <c r="C8936" t="str">
        <f>"350322198506173824"</f>
        <v>350322198506173824</v>
      </c>
      <c r="D8936" t="s">
        <v>1</v>
      </c>
      <c r="E8936" t="s">
        <v>1</v>
      </c>
      <c r="F8936" t="s">
        <v>0</v>
      </c>
      <c r="G8936" t="str">
        <f>"2018-10-15 15:33:42"</f>
        <v>2018-10-15 15:33:42</v>
      </c>
    </row>
    <row r="8937" spans="1:7" x14ac:dyDescent="0.2">
      <c r="A8937" t="s">
        <v>1</v>
      </c>
      <c r="B8937" t="str">
        <f>"15578914212"</f>
        <v>15578914212</v>
      </c>
      <c r="C8937" t="s">
        <v>1</v>
      </c>
      <c r="D8937" t="s">
        <v>1</v>
      </c>
      <c r="E8937" t="s">
        <v>1</v>
      </c>
      <c r="F8937" t="s">
        <v>0</v>
      </c>
      <c r="G8937" t="str">
        <f>"2018-10-15 15:31:06"</f>
        <v>2018-10-15 15:31:06</v>
      </c>
    </row>
    <row r="8938" spans="1:7" x14ac:dyDescent="0.2">
      <c r="A8938" t="s">
        <v>9551</v>
      </c>
      <c r="B8938" t="str">
        <f>"15996251729"</f>
        <v>15996251729</v>
      </c>
      <c r="C8938" t="str">
        <f>"320122199410082416"</f>
        <v>320122199410082416</v>
      </c>
      <c r="D8938" t="s">
        <v>1</v>
      </c>
      <c r="E8938" t="s">
        <v>1</v>
      </c>
      <c r="F8938" t="s">
        <v>0</v>
      </c>
      <c r="G8938" t="str">
        <f>"2018-10-15 18:04:15"</f>
        <v>2018-10-15 18:04:15</v>
      </c>
    </row>
    <row r="8939" spans="1:7" x14ac:dyDescent="0.2">
      <c r="A8939" t="s">
        <v>1</v>
      </c>
      <c r="B8939" t="str">
        <f>"18148372686"</f>
        <v>18148372686</v>
      </c>
      <c r="C8939" t="s">
        <v>1</v>
      </c>
      <c r="D8939" t="s">
        <v>1</v>
      </c>
      <c r="E8939" t="s">
        <v>1</v>
      </c>
      <c r="F8939" t="s">
        <v>0</v>
      </c>
      <c r="G8939" t="str">
        <f>"2018-10-15 15:29:41"</f>
        <v>2018-10-15 15:29:41</v>
      </c>
    </row>
    <row r="8940" spans="1:7" x14ac:dyDescent="0.2">
      <c r="A8940" t="s">
        <v>9552</v>
      </c>
      <c r="B8940" t="str">
        <f>"15819341167"</f>
        <v>15819341167</v>
      </c>
      <c r="C8940" t="str">
        <f>"445381198401197834"</f>
        <v>445381198401197834</v>
      </c>
      <c r="D8940" t="s">
        <v>1</v>
      </c>
      <c r="E8940" t="s">
        <v>1</v>
      </c>
      <c r="F8940" t="s">
        <v>0</v>
      </c>
      <c r="G8940" t="str">
        <f>"2018-10-15 15:29:12"</f>
        <v>2018-10-15 15:29:12</v>
      </c>
    </row>
    <row r="8941" spans="1:7" x14ac:dyDescent="0.2">
      <c r="A8941" t="s">
        <v>9553</v>
      </c>
      <c r="B8941" t="str">
        <f>"15920394631"</f>
        <v>15920394631</v>
      </c>
      <c r="C8941" t="str">
        <f>"360702198810121330"</f>
        <v>360702198810121330</v>
      </c>
      <c r="D8941" t="s">
        <v>1</v>
      </c>
      <c r="E8941" t="s">
        <v>1</v>
      </c>
      <c r="F8941" t="s">
        <v>0</v>
      </c>
      <c r="G8941" t="str">
        <f>"2018-10-15 15:45:51"</f>
        <v>2018-10-15 15:45:51</v>
      </c>
    </row>
    <row r="8942" spans="1:7" x14ac:dyDescent="0.2">
      <c r="A8942" t="s">
        <v>9554</v>
      </c>
      <c r="B8942" t="str">
        <f>"13688807870"</f>
        <v>13688807870</v>
      </c>
      <c r="C8942" t="str">
        <f>"510921199004082210"</f>
        <v>510921199004082210</v>
      </c>
      <c r="D8942" t="s">
        <v>9555</v>
      </c>
      <c r="E8942" t="s">
        <v>9556</v>
      </c>
      <c r="F8942" t="s">
        <v>0</v>
      </c>
      <c r="G8942" t="str">
        <f>"2018-10-15 15:28:27"</f>
        <v>2018-10-15 15:28:27</v>
      </c>
    </row>
    <row r="8943" spans="1:7" x14ac:dyDescent="0.2">
      <c r="A8943" t="s">
        <v>1</v>
      </c>
      <c r="B8943" t="str">
        <f>"18152223361"</f>
        <v>18152223361</v>
      </c>
      <c r="C8943" t="s">
        <v>1</v>
      </c>
      <c r="D8943" t="s">
        <v>1</v>
      </c>
      <c r="E8943" t="s">
        <v>1</v>
      </c>
      <c r="F8943" t="s">
        <v>0</v>
      </c>
      <c r="G8943" t="str">
        <f>"2018-10-15 15:27:07"</f>
        <v>2018-10-15 15:27:07</v>
      </c>
    </row>
    <row r="8944" spans="1:7" x14ac:dyDescent="0.2">
      <c r="A8944" t="s">
        <v>9557</v>
      </c>
      <c r="B8944" t="str">
        <f>"17614129236"</f>
        <v>17614129236</v>
      </c>
      <c r="C8944" t="str">
        <f>"210106199102010319"</f>
        <v>210106199102010319</v>
      </c>
      <c r="D8944" t="s">
        <v>1</v>
      </c>
      <c r="E8944" t="s">
        <v>1</v>
      </c>
      <c r="F8944" t="s">
        <v>0</v>
      </c>
      <c r="G8944" t="str">
        <f>"2018-10-15 15:27:57"</f>
        <v>2018-10-15 15:27:57</v>
      </c>
    </row>
    <row r="8945" spans="1:7" x14ac:dyDescent="0.2">
      <c r="A8945" t="s">
        <v>9558</v>
      </c>
      <c r="B8945" t="str">
        <f>"13732509011"</f>
        <v>13732509011</v>
      </c>
      <c r="C8945" t="str">
        <f>"330802199411123210"</f>
        <v>330802199411123210</v>
      </c>
      <c r="D8945" t="s">
        <v>9559</v>
      </c>
      <c r="E8945" t="s">
        <v>9560</v>
      </c>
      <c r="F8945" t="s">
        <v>0</v>
      </c>
      <c r="G8945" t="str">
        <f>"2018-10-15 15:41:26"</f>
        <v>2018-10-15 15:41:26</v>
      </c>
    </row>
    <row r="8946" spans="1:7" x14ac:dyDescent="0.2">
      <c r="A8946" t="s">
        <v>1849</v>
      </c>
      <c r="B8946" t="str">
        <f>"15666786556"</f>
        <v>15666786556</v>
      </c>
      <c r="C8946" t="str">
        <f>"371102198301035733"</f>
        <v>371102198301035733</v>
      </c>
      <c r="D8946" t="s">
        <v>1</v>
      </c>
      <c r="E8946" t="s">
        <v>1</v>
      </c>
      <c r="F8946" t="s">
        <v>0</v>
      </c>
      <c r="G8946" t="str">
        <f>"2018-10-15 15:27:05"</f>
        <v>2018-10-15 15:27:05</v>
      </c>
    </row>
    <row r="8947" spans="1:7" x14ac:dyDescent="0.2">
      <c r="A8947" t="s">
        <v>1</v>
      </c>
      <c r="B8947" t="str">
        <f>"18702691284"</f>
        <v>18702691284</v>
      </c>
      <c r="C8947" t="s">
        <v>1</v>
      </c>
      <c r="D8947" t="s">
        <v>1</v>
      </c>
      <c r="E8947" t="s">
        <v>1</v>
      </c>
      <c r="F8947" t="s">
        <v>0</v>
      </c>
      <c r="G8947" t="str">
        <f>"2018-10-15 15:24:54"</f>
        <v>2018-10-15 15:24:54</v>
      </c>
    </row>
    <row r="8948" spans="1:7" x14ac:dyDescent="0.2">
      <c r="A8948" t="s">
        <v>9561</v>
      </c>
      <c r="B8948" t="str">
        <f>"13968883342"</f>
        <v>13968883342</v>
      </c>
      <c r="C8948" t="str">
        <f>"340322199310012052"</f>
        <v>340322199310012052</v>
      </c>
      <c r="D8948" t="s">
        <v>1</v>
      </c>
      <c r="E8948" t="s">
        <v>1</v>
      </c>
      <c r="F8948" t="s">
        <v>0</v>
      </c>
      <c r="G8948" t="str">
        <f>"2018-10-15 15:27:28"</f>
        <v>2018-10-15 15:27:28</v>
      </c>
    </row>
    <row r="8949" spans="1:7" x14ac:dyDescent="0.2">
      <c r="A8949" t="s">
        <v>1</v>
      </c>
      <c r="B8949" t="str">
        <f>"17712417473"</f>
        <v>17712417473</v>
      </c>
      <c r="C8949" t="s">
        <v>1</v>
      </c>
      <c r="D8949" t="s">
        <v>1</v>
      </c>
      <c r="E8949" t="s">
        <v>1</v>
      </c>
      <c r="F8949" t="s">
        <v>0</v>
      </c>
      <c r="G8949" t="str">
        <f>"2018-10-15 15:23:34"</f>
        <v>2018-10-15 15:23:34</v>
      </c>
    </row>
    <row r="8950" spans="1:7" x14ac:dyDescent="0.2">
      <c r="A8950" t="s">
        <v>1</v>
      </c>
      <c r="B8950" t="str">
        <f>"13123402146"</f>
        <v>13123402146</v>
      </c>
      <c r="C8950" t="s">
        <v>1</v>
      </c>
      <c r="D8950" t="s">
        <v>1</v>
      </c>
      <c r="E8950" t="s">
        <v>1</v>
      </c>
      <c r="F8950" t="s">
        <v>0</v>
      </c>
      <c r="G8950" t="str">
        <f>"2018-10-15 15:22:16"</f>
        <v>2018-10-15 15:22:16</v>
      </c>
    </row>
    <row r="8951" spans="1:7" x14ac:dyDescent="0.2">
      <c r="A8951" t="s">
        <v>2323</v>
      </c>
      <c r="B8951" t="str">
        <f>"18614066678"</f>
        <v>18614066678</v>
      </c>
      <c r="C8951" t="str">
        <f>"21142119830406141X"</f>
        <v>21142119830406141X</v>
      </c>
      <c r="D8951" t="s">
        <v>1</v>
      </c>
      <c r="E8951" t="s">
        <v>1</v>
      </c>
      <c r="F8951" t="s">
        <v>0</v>
      </c>
      <c r="G8951" t="str">
        <f>"2018-10-15 16:43:44"</f>
        <v>2018-10-15 16:43:44</v>
      </c>
    </row>
    <row r="8952" spans="1:7" x14ac:dyDescent="0.2">
      <c r="A8952" t="s">
        <v>9562</v>
      </c>
      <c r="B8952" t="str">
        <f>"18761796596"</f>
        <v>18761796596</v>
      </c>
      <c r="C8952" t="str">
        <f>"320922199210215011"</f>
        <v>320922199210215011</v>
      </c>
      <c r="D8952" t="s">
        <v>1</v>
      </c>
      <c r="E8952" t="s">
        <v>1</v>
      </c>
      <c r="F8952" t="s">
        <v>0</v>
      </c>
      <c r="G8952" t="str">
        <f>"2018-10-15 15:22:11"</f>
        <v>2018-10-15 15:22:11</v>
      </c>
    </row>
    <row r="8953" spans="1:7" x14ac:dyDescent="0.2">
      <c r="A8953" t="s">
        <v>944</v>
      </c>
      <c r="B8953" t="str">
        <f>"13175962271"</f>
        <v>13175962271</v>
      </c>
      <c r="C8953" t="str">
        <f>"53032419901101171X"</f>
        <v>53032419901101171X</v>
      </c>
      <c r="D8953" t="s">
        <v>1</v>
      </c>
      <c r="E8953" t="s">
        <v>1</v>
      </c>
      <c r="F8953" t="s">
        <v>0</v>
      </c>
      <c r="G8953" t="str">
        <f>"2018-10-15 15:52:36"</f>
        <v>2018-10-15 15:52:36</v>
      </c>
    </row>
    <row r="8954" spans="1:7" x14ac:dyDescent="0.2">
      <c r="A8954" t="s">
        <v>9563</v>
      </c>
      <c r="B8954" t="str">
        <f>"15057069939"</f>
        <v>15057069939</v>
      </c>
      <c r="C8954" t="str">
        <f>"330825199611026516"</f>
        <v>330825199611026516</v>
      </c>
      <c r="D8954" t="s">
        <v>1</v>
      </c>
      <c r="E8954" t="s">
        <v>1</v>
      </c>
      <c r="F8954" t="s">
        <v>0</v>
      </c>
      <c r="G8954" t="str">
        <f>"2018-10-15 15:48:55"</f>
        <v>2018-10-15 15:48:55</v>
      </c>
    </row>
    <row r="8955" spans="1:7" x14ac:dyDescent="0.2">
      <c r="A8955" t="s">
        <v>9564</v>
      </c>
      <c r="B8955" t="str">
        <f>"15985220036"</f>
        <v>15985220036</v>
      </c>
      <c r="C8955" t="str">
        <f>"522123199710283039"</f>
        <v>522123199710283039</v>
      </c>
      <c r="D8955" t="s">
        <v>9565</v>
      </c>
      <c r="E8955" t="s">
        <v>9566</v>
      </c>
      <c r="F8955" t="s">
        <v>0</v>
      </c>
      <c r="G8955" t="str">
        <f>"2018-10-15 17:45:59"</f>
        <v>2018-10-15 17:45:59</v>
      </c>
    </row>
    <row r="8956" spans="1:7" x14ac:dyDescent="0.2">
      <c r="A8956" t="s">
        <v>1</v>
      </c>
      <c r="B8956" t="str">
        <f>"13961300010"</f>
        <v>13961300010</v>
      </c>
      <c r="C8956" t="s">
        <v>1</v>
      </c>
      <c r="D8956" t="s">
        <v>1</v>
      </c>
      <c r="E8956" t="s">
        <v>1</v>
      </c>
      <c r="F8956" t="s">
        <v>0</v>
      </c>
      <c r="G8956" t="str">
        <f>"2018-10-15 15:21:17"</f>
        <v>2018-10-15 15:21:17</v>
      </c>
    </row>
    <row r="8957" spans="1:7" x14ac:dyDescent="0.2">
      <c r="A8957" t="s">
        <v>9567</v>
      </c>
      <c r="B8957" t="str">
        <f>"18803561615"</f>
        <v>18803561615</v>
      </c>
      <c r="C8957" t="str">
        <f>"140522198010031517"</f>
        <v>140522198010031517</v>
      </c>
      <c r="D8957" t="s">
        <v>9568</v>
      </c>
      <c r="E8957" t="s">
        <v>9569</v>
      </c>
      <c r="F8957" t="s">
        <v>0</v>
      </c>
      <c r="G8957" t="str">
        <f>"2018-10-15 15:27:13"</f>
        <v>2018-10-15 15:27:13</v>
      </c>
    </row>
    <row r="8958" spans="1:7" x14ac:dyDescent="0.2">
      <c r="A8958" t="s">
        <v>9570</v>
      </c>
      <c r="B8958" t="str">
        <f>"15096723752"</f>
        <v>15096723752</v>
      </c>
      <c r="C8958" t="str">
        <f>"530427198506280735"</f>
        <v>530427198506280735</v>
      </c>
      <c r="D8958" t="s">
        <v>1</v>
      </c>
      <c r="E8958" t="s">
        <v>1</v>
      </c>
      <c r="F8958" t="s">
        <v>0</v>
      </c>
      <c r="G8958" t="str">
        <f>"2018-10-15 15:22:21"</f>
        <v>2018-10-15 15:22:21</v>
      </c>
    </row>
    <row r="8959" spans="1:7" x14ac:dyDescent="0.2">
      <c r="A8959" t="s">
        <v>9571</v>
      </c>
      <c r="B8959" t="str">
        <f>"13969957633"</f>
        <v>13969957633</v>
      </c>
      <c r="C8959" t="str">
        <f>"371326199005221634"</f>
        <v>371326199005221634</v>
      </c>
      <c r="D8959" t="s">
        <v>1</v>
      </c>
      <c r="E8959" t="s">
        <v>1</v>
      </c>
      <c r="F8959" t="s">
        <v>0</v>
      </c>
      <c r="G8959" t="str">
        <f>"2018-10-15 15:29:37"</f>
        <v>2018-10-15 15:29:37</v>
      </c>
    </row>
    <row r="8960" spans="1:7" x14ac:dyDescent="0.2">
      <c r="A8960" t="s">
        <v>297</v>
      </c>
      <c r="B8960" t="str">
        <f>"13888110419"</f>
        <v>13888110419</v>
      </c>
      <c r="C8960" t="str">
        <f>"530129199712162319"</f>
        <v>530129199712162319</v>
      </c>
      <c r="D8960" t="s">
        <v>9572</v>
      </c>
      <c r="E8960" t="s">
        <v>9573</v>
      </c>
      <c r="F8960" t="s">
        <v>0</v>
      </c>
      <c r="G8960" t="str">
        <f>"2018-11-01 20:40:30"</f>
        <v>2018-11-01 20:40:30</v>
      </c>
    </row>
    <row r="8961" spans="1:7" x14ac:dyDescent="0.2">
      <c r="A8961" t="s">
        <v>1</v>
      </c>
      <c r="B8961" t="str">
        <f>"15569356779"</f>
        <v>15569356779</v>
      </c>
      <c r="C8961" t="s">
        <v>1</v>
      </c>
      <c r="D8961" t="s">
        <v>1</v>
      </c>
      <c r="E8961" t="s">
        <v>1</v>
      </c>
      <c r="F8961" t="s">
        <v>0</v>
      </c>
      <c r="G8961" t="str">
        <f>"2018-10-15 15:18:24"</f>
        <v>2018-10-15 15:18:24</v>
      </c>
    </row>
    <row r="8962" spans="1:7" x14ac:dyDescent="0.2">
      <c r="A8962" t="s">
        <v>9574</v>
      </c>
      <c r="B8962" t="str">
        <f>"15975003884"</f>
        <v>15975003884</v>
      </c>
      <c r="C8962" t="str">
        <f>"450803200003256662"</f>
        <v>450803200003256662</v>
      </c>
      <c r="D8962" t="s">
        <v>1</v>
      </c>
      <c r="E8962" t="s">
        <v>1</v>
      </c>
      <c r="F8962" t="s">
        <v>0</v>
      </c>
      <c r="G8962" t="str">
        <f>"2018-10-15 15:20:11"</f>
        <v>2018-10-15 15:20:11</v>
      </c>
    </row>
    <row r="8963" spans="1:7" x14ac:dyDescent="0.2">
      <c r="A8963" t="s">
        <v>9575</v>
      </c>
      <c r="B8963" t="str">
        <f>"17683982991"</f>
        <v>17683982991</v>
      </c>
      <c r="C8963" t="str">
        <f>"421202199208030510"</f>
        <v>421202199208030510</v>
      </c>
      <c r="D8963" t="s">
        <v>1</v>
      </c>
      <c r="E8963" t="s">
        <v>1</v>
      </c>
      <c r="F8963" t="s">
        <v>0</v>
      </c>
      <c r="G8963" t="str">
        <f>"2018-10-15 15:17:25"</f>
        <v>2018-10-15 15:17:25</v>
      </c>
    </row>
    <row r="8964" spans="1:7" x14ac:dyDescent="0.2">
      <c r="A8964" t="s">
        <v>9576</v>
      </c>
      <c r="B8964" t="str">
        <f>"13257387062"</f>
        <v>13257387062</v>
      </c>
      <c r="C8964" t="str">
        <f>"430626199704018020"</f>
        <v>430626199704018020</v>
      </c>
      <c r="D8964" t="s">
        <v>1</v>
      </c>
      <c r="E8964" t="s">
        <v>1</v>
      </c>
      <c r="F8964" t="s">
        <v>0</v>
      </c>
      <c r="G8964" t="str">
        <f>"2018-10-15 15:16:54"</f>
        <v>2018-10-15 15:16:54</v>
      </c>
    </row>
    <row r="8965" spans="1:7" x14ac:dyDescent="0.2">
      <c r="A8965" t="s">
        <v>1</v>
      </c>
      <c r="B8965" t="str">
        <f>"13217493996"</f>
        <v>13217493996</v>
      </c>
      <c r="C8965" t="s">
        <v>1</v>
      </c>
      <c r="D8965" t="s">
        <v>1</v>
      </c>
      <c r="E8965" t="s">
        <v>1</v>
      </c>
      <c r="F8965" t="s">
        <v>0</v>
      </c>
      <c r="G8965" t="str">
        <f>"2018-10-15 15:16:53"</f>
        <v>2018-10-15 15:16:53</v>
      </c>
    </row>
    <row r="8966" spans="1:7" x14ac:dyDescent="0.2">
      <c r="A8966" t="s">
        <v>9577</v>
      </c>
      <c r="B8966" t="str">
        <f>"15724265731"</f>
        <v>15724265731</v>
      </c>
      <c r="C8966" t="str">
        <f>"362331197805051312"</f>
        <v>362331197805051312</v>
      </c>
      <c r="D8966" t="s">
        <v>1</v>
      </c>
      <c r="E8966" t="s">
        <v>1</v>
      </c>
      <c r="F8966" t="s">
        <v>0</v>
      </c>
      <c r="G8966" t="str">
        <f>"2018-10-15 15:25:15"</f>
        <v>2018-10-15 15:25:15</v>
      </c>
    </row>
    <row r="8967" spans="1:7" x14ac:dyDescent="0.2">
      <c r="A8967" t="s">
        <v>1231</v>
      </c>
      <c r="B8967" t="str">
        <f>"18856497203"</f>
        <v>18856497203</v>
      </c>
      <c r="C8967" t="str">
        <f>"342401198806023856"</f>
        <v>342401198806023856</v>
      </c>
      <c r="D8967" t="s">
        <v>9578</v>
      </c>
      <c r="E8967" t="s">
        <v>9579</v>
      </c>
      <c r="F8967" t="s">
        <v>0</v>
      </c>
      <c r="G8967" t="str">
        <f>"2018-10-15 15:13:33"</f>
        <v>2018-10-15 15:13:33</v>
      </c>
    </row>
    <row r="8968" spans="1:7" x14ac:dyDescent="0.2">
      <c r="A8968" t="s">
        <v>9580</v>
      </c>
      <c r="B8968" t="str">
        <f>"18650558868"</f>
        <v>18650558868</v>
      </c>
      <c r="C8968" t="str">
        <f>"352229198109293516"</f>
        <v>352229198109293516</v>
      </c>
      <c r="D8968" t="s">
        <v>1</v>
      </c>
      <c r="E8968" t="s">
        <v>1</v>
      </c>
      <c r="F8968" t="s">
        <v>0</v>
      </c>
      <c r="G8968" t="str">
        <f>"2018-10-15 15:14:37"</f>
        <v>2018-10-15 15:14:37</v>
      </c>
    </row>
    <row r="8969" spans="1:7" x14ac:dyDescent="0.2">
      <c r="A8969" t="s">
        <v>9581</v>
      </c>
      <c r="B8969" t="str">
        <f>"15593554252"</f>
        <v>15593554252</v>
      </c>
      <c r="C8969" t="str">
        <f>"622624199111301642"</f>
        <v>622624199111301642</v>
      </c>
      <c r="D8969" t="s">
        <v>1</v>
      </c>
      <c r="E8969" t="s">
        <v>1</v>
      </c>
      <c r="F8969" t="s">
        <v>0</v>
      </c>
      <c r="G8969" t="str">
        <f>"2018-10-15 15:09:06"</f>
        <v>2018-10-15 15:09:06</v>
      </c>
    </row>
    <row r="8970" spans="1:7" x14ac:dyDescent="0.2">
      <c r="A8970" t="s">
        <v>1</v>
      </c>
      <c r="B8970" t="str">
        <f>"13751608127"</f>
        <v>13751608127</v>
      </c>
      <c r="C8970" t="s">
        <v>1</v>
      </c>
      <c r="D8970" t="s">
        <v>1</v>
      </c>
      <c r="E8970" t="s">
        <v>1</v>
      </c>
      <c r="F8970" t="s">
        <v>0</v>
      </c>
      <c r="G8970" t="str">
        <f>"2018-10-15 15:07:52"</f>
        <v>2018-10-15 15:07:52</v>
      </c>
    </row>
    <row r="8971" spans="1:7" x14ac:dyDescent="0.2">
      <c r="A8971" t="s">
        <v>9582</v>
      </c>
      <c r="B8971" t="str">
        <f>"15040808700"</f>
        <v>15040808700</v>
      </c>
      <c r="C8971" t="str">
        <f>"210404198111121247"</f>
        <v>210404198111121247</v>
      </c>
      <c r="D8971" t="s">
        <v>1</v>
      </c>
      <c r="E8971" t="s">
        <v>1</v>
      </c>
      <c r="F8971" t="s">
        <v>0</v>
      </c>
      <c r="G8971" t="str">
        <f>"2018-10-23 13:45:47"</f>
        <v>2018-10-23 13:45:47</v>
      </c>
    </row>
    <row r="8972" spans="1:7" x14ac:dyDescent="0.2">
      <c r="A8972" t="s">
        <v>1</v>
      </c>
      <c r="B8972" t="str">
        <f>"18678231539"</f>
        <v>18678231539</v>
      </c>
      <c r="C8972" t="s">
        <v>1</v>
      </c>
      <c r="D8972" t="s">
        <v>1</v>
      </c>
      <c r="E8972" t="s">
        <v>1</v>
      </c>
      <c r="F8972" t="s">
        <v>0</v>
      </c>
      <c r="G8972" t="str">
        <f>"2018-10-15 15:07:50"</f>
        <v>2018-10-15 15:07:50</v>
      </c>
    </row>
    <row r="8973" spans="1:7" x14ac:dyDescent="0.2">
      <c r="A8973" t="s">
        <v>9583</v>
      </c>
      <c r="B8973" t="str">
        <f>"15739557325"</f>
        <v>15739557325</v>
      </c>
      <c r="C8973" t="str">
        <f>"650103199505226416"</f>
        <v>650103199505226416</v>
      </c>
      <c r="D8973" t="s">
        <v>1</v>
      </c>
      <c r="E8973" t="s">
        <v>1</v>
      </c>
      <c r="F8973" t="s">
        <v>0</v>
      </c>
      <c r="G8973" t="str">
        <f>"2018-10-15 15:09:07"</f>
        <v>2018-10-15 15:09:07</v>
      </c>
    </row>
    <row r="8974" spans="1:7" x14ac:dyDescent="0.2">
      <c r="A8974" t="s">
        <v>1</v>
      </c>
      <c r="B8974" t="str">
        <f>"13123201235"</f>
        <v>13123201235</v>
      </c>
      <c r="C8974" t="s">
        <v>1</v>
      </c>
      <c r="D8974" t="s">
        <v>1</v>
      </c>
      <c r="E8974" t="s">
        <v>1</v>
      </c>
      <c r="F8974" t="s">
        <v>0</v>
      </c>
      <c r="G8974" t="str">
        <f>"2018-10-15 15:07:16"</f>
        <v>2018-10-15 15:07:16</v>
      </c>
    </row>
    <row r="8975" spans="1:7" x14ac:dyDescent="0.2">
      <c r="A8975" t="s">
        <v>9584</v>
      </c>
      <c r="B8975" t="str">
        <f>"15577286220"</f>
        <v>15577286220</v>
      </c>
      <c r="C8975" t="str">
        <f>"450221197906256028"</f>
        <v>450221197906256028</v>
      </c>
      <c r="D8975" t="s">
        <v>1</v>
      </c>
      <c r="E8975" t="s">
        <v>1</v>
      </c>
      <c r="F8975" t="s">
        <v>0</v>
      </c>
      <c r="G8975" t="str">
        <f>"2018-10-15 15:10:19"</f>
        <v>2018-10-15 15:10:19</v>
      </c>
    </row>
    <row r="8976" spans="1:7" x14ac:dyDescent="0.2">
      <c r="A8976" t="s">
        <v>1</v>
      </c>
      <c r="B8976" t="str">
        <f>"15577838014"</f>
        <v>15577838014</v>
      </c>
      <c r="C8976" t="s">
        <v>1</v>
      </c>
      <c r="D8976" t="s">
        <v>1</v>
      </c>
      <c r="E8976" t="s">
        <v>1</v>
      </c>
      <c r="F8976" t="s">
        <v>0</v>
      </c>
      <c r="G8976" t="str">
        <f>"2018-10-15 15:06:34"</f>
        <v>2018-10-15 15:06:34</v>
      </c>
    </row>
    <row r="8977" spans="1:7" x14ac:dyDescent="0.2">
      <c r="A8977" t="s">
        <v>9585</v>
      </c>
      <c r="B8977" t="str">
        <f>"13855871710"</f>
        <v>13855871710</v>
      </c>
      <c r="C8977" t="str">
        <f>"342128198012191982"</f>
        <v>342128198012191982</v>
      </c>
      <c r="D8977" t="s">
        <v>1</v>
      </c>
      <c r="E8977" t="s">
        <v>1</v>
      </c>
      <c r="F8977" t="s">
        <v>0</v>
      </c>
      <c r="G8977" t="str">
        <f>"2018-10-15 15:09:05"</f>
        <v>2018-10-15 15:09:05</v>
      </c>
    </row>
    <row r="8978" spans="1:7" x14ac:dyDescent="0.2">
      <c r="A8978" t="s">
        <v>9586</v>
      </c>
      <c r="B8978" t="str">
        <f>"15984327570"</f>
        <v>15984327570</v>
      </c>
      <c r="C8978" t="str">
        <f>"513821199612050017"</f>
        <v>513821199612050017</v>
      </c>
      <c r="D8978" t="s">
        <v>1</v>
      </c>
      <c r="E8978" t="s">
        <v>1</v>
      </c>
      <c r="F8978" t="s">
        <v>0</v>
      </c>
      <c r="G8978" t="str">
        <f>"2018-10-15 15:05:42"</f>
        <v>2018-10-15 15:05:42</v>
      </c>
    </row>
    <row r="8979" spans="1:7" x14ac:dyDescent="0.2">
      <c r="A8979" t="s">
        <v>9587</v>
      </c>
      <c r="B8979" t="str">
        <f>"13076746554"</f>
        <v>13076746554</v>
      </c>
      <c r="C8979" t="str">
        <f>"511321199807201170"</f>
        <v>511321199807201170</v>
      </c>
      <c r="D8979" t="s">
        <v>1</v>
      </c>
      <c r="E8979" t="s">
        <v>1</v>
      </c>
      <c r="F8979" t="s">
        <v>0</v>
      </c>
      <c r="G8979" t="str">
        <f>"2018-10-15 16:53:03"</f>
        <v>2018-10-15 16:53:03</v>
      </c>
    </row>
    <row r="8980" spans="1:7" x14ac:dyDescent="0.2">
      <c r="A8980" t="s">
        <v>1</v>
      </c>
      <c r="B8980" t="str">
        <f>"15541428881"</f>
        <v>15541428881</v>
      </c>
      <c r="C8980" t="s">
        <v>1</v>
      </c>
      <c r="D8980" t="s">
        <v>1</v>
      </c>
      <c r="E8980" t="s">
        <v>1</v>
      </c>
      <c r="F8980" t="s">
        <v>0</v>
      </c>
      <c r="G8980" t="str">
        <f>"2018-10-15 15:05:13"</f>
        <v>2018-10-15 15:05:13</v>
      </c>
    </row>
    <row r="8981" spans="1:7" x14ac:dyDescent="0.2">
      <c r="A8981" t="s">
        <v>9588</v>
      </c>
      <c r="B8981" t="str">
        <f>"17696210255"</f>
        <v>17696210255</v>
      </c>
      <c r="C8981" t="str">
        <f>"142327198806151752"</f>
        <v>142327198806151752</v>
      </c>
      <c r="D8981" t="s">
        <v>1</v>
      </c>
      <c r="E8981" t="s">
        <v>1</v>
      </c>
      <c r="F8981" t="s">
        <v>0</v>
      </c>
      <c r="G8981" t="str">
        <f>"2018-10-15 20:01:37"</f>
        <v>2018-10-15 20:01:37</v>
      </c>
    </row>
    <row r="8982" spans="1:7" x14ac:dyDescent="0.2">
      <c r="A8982" t="s">
        <v>9589</v>
      </c>
      <c r="B8982" t="str">
        <f>"15097979717"</f>
        <v>15097979717</v>
      </c>
      <c r="C8982" t="str">
        <f>"130532199402020046"</f>
        <v>130532199402020046</v>
      </c>
      <c r="D8982" t="s">
        <v>9590</v>
      </c>
      <c r="E8982" t="s">
        <v>9591</v>
      </c>
      <c r="F8982" t="s">
        <v>0</v>
      </c>
      <c r="G8982" t="str">
        <f>"2018-10-22 15:42:42"</f>
        <v>2018-10-22 15:42:42</v>
      </c>
    </row>
    <row r="8983" spans="1:7" x14ac:dyDescent="0.2">
      <c r="A8983" t="s">
        <v>9592</v>
      </c>
      <c r="B8983" t="str">
        <f>"17615139189"</f>
        <v>17615139189</v>
      </c>
      <c r="C8983" t="str">
        <f>"210224199211140428"</f>
        <v>210224199211140428</v>
      </c>
      <c r="D8983" t="s">
        <v>1</v>
      </c>
      <c r="E8983" t="s">
        <v>1</v>
      </c>
      <c r="F8983" t="s">
        <v>0</v>
      </c>
      <c r="G8983" t="str">
        <f>"2018-10-15 15:06:51"</f>
        <v>2018-10-15 15:06:51</v>
      </c>
    </row>
    <row r="8984" spans="1:7" x14ac:dyDescent="0.2">
      <c r="A8984" t="s">
        <v>9593</v>
      </c>
      <c r="B8984" t="str">
        <f>"13706768433"</f>
        <v>13706768433</v>
      </c>
      <c r="C8984" t="str">
        <f>"331082198203108889"</f>
        <v>331082198203108889</v>
      </c>
      <c r="D8984" t="s">
        <v>9594</v>
      </c>
      <c r="E8984" t="s">
        <v>9595</v>
      </c>
      <c r="F8984" t="s">
        <v>0</v>
      </c>
      <c r="G8984" t="str">
        <f>"2018-10-15 18:29:19"</f>
        <v>2018-10-15 18:29:19</v>
      </c>
    </row>
    <row r="8985" spans="1:7" x14ac:dyDescent="0.2">
      <c r="A8985" t="s">
        <v>1</v>
      </c>
      <c r="B8985" t="str">
        <f>"13465477036"</f>
        <v>13465477036</v>
      </c>
      <c r="C8985" t="s">
        <v>1</v>
      </c>
      <c r="D8985" t="s">
        <v>1</v>
      </c>
      <c r="E8985" t="s">
        <v>1</v>
      </c>
      <c r="F8985" t="s">
        <v>0</v>
      </c>
      <c r="G8985" t="str">
        <f>"2018-10-15 15:02:55"</f>
        <v>2018-10-15 15:02:55</v>
      </c>
    </row>
    <row r="8986" spans="1:7" x14ac:dyDescent="0.2">
      <c r="A8986" t="s">
        <v>1</v>
      </c>
      <c r="B8986" t="str">
        <f>"17046397493"</f>
        <v>17046397493</v>
      </c>
      <c r="C8986" t="s">
        <v>1</v>
      </c>
      <c r="D8986" t="s">
        <v>1</v>
      </c>
      <c r="E8986" t="s">
        <v>1</v>
      </c>
      <c r="F8986" t="s">
        <v>0</v>
      </c>
      <c r="G8986" t="str">
        <f>"2018-10-15 15:01:23"</f>
        <v>2018-10-15 15:01:23</v>
      </c>
    </row>
    <row r="8987" spans="1:7" x14ac:dyDescent="0.2">
      <c r="A8987" t="s">
        <v>9596</v>
      </c>
      <c r="B8987" t="str">
        <f>"13425103479"</f>
        <v>13425103479</v>
      </c>
      <c r="C8987" t="str">
        <f>"441422199501040929"</f>
        <v>441422199501040929</v>
      </c>
      <c r="D8987" t="s">
        <v>1</v>
      </c>
      <c r="E8987" t="s">
        <v>1</v>
      </c>
      <c r="F8987" t="s">
        <v>0</v>
      </c>
      <c r="G8987" t="str">
        <f>"2018-10-15 15:09:06"</f>
        <v>2018-10-15 15:09:06</v>
      </c>
    </row>
    <row r="8988" spans="1:7" x14ac:dyDescent="0.2">
      <c r="A8988" t="s">
        <v>9597</v>
      </c>
      <c r="B8988" t="str">
        <f>"15807975434"</f>
        <v>15807975434</v>
      </c>
      <c r="C8988" t="str">
        <f>"360734199907291315"</f>
        <v>360734199907291315</v>
      </c>
      <c r="D8988" t="s">
        <v>1</v>
      </c>
      <c r="E8988" t="s">
        <v>1</v>
      </c>
      <c r="F8988" t="s">
        <v>0</v>
      </c>
      <c r="G8988" t="str">
        <f>"2018-11-02 10:34:47"</f>
        <v>2018-11-02 10:34:47</v>
      </c>
    </row>
    <row r="8989" spans="1:7" x14ac:dyDescent="0.2">
      <c r="A8989" t="s">
        <v>9598</v>
      </c>
      <c r="B8989" t="str">
        <f>"13876260467"</f>
        <v>13876260467</v>
      </c>
      <c r="C8989" t="str">
        <f>"460004197910135231"</f>
        <v>460004197910135231</v>
      </c>
      <c r="D8989" t="s">
        <v>1</v>
      </c>
      <c r="E8989" t="s">
        <v>1</v>
      </c>
      <c r="F8989" t="s">
        <v>0</v>
      </c>
      <c r="G8989" t="str">
        <f>"2018-10-15 15:31:44"</f>
        <v>2018-10-15 15:31:44</v>
      </c>
    </row>
    <row r="8990" spans="1:7" x14ac:dyDescent="0.2">
      <c r="A8990" t="s">
        <v>9599</v>
      </c>
      <c r="B8990" t="str">
        <f>"15827806191"</f>
        <v>15827806191</v>
      </c>
      <c r="C8990" t="str">
        <f>"420704198710145799"</f>
        <v>420704198710145799</v>
      </c>
      <c r="D8990" t="s">
        <v>1</v>
      </c>
      <c r="E8990" t="s">
        <v>1</v>
      </c>
      <c r="F8990" t="s">
        <v>0</v>
      </c>
      <c r="G8990" t="str">
        <f>"2018-10-15 15:04:47"</f>
        <v>2018-10-15 15:04:47</v>
      </c>
    </row>
    <row r="8991" spans="1:7" x14ac:dyDescent="0.2">
      <c r="A8991" t="s">
        <v>1</v>
      </c>
      <c r="B8991" t="str">
        <f>"13579432460"</f>
        <v>13579432460</v>
      </c>
      <c r="C8991" t="s">
        <v>1</v>
      </c>
      <c r="D8991" t="s">
        <v>1</v>
      </c>
      <c r="E8991" t="s">
        <v>1</v>
      </c>
      <c r="F8991" t="s">
        <v>0</v>
      </c>
      <c r="G8991" t="str">
        <f>"2018-10-15 15:00:28"</f>
        <v>2018-10-15 15:00:28</v>
      </c>
    </row>
    <row r="8992" spans="1:7" x14ac:dyDescent="0.2">
      <c r="A8992" t="s">
        <v>9600</v>
      </c>
      <c r="B8992" t="str">
        <f>"18344327363"</f>
        <v>18344327363</v>
      </c>
      <c r="C8992" t="str">
        <f>"445122199511033017"</f>
        <v>445122199511033017</v>
      </c>
      <c r="D8992" t="s">
        <v>1</v>
      </c>
      <c r="E8992" t="s">
        <v>1</v>
      </c>
      <c r="F8992" t="s">
        <v>0</v>
      </c>
      <c r="G8992" t="str">
        <f>"2018-10-15 15:19:36"</f>
        <v>2018-10-15 15:19:36</v>
      </c>
    </row>
    <row r="8993" spans="1:7" x14ac:dyDescent="0.2">
      <c r="A8993" t="s">
        <v>9601</v>
      </c>
      <c r="B8993" t="str">
        <f>"13870704523"</f>
        <v>13870704523</v>
      </c>
      <c r="C8993" t="str">
        <f>"36078219930228173X"</f>
        <v>36078219930228173X</v>
      </c>
      <c r="D8993" t="s">
        <v>1</v>
      </c>
      <c r="E8993" t="s">
        <v>1</v>
      </c>
      <c r="F8993" t="s">
        <v>0</v>
      </c>
      <c r="G8993" t="str">
        <f>"2018-10-24 18:04:29"</f>
        <v>2018-10-24 18:04:29</v>
      </c>
    </row>
    <row r="8994" spans="1:7" x14ac:dyDescent="0.2">
      <c r="A8994" t="s">
        <v>1</v>
      </c>
      <c r="B8994" t="str">
        <f>"17577304630"</f>
        <v>17577304630</v>
      </c>
      <c r="C8994" t="s">
        <v>1</v>
      </c>
      <c r="D8994" t="s">
        <v>1</v>
      </c>
      <c r="E8994" t="s">
        <v>1</v>
      </c>
      <c r="F8994" t="s">
        <v>0</v>
      </c>
      <c r="G8994" t="str">
        <f>"2018-10-15 14:58:29"</f>
        <v>2018-10-15 14:58:29</v>
      </c>
    </row>
    <row r="8995" spans="1:7" x14ac:dyDescent="0.2">
      <c r="A8995" t="s">
        <v>9602</v>
      </c>
      <c r="B8995" t="str">
        <f>"13792620240"</f>
        <v>13792620240</v>
      </c>
      <c r="C8995" t="str">
        <f>"370727198009120673"</f>
        <v>370727198009120673</v>
      </c>
      <c r="D8995" t="s">
        <v>1</v>
      </c>
      <c r="E8995" t="s">
        <v>1</v>
      </c>
      <c r="F8995" t="s">
        <v>0</v>
      </c>
      <c r="G8995" t="str">
        <f>"2018-10-15 14:59:21"</f>
        <v>2018-10-15 14:59:21</v>
      </c>
    </row>
    <row r="8996" spans="1:7" x14ac:dyDescent="0.2">
      <c r="A8996" t="s">
        <v>9603</v>
      </c>
      <c r="B8996" t="str">
        <f>"15226932249"</f>
        <v>15226932249</v>
      </c>
      <c r="C8996" t="str">
        <f>"130427200003130044"</f>
        <v>130427200003130044</v>
      </c>
      <c r="D8996" t="s">
        <v>1</v>
      </c>
      <c r="E8996" t="s">
        <v>1</v>
      </c>
      <c r="F8996" t="s">
        <v>0</v>
      </c>
      <c r="G8996" t="str">
        <f>"2018-10-15 14:59:43"</f>
        <v>2018-10-15 14:59:43</v>
      </c>
    </row>
    <row r="8997" spans="1:7" x14ac:dyDescent="0.2">
      <c r="A8997" t="s">
        <v>9604</v>
      </c>
      <c r="B8997" t="str">
        <f>"15332617002"</f>
        <v>15332617002</v>
      </c>
      <c r="C8997" t="str">
        <f>"612732198808050010"</f>
        <v>612732198808050010</v>
      </c>
      <c r="D8997" t="s">
        <v>1</v>
      </c>
      <c r="E8997" t="s">
        <v>1</v>
      </c>
      <c r="F8997" t="s">
        <v>0</v>
      </c>
      <c r="G8997" t="str">
        <f>"2018-10-15 14:57:37"</f>
        <v>2018-10-15 14:57:37</v>
      </c>
    </row>
    <row r="8998" spans="1:7" x14ac:dyDescent="0.2">
      <c r="A8998" t="s">
        <v>9605</v>
      </c>
      <c r="B8998" t="str">
        <f>"13834310055"</f>
        <v>13834310055</v>
      </c>
      <c r="C8998" t="str">
        <f>"140522198510090046"</f>
        <v>140522198510090046</v>
      </c>
      <c r="D8998" t="s">
        <v>1</v>
      </c>
      <c r="E8998" t="s">
        <v>1</v>
      </c>
      <c r="F8998" t="s">
        <v>0</v>
      </c>
      <c r="G8998" t="str">
        <f>"2018-10-15 14:58:23"</f>
        <v>2018-10-15 14:58:23</v>
      </c>
    </row>
    <row r="8999" spans="1:7" x14ac:dyDescent="0.2">
      <c r="A8999" t="s">
        <v>9606</v>
      </c>
      <c r="B8999" t="str">
        <f>"13599560979"</f>
        <v>13599560979</v>
      </c>
      <c r="C8999" t="str">
        <f>"350600198006180030"</f>
        <v>350600198006180030</v>
      </c>
      <c r="D8999" t="s">
        <v>1</v>
      </c>
      <c r="E8999" t="s">
        <v>1</v>
      </c>
      <c r="F8999" t="s">
        <v>0</v>
      </c>
      <c r="G8999" t="str">
        <f>"2018-10-15 14:58:08"</f>
        <v>2018-10-15 14:58:08</v>
      </c>
    </row>
    <row r="9000" spans="1:7" x14ac:dyDescent="0.2">
      <c r="A9000" t="s">
        <v>9607</v>
      </c>
      <c r="B9000" t="str">
        <f>"15288399802"</f>
        <v>15288399802</v>
      </c>
      <c r="C9000" t="str">
        <f>"530112199111281614"</f>
        <v>530112199111281614</v>
      </c>
      <c r="D9000" t="s">
        <v>9608</v>
      </c>
      <c r="E9000" t="s">
        <v>9609</v>
      </c>
      <c r="F9000" t="s">
        <v>0</v>
      </c>
      <c r="G9000" t="str">
        <f>"2018-10-15 15:03:59"</f>
        <v>2018-10-15 15:03:59</v>
      </c>
    </row>
    <row r="9001" spans="1:7" x14ac:dyDescent="0.2">
      <c r="A9001" t="s">
        <v>9610</v>
      </c>
      <c r="B9001" t="str">
        <f>"15754942129"</f>
        <v>15754942129</v>
      </c>
      <c r="C9001" t="str">
        <f>"152523199304040325"</f>
        <v>152523199304040325</v>
      </c>
      <c r="D9001" t="s">
        <v>9611</v>
      </c>
      <c r="E9001" t="s">
        <v>9612</v>
      </c>
      <c r="F9001" t="s">
        <v>0</v>
      </c>
      <c r="G9001" t="str">
        <f>"2018-10-23 15:59:36"</f>
        <v>2018-10-23 15:59:36</v>
      </c>
    </row>
    <row r="9002" spans="1:7" x14ac:dyDescent="0.2">
      <c r="A9002" t="s">
        <v>1656</v>
      </c>
      <c r="B9002" t="str">
        <f>"15006300930"</f>
        <v>15006300930</v>
      </c>
      <c r="C9002" t="str">
        <f>"370322198705213116"</f>
        <v>370322198705213116</v>
      </c>
      <c r="D9002" t="s">
        <v>9613</v>
      </c>
      <c r="E9002" t="s">
        <v>9614</v>
      </c>
      <c r="F9002" t="s">
        <v>0</v>
      </c>
      <c r="G9002" t="str">
        <f>"2018-10-15 14:57:44"</f>
        <v>2018-10-15 14:57:44</v>
      </c>
    </row>
    <row r="9003" spans="1:7" x14ac:dyDescent="0.2">
      <c r="A9003" t="s">
        <v>1354</v>
      </c>
      <c r="B9003" t="str">
        <f>"15584841301"</f>
        <v>15584841301</v>
      </c>
      <c r="C9003" t="str">
        <f>"220581199208110776"</f>
        <v>220581199208110776</v>
      </c>
      <c r="D9003" t="s">
        <v>1</v>
      </c>
      <c r="E9003" t="s">
        <v>1</v>
      </c>
      <c r="F9003" t="s">
        <v>0</v>
      </c>
      <c r="G9003" t="str">
        <f>"2018-10-15 15:00:48"</f>
        <v>2018-10-15 15:00:48</v>
      </c>
    </row>
    <row r="9004" spans="1:7" x14ac:dyDescent="0.2">
      <c r="A9004" t="s">
        <v>9615</v>
      </c>
      <c r="B9004" t="str">
        <f>"15349682119"</f>
        <v>15349682119</v>
      </c>
      <c r="C9004" t="str">
        <f>"640221199208200611"</f>
        <v>640221199208200611</v>
      </c>
      <c r="D9004" t="s">
        <v>1</v>
      </c>
      <c r="E9004" t="s">
        <v>1</v>
      </c>
      <c r="F9004" t="s">
        <v>0</v>
      </c>
      <c r="G9004" t="str">
        <f>"2018-10-15 17:35:54"</f>
        <v>2018-10-15 17:35:54</v>
      </c>
    </row>
    <row r="9005" spans="1:7" x14ac:dyDescent="0.2">
      <c r="A9005" t="s">
        <v>1</v>
      </c>
      <c r="B9005" t="str">
        <f>"13408637651"</f>
        <v>13408637651</v>
      </c>
      <c r="C9005" t="s">
        <v>1</v>
      </c>
      <c r="D9005" t="s">
        <v>1</v>
      </c>
      <c r="E9005" t="s">
        <v>1</v>
      </c>
      <c r="F9005" t="s">
        <v>0</v>
      </c>
      <c r="G9005" t="str">
        <f>"2018-10-15 14:55:28"</f>
        <v>2018-10-15 14:55:28</v>
      </c>
    </row>
    <row r="9006" spans="1:7" x14ac:dyDescent="0.2">
      <c r="A9006" t="s">
        <v>405</v>
      </c>
      <c r="B9006" t="str">
        <f>"18679326301"</f>
        <v>18679326301</v>
      </c>
      <c r="C9006" t="str">
        <f>"362330198110115031"</f>
        <v>362330198110115031</v>
      </c>
      <c r="D9006" t="s">
        <v>9616</v>
      </c>
      <c r="E9006" t="s">
        <v>9617</v>
      </c>
      <c r="F9006" t="s">
        <v>0</v>
      </c>
      <c r="G9006" t="str">
        <f>"2018-10-15 14:55:24"</f>
        <v>2018-10-15 14:55:24</v>
      </c>
    </row>
    <row r="9007" spans="1:7" x14ac:dyDescent="0.2">
      <c r="A9007" t="s">
        <v>9618</v>
      </c>
      <c r="B9007" t="str">
        <f>"15838102900"</f>
        <v>15838102900</v>
      </c>
      <c r="C9007" t="str">
        <f>"411123196903059535"</f>
        <v>411123196903059535</v>
      </c>
      <c r="D9007" t="s">
        <v>9619</v>
      </c>
      <c r="E9007" t="s">
        <v>9620</v>
      </c>
      <c r="F9007" t="s">
        <v>0</v>
      </c>
      <c r="G9007" t="str">
        <f>"2018-10-15 14:55:48"</f>
        <v>2018-10-15 14:55:48</v>
      </c>
    </row>
    <row r="9008" spans="1:7" x14ac:dyDescent="0.2">
      <c r="A9008" t="s">
        <v>1</v>
      </c>
      <c r="B9008" t="str">
        <f>"13576656568"</f>
        <v>13576656568</v>
      </c>
      <c r="C9008" t="s">
        <v>1</v>
      </c>
      <c r="D9008" t="s">
        <v>1</v>
      </c>
      <c r="E9008" t="s">
        <v>1</v>
      </c>
      <c r="F9008" t="s">
        <v>0</v>
      </c>
      <c r="G9008" t="str">
        <f>"2018-10-15 14:54:00"</f>
        <v>2018-10-15 14:54:00</v>
      </c>
    </row>
    <row r="9009" spans="1:7" x14ac:dyDescent="0.2">
      <c r="A9009" t="s">
        <v>950</v>
      </c>
      <c r="B9009" t="str">
        <f>"15165336853"</f>
        <v>15165336853</v>
      </c>
      <c r="C9009" t="str">
        <f>"370322199401173113"</f>
        <v>370322199401173113</v>
      </c>
      <c r="D9009" t="s">
        <v>1</v>
      </c>
      <c r="E9009" t="s">
        <v>1</v>
      </c>
      <c r="F9009" t="s">
        <v>0</v>
      </c>
      <c r="G9009" t="str">
        <f>"2018-11-03 09:59:25"</f>
        <v>2018-11-03 09:59:25</v>
      </c>
    </row>
    <row r="9010" spans="1:7" x14ac:dyDescent="0.2">
      <c r="A9010" t="s">
        <v>9621</v>
      </c>
      <c r="B9010" t="str">
        <f>"14790051779"</f>
        <v>14790051779</v>
      </c>
      <c r="C9010" t="str">
        <f>"341181199107172819"</f>
        <v>341181199107172819</v>
      </c>
      <c r="D9010" t="s">
        <v>9622</v>
      </c>
      <c r="E9010" t="s">
        <v>9623</v>
      </c>
      <c r="F9010" t="s">
        <v>0</v>
      </c>
      <c r="G9010" t="str">
        <f>"2018-10-15 14:53:26"</f>
        <v>2018-10-15 14:53:26</v>
      </c>
    </row>
    <row r="9011" spans="1:7" x14ac:dyDescent="0.2">
      <c r="A9011" t="s">
        <v>9624</v>
      </c>
      <c r="B9011" t="str">
        <f>"13876072524"</f>
        <v>13876072524</v>
      </c>
      <c r="C9011" t="str">
        <f>"460002199805150313"</f>
        <v>460002199805150313</v>
      </c>
      <c r="D9011" t="s">
        <v>1</v>
      </c>
      <c r="E9011" t="s">
        <v>1</v>
      </c>
      <c r="F9011" t="s">
        <v>0</v>
      </c>
      <c r="G9011" t="str">
        <f>"2018-10-15 14:54:31"</f>
        <v>2018-10-15 14:54:31</v>
      </c>
    </row>
    <row r="9012" spans="1:7" x14ac:dyDescent="0.2">
      <c r="A9012" t="s">
        <v>9625</v>
      </c>
      <c r="B9012" t="str">
        <f>"18069852627"</f>
        <v>18069852627</v>
      </c>
      <c r="C9012" t="str">
        <f>"33252519880106731X"</f>
        <v>33252519880106731X</v>
      </c>
      <c r="D9012" t="s">
        <v>1</v>
      </c>
      <c r="E9012" t="s">
        <v>1</v>
      </c>
      <c r="F9012" t="s">
        <v>0</v>
      </c>
      <c r="G9012" t="str">
        <f>"2018-10-15 14:54:35"</f>
        <v>2018-10-15 14:54:35</v>
      </c>
    </row>
    <row r="9013" spans="1:7" x14ac:dyDescent="0.2">
      <c r="A9013" t="s">
        <v>283</v>
      </c>
      <c r="B9013" t="str">
        <f>"18679660017"</f>
        <v>18679660017</v>
      </c>
      <c r="C9013" t="str">
        <f>"430981199005013918"</f>
        <v>430981199005013918</v>
      </c>
      <c r="D9013" t="s">
        <v>9626</v>
      </c>
      <c r="E9013" t="s">
        <v>9627</v>
      </c>
      <c r="F9013" t="s">
        <v>0</v>
      </c>
      <c r="G9013" t="str">
        <f>"2018-10-15 14:56:30"</f>
        <v>2018-10-15 14:56:30</v>
      </c>
    </row>
    <row r="9014" spans="1:7" x14ac:dyDescent="0.2">
      <c r="A9014" t="s">
        <v>9628</v>
      </c>
      <c r="B9014" t="str">
        <f>"13960880922"</f>
        <v>13960880922</v>
      </c>
      <c r="C9014" t="str">
        <f>"350122199012103846"</f>
        <v>350122199012103846</v>
      </c>
      <c r="D9014" t="s">
        <v>1</v>
      </c>
      <c r="E9014" t="s">
        <v>1</v>
      </c>
      <c r="F9014" t="s">
        <v>0</v>
      </c>
      <c r="G9014" t="str">
        <f>"2018-10-15 14:53:31"</f>
        <v>2018-10-15 14:53:31</v>
      </c>
    </row>
    <row r="9015" spans="1:7" x14ac:dyDescent="0.2">
      <c r="A9015" t="s">
        <v>9629</v>
      </c>
      <c r="B9015" t="str">
        <f>"18586365644"</f>
        <v>18586365644</v>
      </c>
      <c r="C9015" t="str">
        <f>"522127199709255538"</f>
        <v>522127199709255538</v>
      </c>
      <c r="D9015" t="s">
        <v>1</v>
      </c>
      <c r="E9015" t="s">
        <v>1</v>
      </c>
      <c r="F9015" t="s">
        <v>0</v>
      </c>
      <c r="G9015" t="str">
        <f>"2018-10-15 14:55:08"</f>
        <v>2018-10-15 14:55:08</v>
      </c>
    </row>
    <row r="9016" spans="1:7" x14ac:dyDescent="0.2">
      <c r="A9016" t="s">
        <v>9630</v>
      </c>
      <c r="B9016" t="str">
        <f>"18287420369"</f>
        <v>18287420369</v>
      </c>
      <c r="C9016" t="str">
        <f>"530328199211180943"</f>
        <v>530328199211180943</v>
      </c>
      <c r="D9016" t="s">
        <v>1</v>
      </c>
      <c r="E9016" t="s">
        <v>1</v>
      </c>
      <c r="F9016" t="s">
        <v>0</v>
      </c>
      <c r="G9016" t="str">
        <f>"2018-10-15 14:51:50"</f>
        <v>2018-10-15 14:51:50</v>
      </c>
    </row>
    <row r="9017" spans="1:7" x14ac:dyDescent="0.2">
      <c r="A9017" t="s">
        <v>9631</v>
      </c>
      <c r="B9017" t="str">
        <f>"13705057846"</f>
        <v>13705057846</v>
      </c>
      <c r="C9017" t="str">
        <f>"350721199009200836"</f>
        <v>350721199009200836</v>
      </c>
      <c r="D9017" t="s">
        <v>9632</v>
      </c>
      <c r="E9017" t="s">
        <v>9633</v>
      </c>
      <c r="F9017" t="s">
        <v>0</v>
      </c>
      <c r="G9017" t="str">
        <f>"2018-10-23 16:55:12"</f>
        <v>2018-10-23 16:55:12</v>
      </c>
    </row>
    <row r="9018" spans="1:7" x14ac:dyDescent="0.2">
      <c r="A9018" t="s">
        <v>9634</v>
      </c>
      <c r="B9018" t="str">
        <f>"13736412283"</f>
        <v>13736412283</v>
      </c>
      <c r="C9018" t="str">
        <f>"330411198103140617"</f>
        <v>330411198103140617</v>
      </c>
      <c r="D9018" t="s">
        <v>1</v>
      </c>
      <c r="E9018" t="s">
        <v>1</v>
      </c>
      <c r="F9018" t="s">
        <v>0</v>
      </c>
      <c r="G9018" t="str">
        <f>"2018-10-15 14:52:35"</f>
        <v>2018-10-15 14:52:35</v>
      </c>
    </row>
    <row r="9019" spans="1:7" x14ac:dyDescent="0.2">
      <c r="A9019" t="s">
        <v>9062</v>
      </c>
      <c r="B9019" t="str">
        <f>"18203723478"</f>
        <v>18203723478</v>
      </c>
      <c r="C9019" t="str">
        <f>"410902199011260537"</f>
        <v>410902199011260537</v>
      </c>
      <c r="D9019" t="s">
        <v>1</v>
      </c>
      <c r="E9019" t="s">
        <v>1</v>
      </c>
      <c r="F9019" t="s">
        <v>0</v>
      </c>
      <c r="G9019" t="str">
        <f>"2018-10-15 14:54:33"</f>
        <v>2018-10-15 14:54:33</v>
      </c>
    </row>
    <row r="9020" spans="1:7" x14ac:dyDescent="0.2">
      <c r="A9020" t="s">
        <v>9635</v>
      </c>
      <c r="B9020" t="str">
        <f>"17873787351"</f>
        <v>17873787351</v>
      </c>
      <c r="C9020" t="str">
        <f>"433029196812253015"</f>
        <v>433029196812253015</v>
      </c>
      <c r="D9020" t="s">
        <v>1</v>
      </c>
      <c r="E9020" t="s">
        <v>1</v>
      </c>
      <c r="F9020" t="s">
        <v>0</v>
      </c>
      <c r="G9020" t="str">
        <f>"2018-10-17 16:31:32"</f>
        <v>2018-10-17 16:31:32</v>
      </c>
    </row>
    <row r="9021" spans="1:7" x14ac:dyDescent="0.2">
      <c r="A9021" t="s">
        <v>9636</v>
      </c>
      <c r="B9021" t="str">
        <f>"15134460877"</f>
        <v>15134460877</v>
      </c>
      <c r="C9021" t="str">
        <f>"220381198007286016"</f>
        <v>220381198007286016</v>
      </c>
      <c r="D9021" t="s">
        <v>1</v>
      </c>
      <c r="E9021" t="s">
        <v>1</v>
      </c>
      <c r="F9021" t="s">
        <v>0</v>
      </c>
      <c r="G9021" t="str">
        <f>"2018-10-15 14:51:02"</f>
        <v>2018-10-15 14:51:02</v>
      </c>
    </row>
    <row r="9022" spans="1:7" x14ac:dyDescent="0.2">
      <c r="A9022" t="s">
        <v>9637</v>
      </c>
      <c r="B9022" t="str">
        <f>"15199964213"</f>
        <v>15199964213</v>
      </c>
      <c r="C9022" t="str">
        <f>"622226199912142507"</f>
        <v>622226199912142507</v>
      </c>
      <c r="D9022" t="s">
        <v>1</v>
      </c>
      <c r="E9022" t="s">
        <v>1</v>
      </c>
      <c r="F9022" t="s">
        <v>0</v>
      </c>
      <c r="G9022" t="str">
        <f>"2018-10-15 15:11:02"</f>
        <v>2018-10-15 15:11:02</v>
      </c>
    </row>
    <row r="9023" spans="1:7" x14ac:dyDescent="0.2">
      <c r="A9023" t="s">
        <v>9638</v>
      </c>
      <c r="B9023" t="str">
        <f>"18842676156"</f>
        <v>18842676156</v>
      </c>
      <c r="C9023" t="str">
        <f>"142233199209238012"</f>
        <v>142233199209238012</v>
      </c>
      <c r="D9023" t="s">
        <v>1</v>
      </c>
      <c r="E9023" t="s">
        <v>1</v>
      </c>
      <c r="F9023" t="s">
        <v>0</v>
      </c>
      <c r="G9023" t="str">
        <f>"2018-10-15 14:52:08"</f>
        <v>2018-10-15 14:52:08</v>
      </c>
    </row>
    <row r="9024" spans="1:7" x14ac:dyDescent="0.2">
      <c r="A9024" t="s">
        <v>9639</v>
      </c>
      <c r="B9024" t="str">
        <f>"13892731766"</f>
        <v>13892731766</v>
      </c>
      <c r="C9024" t="str">
        <f>"610303197803291616"</f>
        <v>610303197803291616</v>
      </c>
      <c r="D9024" t="s">
        <v>9640</v>
      </c>
      <c r="E9024" t="s">
        <v>9641</v>
      </c>
      <c r="F9024" t="s">
        <v>0</v>
      </c>
      <c r="G9024" t="str">
        <f>"2018-10-15 14:59:33"</f>
        <v>2018-10-15 14:59:33</v>
      </c>
    </row>
    <row r="9025" spans="1:7" x14ac:dyDescent="0.2">
      <c r="A9025" t="s">
        <v>1</v>
      </c>
      <c r="B9025" t="str">
        <f>"13599327309"</f>
        <v>13599327309</v>
      </c>
      <c r="C9025" t="s">
        <v>1</v>
      </c>
      <c r="D9025" t="s">
        <v>1</v>
      </c>
      <c r="E9025" t="s">
        <v>1</v>
      </c>
      <c r="F9025" t="s">
        <v>0</v>
      </c>
      <c r="G9025" t="str">
        <f>"2018-10-15 14:49:22"</f>
        <v>2018-10-15 14:49:22</v>
      </c>
    </row>
    <row r="9026" spans="1:7" x14ac:dyDescent="0.2">
      <c r="A9026" t="s">
        <v>9642</v>
      </c>
      <c r="B9026" t="str">
        <f>"13805670371"</f>
        <v>13805670371</v>
      </c>
      <c r="C9026" t="str">
        <f>"341221198705104677"</f>
        <v>341221198705104677</v>
      </c>
      <c r="D9026" t="s">
        <v>1</v>
      </c>
      <c r="E9026" t="s">
        <v>1</v>
      </c>
      <c r="F9026" t="s">
        <v>0</v>
      </c>
      <c r="G9026" t="str">
        <f>"2018-10-15 14:49:02"</f>
        <v>2018-10-15 14:49:02</v>
      </c>
    </row>
    <row r="9027" spans="1:7" x14ac:dyDescent="0.2">
      <c r="A9027" t="s">
        <v>9643</v>
      </c>
      <c r="B9027" t="str">
        <f>"13067179973"</f>
        <v>13067179973</v>
      </c>
      <c r="C9027" t="str">
        <f>"350582200009285515"</f>
        <v>350582200009285515</v>
      </c>
      <c r="D9027" t="s">
        <v>1</v>
      </c>
      <c r="E9027" t="s">
        <v>1</v>
      </c>
      <c r="F9027" t="s">
        <v>0</v>
      </c>
      <c r="G9027" t="str">
        <f>"2018-10-15 14:51:02"</f>
        <v>2018-10-15 14:51:02</v>
      </c>
    </row>
    <row r="9028" spans="1:7" x14ac:dyDescent="0.2">
      <c r="A9028" t="s">
        <v>1093</v>
      </c>
      <c r="B9028" t="str">
        <f>"15884394282"</f>
        <v>15884394282</v>
      </c>
      <c r="C9028" t="str">
        <f>"51110219880108401X"</f>
        <v>51110219880108401X</v>
      </c>
      <c r="D9028" t="s">
        <v>1</v>
      </c>
      <c r="E9028" t="s">
        <v>1</v>
      </c>
      <c r="F9028" t="s">
        <v>0</v>
      </c>
      <c r="G9028" t="str">
        <f>"2018-10-15 14:50:09"</f>
        <v>2018-10-15 14:50:09</v>
      </c>
    </row>
    <row r="9029" spans="1:7" x14ac:dyDescent="0.2">
      <c r="A9029" t="s">
        <v>9644</v>
      </c>
      <c r="B9029" t="str">
        <f>"13715336267"</f>
        <v>13715336267</v>
      </c>
      <c r="C9029" t="str">
        <f>"441381198406030618"</f>
        <v>441381198406030618</v>
      </c>
      <c r="D9029" t="s">
        <v>1</v>
      </c>
      <c r="E9029" t="s">
        <v>1</v>
      </c>
      <c r="F9029" t="s">
        <v>0</v>
      </c>
      <c r="G9029" t="str">
        <f>"2018-10-15 14:49:35"</f>
        <v>2018-10-15 14:49:35</v>
      </c>
    </row>
    <row r="9030" spans="1:7" x14ac:dyDescent="0.2">
      <c r="A9030" t="s">
        <v>1</v>
      </c>
      <c r="B9030" t="str">
        <f>"15235000214"</f>
        <v>15235000214</v>
      </c>
      <c r="C9030" t="s">
        <v>1</v>
      </c>
      <c r="D9030" t="s">
        <v>1</v>
      </c>
      <c r="E9030" t="s">
        <v>1</v>
      </c>
      <c r="F9030" t="s">
        <v>0</v>
      </c>
      <c r="G9030" t="str">
        <f>"2018-10-15 14:50:58"</f>
        <v>2018-10-15 14:50:58</v>
      </c>
    </row>
    <row r="9031" spans="1:7" x14ac:dyDescent="0.2">
      <c r="A9031" t="s">
        <v>9645</v>
      </c>
      <c r="B9031" t="str">
        <f>"13165181937"</f>
        <v>13165181937</v>
      </c>
      <c r="C9031" t="str">
        <f>"370825197505131214"</f>
        <v>370825197505131214</v>
      </c>
      <c r="D9031" t="s">
        <v>1</v>
      </c>
      <c r="E9031" t="s">
        <v>1</v>
      </c>
      <c r="F9031" t="s">
        <v>0</v>
      </c>
      <c r="G9031" t="str">
        <f>"2018-10-15 14:49:18"</f>
        <v>2018-10-15 14:49:18</v>
      </c>
    </row>
    <row r="9032" spans="1:7" x14ac:dyDescent="0.2">
      <c r="A9032" t="s">
        <v>1</v>
      </c>
      <c r="B9032" t="str">
        <f>"13458538243"</f>
        <v>13458538243</v>
      </c>
      <c r="C9032" t="s">
        <v>1</v>
      </c>
      <c r="D9032" t="s">
        <v>1</v>
      </c>
      <c r="E9032" t="s">
        <v>1</v>
      </c>
      <c r="F9032" t="s">
        <v>0</v>
      </c>
      <c r="G9032" t="str">
        <f>"2018-10-18 12:58:30"</f>
        <v>2018-10-18 12:58:30</v>
      </c>
    </row>
    <row r="9033" spans="1:7" x14ac:dyDescent="0.2">
      <c r="A9033" t="s">
        <v>1167</v>
      </c>
      <c r="B9033" t="str">
        <f>"15994937817"</f>
        <v>15994937817</v>
      </c>
      <c r="C9033" t="str">
        <f>"440509198910013621"</f>
        <v>440509198910013621</v>
      </c>
      <c r="D9033" t="s">
        <v>1</v>
      </c>
      <c r="E9033" t="s">
        <v>1</v>
      </c>
      <c r="F9033" t="s">
        <v>0</v>
      </c>
      <c r="G9033" t="str">
        <f>"2018-10-15 14:52:01"</f>
        <v>2018-10-15 14:52:01</v>
      </c>
    </row>
    <row r="9034" spans="1:7" x14ac:dyDescent="0.2">
      <c r="A9034" t="s">
        <v>9646</v>
      </c>
      <c r="B9034" t="str">
        <f>"17339968606"</f>
        <v>17339968606</v>
      </c>
      <c r="C9034" t="str">
        <f>"622701199009083248"</f>
        <v>622701199009083248</v>
      </c>
      <c r="D9034" t="s">
        <v>1</v>
      </c>
      <c r="E9034" t="s">
        <v>1</v>
      </c>
      <c r="F9034" t="s">
        <v>0</v>
      </c>
      <c r="G9034" t="str">
        <f>"2018-10-15 14:49:05"</f>
        <v>2018-10-15 14:49:05</v>
      </c>
    </row>
    <row r="9035" spans="1:7" x14ac:dyDescent="0.2">
      <c r="A9035" t="s">
        <v>1432</v>
      </c>
      <c r="B9035" t="str">
        <f>"18212083567"</f>
        <v>18212083567</v>
      </c>
      <c r="C9035" t="str">
        <f>"522122199209201849"</f>
        <v>522122199209201849</v>
      </c>
      <c r="D9035" t="s">
        <v>9647</v>
      </c>
      <c r="E9035" t="s">
        <v>9648</v>
      </c>
      <c r="F9035" t="s">
        <v>0</v>
      </c>
      <c r="G9035" t="str">
        <f>"2018-10-15 19:08:41"</f>
        <v>2018-10-15 19:08:41</v>
      </c>
    </row>
    <row r="9036" spans="1:7" x14ac:dyDescent="0.2">
      <c r="A9036" t="s">
        <v>2715</v>
      </c>
      <c r="B9036" t="str">
        <f>"18763450788"</f>
        <v>18763450788</v>
      </c>
      <c r="C9036" t="str">
        <f>"371202198801287713"</f>
        <v>371202198801287713</v>
      </c>
      <c r="D9036" t="s">
        <v>1</v>
      </c>
      <c r="E9036" t="s">
        <v>1</v>
      </c>
      <c r="F9036" t="s">
        <v>0</v>
      </c>
      <c r="G9036" t="str">
        <f>"2018-10-15 14:47:38"</f>
        <v>2018-10-15 14:47:38</v>
      </c>
    </row>
    <row r="9037" spans="1:7" x14ac:dyDescent="0.2">
      <c r="A9037" t="s">
        <v>9649</v>
      </c>
      <c r="B9037" t="str">
        <f>"15962655522"</f>
        <v>15962655522</v>
      </c>
      <c r="C9037" t="str">
        <f>"321023197404280443"</f>
        <v>321023197404280443</v>
      </c>
      <c r="D9037" t="s">
        <v>1</v>
      </c>
      <c r="E9037" t="s">
        <v>1</v>
      </c>
      <c r="F9037" t="s">
        <v>0</v>
      </c>
      <c r="G9037" t="str">
        <f>"2018-11-02 12:37:19"</f>
        <v>2018-11-02 12:37:19</v>
      </c>
    </row>
    <row r="9038" spans="1:7" x14ac:dyDescent="0.2">
      <c r="A9038" t="s">
        <v>9650</v>
      </c>
      <c r="B9038" t="str">
        <f>"13244350900"</f>
        <v>13244350900</v>
      </c>
      <c r="C9038" t="str">
        <f>"220502198004051612"</f>
        <v>220502198004051612</v>
      </c>
      <c r="D9038" t="s">
        <v>1</v>
      </c>
      <c r="E9038" t="s">
        <v>1</v>
      </c>
      <c r="F9038" t="s">
        <v>0</v>
      </c>
      <c r="G9038" t="str">
        <f>"2018-10-15 14:48:31"</f>
        <v>2018-10-15 14:48:31</v>
      </c>
    </row>
    <row r="9039" spans="1:7" x14ac:dyDescent="0.2">
      <c r="A9039" t="s">
        <v>9651</v>
      </c>
      <c r="B9039" t="str">
        <f>"15990509775"</f>
        <v>15990509775</v>
      </c>
      <c r="C9039" t="str">
        <f>"522423198611026020"</f>
        <v>522423198611026020</v>
      </c>
      <c r="D9039" t="s">
        <v>1</v>
      </c>
      <c r="E9039" t="s">
        <v>1</v>
      </c>
      <c r="F9039" t="s">
        <v>0</v>
      </c>
      <c r="G9039" t="str">
        <f>"2018-10-23 13:14:11"</f>
        <v>2018-10-23 13:14:11</v>
      </c>
    </row>
    <row r="9040" spans="1:7" x14ac:dyDescent="0.2">
      <c r="A9040" t="s">
        <v>9652</v>
      </c>
      <c r="B9040" t="str">
        <f>"17323867220"</f>
        <v>17323867220</v>
      </c>
      <c r="C9040" t="str">
        <f>"500235199609206835"</f>
        <v>500235199609206835</v>
      </c>
      <c r="D9040" t="s">
        <v>1</v>
      </c>
      <c r="E9040" t="s">
        <v>1</v>
      </c>
      <c r="F9040" t="s">
        <v>0</v>
      </c>
      <c r="G9040" t="str">
        <f>"2018-10-15 14:54:29"</f>
        <v>2018-10-15 14:54:29</v>
      </c>
    </row>
    <row r="9041" spans="1:7" x14ac:dyDescent="0.2">
      <c r="A9041" t="s">
        <v>1</v>
      </c>
      <c r="B9041" t="str">
        <f>"13184289407"</f>
        <v>13184289407</v>
      </c>
      <c r="C9041" t="s">
        <v>1</v>
      </c>
      <c r="D9041" t="s">
        <v>1</v>
      </c>
      <c r="E9041" t="s">
        <v>1</v>
      </c>
      <c r="F9041" t="s">
        <v>0</v>
      </c>
      <c r="G9041" t="str">
        <f>"2018-10-15 14:41:10"</f>
        <v>2018-10-15 14:41:10</v>
      </c>
    </row>
    <row r="9042" spans="1:7" x14ac:dyDescent="0.2">
      <c r="A9042" t="s">
        <v>9653</v>
      </c>
      <c r="B9042" t="str">
        <f>"17729777151"</f>
        <v>17729777151</v>
      </c>
      <c r="C9042" t="str">
        <f>"412722198606057740"</f>
        <v>412722198606057740</v>
      </c>
      <c r="D9042" t="s">
        <v>1</v>
      </c>
      <c r="E9042" t="s">
        <v>1</v>
      </c>
      <c r="F9042" t="s">
        <v>0</v>
      </c>
      <c r="G9042" t="str">
        <f>"2018-10-15 14:41:03"</f>
        <v>2018-10-15 14:41:03</v>
      </c>
    </row>
    <row r="9043" spans="1:7" x14ac:dyDescent="0.2">
      <c r="A9043" t="s">
        <v>9654</v>
      </c>
      <c r="B9043" t="str">
        <f>"15287185196"</f>
        <v>15287185196</v>
      </c>
      <c r="C9043" t="str">
        <f>"53010219950430073X"</f>
        <v>53010219950430073X</v>
      </c>
      <c r="D9043" t="s">
        <v>1</v>
      </c>
      <c r="E9043" t="s">
        <v>1</v>
      </c>
      <c r="F9043" t="s">
        <v>0</v>
      </c>
      <c r="G9043" t="str">
        <f>"2018-10-15 15:02:48"</f>
        <v>2018-10-15 15:02:48</v>
      </c>
    </row>
    <row r="9044" spans="1:7" x14ac:dyDescent="0.2">
      <c r="A9044" t="s">
        <v>9655</v>
      </c>
      <c r="B9044" t="str">
        <f>"18200476019"</f>
        <v>18200476019</v>
      </c>
      <c r="C9044" t="str">
        <f>"510132199306251628"</f>
        <v>510132199306251628</v>
      </c>
      <c r="D9044" t="s">
        <v>1</v>
      </c>
      <c r="E9044" t="s">
        <v>1</v>
      </c>
      <c r="F9044" t="s">
        <v>0</v>
      </c>
      <c r="G9044" t="str">
        <f>"2018-10-15 14:40:45"</f>
        <v>2018-10-15 14:40:45</v>
      </c>
    </row>
    <row r="9045" spans="1:7" x14ac:dyDescent="0.2">
      <c r="A9045" t="s">
        <v>9656</v>
      </c>
      <c r="B9045" t="str">
        <f>"13888751364"</f>
        <v>13888751364</v>
      </c>
      <c r="C9045" t="str">
        <f>"530129199112043121"</f>
        <v>530129199112043121</v>
      </c>
      <c r="D9045" t="s">
        <v>9657</v>
      </c>
      <c r="E9045" t="s">
        <v>9658</v>
      </c>
      <c r="F9045" t="s">
        <v>0</v>
      </c>
      <c r="G9045" t="str">
        <f>"2018-10-15 14:48:28"</f>
        <v>2018-10-15 14:48:28</v>
      </c>
    </row>
    <row r="9046" spans="1:7" x14ac:dyDescent="0.2">
      <c r="A9046" t="s">
        <v>1</v>
      </c>
      <c r="B9046" t="str">
        <f>"15605857346"</f>
        <v>15605857346</v>
      </c>
      <c r="C9046" t="s">
        <v>1</v>
      </c>
      <c r="D9046" t="s">
        <v>1</v>
      </c>
      <c r="E9046" t="s">
        <v>1</v>
      </c>
      <c r="F9046" t="s">
        <v>0</v>
      </c>
      <c r="G9046" t="str">
        <f>"2018-10-15 14:40:11"</f>
        <v>2018-10-15 14:40:11</v>
      </c>
    </row>
    <row r="9047" spans="1:7" x14ac:dyDescent="0.2">
      <c r="A9047" t="s">
        <v>9659</v>
      </c>
      <c r="B9047" t="str">
        <f>"18041532427"</f>
        <v>18041532427</v>
      </c>
      <c r="C9047" t="str">
        <f>"210281198802275554"</f>
        <v>210281198802275554</v>
      </c>
      <c r="D9047" t="s">
        <v>1</v>
      </c>
      <c r="E9047" t="s">
        <v>1</v>
      </c>
      <c r="F9047" t="s">
        <v>0</v>
      </c>
      <c r="G9047" t="str">
        <f>"2018-10-15 18:46:08"</f>
        <v>2018-10-15 18:46:08</v>
      </c>
    </row>
    <row r="9048" spans="1:7" x14ac:dyDescent="0.2">
      <c r="A9048" t="s">
        <v>9660</v>
      </c>
      <c r="B9048" t="str">
        <f>"18571830795"</f>
        <v>18571830795</v>
      </c>
      <c r="C9048" t="str">
        <f>"612429199711076070"</f>
        <v>612429199711076070</v>
      </c>
      <c r="D9048" t="s">
        <v>1</v>
      </c>
      <c r="E9048" t="s">
        <v>1</v>
      </c>
      <c r="F9048" t="s">
        <v>0</v>
      </c>
      <c r="G9048" t="str">
        <f>"2018-11-02 08:39:00"</f>
        <v>2018-11-02 08:39:00</v>
      </c>
    </row>
    <row r="9049" spans="1:7" x14ac:dyDescent="0.2">
      <c r="A9049" t="s">
        <v>9661</v>
      </c>
      <c r="B9049" t="str">
        <f>"18515207770"</f>
        <v>18515207770</v>
      </c>
      <c r="C9049" t="str">
        <f>"110223198803082730"</f>
        <v>110223198803082730</v>
      </c>
      <c r="D9049" t="s">
        <v>9662</v>
      </c>
      <c r="E9049" t="s">
        <v>9663</v>
      </c>
      <c r="F9049" t="s">
        <v>0</v>
      </c>
      <c r="G9049" t="str">
        <f>"2018-10-15 14:43:34"</f>
        <v>2018-10-15 14:43:34</v>
      </c>
    </row>
    <row r="9050" spans="1:7" x14ac:dyDescent="0.2">
      <c r="A9050" t="s">
        <v>1</v>
      </c>
      <c r="B9050" t="str">
        <f>"18740545172"</f>
        <v>18740545172</v>
      </c>
      <c r="C9050" t="s">
        <v>1</v>
      </c>
      <c r="D9050" t="s">
        <v>1</v>
      </c>
      <c r="E9050" t="s">
        <v>1</v>
      </c>
      <c r="F9050" t="s">
        <v>0</v>
      </c>
      <c r="G9050" t="str">
        <f>"2018-10-15 14:37:26"</f>
        <v>2018-10-15 14:37:26</v>
      </c>
    </row>
    <row r="9051" spans="1:7" x14ac:dyDescent="0.2">
      <c r="A9051" t="s">
        <v>9664</v>
      </c>
      <c r="B9051" t="str">
        <f>"13718311105"</f>
        <v>13718311105</v>
      </c>
      <c r="C9051" t="str">
        <f>"130582199003030232"</f>
        <v>130582199003030232</v>
      </c>
      <c r="D9051" t="s">
        <v>1</v>
      </c>
      <c r="E9051" t="s">
        <v>1</v>
      </c>
      <c r="F9051" t="s">
        <v>0</v>
      </c>
      <c r="G9051" t="str">
        <f>"2018-11-01 15:37:36"</f>
        <v>2018-11-01 15:37:36</v>
      </c>
    </row>
    <row r="9052" spans="1:7" x14ac:dyDescent="0.2">
      <c r="A9052" t="s">
        <v>702</v>
      </c>
      <c r="B9052" t="str">
        <f>"18736038269"</f>
        <v>18736038269</v>
      </c>
      <c r="C9052" t="str">
        <f>"410222199609232028"</f>
        <v>410222199609232028</v>
      </c>
      <c r="D9052" t="s">
        <v>9665</v>
      </c>
      <c r="E9052" t="s">
        <v>9666</v>
      </c>
      <c r="F9052" t="s">
        <v>0</v>
      </c>
      <c r="G9052" t="str">
        <f>"2018-10-15 15:05:55"</f>
        <v>2018-10-15 15:05:55</v>
      </c>
    </row>
    <row r="9053" spans="1:7" x14ac:dyDescent="0.2">
      <c r="A9053" t="s">
        <v>9667</v>
      </c>
      <c r="B9053" t="str">
        <f>"13578787060"</f>
        <v>13578787060</v>
      </c>
      <c r="C9053" t="str">
        <f>"220122199012282216"</f>
        <v>220122199012282216</v>
      </c>
      <c r="D9053" t="s">
        <v>1</v>
      </c>
      <c r="E9053" t="s">
        <v>1</v>
      </c>
      <c r="F9053" t="s">
        <v>0</v>
      </c>
      <c r="G9053" t="str">
        <f>"2018-10-15 14:39:03"</f>
        <v>2018-10-15 14:39:03</v>
      </c>
    </row>
    <row r="9054" spans="1:7" x14ac:dyDescent="0.2">
      <c r="A9054" t="s">
        <v>9668</v>
      </c>
      <c r="B9054" t="str">
        <f>"18628074414"</f>
        <v>18628074414</v>
      </c>
      <c r="C9054" t="str">
        <f>"511321198612012914"</f>
        <v>511321198612012914</v>
      </c>
      <c r="D9054" t="s">
        <v>1</v>
      </c>
      <c r="E9054" t="s">
        <v>1</v>
      </c>
      <c r="F9054" t="s">
        <v>0</v>
      </c>
      <c r="G9054" t="str">
        <f>"2018-10-15 14:36:23"</f>
        <v>2018-10-15 14:36:23</v>
      </c>
    </row>
    <row r="9055" spans="1:7" x14ac:dyDescent="0.2">
      <c r="A9055" t="s">
        <v>9669</v>
      </c>
      <c r="B9055" t="str">
        <f>"18288028741"</f>
        <v>18288028741</v>
      </c>
      <c r="C9055" t="str">
        <f>"53282319890910331X"</f>
        <v>53282319890910331X</v>
      </c>
      <c r="D9055" t="s">
        <v>1</v>
      </c>
      <c r="E9055" t="s">
        <v>1</v>
      </c>
      <c r="F9055" t="s">
        <v>0</v>
      </c>
      <c r="G9055" t="str">
        <f>"2018-10-15 14:36:47"</f>
        <v>2018-10-15 14:36:47</v>
      </c>
    </row>
    <row r="9056" spans="1:7" x14ac:dyDescent="0.2">
      <c r="A9056" t="s">
        <v>9670</v>
      </c>
      <c r="B9056" t="str">
        <f>"13079469217"</f>
        <v>13079469217</v>
      </c>
      <c r="C9056" t="str">
        <f>"210881198212243010"</f>
        <v>210881198212243010</v>
      </c>
      <c r="D9056" t="s">
        <v>1</v>
      </c>
      <c r="E9056" t="s">
        <v>1</v>
      </c>
      <c r="F9056" t="s">
        <v>0</v>
      </c>
      <c r="G9056" t="str">
        <f>"2018-10-15 14:37:09"</f>
        <v>2018-10-15 14:37:09</v>
      </c>
    </row>
    <row r="9057" spans="1:7" x14ac:dyDescent="0.2">
      <c r="A9057" t="s">
        <v>7699</v>
      </c>
      <c r="B9057" t="str">
        <f>"13041200002"</f>
        <v>13041200002</v>
      </c>
      <c r="C9057" t="str">
        <f>"421023198511017550"</f>
        <v>421023198511017550</v>
      </c>
      <c r="D9057" t="s">
        <v>1</v>
      </c>
      <c r="E9057" t="s">
        <v>1</v>
      </c>
      <c r="F9057" t="s">
        <v>0</v>
      </c>
      <c r="G9057" t="str">
        <f>"2018-10-17 00:57:48"</f>
        <v>2018-10-17 00:57:48</v>
      </c>
    </row>
    <row r="9058" spans="1:7" x14ac:dyDescent="0.2">
      <c r="A9058" t="s">
        <v>1</v>
      </c>
      <c r="B9058" t="str">
        <f>"14537619418"</f>
        <v>14537619418</v>
      </c>
      <c r="C9058" t="s">
        <v>1</v>
      </c>
      <c r="D9058" t="s">
        <v>1</v>
      </c>
      <c r="E9058" t="s">
        <v>1</v>
      </c>
      <c r="F9058" t="s">
        <v>0</v>
      </c>
      <c r="G9058" t="str">
        <f>"2018-10-15 14:33:39"</f>
        <v>2018-10-15 14:33:39</v>
      </c>
    </row>
    <row r="9059" spans="1:7" x14ac:dyDescent="0.2">
      <c r="A9059" t="s">
        <v>239</v>
      </c>
      <c r="B9059" t="str">
        <f>"18827605641"</f>
        <v>18827605641</v>
      </c>
      <c r="C9059" t="str">
        <f>"421121199212012511"</f>
        <v>421121199212012511</v>
      </c>
      <c r="D9059" t="s">
        <v>9671</v>
      </c>
      <c r="E9059" t="s">
        <v>9672</v>
      </c>
      <c r="F9059" t="s">
        <v>0</v>
      </c>
      <c r="G9059" t="str">
        <f>"2018-10-15 14:41:29"</f>
        <v>2018-10-15 14:41:29</v>
      </c>
    </row>
    <row r="9060" spans="1:7" x14ac:dyDescent="0.2">
      <c r="A9060" t="s">
        <v>9673</v>
      </c>
      <c r="B9060" t="str">
        <f>"18698420806"</f>
        <v>18698420806</v>
      </c>
      <c r="C9060" t="str">
        <f>"152321198609017953"</f>
        <v>152321198609017953</v>
      </c>
      <c r="D9060" t="s">
        <v>1</v>
      </c>
      <c r="E9060" t="s">
        <v>1</v>
      </c>
      <c r="F9060" t="s">
        <v>0</v>
      </c>
      <c r="G9060" t="str">
        <f>"2018-10-15 14:36:16"</f>
        <v>2018-10-15 14:36:16</v>
      </c>
    </row>
    <row r="9061" spans="1:7" x14ac:dyDescent="0.2">
      <c r="A9061" t="s">
        <v>9674</v>
      </c>
      <c r="B9061" t="str">
        <f>"13038320328"</f>
        <v>13038320328</v>
      </c>
      <c r="C9061" t="str">
        <f>"510221196912131741"</f>
        <v>510221196912131741</v>
      </c>
      <c r="D9061" t="s">
        <v>1</v>
      </c>
      <c r="E9061" t="s">
        <v>1</v>
      </c>
      <c r="F9061" t="s">
        <v>0</v>
      </c>
      <c r="G9061" t="str">
        <f>"2018-10-15 14:34:40"</f>
        <v>2018-10-15 14:34:40</v>
      </c>
    </row>
    <row r="9062" spans="1:7" x14ac:dyDescent="0.2">
      <c r="A9062" t="s">
        <v>1</v>
      </c>
      <c r="B9062" t="str">
        <f>"15676758504"</f>
        <v>15676758504</v>
      </c>
      <c r="C9062" t="s">
        <v>1</v>
      </c>
      <c r="D9062" t="s">
        <v>1</v>
      </c>
      <c r="E9062" t="s">
        <v>1</v>
      </c>
      <c r="F9062" t="s">
        <v>0</v>
      </c>
      <c r="G9062" t="str">
        <f>"2018-10-15 14:32:46"</f>
        <v>2018-10-15 14:32:46</v>
      </c>
    </row>
    <row r="9063" spans="1:7" x14ac:dyDescent="0.2">
      <c r="A9063" t="s">
        <v>1</v>
      </c>
      <c r="B9063" t="str">
        <f>"13909009233"</f>
        <v>13909009233</v>
      </c>
      <c r="C9063" t="s">
        <v>1</v>
      </c>
      <c r="D9063" t="s">
        <v>1</v>
      </c>
      <c r="E9063" t="s">
        <v>1</v>
      </c>
      <c r="F9063" t="s">
        <v>0</v>
      </c>
      <c r="G9063" t="str">
        <f>"2018-10-15 14:32:14"</f>
        <v>2018-10-15 14:32:14</v>
      </c>
    </row>
    <row r="9064" spans="1:7" x14ac:dyDescent="0.2">
      <c r="A9064" t="s">
        <v>9675</v>
      </c>
      <c r="B9064" t="str">
        <f>"17766999019"</f>
        <v>17766999019</v>
      </c>
      <c r="C9064" t="str">
        <f>"460104198609091815"</f>
        <v>460104198609091815</v>
      </c>
      <c r="D9064" t="s">
        <v>1</v>
      </c>
      <c r="E9064" t="s">
        <v>1</v>
      </c>
      <c r="F9064" t="s">
        <v>0</v>
      </c>
      <c r="G9064" t="str">
        <f>"2018-10-18 18:30:19"</f>
        <v>2018-10-18 18:30:19</v>
      </c>
    </row>
    <row r="9065" spans="1:7" x14ac:dyDescent="0.2">
      <c r="A9065" t="s">
        <v>9676</v>
      </c>
      <c r="B9065" t="str">
        <f>"13678848711"</f>
        <v>13678848711</v>
      </c>
      <c r="C9065" t="str">
        <f>"370282198412295833"</f>
        <v>370282198412295833</v>
      </c>
      <c r="D9065" t="s">
        <v>1</v>
      </c>
      <c r="E9065" t="s">
        <v>1</v>
      </c>
      <c r="F9065" t="s">
        <v>0</v>
      </c>
      <c r="G9065" t="str">
        <f>"2018-10-15 14:33:35"</f>
        <v>2018-10-15 14:33:35</v>
      </c>
    </row>
    <row r="9066" spans="1:7" x14ac:dyDescent="0.2">
      <c r="A9066" t="s">
        <v>9677</v>
      </c>
      <c r="B9066" t="str">
        <f>"13988647389"</f>
        <v>13988647389</v>
      </c>
      <c r="C9066" t="str">
        <f>"533321198405070316"</f>
        <v>533321198405070316</v>
      </c>
      <c r="D9066" t="s">
        <v>1</v>
      </c>
      <c r="E9066" t="s">
        <v>1</v>
      </c>
      <c r="F9066" t="s">
        <v>0</v>
      </c>
      <c r="G9066" t="str">
        <f>"2018-10-15 14:32:40"</f>
        <v>2018-10-15 14:32:40</v>
      </c>
    </row>
    <row r="9067" spans="1:7" x14ac:dyDescent="0.2">
      <c r="A9067" t="s">
        <v>1</v>
      </c>
      <c r="B9067" t="str">
        <f>"15871633790"</f>
        <v>15871633790</v>
      </c>
      <c r="C9067" t="s">
        <v>1</v>
      </c>
      <c r="D9067" t="s">
        <v>1</v>
      </c>
      <c r="E9067" t="s">
        <v>1</v>
      </c>
      <c r="F9067" t="s">
        <v>0</v>
      </c>
      <c r="G9067" t="str">
        <f>"2018-10-15 14:38:30"</f>
        <v>2018-10-15 14:38:30</v>
      </c>
    </row>
    <row r="9068" spans="1:7" x14ac:dyDescent="0.2">
      <c r="A9068" t="s">
        <v>9678</v>
      </c>
      <c r="B9068" t="str">
        <f>"15087816414"</f>
        <v>15087816414</v>
      </c>
      <c r="C9068" t="str">
        <f>"533523199303310014"</f>
        <v>533523199303310014</v>
      </c>
      <c r="D9068" t="s">
        <v>1</v>
      </c>
      <c r="E9068" t="s">
        <v>1</v>
      </c>
      <c r="F9068" t="s">
        <v>0</v>
      </c>
      <c r="G9068" t="str">
        <f>"2018-10-15 14:39:51"</f>
        <v>2018-10-15 14:39:51</v>
      </c>
    </row>
    <row r="9069" spans="1:7" x14ac:dyDescent="0.2">
      <c r="A9069" t="s">
        <v>9679</v>
      </c>
      <c r="B9069" t="str">
        <f>"18253201855"</f>
        <v>18253201855</v>
      </c>
      <c r="C9069" t="str">
        <f>"370212197911161537"</f>
        <v>370212197911161537</v>
      </c>
      <c r="D9069" t="s">
        <v>9680</v>
      </c>
      <c r="E9069" t="s">
        <v>9681</v>
      </c>
      <c r="F9069" t="s">
        <v>0</v>
      </c>
      <c r="G9069" t="str">
        <f>"2018-10-15 14:31:43"</f>
        <v>2018-10-15 14:31:43</v>
      </c>
    </row>
    <row r="9070" spans="1:7" x14ac:dyDescent="0.2">
      <c r="A9070" t="s">
        <v>9682</v>
      </c>
      <c r="B9070" t="str">
        <f>"17609582460"</f>
        <v>17609582460</v>
      </c>
      <c r="C9070" t="str">
        <f>"640111199701083174"</f>
        <v>640111199701083174</v>
      </c>
      <c r="D9070" t="s">
        <v>9683</v>
      </c>
      <c r="E9070" t="s">
        <v>9684</v>
      </c>
      <c r="F9070" t="s">
        <v>0</v>
      </c>
      <c r="G9070" t="str">
        <f>"2018-10-15 14:30:44"</f>
        <v>2018-10-15 14:30:44</v>
      </c>
    </row>
    <row r="9071" spans="1:7" x14ac:dyDescent="0.2">
      <c r="A9071" t="s">
        <v>9685</v>
      </c>
      <c r="B9071" t="str">
        <f>"15150012115"</f>
        <v>15150012115</v>
      </c>
      <c r="C9071" t="str">
        <f>"320323198803181039"</f>
        <v>320323198803181039</v>
      </c>
      <c r="D9071" t="s">
        <v>1</v>
      </c>
      <c r="E9071" t="s">
        <v>1</v>
      </c>
      <c r="F9071" t="s">
        <v>0</v>
      </c>
      <c r="G9071" t="str">
        <f>"2018-10-15 14:42:45"</f>
        <v>2018-10-15 14:42:45</v>
      </c>
    </row>
    <row r="9072" spans="1:7" x14ac:dyDescent="0.2">
      <c r="A9072" t="s">
        <v>9686</v>
      </c>
      <c r="B9072" t="str">
        <f>"13676101577"</f>
        <v>13676101577</v>
      </c>
      <c r="C9072" t="str">
        <f>"445281199401183036"</f>
        <v>445281199401183036</v>
      </c>
      <c r="D9072" t="s">
        <v>1</v>
      </c>
      <c r="E9072" t="s">
        <v>1</v>
      </c>
      <c r="F9072" t="s">
        <v>0</v>
      </c>
      <c r="G9072" t="str">
        <f>"2018-10-15 14:32:43"</f>
        <v>2018-10-15 14:32:43</v>
      </c>
    </row>
    <row r="9073" spans="1:7" x14ac:dyDescent="0.2">
      <c r="A9073" t="s">
        <v>9687</v>
      </c>
      <c r="B9073" t="str">
        <f>"17865981333"</f>
        <v>17865981333</v>
      </c>
      <c r="C9073" t="str">
        <f>"370321199607191855"</f>
        <v>370321199607191855</v>
      </c>
      <c r="D9073" t="s">
        <v>9688</v>
      </c>
      <c r="E9073" t="s">
        <v>9689</v>
      </c>
      <c r="F9073" t="s">
        <v>0</v>
      </c>
      <c r="G9073" t="str">
        <f>"2018-10-15 14:48:59"</f>
        <v>2018-10-15 14:48:59</v>
      </c>
    </row>
    <row r="9074" spans="1:7" x14ac:dyDescent="0.2">
      <c r="A9074" t="s">
        <v>1</v>
      </c>
      <c r="B9074" t="str">
        <f>"17602388606"</f>
        <v>17602388606</v>
      </c>
      <c r="C9074" t="s">
        <v>1</v>
      </c>
      <c r="D9074" t="s">
        <v>1</v>
      </c>
      <c r="E9074" t="s">
        <v>1</v>
      </c>
      <c r="F9074" t="s">
        <v>0</v>
      </c>
      <c r="G9074" t="str">
        <f>"2018-10-15 14:30:08"</f>
        <v>2018-10-15 14:30:08</v>
      </c>
    </row>
    <row r="9075" spans="1:7" x14ac:dyDescent="0.2">
      <c r="A9075" t="s">
        <v>9690</v>
      </c>
      <c r="B9075" t="str">
        <f>"17740833631"</f>
        <v>17740833631</v>
      </c>
      <c r="C9075" t="str">
        <f>"310106197703282410"</f>
        <v>310106197703282410</v>
      </c>
      <c r="D9075" t="s">
        <v>1</v>
      </c>
      <c r="E9075" t="s">
        <v>1</v>
      </c>
      <c r="F9075" t="s">
        <v>0</v>
      </c>
      <c r="G9075" t="str">
        <f>"2018-10-15 14:29:59"</f>
        <v>2018-10-15 14:29:59</v>
      </c>
    </row>
    <row r="9076" spans="1:7" x14ac:dyDescent="0.2">
      <c r="A9076" t="s">
        <v>1</v>
      </c>
      <c r="B9076" t="str">
        <f>"18326933857"</f>
        <v>18326933857</v>
      </c>
      <c r="C9076" t="s">
        <v>1</v>
      </c>
      <c r="D9076" t="s">
        <v>1</v>
      </c>
      <c r="E9076" t="s">
        <v>1</v>
      </c>
      <c r="F9076" t="s">
        <v>0</v>
      </c>
      <c r="G9076" t="str">
        <f>"2018-10-15 14:27:06"</f>
        <v>2018-10-15 14:27:06</v>
      </c>
    </row>
    <row r="9077" spans="1:7" x14ac:dyDescent="0.2">
      <c r="A9077" t="s">
        <v>9691</v>
      </c>
      <c r="B9077" t="str">
        <f>"13896333141"</f>
        <v>13896333141</v>
      </c>
      <c r="C9077" t="str">
        <f>"500101198611153011"</f>
        <v>500101198611153011</v>
      </c>
      <c r="D9077" t="s">
        <v>1</v>
      </c>
      <c r="E9077" t="s">
        <v>1</v>
      </c>
      <c r="F9077" t="s">
        <v>0</v>
      </c>
      <c r="G9077" t="str">
        <f>"2018-10-15 14:29:10"</f>
        <v>2018-10-15 14:29:10</v>
      </c>
    </row>
    <row r="9078" spans="1:7" x14ac:dyDescent="0.2">
      <c r="A9078" t="s">
        <v>9692</v>
      </c>
      <c r="B9078" t="str">
        <f>"18664674896"</f>
        <v>18664674896</v>
      </c>
      <c r="C9078" t="str">
        <f>"450331199207221210"</f>
        <v>450331199207221210</v>
      </c>
      <c r="D9078" t="s">
        <v>1</v>
      </c>
      <c r="E9078" t="s">
        <v>1</v>
      </c>
      <c r="F9078" t="s">
        <v>0</v>
      </c>
      <c r="G9078" t="str">
        <f>"2018-10-15 14:28:26"</f>
        <v>2018-10-15 14:28:26</v>
      </c>
    </row>
    <row r="9079" spans="1:7" x14ac:dyDescent="0.2">
      <c r="A9079" t="s">
        <v>9693</v>
      </c>
      <c r="B9079" t="str">
        <f>"18055326263"</f>
        <v>18055326263</v>
      </c>
      <c r="C9079" t="str">
        <f>"342623199304187918"</f>
        <v>342623199304187918</v>
      </c>
      <c r="D9079" t="s">
        <v>1</v>
      </c>
      <c r="E9079" t="s">
        <v>1</v>
      </c>
      <c r="F9079" t="s">
        <v>0</v>
      </c>
      <c r="G9079" t="str">
        <f>"2018-10-15 14:33:39"</f>
        <v>2018-10-15 14:33:39</v>
      </c>
    </row>
    <row r="9080" spans="1:7" x14ac:dyDescent="0.2">
      <c r="A9080" t="s">
        <v>9694</v>
      </c>
      <c r="B9080" t="str">
        <f>"18866570171"</f>
        <v>18866570171</v>
      </c>
      <c r="C9080" t="str">
        <f>"371521199008060927"</f>
        <v>371521199008060927</v>
      </c>
      <c r="D9080" t="s">
        <v>1</v>
      </c>
      <c r="E9080" t="s">
        <v>1</v>
      </c>
      <c r="F9080" t="s">
        <v>0</v>
      </c>
      <c r="G9080" t="str">
        <f>"2018-10-30 23:51:40"</f>
        <v>2018-10-30 23:51:40</v>
      </c>
    </row>
    <row r="9081" spans="1:7" x14ac:dyDescent="0.2">
      <c r="A9081" t="s">
        <v>9695</v>
      </c>
      <c r="B9081" t="str">
        <f>"15057770638"</f>
        <v>15057770638</v>
      </c>
      <c r="C9081" t="str">
        <f>"330322198612310438"</f>
        <v>330322198612310438</v>
      </c>
      <c r="D9081" t="s">
        <v>1</v>
      </c>
      <c r="E9081" t="s">
        <v>1</v>
      </c>
      <c r="F9081" t="s">
        <v>0</v>
      </c>
      <c r="G9081" t="str">
        <f>"2018-10-16 08:36:44"</f>
        <v>2018-10-16 08:36:44</v>
      </c>
    </row>
    <row r="9082" spans="1:7" x14ac:dyDescent="0.2">
      <c r="A9082" t="s">
        <v>9696</v>
      </c>
      <c r="B9082" t="str">
        <f>"13687589520"</f>
        <v>13687589520</v>
      </c>
      <c r="C9082" t="str">
        <f>"460027199112064110"</f>
        <v>460027199112064110</v>
      </c>
      <c r="D9082" t="s">
        <v>9697</v>
      </c>
      <c r="E9082" t="s">
        <v>9698</v>
      </c>
      <c r="F9082" t="s">
        <v>0</v>
      </c>
      <c r="G9082" t="str">
        <f>"2018-10-15 14:28:16"</f>
        <v>2018-10-15 14:28:16</v>
      </c>
    </row>
    <row r="9083" spans="1:7" x14ac:dyDescent="0.2">
      <c r="A9083" t="s">
        <v>9699</v>
      </c>
      <c r="B9083" t="str">
        <f>"15714857404"</f>
        <v>15714857404</v>
      </c>
      <c r="C9083" t="str">
        <f>"152322199004253014"</f>
        <v>152322199004253014</v>
      </c>
      <c r="D9083" t="s">
        <v>1</v>
      </c>
      <c r="E9083" t="s">
        <v>1</v>
      </c>
      <c r="F9083" t="s">
        <v>0</v>
      </c>
      <c r="G9083" t="str">
        <f>"2018-10-15 14:26:44"</f>
        <v>2018-10-15 14:26:44</v>
      </c>
    </row>
    <row r="9084" spans="1:7" x14ac:dyDescent="0.2">
      <c r="A9084" t="s">
        <v>9700</v>
      </c>
      <c r="B9084" t="str">
        <f>"15381339199"</f>
        <v>15381339199</v>
      </c>
      <c r="C9084" t="str">
        <f>"332526198608294111"</f>
        <v>332526198608294111</v>
      </c>
      <c r="D9084" t="s">
        <v>1</v>
      </c>
      <c r="E9084" t="s">
        <v>1</v>
      </c>
      <c r="F9084" t="s">
        <v>0</v>
      </c>
      <c r="G9084" t="str">
        <f>"2018-10-15 14:26:10"</f>
        <v>2018-10-15 14:26:10</v>
      </c>
    </row>
    <row r="9085" spans="1:7" x14ac:dyDescent="0.2">
      <c r="A9085" t="s">
        <v>9701</v>
      </c>
      <c r="B9085" t="str">
        <f>"15834428110"</f>
        <v>15834428110</v>
      </c>
      <c r="C9085" t="str">
        <f>"220322198703193219"</f>
        <v>220322198703193219</v>
      </c>
      <c r="D9085" t="s">
        <v>1</v>
      </c>
      <c r="E9085" t="s">
        <v>1</v>
      </c>
      <c r="F9085" t="s">
        <v>0</v>
      </c>
      <c r="G9085" t="str">
        <f>"2018-10-15 14:26:06"</f>
        <v>2018-10-15 14:26:06</v>
      </c>
    </row>
    <row r="9086" spans="1:7" x14ac:dyDescent="0.2">
      <c r="A9086" t="s">
        <v>9702</v>
      </c>
      <c r="B9086" t="str">
        <f>"13976582524"</f>
        <v>13976582524</v>
      </c>
      <c r="C9086" t="str">
        <f>"460003199006210822"</f>
        <v>460003199006210822</v>
      </c>
      <c r="D9086" t="s">
        <v>9703</v>
      </c>
      <c r="E9086" t="s">
        <v>9704</v>
      </c>
      <c r="F9086" t="s">
        <v>0</v>
      </c>
      <c r="G9086" t="str">
        <f>"2018-10-15 14:26:40"</f>
        <v>2018-10-15 14:26:40</v>
      </c>
    </row>
    <row r="9087" spans="1:7" x14ac:dyDescent="0.2">
      <c r="A9087" t="s">
        <v>1</v>
      </c>
      <c r="B9087" t="str">
        <f>"13435528903"</f>
        <v>13435528903</v>
      </c>
      <c r="C9087" t="s">
        <v>1</v>
      </c>
      <c r="D9087" t="s">
        <v>1</v>
      </c>
      <c r="E9087" t="s">
        <v>1</v>
      </c>
      <c r="F9087" t="s">
        <v>0</v>
      </c>
      <c r="G9087" t="str">
        <f>"2018-10-15 14:23:59"</f>
        <v>2018-10-15 14:23:59</v>
      </c>
    </row>
    <row r="9088" spans="1:7" x14ac:dyDescent="0.2">
      <c r="A9088" t="s">
        <v>1</v>
      </c>
      <c r="B9088" t="str">
        <f>"18308837674"</f>
        <v>18308837674</v>
      </c>
      <c r="C9088" t="s">
        <v>1</v>
      </c>
      <c r="D9088" t="s">
        <v>1</v>
      </c>
      <c r="E9088" t="s">
        <v>1</v>
      </c>
      <c r="F9088" t="s">
        <v>0</v>
      </c>
      <c r="G9088" t="str">
        <f>"2018-10-16 05:12:01"</f>
        <v>2018-10-16 05:12:01</v>
      </c>
    </row>
    <row r="9089" spans="1:7" x14ac:dyDescent="0.2">
      <c r="A9089" t="s">
        <v>1</v>
      </c>
      <c r="B9089" t="str">
        <f>"18699403827"</f>
        <v>18699403827</v>
      </c>
      <c r="C9089" t="s">
        <v>1</v>
      </c>
      <c r="D9089" t="s">
        <v>1</v>
      </c>
      <c r="E9089" t="s">
        <v>1</v>
      </c>
      <c r="F9089" t="s">
        <v>0</v>
      </c>
      <c r="G9089" t="str">
        <f>"2018-10-15 14:23:08"</f>
        <v>2018-10-15 14:23:08</v>
      </c>
    </row>
    <row r="9090" spans="1:7" x14ac:dyDescent="0.2">
      <c r="A9090" t="s">
        <v>1</v>
      </c>
      <c r="B9090" t="str">
        <f>"18278601501"</f>
        <v>18278601501</v>
      </c>
      <c r="C9090" t="s">
        <v>1</v>
      </c>
      <c r="D9090" t="s">
        <v>1</v>
      </c>
      <c r="E9090" t="s">
        <v>1</v>
      </c>
      <c r="F9090" t="s">
        <v>0</v>
      </c>
      <c r="G9090" t="str">
        <f>"2018-10-15 14:22:19"</f>
        <v>2018-10-15 14:22:19</v>
      </c>
    </row>
    <row r="9091" spans="1:7" x14ac:dyDescent="0.2">
      <c r="A9091" t="s">
        <v>1</v>
      </c>
      <c r="B9091" t="str">
        <f>"13880401426"</f>
        <v>13880401426</v>
      </c>
      <c r="C9091" t="s">
        <v>1</v>
      </c>
      <c r="D9091" t="s">
        <v>1</v>
      </c>
      <c r="E9091" t="s">
        <v>1</v>
      </c>
      <c r="F9091" t="s">
        <v>0</v>
      </c>
      <c r="G9091" t="str">
        <f>"2018-10-15 15:35:14"</f>
        <v>2018-10-15 15:35:14</v>
      </c>
    </row>
    <row r="9092" spans="1:7" x14ac:dyDescent="0.2">
      <c r="A9092" t="s">
        <v>173</v>
      </c>
      <c r="B9092" t="str">
        <f>"18682085880"</f>
        <v>18682085880</v>
      </c>
      <c r="C9092" t="str">
        <f>"432524198809253210"</f>
        <v>432524198809253210</v>
      </c>
      <c r="D9092" t="s">
        <v>1</v>
      </c>
      <c r="E9092" t="s">
        <v>1</v>
      </c>
      <c r="F9092" t="s">
        <v>0</v>
      </c>
      <c r="G9092" t="str">
        <f>"2018-10-15 14:30:05"</f>
        <v>2018-10-15 14:30:05</v>
      </c>
    </row>
    <row r="9093" spans="1:7" x14ac:dyDescent="0.2">
      <c r="A9093" t="s">
        <v>9705</v>
      </c>
      <c r="B9093" t="str">
        <f>"18733827761"</f>
        <v>18733827761</v>
      </c>
      <c r="C9093" t="str">
        <f>"130629199511030849"</f>
        <v>130629199511030849</v>
      </c>
      <c r="D9093" t="s">
        <v>9706</v>
      </c>
      <c r="E9093" t="s">
        <v>9707</v>
      </c>
      <c r="F9093" t="s">
        <v>0</v>
      </c>
      <c r="G9093" t="str">
        <f>"2018-10-15 14:22:08"</f>
        <v>2018-10-15 14:22:08</v>
      </c>
    </row>
    <row r="9094" spans="1:7" x14ac:dyDescent="0.2">
      <c r="A9094" t="s">
        <v>9708</v>
      </c>
      <c r="B9094" t="str">
        <f>"15845192573"</f>
        <v>15845192573</v>
      </c>
      <c r="C9094" t="str">
        <f>"230881198905110222"</f>
        <v>230881198905110222</v>
      </c>
      <c r="D9094" t="s">
        <v>9709</v>
      </c>
      <c r="E9094" t="s">
        <v>9710</v>
      </c>
      <c r="F9094" t="s">
        <v>0</v>
      </c>
      <c r="G9094" t="str">
        <f>"2018-11-02 22:03:42"</f>
        <v>2018-11-02 22:03:42</v>
      </c>
    </row>
    <row r="9095" spans="1:7" x14ac:dyDescent="0.2">
      <c r="A9095" t="s">
        <v>9711</v>
      </c>
      <c r="B9095" t="str">
        <f>"15343993388"</f>
        <v>15343993388</v>
      </c>
      <c r="C9095" t="str">
        <f>"411222198305232551"</f>
        <v>411222198305232551</v>
      </c>
      <c r="D9095" t="s">
        <v>1</v>
      </c>
      <c r="E9095" t="s">
        <v>1</v>
      </c>
      <c r="F9095" t="s">
        <v>0</v>
      </c>
      <c r="G9095" t="str">
        <f>"2018-10-15 14:52:56"</f>
        <v>2018-10-15 14:52:56</v>
      </c>
    </row>
    <row r="9096" spans="1:7" x14ac:dyDescent="0.2">
      <c r="A9096" t="s">
        <v>728</v>
      </c>
      <c r="B9096" t="str">
        <f>"13504005740"</f>
        <v>13504005740</v>
      </c>
      <c r="C9096" t="str">
        <f>"230221199406094817"</f>
        <v>230221199406094817</v>
      </c>
      <c r="D9096" t="s">
        <v>1</v>
      </c>
      <c r="E9096" t="s">
        <v>1</v>
      </c>
      <c r="F9096" t="s">
        <v>0</v>
      </c>
      <c r="G9096" t="str">
        <f>"2018-10-15 14:29:11"</f>
        <v>2018-10-15 14:29:11</v>
      </c>
    </row>
    <row r="9097" spans="1:7" x14ac:dyDescent="0.2">
      <c r="A9097" t="s">
        <v>9712</v>
      </c>
      <c r="B9097" t="str">
        <f>"15187428290"</f>
        <v>15187428290</v>
      </c>
      <c r="C9097" t="str">
        <f>"530324199307201811"</f>
        <v>530324199307201811</v>
      </c>
      <c r="D9097" t="s">
        <v>9713</v>
      </c>
      <c r="E9097" t="s">
        <v>9714</v>
      </c>
      <c r="F9097" t="s">
        <v>0</v>
      </c>
      <c r="G9097" t="str">
        <f>"2018-10-15 14:31:18"</f>
        <v>2018-10-15 14:31:18</v>
      </c>
    </row>
    <row r="9098" spans="1:7" x14ac:dyDescent="0.2">
      <c r="A9098" t="s">
        <v>9715</v>
      </c>
      <c r="B9098" t="str">
        <f>"13518016850"</f>
        <v>13518016850</v>
      </c>
      <c r="C9098" t="str">
        <f>"460027198902052013"</f>
        <v>460027198902052013</v>
      </c>
      <c r="D9098" t="s">
        <v>1</v>
      </c>
      <c r="E9098" t="s">
        <v>1</v>
      </c>
      <c r="F9098" t="s">
        <v>0</v>
      </c>
      <c r="G9098" t="str">
        <f>"2018-10-15 14:21:58"</f>
        <v>2018-10-15 14:21:58</v>
      </c>
    </row>
    <row r="9099" spans="1:7" x14ac:dyDescent="0.2">
      <c r="A9099" t="s">
        <v>1361</v>
      </c>
      <c r="B9099" t="str">
        <f>"17519426166"</f>
        <v>17519426166</v>
      </c>
      <c r="C9099" t="str">
        <f>"220182197911203339"</f>
        <v>220182197911203339</v>
      </c>
      <c r="D9099" t="s">
        <v>1</v>
      </c>
      <c r="E9099" t="s">
        <v>1</v>
      </c>
      <c r="F9099" t="s">
        <v>0</v>
      </c>
      <c r="G9099" t="str">
        <f>"2018-10-15 14:21:17"</f>
        <v>2018-10-15 14:21:17</v>
      </c>
    </row>
    <row r="9100" spans="1:7" x14ac:dyDescent="0.2">
      <c r="A9100" t="s">
        <v>9716</v>
      </c>
      <c r="B9100" t="str">
        <f>"18839369582"</f>
        <v>18839369582</v>
      </c>
      <c r="C9100" t="str">
        <f>"410901199210020820"</f>
        <v>410901199210020820</v>
      </c>
      <c r="D9100" t="s">
        <v>1</v>
      </c>
      <c r="E9100" t="s">
        <v>1</v>
      </c>
      <c r="F9100" t="s">
        <v>0</v>
      </c>
      <c r="G9100" t="str">
        <f>"2018-10-15 14:20:00"</f>
        <v>2018-10-15 14:20:00</v>
      </c>
    </row>
    <row r="9101" spans="1:7" x14ac:dyDescent="0.2">
      <c r="A9101" t="s">
        <v>888</v>
      </c>
      <c r="B9101" t="str">
        <f>"17671101881"</f>
        <v>17671101881</v>
      </c>
      <c r="C9101" t="str">
        <f>"421122200009297314"</f>
        <v>421122200009297314</v>
      </c>
      <c r="D9101" t="s">
        <v>9717</v>
      </c>
      <c r="E9101" t="s">
        <v>9718</v>
      </c>
      <c r="F9101" t="s">
        <v>0</v>
      </c>
      <c r="G9101" t="str">
        <f>"2018-10-15 14:22:58"</f>
        <v>2018-10-15 14:22:58</v>
      </c>
    </row>
    <row r="9102" spans="1:7" x14ac:dyDescent="0.2">
      <c r="A9102" t="s">
        <v>9719</v>
      </c>
      <c r="B9102" t="str">
        <f>"18981352666"</f>
        <v>18981352666</v>
      </c>
      <c r="C9102" t="str">
        <f>"511112198112206010"</f>
        <v>511112198112206010</v>
      </c>
      <c r="D9102" t="s">
        <v>1</v>
      </c>
      <c r="E9102" t="s">
        <v>1</v>
      </c>
      <c r="F9102" t="s">
        <v>0</v>
      </c>
      <c r="G9102" t="str">
        <f>"2018-10-15 14:21:24"</f>
        <v>2018-10-15 14:21:24</v>
      </c>
    </row>
    <row r="9103" spans="1:7" x14ac:dyDescent="0.2">
      <c r="A9103" t="s">
        <v>9720</v>
      </c>
      <c r="B9103" t="str">
        <f>"13919690373"</f>
        <v>13919690373</v>
      </c>
      <c r="C9103" t="str">
        <f>"622429198805190226"</f>
        <v>622429198805190226</v>
      </c>
      <c r="D9103" t="s">
        <v>1</v>
      </c>
      <c r="E9103" t="s">
        <v>1</v>
      </c>
      <c r="F9103" t="s">
        <v>0</v>
      </c>
      <c r="G9103" t="str">
        <f>"2018-10-15 14:33:45"</f>
        <v>2018-10-15 14:33:45</v>
      </c>
    </row>
    <row r="9104" spans="1:7" x14ac:dyDescent="0.2">
      <c r="A9104" t="s">
        <v>804</v>
      </c>
      <c r="B9104" t="str">
        <f>"15765598195"</f>
        <v>15765598195</v>
      </c>
      <c r="C9104" t="str">
        <f>"230183199404062217"</f>
        <v>230183199404062217</v>
      </c>
      <c r="D9104" t="s">
        <v>9721</v>
      </c>
      <c r="E9104" t="s">
        <v>9721</v>
      </c>
      <c r="F9104" t="s">
        <v>0</v>
      </c>
      <c r="G9104" t="str">
        <f>"2018-10-15 14:20:59"</f>
        <v>2018-10-15 14:20:59</v>
      </c>
    </row>
    <row r="9105" spans="1:7" x14ac:dyDescent="0.2">
      <c r="A9105" t="s">
        <v>1</v>
      </c>
      <c r="B9105" t="str">
        <f>"13078014797"</f>
        <v>13078014797</v>
      </c>
      <c r="C9105" t="s">
        <v>1</v>
      </c>
      <c r="D9105" t="s">
        <v>1</v>
      </c>
      <c r="E9105" t="s">
        <v>1</v>
      </c>
      <c r="F9105" t="s">
        <v>0</v>
      </c>
      <c r="G9105" t="str">
        <f>"2018-10-15 14:18:42"</f>
        <v>2018-10-15 14:18:42</v>
      </c>
    </row>
    <row r="9106" spans="1:7" x14ac:dyDescent="0.2">
      <c r="A9106" t="s">
        <v>9722</v>
      </c>
      <c r="B9106" t="str">
        <f>"13126429655"</f>
        <v>13126429655</v>
      </c>
      <c r="C9106" t="str">
        <f>"450721199508247210"</f>
        <v>450721199508247210</v>
      </c>
      <c r="D9106" t="s">
        <v>1</v>
      </c>
      <c r="E9106" t="s">
        <v>1</v>
      </c>
      <c r="F9106" t="s">
        <v>0</v>
      </c>
      <c r="G9106" t="str">
        <f>"2018-10-15 14:18:00"</f>
        <v>2018-10-15 14:18:00</v>
      </c>
    </row>
    <row r="9107" spans="1:7" x14ac:dyDescent="0.2">
      <c r="A9107" t="s">
        <v>9723</v>
      </c>
      <c r="B9107" t="str">
        <f>"13377502636"</f>
        <v>13377502636</v>
      </c>
      <c r="C9107" t="str">
        <f>"440702197103200043"</f>
        <v>440702197103200043</v>
      </c>
      <c r="D9107" t="s">
        <v>1</v>
      </c>
      <c r="E9107" t="s">
        <v>1</v>
      </c>
      <c r="F9107" t="s">
        <v>0</v>
      </c>
      <c r="G9107" t="str">
        <f>"2018-10-15 14:17:57"</f>
        <v>2018-10-15 14:17:57</v>
      </c>
    </row>
    <row r="9108" spans="1:7" x14ac:dyDescent="0.2">
      <c r="A9108" t="s">
        <v>9724</v>
      </c>
      <c r="B9108" t="str">
        <f>"13936352760"</f>
        <v>13936352760</v>
      </c>
      <c r="C9108" t="str">
        <f>"23012319890722044X"</f>
        <v>23012319890722044X</v>
      </c>
      <c r="D9108" t="s">
        <v>9725</v>
      </c>
      <c r="E9108" t="s">
        <v>9726</v>
      </c>
      <c r="F9108" t="s">
        <v>0</v>
      </c>
      <c r="G9108" t="str">
        <f>"2018-10-15 14:23:39"</f>
        <v>2018-10-15 14:23:39</v>
      </c>
    </row>
    <row r="9109" spans="1:7" x14ac:dyDescent="0.2">
      <c r="A9109" t="s">
        <v>9727</v>
      </c>
      <c r="B9109" t="str">
        <f>"15587198928"</f>
        <v>15587198928</v>
      </c>
      <c r="C9109" t="str">
        <f>"512322197509280016"</f>
        <v>512322197509280016</v>
      </c>
      <c r="D9109" t="s">
        <v>9728</v>
      </c>
      <c r="E9109" t="s">
        <v>9729</v>
      </c>
      <c r="F9109" t="s">
        <v>0</v>
      </c>
      <c r="G9109" t="str">
        <f>"2018-10-15 14:19:42"</f>
        <v>2018-10-15 14:19:42</v>
      </c>
    </row>
    <row r="9110" spans="1:7" x14ac:dyDescent="0.2">
      <c r="A9110" t="s">
        <v>1</v>
      </c>
      <c r="B9110" t="str">
        <f>"18152262789"</f>
        <v>18152262789</v>
      </c>
      <c r="C9110" t="s">
        <v>1</v>
      </c>
      <c r="D9110" t="s">
        <v>1</v>
      </c>
      <c r="E9110" t="s">
        <v>1</v>
      </c>
      <c r="F9110" t="s">
        <v>0</v>
      </c>
      <c r="G9110" t="str">
        <f>"2018-10-15 14:18:43"</f>
        <v>2018-10-15 14:18:43</v>
      </c>
    </row>
    <row r="9111" spans="1:7" x14ac:dyDescent="0.2">
      <c r="A9111" t="s">
        <v>9730</v>
      </c>
      <c r="B9111" t="str">
        <f>"15139126165"</f>
        <v>15139126165</v>
      </c>
      <c r="C9111" t="str">
        <f>"410822199003075526"</f>
        <v>410822199003075526</v>
      </c>
      <c r="D9111" t="s">
        <v>1</v>
      </c>
      <c r="E9111" t="s">
        <v>1</v>
      </c>
      <c r="F9111" t="s">
        <v>0</v>
      </c>
      <c r="G9111" t="str">
        <f>"2018-10-16 16:45:18"</f>
        <v>2018-10-16 16:45:18</v>
      </c>
    </row>
    <row r="9112" spans="1:7" x14ac:dyDescent="0.2">
      <c r="A9112" t="s">
        <v>9731</v>
      </c>
      <c r="B9112" t="str">
        <f>"18060100607"</f>
        <v>18060100607</v>
      </c>
      <c r="C9112" t="str">
        <f>"350525198106191636"</f>
        <v>350525198106191636</v>
      </c>
      <c r="D9112" t="s">
        <v>1</v>
      </c>
      <c r="E9112" t="s">
        <v>1</v>
      </c>
      <c r="F9112" t="s">
        <v>0</v>
      </c>
      <c r="G9112" t="str">
        <f>"2018-10-15 14:18:25"</f>
        <v>2018-10-15 14:18:25</v>
      </c>
    </row>
    <row r="9113" spans="1:7" x14ac:dyDescent="0.2">
      <c r="A9113" t="s">
        <v>1</v>
      </c>
      <c r="B9113" t="str">
        <f>"13807861457"</f>
        <v>13807861457</v>
      </c>
      <c r="C9113" t="s">
        <v>1</v>
      </c>
      <c r="D9113" t="s">
        <v>1</v>
      </c>
      <c r="E9113" t="s">
        <v>1</v>
      </c>
      <c r="F9113" t="s">
        <v>0</v>
      </c>
      <c r="G9113" t="str">
        <f>"2018-10-15 14:16:37"</f>
        <v>2018-10-15 14:16:37</v>
      </c>
    </row>
    <row r="9114" spans="1:7" x14ac:dyDescent="0.2">
      <c r="A9114" t="s">
        <v>9732</v>
      </c>
      <c r="B9114" t="str">
        <f>"13860526064"</f>
        <v>13860526064</v>
      </c>
      <c r="C9114" t="str">
        <f>"35040219870528202X"</f>
        <v>35040219870528202X</v>
      </c>
      <c r="D9114" t="s">
        <v>1</v>
      </c>
      <c r="E9114" t="s">
        <v>1</v>
      </c>
      <c r="F9114" t="s">
        <v>0</v>
      </c>
      <c r="G9114" t="str">
        <f>"2018-10-15 14:16:27"</f>
        <v>2018-10-15 14:16:27</v>
      </c>
    </row>
    <row r="9115" spans="1:7" x14ac:dyDescent="0.2">
      <c r="A9115" t="s">
        <v>9733</v>
      </c>
      <c r="B9115" t="str">
        <f>"18587755782"</f>
        <v>18587755782</v>
      </c>
      <c r="C9115" t="str">
        <f>"620423197802052819"</f>
        <v>620423197802052819</v>
      </c>
      <c r="D9115" t="s">
        <v>1</v>
      </c>
      <c r="E9115" t="s">
        <v>1</v>
      </c>
      <c r="F9115" t="s">
        <v>0</v>
      </c>
      <c r="G9115" t="str">
        <f>"2018-11-04 17:44:17"</f>
        <v>2018-11-04 17:44:17</v>
      </c>
    </row>
    <row r="9116" spans="1:7" x14ac:dyDescent="0.2">
      <c r="A9116" t="s">
        <v>1712</v>
      </c>
      <c r="B9116" t="str">
        <f>"15910036010"</f>
        <v>15910036010</v>
      </c>
      <c r="C9116" t="str">
        <f>"370682199201156725"</f>
        <v>370682199201156725</v>
      </c>
      <c r="D9116" t="s">
        <v>1</v>
      </c>
      <c r="E9116" t="s">
        <v>1</v>
      </c>
      <c r="F9116" t="s">
        <v>0</v>
      </c>
      <c r="G9116" t="str">
        <f>"2018-10-15 21:32:10"</f>
        <v>2018-10-15 21:32:10</v>
      </c>
    </row>
    <row r="9117" spans="1:7" x14ac:dyDescent="0.2">
      <c r="A9117" t="s">
        <v>1</v>
      </c>
      <c r="B9117" t="str">
        <f>"13185482863"</f>
        <v>13185482863</v>
      </c>
      <c r="C9117" t="s">
        <v>1</v>
      </c>
      <c r="D9117" t="s">
        <v>1</v>
      </c>
      <c r="E9117" t="s">
        <v>1</v>
      </c>
      <c r="F9117" t="s">
        <v>0</v>
      </c>
      <c r="G9117" t="str">
        <f>"2018-10-15 14:14:00"</f>
        <v>2018-10-15 14:14:00</v>
      </c>
    </row>
    <row r="9118" spans="1:7" x14ac:dyDescent="0.2">
      <c r="A9118" t="s">
        <v>9734</v>
      </c>
      <c r="B9118" t="str">
        <f>"13912718006"</f>
        <v>13912718006</v>
      </c>
      <c r="C9118" t="str">
        <f>"34240119901106427X"</f>
        <v>34240119901106427X</v>
      </c>
      <c r="D9118" t="s">
        <v>1</v>
      </c>
      <c r="E9118" t="s">
        <v>1</v>
      </c>
      <c r="F9118" t="s">
        <v>0</v>
      </c>
      <c r="G9118" t="str">
        <f>"2018-10-15 14:15:05"</f>
        <v>2018-10-15 14:15:05</v>
      </c>
    </row>
    <row r="9119" spans="1:7" x14ac:dyDescent="0.2">
      <c r="A9119" t="s">
        <v>9735</v>
      </c>
      <c r="B9119" t="str">
        <f>"18339939005"</f>
        <v>18339939005</v>
      </c>
      <c r="C9119" t="str">
        <f>"410183199203261029"</f>
        <v>410183199203261029</v>
      </c>
      <c r="D9119" t="s">
        <v>1</v>
      </c>
      <c r="E9119" t="s">
        <v>1</v>
      </c>
      <c r="F9119" t="s">
        <v>0</v>
      </c>
      <c r="G9119" t="str">
        <f>"2018-10-15 14:14:56"</f>
        <v>2018-10-15 14:14:56</v>
      </c>
    </row>
    <row r="9120" spans="1:7" x14ac:dyDescent="0.2">
      <c r="A9120" t="s">
        <v>9736</v>
      </c>
      <c r="B9120" t="str">
        <f>"18752188126"</f>
        <v>18752188126</v>
      </c>
      <c r="C9120" t="str">
        <f>"320321199103172029"</f>
        <v>320321199103172029</v>
      </c>
      <c r="D9120" t="s">
        <v>1</v>
      </c>
      <c r="E9120" t="s">
        <v>1</v>
      </c>
      <c r="F9120" t="s">
        <v>0</v>
      </c>
      <c r="G9120" t="str">
        <f>"2018-10-15 14:18:37"</f>
        <v>2018-10-15 14:18:37</v>
      </c>
    </row>
    <row r="9121" spans="1:7" x14ac:dyDescent="0.2">
      <c r="A9121" t="s">
        <v>275</v>
      </c>
      <c r="B9121" t="str">
        <f>"15732037095"</f>
        <v>15732037095</v>
      </c>
      <c r="C9121" t="str">
        <f>"150207199310092326"</f>
        <v>150207199310092326</v>
      </c>
      <c r="D9121" t="s">
        <v>9737</v>
      </c>
      <c r="E9121" t="s">
        <v>9738</v>
      </c>
      <c r="F9121" t="s">
        <v>0</v>
      </c>
      <c r="G9121" t="str">
        <f>"2018-10-30 16:26:33"</f>
        <v>2018-10-30 16:26:33</v>
      </c>
    </row>
    <row r="9122" spans="1:7" x14ac:dyDescent="0.2">
      <c r="A9122" t="s">
        <v>9739</v>
      </c>
      <c r="B9122" t="str">
        <f>"15550833030"</f>
        <v>15550833030</v>
      </c>
      <c r="C9122" t="str">
        <f>"370923199801081217"</f>
        <v>370923199801081217</v>
      </c>
      <c r="D9122" t="s">
        <v>1</v>
      </c>
      <c r="E9122" t="s">
        <v>1</v>
      </c>
      <c r="F9122" t="s">
        <v>0</v>
      </c>
      <c r="G9122" t="str">
        <f>"2018-10-15 14:14:20"</f>
        <v>2018-10-15 14:14:20</v>
      </c>
    </row>
    <row r="9123" spans="1:7" x14ac:dyDescent="0.2">
      <c r="A9123" t="s">
        <v>9740</v>
      </c>
      <c r="B9123" t="str">
        <f>"13860638808"</f>
        <v>13860638808</v>
      </c>
      <c r="C9123" t="str">
        <f>"350426198801103555"</f>
        <v>350426198801103555</v>
      </c>
      <c r="D9123" t="s">
        <v>1</v>
      </c>
      <c r="E9123" t="s">
        <v>1</v>
      </c>
      <c r="F9123" t="s">
        <v>0</v>
      </c>
      <c r="G9123" t="str">
        <f>"2018-10-16 23:07:53"</f>
        <v>2018-10-16 23:07:53</v>
      </c>
    </row>
    <row r="9124" spans="1:7" x14ac:dyDescent="0.2">
      <c r="A9124" t="s">
        <v>1</v>
      </c>
      <c r="B9124" t="str">
        <f>"15727268877"</f>
        <v>15727268877</v>
      </c>
      <c r="C9124" t="s">
        <v>1</v>
      </c>
      <c r="D9124" t="s">
        <v>1</v>
      </c>
      <c r="E9124" t="s">
        <v>1</v>
      </c>
      <c r="F9124" t="s">
        <v>0</v>
      </c>
      <c r="G9124" t="str">
        <f>"2018-10-15 14:10:35"</f>
        <v>2018-10-15 14:10:35</v>
      </c>
    </row>
    <row r="9125" spans="1:7" x14ac:dyDescent="0.2">
      <c r="A9125" t="s">
        <v>9741</v>
      </c>
      <c r="B9125" t="str">
        <f>"15639162217"</f>
        <v>15639162217</v>
      </c>
      <c r="C9125" t="str">
        <f>"410822198011111027"</f>
        <v>410822198011111027</v>
      </c>
      <c r="D9125" t="s">
        <v>9742</v>
      </c>
      <c r="E9125" t="s">
        <v>9743</v>
      </c>
      <c r="F9125" t="s">
        <v>0</v>
      </c>
      <c r="G9125" t="str">
        <f>"2018-10-15 14:56:26"</f>
        <v>2018-10-15 14:56:26</v>
      </c>
    </row>
    <row r="9126" spans="1:7" x14ac:dyDescent="0.2">
      <c r="A9126" t="s">
        <v>470</v>
      </c>
      <c r="B9126" t="str">
        <f>"15832221997"</f>
        <v>15832221997</v>
      </c>
      <c r="C9126" t="str">
        <f>"130603198208300940"</f>
        <v>130603198208300940</v>
      </c>
      <c r="D9126" t="s">
        <v>9744</v>
      </c>
      <c r="E9126" t="s">
        <v>9745</v>
      </c>
      <c r="F9126" t="s">
        <v>0</v>
      </c>
      <c r="G9126" t="str">
        <f>"2018-10-15 14:12:09"</f>
        <v>2018-10-15 14:12:09</v>
      </c>
    </row>
    <row r="9127" spans="1:7" x14ac:dyDescent="0.2">
      <c r="A9127" t="s">
        <v>9746</v>
      </c>
      <c r="B9127" t="str">
        <f>"15149369436"</f>
        <v>15149369436</v>
      </c>
      <c r="C9127" t="str">
        <f>"150207199303053855"</f>
        <v>150207199303053855</v>
      </c>
      <c r="D9127" t="s">
        <v>9747</v>
      </c>
      <c r="E9127" t="s">
        <v>9748</v>
      </c>
      <c r="F9127" t="s">
        <v>0</v>
      </c>
      <c r="G9127" t="str">
        <f>"2018-10-15 14:11:39"</f>
        <v>2018-10-15 14:11:39</v>
      </c>
    </row>
    <row r="9128" spans="1:7" x14ac:dyDescent="0.2">
      <c r="A9128" t="s">
        <v>1</v>
      </c>
      <c r="B9128" t="str">
        <f>"13603564902"</f>
        <v>13603564902</v>
      </c>
      <c r="C9128" t="s">
        <v>1</v>
      </c>
      <c r="D9128" t="s">
        <v>1</v>
      </c>
      <c r="E9128" t="s">
        <v>1</v>
      </c>
      <c r="F9128" t="s">
        <v>0</v>
      </c>
      <c r="G9128" t="str">
        <f>"2018-10-15 14:09:21"</f>
        <v>2018-10-15 14:09:21</v>
      </c>
    </row>
    <row r="9129" spans="1:7" x14ac:dyDescent="0.2">
      <c r="A9129" t="s">
        <v>9749</v>
      </c>
      <c r="B9129" t="str">
        <f>"15713344893"</f>
        <v>15713344893</v>
      </c>
      <c r="C9129" t="str">
        <f>"130431198810042133"</f>
        <v>130431198810042133</v>
      </c>
      <c r="D9129" t="s">
        <v>1</v>
      </c>
      <c r="E9129" t="s">
        <v>1</v>
      </c>
      <c r="F9129" t="s">
        <v>0</v>
      </c>
      <c r="G9129" t="str">
        <f>"2018-10-15 14:10:37"</f>
        <v>2018-10-15 14:10:37</v>
      </c>
    </row>
    <row r="9130" spans="1:7" x14ac:dyDescent="0.2">
      <c r="A9130" t="s">
        <v>9750</v>
      </c>
      <c r="B9130" t="str">
        <f>"17745628171"</f>
        <v>17745628171</v>
      </c>
      <c r="C9130" t="str">
        <f>"230121198610232412"</f>
        <v>230121198610232412</v>
      </c>
      <c r="D9130" t="s">
        <v>1</v>
      </c>
      <c r="E9130" t="s">
        <v>1</v>
      </c>
      <c r="F9130" t="s">
        <v>0</v>
      </c>
      <c r="G9130" t="str">
        <f>"2018-10-15 14:09:38"</f>
        <v>2018-10-15 14:09:38</v>
      </c>
    </row>
    <row r="9131" spans="1:7" x14ac:dyDescent="0.2">
      <c r="A9131" t="s">
        <v>9751</v>
      </c>
      <c r="B9131" t="str">
        <f>"18435510804"</f>
        <v>18435510804</v>
      </c>
      <c r="C9131" t="str">
        <f>"140425198607076412"</f>
        <v>140425198607076412</v>
      </c>
      <c r="D9131" t="s">
        <v>9752</v>
      </c>
      <c r="E9131" t="s">
        <v>9753</v>
      </c>
      <c r="F9131" t="s">
        <v>0</v>
      </c>
      <c r="G9131" t="str">
        <f>"2018-10-15 14:10:07"</f>
        <v>2018-10-15 14:10:07</v>
      </c>
    </row>
    <row r="9132" spans="1:7" x14ac:dyDescent="0.2">
      <c r="A9132" t="s">
        <v>9754</v>
      </c>
      <c r="B9132" t="str">
        <f>"13646734833"</f>
        <v>13646734833</v>
      </c>
      <c r="C9132" t="str">
        <f>"430921198610294518"</f>
        <v>430921198610294518</v>
      </c>
      <c r="D9132" t="s">
        <v>1</v>
      </c>
      <c r="E9132" t="s">
        <v>1</v>
      </c>
      <c r="F9132" t="s">
        <v>0</v>
      </c>
      <c r="G9132" t="str">
        <f>"2018-10-15 14:10:46"</f>
        <v>2018-10-15 14:10:46</v>
      </c>
    </row>
    <row r="9133" spans="1:7" x14ac:dyDescent="0.2">
      <c r="A9133" t="s">
        <v>387</v>
      </c>
      <c r="B9133" t="str">
        <f>"18752958361"</f>
        <v>18752958361</v>
      </c>
      <c r="C9133" t="str">
        <f>"32118119931001381X"</f>
        <v>32118119931001381X</v>
      </c>
      <c r="D9133" t="s">
        <v>1</v>
      </c>
      <c r="E9133" t="s">
        <v>1</v>
      </c>
      <c r="F9133" t="s">
        <v>0</v>
      </c>
      <c r="G9133" t="str">
        <f>"2018-10-15 14:07:38"</f>
        <v>2018-10-15 14:07:38</v>
      </c>
    </row>
    <row r="9134" spans="1:7" x14ac:dyDescent="0.2">
      <c r="A9134" t="s">
        <v>9755</v>
      </c>
      <c r="B9134" t="str">
        <f>"18779026092"</f>
        <v>18779026092</v>
      </c>
      <c r="C9134" t="str">
        <f>"360731199508133839"</f>
        <v>360731199508133839</v>
      </c>
      <c r="D9134" t="s">
        <v>1</v>
      </c>
      <c r="E9134" t="s">
        <v>1</v>
      </c>
      <c r="F9134" t="s">
        <v>0</v>
      </c>
      <c r="G9134" t="str">
        <f>"2018-10-15 14:08:30"</f>
        <v>2018-10-15 14:08:30</v>
      </c>
    </row>
    <row r="9135" spans="1:7" x14ac:dyDescent="0.2">
      <c r="A9135" t="s">
        <v>1</v>
      </c>
      <c r="B9135" t="str">
        <f>"18930764528"</f>
        <v>18930764528</v>
      </c>
      <c r="C9135" t="s">
        <v>1</v>
      </c>
      <c r="D9135" t="s">
        <v>1</v>
      </c>
      <c r="E9135" t="s">
        <v>1</v>
      </c>
      <c r="F9135" t="s">
        <v>0</v>
      </c>
      <c r="G9135" t="str">
        <f>"2018-10-15 14:05:51"</f>
        <v>2018-10-15 14:05:51</v>
      </c>
    </row>
    <row r="9136" spans="1:7" x14ac:dyDescent="0.2">
      <c r="A9136" t="s">
        <v>9756</v>
      </c>
      <c r="B9136" t="str">
        <f>"13661649920"</f>
        <v>13661649920</v>
      </c>
      <c r="C9136" t="str">
        <f>"310109198802273580"</f>
        <v>310109198802273580</v>
      </c>
      <c r="D9136" t="s">
        <v>1</v>
      </c>
      <c r="E9136" t="s">
        <v>1</v>
      </c>
      <c r="F9136" t="s">
        <v>0</v>
      </c>
      <c r="G9136" t="str">
        <f>"2018-10-15 14:34:50"</f>
        <v>2018-10-15 14:34:50</v>
      </c>
    </row>
    <row r="9137" spans="1:7" x14ac:dyDescent="0.2">
      <c r="A9137" t="s">
        <v>9757</v>
      </c>
      <c r="B9137" t="str">
        <f>"13238280002"</f>
        <v>13238280002</v>
      </c>
      <c r="C9137" t="str">
        <f>"211222199409294412"</f>
        <v>211222199409294412</v>
      </c>
      <c r="D9137" t="s">
        <v>1</v>
      </c>
      <c r="E9137" t="s">
        <v>1</v>
      </c>
      <c r="F9137" t="s">
        <v>0</v>
      </c>
      <c r="G9137" t="str">
        <f>"2018-10-15 14:06:06"</f>
        <v>2018-10-15 14:06:06</v>
      </c>
    </row>
    <row r="9138" spans="1:7" x14ac:dyDescent="0.2">
      <c r="A9138" t="s">
        <v>8988</v>
      </c>
      <c r="B9138" t="str">
        <f>"18369323759"</f>
        <v>18369323759</v>
      </c>
      <c r="C9138" t="str">
        <f>"371328199707091515"</f>
        <v>371328199707091515</v>
      </c>
      <c r="D9138" t="s">
        <v>9758</v>
      </c>
      <c r="E9138" t="s">
        <v>9759</v>
      </c>
      <c r="F9138" t="s">
        <v>0</v>
      </c>
      <c r="G9138" t="str">
        <f>"2018-10-15 14:08:00"</f>
        <v>2018-10-15 14:08:00</v>
      </c>
    </row>
    <row r="9139" spans="1:7" x14ac:dyDescent="0.2">
      <c r="A9139" t="s">
        <v>9760</v>
      </c>
      <c r="B9139" t="str">
        <f>"13281000535"</f>
        <v>13281000535</v>
      </c>
      <c r="C9139" t="str">
        <f>"510403199507193115"</f>
        <v>510403199507193115</v>
      </c>
      <c r="D9139" t="s">
        <v>1</v>
      </c>
      <c r="E9139" t="s">
        <v>1</v>
      </c>
      <c r="F9139" t="s">
        <v>0</v>
      </c>
      <c r="G9139" t="str">
        <f>"2018-10-15 14:26:56"</f>
        <v>2018-10-15 14:26:56</v>
      </c>
    </row>
    <row r="9140" spans="1:7" x14ac:dyDescent="0.2">
      <c r="A9140" t="s">
        <v>9761</v>
      </c>
      <c r="B9140" t="str">
        <f>"13985382516"</f>
        <v>13985382516</v>
      </c>
      <c r="C9140" t="str">
        <f>"520203199006100217"</f>
        <v>520203199006100217</v>
      </c>
      <c r="D9140" t="s">
        <v>1</v>
      </c>
      <c r="E9140" t="s">
        <v>1</v>
      </c>
      <c r="F9140" t="s">
        <v>0</v>
      </c>
      <c r="G9140" t="str">
        <f>"2018-10-15 14:06:17"</f>
        <v>2018-10-15 14:06:17</v>
      </c>
    </row>
    <row r="9141" spans="1:7" x14ac:dyDescent="0.2">
      <c r="A9141" t="s">
        <v>9762</v>
      </c>
      <c r="B9141" t="str">
        <f>"18796746860"</f>
        <v>18796746860</v>
      </c>
      <c r="C9141" t="str">
        <f>"321281199012034693"</f>
        <v>321281199012034693</v>
      </c>
      <c r="D9141" t="s">
        <v>1</v>
      </c>
      <c r="E9141" t="s">
        <v>1</v>
      </c>
      <c r="F9141" t="s">
        <v>0</v>
      </c>
      <c r="G9141" t="str">
        <f>"2018-10-17 20:20:07"</f>
        <v>2018-10-17 20:20:07</v>
      </c>
    </row>
    <row r="9142" spans="1:7" x14ac:dyDescent="0.2">
      <c r="A9142" t="s">
        <v>1</v>
      </c>
      <c r="B9142" t="str">
        <f>"13846709270"</f>
        <v>13846709270</v>
      </c>
      <c r="C9142" t="s">
        <v>1</v>
      </c>
      <c r="D9142" t="s">
        <v>1</v>
      </c>
      <c r="E9142" t="s">
        <v>1</v>
      </c>
      <c r="F9142" t="s">
        <v>0</v>
      </c>
      <c r="G9142" t="str">
        <f>"2018-10-15 14:04:29"</f>
        <v>2018-10-15 14:04:29</v>
      </c>
    </row>
    <row r="9143" spans="1:7" x14ac:dyDescent="0.2">
      <c r="A9143" t="s">
        <v>9763</v>
      </c>
      <c r="B9143" t="str">
        <f>"18876334961"</f>
        <v>18876334961</v>
      </c>
      <c r="C9143" t="str">
        <f>"350622199812162024"</f>
        <v>350622199812162024</v>
      </c>
      <c r="D9143" t="s">
        <v>1</v>
      </c>
      <c r="E9143" t="s">
        <v>1</v>
      </c>
      <c r="F9143" t="s">
        <v>0</v>
      </c>
      <c r="G9143" t="str">
        <f>"2018-10-15 14:17:10"</f>
        <v>2018-10-15 14:17:10</v>
      </c>
    </row>
    <row r="9144" spans="1:7" x14ac:dyDescent="0.2">
      <c r="A9144" t="s">
        <v>1</v>
      </c>
      <c r="B9144" t="str">
        <f>"18589630506"</f>
        <v>18589630506</v>
      </c>
      <c r="C9144" t="s">
        <v>1</v>
      </c>
      <c r="D9144" t="s">
        <v>1</v>
      </c>
      <c r="E9144" t="s">
        <v>1</v>
      </c>
      <c r="F9144" t="s">
        <v>0</v>
      </c>
      <c r="G9144" t="str">
        <f>"2018-10-15 14:04:12"</f>
        <v>2018-10-15 14:04:12</v>
      </c>
    </row>
    <row r="9145" spans="1:7" x14ac:dyDescent="0.2">
      <c r="A9145" t="s">
        <v>9764</v>
      </c>
      <c r="B9145" t="str">
        <f>"18216333973"</f>
        <v>18216333973</v>
      </c>
      <c r="C9145" t="str">
        <f>"430681198508290633"</f>
        <v>430681198508290633</v>
      </c>
      <c r="D9145" t="s">
        <v>1</v>
      </c>
      <c r="E9145" t="s">
        <v>1</v>
      </c>
      <c r="F9145" t="s">
        <v>0</v>
      </c>
      <c r="G9145" t="str">
        <f>"2018-10-15 14:05:17"</f>
        <v>2018-10-15 14:05:17</v>
      </c>
    </row>
    <row r="9146" spans="1:7" x14ac:dyDescent="0.2">
      <c r="A9146" t="s">
        <v>1</v>
      </c>
      <c r="B9146" t="str">
        <f>"15578064865"</f>
        <v>15578064865</v>
      </c>
      <c r="C9146" t="s">
        <v>1</v>
      </c>
      <c r="D9146" t="s">
        <v>1</v>
      </c>
      <c r="E9146" t="s">
        <v>1</v>
      </c>
      <c r="F9146" t="s">
        <v>0</v>
      </c>
      <c r="G9146" t="str">
        <f>"2018-10-15 14:04:11"</f>
        <v>2018-10-15 14:04:11</v>
      </c>
    </row>
    <row r="9147" spans="1:7" x14ac:dyDescent="0.2">
      <c r="A9147" t="s">
        <v>9765</v>
      </c>
      <c r="B9147" t="str">
        <f>"18325864342"</f>
        <v>18325864342</v>
      </c>
      <c r="C9147" t="str">
        <f>"341225198908140059"</f>
        <v>341225198908140059</v>
      </c>
      <c r="D9147" t="s">
        <v>1</v>
      </c>
      <c r="E9147" t="s">
        <v>1</v>
      </c>
      <c r="F9147" t="s">
        <v>0</v>
      </c>
      <c r="G9147" t="str">
        <f>"2018-10-15 14:07:52"</f>
        <v>2018-10-15 14:07:52</v>
      </c>
    </row>
    <row r="9148" spans="1:7" x14ac:dyDescent="0.2">
      <c r="A9148" t="s">
        <v>9766</v>
      </c>
      <c r="B9148" t="str">
        <f>"13546210982"</f>
        <v>13546210982</v>
      </c>
      <c r="C9148" t="str">
        <f>"140581198608062916"</f>
        <v>140581198608062916</v>
      </c>
      <c r="D9148" t="s">
        <v>9767</v>
      </c>
      <c r="E9148" t="s">
        <v>9768</v>
      </c>
      <c r="F9148" t="s">
        <v>0</v>
      </c>
      <c r="G9148" t="str">
        <f>"2018-10-15 14:19:45"</f>
        <v>2018-10-15 14:19:45</v>
      </c>
    </row>
    <row r="9149" spans="1:7" x14ac:dyDescent="0.2">
      <c r="A9149" t="s">
        <v>1</v>
      </c>
      <c r="B9149" t="str">
        <f>"13075946203"</f>
        <v>13075946203</v>
      </c>
      <c r="C9149" t="s">
        <v>1</v>
      </c>
      <c r="D9149" t="s">
        <v>1</v>
      </c>
      <c r="E9149" t="s">
        <v>1</v>
      </c>
      <c r="F9149" t="s">
        <v>0</v>
      </c>
      <c r="G9149" t="str">
        <f>"2018-10-15 14:03:13"</f>
        <v>2018-10-15 14:03:13</v>
      </c>
    </row>
    <row r="9150" spans="1:7" x14ac:dyDescent="0.2">
      <c r="A9150" t="s">
        <v>9769</v>
      </c>
      <c r="B9150" t="str">
        <f>"15344616339"</f>
        <v>15344616339</v>
      </c>
      <c r="C9150" t="str">
        <f>"230281199511280220"</f>
        <v>230281199511280220</v>
      </c>
      <c r="D9150" t="s">
        <v>1</v>
      </c>
      <c r="E9150" t="s">
        <v>1</v>
      </c>
      <c r="F9150" t="s">
        <v>0</v>
      </c>
      <c r="G9150" t="str">
        <f>"2018-10-15 14:04:50"</f>
        <v>2018-10-15 14:04:50</v>
      </c>
    </row>
    <row r="9151" spans="1:7" x14ac:dyDescent="0.2">
      <c r="A9151" t="s">
        <v>1</v>
      </c>
      <c r="B9151" t="str">
        <f>"15951029623"</f>
        <v>15951029623</v>
      </c>
      <c r="C9151" t="s">
        <v>1</v>
      </c>
      <c r="D9151" t="s">
        <v>1</v>
      </c>
      <c r="E9151" t="s">
        <v>1</v>
      </c>
      <c r="F9151" t="s">
        <v>0</v>
      </c>
      <c r="G9151" t="str">
        <f>"2018-10-15 14:03:00"</f>
        <v>2018-10-15 14:03:00</v>
      </c>
    </row>
    <row r="9152" spans="1:7" x14ac:dyDescent="0.2">
      <c r="A9152" t="s">
        <v>9770</v>
      </c>
      <c r="B9152" t="str">
        <f>"13783408380"</f>
        <v>13783408380</v>
      </c>
      <c r="C9152" t="str">
        <f>"410102197904037030"</f>
        <v>410102197904037030</v>
      </c>
      <c r="D9152" t="s">
        <v>1</v>
      </c>
      <c r="E9152" t="s">
        <v>1</v>
      </c>
      <c r="F9152" t="s">
        <v>0</v>
      </c>
      <c r="G9152" t="str">
        <f>"2018-10-15 14:03:33"</f>
        <v>2018-10-15 14:03:33</v>
      </c>
    </row>
    <row r="9153" spans="1:7" x14ac:dyDescent="0.2">
      <c r="A9153" t="s">
        <v>9771</v>
      </c>
      <c r="B9153" t="str">
        <f>"17871258466"</f>
        <v>17871258466</v>
      </c>
      <c r="C9153" t="str">
        <f>"422301198402113577"</f>
        <v>422301198402113577</v>
      </c>
      <c r="D9153" t="s">
        <v>1</v>
      </c>
      <c r="E9153" t="s">
        <v>1</v>
      </c>
      <c r="F9153" t="s">
        <v>0</v>
      </c>
      <c r="G9153" t="str">
        <f>"2018-10-20 09:59:48"</f>
        <v>2018-10-20 09:59:48</v>
      </c>
    </row>
    <row r="9154" spans="1:7" x14ac:dyDescent="0.2">
      <c r="A9154" t="s">
        <v>9772</v>
      </c>
      <c r="B9154" t="str">
        <f>"15138037508"</f>
        <v>15138037508</v>
      </c>
      <c r="C9154" t="str">
        <f>"410823196811207913"</f>
        <v>410823196811207913</v>
      </c>
      <c r="D9154" t="s">
        <v>1</v>
      </c>
      <c r="E9154" t="s">
        <v>1</v>
      </c>
      <c r="F9154" t="s">
        <v>0</v>
      </c>
      <c r="G9154" t="str">
        <f>"2018-10-15 14:02:01"</f>
        <v>2018-10-15 14:02:01</v>
      </c>
    </row>
    <row r="9155" spans="1:7" x14ac:dyDescent="0.2">
      <c r="A9155" t="s">
        <v>1</v>
      </c>
      <c r="B9155" t="str">
        <f>"18213202781"</f>
        <v>18213202781</v>
      </c>
      <c r="C9155" t="s">
        <v>1</v>
      </c>
      <c r="D9155" t="s">
        <v>1</v>
      </c>
      <c r="E9155" t="s">
        <v>1</v>
      </c>
      <c r="F9155" t="s">
        <v>0</v>
      </c>
      <c r="G9155" t="str">
        <f>"2018-10-15 14:01:20"</f>
        <v>2018-10-15 14:01:20</v>
      </c>
    </row>
    <row r="9156" spans="1:7" x14ac:dyDescent="0.2">
      <c r="A9156" t="s">
        <v>1</v>
      </c>
      <c r="B9156" t="str">
        <f>"18710729291"</f>
        <v>18710729291</v>
      </c>
      <c r="C9156" t="s">
        <v>1</v>
      </c>
      <c r="D9156" t="s">
        <v>1</v>
      </c>
      <c r="E9156" t="s">
        <v>1</v>
      </c>
      <c r="F9156" t="s">
        <v>0</v>
      </c>
      <c r="G9156" t="str">
        <f>"2018-10-15 13:59:50"</f>
        <v>2018-10-15 13:59:50</v>
      </c>
    </row>
    <row r="9157" spans="1:7" x14ac:dyDescent="0.2">
      <c r="A9157" t="s">
        <v>1</v>
      </c>
      <c r="B9157" t="str">
        <f>"18906051605"</f>
        <v>18906051605</v>
      </c>
      <c r="C9157" t="s">
        <v>1</v>
      </c>
      <c r="D9157" t="s">
        <v>1</v>
      </c>
      <c r="E9157" t="s">
        <v>1</v>
      </c>
      <c r="F9157" t="s">
        <v>0</v>
      </c>
      <c r="G9157" t="str">
        <f>"2018-10-15 14:02:30"</f>
        <v>2018-10-15 14:02:30</v>
      </c>
    </row>
    <row r="9158" spans="1:7" x14ac:dyDescent="0.2">
      <c r="A9158" t="s">
        <v>9773</v>
      </c>
      <c r="B9158" t="str">
        <f>"15172472361"</f>
        <v>15172472361</v>
      </c>
      <c r="C9158" t="str">
        <f>"421221199406280034"</f>
        <v>421221199406280034</v>
      </c>
      <c r="D9158" t="s">
        <v>1</v>
      </c>
      <c r="E9158" t="s">
        <v>1</v>
      </c>
      <c r="F9158" t="s">
        <v>0</v>
      </c>
      <c r="G9158" t="str">
        <f>"2018-10-15 14:42:51"</f>
        <v>2018-10-15 14:42:51</v>
      </c>
    </row>
    <row r="9159" spans="1:7" x14ac:dyDescent="0.2">
      <c r="A9159" t="s">
        <v>9774</v>
      </c>
      <c r="B9159" t="str">
        <f>"15977555675"</f>
        <v>15977555675</v>
      </c>
      <c r="C9159" t="str">
        <f>"452501199302031217"</f>
        <v>452501199302031217</v>
      </c>
      <c r="D9159" t="s">
        <v>1</v>
      </c>
      <c r="E9159" t="s">
        <v>1</v>
      </c>
      <c r="F9159" t="s">
        <v>0</v>
      </c>
      <c r="G9159" t="str">
        <f>"2018-10-15 14:00:36"</f>
        <v>2018-10-15 14:00:36</v>
      </c>
    </row>
    <row r="9160" spans="1:7" x14ac:dyDescent="0.2">
      <c r="A9160" t="s">
        <v>1</v>
      </c>
      <c r="B9160" t="str">
        <f>"18787660963"</f>
        <v>18787660963</v>
      </c>
      <c r="C9160" t="s">
        <v>1</v>
      </c>
      <c r="D9160" t="s">
        <v>1</v>
      </c>
      <c r="E9160" t="s">
        <v>1</v>
      </c>
      <c r="F9160" t="s">
        <v>0</v>
      </c>
      <c r="G9160" t="str">
        <f>"2018-10-15 13:58:57"</f>
        <v>2018-10-15 13:58:57</v>
      </c>
    </row>
    <row r="9161" spans="1:7" x14ac:dyDescent="0.2">
      <c r="A9161" t="s">
        <v>9775</v>
      </c>
      <c r="B9161" t="str">
        <f>"18999174520"</f>
        <v>18999174520</v>
      </c>
      <c r="C9161" t="str">
        <f>"230702198906260918"</f>
        <v>230702198906260918</v>
      </c>
      <c r="D9161" t="s">
        <v>1</v>
      </c>
      <c r="E9161" t="s">
        <v>1</v>
      </c>
      <c r="F9161" t="s">
        <v>0</v>
      </c>
      <c r="G9161" t="str">
        <f>"2018-10-15 14:00:25"</f>
        <v>2018-10-15 14:00:25</v>
      </c>
    </row>
    <row r="9162" spans="1:7" x14ac:dyDescent="0.2">
      <c r="A9162" t="s">
        <v>1</v>
      </c>
      <c r="B9162" t="str">
        <f>"18783512500"</f>
        <v>18783512500</v>
      </c>
      <c r="C9162" t="s">
        <v>1</v>
      </c>
      <c r="D9162" t="s">
        <v>1</v>
      </c>
      <c r="E9162" t="s">
        <v>1</v>
      </c>
      <c r="F9162" t="s">
        <v>0</v>
      </c>
      <c r="G9162" t="str">
        <f>"2018-10-15 13:58:14"</f>
        <v>2018-10-15 13:58:14</v>
      </c>
    </row>
    <row r="9163" spans="1:7" x14ac:dyDescent="0.2">
      <c r="A9163" t="s">
        <v>1</v>
      </c>
      <c r="B9163" t="str">
        <f>"13734157967"</f>
        <v>13734157967</v>
      </c>
      <c r="C9163" t="s">
        <v>1</v>
      </c>
      <c r="D9163" t="s">
        <v>1</v>
      </c>
      <c r="E9163" t="s">
        <v>1</v>
      </c>
      <c r="F9163" t="s">
        <v>0</v>
      </c>
      <c r="G9163" t="str">
        <f>"2018-10-15 13:57:42"</f>
        <v>2018-10-15 13:57:42</v>
      </c>
    </row>
    <row r="9164" spans="1:7" x14ac:dyDescent="0.2">
      <c r="A9164" t="s">
        <v>9776</v>
      </c>
      <c r="B9164" t="str">
        <f>"13976878740"</f>
        <v>13976878740</v>
      </c>
      <c r="C9164" t="str">
        <f>"460034199509061536"</f>
        <v>460034199509061536</v>
      </c>
      <c r="D9164" t="s">
        <v>1</v>
      </c>
      <c r="E9164" t="s">
        <v>1</v>
      </c>
      <c r="F9164" t="s">
        <v>0</v>
      </c>
      <c r="G9164" t="str">
        <f>"2018-10-15 14:03:53"</f>
        <v>2018-10-15 14:03:53</v>
      </c>
    </row>
    <row r="9165" spans="1:7" x14ac:dyDescent="0.2">
      <c r="A9165" t="s">
        <v>1</v>
      </c>
      <c r="B9165" t="str">
        <f>"13897006327"</f>
        <v>13897006327</v>
      </c>
      <c r="C9165" t="s">
        <v>1</v>
      </c>
      <c r="D9165" t="s">
        <v>1</v>
      </c>
      <c r="E9165" t="s">
        <v>1</v>
      </c>
      <c r="F9165" t="s">
        <v>0</v>
      </c>
      <c r="G9165" t="str">
        <f>"2018-10-15 13:57:30"</f>
        <v>2018-10-15 13:57:30</v>
      </c>
    </row>
    <row r="9166" spans="1:7" x14ac:dyDescent="0.2">
      <c r="A9166" t="s">
        <v>9777</v>
      </c>
      <c r="B9166" t="str">
        <f>"15174777756"</f>
        <v>15174777756</v>
      </c>
      <c r="C9166" t="str">
        <f>"152202198801190073"</f>
        <v>152202198801190073</v>
      </c>
      <c r="D9166" t="s">
        <v>1</v>
      </c>
      <c r="E9166" t="s">
        <v>1</v>
      </c>
      <c r="F9166" t="s">
        <v>0</v>
      </c>
      <c r="G9166" t="str">
        <f>"2018-10-15 13:58:13"</f>
        <v>2018-10-15 13:58:13</v>
      </c>
    </row>
    <row r="9167" spans="1:7" x14ac:dyDescent="0.2">
      <c r="A9167" t="s">
        <v>1</v>
      </c>
      <c r="B9167" t="str">
        <f>"17101670746"</f>
        <v>17101670746</v>
      </c>
      <c r="C9167" t="s">
        <v>1</v>
      </c>
      <c r="D9167" t="s">
        <v>1</v>
      </c>
      <c r="E9167" t="s">
        <v>1</v>
      </c>
      <c r="F9167" t="s">
        <v>0</v>
      </c>
      <c r="G9167" t="str">
        <f>"2018-10-15 13:56:42"</f>
        <v>2018-10-15 13:56:42</v>
      </c>
    </row>
    <row r="9168" spans="1:7" x14ac:dyDescent="0.2">
      <c r="A9168" t="s">
        <v>1</v>
      </c>
      <c r="B9168" t="str">
        <f>"17704362488"</f>
        <v>17704362488</v>
      </c>
      <c r="C9168" t="s">
        <v>1</v>
      </c>
      <c r="D9168" t="s">
        <v>1</v>
      </c>
      <c r="E9168" t="s">
        <v>1</v>
      </c>
      <c r="F9168" t="s">
        <v>0</v>
      </c>
      <c r="G9168" t="str">
        <f>"2018-10-15 19:42:04"</f>
        <v>2018-10-15 19:42:04</v>
      </c>
    </row>
    <row r="9169" spans="1:7" x14ac:dyDescent="0.2">
      <c r="A9169" t="s">
        <v>1165</v>
      </c>
      <c r="B9169" t="str">
        <f>"15057548506"</f>
        <v>15057548506</v>
      </c>
      <c r="C9169" t="str">
        <f>"340122198309052297"</f>
        <v>340122198309052297</v>
      </c>
      <c r="D9169" t="s">
        <v>1</v>
      </c>
      <c r="E9169" t="s">
        <v>1</v>
      </c>
      <c r="F9169" t="s">
        <v>0</v>
      </c>
      <c r="G9169" t="str">
        <f>"2018-10-15 14:34:20"</f>
        <v>2018-10-15 14:34:20</v>
      </c>
    </row>
    <row r="9170" spans="1:7" x14ac:dyDescent="0.2">
      <c r="A9170" t="s">
        <v>9778</v>
      </c>
      <c r="B9170" t="str">
        <f>"17711063306"</f>
        <v>17711063306</v>
      </c>
      <c r="C9170" t="str">
        <f>"511322199009207152"</f>
        <v>511322199009207152</v>
      </c>
      <c r="D9170" t="s">
        <v>1</v>
      </c>
      <c r="E9170" t="s">
        <v>1</v>
      </c>
      <c r="F9170" t="s">
        <v>0</v>
      </c>
      <c r="G9170" t="str">
        <f>"2018-10-16 01:01:27"</f>
        <v>2018-10-16 01:01:27</v>
      </c>
    </row>
    <row r="9171" spans="1:7" x14ac:dyDescent="0.2">
      <c r="A9171" t="s">
        <v>1</v>
      </c>
      <c r="B9171" t="str">
        <f>"15177069551"</f>
        <v>15177069551</v>
      </c>
      <c r="C9171" t="s">
        <v>1</v>
      </c>
      <c r="D9171" t="s">
        <v>1</v>
      </c>
      <c r="E9171" t="s">
        <v>1</v>
      </c>
      <c r="F9171" t="s">
        <v>0</v>
      </c>
      <c r="G9171" t="str">
        <f>"2018-10-15 13:54:43"</f>
        <v>2018-10-15 13:54:43</v>
      </c>
    </row>
    <row r="9172" spans="1:7" x14ac:dyDescent="0.2">
      <c r="A9172" t="s">
        <v>9779</v>
      </c>
      <c r="B9172" t="str">
        <f>"15194430408"</f>
        <v>15194430408</v>
      </c>
      <c r="C9172" t="str">
        <f>"410311198111085034"</f>
        <v>410311198111085034</v>
      </c>
      <c r="D9172" t="s">
        <v>1</v>
      </c>
      <c r="E9172" t="s">
        <v>1</v>
      </c>
      <c r="F9172" t="s">
        <v>0</v>
      </c>
      <c r="G9172" t="str">
        <f>"2018-10-30 14:48:07"</f>
        <v>2018-10-30 14:48:07</v>
      </c>
    </row>
    <row r="9173" spans="1:7" x14ac:dyDescent="0.2">
      <c r="A9173" t="s">
        <v>9780</v>
      </c>
      <c r="B9173" t="str">
        <f>"15272296810"</f>
        <v>15272296810</v>
      </c>
      <c r="C9173" t="str">
        <f>"420321199301045112"</f>
        <v>420321199301045112</v>
      </c>
      <c r="D9173" t="s">
        <v>1</v>
      </c>
      <c r="E9173" t="s">
        <v>1</v>
      </c>
      <c r="F9173" t="s">
        <v>0</v>
      </c>
      <c r="G9173" t="str">
        <f>"2018-10-15 14:38:32"</f>
        <v>2018-10-15 14:38:32</v>
      </c>
    </row>
    <row r="9174" spans="1:7" x14ac:dyDescent="0.2">
      <c r="A9174" t="s">
        <v>9781</v>
      </c>
      <c r="B9174" t="str">
        <f>"18817100880"</f>
        <v>18817100880</v>
      </c>
      <c r="C9174" t="str">
        <f>"421022198804064813"</f>
        <v>421022198804064813</v>
      </c>
      <c r="D9174" t="s">
        <v>1</v>
      </c>
      <c r="E9174" t="s">
        <v>1</v>
      </c>
      <c r="F9174" t="s">
        <v>0</v>
      </c>
      <c r="G9174" t="str">
        <f>"2018-10-15 13:57:58"</f>
        <v>2018-10-15 13:57:58</v>
      </c>
    </row>
    <row r="9175" spans="1:7" x14ac:dyDescent="0.2">
      <c r="A9175" t="s">
        <v>9782</v>
      </c>
      <c r="B9175" t="str">
        <f>"13285678980"</f>
        <v>13285678980</v>
      </c>
      <c r="C9175" t="str">
        <f>"53262819960302151X"</f>
        <v>53262819960302151X</v>
      </c>
      <c r="D9175" t="s">
        <v>1</v>
      </c>
      <c r="E9175" t="s">
        <v>1</v>
      </c>
      <c r="F9175" t="s">
        <v>0</v>
      </c>
      <c r="G9175" t="str">
        <f>"2018-10-15 14:12:01"</f>
        <v>2018-10-15 14:12:01</v>
      </c>
    </row>
    <row r="9176" spans="1:7" x14ac:dyDescent="0.2">
      <c r="A9176" t="s">
        <v>9783</v>
      </c>
      <c r="B9176" t="str">
        <f>"13752705519"</f>
        <v>13752705519</v>
      </c>
      <c r="C9176" t="str">
        <f>"372929198109290915"</f>
        <v>372929198109290915</v>
      </c>
      <c r="D9176" t="s">
        <v>1</v>
      </c>
      <c r="E9176" t="s">
        <v>1</v>
      </c>
      <c r="F9176" t="s">
        <v>0</v>
      </c>
      <c r="G9176" t="str">
        <f>"2018-10-15 13:57:57"</f>
        <v>2018-10-15 13:57:57</v>
      </c>
    </row>
    <row r="9177" spans="1:7" x14ac:dyDescent="0.2">
      <c r="A9177" t="s">
        <v>9784</v>
      </c>
      <c r="B9177" t="str">
        <f>"13793503919"</f>
        <v>13793503919</v>
      </c>
      <c r="C9177" t="str">
        <f>"370622197503090017"</f>
        <v>370622197503090017</v>
      </c>
      <c r="D9177" t="s">
        <v>1</v>
      </c>
      <c r="E9177" t="s">
        <v>1</v>
      </c>
      <c r="F9177" t="s">
        <v>0</v>
      </c>
      <c r="G9177" t="str">
        <f>"2018-10-15 14:21:40"</f>
        <v>2018-10-15 14:21:40</v>
      </c>
    </row>
    <row r="9178" spans="1:7" x14ac:dyDescent="0.2">
      <c r="A9178" t="s">
        <v>1</v>
      </c>
      <c r="B9178" t="str">
        <f>"15716773256"</f>
        <v>15716773256</v>
      </c>
      <c r="C9178" t="s">
        <v>1</v>
      </c>
      <c r="D9178" t="s">
        <v>1</v>
      </c>
      <c r="E9178" t="s">
        <v>1</v>
      </c>
      <c r="F9178" t="s">
        <v>0</v>
      </c>
      <c r="G9178" t="str">
        <f>"2018-10-15 13:50:19"</f>
        <v>2018-10-15 13:50:19</v>
      </c>
    </row>
    <row r="9179" spans="1:7" x14ac:dyDescent="0.2">
      <c r="A9179" t="s">
        <v>1</v>
      </c>
      <c r="B9179" t="str">
        <f>"18602752308"</f>
        <v>18602752308</v>
      </c>
      <c r="C9179" t="s">
        <v>1</v>
      </c>
      <c r="D9179" t="s">
        <v>1</v>
      </c>
      <c r="E9179" t="s">
        <v>1</v>
      </c>
      <c r="F9179" t="s">
        <v>0</v>
      </c>
      <c r="G9179" t="str">
        <f>"2018-10-15 13:49:05"</f>
        <v>2018-10-15 13:49:05</v>
      </c>
    </row>
    <row r="9180" spans="1:7" x14ac:dyDescent="0.2">
      <c r="A9180" t="s">
        <v>9785</v>
      </c>
      <c r="B9180" t="str">
        <f>"15730081671"</f>
        <v>15730081671</v>
      </c>
      <c r="C9180" t="str">
        <f>"522121199509085222"</f>
        <v>522121199509085222</v>
      </c>
      <c r="D9180" t="s">
        <v>1</v>
      </c>
      <c r="E9180" t="s">
        <v>1</v>
      </c>
      <c r="F9180" t="s">
        <v>0</v>
      </c>
      <c r="G9180" t="str">
        <f>"2018-10-15 14:03:08"</f>
        <v>2018-10-15 14:03:08</v>
      </c>
    </row>
    <row r="9181" spans="1:7" x14ac:dyDescent="0.2">
      <c r="A9181" t="s">
        <v>600</v>
      </c>
      <c r="B9181" t="str">
        <f>"15640156273"</f>
        <v>15640156273</v>
      </c>
      <c r="C9181" t="str">
        <f>"21010319860211361X"</f>
        <v>21010319860211361X</v>
      </c>
      <c r="D9181" t="s">
        <v>1</v>
      </c>
      <c r="E9181" t="s">
        <v>1</v>
      </c>
      <c r="F9181" t="s">
        <v>0</v>
      </c>
      <c r="G9181" t="str">
        <f>"2018-10-15 13:48:54"</f>
        <v>2018-10-15 13:48:54</v>
      </c>
    </row>
    <row r="9182" spans="1:7" x14ac:dyDescent="0.2">
      <c r="A9182" t="s">
        <v>1</v>
      </c>
      <c r="B9182" t="str">
        <f>"15125201247"</f>
        <v>15125201247</v>
      </c>
      <c r="C9182" t="s">
        <v>1</v>
      </c>
      <c r="D9182" t="s">
        <v>1</v>
      </c>
      <c r="E9182" t="s">
        <v>1</v>
      </c>
      <c r="F9182" t="s">
        <v>0</v>
      </c>
      <c r="G9182" t="str">
        <f>"2018-10-15 13:48:52"</f>
        <v>2018-10-15 13:48:52</v>
      </c>
    </row>
    <row r="9183" spans="1:7" x14ac:dyDescent="0.2">
      <c r="A9183" t="s">
        <v>1</v>
      </c>
      <c r="B9183" t="str">
        <f>"15277677874"</f>
        <v>15277677874</v>
      </c>
      <c r="C9183" t="s">
        <v>1</v>
      </c>
      <c r="D9183" t="s">
        <v>1</v>
      </c>
      <c r="E9183" t="s">
        <v>1</v>
      </c>
      <c r="F9183" t="s">
        <v>0</v>
      </c>
      <c r="G9183" t="str">
        <f>"2018-10-15 13:48:40"</f>
        <v>2018-10-15 13:48:40</v>
      </c>
    </row>
    <row r="9184" spans="1:7" x14ac:dyDescent="0.2">
      <c r="A9184" t="s">
        <v>9786</v>
      </c>
      <c r="B9184" t="str">
        <f>"13615685200"</f>
        <v>13615685200</v>
      </c>
      <c r="C9184" t="str">
        <f>"341226199610153819"</f>
        <v>341226199610153819</v>
      </c>
      <c r="D9184" t="s">
        <v>1</v>
      </c>
      <c r="E9184" t="s">
        <v>1</v>
      </c>
      <c r="F9184" t="s">
        <v>0</v>
      </c>
      <c r="G9184" t="str">
        <f>"2018-10-15 13:49:58"</f>
        <v>2018-10-15 13:49:58</v>
      </c>
    </row>
    <row r="9185" spans="1:7" x14ac:dyDescent="0.2">
      <c r="A9185" t="s">
        <v>1</v>
      </c>
      <c r="B9185" t="str">
        <f>"18719746228"</f>
        <v>18719746228</v>
      </c>
      <c r="C9185" t="s">
        <v>1</v>
      </c>
      <c r="D9185" t="s">
        <v>1</v>
      </c>
      <c r="E9185" t="s">
        <v>1</v>
      </c>
      <c r="F9185" t="s">
        <v>0</v>
      </c>
      <c r="G9185" t="str">
        <f>"2018-10-15 13:47:58"</f>
        <v>2018-10-15 13:47:58</v>
      </c>
    </row>
    <row r="9186" spans="1:7" x14ac:dyDescent="0.2">
      <c r="A9186" t="s">
        <v>9787</v>
      </c>
      <c r="B9186" t="str">
        <f>"17761222716"</f>
        <v>17761222716</v>
      </c>
      <c r="C9186" t="str">
        <f>"510902199305125975"</f>
        <v>510902199305125975</v>
      </c>
      <c r="D9186" t="s">
        <v>1</v>
      </c>
      <c r="E9186" t="s">
        <v>1</v>
      </c>
      <c r="F9186" t="s">
        <v>0</v>
      </c>
      <c r="G9186" t="str">
        <f>"2018-10-15 14:16:54"</f>
        <v>2018-10-15 14:16:54</v>
      </c>
    </row>
    <row r="9187" spans="1:7" x14ac:dyDescent="0.2">
      <c r="A9187" t="s">
        <v>9788</v>
      </c>
      <c r="B9187" t="str">
        <f>"18625381210"</f>
        <v>18625381210</v>
      </c>
      <c r="C9187" t="str">
        <f>"410303198607121035"</f>
        <v>410303198607121035</v>
      </c>
      <c r="D9187" t="s">
        <v>1</v>
      </c>
      <c r="E9187" t="s">
        <v>1</v>
      </c>
      <c r="F9187" t="s">
        <v>0</v>
      </c>
      <c r="G9187" t="str">
        <f>"2018-10-15 15:55:29"</f>
        <v>2018-10-15 15:55:29</v>
      </c>
    </row>
    <row r="9188" spans="1:7" x14ac:dyDescent="0.2">
      <c r="A9188" t="s">
        <v>9789</v>
      </c>
      <c r="B9188" t="str">
        <f>"13766366522"</f>
        <v>13766366522</v>
      </c>
      <c r="C9188" t="str">
        <f>"350122199511097516"</f>
        <v>350122199511097516</v>
      </c>
      <c r="D9188" t="s">
        <v>1</v>
      </c>
      <c r="E9188" t="s">
        <v>1</v>
      </c>
      <c r="F9188" t="s">
        <v>0</v>
      </c>
      <c r="G9188" t="str">
        <f>"2018-10-15 13:48:28"</f>
        <v>2018-10-15 13:48:28</v>
      </c>
    </row>
    <row r="9189" spans="1:7" x14ac:dyDescent="0.2">
      <c r="A9189" t="s">
        <v>1028</v>
      </c>
      <c r="B9189" t="str">
        <f>"18012557879"</f>
        <v>18012557879</v>
      </c>
      <c r="C9189" t="str">
        <f>"320923199710220032"</f>
        <v>320923199710220032</v>
      </c>
      <c r="D9189" t="s">
        <v>1</v>
      </c>
      <c r="E9189" t="s">
        <v>1</v>
      </c>
      <c r="F9189" t="s">
        <v>0</v>
      </c>
      <c r="G9189" t="str">
        <f>"2018-10-15 13:48:49"</f>
        <v>2018-10-15 13:48:49</v>
      </c>
    </row>
    <row r="9190" spans="1:7" x14ac:dyDescent="0.2">
      <c r="A9190" t="s">
        <v>1</v>
      </c>
      <c r="B9190" t="str">
        <f>"13524333084"</f>
        <v>13524333084</v>
      </c>
      <c r="C9190" t="s">
        <v>1</v>
      </c>
      <c r="D9190" t="s">
        <v>1</v>
      </c>
      <c r="E9190" t="s">
        <v>1</v>
      </c>
      <c r="F9190" t="s">
        <v>0</v>
      </c>
      <c r="G9190" t="str">
        <f>"2018-10-15 13:44:18"</f>
        <v>2018-10-15 13:44:18</v>
      </c>
    </row>
    <row r="9191" spans="1:7" x14ac:dyDescent="0.2">
      <c r="A9191" t="s">
        <v>1</v>
      </c>
      <c r="B9191" t="str">
        <f>"15831303998"</f>
        <v>15831303998</v>
      </c>
      <c r="C9191" t="s">
        <v>1</v>
      </c>
      <c r="D9191" t="s">
        <v>1</v>
      </c>
      <c r="E9191" t="s">
        <v>1</v>
      </c>
      <c r="F9191" t="s">
        <v>0</v>
      </c>
      <c r="G9191" t="str">
        <f>"2018-10-15 13:44:13"</f>
        <v>2018-10-15 13:44:13</v>
      </c>
    </row>
    <row r="9192" spans="1:7" x14ac:dyDescent="0.2">
      <c r="A9192" t="s">
        <v>1</v>
      </c>
      <c r="B9192" t="str">
        <f>"15848948870"</f>
        <v>15848948870</v>
      </c>
      <c r="C9192" t="s">
        <v>1</v>
      </c>
      <c r="D9192" t="s">
        <v>1</v>
      </c>
      <c r="E9192" t="s">
        <v>1</v>
      </c>
      <c r="F9192" t="s">
        <v>0</v>
      </c>
      <c r="G9192" t="str">
        <f>"2018-10-15 13:43:24"</f>
        <v>2018-10-15 13:43:24</v>
      </c>
    </row>
    <row r="9193" spans="1:7" x14ac:dyDescent="0.2">
      <c r="A9193" t="s">
        <v>9790</v>
      </c>
      <c r="B9193" t="str">
        <f>"17788734317"</f>
        <v>17788734317</v>
      </c>
      <c r="C9193" t="str">
        <f>"511304199003173614"</f>
        <v>511304199003173614</v>
      </c>
      <c r="D9193" t="s">
        <v>1</v>
      </c>
      <c r="E9193" t="s">
        <v>1</v>
      </c>
      <c r="F9193" t="s">
        <v>0</v>
      </c>
      <c r="G9193" t="str">
        <f>"2018-10-15 13:43:54"</f>
        <v>2018-10-15 13:43:54</v>
      </c>
    </row>
    <row r="9194" spans="1:7" x14ac:dyDescent="0.2">
      <c r="A9194" t="s">
        <v>1112</v>
      </c>
      <c r="B9194" t="str">
        <f>"15004623397"</f>
        <v>15004623397</v>
      </c>
      <c r="C9194" t="str">
        <f>"350702200004271332"</f>
        <v>350702200004271332</v>
      </c>
      <c r="D9194" t="s">
        <v>9791</v>
      </c>
      <c r="E9194" t="s">
        <v>9792</v>
      </c>
      <c r="F9194" t="s">
        <v>0</v>
      </c>
      <c r="G9194" t="str">
        <f>"2018-10-15 13:47:06"</f>
        <v>2018-10-15 13:47:06</v>
      </c>
    </row>
    <row r="9195" spans="1:7" x14ac:dyDescent="0.2">
      <c r="A9195" t="s">
        <v>9793</v>
      </c>
      <c r="B9195" t="str">
        <f>"13150988265"</f>
        <v>13150988265</v>
      </c>
      <c r="C9195" t="str">
        <f>"150402196810181339"</f>
        <v>150402196810181339</v>
      </c>
      <c r="D9195" t="s">
        <v>1</v>
      </c>
      <c r="E9195" t="s">
        <v>1</v>
      </c>
      <c r="F9195" t="s">
        <v>0</v>
      </c>
      <c r="G9195" t="str">
        <f>"2018-10-31 19:44:21"</f>
        <v>2018-10-31 19:44:21</v>
      </c>
    </row>
    <row r="9196" spans="1:7" x14ac:dyDescent="0.2">
      <c r="A9196" t="s">
        <v>9794</v>
      </c>
      <c r="B9196" t="str">
        <f>"15880683570"</f>
        <v>15880683570</v>
      </c>
      <c r="C9196" t="str">
        <f>"350802198505205021"</f>
        <v>350802198505205021</v>
      </c>
      <c r="D9196" t="s">
        <v>1</v>
      </c>
      <c r="E9196" t="s">
        <v>1</v>
      </c>
      <c r="F9196" t="s">
        <v>0</v>
      </c>
      <c r="G9196" t="str">
        <f>"2018-10-15 13:43:21"</f>
        <v>2018-10-15 13:43:21</v>
      </c>
    </row>
    <row r="9197" spans="1:7" x14ac:dyDescent="0.2">
      <c r="A9197" t="s">
        <v>9795</v>
      </c>
      <c r="B9197" t="str">
        <f>"18952667672"</f>
        <v>18952667672</v>
      </c>
      <c r="C9197" t="str">
        <f>"321283198904204211"</f>
        <v>321283198904204211</v>
      </c>
      <c r="D9197" t="s">
        <v>1</v>
      </c>
      <c r="E9197" t="s">
        <v>1</v>
      </c>
      <c r="F9197" t="s">
        <v>0</v>
      </c>
      <c r="G9197" t="str">
        <f>"2018-10-15 13:48:11"</f>
        <v>2018-10-15 13:48:11</v>
      </c>
    </row>
    <row r="9198" spans="1:7" x14ac:dyDescent="0.2">
      <c r="A9198" t="s">
        <v>9796</v>
      </c>
      <c r="B9198" t="str">
        <f>"15387610410"</f>
        <v>15387610410</v>
      </c>
      <c r="C9198" t="str">
        <f>"511323199103053475"</f>
        <v>511323199103053475</v>
      </c>
      <c r="D9198" t="s">
        <v>1</v>
      </c>
      <c r="E9198" t="s">
        <v>1</v>
      </c>
      <c r="F9198" t="s">
        <v>0</v>
      </c>
      <c r="G9198" t="str">
        <f>"2018-10-15 13:42:34"</f>
        <v>2018-10-15 13:42:34</v>
      </c>
    </row>
    <row r="9199" spans="1:7" x14ac:dyDescent="0.2">
      <c r="A9199" t="s">
        <v>9797</v>
      </c>
      <c r="B9199" t="str">
        <f>"18763990092"</f>
        <v>18763990092</v>
      </c>
      <c r="C9199" t="str">
        <f>"620421198704165520"</f>
        <v>620421198704165520</v>
      </c>
      <c r="D9199" t="s">
        <v>1</v>
      </c>
      <c r="E9199" t="s">
        <v>1</v>
      </c>
      <c r="F9199" t="s">
        <v>0</v>
      </c>
      <c r="G9199" t="str">
        <f>"2018-10-15 14:02:50"</f>
        <v>2018-10-15 14:02:50</v>
      </c>
    </row>
    <row r="9200" spans="1:7" x14ac:dyDescent="0.2">
      <c r="A9200" t="s">
        <v>9798</v>
      </c>
      <c r="B9200" t="str">
        <f>"18208405977"</f>
        <v>18208405977</v>
      </c>
      <c r="C9200" t="str">
        <f>"52213119940921363X"</f>
        <v>52213119940921363X</v>
      </c>
      <c r="D9200" t="s">
        <v>1</v>
      </c>
      <c r="E9200" t="s">
        <v>1</v>
      </c>
      <c r="F9200" t="s">
        <v>0</v>
      </c>
      <c r="G9200" t="str">
        <f>"2018-10-15 13:41:30"</f>
        <v>2018-10-15 13:41:30</v>
      </c>
    </row>
    <row r="9201" spans="1:7" x14ac:dyDescent="0.2">
      <c r="A9201" t="s">
        <v>9799</v>
      </c>
      <c r="B9201" t="str">
        <f>"18062988225"</f>
        <v>18062988225</v>
      </c>
      <c r="C9201" t="str">
        <f>"420521198107201819"</f>
        <v>420521198107201819</v>
      </c>
      <c r="D9201" t="s">
        <v>1</v>
      </c>
      <c r="E9201" t="s">
        <v>1</v>
      </c>
      <c r="F9201" t="s">
        <v>0</v>
      </c>
      <c r="G9201" t="str">
        <f>"2018-10-15 13:41:28"</f>
        <v>2018-10-15 13:41:28</v>
      </c>
    </row>
    <row r="9202" spans="1:7" x14ac:dyDescent="0.2">
      <c r="A9202" t="s">
        <v>40</v>
      </c>
      <c r="B9202" t="str">
        <f>"18702675263"</f>
        <v>18702675263</v>
      </c>
      <c r="C9202" t="str">
        <f>"362525199005050031"</f>
        <v>362525199005050031</v>
      </c>
      <c r="D9202" t="s">
        <v>1</v>
      </c>
      <c r="E9202" t="s">
        <v>1</v>
      </c>
      <c r="F9202" t="s">
        <v>0</v>
      </c>
      <c r="G9202" t="str">
        <f>"2018-10-15 13:40:46"</f>
        <v>2018-10-15 13:40:46</v>
      </c>
    </row>
    <row r="9203" spans="1:7" x14ac:dyDescent="0.2">
      <c r="A9203" t="s">
        <v>9800</v>
      </c>
      <c r="B9203" t="str">
        <f>"13714786070"</f>
        <v>13714786070</v>
      </c>
      <c r="C9203" t="str">
        <f>"452624199012270738"</f>
        <v>452624199012270738</v>
      </c>
      <c r="D9203" t="s">
        <v>1</v>
      </c>
      <c r="E9203" t="s">
        <v>1</v>
      </c>
      <c r="F9203" t="s">
        <v>0</v>
      </c>
      <c r="G9203" t="str">
        <f>"2018-10-15 13:42:01"</f>
        <v>2018-10-15 13:42:01</v>
      </c>
    </row>
    <row r="9204" spans="1:7" x14ac:dyDescent="0.2">
      <c r="A9204" t="s">
        <v>9801</v>
      </c>
      <c r="B9204" t="str">
        <f>"13150737297"</f>
        <v>13150737297</v>
      </c>
      <c r="C9204" t="str">
        <f>"533422199701181113"</f>
        <v>533422199701181113</v>
      </c>
      <c r="D9204" t="s">
        <v>1</v>
      </c>
      <c r="E9204" t="s">
        <v>1</v>
      </c>
      <c r="F9204" t="s">
        <v>0</v>
      </c>
      <c r="G9204" t="str">
        <f>"2018-10-15 13:41:24"</f>
        <v>2018-10-15 13:41:24</v>
      </c>
    </row>
    <row r="9205" spans="1:7" x14ac:dyDescent="0.2">
      <c r="A9205" t="s">
        <v>9802</v>
      </c>
      <c r="B9205" t="str">
        <f>"18077933983"</f>
        <v>18077933983</v>
      </c>
      <c r="C9205" t="str">
        <f>"450521199106307355"</f>
        <v>450521199106307355</v>
      </c>
      <c r="D9205" t="s">
        <v>1</v>
      </c>
      <c r="E9205" t="s">
        <v>1</v>
      </c>
      <c r="F9205" t="s">
        <v>0</v>
      </c>
      <c r="G9205" t="str">
        <f>"2018-10-15 13:41:40"</f>
        <v>2018-10-15 13:41:40</v>
      </c>
    </row>
    <row r="9206" spans="1:7" x14ac:dyDescent="0.2">
      <c r="A9206" t="s">
        <v>4814</v>
      </c>
      <c r="B9206" t="str">
        <f>"13584272328"</f>
        <v>13584272328</v>
      </c>
      <c r="C9206" t="str">
        <f>"430624199007034057"</f>
        <v>430624199007034057</v>
      </c>
      <c r="D9206" t="s">
        <v>1</v>
      </c>
      <c r="E9206" t="s">
        <v>1</v>
      </c>
      <c r="F9206" t="s">
        <v>0</v>
      </c>
      <c r="G9206" t="str">
        <f>"2018-10-15 13:41:12"</f>
        <v>2018-10-15 13:41:12</v>
      </c>
    </row>
    <row r="9207" spans="1:7" x14ac:dyDescent="0.2">
      <c r="A9207" t="s">
        <v>9803</v>
      </c>
      <c r="B9207" t="str">
        <f>"15024743188"</f>
        <v>15024743188</v>
      </c>
      <c r="C9207" t="str">
        <f>"152629199810045317"</f>
        <v>152629199810045317</v>
      </c>
      <c r="D9207" t="s">
        <v>1</v>
      </c>
      <c r="E9207" t="s">
        <v>1</v>
      </c>
      <c r="F9207" t="s">
        <v>0</v>
      </c>
      <c r="G9207" t="str">
        <f>"2018-10-15 13:39:48"</f>
        <v>2018-10-15 13:39:48</v>
      </c>
    </row>
    <row r="9208" spans="1:7" x14ac:dyDescent="0.2">
      <c r="A9208" t="s">
        <v>9804</v>
      </c>
      <c r="B9208" t="str">
        <f>"15215139089"</f>
        <v>15215139089</v>
      </c>
      <c r="C9208" t="str">
        <f>"51232219731114377X"</f>
        <v>51232219731114377X</v>
      </c>
      <c r="D9208" t="s">
        <v>1</v>
      </c>
      <c r="E9208" t="s">
        <v>1</v>
      </c>
      <c r="F9208" t="s">
        <v>0</v>
      </c>
      <c r="G9208" t="str">
        <f>"2018-11-04 10:08:27"</f>
        <v>2018-11-04 10:08:27</v>
      </c>
    </row>
    <row r="9209" spans="1:7" x14ac:dyDescent="0.2">
      <c r="A9209" t="s">
        <v>9805</v>
      </c>
      <c r="B9209" t="str">
        <f>"13402269115"</f>
        <v>13402269115</v>
      </c>
      <c r="C9209" t="str">
        <f>"370702199001230314"</f>
        <v>370702199001230314</v>
      </c>
      <c r="D9209" t="s">
        <v>1</v>
      </c>
      <c r="E9209" t="s">
        <v>1</v>
      </c>
      <c r="F9209" t="s">
        <v>0</v>
      </c>
      <c r="G9209" t="str">
        <f>"2018-10-15 23:12:50"</f>
        <v>2018-10-15 23:12:50</v>
      </c>
    </row>
    <row r="9210" spans="1:7" x14ac:dyDescent="0.2">
      <c r="A9210" t="s">
        <v>1</v>
      </c>
      <c r="B9210" t="str">
        <f>"13965586062"</f>
        <v>13965586062</v>
      </c>
      <c r="C9210" t="s">
        <v>1</v>
      </c>
      <c r="D9210" t="s">
        <v>1</v>
      </c>
      <c r="E9210" t="s">
        <v>1</v>
      </c>
      <c r="F9210" t="s">
        <v>0</v>
      </c>
      <c r="G9210" t="str">
        <f>"2018-10-15 13:37:56"</f>
        <v>2018-10-15 13:37:56</v>
      </c>
    </row>
    <row r="9211" spans="1:7" x14ac:dyDescent="0.2">
      <c r="A9211" t="s">
        <v>9806</v>
      </c>
      <c r="B9211" t="str">
        <f>"15521531166"</f>
        <v>15521531166</v>
      </c>
      <c r="C9211" t="str">
        <f>"342423199203113978"</f>
        <v>342423199203113978</v>
      </c>
      <c r="D9211" t="s">
        <v>1</v>
      </c>
      <c r="E9211" t="s">
        <v>1</v>
      </c>
      <c r="F9211" t="s">
        <v>0</v>
      </c>
      <c r="G9211" t="str">
        <f>"2018-10-15 13:39:48"</f>
        <v>2018-10-15 13:39:48</v>
      </c>
    </row>
    <row r="9212" spans="1:7" x14ac:dyDescent="0.2">
      <c r="A9212" t="s">
        <v>9807</v>
      </c>
      <c r="B9212" t="str">
        <f>"17306178660"</f>
        <v>17306178660</v>
      </c>
      <c r="C9212" t="str">
        <f>"53352319970122041X"</f>
        <v>53352319970122041X</v>
      </c>
      <c r="D9212" t="s">
        <v>1</v>
      </c>
      <c r="E9212" t="s">
        <v>1</v>
      </c>
      <c r="F9212" t="s">
        <v>0</v>
      </c>
      <c r="G9212" t="str">
        <f>"2018-10-15 13:39:11"</f>
        <v>2018-10-15 13:39:11</v>
      </c>
    </row>
    <row r="9213" spans="1:7" x14ac:dyDescent="0.2">
      <c r="A9213" t="s">
        <v>175</v>
      </c>
      <c r="B9213" t="str">
        <f>"13177772412"</f>
        <v>13177772412</v>
      </c>
      <c r="C9213" t="str">
        <f>"360124198807240019"</f>
        <v>360124198807240019</v>
      </c>
      <c r="D9213" t="s">
        <v>1</v>
      </c>
      <c r="E9213" t="s">
        <v>1</v>
      </c>
      <c r="F9213" t="s">
        <v>0</v>
      </c>
      <c r="G9213" t="str">
        <f>"2018-10-15 13:42:08"</f>
        <v>2018-10-15 13:42:08</v>
      </c>
    </row>
    <row r="9214" spans="1:7" x14ac:dyDescent="0.2">
      <c r="A9214" t="s">
        <v>1</v>
      </c>
      <c r="B9214" t="str">
        <f>"15515318390"</f>
        <v>15515318390</v>
      </c>
      <c r="C9214" t="s">
        <v>1</v>
      </c>
      <c r="D9214" t="s">
        <v>1</v>
      </c>
      <c r="E9214" t="s">
        <v>1</v>
      </c>
      <c r="F9214" t="s">
        <v>0</v>
      </c>
      <c r="G9214" t="str">
        <f>"2018-10-15 13:36:42"</f>
        <v>2018-10-15 13:36:42</v>
      </c>
    </row>
    <row r="9215" spans="1:7" x14ac:dyDescent="0.2">
      <c r="A9215" t="s">
        <v>9808</v>
      </c>
      <c r="B9215" t="str">
        <f>"15067833670"</f>
        <v>15067833670</v>
      </c>
      <c r="C9215" t="str">
        <f>"340826199411180832"</f>
        <v>340826199411180832</v>
      </c>
      <c r="D9215" t="s">
        <v>1</v>
      </c>
      <c r="E9215" t="s">
        <v>1</v>
      </c>
      <c r="F9215" t="s">
        <v>0</v>
      </c>
      <c r="G9215" t="str">
        <f>"2018-10-15 13:36:29"</f>
        <v>2018-10-15 13:36:29</v>
      </c>
    </row>
    <row r="9216" spans="1:7" x14ac:dyDescent="0.2">
      <c r="A9216" t="s">
        <v>9809</v>
      </c>
      <c r="B9216" t="str">
        <f>"13731269613"</f>
        <v>13731269613</v>
      </c>
      <c r="C9216" t="str">
        <f>"130625198904250420"</f>
        <v>130625198904250420</v>
      </c>
      <c r="D9216" t="s">
        <v>1</v>
      </c>
      <c r="E9216" t="s">
        <v>1</v>
      </c>
      <c r="F9216" t="s">
        <v>0</v>
      </c>
      <c r="G9216" t="str">
        <f>"2018-10-15 13:38:25"</f>
        <v>2018-10-15 13:38:25</v>
      </c>
    </row>
    <row r="9217" spans="1:7" x14ac:dyDescent="0.2">
      <c r="A9217" t="s">
        <v>9810</v>
      </c>
      <c r="B9217" t="str">
        <f>"18684810167"</f>
        <v>18684810167</v>
      </c>
      <c r="C9217" t="str">
        <f>"430722199104153499"</f>
        <v>430722199104153499</v>
      </c>
      <c r="D9217" t="s">
        <v>1</v>
      </c>
      <c r="E9217" t="s">
        <v>1</v>
      </c>
      <c r="F9217" t="s">
        <v>0</v>
      </c>
      <c r="G9217" t="str">
        <f>"2018-10-22 09:52:04"</f>
        <v>2018-10-22 09:52:04</v>
      </c>
    </row>
    <row r="9218" spans="1:7" x14ac:dyDescent="0.2">
      <c r="A9218" t="s">
        <v>9811</v>
      </c>
      <c r="B9218" t="str">
        <f>"13730449477"</f>
        <v>13730449477</v>
      </c>
      <c r="C9218" t="str">
        <f>"130634198804130727"</f>
        <v>130634198804130727</v>
      </c>
      <c r="D9218" t="s">
        <v>1</v>
      </c>
      <c r="E9218" t="s">
        <v>1</v>
      </c>
      <c r="F9218" t="s">
        <v>0</v>
      </c>
      <c r="G9218" t="str">
        <f>"2018-10-15 13:47:55"</f>
        <v>2018-10-15 13:47:55</v>
      </c>
    </row>
    <row r="9219" spans="1:7" x14ac:dyDescent="0.2">
      <c r="A9219" t="s">
        <v>1</v>
      </c>
      <c r="B9219" t="str">
        <f>"18993688637"</f>
        <v>18993688637</v>
      </c>
      <c r="C9219" t="s">
        <v>1</v>
      </c>
      <c r="D9219" t="s">
        <v>1</v>
      </c>
      <c r="E9219" t="s">
        <v>1</v>
      </c>
      <c r="F9219" t="s">
        <v>0</v>
      </c>
      <c r="G9219" t="str">
        <f>"2018-10-15 13:37:05"</f>
        <v>2018-10-15 13:37:05</v>
      </c>
    </row>
    <row r="9220" spans="1:7" x14ac:dyDescent="0.2">
      <c r="A9220" t="s">
        <v>9812</v>
      </c>
      <c r="B9220" t="str">
        <f>"13978003140"</f>
        <v>13978003140</v>
      </c>
      <c r="C9220" t="str">
        <f>"452224199410141032"</f>
        <v>452224199410141032</v>
      </c>
      <c r="D9220" t="s">
        <v>1</v>
      </c>
      <c r="E9220" t="s">
        <v>1</v>
      </c>
      <c r="F9220" t="s">
        <v>0</v>
      </c>
      <c r="G9220" t="str">
        <f>"2018-10-15 13:35:25"</f>
        <v>2018-10-15 13:35:25</v>
      </c>
    </row>
    <row r="9221" spans="1:7" x14ac:dyDescent="0.2">
      <c r="A9221" t="s">
        <v>9813</v>
      </c>
      <c r="B9221" t="str">
        <f>"18377086182"</f>
        <v>18377086182</v>
      </c>
      <c r="C9221" t="str">
        <f>"450603199102185795"</f>
        <v>450603199102185795</v>
      </c>
      <c r="D9221" t="s">
        <v>1</v>
      </c>
      <c r="E9221" t="s">
        <v>1</v>
      </c>
      <c r="F9221" t="s">
        <v>0</v>
      </c>
      <c r="G9221" t="str">
        <f>"2018-10-19 10:57:30"</f>
        <v>2018-10-19 10:57:30</v>
      </c>
    </row>
    <row r="9222" spans="1:7" x14ac:dyDescent="0.2">
      <c r="A9222" t="s">
        <v>9814</v>
      </c>
      <c r="B9222" t="str">
        <f>"15008722253"</f>
        <v>15008722253</v>
      </c>
      <c r="C9222" t="str">
        <f>"532727199505311520"</f>
        <v>532727199505311520</v>
      </c>
      <c r="D9222" t="s">
        <v>1</v>
      </c>
      <c r="E9222" t="s">
        <v>1</v>
      </c>
      <c r="F9222" t="s">
        <v>0</v>
      </c>
      <c r="G9222" t="str">
        <f>"2018-10-15 13:33:46"</f>
        <v>2018-10-15 13:33:46</v>
      </c>
    </row>
    <row r="9223" spans="1:7" x14ac:dyDescent="0.2">
      <c r="A9223" t="s">
        <v>9815</v>
      </c>
      <c r="B9223" t="str">
        <f>"13934503476"</f>
        <v>13934503476</v>
      </c>
      <c r="C9223" t="str">
        <f>"210726199309224339"</f>
        <v>210726199309224339</v>
      </c>
      <c r="D9223" t="s">
        <v>9816</v>
      </c>
      <c r="E9223" t="s">
        <v>9817</v>
      </c>
      <c r="F9223" t="s">
        <v>0</v>
      </c>
      <c r="G9223" t="str">
        <f>"2018-10-15 13:33:29"</f>
        <v>2018-10-15 13:33:29</v>
      </c>
    </row>
    <row r="9224" spans="1:7" x14ac:dyDescent="0.2">
      <c r="A9224" t="s">
        <v>9818</v>
      </c>
      <c r="B9224" t="str">
        <f>"15817224134"</f>
        <v>15817224134</v>
      </c>
      <c r="C9224" t="str">
        <f>"441622198703103752"</f>
        <v>441622198703103752</v>
      </c>
      <c r="D9224" t="s">
        <v>1</v>
      </c>
      <c r="E9224" t="s">
        <v>1</v>
      </c>
      <c r="F9224" t="s">
        <v>0</v>
      </c>
      <c r="G9224" t="str">
        <f>"2018-10-18 15:21:03"</f>
        <v>2018-10-18 15:21:03</v>
      </c>
    </row>
    <row r="9225" spans="1:7" x14ac:dyDescent="0.2">
      <c r="A9225" t="s">
        <v>1</v>
      </c>
      <c r="B9225" t="str">
        <f>"13589663621"</f>
        <v>13589663621</v>
      </c>
      <c r="C9225" t="s">
        <v>1</v>
      </c>
      <c r="D9225" t="s">
        <v>1</v>
      </c>
      <c r="E9225" t="s">
        <v>1</v>
      </c>
      <c r="F9225" t="s">
        <v>0</v>
      </c>
      <c r="G9225" t="str">
        <f>"2018-10-15 13:31:50"</f>
        <v>2018-10-15 13:31:50</v>
      </c>
    </row>
    <row r="9226" spans="1:7" x14ac:dyDescent="0.2">
      <c r="A9226" t="s">
        <v>1</v>
      </c>
      <c r="B9226" t="str">
        <f>"13284485876"</f>
        <v>13284485876</v>
      </c>
      <c r="C9226" t="s">
        <v>1</v>
      </c>
      <c r="D9226" t="s">
        <v>1</v>
      </c>
      <c r="E9226" t="s">
        <v>1</v>
      </c>
      <c r="F9226" t="s">
        <v>0</v>
      </c>
      <c r="G9226" t="str">
        <f>"2018-10-15 13:31:36"</f>
        <v>2018-10-15 13:31:36</v>
      </c>
    </row>
    <row r="9227" spans="1:7" x14ac:dyDescent="0.2">
      <c r="A9227" t="s">
        <v>9819</v>
      </c>
      <c r="B9227" t="str">
        <f>"13920954038"</f>
        <v>13920954038</v>
      </c>
      <c r="C9227" t="str">
        <f>"12022419900712711X"</f>
        <v>12022419900712711X</v>
      </c>
      <c r="D9227" t="s">
        <v>9820</v>
      </c>
      <c r="E9227" t="s">
        <v>9821</v>
      </c>
      <c r="F9227" t="s">
        <v>0</v>
      </c>
      <c r="G9227" t="str">
        <f>"2018-10-15 13:30:00"</f>
        <v>2018-10-15 13:30:00</v>
      </c>
    </row>
    <row r="9228" spans="1:7" x14ac:dyDescent="0.2">
      <c r="A9228" t="s">
        <v>9822</v>
      </c>
      <c r="B9228" t="str">
        <f>"15975875935"</f>
        <v>15975875935</v>
      </c>
      <c r="C9228" t="str">
        <f>"43102219841101282X"</f>
        <v>43102219841101282X</v>
      </c>
      <c r="D9228" t="s">
        <v>1</v>
      </c>
      <c r="E9228" t="s">
        <v>1</v>
      </c>
      <c r="F9228" t="s">
        <v>0</v>
      </c>
      <c r="G9228" t="str">
        <f>"2018-10-28 00:06:44"</f>
        <v>2018-10-28 00:06:44</v>
      </c>
    </row>
    <row r="9229" spans="1:7" x14ac:dyDescent="0.2">
      <c r="A9229" t="s">
        <v>9823</v>
      </c>
      <c r="B9229" t="str">
        <f>"15828515970"</f>
        <v>15828515970</v>
      </c>
      <c r="C9229" t="str">
        <f>"513426199501205522"</f>
        <v>513426199501205522</v>
      </c>
      <c r="D9229" t="s">
        <v>1</v>
      </c>
      <c r="E9229" t="s">
        <v>1</v>
      </c>
      <c r="F9229" t="s">
        <v>0</v>
      </c>
      <c r="G9229" t="str">
        <f>"2018-10-15 13:31:06"</f>
        <v>2018-10-15 13:31:06</v>
      </c>
    </row>
    <row r="9230" spans="1:7" x14ac:dyDescent="0.2">
      <c r="A9230" t="s">
        <v>9824</v>
      </c>
      <c r="B9230" t="str">
        <f>"17373740418"</f>
        <v>17373740418</v>
      </c>
      <c r="C9230" t="str">
        <f>"430922199904200514"</f>
        <v>430922199904200514</v>
      </c>
      <c r="D9230" t="s">
        <v>1</v>
      </c>
      <c r="E9230" t="s">
        <v>1</v>
      </c>
      <c r="F9230" t="s">
        <v>0</v>
      </c>
      <c r="G9230" t="str">
        <f>"2018-10-15 13:31:58"</f>
        <v>2018-10-15 13:31:58</v>
      </c>
    </row>
    <row r="9231" spans="1:7" x14ac:dyDescent="0.2">
      <c r="A9231" t="s">
        <v>6591</v>
      </c>
      <c r="B9231" t="str">
        <f>"15252973578"</f>
        <v>15252973578</v>
      </c>
      <c r="C9231" t="str">
        <f>"321183199308160012"</f>
        <v>321183199308160012</v>
      </c>
      <c r="D9231" t="s">
        <v>1</v>
      </c>
      <c r="E9231" t="s">
        <v>1</v>
      </c>
      <c r="F9231" t="s">
        <v>0</v>
      </c>
      <c r="G9231" t="str">
        <f>"2018-10-15 13:29:09"</f>
        <v>2018-10-15 13:29:09</v>
      </c>
    </row>
    <row r="9232" spans="1:7" x14ac:dyDescent="0.2">
      <c r="A9232" t="s">
        <v>9825</v>
      </c>
      <c r="B9232" t="str">
        <f>"15262178144"</f>
        <v>15262178144</v>
      </c>
      <c r="C9232" t="str">
        <f>"320382198803081636"</f>
        <v>320382198803081636</v>
      </c>
      <c r="D9232" t="s">
        <v>1</v>
      </c>
      <c r="E9232" t="s">
        <v>1</v>
      </c>
      <c r="F9232" t="s">
        <v>0</v>
      </c>
      <c r="G9232" t="str">
        <f>"2018-10-15 13:30:17"</f>
        <v>2018-10-15 13:30:17</v>
      </c>
    </row>
    <row r="9233" spans="1:7" x14ac:dyDescent="0.2">
      <c r="A9233" t="s">
        <v>1</v>
      </c>
      <c r="B9233" t="str">
        <f>"13377899962"</f>
        <v>13377899962</v>
      </c>
      <c r="C9233" t="s">
        <v>1</v>
      </c>
      <c r="D9233" t="s">
        <v>1</v>
      </c>
      <c r="E9233" t="s">
        <v>1</v>
      </c>
      <c r="F9233" t="s">
        <v>0</v>
      </c>
      <c r="G9233" t="str">
        <f>"2018-10-15 13:28:16"</f>
        <v>2018-10-15 13:28:16</v>
      </c>
    </row>
    <row r="9234" spans="1:7" x14ac:dyDescent="0.2">
      <c r="A9234" t="s">
        <v>1</v>
      </c>
      <c r="B9234" t="str">
        <f>"18785791436"</f>
        <v>18785791436</v>
      </c>
      <c r="C9234" t="s">
        <v>1</v>
      </c>
      <c r="D9234" t="s">
        <v>1</v>
      </c>
      <c r="E9234" t="s">
        <v>1</v>
      </c>
      <c r="F9234" t="s">
        <v>0</v>
      </c>
      <c r="G9234" t="str">
        <f>"2018-10-15 13:28:05"</f>
        <v>2018-10-15 13:28:05</v>
      </c>
    </row>
    <row r="9235" spans="1:7" x14ac:dyDescent="0.2">
      <c r="A9235" t="s">
        <v>712</v>
      </c>
      <c r="B9235" t="str">
        <f>"13462487838"</f>
        <v>13462487838</v>
      </c>
      <c r="C9235" t="str">
        <f>"410802198001172015"</f>
        <v>410802198001172015</v>
      </c>
      <c r="D9235" t="s">
        <v>1</v>
      </c>
      <c r="E9235" t="s">
        <v>1</v>
      </c>
      <c r="F9235" t="s">
        <v>0</v>
      </c>
      <c r="G9235" t="str">
        <f>"2018-10-15 13:29:12"</f>
        <v>2018-10-15 13:29:12</v>
      </c>
    </row>
    <row r="9236" spans="1:7" x14ac:dyDescent="0.2">
      <c r="A9236" t="s">
        <v>9826</v>
      </c>
      <c r="B9236" t="str">
        <f>"13544900878"</f>
        <v>13544900878</v>
      </c>
      <c r="C9236" t="str">
        <f>"441702198601101414"</f>
        <v>441702198601101414</v>
      </c>
      <c r="D9236" t="s">
        <v>1</v>
      </c>
      <c r="E9236" t="s">
        <v>1</v>
      </c>
      <c r="F9236" t="s">
        <v>0</v>
      </c>
      <c r="G9236" t="str">
        <f>"2018-10-15 13:28:37"</f>
        <v>2018-10-15 13:28:37</v>
      </c>
    </row>
    <row r="9237" spans="1:7" x14ac:dyDescent="0.2">
      <c r="A9237" t="s">
        <v>526</v>
      </c>
      <c r="B9237" t="str">
        <f>"13720295154"</f>
        <v>13720295154</v>
      </c>
      <c r="C9237" t="str">
        <f>"42220219940828003X"</f>
        <v>42220219940828003X</v>
      </c>
      <c r="D9237" t="s">
        <v>9827</v>
      </c>
      <c r="E9237" t="s">
        <v>9828</v>
      </c>
      <c r="F9237" t="s">
        <v>0</v>
      </c>
      <c r="G9237" t="str">
        <f>"2018-10-15 13:29:05"</f>
        <v>2018-10-15 13:29:05</v>
      </c>
    </row>
    <row r="9238" spans="1:7" x14ac:dyDescent="0.2">
      <c r="A9238" t="s">
        <v>9829</v>
      </c>
      <c r="B9238" t="str">
        <f>"13309855579"</f>
        <v>13309855579</v>
      </c>
      <c r="C9238" t="str">
        <f>"230224197205192269"</f>
        <v>230224197205192269</v>
      </c>
      <c r="D9238" t="s">
        <v>1</v>
      </c>
      <c r="E9238" t="s">
        <v>1</v>
      </c>
      <c r="F9238" t="s">
        <v>0</v>
      </c>
      <c r="G9238" t="str">
        <f>"2018-10-15 13:28:37"</f>
        <v>2018-10-15 13:28:37</v>
      </c>
    </row>
    <row r="9239" spans="1:7" x14ac:dyDescent="0.2">
      <c r="A9239" t="s">
        <v>9830</v>
      </c>
      <c r="B9239" t="str">
        <f>"18846732570"</f>
        <v>18846732570</v>
      </c>
      <c r="C9239" t="str">
        <f>"231026198003194212"</f>
        <v>231026198003194212</v>
      </c>
      <c r="D9239" t="s">
        <v>1</v>
      </c>
      <c r="E9239" t="s">
        <v>1</v>
      </c>
      <c r="F9239" t="s">
        <v>0</v>
      </c>
      <c r="G9239" t="str">
        <f>"2018-10-27 08:37:15"</f>
        <v>2018-10-27 08:37:15</v>
      </c>
    </row>
    <row r="9240" spans="1:7" x14ac:dyDescent="0.2">
      <c r="A9240" t="s">
        <v>1</v>
      </c>
      <c r="B9240" t="str">
        <f>"15399705739"</f>
        <v>15399705739</v>
      </c>
      <c r="C9240" t="s">
        <v>1</v>
      </c>
      <c r="D9240" t="s">
        <v>1</v>
      </c>
      <c r="E9240" t="s">
        <v>1</v>
      </c>
      <c r="F9240" t="s">
        <v>0</v>
      </c>
      <c r="G9240" t="str">
        <f>"2018-10-15 13:26:24"</f>
        <v>2018-10-15 13:26:24</v>
      </c>
    </row>
    <row r="9241" spans="1:7" x14ac:dyDescent="0.2">
      <c r="A9241" t="s">
        <v>9831</v>
      </c>
      <c r="B9241" t="str">
        <f>"13413067137"</f>
        <v>13413067137</v>
      </c>
      <c r="C9241" t="str">
        <f>"441621199203094413"</f>
        <v>441621199203094413</v>
      </c>
      <c r="D9241" t="s">
        <v>1</v>
      </c>
      <c r="E9241" t="s">
        <v>1</v>
      </c>
      <c r="F9241" t="s">
        <v>0</v>
      </c>
      <c r="G9241" t="str">
        <f>"2018-10-15 13:30:04"</f>
        <v>2018-10-15 13:30:04</v>
      </c>
    </row>
    <row r="9242" spans="1:7" x14ac:dyDescent="0.2">
      <c r="A9242" t="s">
        <v>1</v>
      </c>
      <c r="B9242" t="str">
        <f>"18063387005"</f>
        <v>18063387005</v>
      </c>
      <c r="C9242" t="s">
        <v>1</v>
      </c>
      <c r="D9242" t="s">
        <v>1</v>
      </c>
      <c r="E9242" t="s">
        <v>1</v>
      </c>
      <c r="F9242" t="s">
        <v>0</v>
      </c>
      <c r="G9242" t="str">
        <f>"2018-10-15 13:25:49"</f>
        <v>2018-10-15 13:25:49</v>
      </c>
    </row>
    <row r="9243" spans="1:7" x14ac:dyDescent="0.2">
      <c r="A9243" t="s">
        <v>9832</v>
      </c>
      <c r="B9243" t="str">
        <f>"13989893085"</f>
        <v>13989893085</v>
      </c>
      <c r="C9243" t="str">
        <f>"330103199712040011"</f>
        <v>330103199712040011</v>
      </c>
      <c r="D9243" t="s">
        <v>1</v>
      </c>
      <c r="E9243" t="s">
        <v>1</v>
      </c>
      <c r="F9243" t="s">
        <v>0</v>
      </c>
      <c r="G9243" t="str">
        <f>"2018-10-15 13:33:31"</f>
        <v>2018-10-15 13:33:31</v>
      </c>
    </row>
    <row r="9244" spans="1:7" x14ac:dyDescent="0.2">
      <c r="A9244" t="s">
        <v>9833</v>
      </c>
      <c r="B9244" t="str">
        <f>"13650689002"</f>
        <v>13650689002</v>
      </c>
      <c r="C9244" t="str">
        <f>"441322198307162017"</f>
        <v>441322198307162017</v>
      </c>
      <c r="D9244" t="s">
        <v>9834</v>
      </c>
      <c r="E9244" t="s">
        <v>9835</v>
      </c>
      <c r="F9244" t="s">
        <v>0</v>
      </c>
      <c r="G9244" t="str">
        <f>"2018-10-15 13:28:53"</f>
        <v>2018-10-15 13:28:53</v>
      </c>
    </row>
    <row r="9245" spans="1:7" x14ac:dyDescent="0.2">
      <c r="A9245" t="s">
        <v>9836</v>
      </c>
      <c r="B9245" t="str">
        <f>"15329666663"</f>
        <v>15329666663</v>
      </c>
      <c r="C9245" t="str">
        <f>"52270119780719031X"</f>
        <v>52270119780719031X</v>
      </c>
      <c r="D9245" t="s">
        <v>9837</v>
      </c>
      <c r="E9245" t="s">
        <v>9838</v>
      </c>
      <c r="F9245" t="s">
        <v>0</v>
      </c>
      <c r="G9245" t="str">
        <f>"2018-10-15 13:27:01"</f>
        <v>2018-10-15 13:27:01</v>
      </c>
    </row>
    <row r="9246" spans="1:7" x14ac:dyDescent="0.2">
      <c r="A9246" t="s">
        <v>1</v>
      </c>
      <c r="B9246" t="str">
        <f>"15763290956"</f>
        <v>15763290956</v>
      </c>
      <c r="C9246" t="s">
        <v>1</v>
      </c>
      <c r="D9246" t="s">
        <v>1</v>
      </c>
      <c r="E9246" t="s">
        <v>1</v>
      </c>
      <c r="F9246" t="s">
        <v>0</v>
      </c>
      <c r="G9246" t="str">
        <f>"2018-10-15 13:25:10"</f>
        <v>2018-10-15 13:25:10</v>
      </c>
    </row>
    <row r="9247" spans="1:7" x14ac:dyDescent="0.2">
      <c r="A9247" t="s">
        <v>1</v>
      </c>
      <c r="B9247" t="str">
        <f>"13190231560"</f>
        <v>13190231560</v>
      </c>
      <c r="C9247" t="s">
        <v>1</v>
      </c>
      <c r="D9247" t="s">
        <v>1</v>
      </c>
      <c r="E9247" t="s">
        <v>1</v>
      </c>
      <c r="F9247" t="s">
        <v>0</v>
      </c>
      <c r="G9247" t="str">
        <f>"2018-10-15 13:24:31"</f>
        <v>2018-10-15 13:24:31</v>
      </c>
    </row>
    <row r="9248" spans="1:7" x14ac:dyDescent="0.2">
      <c r="A9248" t="s">
        <v>9839</v>
      </c>
      <c r="B9248" t="str">
        <f>"15890227100"</f>
        <v>15890227100</v>
      </c>
      <c r="C9248" t="str">
        <f>"411122199109018135"</f>
        <v>411122199109018135</v>
      </c>
      <c r="D9248" t="s">
        <v>1</v>
      </c>
      <c r="E9248" t="s">
        <v>1</v>
      </c>
      <c r="F9248" t="s">
        <v>0</v>
      </c>
      <c r="G9248" t="str">
        <f>"2018-10-15 14:45:32"</f>
        <v>2018-10-15 14:45:32</v>
      </c>
    </row>
    <row r="9249" spans="1:7" x14ac:dyDescent="0.2">
      <c r="A9249" t="s">
        <v>1</v>
      </c>
      <c r="B9249" t="str">
        <f>"15072151896"</f>
        <v>15072151896</v>
      </c>
      <c r="C9249" t="s">
        <v>1</v>
      </c>
      <c r="D9249" t="s">
        <v>1</v>
      </c>
      <c r="E9249" t="s">
        <v>1</v>
      </c>
      <c r="F9249" t="s">
        <v>0</v>
      </c>
      <c r="G9249" t="str">
        <f>"2018-10-15 13:23:46"</f>
        <v>2018-10-15 13:23:46</v>
      </c>
    </row>
    <row r="9250" spans="1:7" x14ac:dyDescent="0.2">
      <c r="A9250" t="s">
        <v>9840</v>
      </c>
      <c r="B9250" t="str">
        <f>"18608732922"</f>
        <v>18608732922</v>
      </c>
      <c r="C9250" t="str">
        <f>"532501198603150311"</f>
        <v>532501198603150311</v>
      </c>
      <c r="D9250" t="s">
        <v>9841</v>
      </c>
      <c r="E9250" t="s">
        <v>9842</v>
      </c>
      <c r="F9250" t="s">
        <v>0</v>
      </c>
      <c r="G9250" t="str">
        <f>"2018-10-25 12:26:55"</f>
        <v>2018-10-25 12:26:55</v>
      </c>
    </row>
    <row r="9251" spans="1:7" x14ac:dyDescent="0.2">
      <c r="A9251" t="s">
        <v>449</v>
      </c>
      <c r="B9251" t="str">
        <f>"13604823595"</f>
        <v>13604823595</v>
      </c>
      <c r="C9251" t="str">
        <f>"230202198002091210"</f>
        <v>230202198002091210</v>
      </c>
      <c r="D9251" t="s">
        <v>1</v>
      </c>
      <c r="E9251" t="s">
        <v>1</v>
      </c>
      <c r="F9251" t="s">
        <v>0</v>
      </c>
      <c r="G9251" t="str">
        <f>"2018-10-16 09:12:21"</f>
        <v>2018-10-16 09:12:21</v>
      </c>
    </row>
    <row r="9252" spans="1:7" x14ac:dyDescent="0.2">
      <c r="A9252" t="s">
        <v>9843</v>
      </c>
      <c r="B9252" t="str">
        <f>"18610602444"</f>
        <v>18610602444</v>
      </c>
      <c r="C9252" t="str">
        <f>"340321199507130013"</f>
        <v>340321199507130013</v>
      </c>
      <c r="D9252" t="s">
        <v>1</v>
      </c>
      <c r="E9252" t="s">
        <v>1</v>
      </c>
      <c r="F9252" t="s">
        <v>0</v>
      </c>
      <c r="G9252" t="str">
        <f>"2018-10-15 13:23:09"</f>
        <v>2018-10-15 13:23:09</v>
      </c>
    </row>
    <row r="9253" spans="1:7" x14ac:dyDescent="0.2">
      <c r="A9253" t="s">
        <v>9844</v>
      </c>
      <c r="B9253" t="str">
        <f>"15087936547"</f>
        <v>15087936547</v>
      </c>
      <c r="C9253" t="str">
        <f>"53272619920120093X"</f>
        <v>53272619920120093X</v>
      </c>
      <c r="D9253" t="s">
        <v>1</v>
      </c>
      <c r="E9253" t="s">
        <v>1</v>
      </c>
      <c r="F9253" t="s">
        <v>0</v>
      </c>
      <c r="G9253" t="str">
        <f>"2018-10-15 14:07:21"</f>
        <v>2018-10-15 14:07:21</v>
      </c>
    </row>
    <row r="9254" spans="1:7" x14ac:dyDescent="0.2">
      <c r="A9254" t="s">
        <v>9845</v>
      </c>
      <c r="B9254" t="str">
        <f>"15975839468"</f>
        <v>15975839468</v>
      </c>
      <c r="C9254" t="str">
        <f>"441823198808048056"</f>
        <v>441823198808048056</v>
      </c>
      <c r="D9254" t="s">
        <v>1</v>
      </c>
      <c r="E9254" t="s">
        <v>1</v>
      </c>
      <c r="F9254" t="s">
        <v>0</v>
      </c>
      <c r="G9254" t="str">
        <f>"2018-10-15 13:32:40"</f>
        <v>2018-10-15 13:32:40</v>
      </c>
    </row>
    <row r="9255" spans="1:7" x14ac:dyDescent="0.2">
      <c r="A9255" t="s">
        <v>9846</v>
      </c>
      <c r="B9255" t="str">
        <f>"13510618578"</f>
        <v>13510618578</v>
      </c>
      <c r="C9255" t="str">
        <f>"36233019960812241X"</f>
        <v>36233019960812241X</v>
      </c>
      <c r="D9255" t="s">
        <v>1</v>
      </c>
      <c r="E9255" t="s">
        <v>1</v>
      </c>
      <c r="F9255" t="s">
        <v>0</v>
      </c>
      <c r="G9255" t="str">
        <f>"2018-10-30 12:56:33"</f>
        <v>2018-10-30 12:56:33</v>
      </c>
    </row>
    <row r="9256" spans="1:7" x14ac:dyDescent="0.2">
      <c r="A9256" t="s">
        <v>9847</v>
      </c>
      <c r="B9256" t="str">
        <f>"17623269024"</f>
        <v>17623269024</v>
      </c>
      <c r="C9256" t="str">
        <f>"500234199708139598"</f>
        <v>500234199708139598</v>
      </c>
      <c r="D9256" t="s">
        <v>1</v>
      </c>
      <c r="E9256" t="s">
        <v>1</v>
      </c>
      <c r="F9256" t="s">
        <v>0</v>
      </c>
      <c r="G9256" t="str">
        <f>"2018-10-15 13:29:52"</f>
        <v>2018-10-15 13:29:52</v>
      </c>
    </row>
    <row r="9257" spans="1:7" x14ac:dyDescent="0.2">
      <c r="A9257" t="s">
        <v>1</v>
      </c>
      <c r="B9257" t="str">
        <f>"15764130100"</f>
        <v>15764130100</v>
      </c>
      <c r="C9257" t="s">
        <v>1</v>
      </c>
      <c r="D9257" t="s">
        <v>1</v>
      </c>
      <c r="E9257" t="s">
        <v>1</v>
      </c>
      <c r="F9257" t="s">
        <v>0</v>
      </c>
      <c r="G9257" t="str">
        <f>"2018-10-15 13:22:37"</f>
        <v>2018-10-15 13:22:37</v>
      </c>
    </row>
    <row r="9258" spans="1:7" x14ac:dyDescent="0.2">
      <c r="A9258" t="s">
        <v>9848</v>
      </c>
      <c r="B9258" t="str">
        <f>"15630287635"</f>
        <v>15630287635</v>
      </c>
      <c r="C9258" t="str">
        <f>"132428197307221213"</f>
        <v>132428197307221213</v>
      </c>
      <c r="D9258" t="s">
        <v>1</v>
      </c>
      <c r="E9258" t="s">
        <v>1</v>
      </c>
      <c r="F9258" t="s">
        <v>0</v>
      </c>
      <c r="G9258" t="str">
        <f>"2018-10-15 13:21:52"</f>
        <v>2018-10-15 13:21:52</v>
      </c>
    </row>
    <row r="9259" spans="1:7" x14ac:dyDescent="0.2">
      <c r="A9259" t="s">
        <v>1</v>
      </c>
      <c r="B9259" t="str">
        <f>"13078030147"</f>
        <v>13078030147</v>
      </c>
      <c r="C9259" t="s">
        <v>1</v>
      </c>
      <c r="D9259" t="s">
        <v>1</v>
      </c>
      <c r="E9259" t="s">
        <v>1</v>
      </c>
      <c r="F9259" t="s">
        <v>0</v>
      </c>
      <c r="G9259" t="str">
        <f>"2018-10-15 13:21:38"</f>
        <v>2018-10-15 13:21:38</v>
      </c>
    </row>
    <row r="9260" spans="1:7" x14ac:dyDescent="0.2">
      <c r="A9260" t="s">
        <v>9262</v>
      </c>
      <c r="B9260" t="str">
        <f>"13828695109"</f>
        <v>13828695109</v>
      </c>
      <c r="C9260" t="str">
        <f>"440923198102024110"</f>
        <v>440923198102024110</v>
      </c>
      <c r="D9260" t="s">
        <v>1</v>
      </c>
      <c r="E9260" t="s">
        <v>1</v>
      </c>
      <c r="F9260" t="s">
        <v>0</v>
      </c>
      <c r="G9260" t="str">
        <f>"2018-10-15 13:23:11"</f>
        <v>2018-10-15 13:23:11</v>
      </c>
    </row>
    <row r="9261" spans="1:7" x14ac:dyDescent="0.2">
      <c r="A9261" t="s">
        <v>1</v>
      </c>
      <c r="B9261" t="str">
        <f>"18734138129"</f>
        <v>18734138129</v>
      </c>
      <c r="C9261" t="s">
        <v>1</v>
      </c>
      <c r="D9261" t="s">
        <v>1</v>
      </c>
      <c r="E9261" t="s">
        <v>1</v>
      </c>
      <c r="F9261" t="s">
        <v>0</v>
      </c>
      <c r="G9261" t="str">
        <f>"2018-10-15 13:23:25"</f>
        <v>2018-10-15 13:23:25</v>
      </c>
    </row>
    <row r="9262" spans="1:7" x14ac:dyDescent="0.2">
      <c r="A9262" t="s">
        <v>9849</v>
      </c>
      <c r="B9262" t="str">
        <f>"15572226160"</f>
        <v>15572226160</v>
      </c>
      <c r="C9262" t="str">
        <f>"421302199511050034"</f>
        <v>421302199511050034</v>
      </c>
      <c r="D9262" t="s">
        <v>1</v>
      </c>
      <c r="E9262" t="s">
        <v>1</v>
      </c>
      <c r="F9262" t="s">
        <v>0</v>
      </c>
      <c r="G9262" t="str">
        <f>"2018-10-15 13:22:12"</f>
        <v>2018-10-15 13:22:12</v>
      </c>
    </row>
    <row r="9263" spans="1:7" x14ac:dyDescent="0.2">
      <c r="A9263" t="s">
        <v>9850</v>
      </c>
      <c r="B9263" t="str">
        <f>"18563977890"</f>
        <v>18563977890</v>
      </c>
      <c r="C9263" t="str">
        <f>"370282197709125312"</f>
        <v>370282197709125312</v>
      </c>
      <c r="D9263" t="s">
        <v>1</v>
      </c>
      <c r="E9263" t="s">
        <v>1</v>
      </c>
      <c r="F9263" t="s">
        <v>0</v>
      </c>
      <c r="G9263" t="str">
        <f>"2018-10-22 15:20:39"</f>
        <v>2018-10-22 15:20:39</v>
      </c>
    </row>
    <row r="9264" spans="1:7" x14ac:dyDescent="0.2">
      <c r="A9264" t="s">
        <v>1520</v>
      </c>
      <c r="B9264" t="str">
        <f>"18850601330"</f>
        <v>18850601330</v>
      </c>
      <c r="C9264" t="str">
        <f>"513822199210097302"</f>
        <v>513822199210097302</v>
      </c>
      <c r="D9264" t="s">
        <v>1</v>
      </c>
      <c r="E9264" t="s">
        <v>1</v>
      </c>
      <c r="F9264" t="s">
        <v>0</v>
      </c>
      <c r="G9264" t="str">
        <f>"2018-10-15 13:21:00"</f>
        <v>2018-10-15 13:21:00</v>
      </c>
    </row>
    <row r="9265" spans="1:7" x14ac:dyDescent="0.2">
      <c r="A9265" t="s">
        <v>9851</v>
      </c>
      <c r="B9265" t="str">
        <f>"18659420787"</f>
        <v>18659420787</v>
      </c>
      <c r="C9265" t="str">
        <f>"35212119750428212X"</f>
        <v>35212119750428212X</v>
      </c>
      <c r="D9265" t="s">
        <v>1</v>
      </c>
      <c r="E9265" t="s">
        <v>1</v>
      </c>
      <c r="F9265" t="s">
        <v>0</v>
      </c>
      <c r="G9265" t="str">
        <f>"2018-10-15 13:22:48"</f>
        <v>2018-10-15 13:22:48</v>
      </c>
    </row>
    <row r="9266" spans="1:7" x14ac:dyDescent="0.2">
      <c r="A9266" t="s">
        <v>1</v>
      </c>
      <c r="B9266" t="str">
        <f>"13182828242"</f>
        <v>13182828242</v>
      </c>
      <c r="C9266" t="s">
        <v>1</v>
      </c>
      <c r="D9266" t="s">
        <v>1</v>
      </c>
      <c r="E9266" t="s">
        <v>1</v>
      </c>
      <c r="F9266" t="s">
        <v>0</v>
      </c>
      <c r="G9266" t="str">
        <f>"2018-10-15 13:20:02"</f>
        <v>2018-10-15 13:20:02</v>
      </c>
    </row>
    <row r="9267" spans="1:7" x14ac:dyDescent="0.2">
      <c r="A9267" t="s">
        <v>9852</v>
      </c>
      <c r="B9267" t="str">
        <f>"15278913895"</f>
        <v>15278913895</v>
      </c>
      <c r="C9267" t="str">
        <f>"610125198403281218"</f>
        <v>610125198403281218</v>
      </c>
      <c r="D9267" t="s">
        <v>1</v>
      </c>
      <c r="E9267" t="s">
        <v>1</v>
      </c>
      <c r="F9267" t="s">
        <v>0</v>
      </c>
      <c r="G9267" t="str">
        <f>"2018-10-15 13:20:32"</f>
        <v>2018-10-15 13:20:32</v>
      </c>
    </row>
    <row r="9268" spans="1:7" x14ac:dyDescent="0.2">
      <c r="A9268" t="s">
        <v>9853</v>
      </c>
      <c r="B9268" t="str">
        <f>"15930909927"</f>
        <v>15930909927</v>
      </c>
      <c r="C9268" t="str">
        <f>"13042719930905291X"</f>
        <v>13042719930905291X</v>
      </c>
      <c r="D9268" t="s">
        <v>1</v>
      </c>
      <c r="E9268" t="s">
        <v>1</v>
      </c>
      <c r="F9268" t="s">
        <v>0</v>
      </c>
      <c r="G9268" t="str">
        <f>"2018-10-15 13:34:54"</f>
        <v>2018-10-15 13:34:54</v>
      </c>
    </row>
    <row r="9269" spans="1:7" x14ac:dyDescent="0.2">
      <c r="A9269" t="s">
        <v>1</v>
      </c>
      <c r="B9269" t="str">
        <f>"13739209338"</f>
        <v>13739209338</v>
      </c>
      <c r="C9269" t="s">
        <v>1</v>
      </c>
      <c r="D9269" t="s">
        <v>1</v>
      </c>
      <c r="E9269" t="s">
        <v>1</v>
      </c>
      <c r="F9269" t="s">
        <v>0</v>
      </c>
      <c r="G9269" t="str">
        <f>"2018-10-15 13:19:14"</f>
        <v>2018-10-15 13:19:14</v>
      </c>
    </row>
    <row r="9270" spans="1:7" x14ac:dyDescent="0.2">
      <c r="A9270" t="s">
        <v>1</v>
      </c>
      <c r="B9270" t="str">
        <f>"15264612721"</f>
        <v>15264612721</v>
      </c>
      <c r="C9270" t="s">
        <v>1</v>
      </c>
      <c r="D9270" t="s">
        <v>1</v>
      </c>
      <c r="E9270" t="s">
        <v>1</v>
      </c>
      <c r="F9270" t="s">
        <v>0</v>
      </c>
      <c r="G9270" t="str">
        <f>"2018-10-15 13:18:08"</f>
        <v>2018-10-15 13:18:08</v>
      </c>
    </row>
    <row r="9271" spans="1:7" x14ac:dyDescent="0.2">
      <c r="A9271" t="s">
        <v>1</v>
      </c>
      <c r="B9271" t="str">
        <f>"17084410537"</f>
        <v>17084410537</v>
      </c>
      <c r="C9271" t="s">
        <v>1</v>
      </c>
      <c r="D9271" t="s">
        <v>1</v>
      </c>
      <c r="E9271" t="s">
        <v>1</v>
      </c>
      <c r="F9271" t="s">
        <v>0</v>
      </c>
      <c r="G9271" t="str">
        <f>"2018-10-15 13:18:06"</f>
        <v>2018-10-15 13:18:06</v>
      </c>
    </row>
    <row r="9272" spans="1:7" x14ac:dyDescent="0.2">
      <c r="A9272" t="s">
        <v>9854</v>
      </c>
      <c r="B9272" t="str">
        <f>"13600011442"</f>
        <v>13600011442</v>
      </c>
      <c r="C9272" t="str">
        <f>"440182199003170033"</f>
        <v>440182199003170033</v>
      </c>
      <c r="D9272" t="s">
        <v>1</v>
      </c>
      <c r="E9272" t="s">
        <v>1</v>
      </c>
      <c r="F9272" t="s">
        <v>0</v>
      </c>
      <c r="G9272" t="str">
        <f>"2018-10-15 13:19:55"</f>
        <v>2018-10-15 13:19:55</v>
      </c>
    </row>
    <row r="9273" spans="1:7" x14ac:dyDescent="0.2">
      <c r="A9273" t="s">
        <v>50</v>
      </c>
      <c r="B9273" t="str">
        <f>"13980996281"</f>
        <v>13980996281</v>
      </c>
      <c r="C9273" t="str">
        <f>"510123198201080024"</f>
        <v>510123198201080024</v>
      </c>
      <c r="D9273" t="s">
        <v>1</v>
      </c>
      <c r="E9273" t="s">
        <v>1</v>
      </c>
      <c r="F9273" t="s">
        <v>0</v>
      </c>
      <c r="G9273" t="str">
        <f>"2018-10-25 21:00:01"</f>
        <v>2018-10-25 21:00:01</v>
      </c>
    </row>
    <row r="9274" spans="1:7" x14ac:dyDescent="0.2">
      <c r="A9274" t="s">
        <v>9855</v>
      </c>
      <c r="B9274" t="str">
        <f>"15011160354"</f>
        <v>15011160354</v>
      </c>
      <c r="C9274" t="str">
        <f>"211421199012075638"</f>
        <v>211421199012075638</v>
      </c>
      <c r="D9274" t="s">
        <v>9856</v>
      </c>
      <c r="E9274" t="s">
        <v>9857</v>
      </c>
      <c r="F9274" t="s">
        <v>0</v>
      </c>
      <c r="G9274" t="str">
        <f>"2018-10-15 13:17:19"</f>
        <v>2018-10-15 13:17:19</v>
      </c>
    </row>
    <row r="9275" spans="1:7" x14ac:dyDescent="0.2">
      <c r="A9275" t="s">
        <v>1</v>
      </c>
      <c r="B9275" t="str">
        <f>"15233848646"</f>
        <v>15233848646</v>
      </c>
      <c r="C9275" t="s">
        <v>1</v>
      </c>
      <c r="D9275" t="s">
        <v>1</v>
      </c>
      <c r="E9275" t="s">
        <v>1</v>
      </c>
      <c r="F9275" t="s">
        <v>0</v>
      </c>
      <c r="G9275" t="str">
        <f>"2018-10-15 13:16:05"</f>
        <v>2018-10-15 13:16:05</v>
      </c>
    </row>
    <row r="9276" spans="1:7" x14ac:dyDescent="0.2">
      <c r="A9276" t="s">
        <v>9858</v>
      </c>
      <c r="B9276" t="str">
        <f>"13829895275"</f>
        <v>13829895275</v>
      </c>
      <c r="C9276" t="str">
        <f>"441702199502283317"</f>
        <v>441702199502283317</v>
      </c>
      <c r="D9276" t="s">
        <v>1</v>
      </c>
      <c r="E9276" t="s">
        <v>1</v>
      </c>
      <c r="F9276" t="s">
        <v>0</v>
      </c>
      <c r="G9276" t="str">
        <f>"2018-10-17 18:20:59"</f>
        <v>2018-10-17 18:20:59</v>
      </c>
    </row>
    <row r="9277" spans="1:7" x14ac:dyDescent="0.2">
      <c r="A9277" t="s">
        <v>9859</v>
      </c>
      <c r="B9277" t="str">
        <f>"13946426425"</f>
        <v>13946426425</v>
      </c>
      <c r="C9277" t="str">
        <f>"230811197706042112"</f>
        <v>230811197706042112</v>
      </c>
      <c r="D9277" t="s">
        <v>1</v>
      </c>
      <c r="E9277" t="s">
        <v>1</v>
      </c>
      <c r="F9277" t="s">
        <v>0</v>
      </c>
      <c r="G9277" t="str">
        <f>"2018-10-15 13:15:27"</f>
        <v>2018-10-15 13:15:27</v>
      </c>
    </row>
    <row r="9278" spans="1:7" x14ac:dyDescent="0.2">
      <c r="A9278" t="s">
        <v>9860</v>
      </c>
      <c r="B9278" t="str">
        <f>"13958559424"</f>
        <v>13958559424</v>
      </c>
      <c r="C9278" t="str">
        <f>"331081198707135147"</f>
        <v>331081198707135147</v>
      </c>
      <c r="D9278" t="s">
        <v>1</v>
      </c>
      <c r="E9278" t="s">
        <v>1</v>
      </c>
      <c r="F9278" t="s">
        <v>0</v>
      </c>
      <c r="G9278" t="str">
        <f>"2018-10-15 14:40:34"</f>
        <v>2018-10-15 14:40:34</v>
      </c>
    </row>
    <row r="9279" spans="1:7" x14ac:dyDescent="0.2">
      <c r="A9279" t="s">
        <v>9861</v>
      </c>
      <c r="B9279" t="str">
        <f>"13608212271"</f>
        <v>13608212271</v>
      </c>
      <c r="C9279" t="str">
        <f>"510121199505126070"</f>
        <v>510121199505126070</v>
      </c>
      <c r="D9279" t="s">
        <v>1</v>
      </c>
      <c r="E9279" t="s">
        <v>1</v>
      </c>
      <c r="F9279" t="s">
        <v>0</v>
      </c>
      <c r="G9279" t="str">
        <f>"2018-10-15 13:14:40"</f>
        <v>2018-10-15 13:14:40</v>
      </c>
    </row>
    <row r="9280" spans="1:7" x14ac:dyDescent="0.2">
      <c r="A9280" t="s">
        <v>695</v>
      </c>
      <c r="B9280" t="str">
        <f>"13555926169"</f>
        <v>13555926169</v>
      </c>
      <c r="C9280" t="str">
        <f>"232303197909285039"</f>
        <v>232303197909285039</v>
      </c>
      <c r="D9280" t="s">
        <v>1</v>
      </c>
      <c r="E9280" t="s">
        <v>1</v>
      </c>
      <c r="F9280" t="s">
        <v>0</v>
      </c>
      <c r="G9280" t="str">
        <f>"2018-10-15 13:36:39"</f>
        <v>2018-10-15 13:36:39</v>
      </c>
    </row>
    <row r="9281" spans="1:7" x14ac:dyDescent="0.2">
      <c r="A9281" t="s">
        <v>9862</v>
      </c>
      <c r="B9281" t="str">
        <f>"15985105921"</f>
        <v>15985105921</v>
      </c>
      <c r="C9281" t="str">
        <f>"520181199408085252"</f>
        <v>520181199408085252</v>
      </c>
      <c r="D9281" t="s">
        <v>1</v>
      </c>
      <c r="E9281" t="s">
        <v>1</v>
      </c>
      <c r="F9281" t="s">
        <v>0</v>
      </c>
      <c r="G9281" t="str">
        <f>"2018-10-15 13:26:50"</f>
        <v>2018-10-15 13:26:50</v>
      </c>
    </row>
    <row r="9282" spans="1:7" x14ac:dyDescent="0.2">
      <c r="A9282" t="s">
        <v>1</v>
      </c>
      <c r="B9282" t="str">
        <f>"13574892389"</f>
        <v>13574892389</v>
      </c>
      <c r="C9282" t="s">
        <v>1</v>
      </c>
      <c r="D9282" t="s">
        <v>1</v>
      </c>
      <c r="E9282" t="s">
        <v>1</v>
      </c>
      <c r="F9282" t="s">
        <v>0</v>
      </c>
      <c r="G9282" t="str">
        <f>"2018-10-15 13:13:40"</f>
        <v>2018-10-15 13:13:40</v>
      </c>
    </row>
    <row r="9283" spans="1:7" x14ac:dyDescent="0.2">
      <c r="A9283" t="s">
        <v>1</v>
      </c>
      <c r="B9283" t="str">
        <f>"18097970297"</f>
        <v>18097970297</v>
      </c>
      <c r="C9283" t="s">
        <v>1</v>
      </c>
      <c r="D9283" t="s">
        <v>1</v>
      </c>
      <c r="E9283" t="s">
        <v>1</v>
      </c>
      <c r="F9283" t="s">
        <v>0</v>
      </c>
      <c r="G9283" t="str">
        <f>"2018-10-15 13:14:46"</f>
        <v>2018-10-15 13:14:46</v>
      </c>
    </row>
    <row r="9284" spans="1:7" x14ac:dyDescent="0.2">
      <c r="A9284" t="s">
        <v>9863</v>
      </c>
      <c r="B9284" t="str">
        <f>"18919653334"</f>
        <v>18919653334</v>
      </c>
      <c r="C9284" t="str">
        <f>"230707198703040028"</f>
        <v>230707198703040028</v>
      </c>
      <c r="D9284" t="s">
        <v>1</v>
      </c>
      <c r="E9284" t="s">
        <v>1</v>
      </c>
      <c r="F9284" t="s">
        <v>0</v>
      </c>
      <c r="G9284" t="str">
        <f>"2018-10-15 13:13:54"</f>
        <v>2018-10-15 13:13:54</v>
      </c>
    </row>
    <row r="9285" spans="1:7" x14ac:dyDescent="0.2">
      <c r="A9285" t="s">
        <v>9864</v>
      </c>
      <c r="B9285" t="str">
        <f>"18727836888"</f>
        <v>18727836888</v>
      </c>
      <c r="C9285" t="str">
        <f>"422324198310210817"</f>
        <v>422324198310210817</v>
      </c>
      <c r="D9285" t="s">
        <v>1</v>
      </c>
      <c r="E9285" t="s">
        <v>1</v>
      </c>
      <c r="F9285" t="s">
        <v>0</v>
      </c>
      <c r="G9285" t="str">
        <f>"2018-10-15 13:18:51"</f>
        <v>2018-10-15 13:18:51</v>
      </c>
    </row>
    <row r="9286" spans="1:7" x14ac:dyDescent="0.2">
      <c r="A9286" t="s">
        <v>9865</v>
      </c>
      <c r="B9286" t="str">
        <f>"15364120592"</f>
        <v>15364120592</v>
      </c>
      <c r="C9286" t="str">
        <f>"430621199801187051"</f>
        <v>430621199801187051</v>
      </c>
      <c r="D9286" t="s">
        <v>9866</v>
      </c>
      <c r="E9286" t="s">
        <v>9867</v>
      </c>
      <c r="F9286" t="s">
        <v>0</v>
      </c>
      <c r="G9286" t="str">
        <f>"2018-10-15 14:36:51"</f>
        <v>2018-10-15 14:36:51</v>
      </c>
    </row>
    <row r="9287" spans="1:7" x14ac:dyDescent="0.2">
      <c r="A9287" t="s">
        <v>9868</v>
      </c>
      <c r="B9287" t="str">
        <f>"15004190579"</f>
        <v>15004190579</v>
      </c>
      <c r="C9287" t="str">
        <f>"211022198110294893"</f>
        <v>211022198110294893</v>
      </c>
      <c r="D9287" t="s">
        <v>1</v>
      </c>
      <c r="E9287" t="s">
        <v>1</v>
      </c>
      <c r="F9287" t="s">
        <v>0</v>
      </c>
      <c r="G9287" t="str">
        <f>"2018-10-15 13:13:11"</f>
        <v>2018-10-15 13:13:11</v>
      </c>
    </row>
    <row r="9288" spans="1:7" x14ac:dyDescent="0.2">
      <c r="A9288" t="s">
        <v>9869</v>
      </c>
      <c r="B9288" t="str">
        <f>"18762213130"</f>
        <v>18762213130</v>
      </c>
      <c r="C9288" t="str">
        <f>"320382199510086243"</f>
        <v>320382199510086243</v>
      </c>
      <c r="D9288" t="s">
        <v>1</v>
      </c>
      <c r="E9288" t="s">
        <v>1</v>
      </c>
      <c r="F9288" t="s">
        <v>0</v>
      </c>
      <c r="G9288" t="str">
        <f>"2018-10-15 13:16:28"</f>
        <v>2018-10-15 13:16:28</v>
      </c>
    </row>
    <row r="9289" spans="1:7" x14ac:dyDescent="0.2">
      <c r="A9289" t="s">
        <v>9870</v>
      </c>
      <c r="B9289" t="str">
        <f>"15170273822"</f>
        <v>15170273822</v>
      </c>
      <c r="C9289" t="str">
        <f>"360430199108060316"</f>
        <v>360430199108060316</v>
      </c>
      <c r="D9289" t="s">
        <v>1</v>
      </c>
      <c r="E9289" t="s">
        <v>1</v>
      </c>
      <c r="F9289" t="s">
        <v>0</v>
      </c>
      <c r="G9289" t="str">
        <f>"2018-10-30 11:48:30"</f>
        <v>2018-10-30 11:48:30</v>
      </c>
    </row>
    <row r="9290" spans="1:7" x14ac:dyDescent="0.2">
      <c r="A9290" t="s">
        <v>1</v>
      </c>
      <c r="B9290" t="str">
        <f>"15053173739"</f>
        <v>15053173739</v>
      </c>
      <c r="C9290" t="s">
        <v>1</v>
      </c>
      <c r="D9290" t="s">
        <v>1</v>
      </c>
      <c r="E9290" t="s">
        <v>1</v>
      </c>
      <c r="F9290" t="s">
        <v>0</v>
      </c>
      <c r="G9290" t="str">
        <f>"2018-10-15 13:10:03"</f>
        <v>2018-10-15 13:10:03</v>
      </c>
    </row>
    <row r="9291" spans="1:7" x14ac:dyDescent="0.2">
      <c r="A9291" t="s">
        <v>9871</v>
      </c>
      <c r="B9291" t="str">
        <f>"18898341031"</f>
        <v>18898341031</v>
      </c>
      <c r="C9291" t="str">
        <f>"440882198411140013"</f>
        <v>440882198411140013</v>
      </c>
      <c r="D9291" t="s">
        <v>1</v>
      </c>
      <c r="E9291" t="s">
        <v>1</v>
      </c>
      <c r="F9291" t="s">
        <v>0</v>
      </c>
      <c r="G9291" t="str">
        <f>"2018-10-15 13:09:52"</f>
        <v>2018-10-15 13:09:52</v>
      </c>
    </row>
    <row r="9292" spans="1:7" x14ac:dyDescent="0.2">
      <c r="A9292" t="s">
        <v>1</v>
      </c>
      <c r="B9292" t="str">
        <f>"15060608529"</f>
        <v>15060608529</v>
      </c>
      <c r="C9292" t="s">
        <v>1</v>
      </c>
      <c r="D9292" t="s">
        <v>1</v>
      </c>
      <c r="E9292" t="s">
        <v>1</v>
      </c>
      <c r="F9292" t="s">
        <v>0</v>
      </c>
      <c r="G9292" t="str">
        <f>"2018-10-15 13:09:40"</f>
        <v>2018-10-15 13:09:40</v>
      </c>
    </row>
    <row r="9293" spans="1:7" x14ac:dyDescent="0.2">
      <c r="A9293" t="s">
        <v>9872</v>
      </c>
      <c r="B9293" t="str">
        <f>"18966839935"</f>
        <v>18966839935</v>
      </c>
      <c r="C9293" t="str">
        <f>"610111199104080025"</f>
        <v>610111199104080025</v>
      </c>
      <c r="D9293" t="s">
        <v>9873</v>
      </c>
      <c r="E9293" t="s">
        <v>9874</v>
      </c>
      <c r="F9293" t="s">
        <v>0</v>
      </c>
      <c r="G9293" t="str">
        <f>"2018-10-20 14:54:44"</f>
        <v>2018-10-20 14:54:44</v>
      </c>
    </row>
    <row r="9294" spans="1:7" x14ac:dyDescent="0.2">
      <c r="A9294" t="s">
        <v>9875</v>
      </c>
      <c r="B9294" t="str">
        <f>"13705759083"</f>
        <v>13705759083</v>
      </c>
      <c r="C9294" t="str">
        <f>"360281198905171451"</f>
        <v>360281198905171451</v>
      </c>
      <c r="D9294" t="s">
        <v>9876</v>
      </c>
      <c r="E9294" t="s">
        <v>9877</v>
      </c>
      <c r="F9294" t="s">
        <v>0</v>
      </c>
      <c r="G9294" t="str">
        <f>"2018-10-15 13:09:46"</f>
        <v>2018-10-15 13:09:46</v>
      </c>
    </row>
    <row r="9295" spans="1:7" x14ac:dyDescent="0.2">
      <c r="A9295" t="s">
        <v>9878</v>
      </c>
      <c r="B9295" t="str">
        <f>"18393326005"</f>
        <v>18393326005</v>
      </c>
      <c r="C9295" t="str">
        <f>"622425198808031225"</f>
        <v>622425198808031225</v>
      </c>
      <c r="D9295" t="s">
        <v>1</v>
      </c>
      <c r="E9295" t="s">
        <v>1</v>
      </c>
      <c r="F9295" t="s">
        <v>0</v>
      </c>
      <c r="G9295" t="str">
        <f>"2018-10-15 13:09:44"</f>
        <v>2018-10-15 13:09:44</v>
      </c>
    </row>
    <row r="9296" spans="1:7" x14ac:dyDescent="0.2">
      <c r="A9296" t="s">
        <v>1</v>
      </c>
      <c r="B9296" t="str">
        <f>"15912082849"</f>
        <v>15912082849</v>
      </c>
      <c r="C9296" t="s">
        <v>1</v>
      </c>
      <c r="D9296" t="s">
        <v>1</v>
      </c>
      <c r="E9296" t="s">
        <v>1</v>
      </c>
      <c r="F9296" t="s">
        <v>0</v>
      </c>
      <c r="G9296" t="str">
        <f>"2018-11-02 13:01:23"</f>
        <v>2018-11-02 13:01:23</v>
      </c>
    </row>
    <row r="9297" spans="1:7" x14ac:dyDescent="0.2">
      <c r="A9297" t="s">
        <v>1</v>
      </c>
      <c r="B9297" t="str">
        <f>"13317228920"</f>
        <v>13317228920</v>
      </c>
      <c r="C9297" t="s">
        <v>1</v>
      </c>
      <c r="D9297" t="s">
        <v>1</v>
      </c>
      <c r="E9297" t="s">
        <v>1</v>
      </c>
      <c r="F9297" t="s">
        <v>0</v>
      </c>
      <c r="G9297" t="str">
        <f>"2018-10-15 13:05:25"</f>
        <v>2018-10-15 13:05:25</v>
      </c>
    </row>
    <row r="9298" spans="1:7" x14ac:dyDescent="0.2">
      <c r="A9298" t="s">
        <v>9879</v>
      </c>
      <c r="B9298" t="str">
        <f>"13410653334"</f>
        <v>13410653334</v>
      </c>
      <c r="C9298" t="str">
        <f>"440923199712167543"</f>
        <v>440923199712167543</v>
      </c>
      <c r="D9298" t="s">
        <v>1</v>
      </c>
      <c r="E9298" t="s">
        <v>1</v>
      </c>
      <c r="F9298" t="s">
        <v>0</v>
      </c>
      <c r="G9298" t="str">
        <f>"2018-10-15 13:12:48"</f>
        <v>2018-10-15 13:12:48</v>
      </c>
    </row>
    <row r="9299" spans="1:7" x14ac:dyDescent="0.2">
      <c r="A9299" t="s">
        <v>1</v>
      </c>
      <c r="B9299" t="str">
        <f>"14775226147"</f>
        <v>14775226147</v>
      </c>
      <c r="C9299" t="s">
        <v>1</v>
      </c>
      <c r="D9299" t="s">
        <v>1</v>
      </c>
      <c r="E9299" t="s">
        <v>1</v>
      </c>
      <c r="F9299" t="s">
        <v>0</v>
      </c>
      <c r="G9299" t="str">
        <f>"2018-10-15 13:06:48"</f>
        <v>2018-10-15 13:06:48</v>
      </c>
    </row>
    <row r="9300" spans="1:7" x14ac:dyDescent="0.2">
      <c r="A9300" t="s">
        <v>9880</v>
      </c>
      <c r="B9300" t="str">
        <f>"15163910378"</f>
        <v>15163910378</v>
      </c>
      <c r="C9300" t="str">
        <f>"371323197401260039"</f>
        <v>371323197401260039</v>
      </c>
      <c r="D9300" t="s">
        <v>1</v>
      </c>
      <c r="E9300" t="s">
        <v>1</v>
      </c>
      <c r="F9300" t="s">
        <v>0</v>
      </c>
      <c r="G9300" t="str">
        <f>"2018-10-15 13:06:17"</f>
        <v>2018-10-15 13:06:17</v>
      </c>
    </row>
    <row r="9301" spans="1:7" x14ac:dyDescent="0.2">
      <c r="A9301" t="s">
        <v>9881</v>
      </c>
      <c r="B9301" t="str">
        <f>"15556855710"</f>
        <v>15556855710</v>
      </c>
      <c r="C9301" t="str">
        <f>"341225199707100119"</f>
        <v>341225199707100119</v>
      </c>
      <c r="D9301" t="s">
        <v>1</v>
      </c>
      <c r="E9301" t="s">
        <v>1</v>
      </c>
      <c r="F9301" t="s">
        <v>0</v>
      </c>
      <c r="G9301" t="str">
        <f>"2018-10-15 13:05:47"</f>
        <v>2018-10-15 13:05:47</v>
      </c>
    </row>
    <row r="9302" spans="1:7" x14ac:dyDescent="0.2">
      <c r="A9302" t="s">
        <v>1</v>
      </c>
      <c r="B9302" t="str">
        <f>"13388836857"</f>
        <v>13388836857</v>
      </c>
      <c r="C9302" t="s">
        <v>1</v>
      </c>
      <c r="D9302" t="s">
        <v>1</v>
      </c>
      <c r="E9302" t="s">
        <v>1</v>
      </c>
      <c r="F9302" t="s">
        <v>0</v>
      </c>
      <c r="G9302" t="str">
        <f>"2018-10-15 13:05:02"</f>
        <v>2018-10-15 13:05:02</v>
      </c>
    </row>
    <row r="9303" spans="1:7" x14ac:dyDescent="0.2">
      <c r="A9303" t="s">
        <v>188</v>
      </c>
      <c r="B9303" t="str">
        <f>"15900670786"</f>
        <v>15900670786</v>
      </c>
      <c r="C9303" t="str">
        <f>"410185198909236560"</f>
        <v>410185198909236560</v>
      </c>
      <c r="D9303" t="s">
        <v>1</v>
      </c>
      <c r="E9303" t="s">
        <v>1</v>
      </c>
      <c r="F9303" t="s">
        <v>0</v>
      </c>
      <c r="G9303" t="str">
        <f>"2018-10-15 13:10:05"</f>
        <v>2018-10-15 13:10:05</v>
      </c>
    </row>
    <row r="9304" spans="1:7" x14ac:dyDescent="0.2">
      <c r="A9304" t="s">
        <v>9882</v>
      </c>
      <c r="B9304" t="str">
        <f>"15232878484"</f>
        <v>15232878484</v>
      </c>
      <c r="C9304" t="str">
        <f>"130427199302113935"</f>
        <v>130427199302113935</v>
      </c>
      <c r="D9304" t="s">
        <v>1</v>
      </c>
      <c r="E9304" t="s">
        <v>1</v>
      </c>
      <c r="F9304" t="s">
        <v>0</v>
      </c>
      <c r="G9304" t="str">
        <f>"2018-10-15 13:02:18"</f>
        <v>2018-10-15 13:02:18</v>
      </c>
    </row>
    <row r="9305" spans="1:7" x14ac:dyDescent="0.2">
      <c r="A9305" t="s">
        <v>9883</v>
      </c>
      <c r="B9305" t="str">
        <f>"18756509682"</f>
        <v>18756509682</v>
      </c>
      <c r="C9305" t="str">
        <f>"342625198702102260"</f>
        <v>342625198702102260</v>
      </c>
      <c r="D9305" t="s">
        <v>1</v>
      </c>
      <c r="E9305" t="s">
        <v>1</v>
      </c>
      <c r="F9305" t="s">
        <v>0</v>
      </c>
      <c r="G9305" t="str">
        <f>"2018-10-15 14:19:08"</f>
        <v>2018-10-15 14:19:08</v>
      </c>
    </row>
    <row r="9306" spans="1:7" x14ac:dyDescent="0.2">
      <c r="A9306" t="s">
        <v>339</v>
      </c>
      <c r="B9306" t="str">
        <f>"15040613995"</f>
        <v>15040613995</v>
      </c>
      <c r="C9306" t="str">
        <f>"230231198710062228"</f>
        <v>230231198710062228</v>
      </c>
      <c r="D9306" t="s">
        <v>1</v>
      </c>
      <c r="E9306" t="s">
        <v>1</v>
      </c>
      <c r="F9306" t="s">
        <v>0</v>
      </c>
      <c r="G9306" t="str">
        <f>"2018-10-15 13:01:40"</f>
        <v>2018-10-15 13:01:40</v>
      </c>
    </row>
    <row r="9307" spans="1:7" x14ac:dyDescent="0.2">
      <c r="A9307" t="s">
        <v>9884</v>
      </c>
      <c r="B9307" t="str">
        <f>"18838528252"</f>
        <v>18838528252</v>
      </c>
      <c r="C9307" t="str">
        <f>"412826199309086065"</f>
        <v>412826199309086065</v>
      </c>
      <c r="D9307" t="s">
        <v>1</v>
      </c>
      <c r="E9307" t="s">
        <v>1</v>
      </c>
      <c r="F9307" t="s">
        <v>0</v>
      </c>
      <c r="G9307" t="str">
        <f>"2018-10-25 11:17:52"</f>
        <v>2018-10-25 11:17:52</v>
      </c>
    </row>
    <row r="9308" spans="1:7" x14ac:dyDescent="0.2">
      <c r="A9308" t="s">
        <v>9885</v>
      </c>
      <c r="B9308" t="str">
        <f>"13785198883"</f>
        <v>13785198883</v>
      </c>
      <c r="C9308" t="str">
        <f>"13013219840617349X"</f>
        <v>13013219840617349X</v>
      </c>
      <c r="D9308" t="s">
        <v>1</v>
      </c>
      <c r="E9308" t="s">
        <v>1</v>
      </c>
      <c r="F9308" t="s">
        <v>0</v>
      </c>
      <c r="G9308" t="str">
        <f>"2018-10-15 13:03:10"</f>
        <v>2018-10-15 13:03:10</v>
      </c>
    </row>
    <row r="9309" spans="1:7" x14ac:dyDescent="0.2">
      <c r="A9309" t="s">
        <v>9886</v>
      </c>
      <c r="B9309" t="str">
        <f>"13291813511"</f>
        <v>13291813511</v>
      </c>
      <c r="C9309" t="str">
        <f>"342222198909112879"</f>
        <v>342222198909112879</v>
      </c>
      <c r="D9309" t="s">
        <v>1</v>
      </c>
      <c r="E9309" t="s">
        <v>1</v>
      </c>
      <c r="F9309" t="s">
        <v>0</v>
      </c>
      <c r="G9309" t="str">
        <f>"2018-10-15 13:03:22"</f>
        <v>2018-10-15 13:03:22</v>
      </c>
    </row>
    <row r="9310" spans="1:7" x14ac:dyDescent="0.2">
      <c r="A9310" t="s">
        <v>977</v>
      </c>
      <c r="B9310" t="str">
        <f>"15326264334"</f>
        <v>15326264334</v>
      </c>
      <c r="C9310" t="str">
        <f>"21120219820921131X"</f>
        <v>21120219820921131X</v>
      </c>
      <c r="D9310" t="s">
        <v>1</v>
      </c>
      <c r="E9310" t="s">
        <v>1</v>
      </c>
      <c r="F9310" t="s">
        <v>0</v>
      </c>
      <c r="G9310" t="str">
        <f>"2018-10-15 13:02:32"</f>
        <v>2018-10-15 13:02:32</v>
      </c>
    </row>
    <row r="9311" spans="1:7" x14ac:dyDescent="0.2">
      <c r="A9311" t="s">
        <v>1</v>
      </c>
      <c r="B9311" t="str">
        <f>"15226081785"</f>
        <v>15226081785</v>
      </c>
      <c r="C9311" t="s">
        <v>1</v>
      </c>
      <c r="D9311" t="s">
        <v>1</v>
      </c>
      <c r="E9311" t="s">
        <v>1</v>
      </c>
      <c r="F9311" t="s">
        <v>0</v>
      </c>
      <c r="G9311" t="str">
        <f>"2018-10-15 12:59:59"</f>
        <v>2018-10-15 12:59:59</v>
      </c>
    </row>
    <row r="9312" spans="1:7" x14ac:dyDescent="0.2">
      <c r="A9312" t="s">
        <v>9887</v>
      </c>
      <c r="B9312" t="str">
        <f>"15585676499"</f>
        <v>15585676499</v>
      </c>
      <c r="C9312" t="str">
        <f>"220521198501250064"</f>
        <v>220521198501250064</v>
      </c>
      <c r="D9312" t="s">
        <v>1</v>
      </c>
      <c r="E9312" t="s">
        <v>1</v>
      </c>
      <c r="F9312" t="s">
        <v>0</v>
      </c>
      <c r="G9312" t="str">
        <f>"2018-10-15 13:36:30"</f>
        <v>2018-10-15 13:36:30</v>
      </c>
    </row>
    <row r="9313" spans="1:7" x14ac:dyDescent="0.2">
      <c r="A9313" t="s">
        <v>9888</v>
      </c>
      <c r="B9313" t="str">
        <f>"18084169710"</f>
        <v>18084169710</v>
      </c>
      <c r="C9313" t="str">
        <f>"520201199101102410"</f>
        <v>520201199101102410</v>
      </c>
      <c r="D9313" t="s">
        <v>1</v>
      </c>
      <c r="E9313" t="s">
        <v>1</v>
      </c>
      <c r="F9313" t="s">
        <v>0</v>
      </c>
      <c r="G9313" t="str">
        <f>"2018-10-15 12:59:49"</f>
        <v>2018-10-15 12:59:49</v>
      </c>
    </row>
    <row r="9314" spans="1:7" x14ac:dyDescent="0.2">
      <c r="A9314" t="s">
        <v>1336</v>
      </c>
      <c r="B9314" t="str">
        <f>"18581912840"</f>
        <v>18581912840</v>
      </c>
      <c r="C9314" t="str">
        <f>"360502196906190015"</f>
        <v>360502196906190015</v>
      </c>
      <c r="D9314" t="s">
        <v>1</v>
      </c>
      <c r="E9314" t="s">
        <v>1</v>
      </c>
      <c r="F9314" t="s">
        <v>0</v>
      </c>
      <c r="G9314" t="str">
        <f>"2018-10-15 13:00:51"</f>
        <v>2018-10-15 13:00:51</v>
      </c>
    </row>
    <row r="9315" spans="1:7" x14ac:dyDescent="0.2">
      <c r="A9315" t="s">
        <v>9889</v>
      </c>
      <c r="B9315" t="str">
        <f>"18274051525"</f>
        <v>18274051525</v>
      </c>
      <c r="C9315" t="str">
        <f>"430626199510281453"</f>
        <v>430626199510281453</v>
      </c>
      <c r="D9315" t="s">
        <v>9890</v>
      </c>
      <c r="E9315" t="s">
        <v>9891</v>
      </c>
      <c r="F9315" t="s">
        <v>0</v>
      </c>
      <c r="G9315" t="str">
        <f>"2018-10-15 13:06:21"</f>
        <v>2018-10-15 13:06:21</v>
      </c>
    </row>
    <row r="9316" spans="1:7" x14ac:dyDescent="0.2">
      <c r="A9316" t="s">
        <v>9892</v>
      </c>
      <c r="B9316" t="str">
        <f>"17319289949"</f>
        <v>17319289949</v>
      </c>
      <c r="C9316" t="str">
        <f>"140224198502263011"</f>
        <v>140224198502263011</v>
      </c>
      <c r="D9316" t="s">
        <v>1</v>
      </c>
      <c r="E9316" t="s">
        <v>1</v>
      </c>
      <c r="F9316" t="s">
        <v>0</v>
      </c>
      <c r="G9316" t="str">
        <f>"2018-10-15 12:59:16"</f>
        <v>2018-10-15 12:59:16</v>
      </c>
    </row>
    <row r="9317" spans="1:7" x14ac:dyDescent="0.2">
      <c r="A9317" t="s">
        <v>9893</v>
      </c>
      <c r="B9317" t="str">
        <f>"13585202575"</f>
        <v>13585202575</v>
      </c>
      <c r="C9317" t="str">
        <f>"342422199902252639"</f>
        <v>342422199902252639</v>
      </c>
      <c r="D9317" t="s">
        <v>1</v>
      </c>
      <c r="E9317" t="s">
        <v>1</v>
      </c>
      <c r="F9317" t="s">
        <v>0</v>
      </c>
      <c r="G9317" t="str">
        <f>"2018-10-22 22:06:41"</f>
        <v>2018-10-22 22:06:41</v>
      </c>
    </row>
    <row r="9318" spans="1:7" x14ac:dyDescent="0.2">
      <c r="A9318" t="s">
        <v>9894</v>
      </c>
      <c r="B9318" t="str">
        <f>"15706475539"</f>
        <v>15706475539</v>
      </c>
      <c r="C9318" t="str">
        <f>"37088119960621481X"</f>
        <v>37088119960621481X</v>
      </c>
      <c r="D9318" t="s">
        <v>1</v>
      </c>
      <c r="E9318" t="s">
        <v>1</v>
      </c>
      <c r="F9318" t="s">
        <v>0</v>
      </c>
      <c r="G9318" t="str">
        <f>"2018-10-15 12:57:51"</f>
        <v>2018-10-15 12:57:51</v>
      </c>
    </row>
    <row r="9319" spans="1:7" x14ac:dyDescent="0.2">
      <c r="A9319" t="s">
        <v>9895</v>
      </c>
      <c r="B9319" t="str">
        <f>"15804700335"</f>
        <v>15804700335</v>
      </c>
      <c r="C9319" t="str">
        <f>"152101198101080912"</f>
        <v>152101198101080912</v>
      </c>
      <c r="D9319" t="s">
        <v>1</v>
      </c>
      <c r="E9319" t="s">
        <v>1</v>
      </c>
      <c r="F9319" t="s">
        <v>0</v>
      </c>
      <c r="G9319" t="str">
        <f>"2018-10-15 12:58:47"</f>
        <v>2018-10-15 12:58:47</v>
      </c>
    </row>
    <row r="9320" spans="1:7" x14ac:dyDescent="0.2">
      <c r="A9320" t="s">
        <v>1811</v>
      </c>
      <c r="B9320" t="str">
        <f>"13358136260"</f>
        <v>13358136260</v>
      </c>
      <c r="C9320" t="str">
        <f>"342923198002182638"</f>
        <v>342923198002182638</v>
      </c>
      <c r="D9320" t="s">
        <v>9896</v>
      </c>
      <c r="E9320" t="s">
        <v>9897</v>
      </c>
      <c r="F9320" t="s">
        <v>0</v>
      </c>
      <c r="G9320" t="str">
        <f>"2018-10-15 12:59:04"</f>
        <v>2018-10-15 12:59:04</v>
      </c>
    </row>
    <row r="9321" spans="1:7" x14ac:dyDescent="0.2">
      <c r="A9321" t="s">
        <v>9898</v>
      </c>
      <c r="B9321" t="str">
        <f>"18374094552"</f>
        <v>18374094552</v>
      </c>
      <c r="C9321" t="str">
        <f>"43028119771218361X"</f>
        <v>43028119771218361X</v>
      </c>
      <c r="D9321" t="s">
        <v>1</v>
      </c>
      <c r="E9321" t="s">
        <v>1</v>
      </c>
      <c r="F9321" t="s">
        <v>0</v>
      </c>
      <c r="G9321" t="str">
        <f>"2018-10-18 15:12:46"</f>
        <v>2018-10-18 15:12:46</v>
      </c>
    </row>
    <row r="9322" spans="1:7" x14ac:dyDescent="0.2">
      <c r="A9322" t="s">
        <v>9899</v>
      </c>
      <c r="B9322" t="str">
        <f>"15964982232"</f>
        <v>15964982232</v>
      </c>
      <c r="C9322" t="str">
        <f>"370282198311166020"</f>
        <v>370282198311166020</v>
      </c>
      <c r="D9322" t="s">
        <v>1</v>
      </c>
      <c r="E9322" t="s">
        <v>1</v>
      </c>
      <c r="F9322" t="s">
        <v>0</v>
      </c>
      <c r="G9322" t="str">
        <f>"2018-10-15 12:55:17"</f>
        <v>2018-10-15 12:55:17</v>
      </c>
    </row>
    <row r="9323" spans="1:7" x14ac:dyDescent="0.2">
      <c r="A9323" t="s">
        <v>229</v>
      </c>
      <c r="B9323" t="str">
        <f>"18608223721"</f>
        <v>18608223721</v>
      </c>
      <c r="C9323" t="str">
        <f>"513826198905095718"</f>
        <v>513826198905095718</v>
      </c>
      <c r="D9323" t="s">
        <v>1</v>
      </c>
      <c r="E9323" t="s">
        <v>1</v>
      </c>
      <c r="F9323" t="s">
        <v>0</v>
      </c>
      <c r="G9323" t="str">
        <f>"2018-10-15 13:12:07"</f>
        <v>2018-10-15 13:12:07</v>
      </c>
    </row>
    <row r="9324" spans="1:7" x14ac:dyDescent="0.2">
      <c r="A9324" t="s">
        <v>9900</v>
      </c>
      <c r="B9324" t="str">
        <f>"18463801115"</f>
        <v>18463801115</v>
      </c>
      <c r="C9324" t="str">
        <f>"371482198612270026"</f>
        <v>371482198612270026</v>
      </c>
      <c r="D9324" t="s">
        <v>1</v>
      </c>
      <c r="E9324" t="s">
        <v>1</v>
      </c>
      <c r="F9324" t="s">
        <v>0</v>
      </c>
      <c r="G9324" t="str">
        <f>"2018-10-15 12:56:23"</f>
        <v>2018-10-15 12:56:23</v>
      </c>
    </row>
    <row r="9325" spans="1:7" x14ac:dyDescent="0.2">
      <c r="A9325" t="s">
        <v>1</v>
      </c>
      <c r="B9325" t="str">
        <f>"13598155797"</f>
        <v>13598155797</v>
      </c>
      <c r="C9325" t="s">
        <v>1</v>
      </c>
      <c r="D9325" t="s">
        <v>1</v>
      </c>
      <c r="E9325" t="s">
        <v>1</v>
      </c>
      <c r="F9325" t="s">
        <v>0</v>
      </c>
      <c r="G9325" t="str">
        <f>"2018-10-15 12:53:59"</f>
        <v>2018-10-15 12:53:59</v>
      </c>
    </row>
    <row r="9326" spans="1:7" x14ac:dyDescent="0.2">
      <c r="A9326" t="s">
        <v>9901</v>
      </c>
      <c r="B9326" t="str">
        <f>"13547250766"</f>
        <v>13547250766</v>
      </c>
      <c r="C9326" t="str">
        <f>"513030199005040012"</f>
        <v>513030199005040012</v>
      </c>
      <c r="D9326" t="s">
        <v>1</v>
      </c>
      <c r="E9326" t="s">
        <v>1</v>
      </c>
      <c r="F9326" t="s">
        <v>0</v>
      </c>
      <c r="G9326" t="str">
        <f>"2018-10-15 12:55:33"</f>
        <v>2018-10-15 12:55:33</v>
      </c>
    </row>
    <row r="9327" spans="1:7" x14ac:dyDescent="0.2">
      <c r="A9327" t="s">
        <v>9902</v>
      </c>
      <c r="B9327" t="str">
        <f>"18770514483"</f>
        <v>18770514483</v>
      </c>
      <c r="C9327" t="str">
        <f>"362201199702251616"</f>
        <v>362201199702251616</v>
      </c>
      <c r="D9327" t="s">
        <v>1</v>
      </c>
      <c r="E9327" t="s">
        <v>1</v>
      </c>
      <c r="F9327" t="s">
        <v>0</v>
      </c>
      <c r="G9327" t="str">
        <f>"2018-10-15 12:58:17"</f>
        <v>2018-10-15 12:58:17</v>
      </c>
    </row>
    <row r="9328" spans="1:7" x14ac:dyDescent="0.2">
      <c r="A9328" t="s">
        <v>640</v>
      </c>
      <c r="B9328" t="str">
        <f>"18940447378"</f>
        <v>18940447378</v>
      </c>
      <c r="C9328" t="str">
        <f>"210504197811210516"</f>
        <v>210504197811210516</v>
      </c>
      <c r="D9328" t="s">
        <v>1</v>
      </c>
      <c r="E9328" t="s">
        <v>1</v>
      </c>
      <c r="F9328" t="s">
        <v>0</v>
      </c>
      <c r="G9328" t="str">
        <f>"2018-10-15 12:52:56"</f>
        <v>2018-10-15 12:52:56</v>
      </c>
    </row>
    <row r="9329" spans="1:7" x14ac:dyDescent="0.2">
      <c r="A9329" t="s">
        <v>9903</v>
      </c>
      <c r="B9329" t="str">
        <f>"13934514778"</f>
        <v>13934514778</v>
      </c>
      <c r="C9329" t="str">
        <f>"140103198110280042"</f>
        <v>140103198110280042</v>
      </c>
      <c r="D9329" t="s">
        <v>9904</v>
      </c>
      <c r="E9329" t="s">
        <v>9905</v>
      </c>
      <c r="F9329" t="s">
        <v>0</v>
      </c>
      <c r="G9329" t="str">
        <f>"2018-10-15 12:52:51"</f>
        <v>2018-10-15 12:52:51</v>
      </c>
    </row>
    <row r="9330" spans="1:7" x14ac:dyDescent="0.2">
      <c r="A9330" t="s">
        <v>1</v>
      </c>
      <c r="B9330" t="str">
        <f>"18203095499"</f>
        <v>18203095499</v>
      </c>
      <c r="C9330" t="s">
        <v>1</v>
      </c>
      <c r="D9330" t="s">
        <v>1</v>
      </c>
      <c r="E9330" t="s">
        <v>1</v>
      </c>
      <c r="F9330" t="s">
        <v>0</v>
      </c>
      <c r="G9330" t="str">
        <f>"2018-10-19 00:03:31"</f>
        <v>2018-10-19 00:03:31</v>
      </c>
    </row>
    <row r="9331" spans="1:7" x14ac:dyDescent="0.2">
      <c r="A9331" t="s">
        <v>9906</v>
      </c>
      <c r="B9331" t="str">
        <f>"18825280582"</f>
        <v>18825280582</v>
      </c>
      <c r="C9331" t="str">
        <f>"441481199005065473"</f>
        <v>441481199005065473</v>
      </c>
      <c r="D9331" t="s">
        <v>9907</v>
      </c>
      <c r="E9331" t="s">
        <v>9908</v>
      </c>
      <c r="F9331" t="s">
        <v>0</v>
      </c>
      <c r="G9331" t="str">
        <f>"2018-10-15 12:54:18"</f>
        <v>2018-10-15 12:54:18</v>
      </c>
    </row>
    <row r="9332" spans="1:7" x14ac:dyDescent="0.2">
      <c r="A9332" t="s">
        <v>9909</v>
      </c>
      <c r="B9332" t="str">
        <f>"13348902389"</f>
        <v>13348902389</v>
      </c>
      <c r="C9332" t="str">
        <f>"51018319870215143X"</f>
        <v>51018319870215143X</v>
      </c>
      <c r="D9332" t="s">
        <v>1</v>
      </c>
      <c r="E9332" t="s">
        <v>1</v>
      </c>
      <c r="F9332" t="s">
        <v>0</v>
      </c>
      <c r="G9332" t="str">
        <f>"2018-10-15 12:52:12"</f>
        <v>2018-10-15 12:52:12</v>
      </c>
    </row>
    <row r="9333" spans="1:7" x14ac:dyDescent="0.2">
      <c r="A9333" t="s">
        <v>9910</v>
      </c>
      <c r="B9333" t="str">
        <f>"18996698947"</f>
        <v>18996698947</v>
      </c>
      <c r="C9333" t="str">
        <f>"500230199307122116"</f>
        <v>500230199307122116</v>
      </c>
      <c r="D9333" t="s">
        <v>1</v>
      </c>
      <c r="E9333" t="s">
        <v>1</v>
      </c>
      <c r="F9333" t="s">
        <v>0</v>
      </c>
      <c r="G9333" t="str">
        <f>"2018-10-15 12:56:12"</f>
        <v>2018-10-15 12:56:12</v>
      </c>
    </row>
    <row r="9334" spans="1:7" x14ac:dyDescent="0.2">
      <c r="A9334" t="s">
        <v>9911</v>
      </c>
      <c r="B9334" t="str">
        <f>"17372171680"</f>
        <v>17372171680</v>
      </c>
      <c r="C9334" t="str">
        <f>"320382198911206758"</f>
        <v>320382198911206758</v>
      </c>
      <c r="D9334" t="s">
        <v>1</v>
      </c>
      <c r="E9334" t="s">
        <v>1</v>
      </c>
      <c r="F9334" t="s">
        <v>0</v>
      </c>
      <c r="G9334" t="str">
        <f>"2018-10-15 14:23:30"</f>
        <v>2018-10-15 14:23:30</v>
      </c>
    </row>
    <row r="9335" spans="1:7" x14ac:dyDescent="0.2">
      <c r="A9335" t="s">
        <v>9912</v>
      </c>
      <c r="B9335" t="str">
        <f>"15154194813"</f>
        <v>15154194813</v>
      </c>
      <c r="C9335" t="str">
        <f>"370126198712257146"</f>
        <v>370126198712257146</v>
      </c>
      <c r="D9335" t="s">
        <v>1</v>
      </c>
      <c r="E9335" t="s">
        <v>1</v>
      </c>
      <c r="F9335" t="s">
        <v>0</v>
      </c>
      <c r="G9335" t="str">
        <f>"2018-10-15 12:49:59"</f>
        <v>2018-10-15 12:49:59</v>
      </c>
    </row>
    <row r="9336" spans="1:7" x14ac:dyDescent="0.2">
      <c r="A9336" t="s">
        <v>9913</v>
      </c>
      <c r="B9336" t="str">
        <f>"18625766468"</f>
        <v>18625766468</v>
      </c>
      <c r="C9336" t="str">
        <f>"41062219880110201X"</f>
        <v>41062219880110201X</v>
      </c>
      <c r="D9336" t="s">
        <v>1</v>
      </c>
      <c r="E9336" t="s">
        <v>1</v>
      </c>
      <c r="F9336" t="s">
        <v>0</v>
      </c>
      <c r="G9336" t="str">
        <f>"2018-10-15 12:51:04"</f>
        <v>2018-10-15 12:51:04</v>
      </c>
    </row>
    <row r="9337" spans="1:7" x14ac:dyDescent="0.2">
      <c r="A9337" t="s">
        <v>1149</v>
      </c>
      <c r="B9337" t="str">
        <f>"15552559921"</f>
        <v>15552559921</v>
      </c>
      <c r="C9337" t="str">
        <f>"513701199506057919"</f>
        <v>513701199506057919</v>
      </c>
      <c r="D9337" t="s">
        <v>1</v>
      </c>
      <c r="E9337" t="s">
        <v>1</v>
      </c>
      <c r="F9337" t="s">
        <v>0</v>
      </c>
      <c r="G9337" t="str">
        <f>"2018-10-15 16:52:59"</f>
        <v>2018-10-15 16:52:59</v>
      </c>
    </row>
    <row r="9338" spans="1:7" x14ac:dyDescent="0.2">
      <c r="A9338" t="s">
        <v>1652</v>
      </c>
      <c r="B9338" t="str">
        <f>"15998307111"</f>
        <v>15998307111</v>
      </c>
      <c r="C9338" t="str">
        <f>"21012319950322324X"</f>
        <v>21012319950322324X</v>
      </c>
      <c r="D9338" t="s">
        <v>9914</v>
      </c>
      <c r="E9338" t="s">
        <v>9915</v>
      </c>
      <c r="F9338" t="s">
        <v>0</v>
      </c>
      <c r="G9338" t="str">
        <f>"2018-10-29 18:36:40"</f>
        <v>2018-10-29 18:36:40</v>
      </c>
    </row>
    <row r="9339" spans="1:7" x14ac:dyDescent="0.2">
      <c r="A9339" t="s">
        <v>9916</v>
      </c>
      <c r="B9339" t="str">
        <f>"13906071655"</f>
        <v>13906071655</v>
      </c>
      <c r="C9339" t="str">
        <f>"352623197010034716"</f>
        <v>352623197010034716</v>
      </c>
      <c r="D9339" t="s">
        <v>1</v>
      </c>
      <c r="E9339" t="s">
        <v>1</v>
      </c>
      <c r="F9339" t="s">
        <v>0</v>
      </c>
      <c r="G9339" t="str">
        <f>"2018-10-15 12:49:31"</f>
        <v>2018-10-15 12:49:31</v>
      </c>
    </row>
    <row r="9340" spans="1:7" x14ac:dyDescent="0.2">
      <c r="A9340" t="s">
        <v>9917</v>
      </c>
      <c r="B9340" t="str">
        <f>"15852778973"</f>
        <v>15852778973</v>
      </c>
      <c r="C9340" t="str">
        <f>"320211199406014521"</f>
        <v>320211199406014521</v>
      </c>
      <c r="D9340" t="s">
        <v>1</v>
      </c>
      <c r="E9340" t="s">
        <v>1</v>
      </c>
      <c r="F9340" t="s">
        <v>0</v>
      </c>
      <c r="G9340" t="str">
        <f>"2018-10-15 12:48:18"</f>
        <v>2018-10-15 12:48:18</v>
      </c>
    </row>
    <row r="9341" spans="1:7" x14ac:dyDescent="0.2">
      <c r="A9341" t="s">
        <v>9918</v>
      </c>
      <c r="B9341" t="str">
        <f>"13639367392"</f>
        <v>13639367392</v>
      </c>
      <c r="C9341" t="str">
        <f>"620111199101200521"</f>
        <v>620111199101200521</v>
      </c>
      <c r="D9341" t="s">
        <v>1</v>
      </c>
      <c r="E9341" t="s">
        <v>1</v>
      </c>
      <c r="F9341" t="s">
        <v>0</v>
      </c>
      <c r="G9341" t="str">
        <f>"2018-10-16 11:50:45"</f>
        <v>2018-10-16 11:50:45</v>
      </c>
    </row>
    <row r="9342" spans="1:7" x14ac:dyDescent="0.2">
      <c r="A9342" t="s">
        <v>9919</v>
      </c>
      <c r="B9342" t="str">
        <f>"13674444938"</f>
        <v>13674444938</v>
      </c>
      <c r="C9342" t="str">
        <f>"220322198702123219"</f>
        <v>220322198702123219</v>
      </c>
      <c r="D9342" t="s">
        <v>1</v>
      </c>
      <c r="E9342" t="s">
        <v>1</v>
      </c>
      <c r="F9342" t="s">
        <v>0</v>
      </c>
      <c r="G9342" t="str">
        <f>"2018-10-15 14:15:54"</f>
        <v>2018-10-15 14:15:54</v>
      </c>
    </row>
    <row r="9343" spans="1:7" x14ac:dyDescent="0.2">
      <c r="A9343" t="s">
        <v>9920</v>
      </c>
      <c r="B9343" t="str">
        <f>"18537058500"</f>
        <v>18537058500</v>
      </c>
      <c r="C9343" t="str">
        <f>"411422199506105714"</f>
        <v>411422199506105714</v>
      </c>
      <c r="D9343" t="s">
        <v>1</v>
      </c>
      <c r="E9343" t="s">
        <v>1</v>
      </c>
      <c r="F9343" t="s">
        <v>0</v>
      </c>
      <c r="G9343" t="str">
        <f>"2018-10-15 13:12:32"</f>
        <v>2018-10-15 13:12:32</v>
      </c>
    </row>
    <row r="9344" spans="1:7" x14ac:dyDescent="0.2">
      <c r="A9344" t="s">
        <v>44</v>
      </c>
      <c r="B9344" t="str">
        <f>"15927347020"</f>
        <v>15927347020</v>
      </c>
      <c r="C9344" t="str">
        <f>"61242819930317031X"</f>
        <v>61242819930317031X</v>
      </c>
      <c r="D9344" t="s">
        <v>1</v>
      </c>
      <c r="E9344" t="s">
        <v>1</v>
      </c>
      <c r="F9344" t="s">
        <v>0</v>
      </c>
      <c r="G9344" t="str">
        <f>"2018-10-15 13:25:48"</f>
        <v>2018-10-15 13:25:48</v>
      </c>
    </row>
    <row r="9345" spans="1:7" x14ac:dyDescent="0.2">
      <c r="A9345" t="s">
        <v>1</v>
      </c>
      <c r="B9345" t="str">
        <f>"18786676160"</f>
        <v>18786676160</v>
      </c>
      <c r="C9345" t="s">
        <v>1</v>
      </c>
      <c r="D9345" t="s">
        <v>1</v>
      </c>
      <c r="E9345" t="s">
        <v>1</v>
      </c>
      <c r="F9345" t="s">
        <v>0</v>
      </c>
      <c r="G9345" t="str">
        <f>"2018-11-02 09:26:47"</f>
        <v>2018-11-02 09:26:47</v>
      </c>
    </row>
    <row r="9346" spans="1:7" x14ac:dyDescent="0.2">
      <c r="A9346" t="s">
        <v>1</v>
      </c>
      <c r="B9346" t="str">
        <f>"13639375974"</f>
        <v>13639375974</v>
      </c>
      <c r="C9346" t="s">
        <v>1</v>
      </c>
      <c r="D9346" t="s">
        <v>1</v>
      </c>
      <c r="E9346" t="s">
        <v>1</v>
      </c>
      <c r="F9346" t="s">
        <v>0</v>
      </c>
      <c r="G9346" t="str">
        <f>"2018-10-15 12:44:32"</f>
        <v>2018-10-15 12:44:32</v>
      </c>
    </row>
    <row r="9347" spans="1:7" x14ac:dyDescent="0.2">
      <c r="A9347" t="s">
        <v>7410</v>
      </c>
      <c r="B9347" t="str">
        <f>"13674919880"</f>
        <v>13674919880</v>
      </c>
      <c r="C9347" t="str">
        <f>"410105198705070253"</f>
        <v>410105198705070253</v>
      </c>
      <c r="D9347" t="s">
        <v>1</v>
      </c>
      <c r="E9347" t="s">
        <v>1</v>
      </c>
      <c r="F9347" t="s">
        <v>0</v>
      </c>
      <c r="G9347" t="str">
        <f>"2018-11-03 19:46:10"</f>
        <v>2018-11-03 19:46:10</v>
      </c>
    </row>
    <row r="9348" spans="1:7" x14ac:dyDescent="0.2">
      <c r="A9348" t="s">
        <v>9921</v>
      </c>
      <c r="B9348" t="str">
        <f>"17709039572"</f>
        <v>17709039572</v>
      </c>
      <c r="C9348" t="str">
        <f>"510722198801129051"</f>
        <v>510722198801129051</v>
      </c>
      <c r="D9348" t="s">
        <v>1</v>
      </c>
      <c r="E9348" t="s">
        <v>1</v>
      </c>
      <c r="F9348" t="s">
        <v>0</v>
      </c>
      <c r="G9348" t="str">
        <f>"2018-10-15 12:44:43"</f>
        <v>2018-10-15 12:44:43</v>
      </c>
    </row>
    <row r="9349" spans="1:7" x14ac:dyDescent="0.2">
      <c r="A9349" t="s">
        <v>9922</v>
      </c>
      <c r="B9349" t="str">
        <f>"15024017473"</f>
        <v>15024017473</v>
      </c>
      <c r="C9349" t="str">
        <f>"43250219930723303X"</f>
        <v>43250219930723303X</v>
      </c>
      <c r="D9349" t="s">
        <v>1</v>
      </c>
      <c r="E9349" t="s">
        <v>1</v>
      </c>
      <c r="F9349" t="s">
        <v>0</v>
      </c>
      <c r="G9349" t="str">
        <f>"2018-10-15 12:46:43"</f>
        <v>2018-10-15 12:46:43</v>
      </c>
    </row>
    <row r="9350" spans="1:7" x14ac:dyDescent="0.2">
      <c r="A9350" t="s">
        <v>9923</v>
      </c>
      <c r="B9350" t="str">
        <f>"13565806836"</f>
        <v>13565806836</v>
      </c>
      <c r="C9350" t="str">
        <f>"510823197402013614"</f>
        <v>510823197402013614</v>
      </c>
      <c r="D9350" t="s">
        <v>1</v>
      </c>
      <c r="E9350" t="s">
        <v>1</v>
      </c>
      <c r="F9350" t="s">
        <v>0</v>
      </c>
      <c r="G9350" t="str">
        <f>"2018-10-15 12:46:16"</f>
        <v>2018-10-15 12:46:16</v>
      </c>
    </row>
    <row r="9351" spans="1:7" x14ac:dyDescent="0.2">
      <c r="A9351" t="s">
        <v>1</v>
      </c>
      <c r="B9351" t="str">
        <f>"13328983867"</f>
        <v>13328983867</v>
      </c>
      <c r="C9351" t="s">
        <v>1</v>
      </c>
      <c r="D9351" t="s">
        <v>1</v>
      </c>
      <c r="E9351" t="s">
        <v>1</v>
      </c>
      <c r="F9351" t="s">
        <v>0</v>
      </c>
      <c r="G9351" t="str">
        <f>"2018-10-15 12:43:00"</f>
        <v>2018-10-15 12:43:00</v>
      </c>
    </row>
    <row r="9352" spans="1:7" x14ac:dyDescent="0.2">
      <c r="A9352" t="s">
        <v>9924</v>
      </c>
      <c r="B9352" t="str">
        <f>"17363029616"</f>
        <v>17363029616</v>
      </c>
      <c r="C9352" t="str">
        <f>"130182199010154880"</f>
        <v>130182199010154880</v>
      </c>
      <c r="D9352" t="s">
        <v>1</v>
      </c>
      <c r="E9352" t="s">
        <v>1</v>
      </c>
      <c r="F9352" t="s">
        <v>0</v>
      </c>
      <c r="G9352" t="str">
        <f>"2018-10-15 12:44:18"</f>
        <v>2018-10-15 12:44:18</v>
      </c>
    </row>
    <row r="9353" spans="1:7" x14ac:dyDescent="0.2">
      <c r="A9353" t="s">
        <v>1</v>
      </c>
      <c r="B9353" t="str">
        <f>"13622385991"</f>
        <v>13622385991</v>
      </c>
      <c r="C9353" t="s">
        <v>1</v>
      </c>
      <c r="D9353" t="s">
        <v>1</v>
      </c>
      <c r="E9353" t="s">
        <v>1</v>
      </c>
      <c r="F9353" t="s">
        <v>0</v>
      </c>
      <c r="G9353" t="str">
        <f>"2018-10-15 12:42:27"</f>
        <v>2018-10-15 12:42:27</v>
      </c>
    </row>
    <row r="9354" spans="1:7" x14ac:dyDescent="0.2">
      <c r="A9354" t="s">
        <v>9925</v>
      </c>
      <c r="B9354" t="str">
        <f>"13349991399"</f>
        <v>13349991399</v>
      </c>
      <c r="C9354" t="str">
        <f>"420106199505190413"</f>
        <v>420106199505190413</v>
      </c>
      <c r="D9354" t="s">
        <v>1</v>
      </c>
      <c r="E9354" t="s">
        <v>1</v>
      </c>
      <c r="F9354" t="s">
        <v>0</v>
      </c>
      <c r="G9354" t="str">
        <f>"2018-10-15 12:46:34"</f>
        <v>2018-10-15 12:46:34</v>
      </c>
    </row>
    <row r="9355" spans="1:7" x14ac:dyDescent="0.2">
      <c r="A9355" t="s">
        <v>9926</v>
      </c>
      <c r="B9355" t="str">
        <f>"13400036925"</f>
        <v>13400036925</v>
      </c>
      <c r="C9355" t="str">
        <f>"321281198911250918"</f>
        <v>321281198911250918</v>
      </c>
      <c r="D9355" t="s">
        <v>9927</v>
      </c>
      <c r="E9355" t="s">
        <v>9928</v>
      </c>
      <c r="F9355" t="s">
        <v>0</v>
      </c>
      <c r="G9355" t="str">
        <f>"2018-10-15 12:42:58"</f>
        <v>2018-10-15 12:42:58</v>
      </c>
    </row>
    <row r="9356" spans="1:7" x14ac:dyDescent="0.2">
      <c r="A9356" t="s">
        <v>9929</v>
      </c>
      <c r="B9356" t="str">
        <f>"13430116469"</f>
        <v>13430116469</v>
      </c>
      <c r="C9356" t="str">
        <f>"441426197901180038"</f>
        <v>441426197901180038</v>
      </c>
      <c r="D9356" t="s">
        <v>1</v>
      </c>
      <c r="E9356" t="s">
        <v>1</v>
      </c>
      <c r="F9356" t="s">
        <v>0</v>
      </c>
      <c r="G9356" t="str">
        <f>"2018-10-15 12:42:27"</f>
        <v>2018-10-15 12:42:27</v>
      </c>
    </row>
    <row r="9357" spans="1:7" x14ac:dyDescent="0.2">
      <c r="A9357" t="s">
        <v>1087</v>
      </c>
      <c r="B9357" t="str">
        <f>"18915138555"</f>
        <v>18915138555</v>
      </c>
      <c r="C9357" t="str">
        <f>"320882199204145812"</f>
        <v>320882199204145812</v>
      </c>
      <c r="D9357" t="s">
        <v>1</v>
      </c>
      <c r="E9357" t="s">
        <v>1</v>
      </c>
      <c r="F9357" t="s">
        <v>0</v>
      </c>
      <c r="G9357" t="str">
        <f>"2018-10-15 12:41:30"</f>
        <v>2018-10-15 12:41:30</v>
      </c>
    </row>
    <row r="9358" spans="1:7" x14ac:dyDescent="0.2">
      <c r="A9358" t="s">
        <v>9930</v>
      </c>
      <c r="B9358" t="str">
        <f>"18214995674"</f>
        <v>18214995674</v>
      </c>
      <c r="C9358" t="str">
        <f>"360782199609183333"</f>
        <v>360782199609183333</v>
      </c>
      <c r="D9358" t="s">
        <v>1</v>
      </c>
      <c r="E9358" t="s">
        <v>1</v>
      </c>
      <c r="F9358" t="s">
        <v>0</v>
      </c>
      <c r="G9358" t="str">
        <f>"2018-10-15 12:41:28"</f>
        <v>2018-10-15 12:41:28</v>
      </c>
    </row>
    <row r="9359" spans="1:7" x14ac:dyDescent="0.2">
      <c r="A9359" t="s">
        <v>9931</v>
      </c>
      <c r="B9359" t="str">
        <f>"17333900945"</f>
        <v>17333900945</v>
      </c>
      <c r="C9359" t="str">
        <f>"130181198708157310"</f>
        <v>130181198708157310</v>
      </c>
      <c r="D9359" t="s">
        <v>1</v>
      </c>
      <c r="E9359" t="s">
        <v>1</v>
      </c>
      <c r="F9359" t="s">
        <v>0</v>
      </c>
      <c r="G9359" t="str">
        <f>"2018-10-15 12:40:31"</f>
        <v>2018-10-15 12:40:31</v>
      </c>
    </row>
    <row r="9360" spans="1:7" x14ac:dyDescent="0.2">
      <c r="A9360" t="s">
        <v>9932</v>
      </c>
      <c r="B9360" t="str">
        <f>"15845882146"</f>
        <v>15845882146</v>
      </c>
      <c r="C9360" t="str">
        <f>"230606198909243216"</f>
        <v>230606198909243216</v>
      </c>
      <c r="D9360" t="s">
        <v>9933</v>
      </c>
      <c r="E9360" t="s">
        <v>9934</v>
      </c>
      <c r="F9360" t="s">
        <v>0</v>
      </c>
      <c r="G9360" t="str">
        <f>"2018-10-15 12:40:04"</f>
        <v>2018-10-15 12:40:04</v>
      </c>
    </row>
    <row r="9361" spans="1:7" x14ac:dyDescent="0.2">
      <c r="A9361" t="s">
        <v>1</v>
      </c>
      <c r="B9361" t="str">
        <f>"13592376880"</f>
        <v>13592376880</v>
      </c>
      <c r="C9361" t="s">
        <v>1</v>
      </c>
      <c r="D9361" t="s">
        <v>1</v>
      </c>
      <c r="E9361" t="s">
        <v>1</v>
      </c>
      <c r="F9361" t="s">
        <v>0</v>
      </c>
      <c r="G9361" t="str">
        <f>"2018-10-15 12:38:28"</f>
        <v>2018-10-15 12:38:28</v>
      </c>
    </row>
    <row r="9362" spans="1:7" x14ac:dyDescent="0.2">
      <c r="A9362" t="s">
        <v>9935</v>
      </c>
      <c r="B9362" t="str">
        <f>"13098922906"</f>
        <v>13098922906</v>
      </c>
      <c r="C9362" t="str">
        <f>"460105199709087515"</f>
        <v>460105199709087515</v>
      </c>
      <c r="D9362" t="s">
        <v>9936</v>
      </c>
      <c r="E9362" t="s">
        <v>9937</v>
      </c>
      <c r="F9362" t="s">
        <v>0</v>
      </c>
      <c r="G9362" t="str">
        <f>"2018-10-15 12:38:19"</f>
        <v>2018-10-15 12:38:19</v>
      </c>
    </row>
    <row r="9363" spans="1:7" x14ac:dyDescent="0.2">
      <c r="A9363" t="s">
        <v>9938</v>
      </c>
      <c r="B9363" t="str">
        <f>"18969453389"</f>
        <v>18969453389</v>
      </c>
      <c r="C9363" t="str">
        <f>"330825197702185919"</f>
        <v>330825197702185919</v>
      </c>
      <c r="D9363" t="s">
        <v>1</v>
      </c>
      <c r="E9363" t="s">
        <v>1</v>
      </c>
      <c r="F9363" t="s">
        <v>0</v>
      </c>
      <c r="G9363" t="str">
        <f>"2018-10-15 12:40:28"</f>
        <v>2018-10-15 12:40:28</v>
      </c>
    </row>
    <row r="9364" spans="1:7" x14ac:dyDescent="0.2">
      <c r="A9364" t="s">
        <v>533</v>
      </c>
      <c r="B9364" t="str">
        <f>"13964515401"</f>
        <v>13964515401</v>
      </c>
      <c r="C9364" t="str">
        <f>"370685199508262214"</f>
        <v>370685199508262214</v>
      </c>
      <c r="D9364" t="s">
        <v>1</v>
      </c>
      <c r="E9364" t="s">
        <v>1</v>
      </c>
      <c r="F9364" t="s">
        <v>0</v>
      </c>
      <c r="G9364" t="str">
        <f>"2018-10-15 12:41:22"</f>
        <v>2018-10-15 12:41:22</v>
      </c>
    </row>
    <row r="9365" spans="1:7" x14ac:dyDescent="0.2">
      <c r="A9365" t="s">
        <v>1</v>
      </c>
      <c r="B9365" t="str">
        <f>"13003353916"</f>
        <v>13003353916</v>
      </c>
      <c r="C9365" t="s">
        <v>1</v>
      </c>
      <c r="D9365" t="s">
        <v>1</v>
      </c>
      <c r="E9365" t="s">
        <v>1</v>
      </c>
      <c r="F9365" t="s">
        <v>0</v>
      </c>
      <c r="G9365" t="str">
        <f>"2018-10-15 12:37:12"</f>
        <v>2018-10-15 12:37:12</v>
      </c>
    </row>
    <row r="9366" spans="1:7" x14ac:dyDescent="0.2">
      <c r="A9366" t="s">
        <v>1</v>
      </c>
      <c r="B9366" t="str">
        <f>"13939147820"</f>
        <v>13939147820</v>
      </c>
      <c r="C9366" t="s">
        <v>1</v>
      </c>
      <c r="D9366" t="s">
        <v>1</v>
      </c>
      <c r="E9366" t="s">
        <v>1</v>
      </c>
      <c r="F9366" t="s">
        <v>0</v>
      </c>
      <c r="G9366" t="str">
        <f>"2018-10-15 12:37:09"</f>
        <v>2018-10-15 12:37:09</v>
      </c>
    </row>
    <row r="9367" spans="1:7" x14ac:dyDescent="0.2">
      <c r="A9367" t="s">
        <v>1</v>
      </c>
      <c r="B9367" t="str">
        <f>"18103319516"</f>
        <v>18103319516</v>
      </c>
      <c r="C9367" t="s">
        <v>1</v>
      </c>
      <c r="D9367" t="s">
        <v>1</v>
      </c>
      <c r="E9367" t="s">
        <v>1</v>
      </c>
      <c r="F9367" t="s">
        <v>0</v>
      </c>
      <c r="G9367" t="str">
        <f>"2018-10-15 12:36:50"</f>
        <v>2018-10-15 12:36:50</v>
      </c>
    </row>
    <row r="9368" spans="1:7" x14ac:dyDescent="0.2">
      <c r="A9368" t="s">
        <v>9939</v>
      </c>
      <c r="B9368" t="str">
        <f>"15246307771"</f>
        <v>15246307771</v>
      </c>
      <c r="C9368" t="str">
        <f>"231084198604263723"</f>
        <v>231084198604263723</v>
      </c>
      <c r="D9368" t="s">
        <v>1</v>
      </c>
      <c r="E9368" t="s">
        <v>1</v>
      </c>
      <c r="F9368" t="s">
        <v>0</v>
      </c>
      <c r="G9368" t="str">
        <f>"2018-10-15 13:55:24"</f>
        <v>2018-10-15 13:55:24</v>
      </c>
    </row>
    <row r="9369" spans="1:7" x14ac:dyDescent="0.2">
      <c r="A9369" t="s">
        <v>1</v>
      </c>
      <c r="B9369" t="str">
        <f>"18021326060"</f>
        <v>18021326060</v>
      </c>
      <c r="C9369" t="s">
        <v>1</v>
      </c>
      <c r="D9369" t="s">
        <v>1</v>
      </c>
      <c r="E9369" t="s">
        <v>1</v>
      </c>
      <c r="F9369" t="s">
        <v>0</v>
      </c>
      <c r="G9369" t="str">
        <f>"2018-10-15 12:36:39"</f>
        <v>2018-10-15 12:36:39</v>
      </c>
    </row>
    <row r="9370" spans="1:7" x14ac:dyDescent="0.2">
      <c r="A9370" t="s">
        <v>9940</v>
      </c>
      <c r="B9370" t="str">
        <f>"15512157773"</f>
        <v>15512157773</v>
      </c>
      <c r="C9370" t="str">
        <f>"130184199312145712"</f>
        <v>130184199312145712</v>
      </c>
      <c r="D9370" t="s">
        <v>1</v>
      </c>
      <c r="E9370" t="s">
        <v>1</v>
      </c>
      <c r="F9370" t="s">
        <v>0</v>
      </c>
      <c r="G9370" t="str">
        <f>"2018-10-30 18:04:27"</f>
        <v>2018-10-30 18:04:27</v>
      </c>
    </row>
    <row r="9371" spans="1:7" x14ac:dyDescent="0.2">
      <c r="A9371" t="s">
        <v>9941</v>
      </c>
      <c r="B9371" t="str">
        <f>"15033488091"</f>
        <v>15033488091</v>
      </c>
      <c r="C9371" t="str">
        <f>"130283200002021524"</f>
        <v>130283200002021524</v>
      </c>
      <c r="D9371" t="s">
        <v>1</v>
      </c>
      <c r="E9371" t="s">
        <v>1</v>
      </c>
      <c r="F9371" t="s">
        <v>0</v>
      </c>
      <c r="G9371" t="str">
        <f>"2018-10-15 14:03:32"</f>
        <v>2018-10-15 14:03:32</v>
      </c>
    </row>
    <row r="9372" spans="1:7" x14ac:dyDescent="0.2">
      <c r="A9372" t="s">
        <v>410</v>
      </c>
      <c r="B9372" t="str">
        <f>"18071336567"</f>
        <v>18071336567</v>
      </c>
      <c r="C9372" t="str">
        <f>"422822199309080567"</f>
        <v>422822199309080567</v>
      </c>
      <c r="D9372" t="s">
        <v>1</v>
      </c>
      <c r="E9372" t="s">
        <v>1</v>
      </c>
      <c r="F9372" t="s">
        <v>0</v>
      </c>
      <c r="G9372" t="str">
        <f>"2018-10-15 12:38:59"</f>
        <v>2018-10-15 12:38:59</v>
      </c>
    </row>
    <row r="9373" spans="1:7" x14ac:dyDescent="0.2">
      <c r="A9373" t="s">
        <v>9942</v>
      </c>
      <c r="B9373" t="str">
        <f>"15197787839"</f>
        <v>15197787839</v>
      </c>
      <c r="C9373" t="str">
        <f>"430922198706171471"</f>
        <v>430922198706171471</v>
      </c>
      <c r="D9373" t="s">
        <v>1</v>
      </c>
      <c r="E9373" t="s">
        <v>1</v>
      </c>
      <c r="F9373" t="s">
        <v>0</v>
      </c>
      <c r="G9373" t="str">
        <f>"2018-10-15 12:35:34"</f>
        <v>2018-10-15 12:35:34</v>
      </c>
    </row>
    <row r="9374" spans="1:7" x14ac:dyDescent="0.2">
      <c r="A9374" t="s">
        <v>1</v>
      </c>
      <c r="B9374" t="str">
        <f>"18837701117"</f>
        <v>18837701117</v>
      </c>
      <c r="C9374" t="s">
        <v>1</v>
      </c>
      <c r="D9374" t="s">
        <v>1</v>
      </c>
      <c r="E9374" t="s">
        <v>1</v>
      </c>
      <c r="F9374" t="s">
        <v>0</v>
      </c>
      <c r="G9374" t="str">
        <f>"2018-10-15 12:34:00"</f>
        <v>2018-10-15 12:34:00</v>
      </c>
    </row>
    <row r="9375" spans="1:7" x14ac:dyDescent="0.2">
      <c r="A9375" t="s">
        <v>9943</v>
      </c>
      <c r="B9375" t="str">
        <f>"18905567881"</f>
        <v>18905567881</v>
      </c>
      <c r="C9375" t="str">
        <f>"340802197712230450"</f>
        <v>340802197712230450</v>
      </c>
      <c r="D9375" t="s">
        <v>9944</v>
      </c>
      <c r="E9375" t="s">
        <v>9945</v>
      </c>
      <c r="F9375" t="s">
        <v>0</v>
      </c>
      <c r="G9375" t="str">
        <f>"2018-10-22 15:02:43"</f>
        <v>2018-10-22 15:02:43</v>
      </c>
    </row>
    <row r="9376" spans="1:7" x14ac:dyDescent="0.2">
      <c r="A9376" t="s">
        <v>9946</v>
      </c>
      <c r="B9376" t="str">
        <f>"18355353968"</f>
        <v>18355353968</v>
      </c>
      <c r="C9376" t="str">
        <f>"342523199411300423"</f>
        <v>342523199411300423</v>
      </c>
      <c r="D9376" t="s">
        <v>1</v>
      </c>
      <c r="E9376" t="s">
        <v>1</v>
      </c>
      <c r="F9376" t="s">
        <v>0</v>
      </c>
      <c r="G9376" t="str">
        <f>"2018-10-22 10:25:43"</f>
        <v>2018-10-22 10:25:43</v>
      </c>
    </row>
    <row r="9377" spans="1:7" x14ac:dyDescent="0.2">
      <c r="A9377" t="s">
        <v>592</v>
      </c>
      <c r="B9377" t="str">
        <f>"18206343456"</f>
        <v>18206343456</v>
      </c>
      <c r="C9377" t="str">
        <f>"371202198808052642"</f>
        <v>371202198808052642</v>
      </c>
      <c r="D9377" t="s">
        <v>1</v>
      </c>
      <c r="E9377" t="s">
        <v>1</v>
      </c>
      <c r="F9377" t="s">
        <v>0</v>
      </c>
      <c r="G9377" t="str">
        <f>"2018-10-15 12:33:59"</f>
        <v>2018-10-15 12:33:59</v>
      </c>
    </row>
    <row r="9378" spans="1:7" x14ac:dyDescent="0.2">
      <c r="A9378" t="s">
        <v>1</v>
      </c>
      <c r="B9378" t="str">
        <f>"15995204794"</f>
        <v>15995204794</v>
      </c>
      <c r="C9378" t="s">
        <v>1</v>
      </c>
      <c r="D9378" t="s">
        <v>1</v>
      </c>
      <c r="E9378" t="s">
        <v>1</v>
      </c>
      <c r="F9378" t="s">
        <v>0</v>
      </c>
      <c r="G9378" t="str">
        <f>"2018-10-15 12:32:44"</f>
        <v>2018-10-15 12:32:44</v>
      </c>
    </row>
    <row r="9379" spans="1:7" x14ac:dyDescent="0.2">
      <c r="A9379" t="s">
        <v>9947</v>
      </c>
      <c r="B9379" t="str">
        <f>"13783905895"</f>
        <v>13783905895</v>
      </c>
      <c r="C9379" t="str">
        <f>"410224198509285972"</f>
        <v>410224198509285972</v>
      </c>
      <c r="D9379" t="s">
        <v>1</v>
      </c>
      <c r="E9379" t="s">
        <v>1</v>
      </c>
      <c r="F9379" t="s">
        <v>0</v>
      </c>
      <c r="G9379" t="str">
        <f>"2018-10-15 16:40:44"</f>
        <v>2018-10-15 16:40:44</v>
      </c>
    </row>
    <row r="9380" spans="1:7" x14ac:dyDescent="0.2">
      <c r="A9380" t="s">
        <v>9948</v>
      </c>
      <c r="B9380" t="str">
        <f>"15872301116"</f>
        <v>15872301116</v>
      </c>
      <c r="C9380" t="str">
        <f>"420626198803024016"</f>
        <v>420626198803024016</v>
      </c>
      <c r="D9380" t="s">
        <v>1</v>
      </c>
      <c r="E9380" t="s">
        <v>1</v>
      </c>
      <c r="F9380" t="s">
        <v>0</v>
      </c>
      <c r="G9380" t="str">
        <f>"2018-10-15 12:32:58"</f>
        <v>2018-10-15 12:32:58</v>
      </c>
    </row>
    <row r="9381" spans="1:7" x14ac:dyDescent="0.2">
      <c r="A9381" t="s">
        <v>58</v>
      </c>
      <c r="B9381" t="str">
        <f>"13469570777"</f>
        <v>13469570777</v>
      </c>
      <c r="C9381" t="str">
        <f>"640102198403291257"</f>
        <v>640102198403291257</v>
      </c>
      <c r="D9381" t="s">
        <v>1</v>
      </c>
      <c r="E9381" t="s">
        <v>1</v>
      </c>
      <c r="F9381" t="s">
        <v>0</v>
      </c>
      <c r="G9381" t="str">
        <f>"2018-10-15 12:32:24"</f>
        <v>2018-10-15 12:32:24</v>
      </c>
    </row>
    <row r="9382" spans="1:7" x14ac:dyDescent="0.2">
      <c r="A9382" t="s">
        <v>926</v>
      </c>
      <c r="B9382" t="str">
        <f>"18753933120"</f>
        <v>18753933120</v>
      </c>
      <c r="C9382" t="str">
        <f>"211282198603285415"</f>
        <v>211282198603285415</v>
      </c>
      <c r="D9382" t="s">
        <v>1</v>
      </c>
      <c r="E9382" t="s">
        <v>1</v>
      </c>
      <c r="F9382" t="s">
        <v>0</v>
      </c>
      <c r="G9382" t="str">
        <f>"2018-10-15 12:56:03"</f>
        <v>2018-10-15 12:56:03</v>
      </c>
    </row>
    <row r="9383" spans="1:7" x14ac:dyDescent="0.2">
      <c r="A9383" t="s">
        <v>9949</v>
      </c>
      <c r="B9383" t="str">
        <f>"15108120373"</f>
        <v>15108120373</v>
      </c>
      <c r="C9383" t="str">
        <f>"51090219931029540X"</f>
        <v>51090219931029540X</v>
      </c>
      <c r="D9383" t="s">
        <v>1</v>
      </c>
      <c r="E9383" t="s">
        <v>1</v>
      </c>
      <c r="F9383" t="s">
        <v>0</v>
      </c>
      <c r="G9383" t="str">
        <f>"2018-10-15 12:47:32"</f>
        <v>2018-10-15 12:47:32</v>
      </c>
    </row>
    <row r="9384" spans="1:7" x14ac:dyDescent="0.2">
      <c r="A9384" t="s">
        <v>9950</v>
      </c>
      <c r="B9384" t="str">
        <f>"15987337618"</f>
        <v>15987337618</v>
      </c>
      <c r="C9384" t="str">
        <f>"532524199812152638"</f>
        <v>532524199812152638</v>
      </c>
      <c r="D9384" t="s">
        <v>9951</v>
      </c>
      <c r="E9384" t="s">
        <v>9952</v>
      </c>
      <c r="F9384" t="s">
        <v>0</v>
      </c>
      <c r="G9384" t="str">
        <f>"2018-10-15 12:32:02"</f>
        <v>2018-10-15 12:32:02</v>
      </c>
    </row>
    <row r="9385" spans="1:7" x14ac:dyDescent="0.2">
      <c r="A9385" t="s">
        <v>1</v>
      </c>
      <c r="B9385" t="str">
        <f>"18203635972"</f>
        <v>18203635972</v>
      </c>
      <c r="C9385" t="s">
        <v>1</v>
      </c>
      <c r="D9385" t="s">
        <v>1</v>
      </c>
      <c r="E9385" t="s">
        <v>1</v>
      </c>
      <c r="F9385" t="s">
        <v>0</v>
      </c>
      <c r="G9385" t="str">
        <f>"2018-10-15 12:29:59"</f>
        <v>2018-10-15 12:29:59</v>
      </c>
    </row>
    <row r="9386" spans="1:7" x14ac:dyDescent="0.2">
      <c r="A9386" t="s">
        <v>9953</v>
      </c>
      <c r="B9386" t="str">
        <f>"15996666166"</f>
        <v>15996666166</v>
      </c>
      <c r="C9386" t="str">
        <f>"320602198512073059"</f>
        <v>320602198512073059</v>
      </c>
      <c r="D9386" t="s">
        <v>1</v>
      </c>
      <c r="E9386" t="s">
        <v>1</v>
      </c>
      <c r="F9386" t="s">
        <v>0</v>
      </c>
      <c r="G9386" t="str">
        <f>"2018-10-15 12:31:14"</f>
        <v>2018-10-15 12:31:14</v>
      </c>
    </row>
    <row r="9387" spans="1:7" x14ac:dyDescent="0.2">
      <c r="A9387" t="s">
        <v>9954</v>
      </c>
      <c r="B9387" t="str">
        <f>"18244093482"</f>
        <v>18244093482</v>
      </c>
      <c r="C9387" t="str">
        <f>"220182197702245516"</f>
        <v>220182197702245516</v>
      </c>
      <c r="D9387" t="s">
        <v>1</v>
      </c>
      <c r="E9387" t="s">
        <v>1</v>
      </c>
      <c r="F9387" t="s">
        <v>0</v>
      </c>
      <c r="G9387" t="str">
        <f>"2018-10-15 12:30:27"</f>
        <v>2018-10-15 12:30:27</v>
      </c>
    </row>
    <row r="9388" spans="1:7" x14ac:dyDescent="0.2">
      <c r="A9388" t="s">
        <v>9955</v>
      </c>
      <c r="B9388" t="str">
        <f>"13889298975"</f>
        <v>13889298975</v>
      </c>
      <c r="C9388" t="str">
        <f>"211203198503070024"</f>
        <v>211203198503070024</v>
      </c>
      <c r="D9388" t="s">
        <v>1</v>
      </c>
      <c r="E9388" t="s">
        <v>1</v>
      </c>
      <c r="F9388" t="s">
        <v>0</v>
      </c>
      <c r="G9388" t="str">
        <f>"2018-10-15 12:58:51"</f>
        <v>2018-10-15 12:58:51</v>
      </c>
    </row>
    <row r="9389" spans="1:7" x14ac:dyDescent="0.2">
      <c r="A9389" t="s">
        <v>9956</v>
      </c>
      <c r="B9389" t="str">
        <f>"13903692096"</f>
        <v>13903692096</v>
      </c>
      <c r="C9389" t="str">
        <f>"141033199711070014"</f>
        <v>141033199711070014</v>
      </c>
      <c r="D9389" t="s">
        <v>1</v>
      </c>
      <c r="E9389" t="s">
        <v>1</v>
      </c>
      <c r="F9389" t="s">
        <v>0</v>
      </c>
      <c r="G9389" t="str">
        <f>"2018-10-15 12:27:21"</f>
        <v>2018-10-15 12:27:21</v>
      </c>
    </row>
    <row r="9390" spans="1:7" x14ac:dyDescent="0.2">
      <c r="A9390" t="s">
        <v>1</v>
      </c>
      <c r="B9390" t="str">
        <f>"18503687405"</f>
        <v>18503687405</v>
      </c>
      <c r="C9390" t="s">
        <v>1</v>
      </c>
      <c r="D9390" t="s">
        <v>1</v>
      </c>
      <c r="E9390" t="s">
        <v>1</v>
      </c>
      <c r="F9390" t="s">
        <v>0</v>
      </c>
      <c r="G9390" t="str">
        <f>"2018-10-15 12:25:53"</f>
        <v>2018-10-15 12:25:53</v>
      </c>
    </row>
    <row r="9391" spans="1:7" x14ac:dyDescent="0.2">
      <c r="A9391" t="s">
        <v>1</v>
      </c>
      <c r="B9391" t="str">
        <f>"13256391250"</f>
        <v>13256391250</v>
      </c>
      <c r="C9391" t="s">
        <v>1</v>
      </c>
      <c r="D9391" t="s">
        <v>1</v>
      </c>
      <c r="E9391" t="s">
        <v>1</v>
      </c>
      <c r="F9391" t="s">
        <v>0</v>
      </c>
      <c r="G9391" t="str">
        <f>"2018-10-15 12:28:50"</f>
        <v>2018-10-15 12:28:50</v>
      </c>
    </row>
    <row r="9392" spans="1:7" x14ac:dyDescent="0.2">
      <c r="A9392" t="s">
        <v>1</v>
      </c>
      <c r="B9392" t="str">
        <f>"17625658910"</f>
        <v>17625658910</v>
      </c>
      <c r="C9392" t="s">
        <v>1</v>
      </c>
      <c r="D9392" t="s">
        <v>1</v>
      </c>
      <c r="E9392" t="s">
        <v>1</v>
      </c>
      <c r="F9392" t="s">
        <v>0</v>
      </c>
      <c r="G9392" t="str">
        <f>"2018-10-15 12:24:35"</f>
        <v>2018-10-15 12:24:35</v>
      </c>
    </row>
    <row r="9393" spans="1:7" x14ac:dyDescent="0.2">
      <c r="A9393" t="s">
        <v>1585</v>
      </c>
      <c r="B9393" t="str">
        <f>"18952993045"</f>
        <v>18952993045</v>
      </c>
      <c r="C9393" t="str">
        <f>"321123198110040436"</f>
        <v>321123198110040436</v>
      </c>
      <c r="D9393" t="s">
        <v>1</v>
      </c>
      <c r="E9393" t="s">
        <v>1</v>
      </c>
      <c r="F9393" t="s">
        <v>0</v>
      </c>
      <c r="G9393" t="str">
        <f>"2018-10-15 14:00:14"</f>
        <v>2018-10-15 14:00:14</v>
      </c>
    </row>
    <row r="9394" spans="1:7" x14ac:dyDescent="0.2">
      <c r="A9394" t="s">
        <v>9957</v>
      </c>
      <c r="B9394" t="str">
        <f>"15154229625"</f>
        <v>15154229625</v>
      </c>
      <c r="C9394" t="str">
        <f>"371121199009031237"</f>
        <v>371121199009031237</v>
      </c>
      <c r="D9394" t="s">
        <v>9958</v>
      </c>
      <c r="E9394" t="s">
        <v>9959</v>
      </c>
      <c r="F9394" t="s">
        <v>0</v>
      </c>
      <c r="G9394" t="str">
        <f>"2018-10-15 12:23:22"</f>
        <v>2018-10-15 12:23:22</v>
      </c>
    </row>
    <row r="9395" spans="1:7" x14ac:dyDescent="0.2">
      <c r="A9395" t="s">
        <v>9960</v>
      </c>
      <c r="B9395" t="str">
        <f>"15859799926"</f>
        <v>15859799926</v>
      </c>
      <c r="C9395" t="str">
        <f>"362532198510202517"</f>
        <v>362532198510202517</v>
      </c>
      <c r="D9395" t="s">
        <v>1</v>
      </c>
      <c r="E9395" t="s">
        <v>1</v>
      </c>
      <c r="F9395" t="s">
        <v>0</v>
      </c>
      <c r="G9395" t="str">
        <f>"2018-10-15 12:24:12"</f>
        <v>2018-10-15 12:24:12</v>
      </c>
    </row>
    <row r="9396" spans="1:7" x14ac:dyDescent="0.2">
      <c r="A9396" t="s">
        <v>9961</v>
      </c>
      <c r="B9396" t="str">
        <f>"15840358923"</f>
        <v>15840358923</v>
      </c>
      <c r="C9396" t="str">
        <f>"211382199103112411"</f>
        <v>211382199103112411</v>
      </c>
      <c r="D9396" t="s">
        <v>1</v>
      </c>
      <c r="E9396" t="s">
        <v>1</v>
      </c>
      <c r="F9396" t="s">
        <v>0</v>
      </c>
      <c r="G9396" t="str">
        <f>"2018-10-15 12:25:03"</f>
        <v>2018-10-15 12:25:03</v>
      </c>
    </row>
    <row r="9397" spans="1:7" x14ac:dyDescent="0.2">
      <c r="A9397" t="s">
        <v>9962</v>
      </c>
      <c r="B9397" t="str">
        <f>"15397774656"</f>
        <v>15397774656</v>
      </c>
      <c r="C9397" t="str">
        <f>"510703199202161717"</f>
        <v>510703199202161717</v>
      </c>
      <c r="D9397" t="s">
        <v>9963</v>
      </c>
      <c r="E9397" t="s">
        <v>9964</v>
      </c>
      <c r="F9397" t="s">
        <v>0</v>
      </c>
      <c r="G9397" t="str">
        <f>"2018-10-22 15:48:37"</f>
        <v>2018-10-22 15:48:37</v>
      </c>
    </row>
    <row r="9398" spans="1:7" x14ac:dyDescent="0.2">
      <c r="A9398" t="s">
        <v>9965</v>
      </c>
      <c r="B9398" t="str">
        <f>"15263004866"</f>
        <v>15263004866</v>
      </c>
      <c r="C9398" t="str">
        <f>"372301198812061912"</f>
        <v>372301198812061912</v>
      </c>
      <c r="D9398" t="s">
        <v>1</v>
      </c>
      <c r="E9398" t="s">
        <v>1</v>
      </c>
      <c r="F9398" t="s">
        <v>0</v>
      </c>
      <c r="G9398" t="str">
        <f>"2018-10-15 12:29:00"</f>
        <v>2018-10-15 12:29:00</v>
      </c>
    </row>
    <row r="9399" spans="1:7" x14ac:dyDescent="0.2">
      <c r="A9399" t="s">
        <v>1</v>
      </c>
      <c r="B9399" t="str">
        <f>"13917153105"</f>
        <v>13917153105</v>
      </c>
      <c r="C9399" t="s">
        <v>1</v>
      </c>
      <c r="D9399" t="s">
        <v>1</v>
      </c>
      <c r="E9399" t="s">
        <v>1</v>
      </c>
      <c r="F9399" t="s">
        <v>0</v>
      </c>
      <c r="G9399" t="str">
        <f>"2018-10-15 12:25:43"</f>
        <v>2018-10-15 12:25:43</v>
      </c>
    </row>
    <row r="9400" spans="1:7" x14ac:dyDescent="0.2">
      <c r="A9400" t="s">
        <v>9966</v>
      </c>
      <c r="B9400" t="str">
        <f>"18933994373"</f>
        <v>18933994373</v>
      </c>
      <c r="C9400" t="str">
        <f>"441323199605147617"</f>
        <v>441323199605147617</v>
      </c>
      <c r="D9400" t="s">
        <v>1</v>
      </c>
      <c r="E9400" t="s">
        <v>1</v>
      </c>
      <c r="F9400" t="s">
        <v>0</v>
      </c>
      <c r="G9400" t="str">
        <f>"2018-10-15 17:41:36"</f>
        <v>2018-10-15 17:41:36</v>
      </c>
    </row>
    <row r="9401" spans="1:7" x14ac:dyDescent="0.2">
      <c r="A9401" t="s">
        <v>1</v>
      </c>
      <c r="B9401" t="str">
        <f>"15198911733"</f>
        <v>15198911733</v>
      </c>
      <c r="C9401" t="s">
        <v>1</v>
      </c>
      <c r="D9401" t="s">
        <v>1</v>
      </c>
      <c r="E9401" t="s">
        <v>1</v>
      </c>
      <c r="F9401" t="s">
        <v>0</v>
      </c>
      <c r="G9401" t="str">
        <f>"2018-10-15 12:21:40"</f>
        <v>2018-10-15 12:21:40</v>
      </c>
    </row>
    <row r="9402" spans="1:7" x14ac:dyDescent="0.2">
      <c r="A9402" t="s">
        <v>1</v>
      </c>
      <c r="B9402" t="str">
        <f>"13881510820"</f>
        <v>13881510820</v>
      </c>
      <c r="C9402" t="s">
        <v>1</v>
      </c>
      <c r="D9402" t="s">
        <v>1</v>
      </c>
      <c r="E9402" t="s">
        <v>1</v>
      </c>
      <c r="F9402" t="s">
        <v>0</v>
      </c>
      <c r="G9402" t="str">
        <f>"2018-10-15 12:23:38"</f>
        <v>2018-10-15 12:23:38</v>
      </c>
    </row>
    <row r="9403" spans="1:7" x14ac:dyDescent="0.2">
      <c r="A9403" t="s">
        <v>9967</v>
      </c>
      <c r="B9403" t="str">
        <f>"18068936695"</f>
        <v>18068936695</v>
      </c>
      <c r="C9403" t="str">
        <f>"321322199404092038"</f>
        <v>321322199404092038</v>
      </c>
      <c r="D9403" t="s">
        <v>1</v>
      </c>
      <c r="E9403" t="s">
        <v>1</v>
      </c>
      <c r="F9403" t="s">
        <v>0</v>
      </c>
      <c r="G9403" t="str">
        <f>"2018-10-16 15:14:01"</f>
        <v>2018-10-16 15:14:01</v>
      </c>
    </row>
    <row r="9404" spans="1:7" x14ac:dyDescent="0.2">
      <c r="A9404" t="s">
        <v>1</v>
      </c>
      <c r="B9404" t="str">
        <f>"18530007377"</f>
        <v>18530007377</v>
      </c>
      <c r="C9404" t="s">
        <v>1</v>
      </c>
      <c r="D9404" t="s">
        <v>1</v>
      </c>
      <c r="E9404" t="s">
        <v>1</v>
      </c>
      <c r="F9404" t="s">
        <v>0</v>
      </c>
      <c r="G9404" t="str">
        <f>"2018-10-15 12:20:45"</f>
        <v>2018-10-15 12:20:45</v>
      </c>
    </row>
    <row r="9405" spans="1:7" x14ac:dyDescent="0.2">
      <c r="A9405" t="s">
        <v>9968</v>
      </c>
      <c r="B9405" t="str">
        <f>"17783560212"</f>
        <v>17783560212</v>
      </c>
      <c r="C9405" t="str">
        <f>"500382199902127992"</f>
        <v>500382199902127992</v>
      </c>
      <c r="D9405" t="s">
        <v>1</v>
      </c>
      <c r="E9405" t="s">
        <v>1</v>
      </c>
      <c r="F9405" t="s">
        <v>0</v>
      </c>
      <c r="G9405" t="str">
        <f>"2018-10-15 12:21:50"</f>
        <v>2018-10-15 12:21:50</v>
      </c>
    </row>
    <row r="9406" spans="1:7" x14ac:dyDescent="0.2">
      <c r="A9406" t="s">
        <v>9969</v>
      </c>
      <c r="B9406" t="str">
        <f>"15362128165"</f>
        <v>15362128165</v>
      </c>
      <c r="C9406" t="str">
        <f>"610425199608211716"</f>
        <v>610425199608211716</v>
      </c>
      <c r="D9406" t="s">
        <v>1</v>
      </c>
      <c r="E9406" t="s">
        <v>1</v>
      </c>
      <c r="F9406" t="s">
        <v>0</v>
      </c>
      <c r="G9406" t="str">
        <f>"2018-10-15 12:21:12"</f>
        <v>2018-10-15 12:21:12</v>
      </c>
    </row>
    <row r="9407" spans="1:7" x14ac:dyDescent="0.2">
      <c r="A9407" t="s">
        <v>1</v>
      </c>
      <c r="B9407" t="str">
        <f>"13070628834"</f>
        <v>13070628834</v>
      </c>
      <c r="C9407" t="s">
        <v>1</v>
      </c>
      <c r="D9407" t="s">
        <v>1</v>
      </c>
      <c r="E9407" t="s">
        <v>1</v>
      </c>
      <c r="F9407" t="s">
        <v>0</v>
      </c>
      <c r="G9407" t="str">
        <f>"2018-10-15 12:31:12"</f>
        <v>2018-10-15 12:31:12</v>
      </c>
    </row>
    <row r="9408" spans="1:7" x14ac:dyDescent="0.2">
      <c r="A9408" t="s">
        <v>1</v>
      </c>
      <c r="B9408" t="str">
        <f>"18832649990"</f>
        <v>18832649990</v>
      </c>
      <c r="C9408" t="s">
        <v>1</v>
      </c>
      <c r="D9408" t="s">
        <v>1</v>
      </c>
      <c r="E9408" t="s">
        <v>1</v>
      </c>
      <c r="F9408" t="s">
        <v>0</v>
      </c>
      <c r="G9408" t="str">
        <f>"2018-10-15 12:19:15"</f>
        <v>2018-10-15 12:19:15</v>
      </c>
    </row>
    <row r="9409" spans="1:7" x14ac:dyDescent="0.2">
      <c r="A9409" t="s">
        <v>90</v>
      </c>
      <c r="B9409" t="str">
        <f>"17723857789"</f>
        <v>17723857789</v>
      </c>
      <c r="C9409" t="str">
        <f>"500237198709030054"</f>
        <v>500237198709030054</v>
      </c>
      <c r="D9409" t="s">
        <v>9970</v>
      </c>
      <c r="E9409" t="s">
        <v>9971</v>
      </c>
      <c r="F9409" t="s">
        <v>0</v>
      </c>
      <c r="G9409" t="str">
        <f>"2018-10-15 12:20:27"</f>
        <v>2018-10-15 12:20:27</v>
      </c>
    </row>
    <row r="9410" spans="1:7" x14ac:dyDescent="0.2">
      <c r="A9410" t="s">
        <v>9972</v>
      </c>
      <c r="B9410" t="str">
        <f>"17362053120"</f>
        <v>17362053120</v>
      </c>
      <c r="C9410" t="str">
        <f>"371322199003250719"</f>
        <v>371322199003250719</v>
      </c>
      <c r="D9410" t="s">
        <v>1</v>
      </c>
      <c r="E9410" t="s">
        <v>1</v>
      </c>
      <c r="F9410" t="s">
        <v>0</v>
      </c>
      <c r="G9410" t="str">
        <f>"2018-10-15 12:20:06"</f>
        <v>2018-10-15 12:20:06</v>
      </c>
    </row>
    <row r="9411" spans="1:7" x14ac:dyDescent="0.2">
      <c r="A9411" t="s">
        <v>9973</v>
      </c>
      <c r="B9411" t="str">
        <f>"15980582615"</f>
        <v>15980582615</v>
      </c>
      <c r="C9411" t="str">
        <f>"350123198901151532"</f>
        <v>350123198901151532</v>
      </c>
      <c r="D9411" t="s">
        <v>9974</v>
      </c>
      <c r="E9411" t="s">
        <v>9975</v>
      </c>
      <c r="F9411" t="s">
        <v>0</v>
      </c>
      <c r="G9411" t="str">
        <f>"2018-10-15 12:22:20"</f>
        <v>2018-10-15 12:22:20</v>
      </c>
    </row>
    <row r="9412" spans="1:7" x14ac:dyDescent="0.2">
      <c r="A9412" t="s">
        <v>1</v>
      </c>
      <c r="B9412" t="str">
        <f>"13522445783"</f>
        <v>13522445783</v>
      </c>
      <c r="C9412" t="s">
        <v>1</v>
      </c>
      <c r="D9412" t="s">
        <v>1</v>
      </c>
      <c r="E9412" t="s">
        <v>1</v>
      </c>
      <c r="F9412" t="s">
        <v>0</v>
      </c>
      <c r="G9412" t="str">
        <f>"2018-10-15 12:17:58"</f>
        <v>2018-10-15 12:17:58</v>
      </c>
    </row>
    <row r="9413" spans="1:7" x14ac:dyDescent="0.2">
      <c r="A9413" t="s">
        <v>9976</v>
      </c>
      <c r="B9413" t="str">
        <f>"13825757771"</f>
        <v>13825757771</v>
      </c>
      <c r="C9413" t="str">
        <f>"612525197703045312"</f>
        <v>612525197703045312</v>
      </c>
      <c r="D9413" t="s">
        <v>1</v>
      </c>
      <c r="E9413" t="s">
        <v>1</v>
      </c>
      <c r="F9413" t="s">
        <v>0</v>
      </c>
      <c r="G9413" t="str">
        <f>"2018-10-15 12:27:49"</f>
        <v>2018-10-15 12:27:49</v>
      </c>
    </row>
    <row r="9414" spans="1:7" x14ac:dyDescent="0.2">
      <c r="A9414" t="s">
        <v>9977</v>
      </c>
      <c r="B9414" t="str">
        <f>"15517779155"</f>
        <v>15517779155</v>
      </c>
      <c r="C9414" t="str">
        <f>"410823198709017549"</f>
        <v>410823198709017549</v>
      </c>
      <c r="D9414" t="s">
        <v>1</v>
      </c>
      <c r="E9414" t="s">
        <v>1</v>
      </c>
      <c r="F9414" t="s">
        <v>0</v>
      </c>
      <c r="G9414" t="str">
        <f>"2018-10-15 12:20:12"</f>
        <v>2018-10-15 12:20:12</v>
      </c>
    </row>
    <row r="9415" spans="1:7" x14ac:dyDescent="0.2">
      <c r="A9415" t="s">
        <v>1</v>
      </c>
      <c r="B9415" t="str">
        <f>"17702270657"</f>
        <v>17702270657</v>
      </c>
      <c r="C9415" t="s">
        <v>1</v>
      </c>
      <c r="D9415" t="s">
        <v>1</v>
      </c>
      <c r="E9415" t="s">
        <v>1</v>
      </c>
      <c r="F9415" t="s">
        <v>0</v>
      </c>
      <c r="G9415" t="str">
        <f>"2018-10-15 12:26:11"</f>
        <v>2018-10-15 12:26:11</v>
      </c>
    </row>
    <row r="9416" spans="1:7" x14ac:dyDescent="0.2">
      <c r="A9416" t="s">
        <v>1187</v>
      </c>
      <c r="B9416" t="str">
        <f>"17631444190"</f>
        <v>17631444190</v>
      </c>
      <c r="C9416" t="str">
        <f>"130825198501100517"</f>
        <v>130825198501100517</v>
      </c>
      <c r="D9416" t="s">
        <v>9978</v>
      </c>
      <c r="E9416" t="s">
        <v>9979</v>
      </c>
      <c r="F9416" t="s">
        <v>0</v>
      </c>
      <c r="G9416" t="str">
        <f>"2018-10-15 12:17:21"</f>
        <v>2018-10-15 12:17:21</v>
      </c>
    </row>
    <row r="9417" spans="1:7" x14ac:dyDescent="0.2">
      <c r="A9417" t="s">
        <v>9980</v>
      </c>
      <c r="B9417" t="str">
        <f>"17623104235"</f>
        <v>17623104235</v>
      </c>
      <c r="C9417" t="str">
        <f>"500236200001106037"</f>
        <v>500236200001106037</v>
      </c>
      <c r="D9417" t="s">
        <v>1</v>
      </c>
      <c r="E9417" t="s">
        <v>1</v>
      </c>
      <c r="F9417" t="s">
        <v>0</v>
      </c>
      <c r="G9417" t="str">
        <f>"2018-10-15 12:21:31"</f>
        <v>2018-10-15 12:21:31</v>
      </c>
    </row>
    <row r="9418" spans="1:7" x14ac:dyDescent="0.2">
      <c r="A9418" t="s">
        <v>1</v>
      </c>
      <c r="B9418" t="str">
        <f>"18052377921"</f>
        <v>18052377921</v>
      </c>
      <c r="C9418" t="s">
        <v>1</v>
      </c>
      <c r="D9418" t="s">
        <v>1</v>
      </c>
      <c r="E9418" t="s">
        <v>1</v>
      </c>
      <c r="F9418" t="s">
        <v>0</v>
      </c>
      <c r="G9418" t="str">
        <f>"2018-10-15 12:14:37"</f>
        <v>2018-10-15 12:14:37</v>
      </c>
    </row>
    <row r="9419" spans="1:7" x14ac:dyDescent="0.2">
      <c r="A9419" t="s">
        <v>1468</v>
      </c>
      <c r="B9419" t="str">
        <f>"17625579006"</f>
        <v>17625579006</v>
      </c>
      <c r="C9419" t="str">
        <f>"140428199107230018"</f>
        <v>140428199107230018</v>
      </c>
      <c r="D9419" t="s">
        <v>1</v>
      </c>
      <c r="E9419" t="s">
        <v>1</v>
      </c>
      <c r="F9419" t="s">
        <v>0</v>
      </c>
      <c r="G9419" t="str">
        <f>"2018-10-15 12:15:55"</f>
        <v>2018-10-15 12:15:55</v>
      </c>
    </row>
    <row r="9420" spans="1:7" x14ac:dyDescent="0.2">
      <c r="A9420" t="s">
        <v>1</v>
      </c>
      <c r="B9420" t="str">
        <f>"15504901006"</f>
        <v>15504901006</v>
      </c>
      <c r="C9420" t="s">
        <v>1</v>
      </c>
      <c r="D9420" t="s">
        <v>1</v>
      </c>
      <c r="E9420" t="s">
        <v>1</v>
      </c>
      <c r="F9420" t="s">
        <v>0</v>
      </c>
      <c r="G9420" t="str">
        <f>"2018-10-15 12:14:00"</f>
        <v>2018-10-15 12:14:00</v>
      </c>
    </row>
    <row r="9421" spans="1:7" x14ac:dyDescent="0.2">
      <c r="A9421" t="s">
        <v>9981</v>
      </c>
      <c r="B9421" t="str">
        <f>"13978399681"</f>
        <v>13978399681</v>
      </c>
      <c r="C9421" t="str">
        <f>"43052819851116135X"</f>
        <v>43052819851116135X</v>
      </c>
      <c r="D9421" t="s">
        <v>1</v>
      </c>
      <c r="E9421" t="s">
        <v>1</v>
      </c>
      <c r="F9421" t="s">
        <v>0</v>
      </c>
      <c r="G9421" t="str">
        <f>"2018-10-15 12:24:28"</f>
        <v>2018-10-15 12:24:28</v>
      </c>
    </row>
    <row r="9422" spans="1:7" x14ac:dyDescent="0.2">
      <c r="A9422" t="s">
        <v>1</v>
      </c>
      <c r="B9422" t="str">
        <f>"13425647990"</f>
        <v>13425647990</v>
      </c>
      <c r="C9422" t="s">
        <v>1</v>
      </c>
      <c r="D9422" t="s">
        <v>1</v>
      </c>
      <c r="E9422" t="s">
        <v>1</v>
      </c>
      <c r="F9422" t="s">
        <v>0</v>
      </c>
      <c r="G9422" t="str">
        <f>"2018-10-15 12:12:58"</f>
        <v>2018-10-15 12:12:58</v>
      </c>
    </row>
    <row r="9423" spans="1:7" x14ac:dyDescent="0.2">
      <c r="A9423" t="s">
        <v>9982</v>
      </c>
      <c r="B9423" t="str">
        <f>"13731694046"</f>
        <v>13731694046</v>
      </c>
      <c r="C9423" t="str">
        <f>"132428197110251216"</f>
        <v>132428197110251216</v>
      </c>
      <c r="D9423" t="s">
        <v>1</v>
      </c>
      <c r="E9423" t="s">
        <v>1</v>
      </c>
      <c r="F9423" t="s">
        <v>0</v>
      </c>
      <c r="G9423" t="str">
        <f>"2018-10-15 12:16:23"</f>
        <v>2018-10-15 12:16:23</v>
      </c>
    </row>
    <row r="9424" spans="1:7" x14ac:dyDescent="0.2">
      <c r="A9424" t="s">
        <v>9983</v>
      </c>
      <c r="B9424" t="str">
        <f>"15125063932"</f>
        <v>15125063932</v>
      </c>
      <c r="C9424" t="str">
        <f>"532931199911161121"</f>
        <v>532931199911161121</v>
      </c>
      <c r="D9424" t="s">
        <v>9984</v>
      </c>
      <c r="E9424" t="s">
        <v>9985</v>
      </c>
      <c r="F9424" t="s">
        <v>0</v>
      </c>
      <c r="G9424" t="str">
        <f>"2018-10-15 12:14:40"</f>
        <v>2018-10-15 12:14:40</v>
      </c>
    </row>
    <row r="9425" spans="1:7" x14ac:dyDescent="0.2">
      <c r="A9425" t="s">
        <v>9986</v>
      </c>
      <c r="B9425" t="str">
        <f>"18643803108"</f>
        <v>18643803108</v>
      </c>
      <c r="C9425" t="str">
        <f>"220724199504013018"</f>
        <v>220724199504013018</v>
      </c>
      <c r="D9425" t="s">
        <v>1</v>
      </c>
      <c r="E9425" t="s">
        <v>1</v>
      </c>
      <c r="F9425" t="s">
        <v>0</v>
      </c>
      <c r="G9425" t="str">
        <f>"2018-10-15 12:23:48"</f>
        <v>2018-10-15 12:23:48</v>
      </c>
    </row>
    <row r="9426" spans="1:7" x14ac:dyDescent="0.2">
      <c r="A9426" t="s">
        <v>9987</v>
      </c>
      <c r="B9426" t="str">
        <f>"13476051087"</f>
        <v>13476051087</v>
      </c>
      <c r="C9426" t="str">
        <f>"420113198801270011"</f>
        <v>420113198801270011</v>
      </c>
      <c r="D9426" t="s">
        <v>1</v>
      </c>
      <c r="E9426" t="s">
        <v>1</v>
      </c>
      <c r="F9426" t="s">
        <v>0</v>
      </c>
      <c r="G9426" t="str">
        <f>"2018-10-15 12:14:04"</f>
        <v>2018-10-15 12:14:04</v>
      </c>
    </row>
    <row r="9427" spans="1:7" x14ac:dyDescent="0.2">
      <c r="A9427" t="s">
        <v>1</v>
      </c>
      <c r="B9427" t="str">
        <f>"18408700008"</f>
        <v>18408700008</v>
      </c>
      <c r="C9427" t="s">
        <v>1</v>
      </c>
      <c r="D9427" t="s">
        <v>1</v>
      </c>
      <c r="E9427" t="s">
        <v>1</v>
      </c>
      <c r="F9427" t="s">
        <v>0</v>
      </c>
      <c r="G9427" t="str">
        <f>"2018-10-15 12:11:03"</f>
        <v>2018-10-15 12:11:03</v>
      </c>
    </row>
    <row r="9428" spans="1:7" x14ac:dyDescent="0.2">
      <c r="A9428" t="s">
        <v>9988</v>
      </c>
      <c r="B9428" t="str">
        <f>"18765750989"</f>
        <v>18765750989</v>
      </c>
      <c r="C9428" t="str">
        <f>"211324198512100739"</f>
        <v>211324198512100739</v>
      </c>
      <c r="D9428" t="s">
        <v>1</v>
      </c>
      <c r="E9428" t="s">
        <v>1</v>
      </c>
      <c r="F9428" t="s">
        <v>0</v>
      </c>
      <c r="G9428" t="str">
        <f>"2018-10-15 12:13:29"</f>
        <v>2018-10-15 12:13:29</v>
      </c>
    </row>
    <row r="9429" spans="1:7" x14ac:dyDescent="0.2">
      <c r="A9429" t="s">
        <v>9989</v>
      </c>
      <c r="B9429" t="str">
        <f>"13683252763"</f>
        <v>13683252763</v>
      </c>
      <c r="C9429" t="str">
        <f>"340323199302138719"</f>
        <v>340323199302138719</v>
      </c>
      <c r="D9429" t="s">
        <v>1</v>
      </c>
      <c r="E9429" t="s">
        <v>1</v>
      </c>
      <c r="F9429" t="s">
        <v>0</v>
      </c>
      <c r="G9429" t="str">
        <f>"2018-10-15 12:12:59"</f>
        <v>2018-10-15 12:12:59</v>
      </c>
    </row>
    <row r="9430" spans="1:7" x14ac:dyDescent="0.2">
      <c r="A9430" t="s">
        <v>9990</v>
      </c>
      <c r="B9430" t="str">
        <f>"13880933107"</f>
        <v>13880933107</v>
      </c>
      <c r="C9430" t="str">
        <f>"511002197403062544"</f>
        <v>511002197403062544</v>
      </c>
      <c r="D9430" t="s">
        <v>1</v>
      </c>
      <c r="E9430" t="s">
        <v>1</v>
      </c>
      <c r="F9430" t="s">
        <v>0</v>
      </c>
      <c r="G9430" t="str">
        <f>"2018-10-25 16:15:03"</f>
        <v>2018-10-25 16:15:03</v>
      </c>
    </row>
    <row r="9431" spans="1:7" x14ac:dyDescent="0.2">
      <c r="A9431" t="s">
        <v>1</v>
      </c>
      <c r="B9431" t="str">
        <f>"18031700477"</f>
        <v>18031700477</v>
      </c>
      <c r="C9431" t="s">
        <v>1</v>
      </c>
      <c r="D9431" t="s">
        <v>1</v>
      </c>
      <c r="E9431" t="s">
        <v>1</v>
      </c>
      <c r="F9431" t="s">
        <v>0</v>
      </c>
      <c r="G9431" t="str">
        <f>"2018-10-15 12:10:09"</f>
        <v>2018-10-15 12:10:09</v>
      </c>
    </row>
    <row r="9432" spans="1:7" x14ac:dyDescent="0.2">
      <c r="A9432" t="s">
        <v>259</v>
      </c>
      <c r="B9432" t="str">
        <f>"18745201726"</f>
        <v>18745201726</v>
      </c>
      <c r="C9432" t="str">
        <f>"230204199202171220"</f>
        <v>230204199202171220</v>
      </c>
      <c r="D9432" t="s">
        <v>1</v>
      </c>
      <c r="E9432" t="s">
        <v>1</v>
      </c>
      <c r="F9432" t="s">
        <v>0</v>
      </c>
      <c r="G9432" t="str">
        <f>"2018-10-24 12:51:30"</f>
        <v>2018-10-24 12:51:30</v>
      </c>
    </row>
    <row r="9433" spans="1:7" x14ac:dyDescent="0.2">
      <c r="A9433" t="s">
        <v>9991</v>
      </c>
      <c r="B9433" t="str">
        <f>"15825758350"</f>
        <v>15825758350</v>
      </c>
      <c r="C9433" t="str">
        <f>"522601198911252612"</f>
        <v>522601198911252612</v>
      </c>
      <c r="D9433" t="s">
        <v>1</v>
      </c>
      <c r="E9433" t="s">
        <v>1</v>
      </c>
      <c r="F9433" t="s">
        <v>0</v>
      </c>
      <c r="G9433" t="str">
        <f>"2018-10-20 15:59:03"</f>
        <v>2018-10-20 15:59:03</v>
      </c>
    </row>
    <row r="9434" spans="1:7" x14ac:dyDescent="0.2">
      <c r="A9434" t="s">
        <v>1</v>
      </c>
      <c r="B9434" t="str">
        <f>"13613742605"</f>
        <v>13613742605</v>
      </c>
      <c r="C9434" t="s">
        <v>1</v>
      </c>
      <c r="D9434" t="s">
        <v>1</v>
      </c>
      <c r="E9434" t="s">
        <v>1</v>
      </c>
      <c r="F9434" t="s">
        <v>0</v>
      </c>
      <c r="G9434" t="str">
        <f>"2018-10-15 12:09:04"</f>
        <v>2018-10-15 12:09:04</v>
      </c>
    </row>
    <row r="9435" spans="1:7" x14ac:dyDescent="0.2">
      <c r="A9435" t="s">
        <v>9992</v>
      </c>
      <c r="B9435" t="str">
        <f>"15539800002"</f>
        <v>15539800002</v>
      </c>
      <c r="C9435" t="str">
        <f>"411282198105011013"</f>
        <v>411282198105011013</v>
      </c>
      <c r="D9435" t="s">
        <v>1</v>
      </c>
      <c r="E9435" t="s">
        <v>1</v>
      </c>
      <c r="F9435" t="s">
        <v>0</v>
      </c>
      <c r="G9435" t="str">
        <f>"2018-10-15 12:10:00"</f>
        <v>2018-10-15 12:10:00</v>
      </c>
    </row>
    <row r="9436" spans="1:7" x14ac:dyDescent="0.2">
      <c r="A9436" t="s">
        <v>9993</v>
      </c>
      <c r="B9436" t="str">
        <f>"18235683978"</f>
        <v>18235683978</v>
      </c>
      <c r="C9436" t="str">
        <f>"140511199205084411"</f>
        <v>140511199205084411</v>
      </c>
      <c r="D9436" t="s">
        <v>9994</v>
      </c>
      <c r="E9436" t="s">
        <v>9995</v>
      </c>
      <c r="F9436" t="s">
        <v>0</v>
      </c>
      <c r="G9436" t="str">
        <f>"2018-10-15 12:23:02"</f>
        <v>2018-10-15 12:23:02</v>
      </c>
    </row>
    <row r="9437" spans="1:7" x14ac:dyDescent="0.2">
      <c r="A9437" t="s">
        <v>1</v>
      </c>
      <c r="B9437" t="str">
        <f>"15093050491"</f>
        <v>15093050491</v>
      </c>
      <c r="C9437" t="s">
        <v>1</v>
      </c>
      <c r="D9437" t="s">
        <v>1</v>
      </c>
      <c r="E9437" t="s">
        <v>1</v>
      </c>
      <c r="F9437" t="s">
        <v>0</v>
      </c>
      <c r="G9437" t="str">
        <f>"2018-10-15 12:08:19"</f>
        <v>2018-10-15 12:08:19</v>
      </c>
    </row>
    <row r="9438" spans="1:7" x14ac:dyDescent="0.2">
      <c r="A9438" t="s">
        <v>9996</v>
      </c>
      <c r="B9438" t="str">
        <f>"18954756656"</f>
        <v>18954756656</v>
      </c>
      <c r="C9438" t="str">
        <f>"372922198509030018"</f>
        <v>372922198509030018</v>
      </c>
      <c r="D9438" t="s">
        <v>1</v>
      </c>
      <c r="E9438" t="s">
        <v>1</v>
      </c>
      <c r="F9438" t="s">
        <v>0</v>
      </c>
      <c r="G9438" t="str">
        <f>"2018-10-15 12:09:16"</f>
        <v>2018-10-15 12:09:16</v>
      </c>
    </row>
    <row r="9439" spans="1:7" x14ac:dyDescent="0.2">
      <c r="A9439" t="s">
        <v>785</v>
      </c>
      <c r="B9439" t="str">
        <f>"15814745883"</f>
        <v>15814745883</v>
      </c>
      <c r="C9439" t="str">
        <f>"445202199009058358"</f>
        <v>445202199009058358</v>
      </c>
      <c r="D9439" t="s">
        <v>1</v>
      </c>
      <c r="E9439" t="s">
        <v>1</v>
      </c>
      <c r="F9439" t="s">
        <v>0</v>
      </c>
      <c r="G9439" t="str">
        <f>"2018-10-15 12:09:42"</f>
        <v>2018-10-15 12:09:42</v>
      </c>
    </row>
    <row r="9440" spans="1:7" x14ac:dyDescent="0.2">
      <c r="A9440" t="s">
        <v>157</v>
      </c>
      <c r="B9440" t="str">
        <f>"18462397557"</f>
        <v>18462397557</v>
      </c>
      <c r="C9440" t="str">
        <f>"372922198212094424"</f>
        <v>372922198212094424</v>
      </c>
      <c r="D9440" t="s">
        <v>9997</v>
      </c>
      <c r="E9440" t="s">
        <v>9998</v>
      </c>
      <c r="F9440" t="s">
        <v>0</v>
      </c>
      <c r="G9440" t="str">
        <f>"2018-10-15 12:09:14"</f>
        <v>2018-10-15 12:09:14</v>
      </c>
    </row>
    <row r="9441" spans="1:7" x14ac:dyDescent="0.2">
      <c r="A9441" t="s">
        <v>883</v>
      </c>
      <c r="B9441" t="str">
        <f>"13936429349"</f>
        <v>13936429349</v>
      </c>
      <c r="C9441" t="str">
        <f>"230105197803261928"</f>
        <v>230105197803261928</v>
      </c>
      <c r="D9441" t="s">
        <v>1</v>
      </c>
      <c r="E9441" t="s">
        <v>1</v>
      </c>
      <c r="F9441" t="s">
        <v>0</v>
      </c>
      <c r="G9441" t="str">
        <f>"2018-10-15 13:39:47"</f>
        <v>2018-10-15 13:39:47</v>
      </c>
    </row>
    <row r="9442" spans="1:7" x14ac:dyDescent="0.2">
      <c r="A9442" t="s">
        <v>1</v>
      </c>
      <c r="B9442" t="str">
        <f>"15530543025"</f>
        <v>15530543025</v>
      </c>
      <c r="C9442" t="s">
        <v>1</v>
      </c>
      <c r="D9442" t="s">
        <v>1</v>
      </c>
      <c r="E9442" t="s">
        <v>1</v>
      </c>
      <c r="F9442" t="s">
        <v>0</v>
      </c>
      <c r="G9442" t="str">
        <f>"2018-10-15 12:07:31"</f>
        <v>2018-10-15 12:07:31</v>
      </c>
    </row>
    <row r="9443" spans="1:7" x14ac:dyDescent="0.2">
      <c r="A9443" t="s">
        <v>1</v>
      </c>
      <c r="B9443" t="str">
        <f>"13907766430"</f>
        <v>13907766430</v>
      </c>
      <c r="C9443" t="s">
        <v>1</v>
      </c>
      <c r="D9443" t="s">
        <v>1</v>
      </c>
      <c r="E9443" t="s">
        <v>1</v>
      </c>
      <c r="F9443" t="s">
        <v>0</v>
      </c>
      <c r="G9443" t="str">
        <f>"2018-10-15 12:07:24"</f>
        <v>2018-10-15 12:07:24</v>
      </c>
    </row>
    <row r="9444" spans="1:7" x14ac:dyDescent="0.2">
      <c r="A9444" t="s">
        <v>1</v>
      </c>
      <c r="B9444" t="str">
        <f>"17708048559"</f>
        <v>17708048559</v>
      </c>
      <c r="C9444" t="s">
        <v>1</v>
      </c>
      <c r="D9444" t="s">
        <v>1</v>
      </c>
      <c r="E9444" t="s">
        <v>1</v>
      </c>
      <c r="F9444" t="s">
        <v>0</v>
      </c>
      <c r="G9444" t="str">
        <f>"2018-10-15 12:08:03"</f>
        <v>2018-10-15 12:08:03</v>
      </c>
    </row>
    <row r="9445" spans="1:7" x14ac:dyDescent="0.2">
      <c r="A9445" t="s">
        <v>1</v>
      </c>
      <c r="B9445" t="str">
        <f>"17557284826"</f>
        <v>17557284826</v>
      </c>
      <c r="C9445" t="s">
        <v>1</v>
      </c>
      <c r="D9445" t="s">
        <v>1</v>
      </c>
      <c r="E9445" t="s">
        <v>1</v>
      </c>
      <c r="F9445" t="s">
        <v>0</v>
      </c>
      <c r="G9445" t="str">
        <f>"2018-10-15 12:05:53"</f>
        <v>2018-10-15 12:05:53</v>
      </c>
    </row>
    <row r="9446" spans="1:7" x14ac:dyDescent="0.2">
      <c r="A9446" t="s">
        <v>9999</v>
      </c>
      <c r="B9446" t="str">
        <f>"13189024614"</f>
        <v>13189024614</v>
      </c>
      <c r="C9446" t="str">
        <f>"441424199602286330"</f>
        <v>441424199602286330</v>
      </c>
      <c r="D9446" t="s">
        <v>1</v>
      </c>
      <c r="E9446" t="s">
        <v>1</v>
      </c>
      <c r="F9446" t="s">
        <v>0</v>
      </c>
      <c r="G9446" t="str">
        <f>"2018-10-15 12:20:41"</f>
        <v>2018-10-15 12:20:41</v>
      </c>
    </row>
    <row r="9447" spans="1:7" x14ac:dyDescent="0.2">
      <c r="A9447" t="s">
        <v>10000</v>
      </c>
      <c r="B9447" t="str">
        <f>"17642142236"</f>
        <v>17642142236</v>
      </c>
      <c r="C9447" t="str">
        <f>"211322199210153538"</f>
        <v>211322199210153538</v>
      </c>
      <c r="D9447" t="s">
        <v>10001</v>
      </c>
      <c r="E9447" t="s">
        <v>10002</v>
      </c>
      <c r="F9447" t="s">
        <v>0</v>
      </c>
      <c r="G9447" t="str">
        <f>"2018-10-15 23:28:55"</f>
        <v>2018-10-15 23:28:55</v>
      </c>
    </row>
    <row r="9448" spans="1:7" x14ac:dyDescent="0.2">
      <c r="A9448" t="s">
        <v>1</v>
      </c>
      <c r="B9448" t="str">
        <f>"13595098996"</f>
        <v>13595098996</v>
      </c>
      <c r="C9448" t="s">
        <v>1</v>
      </c>
      <c r="D9448" t="s">
        <v>1</v>
      </c>
      <c r="E9448" t="s">
        <v>1</v>
      </c>
      <c r="F9448" t="s">
        <v>0</v>
      </c>
      <c r="G9448" t="str">
        <f>"2018-10-15 12:02:36"</f>
        <v>2018-10-15 12:02:36</v>
      </c>
    </row>
    <row r="9449" spans="1:7" x14ac:dyDescent="0.2">
      <c r="A9449" t="s">
        <v>10003</v>
      </c>
      <c r="B9449" t="str">
        <f>"15192238197"</f>
        <v>15192238197</v>
      </c>
      <c r="C9449" t="str">
        <f>"370682198907135024"</f>
        <v>370682198907135024</v>
      </c>
      <c r="D9449" t="s">
        <v>1</v>
      </c>
      <c r="E9449" t="s">
        <v>1</v>
      </c>
      <c r="F9449" t="s">
        <v>0</v>
      </c>
      <c r="G9449" t="str">
        <f>"2018-10-15 12:06:06"</f>
        <v>2018-10-15 12:06:06</v>
      </c>
    </row>
    <row r="9450" spans="1:7" x14ac:dyDescent="0.2">
      <c r="A9450" t="s">
        <v>915</v>
      </c>
      <c r="B9450" t="str">
        <f>"13697074670"</f>
        <v>13697074670</v>
      </c>
      <c r="C9450" t="str">
        <f>"360722199006130025"</f>
        <v>360722199006130025</v>
      </c>
      <c r="D9450" t="s">
        <v>1</v>
      </c>
      <c r="E9450" t="s">
        <v>1</v>
      </c>
      <c r="F9450" t="s">
        <v>0</v>
      </c>
      <c r="G9450" t="str">
        <f>"2018-10-15 12:06:42"</f>
        <v>2018-10-15 12:06:42</v>
      </c>
    </row>
    <row r="9451" spans="1:7" x14ac:dyDescent="0.2">
      <c r="A9451" t="s">
        <v>1</v>
      </c>
      <c r="B9451" t="str">
        <f>"15340877521"</f>
        <v>15340877521</v>
      </c>
      <c r="C9451" t="s">
        <v>1</v>
      </c>
      <c r="D9451" t="s">
        <v>1</v>
      </c>
      <c r="E9451" t="s">
        <v>1</v>
      </c>
      <c r="F9451" t="s">
        <v>0</v>
      </c>
      <c r="G9451" t="str">
        <f>"2018-10-15 12:02:10"</f>
        <v>2018-10-15 12:02:10</v>
      </c>
    </row>
    <row r="9452" spans="1:7" x14ac:dyDescent="0.2">
      <c r="A9452" t="s">
        <v>10004</v>
      </c>
      <c r="B9452" t="str">
        <f>"15255305695"</f>
        <v>15255305695</v>
      </c>
      <c r="C9452" t="str">
        <f>"340222198707051631"</f>
        <v>340222198707051631</v>
      </c>
      <c r="D9452" t="s">
        <v>10005</v>
      </c>
      <c r="E9452" t="s">
        <v>10006</v>
      </c>
      <c r="F9452" t="s">
        <v>0</v>
      </c>
      <c r="G9452" t="str">
        <f>"2018-10-15 12:06:27"</f>
        <v>2018-10-15 12:06:27</v>
      </c>
    </row>
    <row r="9453" spans="1:7" x14ac:dyDescent="0.2">
      <c r="A9453" t="s">
        <v>1</v>
      </c>
      <c r="B9453" t="str">
        <f>"13023916103"</f>
        <v>13023916103</v>
      </c>
      <c r="C9453" t="s">
        <v>1</v>
      </c>
      <c r="D9453" t="s">
        <v>1</v>
      </c>
      <c r="E9453" t="s">
        <v>1</v>
      </c>
      <c r="F9453" t="s">
        <v>0</v>
      </c>
      <c r="G9453" t="str">
        <f>"2018-10-15 12:01:26"</f>
        <v>2018-10-15 12:01:26</v>
      </c>
    </row>
    <row r="9454" spans="1:7" x14ac:dyDescent="0.2">
      <c r="A9454" t="s">
        <v>10007</v>
      </c>
      <c r="B9454" t="str">
        <f>"17711809235"</f>
        <v>17711809235</v>
      </c>
      <c r="C9454" t="str">
        <f>"640111198809123110"</f>
        <v>640111198809123110</v>
      </c>
      <c r="D9454" t="s">
        <v>1</v>
      </c>
      <c r="E9454" t="s">
        <v>1</v>
      </c>
      <c r="F9454" t="s">
        <v>0</v>
      </c>
      <c r="G9454" t="str">
        <f>"2018-10-15 12:01:19"</f>
        <v>2018-10-15 12:01:19</v>
      </c>
    </row>
    <row r="9455" spans="1:7" x14ac:dyDescent="0.2">
      <c r="A9455" t="s">
        <v>1</v>
      </c>
      <c r="B9455" t="str">
        <f>"14778588619"</f>
        <v>14778588619</v>
      </c>
      <c r="C9455" t="s">
        <v>1</v>
      </c>
      <c r="D9455" t="s">
        <v>1</v>
      </c>
      <c r="E9455" t="s">
        <v>1</v>
      </c>
      <c r="F9455" t="s">
        <v>0</v>
      </c>
      <c r="G9455" t="str">
        <f>"2018-10-15 12:01:14"</f>
        <v>2018-10-15 12:01:14</v>
      </c>
    </row>
    <row r="9456" spans="1:7" x14ac:dyDescent="0.2">
      <c r="A9456" t="s">
        <v>10008</v>
      </c>
      <c r="B9456" t="str">
        <f>"13998205418"</f>
        <v>13998205418</v>
      </c>
      <c r="C9456" t="str">
        <f>"220281198604217419"</f>
        <v>220281198604217419</v>
      </c>
      <c r="D9456" t="s">
        <v>1</v>
      </c>
      <c r="E9456" t="s">
        <v>1</v>
      </c>
      <c r="F9456" t="s">
        <v>0</v>
      </c>
      <c r="G9456" t="str">
        <f>"2018-10-15 12:00:42"</f>
        <v>2018-10-15 12:00:42</v>
      </c>
    </row>
    <row r="9457" spans="1:7" x14ac:dyDescent="0.2">
      <c r="A9457" t="s">
        <v>10009</v>
      </c>
      <c r="B9457" t="str">
        <f>"13529756365"</f>
        <v>13529756365</v>
      </c>
      <c r="C9457" t="str">
        <f>"530423198805070919"</f>
        <v>530423198805070919</v>
      </c>
      <c r="D9457" t="s">
        <v>1</v>
      </c>
      <c r="E9457" t="s">
        <v>1</v>
      </c>
      <c r="F9457" t="s">
        <v>0</v>
      </c>
      <c r="G9457" t="str">
        <f>"2018-10-15 12:01:44"</f>
        <v>2018-10-15 12:01:44</v>
      </c>
    </row>
    <row r="9458" spans="1:7" x14ac:dyDescent="0.2">
      <c r="A9458" t="s">
        <v>1</v>
      </c>
      <c r="B9458" t="str">
        <f>"13694754174"</f>
        <v>13694754174</v>
      </c>
      <c r="C9458" t="s">
        <v>1</v>
      </c>
      <c r="D9458" t="s">
        <v>1</v>
      </c>
      <c r="E9458" t="s">
        <v>1</v>
      </c>
      <c r="F9458" t="s">
        <v>0</v>
      </c>
      <c r="G9458" t="str">
        <f>"2018-10-15 12:00:00"</f>
        <v>2018-10-15 12:00:00</v>
      </c>
    </row>
    <row r="9459" spans="1:7" x14ac:dyDescent="0.2">
      <c r="A9459" t="s">
        <v>1</v>
      </c>
      <c r="B9459" t="str">
        <f>"13590145880"</f>
        <v>13590145880</v>
      </c>
      <c r="C9459" t="s">
        <v>1</v>
      </c>
      <c r="D9459" t="s">
        <v>1</v>
      </c>
      <c r="E9459" t="s">
        <v>1</v>
      </c>
      <c r="F9459" t="s">
        <v>0</v>
      </c>
      <c r="G9459" t="str">
        <f>"2018-10-15 11:59:52"</f>
        <v>2018-10-15 11:59:52</v>
      </c>
    </row>
    <row r="9460" spans="1:7" x14ac:dyDescent="0.2">
      <c r="A9460" t="s">
        <v>10010</v>
      </c>
      <c r="B9460" t="str">
        <f>"18727903987"</f>
        <v>18727903987</v>
      </c>
      <c r="C9460" t="str">
        <f>"420281198109222859"</f>
        <v>420281198109222859</v>
      </c>
      <c r="D9460" t="s">
        <v>1</v>
      </c>
      <c r="E9460" t="s">
        <v>1</v>
      </c>
      <c r="F9460" t="s">
        <v>0</v>
      </c>
      <c r="G9460" t="str">
        <f>"2018-10-15 13:23:18"</f>
        <v>2018-10-15 13:23:18</v>
      </c>
    </row>
    <row r="9461" spans="1:7" x14ac:dyDescent="0.2">
      <c r="A9461" t="s">
        <v>10011</v>
      </c>
      <c r="B9461" t="str">
        <f>"15047390705"</f>
        <v>15047390705</v>
      </c>
      <c r="C9461" t="str">
        <f>"152724197807150321"</f>
        <v>152724197807150321</v>
      </c>
      <c r="D9461" t="s">
        <v>1</v>
      </c>
      <c r="E9461" t="s">
        <v>1</v>
      </c>
      <c r="F9461" t="s">
        <v>0</v>
      </c>
      <c r="G9461" t="str">
        <f>"2018-10-15 12:02:00"</f>
        <v>2018-10-15 12:02:00</v>
      </c>
    </row>
    <row r="9462" spans="1:7" x14ac:dyDescent="0.2">
      <c r="A9462" t="s">
        <v>8808</v>
      </c>
      <c r="B9462" t="str">
        <f>"15030305458"</f>
        <v>15030305458</v>
      </c>
      <c r="C9462" t="str">
        <f>"130728199303160031"</f>
        <v>130728199303160031</v>
      </c>
      <c r="D9462" t="s">
        <v>1</v>
      </c>
      <c r="E9462" t="s">
        <v>1</v>
      </c>
      <c r="F9462" t="s">
        <v>0</v>
      </c>
      <c r="G9462" t="str">
        <f>"2018-10-15 11:59:20"</f>
        <v>2018-10-15 11:59:20</v>
      </c>
    </row>
    <row r="9463" spans="1:7" x14ac:dyDescent="0.2">
      <c r="A9463" t="s">
        <v>1</v>
      </c>
      <c r="B9463" t="str">
        <f>"13884534935"</f>
        <v>13884534935</v>
      </c>
      <c r="C9463" t="s">
        <v>1</v>
      </c>
      <c r="D9463" t="s">
        <v>1</v>
      </c>
      <c r="E9463" t="s">
        <v>1</v>
      </c>
      <c r="F9463" t="s">
        <v>0</v>
      </c>
      <c r="G9463" t="str">
        <f>"2018-10-15 11:57:52"</f>
        <v>2018-10-15 11:57:52</v>
      </c>
    </row>
    <row r="9464" spans="1:7" x14ac:dyDescent="0.2">
      <c r="A9464" t="s">
        <v>1</v>
      </c>
      <c r="B9464" t="str">
        <f>"18847894003"</f>
        <v>18847894003</v>
      </c>
      <c r="C9464" t="s">
        <v>1</v>
      </c>
      <c r="D9464" t="s">
        <v>1</v>
      </c>
      <c r="E9464" t="s">
        <v>1</v>
      </c>
      <c r="F9464" t="s">
        <v>0</v>
      </c>
      <c r="G9464" t="str">
        <f>"2018-10-15 11:57:28"</f>
        <v>2018-10-15 11:57:28</v>
      </c>
    </row>
    <row r="9465" spans="1:7" x14ac:dyDescent="0.2">
      <c r="A9465" t="s">
        <v>1</v>
      </c>
      <c r="B9465" t="str">
        <f>"13390738610"</f>
        <v>13390738610</v>
      </c>
      <c r="C9465" t="s">
        <v>1</v>
      </c>
      <c r="D9465" t="s">
        <v>1</v>
      </c>
      <c r="E9465" t="s">
        <v>1</v>
      </c>
      <c r="F9465" t="s">
        <v>0</v>
      </c>
      <c r="G9465" t="str">
        <f>"2018-10-15 11:57:25"</f>
        <v>2018-10-15 11:57:25</v>
      </c>
    </row>
    <row r="9466" spans="1:7" x14ac:dyDescent="0.2">
      <c r="A9466" t="s">
        <v>10012</v>
      </c>
      <c r="B9466" t="str">
        <f>"18111628061"</f>
        <v>18111628061</v>
      </c>
      <c r="C9466" t="str">
        <f>"510122198702248765"</f>
        <v>510122198702248765</v>
      </c>
      <c r="D9466" t="s">
        <v>1</v>
      </c>
      <c r="E9466" t="s">
        <v>1</v>
      </c>
      <c r="F9466" t="s">
        <v>0</v>
      </c>
      <c r="G9466" t="str">
        <f>"2018-10-15 12:36:42"</f>
        <v>2018-10-15 12:36:42</v>
      </c>
    </row>
    <row r="9467" spans="1:7" x14ac:dyDescent="0.2">
      <c r="A9467" t="s">
        <v>1</v>
      </c>
      <c r="B9467" t="str">
        <f>"17074975802"</f>
        <v>17074975802</v>
      </c>
      <c r="C9467" t="s">
        <v>1</v>
      </c>
      <c r="D9467" t="s">
        <v>1</v>
      </c>
      <c r="E9467" t="s">
        <v>1</v>
      </c>
      <c r="F9467" t="s">
        <v>0</v>
      </c>
      <c r="G9467" t="str">
        <f>"2018-10-15 11:56:55"</f>
        <v>2018-10-15 11:56:55</v>
      </c>
    </row>
    <row r="9468" spans="1:7" x14ac:dyDescent="0.2">
      <c r="A9468" t="s">
        <v>10013</v>
      </c>
      <c r="B9468" t="str">
        <f>"18270713836"</f>
        <v>18270713836</v>
      </c>
      <c r="C9468" t="str">
        <f>"362127198209130013"</f>
        <v>362127198209130013</v>
      </c>
      <c r="D9468" t="s">
        <v>1</v>
      </c>
      <c r="E9468" t="s">
        <v>1</v>
      </c>
      <c r="F9468" t="s">
        <v>0</v>
      </c>
      <c r="G9468" t="str">
        <f>"2018-10-15 11:58:22"</f>
        <v>2018-10-15 11:58:22</v>
      </c>
    </row>
    <row r="9469" spans="1:7" x14ac:dyDescent="0.2">
      <c r="A9469" t="s">
        <v>180</v>
      </c>
      <c r="B9469" t="str">
        <f>"15287872909"</f>
        <v>15287872909</v>
      </c>
      <c r="C9469" t="str">
        <f>"532225199403160362"</f>
        <v>532225199403160362</v>
      </c>
      <c r="D9469" t="s">
        <v>1</v>
      </c>
      <c r="E9469" t="s">
        <v>1</v>
      </c>
      <c r="F9469" t="s">
        <v>0</v>
      </c>
      <c r="G9469" t="str">
        <f>"2018-10-15 14:44:44"</f>
        <v>2018-10-15 14:44:44</v>
      </c>
    </row>
    <row r="9470" spans="1:7" x14ac:dyDescent="0.2">
      <c r="A9470" t="s">
        <v>10014</v>
      </c>
      <c r="B9470" t="str">
        <f>"15017490753"</f>
        <v>15017490753</v>
      </c>
      <c r="C9470" t="str">
        <f>"441421198802204017"</f>
        <v>441421198802204017</v>
      </c>
      <c r="D9470" t="s">
        <v>1</v>
      </c>
      <c r="E9470" t="s">
        <v>1</v>
      </c>
      <c r="F9470" t="s">
        <v>0</v>
      </c>
      <c r="G9470" t="str">
        <f>"2018-10-15 11:58:38"</f>
        <v>2018-10-15 11:58:38</v>
      </c>
    </row>
    <row r="9471" spans="1:7" x14ac:dyDescent="0.2">
      <c r="A9471" t="s">
        <v>10015</v>
      </c>
      <c r="B9471" t="str">
        <f>"15025862176"</f>
        <v>15025862176</v>
      </c>
      <c r="C9471" t="str">
        <f>"622424199707115516"</f>
        <v>622424199707115516</v>
      </c>
      <c r="D9471" t="s">
        <v>10016</v>
      </c>
      <c r="E9471" t="s">
        <v>10017</v>
      </c>
      <c r="F9471" t="s">
        <v>0</v>
      </c>
      <c r="G9471" t="str">
        <f>"2018-10-15 11:57:36"</f>
        <v>2018-10-15 11:57:36</v>
      </c>
    </row>
    <row r="9472" spans="1:7" x14ac:dyDescent="0.2">
      <c r="A9472" t="s">
        <v>10018</v>
      </c>
      <c r="B9472" t="str">
        <f>"17732134733"</f>
        <v>17732134733</v>
      </c>
      <c r="C9472" t="str">
        <f>"130124199007080936"</f>
        <v>130124199007080936</v>
      </c>
      <c r="D9472" t="s">
        <v>1</v>
      </c>
      <c r="E9472" t="s">
        <v>1</v>
      </c>
      <c r="F9472" t="s">
        <v>0</v>
      </c>
      <c r="G9472" t="str">
        <f>"2018-10-15 11:55:05"</f>
        <v>2018-10-15 11:55:05</v>
      </c>
    </row>
    <row r="9473" spans="1:7" x14ac:dyDescent="0.2">
      <c r="A9473" t="s">
        <v>10019</v>
      </c>
      <c r="B9473" t="str">
        <f>"15973114695"</f>
        <v>15973114695</v>
      </c>
      <c r="C9473" t="str">
        <f>"432301197708170010"</f>
        <v>432301197708170010</v>
      </c>
      <c r="D9473" t="s">
        <v>10020</v>
      </c>
      <c r="E9473" t="s">
        <v>10021</v>
      </c>
      <c r="F9473" t="s">
        <v>0</v>
      </c>
      <c r="G9473" t="str">
        <f>"2018-10-16 12:20:03"</f>
        <v>2018-10-16 12:20:03</v>
      </c>
    </row>
    <row r="9474" spans="1:7" x14ac:dyDescent="0.2">
      <c r="A9474" t="s">
        <v>1</v>
      </c>
      <c r="B9474" t="str">
        <f>"13888660977"</f>
        <v>13888660977</v>
      </c>
      <c r="C9474" t="s">
        <v>1</v>
      </c>
      <c r="D9474" t="s">
        <v>1</v>
      </c>
      <c r="E9474" t="s">
        <v>1</v>
      </c>
      <c r="F9474" t="s">
        <v>0</v>
      </c>
      <c r="G9474" t="str">
        <f>"2018-10-15 11:54:38"</f>
        <v>2018-10-15 11:54:38</v>
      </c>
    </row>
    <row r="9475" spans="1:7" x14ac:dyDescent="0.2">
      <c r="A9475" t="s">
        <v>1</v>
      </c>
      <c r="B9475" t="str">
        <f>"17635431284"</f>
        <v>17635431284</v>
      </c>
      <c r="C9475" t="s">
        <v>1</v>
      </c>
      <c r="D9475" t="s">
        <v>1</v>
      </c>
      <c r="E9475" t="s">
        <v>1</v>
      </c>
      <c r="F9475" t="s">
        <v>0</v>
      </c>
      <c r="G9475" t="str">
        <f>"2018-10-15 11:54:04"</f>
        <v>2018-10-15 11:54:04</v>
      </c>
    </row>
    <row r="9476" spans="1:7" x14ac:dyDescent="0.2">
      <c r="A9476" t="s">
        <v>1</v>
      </c>
      <c r="B9476" t="str">
        <f>"17156996435"</f>
        <v>17156996435</v>
      </c>
      <c r="C9476" t="s">
        <v>1</v>
      </c>
      <c r="D9476" t="s">
        <v>1</v>
      </c>
      <c r="E9476" t="s">
        <v>1</v>
      </c>
      <c r="F9476" t="s">
        <v>0</v>
      </c>
      <c r="G9476" t="str">
        <f>"2018-10-15 11:53:30"</f>
        <v>2018-10-15 11:53:30</v>
      </c>
    </row>
    <row r="9477" spans="1:7" x14ac:dyDescent="0.2">
      <c r="A9477" t="s">
        <v>10022</v>
      </c>
      <c r="B9477" t="str">
        <f>"13739524760"</f>
        <v>13739524760</v>
      </c>
      <c r="C9477" t="str">
        <f>"642123197502071005"</f>
        <v>642123197502071005</v>
      </c>
      <c r="D9477" t="s">
        <v>1</v>
      </c>
      <c r="E9477" t="s">
        <v>1</v>
      </c>
      <c r="F9477" t="s">
        <v>0</v>
      </c>
      <c r="G9477" t="str">
        <f>"2018-10-15 13:35:22"</f>
        <v>2018-10-15 13:35:22</v>
      </c>
    </row>
    <row r="9478" spans="1:7" x14ac:dyDescent="0.2">
      <c r="A9478" t="s">
        <v>10023</v>
      </c>
      <c r="B9478" t="str">
        <f>"13664469303"</f>
        <v>13664469303</v>
      </c>
      <c r="C9478" t="str">
        <f>"220802199811073376"</f>
        <v>220802199811073376</v>
      </c>
      <c r="D9478" t="s">
        <v>1</v>
      </c>
      <c r="E9478" t="s">
        <v>1</v>
      </c>
      <c r="F9478" t="s">
        <v>0</v>
      </c>
      <c r="G9478" t="str">
        <f>"2018-10-15 11:56:04"</f>
        <v>2018-10-15 11:56:04</v>
      </c>
    </row>
    <row r="9479" spans="1:7" x14ac:dyDescent="0.2">
      <c r="A9479" t="s">
        <v>10024</v>
      </c>
      <c r="B9479" t="str">
        <f>"13278799856"</f>
        <v>13278799856</v>
      </c>
      <c r="C9479" t="str">
        <f>"530324198911271723"</f>
        <v>530324198911271723</v>
      </c>
      <c r="D9479" t="s">
        <v>1</v>
      </c>
      <c r="E9479" t="s">
        <v>1</v>
      </c>
      <c r="F9479" t="s">
        <v>0</v>
      </c>
      <c r="G9479" t="str">
        <f>"2018-10-15 14:42:55"</f>
        <v>2018-10-15 14:42:55</v>
      </c>
    </row>
    <row r="9480" spans="1:7" x14ac:dyDescent="0.2">
      <c r="A9480" t="s">
        <v>10025</v>
      </c>
      <c r="B9480" t="str">
        <f>"13734341330"</f>
        <v>13734341330</v>
      </c>
      <c r="C9480" t="str">
        <f>"371421199504035979"</f>
        <v>371421199504035979</v>
      </c>
      <c r="D9480" t="s">
        <v>10026</v>
      </c>
      <c r="E9480" t="s">
        <v>10027</v>
      </c>
      <c r="F9480" t="s">
        <v>0</v>
      </c>
      <c r="G9480" t="str">
        <f>"2018-10-15 11:52:43"</f>
        <v>2018-10-15 11:52:43</v>
      </c>
    </row>
    <row r="9481" spans="1:7" x14ac:dyDescent="0.2">
      <c r="A9481" t="s">
        <v>10028</v>
      </c>
      <c r="B9481" t="str">
        <f>"15837529714"</f>
        <v>15837529714</v>
      </c>
      <c r="C9481" t="str">
        <f>"410482198811309319"</f>
        <v>410482198811309319</v>
      </c>
      <c r="D9481" t="s">
        <v>1</v>
      </c>
      <c r="E9481" t="s">
        <v>1</v>
      </c>
      <c r="F9481" t="s">
        <v>0</v>
      </c>
      <c r="G9481" t="str">
        <f>"2018-10-15 11:55:37"</f>
        <v>2018-10-15 11:55:37</v>
      </c>
    </row>
    <row r="9482" spans="1:7" x14ac:dyDescent="0.2">
      <c r="A9482" t="s">
        <v>10029</v>
      </c>
      <c r="B9482" t="str">
        <f>"13294137348"</f>
        <v>13294137348</v>
      </c>
      <c r="C9482" t="str">
        <f>"420984198309015341"</f>
        <v>420984198309015341</v>
      </c>
      <c r="D9482" t="s">
        <v>1</v>
      </c>
      <c r="E9482" t="s">
        <v>1</v>
      </c>
      <c r="F9482" t="s">
        <v>0</v>
      </c>
      <c r="G9482" t="str">
        <f>"2018-10-22 15:49:56"</f>
        <v>2018-10-22 15:49:56</v>
      </c>
    </row>
    <row r="9483" spans="1:7" x14ac:dyDescent="0.2">
      <c r="A9483" t="s">
        <v>126</v>
      </c>
      <c r="B9483" t="str">
        <f>"18263676756"</f>
        <v>18263676756</v>
      </c>
      <c r="C9483" t="str">
        <f>"230506198007190033"</f>
        <v>230506198007190033</v>
      </c>
      <c r="D9483" t="s">
        <v>1</v>
      </c>
      <c r="E9483" t="s">
        <v>1</v>
      </c>
      <c r="F9483" t="s">
        <v>0</v>
      </c>
      <c r="G9483" t="str">
        <f>"2018-10-15 11:53:10"</f>
        <v>2018-10-15 11:53:10</v>
      </c>
    </row>
    <row r="9484" spans="1:7" x14ac:dyDescent="0.2">
      <c r="A9484" t="s">
        <v>1</v>
      </c>
      <c r="B9484" t="str">
        <f>"15671493011"</f>
        <v>15671493011</v>
      </c>
      <c r="C9484" t="s">
        <v>1</v>
      </c>
      <c r="D9484" t="s">
        <v>1</v>
      </c>
      <c r="E9484" t="s">
        <v>1</v>
      </c>
      <c r="F9484" t="s">
        <v>0</v>
      </c>
      <c r="G9484" t="str">
        <f>"2018-10-15 11:49:12"</f>
        <v>2018-10-15 11:49:12</v>
      </c>
    </row>
    <row r="9485" spans="1:7" x14ac:dyDescent="0.2">
      <c r="A9485" t="s">
        <v>1</v>
      </c>
      <c r="B9485" t="str">
        <f>"15176361402"</f>
        <v>15176361402</v>
      </c>
      <c r="C9485" t="s">
        <v>1</v>
      </c>
      <c r="D9485" t="s">
        <v>1</v>
      </c>
      <c r="E9485" t="s">
        <v>1</v>
      </c>
      <c r="F9485" t="s">
        <v>0</v>
      </c>
      <c r="G9485" t="str">
        <f>"2018-10-15 11:49:12"</f>
        <v>2018-10-15 11:49:12</v>
      </c>
    </row>
    <row r="9486" spans="1:7" x14ac:dyDescent="0.2">
      <c r="A9486" t="s">
        <v>727</v>
      </c>
      <c r="B9486" t="str">
        <f>"18616500662"</f>
        <v>18616500662</v>
      </c>
      <c r="C9486" t="str">
        <f>"310108198505023829"</f>
        <v>310108198505023829</v>
      </c>
      <c r="D9486" t="s">
        <v>1</v>
      </c>
      <c r="E9486" t="s">
        <v>1</v>
      </c>
      <c r="F9486" t="s">
        <v>0</v>
      </c>
      <c r="G9486" t="str">
        <f>"2018-10-15 11:49:11"</f>
        <v>2018-10-15 11:49:11</v>
      </c>
    </row>
    <row r="9487" spans="1:7" x14ac:dyDescent="0.2">
      <c r="A9487" t="s">
        <v>10030</v>
      </c>
      <c r="B9487" t="str">
        <f>"13657710141"</f>
        <v>13657710141</v>
      </c>
      <c r="C9487" t="str">
        <f>"450121199404042445"</f>
        <v>450121199404042445</v>
      </c>
      <c r="D9487" t="s">
        <v>1</v>
      </c>
      <c r="E9487" t="s">
        <v>1</v>
      </c>
      <c r="F9487" t="s">
        <v>0</v>
      </c>
      <c r="G9487" t="str">
        <f>"2018-10-15 15:11:54"</f>
        <v>2018-10-15 15:11:54</v>
      </c>
    </row>
    <row r="9488" spans="1:7" x14ac:dyDescent="0.2">
      <c r="A9488" t="s">
        <v>10031</v>
      </c>
      <c r="B9488" t="str">
        <f>"15120252540"</f>
        <v>15120252540</v>
      </c>
      <c r="C9488" t="str">
        <f>"522128198908190038"</f>
        <v>522128198908190038</v>
      </c>
      <c r="D9488" t="s">
        <v>1</v>
      </c>
      <c r="E9488" t="s">
        <v>1</v>
      </c>
      <c r="F9488" t="s">
        <v>0</v>
      </c>
      <c r="G9488" t="str">
        <f>"2018-10-15 11:52:09"</f>
        <v>2018-10-15 11:52:09</v>
      </c>
    </row>
    <row r="9489" spans="1:7" x14ac:dyDescent="0.2">
      <c r="A9489" t="s">
        <v>1</v>
      </c>
      <c r="B9489" t="str">
        <f>"18016796726"</f>
        <v>18016796726</v>
      </c>
      <c r="C9489" t="s">
        <v>1</v>
      </c>
      <c r="D9489" t="s">
        <v>1</v>
      </c>
      <c r="E9489" t="s">
        <v>1</v>
      </c>
      <c r="F9489" t="s">
        <v>0</v>
      </c>
      <c r="G9489" t="str">
        <f>"2018-10-15 11:51:33"</f>
        <v>2018-10-15 11:51:33</v>
      </c>
    </row>
    <row r="9490" spans="1:7" x14ac:dyDescent="0.2">
      <c r="A9490" t="s">
        <v>1</v>
      </c>
      <c r="B9490" t="str">
        <f>"18754616024"</f>
        <v>18754616024</v>
      </c>
      <c r="C9490" t="s">
        <v>1</v>
      </c>
      <c r="D9490" t="s">
        <v>1</v>
      </c>
      <c r="E9490" t="s">
        <v>1</v>
      </c>
      <c r="F9490" t="s">
        <v>0</v>
      </c>
      <c r="G9490" t="str">
        <f>"2018-10-15 11:48:16"</f>
        <v>2018-10-15 11:48:16</v>
      </c>
    </row>
    <row r="9491" spans="1:7" x14ac:dyDescent="0.2">
      <c r="A9491" t="s">
        <v>2552</v>
      </c>
      <c r="B9491" t="str">
        <f>"15245455314"</f>
        <v>15245455314</v>
      </c>
      <c r="C9491" t="str">
        <f>"340404199307192614"</f>
        <v>340404199307192614</v>
      </c>
      <c r="D9491" t="s">
        <v>1</v>
      </c>
      <c r="E9491" t="s">
        <v>1</v>
      </c>
      <c r="F9491" t="s">
        <v>0</v>
      </c>
      <c r="G9491" t="str">
        <f>"2018-10-15 11:57:02"</f>
        <v>2018-10-15 11:57:02</v>
      </c>
    </row>
    <row r="9492" spans="1:7" x14ac:dyDescent="0.2">
      <c r="A9492" t="s">
        <v>10032</v>
      </c>
      <c r="B9492" t="str">
        <f>"13534082270"</f>
        <v>13534082270</v>
      </c>
      <c r="C9492" t="str">
        <f>"42082119951013563X"</f>
        <v>42082119951013563X</v>
      </c>
      <c r="D9492" t="s">
        <v>1</v>
      </c>
      <c r="E9492" t="s">
        <v>1</v>
      </c>
      <c r="F9492" t="s">
        <v>0</v>
      </c>
      <c r="G9492" t="str">
        <f>"2018-10-15 11:49:52"</f>
        <v>2018-10-15 11:49:52</v>
      </c>
    </row>
    <row r="9493" spans="1:7" x14ac:dyDescent="0.2">
      <c r="A9493" t="s">
        <v>1</v>
      </c>
      <c r="B9493" t="str">
        <f>"17851371818"</f>
        <v>17851371818</v>
      </c>
      <c r="C9493" t="s">
        <v>1</v>
      </c>
      <c r="D9493" t="s">
        <v>1</v>
      </c>
      <c r="E9493" t="s">
        <v>1</v>
      </c>
      <c r="F9493" t="s">
        <v>0</v>
      </c>
      <c r="G9493" t="str">
        <f>"2018-10-15 11:56:25"</f>
        <v>2018-10-15 11:56:25</v>
      </c>
    </row>
    <row r="9494" spans="1:7" x14ac:dyDescent="0.2">
      <c r="A9494" t="s">
        <v>10033</v>
      </c>
      <c r="B9494" t="str">
        <f>"13229005217"</f>
        <v>13229005217</v>
      </c>
      <c r="C9494" t="str">
        <f>"450330199907302314"</f>
        <v>450330199907302314</v>
      </c>
      <c r="D9494" t="s">
        <v>1</v>
      </c>
      <c r="E9494" t="s">
        <v>1</v>
      </c>
      <c r="F9494" t="s">
        <v>0</v>
      </c>
      <c r="G9494" t="str">
        <f>"2018-10-15 11:46:00"</f>
        <v>2018-10-15 11:46:00</v>
      </c>
    </row>
    <row r="9495" spans="1:7" x14ac:dyDescent="0.2">
      <c r="A9495" t="s">
        <v>10034</v>
      </c>
      <c r="B9495" t="str">
        <f>"18985446997"</f>
        <v>18985446997</v>
      </c>
      <c r="C9495" t="str">
        <f>"522726197503260910"</f>
        <v>522726197503260910</v>
      </c>
      <c r="D9495" t="s">
        <v>1</v>
      </c>
      <c r="E9495" t="s">
        <v>1</v>
      </c>
      <c r="F9495" t="s">
        <v>0</v>
      </c>
      <c r="G9495" t="str">
        <f>"2018-10-15 11:48:08"</f>
        <v>2018-10-15 11:48:08</v>
      </c>
    </row>
    <row r="9496" spans="1:7" x14ac:dyDescent="0.2">
      <c r="A9496" t="s">
        <v>1</v>
      </c>
      <c r="B9496" t="str">
        <f>"13632884800"</f>
        <v>13632884800</v>
      </c>
      <c r="C9496" t="s">
        <v>1</v>
      </c>
      <c r="D9496" t="s">
        <v>1</v>
      </c>
      <c r="E9496" t="s">
        <v>1</v>
      </c>
      <c r="F9496" t="s">
        <v>0</v>
      </c>
      <c r="G9496" t="str">
        <f>"2018-10-15 11:45:55"</f>
        <v>2018-10-15 11:45:55</v>
      </c>
    </row>
    <row r="9497" spans="1:7" x14ac:dyDescent="0.2">
      <c r="A9497" t="s">
        <v>1</v>
      </c>
      <c r="B9497" t="str">
        <f>"18703800014"</f>
        <v>18703800014</v>
      </c>
      <c r="C9497" t="s">
        <v>1</v>
      </c>
      <c r="D9497" t="s">
        <v>1</v>
      </c>
      <c r="E9497" t="s">
        <v>1</v>
      </c>
      <c r="F9497" t="s">
        <v>0</v>
      </c>
      <c r="G9497" t="str">
        <f>"2018-10-15 11:45:30"</f>
        <v>2018-10-15 11:45:30</v>
      </c>
    </row>
    <row r="9498" spans="1:7" x14ac:dyDescent="0.2">
      <c r="A9498" t="s">
        <v>1</v>
      </c>
      <c r="B9498" t="str">
        <f>"18103297887"</f>
        <v>18103297887</v>
      </c>
      <c r="C9498" t="s">
        <v>1</v>
      </c>
      <c r="D9498" t="s">
        <v>1</v>
      </c>
      <c r="E9498" t="s">
        <v>1</v>
      </c>
      <c r="F9498" t="s">
        <v>0</v>
      </c>
      <c r="G9498" t="str">
        <f>"2018-10-15 11:45:12"</f>
        <v>2018-10-15 11:45:12</v>
      </c>
    </row>
    <row r="9499" spans="1:7" x14ac:dyDescent="0.2">
      <c r="A9499" t="s">
        <v>10035</v>
      </c>
      <c r="B9499" t="str">
        <f>"13653821993"</f>
        <v>13653821993</v>
      </c>
      <c r="C9499" t="str">
        <f>"341204199704091817"</f>
        <v>341204199704091817</v>
      </c>
      <c r="D9499" t="s">
        <v>1</v>
      </c>
      <c r="E9499" t="s">
        <v>1</v>
      </c>
      <c r="F9499" t="s">
        <v>0</v>
      </c>
      <c r="G9499" t="str">
        <f>"2018-10-15 11:46:06"</f>
        <v>2018-10-15 11:46:06</v>
      </c>
    </row>
    <row r="9500" spans="1:7" x14ac:dyDescent="0.2">
      <c r="A9500" t="s">
        <v>9461</v>
      </c>
      <c r="B9500" t="str">
        <f>"15135106335"</f>
        <v>15135106335</v>
      </c>
      <c r="C9500" t="str">
        <f>"140225198412074715"</f>
        <v>140225198412074715</v>
      </c>
      <c r="D9500" t="s">
        <v>1</v>
      </c>
      <c r="E9500" t="s">
        <v>1</v>
      </c>
      <c r="F9500" t="s">
        <v>0</v>
      </c>
      <c r="G9500" t="str">
        <f>"2018-10-15 11:45:31"</f>
        <v>2018-10-15 11:45:31</v>
      </c>
    </row>
    <row r="9501" spans="1:7" x14ac:dyDescent="0.2">
      <c r="A9501" t="s">
        <v>10036</v>
      </c>
      <c r="B9501" t="str">
        <f>"18794272224"</f>
        <v>18794272224</v>
      </c>
      <c r="C9501" t="str">
        <f>"622427199303094711"</f>
        <v>622427199303094711</v>
      </c>
      <c r="D9501" t="s">
        <v>1</v>
      </c>
      <c r="E9501" t="s">
        <v>1</v>
      </c>
      <c r="F9501" t="s">
        <v>0</v>
      </c>
      <c r="G9501" t="str">
        <f>"2018-10-15 11:44:06"</f>
        <v>2018-10-15 11:44:06</v>
      </c>
    </row>
    <row r="9502" spans="1:7" x14ac:dyDescent="0.2">
      <c r="A9502" t="s">
        <v>10037</v>
      </c>
      <c r="B9502" t="str">
        <f>"13131723033"</f>
        <v>13131723033</v>
      </c>
      <c r="C9502" t="str">
        <f>"13098419900315423X"</f>
        <v>13098419900315423X</v>
      </c>
      <c r="D9502" t="s">
        <v>10038</v>
      </c>
      <c r="E9502" t="s">
        <v>10039</v>
      </c>
      <c r="F9502" t="s">
        <v>0</v>
      </c>
      <c r="G9502" t="str">
        <f>"2018-10-15 12:32:00"</f>
        <v>2018-10-15 12:32:00</v>
      </c>
    </row>
    <row r="9503" spans="1:7" x14ac:dyDescent="0.2">
      <c r="A9503" t="s">
        <v>10040</v>
      </c>
      <c r="B9503" t="str">
        <f>"13159813839"</f>
        <v>13159813839</v>
      </c>
      <c r="C9503" t="str">
        <f>"23230319920414581X"</f>
        <v>23230319920414581X</v>
      </c>
      <c r="D9503" t="s">
        <v>10041</v>
      </c>
      <c r="E9503" t="s">
        <v>10042</v>
      </c>
      <c r="F9503" t="s">
        <v>0</v>
      </c>
      <c r="G9503" t="str">
        <f>"2018-10-15 11:44:53"</f>
        <v>2018-10-15 11:44:53</v>
      </c>
    </row>
    <row r="9504" spans="1:7" x14ac:dyDescent="0.2">
      <c r="A9504" t="s">
        <v>1</v>
      </c>
      <c r="B9504" t="str">
        <f>"18547162197"</f>
        <v>18547162197</v>
      </c>
      <c r="C9504" t="s">
        <v>1</v>
      </c>
      <c r="D9504" t="s">
        <v>1</v>
      </c>
      <c r="E9504" t="s">
        <v>1</v>
      </c>
      <c r="F9504" t="s">
        <v>0</v>
      </c>
      <c r="G9504" t="str">
        <f>"2018-10-15 11:43:12"</f>
        <v>2018-10-15 11:43:12</v>
      </c>
    </row>
    <row r="9505" spans="1:7" x14ac:dyDescent="0.2">
      <c r="A9505" t="s">
        <v>10043</v>
      </c>
      <c r="B9505" t="str">
        <f>"13333911017"</f>
        <v>13333911017</v>
      </c>
      <c r="C9505" t="str">
        <f>"410882199208175076"</f>
        <v>410882199208175076</v>
      </c>
      <c r="D9505" t="s">
        <v>1</v>
      </c>
      <c r="E9505" t="s">
        <v>1</v>
      </c>
      <c r="F9505" t="s">
        <v>0</v>
      </c>
      <c r="G9505" t="str">
        <f>"2018-10-16 09:53:06"</f>
        <v>2018-10-16 09:53:06</v>
      </c>
    </row>
    <row r="9506" spans="1:7" x14ac:dyDescent="0.2">
      <c r="A9506" t="s">
        <v>10044</v>
      </c>
      <c r="B9506" t="str">
        <f>"15809619556"</f>
        <v>15809619556</v>
      </c>
      <c r="C9506" t="str">
        <f>"64011119850423061X"</f>
        <v>64011119850423061X</v>
      </c>
      <c r="D9506" t="s">
        <v>1</v>
      </c>
      <c r="E9506" t="s">
        <v>1</v>
      </c>
      <c r="F9506" t="s">
        <v>0</v>
      </c>
      <c r="G9506" t="str">
        <f>"2018-10-15 11:43:36"</f>
        <v>2018-10-15 11:43:36</v>
      </c>
    </row>
    <row r="9507" spans="1:7" x14ac:dyDescent="0.2">
      <c r="A9507" t="s">
        <v>10045</v>
      </c>
      <c r="B9507" t="str">
        <f>"18652159731"</f>
        <v>18652159731</v>
      </c>
      <c r="C9507" t="str">
        <f>"34222219971018081X"</f>
        <v>34222219971018081X</v>
      </c>
      <c r="D9507" t="s">
        <v>10046</v>
      </c>
      <c r="E9507" t="s">
        <v>10047</v>
      </c>
      <c r="F9507" t="s">
        <v>0</v>
      </c>
      <c r="G9507" t="str">
        <f>"2018-10-21 11:27:34"</f>
        <v>2018-10-21 11:27:34</v>
      </c>
    </row>
    <row r="9508" spans="1:7" x14ac:dyDescent="0.2">
      <c r="A9508" t="s">
        <v>1</v>
      </c>
      <c r="B9508" t="str">
        <f>"17101670743"</f>
        <v>17101670743</v>
      </c>
      <c r="C9508" t="s">
        <v>1</v>
      </c>
      <c r="D9508" t="s">
        <v>1</v>
      </c>
      <c r="E9508" t="s">
        <v>1</v>
      </c>
      <c r="F9508" t="s">
        <v>0</v>
      </c>
      <c r="G9508" t="str">
        <f>"2018-10-15 11:39:45"</f>
        <v>2018-10-15 11:39:45</v>
      </c>
    </row>
    <row r="9509" spans="1:7" x14ac:dyDescent="0.2">
      <c r="A9509" t="s">
        <v>10048</v>
      </c>
      <c r="B9509" t="str">
        <f>"18716415001"</f>
        <v>18716415001</v>
      </c>
      <c r="C9509" t="str">
        <f>"500231199701084871"</f>
        <v>500231199701084871</v>
      </c>
      <c r="D9509" t="s">
        <v>1</v>
      </c>
      <c r="E9509" t="s">
        <v>1</v>
      </c>
      <c r="F9509" t="s">
        <v>0</v>
      </c>
      <c r="G9509" t="str">
        <f>"2018-10-15 11:40:46"</f>
        <v>2018-10-15 11:40:46</v>
      </c>
    </row>
    <row r="9510" spans="1:7" x14ac:dyDescent="0.2">
      <c r="A9510" t="s">
        <v>10049</v>
      </c>
      <c r="B9510" t="str">
        <f>"13609159300"</f>
        <v>13609159300</v>
      </c>
      <c r="C9510" t="str">
        <f>"610121198603297999"</f>
        <v>610121198603297999</v>
      </c>
      <c r="D9510" t="s">
        <v>1</v>
      </c>
      <c r="E9510" t="s">
        <v>1</v>
      </c>
      <c r="F9510" t="s">
        <v>0</v>
      </c>
      <c r="G9510" t="str">
        <f>"2018-10-15 11:51:27"</f>
        <v>2018-10-15 11:51:27</v>
      </c>
    </row>
    <row r="9511" spans="1:7" x14ac:dyDescent="0.2">
      <c r="A9511" t="s">
        <v>10050</v>
      </c>
      <c r="B9511" t="str">
        <f>"15983146339"</f>
        <v>15983146339</v>
      </c>
      <c r="C9511" t="str">
        <f>"511526198804181598"</f>
        <v>511526198804181598</v>
      </c>
      <c r="D9511" t="s">
        <v>1</v>
      </c>
      <c r="E9511" t="s">
        <v>1</v>
      </c>
      <c r="F9511" t="s">
        <v>0</v>
      </c>
      <c r="G9511" t="str">
        <f>"2018-10-15 11:40:16"</f>
        <v>2018-10-15 11:40:16</v>
      </c>
    </row>
    <row r="9512" spans="1:7" x14ac:dyDescent="0.2">
      <c r="A9512" t="s">
        <v>1</v>
      </c>
      <c r="B9512" t="str">
        <f>"18961948090"</f>
        <v>18961948090</v>
      </c>
      <c r="C9512" t="s">
        <v>1</v>
      </c>
      <c r="D9512" t="s">
        <v>1</v>
      </c>
      <c r="E9512" t="s">
        <v>1</v>
      </c>
      <c r="F9512" t="s">
        <v>0</v>
      </c>
      <c r="G9512" t="str">
        <f>"2018-10-15 11:37:10"</f>
        <v>2018-10-15 11:37:10</v>
      </c>
    </row>
    <row r="9513" spans="1:7" x14ac:dyDescent="0.2">
      <c r="A9513" t="s">
        <v>10051</v>
      </c>
      <c r="B9513" t="str">
        <f>"18437865555"</f>
        <v>18437865555</v>
      </c>
      <c r="C9513" t="str">
        <f>"410202198905120514"</f>
        <v>410202198905120514</v>
      </c>
      <c r="D9513" t="s">
        <v>1</v>
      </c>
      <c r="E9513" t="s">
        <v>1</v>
      </c>
      <c r="F9513" t="s">
        <v>0</v>
      </c>
      <c r="G9513" t="str">
        <f>"2018-10-21 02:32:43"</f>
        <v>2018-10-21 02:32:43</v>
      </c>
    </row>
    <row r="9514" spans="1:7" x14ac:dyDescent="0.2">
      <c r="A9514" t="s">
        <v>1</v>
      </c>
      <c r="B9514" t="str">
        <f>"15775810706"</f>
        <v>15775810706</v>
      </c>
      <c r="C9514" t="s">
        <v>1</v>
      </c>
      <c r="D9514" t="s">
        <v>1</v>
      </c>
      <c r="E9514" t="s">
        <v>1</v>
      </c>
      <c r="F9514" t="s">
        <v>0</v>
      </c>
      <c r="G9514" t="str">
        <f>"2018-10-15 11:36:06"</f>
        <v>2018-10-15 11:36:06</v>
      </c>
    </row>
    <row r="9515" spans="1:7" x14ac:dyDescent="0.2">
      <c r="A9515" t="s">
        <v>1</v>
      </c>
      <c r="B9515" t="str">
        <f>"17156996428"</f>
        <v>17156996428</v>
      </c>
      <c r="C9515" t="s">
        <v>1</v>
      </c>
      <c r="D9515" t="s">
        <v>1</v>
      </c>
      <c r="E9515" t="s">
        <v>1</v>
      </c>
      <c r="F9515" t="s">
        <v>0</v>
      </c>
      <c r="G9515" t="str">
        <f>"2018-10-15 11:35:36"</f>
        <v>2018-10-15 11:35:36</v>
      </c>
    </row>
    <row r="9516" spans="1:7" x14ac:dyDescent="0.2">
      <c r="A9516" t="s">
        <v>10052</v>
      </c>
      <c r="B9516" t="str">
        <f>"18009209336"</f>
        <v>18009209336</v>
      </c>
      <c r="C9516" t="str">
        <f>"622726197902052055"</f>
        <v>622726197902052055</v>
      </c>
      <c r="D9516" t="s">
        <v>1</v>
      </c>
      <c r="E9516" t="s">
        <v>1</v>
      </c>
      <c r="F9516" t="s">
        <v>0</v>
      </c>
      <c r="G9516" t="str">
        <f>"2018-10-15 13:29:15"</f>
        <v>2018-10-15 13:29:15</v>
      </c>
    </row>
    <row r="9517" spans="1:7" x14ac:dyDescent="0.2">
      <c r="A9517" t="s">
        <v>1</v>
      </c>
      <c r="B9517" t="str">
        <f>"18934789823"</f>
        <v>18934789823</v>
      </c>
      <c r="C9517" t="s">
        <v>1</v>
      </c>
      <c r="D9517" t="s">
        <v>1</v>
      </c>
      <c r="E9517" t="s">
        <v>1</v>
      </c>
      <c r="F9517" t="s">
        <v>0</v>
      </c>
      <c r="G9517" t="str">
        <f>"2018-10-15 11:35:21"</f>
        <v>2018-10-15 11:35:21</v>
      </c>
    </row>
    <row r="9518" spans="1:7" x14ac:dyDescent="0.2">
      <c r="A9518" t="s">
        <v>10053</v>
      </c>
      <c r="B9518" t="str">
        <f>"15950768335"</f>
        <v>15950768335</v>
      </c>
      <c r="C9518" t="str">
        <f>"320723199403134213"</f>
        <v>320723199403134213</v>
      </c>
      <c r="D9518" t="s">
        <v>1</v>
      </c>
      <c r="E9518" t="s">
        <v>1</v>
      </c>
      <c r="F9518" t="s">
        <v>0</v>
      </c>
      <c r="G9518" t="str">
        <f>"2018-10-15 12:25:19"</f>
        <v>2018-10-15 12:25:19</v>
      </c>
    </row>
    <row r="9519" spans="1:7" x14ac:dyDescent="0.2">
      <c r="A9519" t="s">
        <v>134</v>
      </c>
      <c r="B9519" t="str">
        <f>"13659396231"</f>
        <v>13659396231</v>
      </c>
      <c r="C9519" t="str">
        <f>"622626198710076713"</f>
        <v>622626198710076713</v>
      </c>
      <c r="D9519" t="s">
        <v>1</v>
      </c>
      <c r="E9519" t="s">
        <v>1</v>
      </c>
      <c r="F9519" t="s">
        <v>0</v>
      </c>
      <c r="G9519" t="str">
        <f>"2018-10-22 10:26:04"</f>
        <v>2018-10-22 10:26:04</v>
      </c>
    </row>
    <row r="9520" spans="1:7" x14ac:dyDescent="0.2">
      <c r="A9520" t="s">
        <v>10054</v>
      </c>
      <c r="B9520" t="str">
        <f>"13935427335"</f>
        <v>13935427335</v>
      </c>
      <c r="C9520" t="str">
        <f>"142430198411211216"</f>
        <v>142430198411211216</v>
      </c>
      <c r="D9520" t="s">
        <v>1</v>
      </c>
      <c r="E9520" t="s">
        <v>1</v>
      </c>
      <c r="F9520" t="s">
        <v>0</v>
      </c>
      <c r="G9520" t="str">
        <f>"2018-10-18 15:41:08"</f>
        <v>2018-10-18 15:41:08</v>
      </c>
    </row>
    <row r="9521" spans="1:7" x14ac:dyDescent="0.2">
      <c r="A9521" t="s">
        <v>10055</v>
      </c>
      <c r="B9521" t="str">
        <f>"13966565704"</f>
        <v>13966565704</v>
      </c>
      <c r="C9521" t="str">
        <f>"341226199411032715"</f>
        <v>341226199411032715</v>
      </c>
      <c r="D9521" t="s">
        <v>1</v>
      </c>
      <c r="E9521" t="s">
        <v>1</v>
      </c>
      <c r="F9521" t="s">
        <v>0</v>
      </c>
      <c r="G9521" t="str">
        <f>"2018-10-15 11:33:37"</f>
        <v>2018-10-15 11:33:37</v>
      </c>
    </row>
    <row r="9522" spans="1:7" x14ac:dyDescent="0.2">
      <c r="A9522" t="s">
        <v>10056</v>
      </c>
      <c r="B9522" t="str">
        <f>"18301198670"</f>
        <v>18301198670</v>
      </c>
      <c r="C9522" t="str">
        <f>"230523198901040853"</f>
        <v>230523198901040853</v>
      </c>
      <c r="D9522" t="s">
        <v>1</v>
      </c>
      <c r="E9522" t="s">
        <v>1</v>
      </c>
      <c r="F9522" t="s">
        <v>0</v>
      </c>
      <c r="G9522" t="str">
        <f>"2018-10-15 11:35:26"</f>
        <v>2018-10-15 11:35:26</v>
      </c>
    </row>
    <row r="9523" spans="1:7" x14ac:dyDescent="0.2">
      <c r="A9523" t="s">
        <v>10057</v>
      </c>
      <c r="B9523" t="str">
        <f>"15163522987"</f>
        <v>15163522987</v>
      </c>
      <c r="C9523" t="str">
        <f>"371523199708172359"</f>
        <v>371523199708172359</v>
      </c>
      <c r="D9523" t="s">
        <v>10058</v>
      </c>
      <c r="E9523" t="s">
        <v>10059</v>
      </c>
      <c r="F9523" t="s">
        <v>0</v>
      </c>
      <c r="G9523" t="str">
        <f>"2018-10-15 11:33:01"</f>
        <v>2018-10-15 11:33:01</v>
      </c>
    </row>
    <row r="9524" spans="1:7" x14ac:dyDescent="0.2">
      <c r="A9524" t="s">
        <v>10060</v>
      </c>
      <c r="B9524" t="str">
        <f>"15724637455"</f>
        <v>15724637455</v>
      </c>
      <c r="C9524" t="str">
        <f>"210311196601192434"</f>
        <v>210311196601192434</v>
      </c>
      <c r="D9524" t="s">
        <v>10061</v>
      </c>
      <c r="E9524" t="s">
        <v>10062</v>
      </c>
      <c r="F9524" t="s">
        <v>0</v>
      </c>
      <c r="G9524" t="str">
        <f>"2018-10-15 14:04:08"</f>
        <v>2018-10-15 14:04:08</v>
      </c>
    </row>
    <row r="9525" spans="1:7" x14ac:dyDescent="0.2">
      <c r="A9525" t="s">
        <v>850</v>
      </c>
      <c r="B9525" t="str">
        <f>"13914258997"</f>
        <v>13914258997</v>
      </c>
      <c r="C9525" t="str">
        <f>"342523198312190711"</f>
        <v>342523198312190711</v>
      </c>
      <c r="D9525" t="s">
        <v>1</v>
      </c>
      <c r="E9525" t="s">
        <v>1</v>
      </c>
      <c r="F9525" t="s">
        <v>0</v>
      </c>
      <c r="G9525" t="str">
        <f>"2018-10-15 12:01:18"</f>
        <v>2018-10-15 12:01:18</v>
      </c>
    </row>
    <row r="9526" spans="1:7" x14ac:dyDescent="0.2">
      <c r="A9526" t="s">
        <v>10063</v>
      </c>
      <c r="B9526" t="str">
        <f>"15259714207"</f>
        <v>15259714207</v>
      </c>
      <c r="C9526" t="str">
        <f>"350525199208274947"</f>
        <v>350525199208274947</v>
      </c>
      <c r="D9526" t="s">
        <v>1</v>
      </c>
      <c r="E9526" t="s">
        <v>1</v>
      </c>
      <c r="F9526" t="s">
        <v>0</v>
      </c>
      <c r="G9526" t="str">
        <f>"2018-10-22 17:12:48"</f>
        <v>2018-10-22 17:12:48</v>
      </c>
    </row>
    <row r="9527" spans="1:7" x14ac:dyDescent="0.2">
      <c r="A9527" t="s">
        <v>1</v>
      </c>
      <c r="B9527" t="str">
        <f>"15712614058"</f>
        <v>15712614058</v>
      </c>
      <c r="C9527" t="s">
        <v>1</v>
      </c>
      <c r="D9527" t="s">
        <v>1</v>
      </c>
      <c r="E9527" t="s">
        <v>1</v>
      </c>
      <c r="F9527" t="s">
        <v>0</v>
      </c>
      <c r="G9527" t="str">
        <f>"2018-10-15 11:31:16"</f>
        <v>2018-10-15 11:31:16</v>
      </c>
    </row>
    <row r="9528" spans="1:7" x14ac:dyDescent="0.2">
      <c r="A9528" t="s">
        <v>10064</v>
      </c>
      <c r="B9528" t="str">
        <f>"15870284580"</f>
        <v>15870284580</v>
      </c>
      <c r="C9528" t="str">
        <f>"522633198511250037"</f>
        <v>522633198511250037</v>
      </c>
      <c r="D9528" t="s">
        <v>1</v>
      </c>
      <c r="E9528" t="s">
        <v>1</v>
      </c>
      <c r="F9528" t="s">
        <v>0</v>
      </c>
      <c r="G9528" t="str">
        <f>"2018-10-21 15:12:06"</f>
        <v>2018-10-21 15:12:06</v>
      </c>
    </row>
    <row r="9529" spans="1:7" x14ac:dyDescent="0.2">
      <c r="A9529" t="s">
        <v>10065</v>
      </c>
      <c r="B9529" t="str">
        <f>"15861595360"</f>
        <v>15861595360</v>
      </c>
      <c r="C9529" t="str">
        <f>"320882199212290016"</f>
        <v>320882199212290016</v>
      </c>
      <c r="D9529" t="s">
        <v>1</v>
      </c>
      <c r="E9529" t="s">
        <v>1</v>
      </c>
      <c r="F9529" t="s">
        <v>0</v>
      </c>
      <c r="G9529" t="str">
        <f>"2018-10-15 11:30:20"</f>
        <v>2018-10-15 11:30:20</v>
      </c>
    </row>
    <row r="9530" spans="1:7" x14ac:dyDescent="0.2">
      <c r="A9530" t="s">
        <v>10066</v>
      </c>
      <c r="B9530" t="str">
        <f>"15697617949"</f>
        <v>15697617949</v>
      </c>
      <c r="C9530" t="str">
        <f>"130922199807223211"</f>
        <v>130922199807223211</v>
      </c>
      <c r="D9530" t="s">
        <v>1</v>
      </c>
      <c r="E9530" t="s">
        <v>1</v>
      </c>
      <c r="F9530" t="s">
        <v>0</v>
      </c>
      <c r="G9530" t="str">
        <f>"2018-10-15 11:27:33"</f>
        <v>2018-10-15 11:27:33</v>
      </c>
    </row>
    <row r="9531" spans="1:7" x14ac:dyDescent="0.2">
      <c r="A9531" t="s">
        <v>1</v>
      </c>
      <c r="B9531" t="str">
        <f>"13924674280"</f>
        <v>13924674280</v>
      </c>
      <c r="C9531" t="s">
        <v>1</v>
      </c>
      <c r="D9531" t="s">
        <v>1</v>
      </c>
      <c r="E9531" t="s">
        <v>1</v>
      </c>
      <c r="F9531" t="s">
        <v>0</v>
      </c>
      <c r="G9531" t="str">
        <f>"2018-10-15 11:27:31"</f>
        <v>2018-10-15 11:27:31</v>
      </c>
    </row>
    <row r="9532" spans="1:7" x14ac:dyDescent="0.2">
      <c r="A9532" t="s">
        <v>10067</v>
      </c>
      <c r="B9532" t="str">
        <f>"15997172094"</f>
        <v>15997172094</v>
      </c>
      <c r="C9532" t="str">
        <f>"420683198002027812"</f>
        <v>420683198002027812</v>
      </c>
      <c r="D9532" t="s">
        <v>1</v>
      </c>
      <c r="E9532" t="s">
        <v>1</v>
      </c>
      <c r="F9532" t="s">
        <v>0</v>
      </c>
      <c r="G9532" t="str">
        <f>"2018-10-15 11:28:39"</f>
        <v>2018-10-15 11:28:39</v>
      </c>
    </row>
    <row r="9533" spans="1:7" x14ac:dyDescent="0.2">
      <c r="A9533" t="s">
        <v>10068</v>
      </c>
      <c r="B9533" t="str">
        <f>"15630851843"</f>
        <v>15630851843</v>
      </c>
      <c r="C9533" t="str">
        <f>"13063419931116291X"</f>
        <v>13063419931116291X</v>
      </c>
      <c r="D9533" t="s">
        <v>1</v>
      </c>
      <c r="E9533" t="s">
        <v>1</v>
      </c>
      <c r="F9533" t="s">
        <v>0</v>
      </c>
      <c r="G9533" t="str">
        <f>"2018-10-15 14:25:32"</f>
        <v>2018-10-15 14:25:32</v>
      </c>
    </row>
    <row r="9534" spans="1:7" x14ac:dyDescent="0.2">
      <c r="A9534" t="s">
        <v>10069</v>
      </c>
      <c r="B9534" t="str">
        <f>"15149975753"</f>
        <v>15149975753</v>
      </c>
      <c r="C9534" t="str">
        <f>"152321199103168169"</f>
        <v>152321199103168169</v>
      </c>
      <c r="D9534" t="s">
        <v>10070</v>
      </c>
      <c r="E9534" t="s">
        <v>10071</v>
      </c>
      <c r="F9534" t="s">
        <v>0</v>
      </c>
      <c r="G9534" t="str">
        <f>"2018-10-15 11:27:34"</f>
        <v>2018-10-15 11:27:34</v>
      </c>
    </row>
    <row r="9535" spans="1:7" x14ac:dyDescent="0.2">
      <c r="A9535" t="s">
        <v>10072</v>
      </c>
      <c r="B9535" t="str">
        <f>"18501624538"</f>
        <v>18501624538</v>
      </c>
      <c r="C9535" t="str">
        <f>"340123199709090576"</f>
        <v>340123199709090576</v>
      </c>
      <c r="D9535" t="s">
        <v>1</v>
      </c>
      <c r="E9535" t="s">
        <v>1</v>
      </c>
      <c r="F9535" t="s">
        <v>0</v>
      </c>
      <c r="G9535" t="str">
        <f>"2018-10-15 11:26:33"</f>
        <v>2018-10-15 11:26:33</v>
      </c>
    </row>
    <row r="9536" spans="1:7" x14ac:dyDescent="0.2">
      <c r="A9536" t="s">
        <v>10073</v>
      </c>
      <c r="B9536" t="str">
        <f>"13142280137"</f>
        <v>13142280137</v>
      </c>
      <c r="C9536" t="str">
        <f>"410421198909291038"</f>
        <v>410421198909291038</v>
      </c>
      <c r="D9536" t="s">
        <v>1</v>
      </c>
      <c r="E9536" t="s">
        <v>1</v>
      </c>
      <c r="F9536" t="s">
        <v>0</v>
      </c>
      <c r="G9536" t="str">
        <f>"2018-10-15 11:27:31"</f>
        <v>2018-10-15 11:27:31</v>
      </c>
    </row>
    <row r="9537" spans="1:7" x14ac:dyDescent="0.2">
      <c r="A9537" t="s">
        <v>1030</v>
      </c>
      <c r="B9537" t="str">
        <f>"17777359182"</f>
        <v>17777359182</v>
      </c>
      <c r="C9537" t="str">
        <f>"450322199408121033"</f>
        <v>450322199408121033</v>
      </c>
      <c r="D9537" t="s">
        <v>1</v>
      </c>
      <c r="E9537" t="s">
        <v>1</v>
      </c>
      <c r="F9537" t="s">
        <v>0</v>
      </c>
      <c r="G9537" t="str">
        <f>"2018-11-02 16:29:55"</f>
        <v>2018-11-02 16:29:55</v>
      </c>
    </row>
    <row r="9538" spans="1:7" x14ac:dyDescent="0.2">
      <c r="A9538" t="s">
        <v>10074</v>
      </c>
      <c r="B9538" t="str">
        <f>"18571771668"</f>
        <v>18571771668</v>
      </c>
      <c r="C9538" t="str">
        <f>"429004198602010352"</f>
        <v>429004198602010352</v>
      </c>
      <c r="D9538" t="s">
        <v>10075</v>
      </c>
      <c r="E9538" t="s">
        <v>10076</v>
      </c>
      <c r="F9538" t="s">
        <v>0</v>
      </c>
      <c r="G9538" t="str">
        <f>"2018-10-15 11:26:31"</f>
        <v>2018-10-15 11:26:31</v>
      </c>
    </row>
    <row r="9539" spans="1:7" x14ac:dyDescent="0.2">
      <c r="A9539" t="s">
        <v>1</v>
      </c>
      <c r="B9539" t="str">
        <f>"13666805611"</f>
        <v>13666805611</v>
      </c>
      <c r="C9539" t="s">
        <v>1</v>
      </c>
      <c r="D9539" t="s">
        <v>1</v>
      </c>
      <c r="E9539" t="s">
        <v>1</v>
      </c>
      <c r="F9539" t="s">
        <v>0</v>
      </c>
      <c r="G9539" t="str">
        <f>"2018-10-15 11:23:46"</f>
        <v>2018-10-15 11:23:46</v>
      </c>
    </row>
    <row r="9540" spans="1:7" x14ac:dyDescent="0.2">
      <c r="A9540" t="s">
        <v>10077</v>
      </c>
      <c r="B9540" t="str">
        <f>"13694854093"</f>
        <v>13694854093</v>
      </c>
      <c r="C9540" t="str">
        <f>"362330198606066536"</f>
        <v>362330198606066536</v>
      </c>
      <c r="D9540" t="s">
        <v>1</v>
      </c>
      <c r="E9540" t="s">
        <v>1</v>
      </c>
      <c r="F9540" t="s">
        <v>0</v>
      </c>
      <c r="G9540" t="str">
        <f>"2018-10-15 11:41:10"</f>
        <v>2018-10-15 11:41:10</v>
      </c>
    </row>
    <row r="9541" spans="1:7" x14ac:dyDescent="0.2">
      <c r="A9541" t="s">
        <v>1</v>
      </c>
      <c r="B9541" t="str">
        <f>"15392200222"</f>
        <v>15392200222</v>
      </c>
      <c r="C9541" t="s">
        <v>1</v>
      </c>
      <c r="D9541" t="s">
        <v>1</v>
      </c>
      <c r="E9541" t="s">
        <v>1</v>
      </c>
      <c r="F9541" t="s">
        <v>0</v>
      </c>
      <c r="G9541" t="str">
        <f>"2018-10-15 11:22:07"</f>
        <v>2018-10-15 11:22:07</v>
      </c>
    </row>
    <row r="9542" spans="1:7" x14ac:dyDescent="0.2">
      <c r="A9542" t="s">
        <v>10078</v>
      </c>
      <c r="B9542" t="str">
        <f>"13663835270"</f>
        <v>13663835270</v>
      </c>
      <c r="C9542" t="str">
        <f>"410185198511064519"</f>
        <v>410185198511064519</v>
      </c>
      <c r="D9542" t="s">
        <v>1</v>
      </c>
      <c r="E9542" t="s">
        <v>1</v>
      </c>
      <c r="F9542" t="s">
        <v>0</v>
      </c>
      <c r="G9542" t="str">
        <f>"2018-10-15 12:44:21"</f>
        <v>2018-10-15 12:44:21</v>
      </c>
    </row>
    <row r="9543" spans="1:7" x14ac:dyDescent="0.2">
      <c r="A9543" t="s">
        <v>1</v>
      </c>
      <c r="B9543" t="str">
        <f>"13765456757"</f>
        <v>13765456757</v>
      </c>
      <c r="C9543" t="s">
        <v>1</v>
      </c>
      <c r="D9543" t="s">
        <v>1</v>
      </c>
      <c r="E9543" t="s">
        <v>1</v>
      </c>
      <c r="F9543" t="s">
        <v>0</v>
      </c>
      <c r="G9543" t="str">
        <f>"2018-10-15 11:21:10"</f>
        <v>2018-10-15 11:21:10</v>
      </c>
    </row>
    <row r="9544" spans="1:7" x14ac:dyDescent="0.2">
      <c r="A9544" t="s">
        <v>10079</v>
      </c>
      <c r="B9544" t="str">
        <f>"13904284416"</f>
        <v>13904284416</v>
      </c>
      <c r="C9544" t="str">
        <f>"220822198205187323"</f>
        <v>220822198205187323</v>
      </c>
      <c r="D9544" t="s">
        <v>1</v>
      </c>
      <c r="E9544" t="s">
        <v>1</v>
      </c>
      <c r="F9544" t="s">
        <v>0</v>
      </c>
      <c r="G9544" t="str">
        <f>"2018-10-15 11:23:37"</f>
        <v>2018-10-15 11:23:37</v>
      </c>
    </row>
    <row r="9545" spans="1:7" x14ac:dyDescent="0.2">
      <c r="A9545" t="s">
        <v>1</v>
      </c>
      <c r="B9545" t="str">
        <f>"18902138208"</f>
        <v>18902138208</v>
      </c>
      <c r="C9545" t="s">
        <v>1</v>
      </c>
      <c r="D9545" t="s">
        <v>1</v>
      </c>
      <c r="E9545" t="s">
        <v>1</v>
      </c>
      <c r="F9545" t="s">
        <v>0</v>
      </c>
      <c r="G9545" t="str">
        <f>"2018-10-15 11:26:25"</f>
        <v>2018-10-15 11:26:25</v>
      </c>
    </row>
    <row r="9546" spans="1:7" x14ac:dyDescent="0.2">
      <c r="A9546" t="s">
        <v>1</v>
      </c>
      <c r="B9546" t="str">
        <f>"13327398675"</f>
        <v>13327398675</v>
      </c>
      <c r="C9546" t="s">
        <v>1</v>
      </c>
      <c r="D9546" t="s">
        <v>1</v>
      </c>
      <c r="E9546" t="s">
        <v>1</v>
      </c>
      <c r="F9546" t="s">
        <v>0</v>
      </c>
      <c r="G9546" t="str">
        <f>"2018-10-15 11:19:53"</f>
        <v>2018-10-15 11:19:53</v>
      </c>
    </row>
    <row r="9547" spans="1:7" x14ac:dyDescent="0.2">
      <c r="A9547" t="s">
        <v>1</v>
      </c>
      <c r="B9547" t="str">
        <f>"18700363659"</f>
        <v>18700363659</v>
      </c>
      <c r="C9547" t="s">
        <v>1</v>
      </c>
      <c r="D9547" t="s">
        <v>1</v>
      </c>
      <c r="E9547" t="s">
        <v>1</v>
      </c>
      <c r="F9547" t="s">
        <v>0</v>
      </c>
      <c r="G9547" t="str">
        <f>"2018-10-15 11:19:49"</f>
        <v>2018-10-15 11:19:49</v>
      </c>
    </row>
    <row r="9548" spans="1:7" x14ac:dyDescent="0.2">
      <c r="A9548" t="s">
        <v>10080</v>
      </c>
      <c r="B9548" t="str">
        <f>"18250088332"</f>
        <v>18250088332</v>
      </c>
      <c r="C9548" t="str">
        <f>"350821198707081513"</f>
        <v>350821198707081513</v>
      </c>
      <c r="D9548" t="s">
        <v>1</v>
      </c>
      <c r="E9548" t="s">
        <v>1</v>
      </c>
      <c r="F9548" t="s">
        <v>0</v>
      </c>
      <c r="G9548" t="str">
        <f>"2018-10-15 11:20:31"</f>
        <v>2018-10-15 11:20:31</v>
      </c>
    </row>
    <row r="9549" spans="1:7" x14ac:dyDescent="0.2">
      <c r="A9549" t="s">
        <v>1</v>
      </c>
      <c r="B9549" t="str">
        <f>"15195271147"</f>
        <v>15195271147</v>
      </c>
      <c r="C9549" t="s">
        <v>1</v>
      </c>
      <c r="D9549" t="s">
        <v>1</v>
      </c>
      <c r="E9549" t="s">
        <v>1</v>
      </c>
      <c r="F9549" t="s">
        <v>0</v>
      </c>
      <c r="G9549" t="str">
        <f>"2018-10-15 11:19:04"</f>
        <v>2018-10-15 11:19:04</v>
      </c>
    </row>
    <row r="9550" spans="1:7" x14ac:dyDescent="0.2">
      <c r="A9550" t="s">
        <v>1</v>
      </c>
      <c r="B9550" t="str">
        <f>"13894160810"</f>
        <v>13894160810</v>
      </c>
      <c r="C9550" t="s">
        <v>1</v>
      </c>
      <c r="D9550" t="s">
        <v>1</v>
      </c>
      <c r="E9550" t="s">
        <v>1</v>
      </c>
      <c r="F9550" t="s">
        <v>0</v>
      </c>
      <c r="G9550" t="str">
        <f>"2018-10-15 11:19:01"</f>
        <v>2018-10-15 11:19:01</v>
      </c>
    </row>
    <row r="9551" spans="1:7" x14ac:dyDescent="0.2">
      <c r="A9551" t="s">
        <v>10081</v>
      </c>
      <c r="B9551" t="str">
        <f>"18558819305"</f>
        <v>18558819305</v>
      </c>
      <c r="C9551" t="str">
        <f>"350181199303091590"</f>
        <v>350181199303091590</v>
      </c>
      <c r="D9551" t="s">
        <v>10082</v>
      </c>
      <c r="E9551" t="s">
        <v>10083</v>
      </c>
      <c r="F9551" t="s">
        <v>0</v>
      </c>
      <c r="G9551" t="str">
        <f>"2018-10-15 11:19:59"</f>
        <v>2018-10-15 11:19:59</v>
      </c>
    </row>
    <row r="9552" spans="1:7" x14ac:dyDescent="0.2">
      <c r="A9552" t="s">
        <v>10084</v>
      </c>
      <c r="B9552" t="str">
        <f>"13903060049"</f>
        <v>13903060049</v>
      </c>
      <c r="C9552" t="str">
        <f>"445121199211107559"</f>
        <v>445121199211107559</v>
      </c>
      <c r="D9552" t="s">
        <v>1</v>
      </c>
      <c r="E9552" t="s">
        <v>1</v>
      </c>
      <c r="F9552" t="s">
        <v>0</v>
      </c>
      <c r="G9552" t="str">
        <f>"2018-10-15 11:36:46"</f>
        <v>2018-10-15 11:36:46</v>
      </c>
    </row>
    <row r="9553" spans="1:7" x14ac:dyDescent="0.2">
      <c r="A9553" t="s">
        <v>10085</v>
      </c>
      <c r="B9553" t="str">
        <f>"13771823917"</f>
        <v>13771823917</v>
      </c>
      <c r="C9553" t="str">
        <f>"320586199212182524"</f>
        <v>320586199212182524</v>
      </c>
      <c r="D9553" t="s">
        <v>1</v>
      </c>
      <c r="E9553" t="s">
        <v>1</v>
      </c>
      <c r="F9553" t="s">
        <v>0</v>
      </c>
      <c r="G9553" t="str">
        <f>"2018-10-15 11:17:25"</f>
        <v>2018-10-15 11:17:25</v>
      </c>
    </row>
    <row r="9554" spans="1:7" x14ac:dyDescent="0.2">
      <c r="A9554" t="s">
        <v>10086</v>
      </c>
      <c r="B9554" t="str">
        <f>"18639548225"</f>
        <v>18639548225</v>
      </c>
      <c r="C9554" t="str">
        <f>"411123199707286013"</f>
        <v>411123199707286013</v>
      </c>
      <c r="D9554" t="s">
        <v>1</v>
      </c>
      <c r="E9554" t="s">
        <v>1</v>
      </c>
      <c r="F9554" t="s">
        <v>0</v>
      </c>
      <c r="G9554" t="str">
        <f>"2018-10-16 06:34:26"</f>
        <v>2018-10-16 06:34:26</v>
      </c>
    </row>
    <row r="9555" spans="1:7" x14ac:dyDescent="0.2">
      <c r="A9555" t="s">
        <v>10087</v>
      </c>
      <c r="B9555" t="str">
        <f>"13825436000"</f>
        <v>13825436000</v>
      </c>
      <c r="C9555" t="str">
        <f>"441324199009032318"</f>
        <v>441324199009032318</v>
      </c>
      <c r="D9555" t="s">
        <v>1</v>
      </c>
      <c r="E9555" t="s">
        <v>1</v>
      </c>
      <c r="F9555" t="s">
        <v>0</v>
      </c>
      <c r="G9555" t="str">
        <f>"2018-10-15 11:20:40"</f>
        <v>2018-10-15 11:20:40</v>
      </c>
    </row>
    <row r="9556" spans="1:7" x14ac:dyDescent="0.2">
      <c r="A9556" t="s">
        <v>1</v>
      </c>
      <c r="B9556" t="str">
        <f>"18099996068"</f>
        <v>18099996068</v>
      </c>
      <c r="C9556" t="s">
        <v>1</v>
      </c>
      <c r="D9556" t="s">
        <v>1</v>
      </c>
      <c r="E9556" t="s">
        <v>1</v>
      </c>
      <c r="F9556" t="s">
        <v>0</v>
      </c>
      <c r="G9556" t="str">
        <f>"2018-10-15 11:17:49"</f>
        <v>2018-10-15 11:17:49</v>
      </c>
    </row>
    <row r="9557" spans="1:7" x14ac:dyDescent="0.2">
      <c r="A9557" t="s">
        <v>1</v>
      </c>
      <c r="B9557" t="str">
        <f>"17171049334"</f>
        <v>17171049334</v>
      </c>
      <c r="C9557" t="s">
        <v>1</v>
      </c>
      <c r="D9557" t="s">
        <v>1</v>
      </c>
      <c r="E9557" t="s">
        <v>1</v>
      </c>
      <c r="F9557" t="s">
        <v>0</v>
      </c>
      <c r="G9557" t="str">
        <f>"2018-10-15 11:16:26"</f>
        <v>2018-10-15 11:16:26</v>
      </c>
    </row>
    <row r="9558" spans="1:7" x14ac:dyDescent="0.2">
      <c r="A9558" t="s">
        <v>1</v>
      </c>
      <c r="B9558" t="str">
        <f>"18337929063"</f>
        <v>18337929063</v>
      </c>
      <c r="C9558" t="s">
        <v>1</v>
      </c>
      <c r="D9558" t="s">
        <v>1</v>
      </c>
      <c r="E9558" t="s">
        <v>1</v>
      </c>
      <c r="F9558" t="s">
        <v>0</v>
      </c>
      <c r="G9558" t="str">
        <f>"2018-10-15 11:14:52"</f>
        <v>2018-10-15 11:14:52</v>
      </c>
    </row>
    <row r="9559" spans="1:7" x14ac:dyDescent="0.2">
      <c r="A9559" t="s">
        <v>10088</v>
      </c>
      <c r="B9559" t="str">
        <f>"17376482801"</f>
        <v>17376482801</v>
      </c>
      <c r="C9559" t="str">
        <f>"450924199603073618"</f>
        <v>450924199603073618</v>
      </c>
      <c r="D9559" t="s">
        <v>10089</v>
      </c>
      <c r="E9559" t="s">
        <v>10090</v>
      </c>
      <c r="F9559" t="s">
        <v>0</v>
      </c>
      <c r="G9559" t="str">
        <f>"2018-10-20 12:35:55"</f>
        <v>2018-10-20 12:35:55</v>
      </c>
    </row>
    <row r="9560" spans="1:7" x14ac:dyDescent="0.2">
      <c r="A9560" t="s">
        <v>1423</v>
      </c>
      <c r="B9560" t="str">
        <f>"15324477243"</f>
        <v>15324477243</v>
      </c>
      <c r="C9560" t="str">
        <f>"340721198911060018"</f>
        <v>340721198911060018</v>
      </c>
      <c r="D9560" t="s">
        <v>1</v>
      </c>
      <c r="E9560" t="s">
        <v>1</v>
      </c>
      <c r="F9560" t="s">
        <v>0</v>
      </c>
      <c r="G9560" t="str">
        <f>"2018-10-15 11:15:34"</f>
        <v>2018-10-15 11:15:34</v>
      </c>
    </row>
    <row r="9561" spans="1:7" x14ac:dyDescent="0.2">
      <c r="A9561" t="s">
        <v>10091</v>
      </c>
      <c r="B9561" t="str">
        <f>"18786234490"</f>
        <v>18786234490</v>
      </c>
      <c r="C9561" t="str">
        <f>"522121198110020035"</f>
        <v>522121198110020035</v>
      </c>
      <c r="D9561" t="s">
        <v>10092</v>
      </c>
      <c r="E9561" t="s">
        <v>10093</v>
      </c>
      <c r="F9561" t="s">
        <v>0</v>
      </c>
      <c r="G9561" t="str">
        <f>"2018-10-15 12:25:46"</f>
        <v>2018-10-15 12:25:46</v>
      </c>
    </row>
    <row r="9562" spans="1:7" x14ac:dyDescent="0.2">
      <c r="A9562" t="s">
        <v>10094</v>
      </c>
      <c r="B9562" t="str">
        <f>"17604687495"</f>
        <v>17604687495</v>
      </c>
      <c r="C9562" t="str">
        <f>"230129198404273118"</f>
        <v>230129198404273118</v>
      </c>
      <c r="D9562" t="s">
        <v>10095</v>
      </c>
      <c r="E9562" t="s">
        <v>10096</v>
      </c>
      <c r="F9562" t="s">
        <v>0</v>
      </c>
      <c r="G9562" t="str">
        <f>"2018-10-20 17:30:28"</f>
        <v>2018-10-20 17:30:28</v>
      </c>
    </row>
    <row r="9563" spans="1:7" x14ac:dyDescent="0.2">
      <c r="A9563" t="s">
        <v>10097</v>
      </c>
      <c r="B9563" t="str">
        <f>"18844099932"</f>
        <v>18844099932</v>
      </c>
      <c r="C9563" t="str">
        <f>"220104198907151877"</f>
        <v>220104198907151877</v>
      </c>
      <c r="D9563" t="s">
        <v>1</v>
      </c>
      <c r="E9563" t="s">
        <v>1</v>
      </c>
      <c r="F9563" t="s">
        <v>0</v>
      </c>
      <c r="G9563" t="str">
        <f>"2018-10-15 11:35:52"</f>
        <v>2018-10-15 11:35:52</v>
      </c>
    </row>
    <row r="9564" spans="1:7" x14ac:dyDescent="0.2">
      <c r="A9564" t="s">
        <v>10098</v>
      </c>
      <c r="B9564" t="str">
        <f>"17689326363"</f>
        <v>17689326363</v>
      </c>
      <c r="C9564" t="str">
        <f>"350521199410315532"</f>
        <v>350521199410315532</v>
      </c>
      <c r="D9564" t="s">
        <v>1</v>
      </c>
      <c r="E9564" t="s">
        <v>1</v>
      </c>
      <c r="F9564" t="s">
        <v>0</v>
      </c>
      <c r="G9564" t="str">
        <f>"2018-10-15 11:23:02"</f>
        <v>2018-10-15 11:23:02</v>
      </c>
    </row>
    <row r="9565" spans="1:7" x14ac:dyDescent="0.2">
      <c r="A9565" t="s">
        <v>1544</v>
      </c>
      <c r="B9565" t="str">
        <f>"18506277512"</f>
        <v>18506277512</v>
      </c>
      <c r="C9565" t="str">
        <f>"654121199601154412"</f>
        <v>654121199601154412</v>
      </c>
      <c r="D9565" t="s">
        <v>10099</v>
      </c>
      <c r="E9565" t="s">
        <v>10100</v>
      </c>
      <c r="F9565" t="s">
        <v>0</v>
      </c>
      <c r="G9565" t="str">
        <f>"2018-10-15 11:18:13"</f>
        <v>2018-10-15 11:18:13</v>
      </c>
    </row>
    <row r="9566" spans="1:7" x14ac:dyDescent="0.2">
      <c r="A9566" t="s">
        <v>273</v>
      </c>
      <c r="B9566" t="str">
        <f>"18940363321"</f>
        <v>18940363321</v>
      </c>
      <c r="C9566" t="str">
        <f>"210402198902071749"</f>
        <v>210402198902071749</v>
      </c>
      <c r="D9566" t="s">
        <v>10101</v>
      </c>
      <c r="E9566" t="s">
        <v>10102</v>
      </c>
      <c r="F9566" t="s">
        <v>0</v>
      </c>
      <c r="G9566" t="str">
        <f>"2018-10-15 11:13:46"</f>
        <v>2018-10-15 11:13:46</v>
      </c>
    </row>
    <row r="9567" spans="1:7" x14ac:dyDescent="0.2">
      <c r="A9567" t="s">
        <v>1</v>
      </c>
      <c r="B9567" t="str">
        <f>"15677367460"</f>
        <v>15677367460</v>
      </c>
      <c r="C9567" t="s">
        <v>1</v>
      </c>
      <c r="D9567" t="s">
        <v>1</v>
      </c>
      <c r="E9567" t="s">
        <v>1</v>
      </c>
      <c r="F9567" t="s">
        <v>0</v>
      </c>
      <c r="G9567" t="str">
        <f>"2018-10-15 11:09:31"</f>
        <v>2018-10-15 11:09:31</v>
      </c>
    </row>
    <row r="9568" spans="1:7" x14ac:dyDescent="0.2">
      <c r="A9568" t="s">
        <v>10103</v>
      </c>
      <c r="B9568" t="str">
        <f>"15086590076"</f>
        <v>15086590076</v>
      </c>
      <c r="C9568" t="str">
        <f>"522322198612281435"</f>
        <v>522322198612281435</v>
      </c>
      <c r="D9568" t="s">
        <v>10104</v>
      </c>
      <c r="E9568" t="s">
        <v>10105</v>
      </c>
      <c r="F9568" t="s">
        <v>0</v>
      </c>
      <c r="G9568" t="str">
        <f>"2018-10-15 11:09:02"</f>
        <v>2018-10-15 11:09:02</v>
      </c>
    </row>
    <row r="9569" spans="1:7" x14ac:dyDescent="0.2">
      <c r="A9569" t="s">
        <v>10106</v>
      </c>
      <c r="B9569" t="str">
        <f>"15066678793"</f>
        <v>15066678793</v>
      </c>
      <c r="C9569" t="str">
        <f>"370982198509054129"</f>
        <v>370982198509054129</v>
      </c>
      <c r="D9569" t="s">
        <v>1</v>
      </c>
      <c r="E9569" t="s">
        <v>1</v>
      </c>
      <c r="F9569" t="s">
        <v>0</v>
      </c>
      <c r="G9569" t="str">
        <f>"2018-10-15 11:09:55"</f>
        <v>2018-10-15 11:09:55</v>
      </c>
    </row>
    <row r="9570" spans="1:7" x14ac:dyDescent="0.2">
      <c r="A9570" t="s">
        <v>10107</v>
      </c>
      <c r="B9570" t="str">
        <f>"18017010616"</f>
        <v>18017010616</v>
      </c>
      <c r="C9570" t="str">
        <f>"510504198802102519"</f>
        <v>510504198802102519</v>
      </c>
      <c r="D9570" t="s">
        <v>10108</v>
      </c>
      <c r="E9570" t="s">
        <v>10109</v>
      </c>
      <c r="F9570" t="s">
        <v>0</v>
      </c>
      <c r="G9570" t="str">
        <f>"2018-10-15 11:08:54"</f>
        <v>2018-10-15 11:08:54</v>
      </c>
    </row>
    <row r="9571" spans="1:7" x14ac:dyDescent="0.2">
      <c r="A9571" t="s">
        <v>1</v>
      </c>
      <c r="B9571" t="str">
        <f>"17086813759"</f>
        <v>17086813759</v>
      </c>
      <c r="C9571" t="s">
        <v>1</v>
      </c>
      <c r="D9571" t="s">
        <v>1</v>
      </c>
      <c r="E9571" t="s">
        <v>1</v>
      </c>
      <c r="F9571" t="s">
        <v>0</v>
      </c>
      <c r="G9571" t="str">
        <f>"2018-10-15 11:06:08"</f>
        <v>2018-10-15 11:06:08</v>
      </c>
    </row>
    <row r="9572" spans="1:7" x14ac:dyDescent="0.2">
      <c r="A9572" t="s">
        <v>1</v>
      </c>
      <c r="B9572" t="str">
        <f>"13911656959"</f>
        <v>13911656959</v>
      </c>
      <c r="C9572" t="s">
        <v>1</v>
      </c>
      <c r="D9572" t="s">
        <v>1</v>
      </c>
      <c r="E9572" t="s">
        <v>1</v>
      </c>
      <c r="F9572" t="s">
        <v>0</v>
      </c>
      <c r="G9572" t="str">
        <f>"2018-10-15 11:05:17"</f>
        <v>2018-10-15 11:05:17</v>
      </c>
    </row>
    <row r="9573" spans="1:7" x14ac:dyDescent="0.2">
      <c r="A9573" t="s">
        <v>191</v>
      </c>
      <c r="B9573" t="str">
        <f>"15335140789"</f>
        <v>15335140789</v>
      </c>
      <c r="C9573" t="str">
        <f>"320113198201181636"</f>
        <v>320113198201181636</v>
      </c>
      <c r="D9573" t="s">
        <v>1</v>
      </c>
      <c r="E9573" t="s">
        <v>1</v>
      </c>
      <c r="F9573" t="s">
        <v>0</v>
      </c>
      <c r="G9573" t="str">
        <f>"2018-10-15 11:06:27"</f>
        <v>2018-10-15 11:06:27</v>
      </c>
    </row>
    <row r="9574" spans="1:7" x14ac:dyDescent="0.2">
      <c r="A9574" t="s">
        <v>10110</v>
      </c>
      <c r="B9574" t="str">
        <f>"13325520003"</f>
        <v>13325520003</v>
      </c>
      <c r="C9574" t="str">
        <f>"652325197304123017"</f>
        <v>652325197304123017</v>
      </c>
      <c r="D9574" t="s">
        <v>1</v>
      </c>
      <c r="E9574" t="s">
        <v>1</v>
      </c>
      <c r="F9574" t="s">
        <v>0</v>
      </c>
      <c r="G9574" t="str">
        <f>"2018-10-15 13:43:08"</f>
        <v>2018-10-15 13:43:08</v>
      </c>
    </row>
    <row r="9575" spans="1:7" x14ac:dyDescent="0.2">
      <c r="A9575" t="s">
        <v>1</v>
      </c>
      <c r="B9575" t="str">
        <f>"18759737618"</f>
        <v>18759737618</v>
      </c>
      <c r="C9575" t="s">
        <v>1</v>
      </c>
      <c r="D9575" t="s">
        <v>1</v>
      </c>
      <c r="E9575" t="s">
        <v>1</v>
      </c>
      <c r="F9575" t="s">
        <v>0</v>
      </c>
      <c r="G9575" t="str">
        <f>"2018-10-15 11:04:45"</f>
        <v>2018-10-15 11:04:45</v>
      </c>
    </row>
    <row r="9576" spans="1:7" x14ac:dyDescent="0.2">
      <c r="A9576" t="s">
        <v>1833</v>
      </c>
      <c r="B9576" t="str">
        <f>"15151684755"</f>
        <v>15151684755</v>
      </c>
      <c r="C9576" t="str">
        <f>"230224199701231019"</f>
        <v>230224199701231019</v>
      </c>
      <c r="D9576" t="s">
        <v>1</v>
      </c>
      <c r="E9576" t="s">
        <v>1</v>
      </c>
      <c r="F9576" t="s">
        <v>0</v>
      </c>
      <c r="G9576" t="str">
        <f>"2018-10-15 11:05:39"</f>
        <v>2018-10-15 11:05:39</v>
      </c>
    </row>
    <row r="9577" spans="1:7" x14ac:dyDescent="0.2">
      <c r="A9577" t="s">
        <v>10111</v>
      </c>
      <c r="B9577" t="str">
        <f>"18070613632"</f>
        <v>18070613632</v>
      </c>
      <c r="C9577" t="str">
        <f>"450481199102053010"</f>
        <v>450481199102053010</v>
      </c>
      <c r="D9577" t="s">
        <v>1</v>
      </c>
      <c r="E9577" t="s">
        <v>1</v>
      </c>
      <c r="F9577" t="s">
        <v>0</v>
      </c>
      <c r="G9577" t="str">
        <f>"2018-10-15 14:45:33"</f>
        <v>2018-10-15 14:45:33</v>
      </c>
    </row>
    <row r="9578" spans="1:7" x14ac:dyDescent="0.2">
      <c r="A9578" t="s">
        <v>1</v>
      </c>
      <c r="B9578" t="str">
        <f>"18004515524"</f>
        <v>18004515524</v>
      </c>
      <c r="C9578" t="s">
        <v>1</v>
      </c>
      <c r="D9578" t="s">
        <v>1</v>
      </c>
      <c r="E9578" t="s">
        <v>1</v>
      </c>
      <c r="F9578" t="s">
        <v>0</v>
      </c>
      <c r="G9578" t="str">
        <f>"2018-10-15 11:07:39"</f>
        <v>2018-10-15 11:07:39</v>
      </c>
    </row>
    <row r="9579" spans="1:7" x14ac:dyDescent="0.2">
      <c r="A9579" t="s">
        <v>10112</v>
      </c>
      <c r="B9579" t="str">
        <f>"18987589692"</f>
        <v>18987589692</v>
      </c>
      <c r="C9579" t="str">
        <f>"530181198012203010"</f>
        <v>530181198012203010</v>
      </c>
      <c r="D9579" t="s">
        <v>10113</v>
      </c>
      <c r="E9579" t="s">
        <v>10114</v>
      </c>
      <c r="F9579" t="s">
        <v>0</v>
      </c>
      <c r="G9579" t="str">
        <f>"2018-10-15 11:06:59"</f>
        <v>2018-10-15 11:06:59</v>
      </c>
    </row>
    <row r="9580" spans="1:7" x14ac:dyDescent="0.2">
      <c r="A9580" t="s">
        <v>10115</v>
      </c>
      <c r="B9580" t="str">
        <f>"15925212708"</f>
        <v>15925212708</v>
      </c>
      <c r="C9580" t="str">
        <f>"530113199501262829"</f>
        <v>530113199501262829</v>
      </c>
      <c r="D9580" t="s">
        <v>1</v>
      </c>
      <c r="E9580" t="s">
        <v>1</v>
      </c>
      <c r="F9580" t="s">
        <v>0</v>
      </c>
      <c r="G9580" t="str">
        <f>"2018-10-15 11:38:04"</f>
        <v>2018-10-15 11:38:04</v>
      </c>
    </row>
    <row r="9581" spans="1:7" x14ac:dyDescent="0.2">
      <c r="A9581" t="s">
        <v>10116</v>
      </c>
      <c r="B9581" t="str">
        <f>"13383382588"</f>
        <v>13383382588</v>
      </c>
      <c r="C9581" t="str">
        <f>"13112819901201127X"</f>
        <v>13112819901201127X</v>
      </c>
      <c r="D9581" t="s">
        <v>10117</v>
      </c>
      <c r="E9581" t="s">
        <v>10118</v>
      </c>
      <c r="F9581" t="s">
        <v>0</v>
      </c>
      <c r="G9581" t="str">
        <f>"2018-10-15 11:03:06"</f>
        <v>2018-10-15 11:03:06</v>
      </c>
    </row>
    <row r="9582" spans="1:7" x14ac:dyDescent="0.2">
      <c r="A9582" t="s">
        <v>1054</v>
      </c>
      <c r="B9582" t="str">
        <f>"13977918188"</f>
        <v>13977918188</v>
      </c>
      <c r="C9582" t="str">
        <f>"450501196905150914"</f>
        <v>450501196905150914</v>
      </c>
      <c r="D9582" t="s">
        <v>1</v>
      </c>
      <c r="E9582" t="s">
        <v>1</v>
      </c>
      <c r="F9582" t="s">
        <v>0</v>
      </c>
      <c r="G9582" t="str">
        <f>"2018-10-15 11:06:24"</f>
        <v>2018-10-15 11:06:24</v>
      </c>
    </row>
    <row r="9583" spans="1:7" x14ac:dyDescent="0.2">
      <c r="A9583" t="s">
        <v>1</v>
      </c>
      <c r="B9583" t="str">
        <f>"18211516763"</f>
        <v>18211516763</v>
      </c>
      <c r="C9583" t="s">
        <v>1</v>
      </c>
      <c r="D9583" t="s">
        <v>1</v>
      </c>
      <c r="E9583" t="s">
        <v>1</v>
      </c>
      <c r="F9583" t="s">
        <v>0</v>
      </c>
      <c r="G9583" t="str">
        <f>"2018-10-15 11:09:23"</f>
        <v>2018-10-15 11:09:23</v>
      </c>
    </row>
    <row r="9584" spans="1:7" x14ac:dyDescent="0.2">
      <c r="A9584" t="s">
        <v>1</v>
      </c>
      <c r="B9584" t="str">
        <f>"18437145520"</f>
        <v>18437145520</v>
      </c>
      <c r="C9584" t="s">
        <v>1</v>
      </c>
      <c r="D9584" t="s">
        <v>1</v>
      </c>
      <c r="E9584" t="s">
        <v>1</v>
      </c>
      <c r="F9584" t="s">
        <v>0</v>
      </c>
      <c r="G9584" t="str">
        <f>"2018-10-15 11:01:10"</f>
        <v>2018-10-15 11:01:10</v>
      </c>
    </row>
    <row r="9585" spans="1:7" x14ac:dyDescent="0.2">
      <c r="A9585" t="s">
        <v>1</v>
      </c>
      <c r="B9585" t="str">
        <f>"13362361936"</f>
        <v>13362361936</v>
      </c>
      <c r="C9585" t="s">
        <v>1</v>
      </c>
      <c r="D9585" t="s">
        <v>1</v>
      </c>
      <c r="E9585" t="s">
        <v>1</v>
      </c>
      <c r="F9585" t="s">
        <v>0</v>
      </c>
      <c r="G9585" t="str">
        <f>"2018-10-15 11:00:50"</f>
        <v>2018-10-15 11:00:50</v>
      </c>
    </row>
    <row r="9586" spans="1:7" x14ac:dyDescent="0.2">
      <c r="A9586" t="s">
        <v>1</v>
      </c>
      <c r="B9586" t="str">
        <f>"13093854563"</f>
        <v>13093854563</v>
      </c>
      <c r="C9586" t="s">
        <v>1</v>
      </c>
      <c r="D9586" t="s">
        <v>1</v>
      </c>
      <c r="E9586" t="s">
        <v>1</v>
      </c>
      <c r="F9586" t="s">
        <v>0</v>
      </c>
      <c r="G9586" t="str">
        <f>"2018-10-15 11:00:46"</f>
        <v>2018-10-15 11:00:46</v>
      </c>
    </row>
    <row r="9587" spans="1:7" x14ac:dyDescent="0.2">
      <c r="A9587" t="s">
        <v>10119</v>
      </c>
      <c r="B9587" t="str">
        <f>"13350740155"</f>
        <v>13350740155</v>
      </c>
      <c r="C9587" t="str">
        <f>"511124198904226410"</f>
        <v>511124198904226410</v>
      </c>
      <c r="D9587" t="s">
        <v>10120</v>
      </c>
      <c r="E9587" t="s">
        <v>10121</v>
      </c>
      <c r="F9587" t="s">
        <v>0</v>
      </c>
      <c r="G9587" t="str">
        <f>"2018-10-15 11:03:27"</f>
        <v>2018-10-15 11:03:27</v>
      </c>
    </row>
    <row r="9588" spans="1:7" x14ac:dyDescent="0.2">
      <c r="A9588" t="s">
        <v>1</v>
      </c>
      <c r="B9588" t="str">
        <f>"13302693536"</f>
        <v>13302693536</v>
      </c>
      <c r="C9588" t="s">
        <v>1</v>
      </c>
      <c r="D9588" t="s">
        <v>1</v>
      </c>
      <c r="E9588" t="s">
        <v>1</v>
      </c>
      <c r="F9588" t="s">
        <v>0</v>
      </c>
      <c r="G9588" t="str">
        <f>"2018-10-15 11:00:23"</f>
        <v>2018-10-15 11:00:23</v>
      </c>
    </row>
    <row r="9589" spans="1:7" x14ac:dyDescent="0.2">
      <c r="A9589" t="s">
        <v>1</v>
      </c>
      <c r="B9589" t="str">
        <f>"17171049403"</f>
        <v>17171049403</v>
      </c>
      <c r="C9589" t="s">
        <v>1</v>
      </c>
      <c r="D9589" t="s">
        <v>1</v>
      </c>
      <c r="E9589" t="s">
        <v>1</v>
      </c>
      <c r="F9589" t="s">
        <v>0</v>
      </c>
      <c r="G9589" t="str">
        <f>"2018-10-15 10:59:26"</f>
        <v>2018-10-15 10:59:26</v>
      </c>
    </row>
    <row r="9590" spans="1:7" x14ac:dyDescent="0.2">
      <c r="A9590" t="s">
        <v>10122</v>
      </c>
      <c r="B9590" t="str">
        <f>"13399625429"</f>
        <v>13399625429</v>
      </c>
      <c r="C9590" t="str">
        <f>"340823198205074015"</f>
        <v>340823198205074015</v>
      </c>
      <c r="D9590" t="s">
        <v>1</v>
      </c>
      <c r="E9590" t="s">
        <v>1</v>
      </c>
      <c r="F9590" t="s">
        <v>0</v>
      </c>
      <c r="G9590" t="str">
        <f>"2018-10-15 11:17:25"</f>
        <v>2018-10-15 11:17:25</v>
      </c>
    </row>
    <row r="9591" spans="1:7" x14ac:dyDescent="0.2">
      <c r="A9591" t="s">
        <v>10123</v>
      </c>
      <c r="B9591" t="str">
        <f>"17519473740"</f>
        <v>17519473740</v>
      </c>
      <c r="C9591" t="str">
        <f>"220122199611062952"</f>
        <v>220122199611062952</v>
      </c>
      <c r="D9591" t="s">
        <v>1</v>
      </c>
      <c r="E9591" t="s">
        <v>1</v>
      </c>
      <c r="F9591" t="s">
        <v>0</v>
      </c>
      <c r="G9591" t="str">
        <f>"2018-10-15 11:00:26"</f>
        <v>2018-10-15 11:00:26</v>
      </c>
    </row>
    <row r="9592" spans="1:7" x14ac:dyDescent="0.2">
      <c r="A9592" t="s">
        <v>10124</v>
      </c>
      <c r="B9592" t="str">
        <f>"13826097085"</f>
        <v>13826097085</v>
      </c>
      <c r="C9592" t="str">
        <f>"430623196408080011"</f>
        <v>430623196408080011</v>
      </c>
      <c r="D9592" t="s">
        <v>1</v>
      </c>
      <c r="E9592" t="s">
        <v>1</v>
      </c>
      <c r="F9592" t="s">
        <v>0</v>
      </c>
      <c r="G9592" t="str">
        <f>"2018-10-15 11:02:48"</f>
        <v>2018-10-15 11:02:48</v>
      </c>
    </row>
    <row r="9593" spans="1:7" x14ac:dyDescent="0.2">
      <c r="A9593" t="s">
        <v>10125</v>
      </c>
      <c r="B9593" t="str">
        <f>"18345844165"</f>
        <v>18345844165</v>
      </c>
      <c r="C9593" t="str">
        <f>"230523198002242320"</f>
        <v>230523198002242320</v>
      </c>
      <c r="D9593" t="s">
        <v>10126</v>
      </c>
      <c r="E9593" t="s">
        <v>10127</v>
      </c>
      <c r="F9593" t="s">
        <v>0</v>
      </c>
      <c r="G9593" t="str">
        <f>"2018-10-16 15:16:21"</f>
        <v>2018-10-16 15:16:21</v>
      </c>
    </row>
    <row r="9594" spans="1:7" x14ac:dyDescent="0.2">
      <c r="A9594" t="s">
        <v>10128</v>
      </c>
      <c r="B9594" t="str">
        <f>"13623295743"</f>
        <v>13623295743</v>
      </c>
      <c r="C9594" t="str">
        <f>"130528199209211217"</f>
        <v>130528199209211217</v>
      </c>
      <c r="D9594" t="s">
        <v>1</v>
      </c>
      <c r="E9594" t="s">
        <v>1</v>
      </c>
      <c r="F9594" t="s">
        <v>0</v>
      </c>
      <c r="G9594" t="str">
        <f>"2018-10-15 11:00:59"</f>
        <v>2018-10-15 11:00:59</v>
      </c>
    </row>
    <row r="9595" spans="1:7" x14ac:dyDescent="0.2">
      <c r="A9595" t="s">
        <v>10129</v>
      </c>
      <c r="B9595" t="str">
        <f>"15916996657"</f>
        <v>15916996657</v>
      </c>
      <c r="C9595" t="str">
        <f>"420923199306133934"</f>
        <v>420923199306133934</v>
      </c>
      <c r="D9595" t="s">
        <v>1</v>
      </c>
      <c r="E9595" t="s">
        <v>1</v>
      </c>
      <c r="F9595" t="s">
        <v>0</v>
      </c>
      <c r="G9595" t="str">
        <f>"2018-10-15 17:24:22"</f>
        <v>2018-10-15 17:24:22</v>
      </c>
    </row>
    <row r="9596" spans="1:7" x14ac:dyDescent="0.2">
      <c r="A9596" t="s">
        <v>10130</v>
      </c>
      <c r="B9596" t="str">
        <f>"15083789511"</f>
        <v>15083789511</v>
      </c>
      <c r="C9596" t="str">
        <f>"360702199009260647"</f>
        <v>360702199009260647</v>
      </c>
      <c r="D9596" t="s">
        <v>1</v>
      </c>
      <c r="E9596" t="s">
        <v>1</v>
      </c>
      <c r="F9596" t="s">
        <v>0</v>
      </c>
      <c r="G9596" t="str">
        <f>"2018-10-15 11:05:31"</f>
        <v>2018-10-15 11:05:31</v>
      </c>
    </row>
    <row r="9597" spans="1:7" x14ac:dyDescent="0.2">
      <c r="A9597" t="s">
        <v>1</v>
      </c>
      <c r="B9597" t="str">
        <f>"15303531876"</f>
        <v>15303531876</v>
      </c>
      <c r="C9597" t="s">
        <v>1</v>
      </c>
      <c r="D9597" t="s">
        <v>1</v>
      </c>
      <c r="E9597" t="s">
        <v>1</v>
      </c>
      <c r="F9597" t="s">
        <v>0</v>
      </c>
      <c r="G9597" t="str">
        <f>"2018-10-15 10:56:38"</f>
        <v>2018-10-15 10:56:38</v>
      </c>
    </row>
    <row r="9598" spans="1:7" x14ac:dyDescent="0.2">
      <c r="A9598" t="s">
        <v>10131</v>
      </c>
      <c r="B9598" t="str">
        <f>"13568483220"</f>
        <v>13568483220</v>
      </c>
      <c r="C9598" t="str">
        <f>"513025197803021377"</f>
        <v>513025197803021377</v>
      </c>
      <c r="D9598" t="s">
        <v>10132</v>
      </c>
      <c r="E9598" t="s">
        <v>10133</v>
      </c>
      <c r="F9598" t="s">
        <v>0</v>
      </c>
      <c r="G9598" t="str">
        <f>"2018-10-15 10:56:17"</f>
        <v>2018-10-15 10:56:17</v>
      </c>
    </row>
    <row r="9599" spans="1:7" x14ac:dyDescent="0.2">
      <c r="A9599" t="s">
        <v>10134</v>
      </c>
      <c r="B9599" t="str">
        <f>"15038108906"</f>
        <v>15038108906</v>
      </c>
      <c r="C9599" t="str">
        <f>"410181198206102042"</f>
        <v>410181198206102042</v>
      </c>
      <c r="D9599" t="s">
        <v>1</v>
      </c>
      <c r="E9599" t="s">
        <v>1</v>
      </c>
      <c r="F9599" t="s">
        <v>0</v>
      </c>
      <c r="G9599" t="str">
        <f>"2018-10-15 10:54:07"</f>
        <v>2018-10-15 10:54:07</v>
      </c>
    </row>
    <row r="9600" spans="1:7" x14ac:dyDescent="0.2">
      <c r="A9600" t="s">
        <v>10135</v>
      </c>
      <c r="B9600" t="str">
        <f>"15938143131"</f>
        <v>15938143131</v>
      </c>
      <c r="C9600" t="str">
        <f>"410803198611030133"</f>
        <v>410803198611030133</v>
      </c>
      <c r="D9600" t="s">
        <v>1</v>
      </c>
      <c r="E9600" t="s">
        <v>1</v>
      </c>
      <c r="F9600" t="s">
        <v>0</v>
      </c>
      <c r="G9600" t="str">
        <f>"2018-10-15 13:11:46"</f>
        <v>2018-10-15 13:11:46</v>
      </c>
    </row>
    <row r="9601" spans="1:7" x14ac:dyDescent="0.2">
      <c r="A9601" t="s">
        <v>10136</v>
      </c>
      <c r="B9601" t="str">
        <f>"15737539131"</f>
        <v>15737539131</v>
      </c>
      <c r="C9601" t="str">
        <f>"410425199806164511"</f>
        <v>410425199806164511</v>
      </c>
      <c r="D9601" t="s">
        <v>1</v>
      </c>
      <c r="E9601" t="s">
        <v>1</v>
      </c>
      <c r="F9601" t="s">
        <v>0</v>
      </c>
      <c r="G9601" t="str">
        <f>"2018-10-15 10:51:40"</f>
        <v>2018-10-15 10:51:40</v>
      </c>
    </row>
    <row r="9602" spans="1:7" x14ac:dyDescent="0.2">
      <c r="A9602" t="s">
        <v>10137</v>
      </c>
      <c r="B9602" t="str">
        <f>"15996376267"</f>
        <v>15996376267</v>
      </c>
      <c r="C9602" t="str">
        <f>"320382199504126835"</f>
        <v>320382199504126835</v>
      </c>
      <c r="D9602" t="s">
        <v>10138</v>
      </c>
      <c r="E9602" t="s">
        <v>10139</v>
      </c>
      <c r="F9602" t="s">
        <v>0</v>
      </c>
      <c r="G9602" t="str">
        <f>"2018-10-15 10:50:33"</f>
        <v>2018-10-15 10:50:33</v>
      </c>
    </row>
    <row r="9603" spans="1:7" x14ac:dyDescent="0.2">
      <c r="A9603" t="s">
        <v>1</v>
      </c>
      <c r="B9603" t="str">
        <f>"13291417846"</f>
        <v>13291417846</v>
      </c>
      <c r="C9603" t="s">
        <v>1</v>
      </c>
      <c r="D9603" t="s">
        <v>1</v>
      </c>
      <c r="E9603" t="s">
        <v>1</v>
      </c>
      <c r="F9603" t="s">
        <v>0</v>
      </c>
      <c r="G9603" t="str">
        <f>"2018-10-15 10:50:13"</f>
        <v>2018-10-15 10:50:13</v>
      </c>
    </row>
    <row r="9604" spans="1:7" x14ac:dyDescent="0.2">
      <c r="A9604" t="s">
        <v>1</v>
      </c>
      <c r="B9604" t="str">
        <f>"15232771470"</f>
        <v>15232771470</v>
      </c>
      <c r="C9604" t="s">
        <v>1</v>
      </c>
      <c r="D9604" t="s">
        <v>1</v>
      </c>
      <c r="E9604" t="s">
        <v>1</v>
      </c>
      <c r="F9604" t="s">
        <v>0</v>
      </c>
      <c r="G9604" t="str">
        <f>"2018-10-15 10:51:12"</f>
        <v>2018-10-15 10:51:12</v>
      </c>
    </row>
    <row r="9605" spans="1:7" x14ac:dyDescent="0.2">
      <c r="A9605" t="s">
        <v>10140</v>
      </c>
      <c r="B9605" t="str">
        <f>"18275980533"</f>
        <v>18275980533</v>
      </c>
      <c r="C9605" t="str">
        <f>"452131199302193626"</f>
        <v>452131199302193626</v>
      </c>
      <c r="D9605" t="s">
        <v>1</v>
      </c>
      <c r="E9605" t="s">
        <v>1</v>
      </c>
      <c r="F9605" t="s">
        <v>0</v>
      </c>
      <c r="G9605" t="str">
        <f>"2018-10-15 11:03:03"</f>
        <v>2018-10-15 11:03:03</v>
      </c>
    </row>
    <row r="9606" spans="1:7" x14ac:dyDescent="0.2">
      <c r="A9606" t="s">
        <v>1</v>
      </c>
      <c r="B9606" t="str">
        <f>"13337078236"</f>
        <v>13337078236</v>
      </c>
      <c r="C9606" t="s">
        <v>1</v>
      </c>
      <c r="D9606" t="s">
        <v>1</v>
      </c>
      <c r="E9606" t="s">
        <v>1</v>
      </c>
      <c r="F9606" t="s">
        <v>0</v>
      </c>
      <c r="G9606" t="str">
        <f>"2018-10-15 10:47:42"</f>
        <v>2018-10-15 10:47:42</v>
      </c>
    </row>
    <row r="9607" spans="1:7" x14ac:dyDescent="0.2">
      <c r="A9607" t="s">
        <v>10141</v>
      </c>
      <c r="B9607" t="str">
        <f>"18020141118"</f>
        <v>18020141118</v>
      </c>
      <c r="C9607" t="str">
        <f>"32118319921118531X"</f>
        <v>32118319921118531X</v>
      </c>
      <c r="D9607" t="s">
        <v>1</v>
      </c>
      <c r="E9607" t="s">
        <v>1</v>
      </c>
      <c r="F9607" t="s">
        <v>0</v>
      </c>
      <c r="G9607" t="str">
        <f>"2018-10-15 11:09:57"</f>
        <v>2018-10-15 11:09:57</v>
      </c>
    </row>
    <row r="9608" spans="1:7" x14ac:dyDescent="0.2">
      <c r="A9608" t="s">
        <v>10142</v>
      </c>
      <c r="B9608" t="str">
        <f>"15340838097"</f>
        <v>15340838097</v>
      </c>
      <c r="C9608" t="str">
        <f>"140428198407063210"</f>
        <v>140428198407063210</v>
      </c>
      <c r="D9608" t="s">
        <v>1</v>
      </c>
      <c r="E9608" t="s">
        <v>1</v>
      </c>
      <c r="F9608" t="s">
        <v>0</v>
      </c>
      <c r="G9608" t="str">
        <f>"2018-10-15 10:48:54"</f>
        <v>2018-10-15 10:48:54</v>
      </c>
    </row>
    <row r="9609" spans="1:7" x14ac:dyDescent="0.2">
      <c r="A9609" t="s">
        <v>1</v>
      </c>
      <c r="B9609" t="str">
        <f>"18659511119"</f>
        <v>18659511119</v>
      </c>
      <c r="C9609" t="s">
        <v>1</v>
      </c>
      <c r="D9609" t="s">
        <v>1</v>
      </c>
      <c r="E9609" t="s">
        <v>1</v>
      </c>
      <c r="F9609" t="s">
        <v>0</v>
      </c>
      <c r="G9609" t="str">
        <f>"2018-10-15 10:46:13"</f>
        <v>2018-10-15 10:46:13</v>
      </c>
    </row>
    <row r="9610" spans="1:7" x14ac:dyDescent="0.2">
      <c r="A9610" t="s">
        <v>1</v>
      </c>
      <c r="B9610" t="str">
        <f>"15557446294"</f>
        <v>15557446294</v>
      </c>
      <c r="C9610" t="s">
        <v>1</v>
      </c>
      <c r="D9610" t="s">
        <v>1</v>
      </c>
      <c r="E9610" t="s">
        <v>1</v>
      </c>
      <c r="F9610" t="s">
        <v>0</v>
      </c>
      <c r="G9610" t="str">
        <f>"2018-10-15 10:47:06"</f>
        <v>2018-10-15 10:47:06</v>
      </c>
    </row>
    <row r="9611" spans="1:7" x14ac:dyDescent="0.2">
      <c r="A9611" t="s">
        <v>1</v>
      </c>
      <c r="B9611" t="str">
        <f>"17171049948"</f>
        <v>17171049948</v>
      </c>
      <c r="C9611" t="s">
        <v>1</v>
      </c>
      <c r="D9611" t="s">
        <v>1</v>
      </c>
      <c r="E9611" t="s">
        <v>1</v>
      </c>
      <c r="F9611" t="s">
        <v>0</v>
      </c>
      <c r="G9611" t="str">
        <f>"2018-10-15 10:45:28"</f>
        <v>2018-10-15 10:45:28</v>
      </c>
    </row>
    <row r="9612" spans="1:7" x14ac:dyDescent="0.2">
      <c r="A9612" t="s">
        <v>1</v>
      </c>
      <c r="B9612" t="str">
        <f>"13947581077"</f>
        <v>13947581077</v>
      </c>
      <c r="C9612" t="s">
        <v>1</v>
      </c>
      <c r="D9612" t="s">
        <v>1</v>
      </c>
      <c r="E9612" t="s">
        <v>1</v>
      </c>
      <c r="F9612" t="s">
        <v>0</v>
      </c>
      <c r="G9612" t="str">
        <f>"2018-10-15 10:45:04"</f>
        <v>2018-10-15 10:45:04</v>
      </c>
    </row>
    <row r="9613" spans="1:7" x14ac:dyDescent="0.2">
      <c r="A9613" t="s">
        <v>10143</v>
      </c>
      <c r="B9613" t="str">
        <f>"17305497205"</f>
        <v>17305497205</v>
      </c>
      <c r="C9613" t="str">
        <f>"371324199108102512"</f>
        <v>371324199108102512</v>
      </c>
      <c r="D9613" t="s">
        <v>1</v>
      </c>
      <c r="E9613" t="s">
        <v>1</v>
      </c>
      <c r="F9613" t="s">
        <v>0</v>
      </c>
      <c r="G9613" t="str">
        <f>"2018-10-15 10:44:52"</f>
        <v>2018-10-15 10:44:52</v>
      </c>
    </row>
    <row r="9614" spans="1:7" x14ac:dyDescent="0.2">
      <c r="A9614" t="s">
        <v>10144</v>
      </c>
      <c r="B9614" t="str">
        <f>"18566156059"</f>
        <v>18566156059</v>
      </c>
      <c r="C9614" t="str">
        <f>"431021198310267974"</f>
        <v>431021198310267974</v>
      </c>
      <c r="D9614" t="s">
        <v>1</v>
      </c>
      <c r="E9614" t="s">
        <v>1</v>
      </c>
      <c r="F9614" t="s">
        <v>0</v>
      </c>
      <c r="G9614" t="str">
        <f>"2018-10-15 11:00:16"</f>
        <v>2018-10-15 11:00:16</v>
      </c>
    </row>
    <row r="9615" spans="1:7" x14ac:dyDescent="0.2">
      <c r="A9615" t="s">
        <v>10145</v>
      </c>
      <c r="B9615" t="str">
        <f>"17607321314"</f>
        <v>17607321314</v>
      </c>
      <c r="C9615" t="str">
        <f>"430382198801253073"</f>
        <v>430382198801253073</v>
      </c>
      <c r="D9615" t="s">
        <v>1</v>
      </c>
      <c r="E9615" t="s">
        <v>1</v>
      </c>
      <c r="F9615" t="s">
        <v>0</v>
      </c>
      <c r="G9615" t="str">
        <f>"2018-10-15 10:44:15"</f>
        <v>2018-10-15 10:44:15</v>
      </c>
    </row>
    <row r="9616" spans="1:7" x14ac:dyDescent="0.2">
      <c r="A9616" t="s">
        <v>10146</v>
      </c>
      <c r="B9616" t="str">
        <f>"18736298169"</f>
        <v>18736298169</v>
      </c>
      <c r="C9616" t="str">
        <f>"41030519871027055X"</f>
        <v>41030519871027055X</v>
      </c>
      <c r="D9616" t="s">
        <v>10147</v>
      </c>
      <c r="E9616" t="s">
        <v>10148</v>
      </c>
      <c r="F9616" t="s">
        <v>0</v>
      </c>
      <c r="G9616" t="str">
        <f>"2018-10-24 13:38:17"</f>
        <v>2018-10-24 13:38:17</v>
      </c>
    </row>
    <row r="9617" spans="1:7" x14ac:dyDescent="0.2">
      <c r="A9617" t="s">
        <v>1688</v>
      </c>
      <c r="B9617" t="str">
        <f>"15171906991"</f>
        <v>15171906991</v>
      </c>
      <c r="C9617" t="str">
        <f>"420583198410012227"</f>
        <v>420583198410012227</v>
      </c>
      <c r="D9617" t="s">
        <v>1</v>
      </c>
      <c r="E9617" t="s">
        <v>1</v>
      </c>
      <c r="F9617" t="s">
        <v>0</v>
      </c>
      <c r="G9617" t="str">
        <f>"2018-10-15 10:44:28"</f>
        <v>2018-10-15 10:44:28</v>
      </c>
    </row>
    <row r="9618" spans="1:7" x14ac:dyDescent="0.2">
      <c r="A9618" t="s">
        <v>10149</v>
      </c>
      <c r="B9618" t="str">
        <f>"18993197827"</f>
        <v>18993197827</v>
      </c>
      <c r="C9618" t="str">
        <f>"622826199011060638"</f>
        <v>622826199011060638</v>
      </c>
      <c r="D9618" t="s">
        <v>1</v>
      </c>
      <c r="E9618" t="s">
        <v>1</v>
      </c>
      <c r="F9618" t="s">
        <v>0</v>
      </c>
      <c r="G9618" t="str">
        <f>"2018-10-15 10:43:51"</f>
        <v>2018-10-15 10:43:51</v>
      </c>
    </row>
    <row r="9619" spans="1:7" x14ac:dyDescent="0.2">
      <c r="A9619" t="s">
        <v>10150</v>
      </c>
      <c r="B9619" t="str">
        <f>"13120494555"</f>
        <v>13120494555</v>
      </c>
      <c r="C9619" t="str">
        <f>"230129199304024215"</f>
        <v>230129199304024215</v>
      </c>
      <c r="D9619" t="s">
        <v>1</v>
      </c>
      <c r="E9619" t="s">
        <v>1</v>
      </c>
      <c r="F9619" t="s">
        <v>0</v>
      </c>
      <c r="G9619" t="str">
        <f>"2018-10-15 11:25:34"</f>
        <v>2018-10-15 11:25:34</v>
      </c>
    </row>
    <row r="9620" spans="1:7" x14ac:dyDescent="0.2">
      <c r="A9620" t="s">
        <v>10151</v>
      </c>
      <c r="B9620" t="str">
        <f>"13338325988"</f>
        <v>13338325988</v>
      </c>
      <c r="C9620" t="str">
        <f>"350681198106114012"</f>
        <v>350681198106114012</v>
      </c>
      <c r="D9620" t="s">
        <v>10152</v>
      </c>
      <c r="E9620" t="s">
        <v>10153</v>
      </c>
      <c r="F9620" t="s">
        <v>0</v>
      </c>
      <c r="G9620" t="str">
        <f>"2018-10-15 10:45:29"</f>
        <v>2018-10-15 10:45:29</v>
      </c>
    </row>
    <row r="9621" spans="1:7" x14ac:dyDescent="0.2">
      <c r="A9621" t="s">
        <v>1</v>
      </c>
      <c r="B9621" t="str">
        <f>"17375690571"</f>
        <v>17375690571</v>
      </c>
      <c r="C9621" t="s">
        <v>1</v>
      </c>
      <c r="D9621" t="s">
        <v>1</v>
      </c>
      <c r="E9621" t="s">
        <v>1</v>
      </c>
      <c r="F9621" t="s">
        <v>0</v>
      </c>
      <c r="G9621" t="str">
        <f>"2018-10-15 10:42:38"</f>
        <v>2018-10-15 10:42:38</v>
      </c>
    </row>
    <row r="9622" spans="1:7" x14ac:dyDescent="0.2">
      <c r="A9622" t="s">
        <v>10154</v>
      </c>
      <c r="B9622" t="str">
        <f>"13721062284"</f>
        <v>13721062284</v>
      </c>
      <c r="C9622" t="str">
        <f>"340405198910211017"</f>
        <v>340405198910211017</v>
      </c>
      <c r="D9622" t="s">
        <v>10155</v>
      </c>
      <c r="E9622" t="s">
        <v>10156</v>
      </c>
      <c r="F9622" t="s">
        <v>0</v>
      </c>
      <c r="G9622" t="str">
        <f>"2018-10-15 10:43:00"</f>
        <v>2018-10-15 10:43:00</v>
      </c>
    </row>
    <row r="9623" spans="1:7" x14ac:dyDescent="0.2">
      <c r="A9623" t="s">
        <v>1</v>
      </c>
      <c r="B9623" t="str">
        <f>"13190381345"</f>
        <v>13190381345</v>
      </c>
      <c r="C9623" t="s">
        <v>1</v>
      </c>
      <c r="D9623" t="s">
        <v>1</v>
      </c>
      <c r="E9623" t="s">
        <v>1</v>
      </c>
      <c r="F9623" t="s">
        <v>0</v>
      </c>
      <c r="G9623" t="str">
        <f>"2018-10-15 10:41:11"</f>
        <v>2018-10-15 10:41:11</v>
      </c>
    </row>
    <row r="9624" spans="1:7" x14ac:dyDescent="0.2">
      <c r="A9624" t="s">
        <v>766</v>
      </c>
      <c r="B9624" t="str">
        <f>"17695400194"</f>
        <v>17695400194</v>
      </c>
      <c r="C9624" t="str">
        <f>"412829199604082824"</f>
        <v>412829199604082824</v>
      </c>
      <c r="D9624" t="s">
        <v>1</v>
      </c>
      <c r="E9624" t="s">
        <v>1</v>
      </c>
      <c r="F9624" t="s">
        <v>0</v>
      </c>
      <c r="G9624" t="str">
        <f>"2018-10-15 10:42:07"</f>
        <v>2018-10-15 10:42:07</v>
      </c>
    </row>
    <row r="9625" spans="1:7" x14ac:dyDescent="0.2">
      <c r="A9625" t="s">
        <v>1</v>
      </c>
      <c r="B9625" t="str">
        <f>"15120721410"</f>
        <v>15120721410</v>
      </c>
      <c r="C9625" t="s">
        <v>1</v>
      </c>
      <c r="D9625" t="s">
        <v>1</v>
      </c>
      <c r="E9625" t="s">
        <v>1</v>
      </c>
      <c r="F9625" t="s">
        <v>0</v>
      </c>
      <c r="G9625" t="str">
        <f>"2018-10-15 10:40:46"</f>
        <v>2018-10-15 10:40:46</v>
      </c>
    </row>
    <row r="9626" spans="1:7" x14ac:dyDescent="0.2">
      <c r="A9626" t="s">
        <v>204</v>
      </c>
      <c r="B9626" t="str">
        <f>"13991911219"</f>
        <v>13991911219</v>
      </c>
      <c r="C9626" t="str">
        <f>"610121198808107992"</f>
        <v>610121198808107992</v>
      </c>
      <c r="D9626" t="s">
        <v>1</v>
      </c>
      <c r="E9626" t="s">
        <v>1</v>
      </c>
      <c r="F9626" t="s">
        <v>0</v>
      </c>
      <c r="G9626" t="str">
        <f>"2018-10-15 10:42:06"</f>
        <v>2018-10-15 10:42:06</v>
      </c>
    </row>
    <row r="9627" spans="1:7" x14ac:dyDescent="0.2">
      <c r="A9627" t="s">
        <v>10157</v>
      </c>
      <c r="B9627" t="str">
        <f>"15395460903"</f>
        <v>15395460903</v>
      </c>
      <c r="C9627" t="str">
        <f>"340403198812281430"</f>
        <v>340403198812281430</v>
      </c>
      <c r="D9627" t="s">
        <v>1</v>
      </c>
      <c r="E9627" t="s">
        <v>1</v>
      </c>
      <c r="F9627" t="s">
        <v>0</v>
      </c>
      <c r="G9627" t="str">
        <f>"2018-10-20 14:24:37"</f>
        <v>2018-10-20 14:24:37</v>
      </c>
    </row>
    <row r="9628" spans="1:7" x14ac:dyDescent="0.2">
      <c r="A9628" t="s">
        <v>1</v>
      </c>
      <c r="B9628" t="str">
        <f>"15607864757"</f>
        <v>15607864757</v>
      </c>
      <c r="C9628" t="s">
        <v>1</v>
      </c>
      <c r="D9628" t="s">
        <v>1</v>
      </c>
      <c r="E9628" t="s">
        <v>1</v>
      </c>
      <c r="F9628" t="s">
        <v>0</v>
      </c>
      <c r="G9628" t="str">
        <f>"2018-10-15 10:40:39"</f>
        <v>2018-10-15 10:40:39</v>
      </c>
    </row>
    <row r="9629" spans="1:7" x14ac:dyDescent="0.2">
      <c r="A9629" t="s">
        <v>10158</v>
      </c>
      <c r="B9629" t="str">
        <f>"18974918218"</f>
        <v>18974918218</v>
      </c>
      <c r="C9629" t="str">
        <f>"43062419951021571X"</f>
        <v>43062419951021571X</v>
      </c>
      <c r="D9629" t="s">
        <v>1</v>
      </c>
      <c r="E9629" t="s">
        <v>1</v>
      </c>
      <c r="F9629" t="s">
        <v>0</v>
      </c>
      <c r="G9629" t="str">
        <f>"2018-10-20 15:19:42"</f>
        <v>2018-10-20 15:19:42</v>
      </c>
    </row>
    <row r="9630" spans="1:7" x14ac:dyDescent="0.2">
      <c r="A9630" t="s">
        <v>10159</v>
      </c>
      <c r="B9630" t="str">
        <f>"13399780363"</f>
        <v>13399780363</v>
      </c>
      <c r="C9630" t="str">
        <f>"653125197702156017"</f>
        <v>653125197702156017</v>
      </c>
      <c r="D9630" t="s">
        <v>10160</v>
      </c>
      <c r="E9630" t="s">
        <v>10161</v>
      </c>
      <c r="F9630" t="s">
        <v>0</v>
      </c>
      <c r="G9630" t="str">
        <f>"2018-10-15 10:55:02"</f>
        <v>2018-10-15 10:55:02</v>
      </c>
    </row>
    <row r="9631" spans="1:7" x14ac:dyDescent="0.2">
      <c r="A9631" t="s">
        <v>1</v>
      </c>
      <c r="B9631" t="str">
        <f>"15280395121"</f>
        <v>15280395121</v>
      </c>
      <c r="C9631" t="s">
        <v>1</v>
      </c>
      <c r="D9631" t="s">
        <v>1</v>
      </c>
      <c r="E9631" t="s">
        <v>1</v>
      </c>
      <c r="F9631" t="s">
        <v>0</v>
      </c>
      <c r="G9631" t="str">
        <f>"2018-10-15 10:38:48"</f>
        <v>2018-10-15 10:38:48</v>
      </c>
    </row>
    <row r="9632" spans="1:7" x14ac:dyDescent="0.2">
      <c r="A9632" t="s">
        <v>10162</v>
      </c>
      <c r="B9632" t="str">
        <f>"18389166245"</f>
        <v>18389166245</v>
      </c>
      <c r="C9632" t="str">
        <f>"371082199206011822"</f>
        <v>371082199206011822</v>
      </c>
      <c r="D9632" t="s">
        <v>1</v>
      </c>
      <c r="E9632" t="s">
        <v>1</v>
      </c>
      <c r="F9632" t="s">
        <v>0</v>
      </c>
      <c r="G9632" t="str">
        <f>"2018-10-15 10:45:13"</f>
        <v>2018-10-15 10:45:13</v>
      </c>
    </row>
    <row r="9633" spans="1:7" x14ac:dyDescent="0.2">
      <c r="A9633" t="s">
        <v>1</v>
      </c>
      <c r="B9633" t="str">
        <f>"18006070306"</f>
        <v>18006070306</v>
      </c>
      <c r="C9633" t="s">
        <v>1</v>
      </c>
      <c r="D9633" t="s">
        <v>1</v>
      </c>
      <c r="E9633" t="s">
        <v>1</v>
      </c>
      <c r="F9633" t="s">
        <v>0</v>
      </c>
      <c r="G9633" t="str">
        <f>"2018-10-15 10:38:25"</f>
        <v>2018-10-15 10:38:25</v>
      </c>
    </row>
    <row r="9634" spans="1:7" x14ac:dyDescent="0.2">
      <c r="A9634" t="s">
        <v>10163</v>
      </c>
      <c r="B9634" t="str">
        <f>"13928994709"</f>
        <v>13928994709</v>
      </c>
      <c r="C9634" t="str">
        <f>"430481199611218801"</f>
        <v>430481199611218801</v>
      </c>
      <c r="D9634" t="s">
        <v>1</v>
      </c>
      <c r="E9634" t="s">
        <v>1</v>
      </c>
      <c r="F9634" t="s">
        <v>0</v>
      </c>
      <c r="G9634" t="str">
        <f>"2018-10-30 21:24:28"</f>
        <v>2018-10-30 21:24:28</v>
      </c>
    </row>
    <row r="9635" spans="1:7" x14ac:dyDescent="0.2">
      <c r="A9635" t="s">
        <v>1</v>
      </c>
      <c r="B9635" t="str">
        <f>"15678822647"</f>
        <v>15678822647</v>
      </c>
      <c r="C9635" t="s">
        <v>1</v>
      </c>
      <c r="D9635" t="s">
        <v>1</v>
      </c>
      <c r="E9635" t="s">
        <v>1</v>
      </c>
      <c r="F9635" t="s">
        <v>0</v>
      </c>
      <c r="G9635" t="str">
        <f>"2018-10-15 10:37:32"</f>
        <v>2018-10-15 10:37:32</v>
      </c>
    </row>
    <row r="9636" spans="1:7" x14ac:dyDescent="0.2">
      <c r="A9636" t="s">
        <v>10164</v>
      </c>
      <c r="B9636" t="str">
        <f>"13942983010"</f>
        <v>13942983010</v>
      </c>
      <c r="C9636" t="str">
        <f>"211402197911031040"</f>
        <v>211402197911031040</v>
      </c>
      <c r="D9636" t="s">
        <v>1</v>
      </c>
      <c r="E9636" t="s">
        <v>1</v>
      </c>
      <c r="F9636" t="s">
        <v>0</v>
      </c>
      <c r="G9636" t="str">
        <f>"2018-10-15 11:39:07"</f>
        <v>2018-10-15 11:39:07</v>
      </c>
    </row>
    <row r="9637" spans="1:7" x14ac:dyDescent="0.2">
      <c r="A9637" t="s">
        <v>10165</v>
      </c>
      <c r="B9637" t="str">
        <f>"17759329898"</f>
        <v>17759329898</v>
      </c>
      <c r="C9637" t="str">
        <f>"352231197507170914"</f>
        <v>352231197507170914</v>
      </c>
      <c r="D9637" t="s">
        <v>1</v>
      </c>
      <c r="E9637" t="s">
        <v>1</v>
      </c>
      <c r="F9637" t="s">
        <v>0</v>
      </c>
      <c r="G9637" t="str">
        <f>"2018-10-15 10:38:23"</f>
        <v>2018-10-15 10:38:23</v>
      </c>
    </row>
    <row r="9638" spans="1:7" x14ac:dyDescent="0.2">
      <c r="A9638" t="s">
        <v>1</v>
      </c>
      <c r="B9638" t="str">
        <f>"18937560031"</f>
        <v>18937560031</v>
      </c>
      <c r="C9638" t="s">
        <v>1</v>
      </c>
      <c r="D9638" t="s">
        <v>1</v>
      </c>
      <c r="E9638" t="s">
        <v>1</v>
      </c>
      <c r="F9638" t="s">
        <v>0</v>
      </c>
      <c r="G9638" t="str">
        <f>"2018-10-15 10:36:44"</f>
        <v>2018-10-15 10:36:44</v>
      </c>
    </row>
    <row r="9639" spans="1:7" x14ac:dyDescent="0.2">
      <c r="A9639" t="s">
        <v>847</v>
      </c>
      <c r="B9639" t="str">
        <f>"18260135296"</f>
        <v>18260135296</v>
      </c>
      <c r="C9639" t="str">
        <f>"510322198810264739"</f>
        <v>510322198810264739</v>
      </c>
      <c r="D9639" t="s">
        <v>1</v>
      </c>
      <c r="E9639" t="s">
        <v>1</v>
      </c>
      <c r="F9639" t="s">
        <v>0</v>
      </c>
      <c r="G9639" t="str">
        <f>"2018-10-15 10:39:20"</f>
        <v>2018-10-15 10:39:20</v>
      </c>
    </row>
    <row r="9640" spans="1:7" x14ac:dyDescent="0.2">
      <c r="A9640" t="s">
        <v>1</v>
      </c>
      <c r="B9640" t="str">
        <f>"13352032355"</f>
        <v>13352032355</v>
      </c>
      <c r="C9640" t="s">
        <v>1</v>
      </c>
      <c r="D9640" t="s">
        <v>1</v>
      </c>
      <c r="E9640" t="s">
        <v>1</v>
      </c>
      <c r="F9640" t="s">
        <v>0</v>
      </c>
      <c r="G9640" t="str">
        <f>"2018-10-15 10:35:32"</f>
        <v>2018-10-15 10:35:32</v>
      </c>
    </row>
    <row r="9641" spans="1:7" x14ac:dyDescent="0.2">
      <c r="A9641" t="s">
        <v>1</v>
      </c>
      <c r="B9641" t="str">
        <f>"15777222965"</f>
        <v>15777222965</v>
      </c>
      <c r="C9641" t="s">
        <v>1</v>
      </c>
      <c r="D9641" t="s">
        <v>1</v>
      </c>
      <c r="E9641" t="s">
        <v>1</v>
      </c>
      <c r="F9641" t="s">
        <v>0</v>
      </c>
      <c r="G9641" t="str">
        <f>"2018-10-15 10:37:53"</f>
        <v>2018-10-15 10:37:53</v>
      </c>
    </row>
    <row r="9642" spans="1:7" x14ac:dyDescent="0.2">
      <c r="A9642" t="s">
        <v>1</v>
      </c>
      <c r="B9642" t="str">
        <f>"18989111312"</f>
        <v>18989111312</v>
      </c>
      <c r="C9642" t="s">
        <v>1</v>
      </c>
      <c r="D9642" t="s">
        <v>1</v>
      </c>
      <c r="E9642" t="s">
        <v>1</v>
      </c>
      <c r="F9642" t="s">
        <v>0</v>
      </c>
      <c r="G9642" t="str">
        <f>"2018-10-15 10:35:56"</f>
        <v>2018-10-15 10:35:56</v>
      </c>
    </row>
    <row r="9643" spans="1:7" x14ac:dyDescent="0.2">
      <c r="A9643" t="s">
        <v>1</v>
      </c>
      <c r="B9643" t="str">
        <f>"13363999557"</f>
        <v>13363999557</v>
      </c>
      <c r="C9643" t="s">
        <v>1</v>
      </c>
      <c r="D9643" t="s">
        <v>1</v>
      </c>
      <c r="E9643" t="s">
        <v>1</v>
      </c>
      <c r="F9643" t="s">
        <v>0</v>
      </c>
      <c r="G9643" t="str">
        <f>"2018-10-15 10:34:26"</f>
        <v>2018-10-15 10:34:26</v>
      </c>
    </row>
    <row r="9644" spans="1:7" x14ac:dyDescent="0.2">
      <c r="A9644" t="s">
        <v>10166</v>
      </c>
      <c r="B9644" t="str">
        <f>"18760132806"</f>
        <v>18760132806</v>
      </c>
      <c r="C9644" t="str">
        <f>"350821199601103029"</f>
        <v>350821199601103029</v>
      </c>
      <c r="D9644" t="s">
        <v>1</v>
      </c>
      <c r="E9644" t="s">
        <v>1</v>
      </c>
      <c r="F9644" t="s">
        <v>0</v>
      </c>
      <c r="G9644" t="str">
        <f>"2018-10-15 10:34:01"</f>
        <v>2018-10-15 10:34:01</v>
      </c>
    </row>
    <row r="9645" spans="1:7" x14ac:dyDescent="0.2">
      <c r="A9645" t="s">
        <v>10167</v>
      </c>
      <c r="B9645" t="str">
        <f>"18185693233"</f>
        <v>18185693233</v>
      </c>
      <c r="C9645" t="str">
        <f>"522228198705072416"</f>
        <v>522228198705072416</v>
      </c>
      <c r="D9645" t="s">
        <v>1</v>
      </c>
      <c r="E9645" t="s">
        <v>1</v>
      </c>
      <c r="F9645" t="s">
        <v>0</v>
      </c>
      <c r="G9645" t="str">
        <f>"2018-10-15 20:38:13"</f>
        <v>2018-10-15 20:38:13</v>
      </c>
    </row>
    <row r="9646" spans="1:7" x14ac:dyDescent="0.2">
      <c r="A9646" t="s">
        <v>10168</v>
      </c>
      <c r="B9646" t="str">
        <f>"15751388375"</f>
        <v>15751388375</v>
      </c>
      <c r="C9646" t="str">
        <f>"320825198109244968"</f>
        <v>320825198109244968</v>
      </c>
      <c r="D9646" t="s">
        <v>1</v>
      </c>
      <c r="E9646" t="s">
        <v>1</v>
      </c>
      <c r="F9646" t="s">
        <v>0</v>
      </c>
      <c r="G9646" t="str">
        <f>"2018-10-15 10:32:18"</f>
        <v>2018-10-15 10:32:18</v>
      </c>
    </row>
    <row r="9647" spans="1:7" x14ac:dyDescent="0.2">
      <c r="A9647" t="s">
        <v>10169</v>
      </c>
      <c r="B9647" t="str">
        <f>"18978182701"</f>
        <v>18978182701</v>
      </c>
      <c r="C9647" t="str">
        <f>"450722198509283733"</f>
        <v>450722198509283733</v>
      </c>
      <c r="D9647" t="s">
        <v>1</v>
      </c>
      <c r="E9647" t="s">
        <v>1</v>
      </c>
      <c r="F9647" t="s">
        <v>0</v>
      </c>
      <c r="G9647" t="str">
        <f>"2018-10-15 10:31:09"</f>
        <v>2018-10-15 10:31:09</v>
      </c>
    </row>
    <row r="9648" spans="1:7" x14ac:dyDescent="0.2">
      <c r="A9648" t="s">
        <v>1</v>
      </c>
      <c r="B9648" t="str">
        <f>"17081973020"</f>
        <v>17081973020</v>
      </c>
      <c r="C9648" t="s">
        <v>1</v>
      </c>
      <c r="D9648" t="s">
        <v>1</v>
      </c>
      <c r="E9648" t="s">
        <v>1</v>
      </c>
      <c r="F9648" t="s">
        <v>0</v>
      </c>
      <c r="G9648" t="str">
        <f>"2018-10-15 10:29:52"</f>
        <v>2018-10-15 10:29:52</v>
      </c>
    </row>
    <row r="9649" spans="1:7" x14ac:dyDescent="0.2">
      <c r="A9649" t="s">
        <v>1</v>
      </c>
      <c r="B9649" t="str">
        <f>"18977944275"</f>
        <v>18977944275</v>
      </c>
      <c r="C9649" t="s">
        <v>1</v>
      </c>
      <c r="D9649" t="s">
        <v>1</v>
      </c>
      <c r="E9649" t="s">
        <v>1</v>
      </c>
      <c r="F9649" t="s">
        <v>0</v>
      </c>
      <c r="G9649" t="str">
        <f>"2018-10-15 10:29:42"</f>
        <v>2018-10-15 10:29:42</v>
      </c>
    </row>
    <row r="9650" spans="1:7" x14ac:dyDescent="0.2">
      <c r="A9650" t="s">
        <v>10170</v>
      </c>
      <c r="B9650" t="str">
        <f>"13878460054"</f>
        <v>13878460054</v>
      </c>
      <c r="C9650" t="str">
        <f>"452423198212241331"</f>
        <v>452423198212241331</v>
      </c>
      <c r="D9650" t="s">
        <v>1</v>
      </c>
      <c r="E9650" t="s">
        <v>1</v>
      </c>
      <c r="F9650" t="s">
        <v>0</v>
      </c>
      <c r="G9650" t="str">
        <f>"2018-10-15 10:34:11"</f>
        <v>2018-10-15 10:34:11</v>
      </c>
    </row>
    <row r="9651" spans="1:7" x14ac:dyDescent="0.2">
      <c r="A9651" t="s">
        <v>10171</v>
      </c>
      <c r="B9651" t="str">
        <f>"13713848349"</f>
        <v>13713848349</v>
      </c>
      <c r="C9651" t="str">
        <f>"350583199202176346"</f>
        <v>350583199202176346</v>
      </c>
      <c r="D9651" t="s">
        <v>1</v>
      </c>
      <c r="E9651" t="s">
        <v>1</v>
      </c>
      <c r="F9651" t="s">
        <v>0</v>
      </c>
      <c r="G9651" t="str">
        <f>"2018-10-15 10:27:45"</f>
        <v>2018-10-15 10:27:45</v>
      </c>
    </row>
    <row r="9652" spans="1:7" x14ac:dyDescent="0.2">
      <c r="A9652" t="s">
        <v>10172</v>
      </c>
      <c r="B9652" t="str">
        <f>"15386744183"</f>
        <v>15386744183</v>
      </c>
      <c r="C9652" t="str">
        <f>"142431199810044815"</f>
        <v>142431199810044815</v>
      </c>
      <c r="D9652" t="s">
        <v>1</v>
      </c>
      <c r="E9652" t="s">
        <v>1</v>
      </c>
      <c r="F9652" t="s">
        <v>0</v>
      </c>
      <c r="G9652" t="str">
        <f>"2018-10-15 10:26:39"</f>
        <v>2018-10-15 10:26:39</v>
      </c>
    </row>
    <row r="9653" spans="1:7" x14ac:dyDescent="0.2">
      <c r="A9653" t="s">
        <v>10173</v>
      </c>
      <c r="B9653" t="str">
        <f>"13864620382"</f>
        <v>13864620382</v>
      </c>
      <c r="C9653" t="str">
        <f>"370721197411180778"</f>
        <v>370721197411180778</v>
      </c>
      <c r="D9653" t="s">
        <v>1</v>
      </c>
      <c r="E9653" t="s">
        <v>1</v>
      </c>
      <c r="F9653" t="s">
        <v>0</v>
      </c>
      <c r="G9653" t="str">
        <f>"2018-10-15 11:07:15"</f>
        <v>2018-10-15 11:07:15</v>
      </c>
    </row>
    <row r="9654" spans="1:7" x14ac:dyDescent="0.2">
      <c r="A9654" t="s">
        <v>10174</v>
      </c>
      <c r="B9654" t="str">
        <f>"18996052078"</f>
        <v>18996052078</v>
      </c>
      <c r="C9654" t="str">
        <f>"510215197609225013"</f>
        <v>510215197609225013</v>
      </c>
      <c r="D9654" t="s">
        <v>10175</v>
      </c>
      <c r="E9654" t="s">
        <v>10176</v>
      </c>
      <c r="F9654" t="s">
        <v>0</v>
      </c>
      <c r="G9654" t="str">
        <f>"2018-10-15 10:25:56"</f>
        <v>2018-10-15 10:25:56</v>
      </c>
    </row>
    <row r="9655" spans="1:7" x14ac:dyDescent="0.2">
      <c r="A9655" t="s">
        <v>1</v>
      </c>
      <c r="B9655" t="str">
        <f>"17600663511"</f>
        <v>17600663511</v>
      </c>
      <c r="C9655" t="s">
        <v>1</v>
      </c>
      <c r="D9655" t="s">
        <v>1</v>
      </c>
      <c r="E9655" t="s">
        <v>1</v>
      </c>
      <c r="F9655" t="s">
        <v>0</v>
      </c>
      <c r="G9655" t="str">
        <f>"2018-10-15 10:37:45"</f>
        <v>2018-10-15 10:37:45</v>
      </c>
    </row>
    <row r="9656" spans="1:7" x14ac:dyDescent="0.2">
      <c r="A9656" t="s">
        <v>10177</v>
      </c>
      <c r="B9656" t="str">
        <f>"18690695613"</f>
        <v>18690695613</v>
      </c>
      <c r="C9656" t="str">
        <f>"652826198705041467"</f>
        <v>652826198705041467</v>
      </c>
      <c r="D9656" t="s">
        <v>10178</v>
      </c>
      <c r="E9656" t="s">
        <v>10179</v>
      </c>
      <c r="F9656" t="s">
        <v>0</v>
      </c>
      <c r="G9656" t="str">
        <f>"2018-10-15 10:24:48"</f>
        <v>2018-10-15 10:24:48</v>
      </c>
    </row>
    <row r="9657" spans="1:7" x14ac:dyDescent="0.2">
      <c r="A9657" t="s">
        <v>10180</v>
      </c>
      <c r="B9657" t="str">
        <f>"18090681954"</f>
        <v>18090681954</v>
      </c>
      <c r="C9657" t="str">
        <f>"513424199206270054"</f>
        <v>513424199206270054</v>
      </c>
      <c r="D9657" t="s">
        <v>1</v>
      </c>
      <c r="E9657" t="s">
        <v>1</v>
      </c>
      <c r="F9657" t="s">
        <v>0</v>
      </c>
      <c r="G9657" t="str">
        <f>"2018-10-15 10:26:44"</f>
        <v>2018-10-15 10:26:44</v>
      </c>
    </row>
    <row r="9658" spans="1:7" x14ac:dyDescent="0.2">
      <c r="A9658" t="s">
        <v>10181</v>
      </c>
      <c r="B9658" t="str">
        <f>"18080768010"</f>
        <v>18080768010</v>
      </c>
      <c r="C9658" t="str">
        <f>"51372219950824711X"</f>
        <v>51372219950824711X</v>
      </c>
      <c r="D9658" t="s">
        <v>10182</v>
      </c>
      <c r="E9658" t="s">
        <v>10183</v>
      </c>
      <c r="F9658" t="s">
        <v>0</v>
      </c>
      <c r="G9658" t="str">
        <f>"2018-10-15 10:38:42"</f>
        <v>2018-10-15 10:38:42</v>
      </c>
    </row>
    <row r="9659" spans="1:7" x14ac:dyDescent="0.2">
      <c r="A9659" t="s">
        <v>1</v>
      </c>
      <c r="B9659" t="str">
        <f>"15376919909"</f>
        <v>15376919909</v>
      </c>
      <c r="C9659" t="s">
        <v>1</v>
      </c>
      <c r="D9659" t="s">
        <v>1</v>
      </c>
      <c r="E9659" t="s">
        <v>1</v>
      </c>
      <c r="F9659" t="s">
        <v>0</v>
      </c>
      <c r="G9659" t="str">
        <f>"2018-10-15 10:34:19"</f>
        <v>2018-10-15 10:34:19</v>
      </c>
    </row>
    <row r="9660" spans="1:7" x14ac:dyDescent="0.2">
      <c r="A9660" t="s">
        <v>10184</v>
      </c>
      <c r="B9660" t="str">
        <f>"15069737549"</f>
        <v>15069737549</v>
      </c>
      <c r="C9660" t="str">
        <f>"370881198508184456"</f>
        <v>370881198508184456</v>
      </c>
      <c r="D9660" t="s">
        <v>10185</v>
      </c>
      <c r="E9660" t="s">
        <v>10186</v>
      </c>
      <c r="F9660" t="s">
        <v>0</v>
      </c>
      <c r="G9660" t="str">
        <f>"2018-10-15 10:26:57"</f>
        <v>2018-10-15 10:26:57</v>
      </c>
    </row>
    <row r="9661" spans="1:7" x14ac:dyDescent="0.2">
      <c r="A9661" t="s">
        <v>1574</v>
      </c>
      <c r="B9661" t="str">
        <f>"18710979563"</f>
        <v>18710979563</v>
      </c>
      <c r="C9661" t="str">
        <f>"610125198804242519"</f>
        <v>610125198804242519</v>
      </c>
      <c r="D9661" t="s">
        <v>1</v>
      </c>
      <c r="E9661" t="s">
        <v>1</v>
      </c>
      <c r="F9661" t="s">
        <v>0</v>
      </c>
      <c r="G9661" t="str">
        <f>"2018-10-15 10:25:38"</f>
        <v>2018-10-15 10:25:38</v>
      </c>
    </row>
    <row r="9662" spans="1:7" x14ac:dyDescent="0.2">
      <c r="A9662" t="s">
        <v>1</v>
      </c>
      <c r="B9662" t="str">
        <f>"13382086697"</f>
        <v>13382086697</v>
      </c>
      <c r="C9662" t="s">
        <v>1</v>
      </c>
      <c r="D9662" t="s">
        <v>1</v>
      </c>
      <c r="E9662" t="s">
        <v>1</v>
      </c>
      <c r="F9662" t="s">
        <v>0</v>
      </c>
      <c r="G9662" t="str">
        <f>"2018-10-15 10:22:50"</f>
        <v>2018-10-15 10:22:50</v>
      </c>
    </row>
    <row r="9663" spans="1:7" x14ac:dyDescent="0.2">
      <c r="A9663" t="s">
        <v>104</v>
      </c>
      <c r="B9663" t="str">
        <f>"18286775288"</f>
        <v>18286775288</v>
      </c>
      <c r="C9663" t="str">
        <f>"522425198410118730"</f>
        <v>522425198410118730</v>
      </c>
      <c r="D9663" t="s">
        <v>1</v>
      </c>
      <c r="E9663" t="s">
        <v>1</v>
      </c>
      <c r="F9663" t="s">
        <v>0</v>
      </c>
      <c r="G9663" t="str">
        <f>"2018-10-15 10:25:57"</f>
        <v>2018-10-15 10:25:57</v>
      </c>
    </row>
    <row r="9664" spans="1:7" x14ac:dyDescent="0.2">
      <c r="A9664" t="s">
        <v>10187</v>
      </c>
      <c r="B9664" t="str">
        <f>"15073889071"</f>
        <v>15073889071</v>
      </c>
      <c r="C9664" t="str">
        <f>"432501197601160024"</f>
        <v>432501197601160024</v>
      </c>
      <c r="D9664" t="s">
        <v>1</v>
      </c>
      <c r="E9664" t="s">
        <v>1</v>
      </c>
      <c r="F9664" t="s">
        <v>0</v>
      </c>
      <c r="G9664" t="str">
        <f>"2018-10-15 10:42:52"</f>
        <v>2018-10-15 10:42:52</v>
      </c>
    </row>
    <row r="9665" spans="1:7" x14ac:dyDescent="0.2">
      <c r="A9665" t="s">
        <v>1</v>
      </c>
      <c r="B9665" t="str">
        <f>"17703477774"</f>
        <v>17703477774</v>
      </c>
      <c r="C9665" t="s">
        <v>1</v>
      </c>
      <c r="D9665" t="s">
        <v>1</v>
      </c>
      <c r="E9665" t="s">
        <v>1</v>
      </c>
      <c r="F9665" t="s">
        <v>0</v>
      </c>
      <c r="G9665" t="str">
        <f>"2018-10-15 10:22:20"</f>
        <v>2018-10-15 10:22:20</v>
      </c>
    </row>
    <row r="9666" spans="1:7" x14ac:dyDescent="0.2">
      <c r="A9666" t="s">
        <v>10188</v>
      </c>
      <c r="B9666" t="str">
        <f>"15071612822"</f>
        <v>15071612822</v>
      </c>
      <c r="C9666" t="str">
        <f>"42038119870323791X"</f>
        <v>42038119870323791X</v>
      </c>
      <c r="D9666" t="s">
        <v>1</v>
      </c>
      <c r="E9666" t="s">
        <v>1</v>
      </c>
      <c r="F9666" t="s">
        <v>0</v>
      </c>
      <c r="G9666" t="str">
        <f>"2018-10-15 10:23:37"</f>
        <v>2018-10-15 10:23:37</v>
      </c>
    </row>
    <row r="9667" spans="1:7" x14ac:dyDescent="0.2">
      <c r="A9667" t="s">
        <v>10189</v>
      </c>
      <c r="B9667" t="str">
        <f>"18645273772"</f>
        <v>18645273772</v>
      </c>
      <c r="C9667" t="str">
        <f>"23082819961119323X"</f>
        <v>23082819961119323X</v>
      </c>
      <c r="D9667" t="s">
        <v>1</v>
      </c>
      <c r="E9667" t="s">
        <v>1</v>
      </c>
      <c r="F9667" t="s">
        <v>0</v>
      </c>
      <c r="G9667" t="str">
        <f>"2018-10-15 10:25:20"</f>
        <v>2018-10-15 10:25:20</v>
      </c>
    </row>
    <row r="9668" spans="1:7" x14ac:dyDescent="0.2">
      <c r="A9668" t="s">
        <v>1</v>
      </c>
      <c r="B9668" t="str">
        <f>"15281388117"</f>
        <v>15281388117</v>
      </c>
      <c r="C9668" t="s">
        <v>1</v>
      </c>
      <c r="D9668" t="s">
        <v>1</v>
      </c>
      <c r="E9668" t="s">
        <v>1</v>
      </c>
      <c r="F9668" t="s">
        <v>0</v>
      </c>
      <c r="G9668" t="str">
        <f>"2018-10-15 10:22:55"</f>
        <v>2018-10-15 10:22:55</v>
      </c>
    </row>
    <row r="9669" spans="1:7" x14ac:dyDescent="0.2">
      <c r="A9669" t="s">
        <v>10190</v>
      </c>
      <c r="B9669" t="str">
        <f>"15333364441"</f>
        <v>15333364441</v>
      </c>
      <c r="C9669" t="str">
        <f>"230121199007081634"</f>
        <v>230121199007081634</v>
      </c>
      <c r="D9669" t="s">
        <v>1</v>
      </c>
      <c r="E9669" t="s">
        <v>1</v>
      </c>
      <c r="F9669" t="s">
        <v>0</v>
      </c>
      <c r="G9669" t="str">
        <f>"2018-10-15 10:23:41"</f>
        <v>2018-10-15 10:23:41</v>
      </c>
    </row>
    <row r="9670" spans="1:7" x14ac:dyDescent="0.2">
      <c r="A9670" t="s">
        <v>10191</v>
      </c>
      <c r="B9670" t="str">
        <f>"15777030100"</f>
        <v>15777030100</v>
      </c>
      <c r="C9670" t="str">
        <f>"622429199604015055"</f>
        <v>622429199604015055</v>
      </c>
      <c r="D9670" t="s">
        <v>1</v>
      </c>
      <c r="E9670" t="s">
        <v>1</v>
      </c>
      <c r="F9670" t="s">
        <v>0</v>
      </c>
      <c r="G9670" t="str">
        <f>"2018-10-16 08:30:33"</f>
        <v>2018-10-16 08:30:33</v>
      </c>
    </row>
    <row r="9671" spans="1:7" x14ac:dyDescent="0.2">
      <c r="A9671" t="s">
        <v>10192</v>
      </c>
      <c r="B9671" t="str">
        <f>"18670574429"</f>
        <v>18670574429</v>
      </c>
      <c r="C9671" t="str">
        <f>"431022198807180379"</f>
        <v>431022198807180379</v>
      </c>
      <c r="D9671" t="s">
        <v>1</v>
      </c>
      <c r="E9671" t="s">
        <v>1</v>
      </c>
      <c r="F9671" t="s">
        <v>0</v>
      </c>
      <c r="G9671" t="str">
        <f>"2018-10-15 10:24:57"</f>
        <v>2018-10-15 10:24:57</v>
      </c>
    </row>
    <row r="9672" spans="1:7" x14ac:dyDescent="0.2">
      <c r="A9672" t="s">
        <v>10193</v>
      </c>
      <c r="B9672" t="str">
        <f>"18196686153"</f>
        <v>18196686153</v>
      </c>
      <c r="C9672" t="str">
        <f>"341202199402022127"</f>
        <v>341202199402022127</v>
      </c>
      <c r="D9672" t="s">
        <v>1</v>
      </c>
      <c r="E9672" t="s">
        <v>1</v>
      </c>
      <c r="F9672" t="s">
        <v>0</v>
      </c>
      <c r="G9672" t="str">
        <f>"2018-10-15 14:34:30"</f>
        <v>2018-10-15 14:34:30</v>
      </c>
    </row>
    <row r="9673" spans="1:7" x14ac:dyDescent="0.2">
      <c r="A9673" t="s">
        <v>10194</v>
      </c>
      <c r="B9673" t="str">
        <f>"18176262161"</f>
        <v>18176262161</v>
      </c>
      <c r="C9673" t="str">
        <f>"452128196205180012"</f>
        <v>452128196205180012</v>
      </c>
      <c r="D9673" t="s">
        <v>1</v>
      </c>
      <c r="E9673" t="s">
        <v>1</v>
      </c>
      <c r="F9673" t="s">
        <v>0</v>
      </c>
      <c r="G9673" t="str">
        <f>"2018-10-15 10:26:22"</f>
        <v>2018-10-15 10:26:22</v>
      </c>
    </row>
    <row r="9674" spans="1:7" x14ac:dyDescent="0.2">
      <c r="A9674" t="s">
        <v>10195</v>
      </c>
      <c r="B9674" t="str">
        <f>"18260663022"</f>
        <v>18260663022</v>
      </c>
      <c r="C9674" t="str">
        <f>"320802199209050511"</f>
        <v>320802199209050511</v>
      </c>
      <c r="D9674" t="s">
        <v>1</v>
      </c>
      <c r="E9674" t="s">
        <v>1</v>
      </c>
      <c r="F9674" t="s">
        <v>0</v>
      </c>
      <c r="G9674" t="str">
        <f>"2018-10-15 14:05:31"</f>
        <v>2018-10-15 14:05:31</v>
      </c>
    </row>
    <row r="9675" spans="1:7" x14ac:dyDescent="0.2">
      <c r="A9675" t="s">
        <v>10196</v>
      </c>
      <c r="B9675" t="str">
        <f>"15060576471"</f>
        <v>15060576471</v>
      </c>
      <c r="C9675" t="str">
        <f>"350625199705150529"</f>
        <v>350625199705150529</v>
      </c>
      <c r="D9675" t="s">
        <v>1</v>
      </c>
      <c r="E9675" t="s">
        <v>1</v>
      </c>
      <c r="F9675" t="s">
        <v>0</v>
      </c>
      <c r="G9675" t="str">
        <f>"2018-11-04 10:01:27"</f>
        <v>2018-11-04 10:01:27</v>
      </c>
    </row>
    <row r="9676" spans="1:7" x14ac:dyDescent="0.2">
      <c r="A9676" t="s">
        <v>255</v>
      </c>
      <c r="B9676" t="str">
        <f>"18030454979"</f>
        <v>18030454979</v>
      </c>
      <c r="C9676" t="str">
        <f>"510122197504150279"</f>
        <v>510122197504150279</v>
      </c>
      <c r="D9676" t="s">
        <v>1</v>
      </c>
      <c r="E9676" t="s">
        <v>1</v>
      </c>
      <c r="F9676" t="s">
        <v>0</v>
      </c>
      <c r="G9676" t="str">
        <f>"2018-10-15 10:20:47"</f>
        <v>2018-10-15 10:20:47</v>
      </c>
    </row>
    <row r="9677" spans="1:7" x14ac:dyDescent="0.2">
      <c r="A9677" t="s">
        <v>10197</v>
      </c>
      <c r="B9677" t="str">
        <f>"18759169831"</f>
        <v>18759169831</v>
      </c>
      <c r="C9677" t="str">
        <f>"350123199105144192"</f>
        <v>350123199105144192</v>
      </c>
      <c r="D9677" t="s">
        <v>1</v>
      </c>
      <c r="E9677" t="s">
        <v>1</v>
      </c>
      <c r="F9677" t="s">
        <v>0</v>
      </c>
      <c r="G9677" t="str">
        <f>"2018-10-15 10:19:45"</f>
        <v>2018-10-15 10:19:45</v>
      </c>
    </row>
    <row r="9678" spans="1:7" x14ac:dyDescent="0.2">
      <c r="A9678" t="s">
        <v>500</v>
      </c>
      <c r="B9678" t="str">
        <f>"18975370969"</f>
        <v>18975370969</v>
      </c>
      <c r="C9678" t="str">
        <f>"430902198911225031"</f>
        <v>430902198911225031</v>
      </c>
      <c r="D9678" t="s">
        <v>1</v>
      </c>
      <c r="E9678" t="s">
        <v>1</v>
      </c>
      <c r="F9678" t="s">
        <v>0</v>
      </c>
      <c r="G9678" t="str">
        <f>"2018-10-15 10:21:18"</f>
        <v>2018-10-15 10:21:18</v>
      </c>
    </row>
    <row r="9679" spans="1:7" x14ac:dyDescent="0.2">
      <c r="A9679" t="s">
        <v>10198</v>
      </c>
      <c r="B9679" t="str">
        <f>"18222857219"</f>
        <v>18222857219</v>
      </c>
      <c r="C9679" t="str">
        <f>"120103197704201710"</f>
        <v>120103197704201710</v>
      </c>
      <c r="D9679" t="s">
        <v>1</v>
      </c>
      <c r="E9679" t="s">
        <v>1</v>
      </c>
      <c r="F9679" t="s">
        <v>0</v>
      </c>
      <c r="G9679" t="str">
        <f>"2018-10-15 10:18:40"</f>
        <v>2018-10-15 10:18:40</v>
      </c>
    </row>
    <row r="9680" spans="1:7" x14ac:dyDescent="0.2">
      <c r="A9680" t="s">
        <v>10199</v>
      </c>
      <c r="B9680" t="str">
        <f>"13712922214"</f>
        <v>13712922214</v>
      </c>
      <c r="C9680" t="str">
        <f>"522428199207244049"</f>
        <v>522428199207244049</v>
      </c>
      <c r="D9680" t="s">
        <v>1</v>
      </c>
      <c r="E9680" t="s">
        <v>1</v>
      </c>
      <c r="F9680" t="s">
        <v>0</v>
      </c>
      <c r="G9680" t="str">
        <f>"2018-10-15 10:20:35"</f>
        <v>2018-10-15 10:20:35</v>
      </c>
    </row>
    <row r="9681" spans="1:7" x14ac:dyDescent="0.2">
      <c r="A9681" t="s">
        <v>1785</v>
      </c>
      <c r="B9681" t="str">
        <f>"13696026334"</f>
        <v>13696026334</v>
      </c>
      <c r="C9681" t="str">
        <f>"511304198310112657"</f>
        <v>511304198310112657</v>
      </c>
      <c r="D9681" t="s">
        <v>1</v>
      </c>
      <c r="E9681" t="s">
        <v>1</v>
      </c>
      <c r="F9681" t="s">
        <v>0</v>
      </c>
      <c r="G9681" t="str">
        <f>"2018-10-15 10:19:23"</f>
        <v>2018-10-15 10:19:23</v>
      </c>
    </row>
    <row r="9682" spans="1:7" x14ac:dyDescent="0.2">
      <c r="A9682" t="s">
        <v>10200</v>
      </c>
      <c r="B9682" t="str">
        <f>"13240978702"</f>
        <v>13240978702</v>
      </c>
      <c r="C9682" t="str">
        <f>"130732199911062739"</f>
        <v>130732199911062739</v>
      </c>
      <c r="D9682" t="s">
        <v>10201</v>
      </c>
      <c r="E9682" t="s">
        <v>10202</v>
      </c>
      <c r="F9682" t="s">
        <v>0</v>
      </c>
      <c r="G9682" t="str">
        <f>"2018-10-15 10:17:06"</f>
        <v>2018-10-15 10:17:06</v>
      </c>
    </row>
    <row r="9683" spans="1:7" x14ac:dyDescent="0.2">
      <c r="A9683" t="s">
        <v>10203</v>
      </c>
      <c r="B9683" t="str">
        <f>"15529299157"</f>
        <v>15529299157</v>
      </c>
      <c r="C9683" t="str">
        <f>"612728198911280223"</f>
        <v>612728198911280223</v>
      </c>
      <c r="D9683" t="s">
        <v>1</v>
      </c>
      <c r="E9683" t="s">
        <v>1</v>
      </c>
      <c r="F9683" t="s">
        <v>0</v>
      </c>
      <c r="G9683" t="str">
        <f>"2018-10-15 10:27:48"</f>
        <v>2018-10-15 10:27:48</v>
      </c>
    </row>
    <row r="9684" spans="1:7" x14ac:dyDescent="0.2">
      <c r="A9684" t="s">
        <v>10204</v>
      </c>
      <c r="B9684" t="str">
        <f>"15895097720"</f>
        <v>15895097720</v>
      </c>
      <c r="C9684" t="str">
        <f>"320830198008153224"</f>
        <v>320830198008153224</v>
      </c>
      <c r="D9684" t="s">
        <v>1</v>
      </c>
      <c r="E9684" t="s">
        <v>1</v>
      </c>
      <c r="F9684" t="s">
        <v>0</v>
      </c>
      <c r="G9684" t="str">
        <f>"2018-10-15 10:15:37"</f>
        <v>2018-10-15 10:15:37</v>
      </c>
    </row>
    <row r="9685" spans="1:7" x14ac:dyDescent="0.2">
      <c r="A9685" t="s">
        <v>10205</v>
      </c>
      <c r="B9685" t="str">
        <f>"18103200523"</f>
        <v>18103200523</v>
      </c>
      <c r="C9685" t="str">
        <f>"110222198705231222"</f>
        <v>110222198705231222</v>
      </c>
      <c r="D9685" t="s">
        <v>10206</v>
      </c>
      <c r="E9685" t="s">
        <v>10207</v>
      </c>
      <c r="F9685" t="s">
        <v>0</v>
      </c>
      <c r="G9685" t="str">
        <f>"2018-10-15 10:26:28"</f>
        <v>2018-10-15 10:26:28</v>
      </c>
    </row>
    <row r="9686" spans="1:7" x14ac:dyDescent="0.2">
      <c r="A9686" t="s">
        <v>10208</v>
      </c>
      <c r="B9686" t="str">
        <f>"18185024295"</f>
        <v>18185024295</v>
      </c>
      <c r="C9686" t="str">
        <f>"522401199105279419"</f>
        <v>522401199105279419</v>
      </c>
      <c r="D9686" t="s">
        <v>1</v>
      </c>
      <c r="E9686" t="s">
        <v>1</v>
      </c>
      <c r="F9686" t="s">
        <v>0</v>
      </c>
      <c r="G9686" t="str">
        <f>"2018-10-15 10:16:36"</f>
        <v>2018-10-15 10:16:36</v>
      </c>
    </row>
    <row r="9687" spans="1:7" x14ac:dyDescent="0.2">
      <c r="A9687" t="s">
        <v>10209</v>
      </c>
      <c r="B9687" t="str">
        <f>"15380383678"</f>
        <v>15380383678</v>
      </c>
      <c r="C9687" t="str">
        <f>"32101119730427151X"</f>
        <v>32101119730427151X</v>
      </c>
      <c r="D9687" t="s">
        <v>1</v>
      </c>
      <c r="E9687" t="s">
        <v>1</v>
      </c>
      <c r="F9687" t="s">
        <v>0</v>
      </c>
      <c r="G9687" t="str">
        <f>"2018-10-15 10:16:19"</f>
        <v>2018-10-15 10:16:19</v>
      </c>
    </row>
    <row r="9688" spans="1:7" x14ac:dyDescent="0.2">
      <c r="A9688" t="s">
        <v>1</v>
      </c>
      <c r="B9688" t="str">
        <f>"13119176941"</f>
        <v>13119176941</v>
      </c>
      <c r="C9688" t="s">
        <v>1</v>
      </c>
      <c r="D9688" t="s">
        <v>1</v>
      </c>
      <c r="E9688" t="s">
        <v>1</v>
      </c>
      <c r="F9688" t="s">
        <v>0</v>
      </c>
      <c r="G9688" t="str">
        <f>"2018-10-15 10:14:19"</f>
        <v>2018-10-15 10:14:19</v>
      </c>
    </row>
    <row r="9689" spans="1:7" x14ac:dyDescent="0.2">
      <c r="A9689" t="s">
        <v>10210</v>
      </c>
      <c r="B9689" t="str">
        <f>"17368714656"</f>
        <v>17368714656</v>
      </c>
      <c r="C9689" t="str">
        <f>"321324199604243614"</f>
        <v>321324199604243614</v>
      </c>
      <c r="D9689" t="s">
        <v>1</v>
      </c>
      <c r="E9689" t="s">
        <v>1</v>
      </c>
      <c r="F9689" t="s">
        <v>0</v>
      </c>
      <c r="G9689" t="str">
        <f>"2018-10-15 10:17:21"</f>
        <v>2018-10-15 10:17:21</v>
      </c>
    </row>
    <row r="9690" spans="1:7" x14ac:dyDescent="0.2">
      <c r="A9690" t="s">
        <v>10211</v>
      </c>
      <c r="B9690" t="str">
        <f>"15077308300"</f>
        <v>15077308300</v>
      </c>
      <c r="C9690" t="str">
        <f>"450304198408131015"</f>
        <v>450304198408131015</v>
      </c>
      <c r="D9690" t="s">
        <v>1</v>
      </c>
      <c r="E9690" t="s">
        <v>1</v>
      </c>
      <c r="F9690" t="s">
        <v>0</v>
      </c>
      <c r="G9690" t="str">
        <f>"2018-10-15 10:12:54"</f>
        <v>2018-10-15 10:12:54</v>
      </c>
    </row>
    <row r="9691" spans="1:7" x14ac:dyDescent="0.2">
      <c r="A9691" t="s">
        <v>10212</v>
      </c>
      <c r="B9691" t="str">
        <f>"18505539427"</f>
        <v>18505539427</v>
      </c>
      <c r="C9691" t="str">
        <f>"340223197911063236"</f>
        <v>340223197911063236</v>
      </c>
      <c r="D9691" t="s">
        <v>10213</v>
      </c>
      <c r="E9691" t="s">
        <v>10214</v>
      </c>
      <c r="F9691" t="s">
        <v>0</v>
      </c>
      <c r="G9691" t="str">
        <f>"2018-10-15 10:14:47"</f>
        <v>2018-10-15 10:14:47</v>
      </c>
    </row>
    <row r="9692" spans="1:7" x14ac:dyDescent="0.2">
      <c r="A9692" t="s">
        <v>1</v>
      </c>
      <c r="B9692" t="str">
        <f>"18009401234"</f>
        <v>18009401234</v>
      </c>
      <c r="C9692" t="s">
        <v>1</v>
      </c>
      <c r="D9692" t="s">
        <v>1</v>
      </c>
      <c r="E9692" t="s">
        <v>1</v>
      </c>
      <c r="F9692" t="s">
        <v>0</v>
      </c>
      <c r="G9692" t="str">
        <f>"2018-10-15 10:11:33"</f>
        <v>2018-10-15 10:11:33</v>
      </c>
    </row>
    <row r="9693" spans="1:7" x14ac:dyDescent="0.2">
      <c r="A9693" t="s">
        <v>1</v>
      </c>
      <c r="B9693" t="str">
        <f>"17349395828"</f>
        <v>17349395828</v>
      </c>
      <c r="C9693" t="s">
        <v>1</v>
      </c>
      <c r="D9693" t="s">
        <v>1</v>
      </c>
      <c r="E9693" t="s">
        <v>1</v>
      </c>
      <c r="F9693" t="s">
        <v>0</v>
      </c>
      <c r="G9693" t="str">
        <f>"2018-10-15 10:14:39"</f>
        <v>2018-10-15 10:14:39</v>
      </c>
    </row>
    <row r="9694" spans="1:7" x14ac:dyDescent="0.2">
      <c r="A9694" t="s">
        <v>1</v>
      </c>
      <c r="B9694" t="str">
        <f>"17720500003"</f>
        <v>17720500003</v>
      </c>
      <c r="C9694" t="s">
        <v>1</v>
      </c>
      <c r="D9694" t="s">
        <v>1</v>
      </c>
      <c r="E9694" t="s">
        <v>1</v>
      </c>
      <c r="F9694" t="s">
        <v>0</v>
      </c>
      <c r="G9694" t="str">
        <f>"2018-10-15 10:10:21"</f>
        <v>2018-10-15 10:10:21</v>
      </c>
    </row>
    <row r="9695" spans="1:7" x14ac:dyDescent="0.2">
      <c r="A9695" t="s">
        <v>1</v>
      </c>
      <c r="B9695" t="str">
        <f>"17335103457"</f>
        <v>17335103457</v>
      </c>
      <c r="C9695" t="s">
        <v>1</v>
      </c>
      <c r="D9695" t="s">
        <v>1</v>
      </c>
      <c r="E9695" t="s">
        <v>1</v>
      </c>
      <c r="F9695" t="s">
        <v>0</v>
      </c>
      <c r="G9695" t="str">
        <f>"2018-10-16 07:09:11"</f>
        <v>2018-10-16 07:09:11</v>
      </c>
    </row>
    <row r="9696" spans="1:7" x14ac:dyDescent="0.2">
      <c r="A9696" t="s">
        <v>10215</v>
      </c>
      <c r="B9696" t="str">
        <f>"13309602233"</f>
        <v>13309602233</v>
      </c>
      <c r="C9696" t="str">
        <f>"34230119710814081X"</f>
        <v>34230119710814081X</v>
      </c>
      <c r="D9696" t="s">
        <v>1</v>
      </c>
      <c r="E9696" t="s">
        <v>1</v>
      </c>
      <c r="F9696" t="s">
        <v>0</v>
      </c>
      <c r="G9696" t="str">
        <f>"2018-10-15 10:11:03"</f>
        <v>2018-10-15 10:11:03</v>
      </c>
    </row>
    <row r="9697" spans="1:7" x14ac:dyDescent="0.2">
      <c r="A9697" t="s">
        <v>596</v>
      </c>
      <c r="B9697" t="str">
        <f>"18193301057"</f>
        <v>18193301057</v>
      </c>
      <c r="C9697" t="str">
        <f>"62270119930918223X"</f>
        <v>62270119930918223X</v>
      </c>
      <c r="D9697" t="s">
        <v>1</v>
      </c>
      <c r="E9697" t="s">
        <v>1</v>
      </c>
      <c r="F9697" t="s">
        <v>0</v>
      </c>
      <c r="G9697" t="str">
        <f>"2018-10-15 10:11:31"</f>
        <v>2018-10-15 10:11:31</v>
      </c>
    </row>
    <row r="9698" spans="1:7" x14ac:dyDescent="0.2">
      <c r="A9698" t="s">
        <v>1</v>
      </c>
      <c r="B9698" t="str">
        <f>"18041800987"</f>
        <v>18041800987</v>
      </c>
      <c r="C9698" t="s">
        <v>1</v>
      </c>
      <c r="D9698" t="s">
        <v>1</v>
      </c>
      <c r="E9698" t="s">
        <v>1</v>
      </c>
      <c r="F9698" t="s">
        <v>0</v>
      </c>
      <c r="G9698" t="str">
        <f>"2018-10-15 10:08:11"</f>
        <v>2018-10-15 10:08:11</v>
      </c>
    </row>
    <row r="9699" spans="1:7" x14ac:dyDescent="0.2">
      <c r="A9699" t="s">
        <v>10216</v>
      </c>
      <c r="B9699" t="str">
        <f>"18090062432"</f>
        <v>18090062432</v>
      </c>
      <c r="C9699" t="str">
        <f>"513822199206097641"</f>
        <v>513822199206097641</v>
      </c>
      <c r="D9699" t="s">
        <v>1</v>
      </c>
      <c r="E9699" t="s">
        <v>1</v>
      </c>
      <c r="F9699" t="s">
        <v>0</v>
      </c>
      <c r="G9699" t="str">
        <f>"2018-10-15 10:10:28"</f>
        <v>2018-10-15 10:10:28</v>
      </c>
    </row>
    <row r="9700" spans="1:7" x14ac:dyDescent="0.2">
      <c r="A9700" t="s">
        <v>1</v>
      </c>
      <c r="B9700" t="str">
        <f>"18939676255"</f>
        <v>18939676255</v>
      </c>
      <c r="C9700" t="s">
        <v>1</v>
      </c>
      <c r="D9700" t="s">
        <v>1</v>
      </c>
      <c r="E9700" t="s">
        <v>1</v>
      </c>
      <c r="F9700" t="s">
        <v>0</v>
      </c>
      <c r="G9700" t="str">
        <f>"2018-10-15 10:10:29"</f>
        <v>2018-10-15 10:10:29</v>
      </c>
    </row>
    <row r="9701" spans="1:7" x14ac:dyDescent="0.2">
      <c r="A9701" t="s">
        <v>10217</v>
      </c>
      <c r="B9701" t="str">
        <f>"18214328243"</f>
        <v>18214328243</v>
      </c>
      <c r="C9701" t="str">
        <f>"532501199211261228"</f>
        <v>532501199211261228</v>
      </c>
      <c r="D9701" t="s">
        <v>1</v>
      </c>
      <c r="E9701" t="s">
        <v>1</v>
      </c>
      <c r="F9701" t="s">
        <v>0</v>
      </c>
      <c r="G9701" t="str">
        <f>"2018-10-15 10:10:13"</f>
        <v>2018-10-15 10:10:13</v>
      </c>
    </row>
    <row r="9702" spans="1:7" x14ac:dyDescent="0.2">
      <c r="A9702" t="s">
        <v>1</v>
      </c>
      <c r="B9702" t="str">
        <f>"18072366675"</f>
        <v>18072366675</v>
      </c>
      <c r="C9702" t="s">
        <v>1</v>
      </c>
      <c r="D9702" t="s">
        <v>1</v>
      </c>
      <c r="E9702" t="s">
        <v>1</v>
      </c>
      <c r="F9702" t="s">
        <v>0</v>
      </c>
      <c r="G9702" t="str">
        <f>"2018-10-15 10:07:33"</f>
        <v>2018-10-15 10:07:33</v>
      </c>
    </row>
    <row r="9703" spans="1:7" x14ac:dyDescent="0.2">
      <c r="A9703" t="s">
        <v>1</v>
      </c>
      <c r="B9703" t="str">
        <f>"18978618302"</f>
        <v>18978618302</v>
      </c>
      <c r="C9703" t="s">
        <v>1</v>
      </c>
      <c r="D9703" t="s">
        <v>1</v>
      </c>
      <c r="E9703" t="s">
        <v>1</v>
      </c>
      <c r="F9703" t="s">
        <v>0</v>
      </c>
      <c r="G9703" t="str">
        <f>"2018-10-15 10:07:23"</f>
        <v>2018-10-15 10:07:23</v>
      </c>
    </row>
    <row r="9704" spans="1:7" x14ac:dyDescent="0.2">
      <c r="A9704" t="s">
        <v>1</v>
      </c>
      <c r="B9704" t="str">
        <f>"15294449010"</f>
        <v>15294449010</v>
      </c>
      <c r="C9704" t="s">
        <v>1</v>
      </c>
      <c r="D9704" t="s">
        <v>1</v>
      </c>
      <c r="E9704" t="s">
        <v>1</v>
      </c>
      <c r="F9704" t="s">
        <v>0</v>
      </c>
      <c r="G9704" t="str">
        <f>"2018-10-15 10:07:03"</f>
        <v>2018-10-15 10:07:03</v>
      </c>
    </row>
    <row r="9705" spans="1:7" x14ac:dyDescent="0.2">
      <c r="A9705" t="s">
        <v>504</v>
      </c>
      <c r="B9705" t="str">
        <f>"17704889386"</f>
        <v>17704889386</v>
      </c>
      <c r="C9705" t="str">
        <f>"152626199306152122"</f>
        <v>152626199306152122</v>
      </c>
      <c r="D9705" t="s">
        <v>1</v>
      </c>
      <c r="E9705" t="s">
        <v>1</v>
      </c>
      <c r="F9705" t="s">
        <v>0</v>
      </c>
      <c r="G9705" t="str">
        <f>"2018-10-15 11:49:53"</f>
        <v>2018-10-15 11:49:53</v>
      </c>
    </row>
    <row r="9706" spans="1:7" x14ac:dyDescent="0.2">
      <c r="A9706" t="s">
        <v>10218</v>
      </c>
      <c r="B9706" t="str">
        <f>"13638891401"</f>
        <v>13638891401</v>
      </c>
      <c r="C9706" t="str">
        <f>"532127197602020520"</f>
        <v>532127197602020520</v>
      </c>
      <c r="D9706" t="s">
        <v>10219</v>
      </c>
      <c r="E9706" t="s">
        <v>10220</v>
      </c>
      <c r="F9706" t="s">
        <v>0</v>
      </c>
      <c r="G9706" t="str">
        <f>"2018-10-15 10:08:11"</f>
        <v>2018-10-15 10:08:11</v>
      </c>
    </row>
    <row r="9707" spans="1:7" x14ac:dyDescent="0.2">
      <c r="A9707" t="s">
        <v>142</v>
      </c>
      <c r="B9707" t="str">
        <f>"15338675898"</f>
        <v>15338675898</v>
      </c>
      <c r="C9707" t="str">
        <f>"522401199012277027"</f>
        <v>522401199012277027</v>
      </c>
      <c r="D9707" t="s">
        <v>10221</v>
      </c>
      <c r="E9707" t="s">
        <v>10222</v>
      </c>
      <c r="F9707" t="s">
        <v>0</v>
      </c>
      <c r="G9707" t="str">
        <f>"2018-10-15 10:10:48"</f>
        <v>2018-10-15 10:10:48</v>
      </c>
    </row>
    <row r="9708" spans="1:7" x14ac:dyDescent="0.2">
      <c r="A9708" t="s">
        <v>10223</v>
      </c>
      <c r="B9708" t="str">
        <f>"13857924111"</f>
        <v>13857924111</v>
      </c>
      <c r="C9708" t="str">
        <f>"330723198709271939"</f>
        <v>330723198709271939</v>
      </c>
      <c r="D9708" t="s">
        <v>1</v>
      </c>
      <c r="E9708" t="s">
        <v>1</v>
      </c>
      <c r="F9708" t="s">
        <v>0</v>
      </c>
      <c r="G9708" t="str">
        <f>"2018-10-15 10:06:53"</f>
        <v>2018-10-15 10:06:53</v>
      </c>
    </row>
    <row r="9709" spans="1:7" x14ac:dyDescent="0.2">
      <c r="A9709" t="s">
        <v>1</v>
      </c>
      <c r="B9709" t="str">
        <f>"17088934500"</f>
        <v>17088934500</v>
      </c>
      <c r="C9709" t="s">
        <v>1</v>
      </c>
      <c r="D9709" t="s">
        <v>1</v>
      </c>
      <c r="E9709" t="s">
        <v>1</v>
      </c>
      <c r="F9709" t="s">
        <v>0</v>
      </c>
      <c r="G9709" t="str">
        <f>"2018-10-15 10:05:47"</f>
        <v>2018-10-15 10:05:47</v>
      </c>
    </row>
    <row r="9710" spans="1:7" x14ac:dyDescent="0.2">
      <c r="A9710" t="s">
        <v>10224</v>
      </c>
      <c r="B9710" t="str">
        <f>"13625508629"</f>
        <v>13625508629</v>
      </c>
      <c r="C9710" t="str">
        <f>"341103198707171824"</f>
        <v>341103198707171824</v>
      </c>
      <c r="D9710" t="s">
        <v>1</v>
      </c>
      <c r="E9710" t="s">
        <v>1</v>
      </c>
      <c r="F9710" t="s">
        <v>0</v>
      </c>
      <c r="G9710" t="str">
        <f>"2018-10-22 09:56:22"</f>
        <v>2018-10-22 09:56:22</v>
      </c>
    </row>
    <row r="9711" spans="1:7" x14ac:dyDescent="0.2">
      <c r="A9711" t="s">
        <v>10225</v>
      </c>
      <c r="B9711" t="str">
        <f>"18516285312"</f>
        <v>18516285312</v>
      </c>
      <c r="C9711" t="str">
        <f>"210602199612083528"</f>
        <v>210602199612083528</v>
      </c>
      <c r="D9711" t="s">
        <v>1</v>
      </c>
      <c r="E9711" t="s">
        <v>1</v>
      </c>
      <c r="F9711" t="s">
        <v>0</v>
      </c>
      <c r="G9711" t="str">
        <f>"2018-10-25 18:20:46"</f>
        <v>2018-10-25 18:20:46</v>
      </c>
    </row>
    <row r="9712" spans="1:7" x14ac:dyDescent="0.2">
      <c r="A9712" t="s">
        <v>10226</v>
      </c>
      <c r="B9712" t="str">
        <f>"18134131261"</f>
        <v>18134131261</v>
      </c>
      <c r="C9712" t="str">
        <f>"132530198205014258"</f>
        <v>132530198205014258</v>
      </c>
      <c r="D9712" t="s">
        <v>1</v>
      </c>
      <c r="E9712" t="s">
        <v>1</v>
      </c>
      <c r="F9712" t="s">
        <v>0</v>
      </c>
      <c r="G9712" t="str">
        <f>"2018-10-15 10:08:41"</f>
        <v>2018-10-15 10:08:41</v>
      </c>
    </row>
    <row r="9713" spans="1:7" x14ac:dyDescent="0.2">
      <c r="A9713" t="s">
        <v>1</v>
      </c>
      <c r="B9713" t="str">
        <f>"17773713179"</f>
        <v>17773713179</v>
      </c>
      <c r="C9713" t="s">
        <v>1</v>
      </c>
      <c r="D9713" t="s">
        <v>1</v>
      </c>
      <c r="E9713" t="s">
        <v>1</v>
      </c>
      <c r="F9713" t="s">
        <v>0</v>
      </c>
      <c r="G9713" t="str">
        <f>"2018-10-15 10:04:19"</f>
        <v>2018-10-15 10:04:19</v>
      </c>
    </row>
    <row r="9714" spans="1:7" x14ac:dyDescent="0.2">
      <c r="A9714" t="s">
        <v>10227</v>
      </c>
      <c r="B9714" t="str">
        <f>"18987731022"</f>
        <v>18987731022</v>
      </c>
      <c r="C9714" t="str">
        <f>"530402199108192825"</f>
        <v>530402199108192825</v>
      </c>
      <c r="D9714" t="s">
        <v>1</v>
      </c>
      <c r="E9714" t="s">
        <v>1</v>
      </c>
      <c r="F9714" t="s">
        <v>0</v>
      </c>
      <c r="G9714" t="str">
        <f>"2018-10-15 10:11:45"</f>
        <v>2018-10-15 10:11:45</v>
      </c>
    </row>
    <row r="9715" spans="1:7" x14ac:dyDescent="0.2">
      <c r="A9715" t="s">
        <v>10228</v>
      </c>
      <c r="B9715" t="str">
        <f>"17787738496"</f>
        <v>17787738496</v>
      </c>
      <c r="C9715" t="str">
        <f>"533523198411240039"</f>
        <v>533523198411240039</v>
      </c>
      <c r="D9715" t="s">
        <v>10229</v>
      </c>
      <c r="E9715" t="s">
        <v>10230</v>
      </c>
      <c r="F9715" t="s">
        <v>0</v>
      </c>
      <c r="G9715" t="str">
        <f>"2018-10-15 10:06:38"</f>
        <v>2018-10-15 10:06:38</v>
      </c>
    </row>
    <row r="9716" spans="1:7" x14ac:dyDescent="0.2">
      <c r="A9716" t="s">
        <v>10231</v>
      </c>
      <c r="B9716" t="str">
        <f>"13378999730"</f>
        <v>13378999730</v>
      </c>
      <c r="C9716" t="str">
        <f>"43052819950501055X"</f>
        <v>43052819950501055X</v>
      </c>
      <c r="D9716" t="s">
        <v>1</v>
      </c>
      <c r="E9716" t="s">
        <v>1</v>
      </c>
      <c r="F9716" t="s">
        <v>0</v>
      </c>
      <c r="G9716" t="str">
        <f>"2018-10-15 10:03:22"</f>
        <v>2018-10-15 10:03:22</v>
      </c>
    </row>
    <row r="9717" spans="1:7" x14ac:dyDescent="0.2">
      <c r="A9717" t="s">
        <v>10232</v>
      </c>
      <c r="B9717" t="str">
        <f>"15339441048"</f>
        <v>15339441048</v>
      </c>
      <c r="C9717" t="str">
        <f>"622421197608153535"</f>
        <v>622421197608153535</v>
      </c>
      <c r="D9717" t="s">
        <v>1</v>
      </c>
      <c r="E9717" t="s">
        <v>1</v>
      </c>
      <c r="F9717" t="s">
        <v>0</v>
      </c>
      <c r="G9717" t="str">
        <f>"2018-10-15 10:05:35"</f>
        <v>2018-10-15 10:05:35</v>
      </c>
    </row>
    <row r="9718" spans="1:7" x14ac:dyDescent="0.2">
      <c r="A9718" t="s">
        <v>10233</v>
      </c>
      <c r="B9718" t="str">
        <f>"18903523075"</f>
        <v>18903523075</v>
      </c>
      <c r="C9718" t="str">
        <f>"140202198812222030"</f>
        <v>140202198812222030</v>
      </c>
      <c r="D9718" t="s">
        <v>1</v>
      </c>
      <c r="E9718" t="s">
        <v>1</v>
      </c>
      <c r="F9718" t="s">
        <v>0</v>
      </c>
      <c r="G9718" t="str">
        <f>"2018-10-15 10:15:32"</f>
        <v>2018-10-15 10:15:32</v>
      </c>
    </row>
    <row r="9719" spans="1:7" x14ac:dyDescent="0.2">
      <c r="A9719" t="s">
        <v>10234</v>
      </c>
      <c r="B9719" t="str">
        <f>"15725311395"</f>
        <v>15725311395</v>
      </c>
      <c r="C9719" t="str">
        <f>"340881200007223319"</f>
        <v>340881200007223319</v>
      </c>
      <c r="D9719" t="s">
        <v>1</v>
      </c>
      <c r="E9719" t="s">
        <v>1</v>
      </c>
      <c r="F9719" t="s">
        <v>0</v>
      </c>
      <c r="G9719" t="str">
        <f>"2018-10-15 10:08:10"</f>
        <v>2018-10-15 10:08:10</v>
      </c>
    </row>
    <row r="9720" spans="1:7" x14ac:dyDescent="0.2">
      <c r="A9720" t="s">
        <v>10235</v>
      </c>
      <c r="B9720" t="str">
        <f>"18961266771"</f>
        <v>18961266771</v>
      </c>
      <c r="C9720" t="str">
        <f>"320911197909057717"</f>
        <v>320911197909057717</v>
      </c>
      <c r="D9720" t="s">
        <v>1</v>
      </c>
      <c r="E9720" t="s">
        <v>1</v>
      </c>
      <c r="F9720" t="s">
        <v>0</v>
      </c>
      <c r="G9720" t="str">
        <f>"2018-10-15 10:04:00"</f>
        <v>2018-10-15 10:04:00</v>
      </c>
    </row>
    <row r="9721" spans="1:7" x14ac:dyDescent="0.2">
      <c r="A9721" t="s">
        <v>1</v>
      </c>
      <c r="B9721" t="str">
        <f>"18945770826"</f>
        <v>18945770826</v>
      </c>
      <c r="C9721" t="s">
        <v>1</v>
      </c>
      <c r="D9721" t="s">
        <v>1</v>
      </c>
      <c r="E9721" t="s">
        <v>1</v>
      </c>
      <c r="F9721" t="s">
        <v>0</v>
      </c>
      <c r="G9721" t="str">
        <f>"2018-10-15 10:02:38"</f>
        <v>2018-10-15 10:02:38</v>
      </c>
    </row>
    <row r="9722" spans="1:7" x14ac:dyDescent="0.2">
      <c r="A9722" t="s">
        <v>10236</v>
      </c>
      <c r="B9722" t="str">
        <f>"17353211518"</f>
        <v>17353211518</v>
      </c>
      <c r="C9722" t="str">
        <f>"511226198207051115"</f>
        <v>511226198207051115</v>
      </c>
      <c r="D9722" t="s">
        <v>10237</v>
      </c>
      <c r="E9722" t="s">
        <v>10238</v>
      </c>
      <c r="F9722" t="s">
        <v>0</v>
      </c>
      <c r="G9722" t="str">
        <f>"2018-10-15 10:04:44"</f>
        <v>2018-10-15 10:04:44</v>
      </c>
    </row>
    <row r="9723" spans="1:7" x14ac:dyDescent="0.2">
      <c r="A9723" t="s">
        <v>1</v>
      </c>
      <c r="B9723" t="str">
        <f>"13307294005"</f>
        <v>13307294005</v>
      </c>
      <c r="C9723" t="s">
        <v>1</v>
      </c>
      <c r="D9723" t="s">
        <v>1</v>
      </c>
      <c r="E9723" t="s">
        <v>1</v>
      </c>
      <c r="F9723" t="s">
        <v>0</v>
      </c>
      <c r="G9723" t="str">
        <f>"2018-10-15 10:02:21"</f>
        <v>2018-10-15 10:02:21</v>
      </c>
    </row>
    <row r="9724" spans="1:7" x14ac:dyDescent="0.2">
      <c r="A9724" t="s">
        <v>10239</v>
      </c>
      <c r="B9724" t="str">
        <f>"18953103703"</f>
        <v>18953103703</v>
      </c>
      <c r="C9724" t="str">
        <f>"370983198905012314"</f>
        <v>370983198905012314</v>
      </c>
      <c r="D9724" t="s">
        <v>10240</v>
      </c>
      <c r="E9724" t="s">
        <v>10241</v>
      </c>
      <c r="F9724" t="s">
        <v>0</v>
      </c>
      <c r="G9724" t="str">
        <f>"2018-10-15 12:21:50"</f>
        <v>2018-10-15 12:21:50</v>
      </c>
    </row>
    <row r="9725" spans="1:7" x14ac:dyDescent="0.2">
      <c r="A9725" t="s">
        <v>1</v>
      </c>
      <c r="B9725" t="str">
        <f>"15629649729"</f>
        <v>15629649729</v>
      </c>
      <c r="C9725" t="s">
        <v>1</v>
      </c>
      <c r="D9725" t="s">
        <v>1</v>
      </c>
      <c r="E9725" t="s">
        <v>1</v>
      </c>
      <c r="F9725" t="s">
        <v>0</v>
      </c>
      <c r="G9725" t="str">
        <f>"2018-10-15 11:26:25"</f>
        <v>2018-10-15 11:26:25</v>
      </c>
    </row>
    <row r="9726" spans="1:7" x14ac:dyDescent="0.2">
      <c r="A9726" t="s">
        <v>1</v>
      </c>
      <c r="B9726" t="str">
        <f>"13356173328"</f>
        <v>13356173328</v>
      </c>
      <c r="C9726" t="s">
        <v>1</v>
      </c>
      <c r="D9726" t="s">
        <v>1</v>
      </c>
      <c r="E9726" t="s">
        <v>1</v>
      </c>
      <c r="F9726" t="s">
        <v>0</v>
      </c>
      <c r="G9726" t="str">
        <f>"2018-10-15 10:01:53"</f>
        <v>2018-10-15 10:01:53</v>
      </c>
    </row>
    <row r="9727" spans="1:7" x14ac:dyDescent="0.2">
      <c r="A9727" t="s">
        <v>1</v>
      </c>
      <c r="B9727" t="str">
        <f>"18950277803"</f>
        <v>18950277803</v>
      </c>
      <c r="C9727" t="s">
        <v>1</v>
      </c>
      <c r="D9727" t="s">
        <v>1</v>
      </c>
      <c r="E9727" t="s">
        <v>1</v>
      </c>
      <c r="F9727" t="s">
        <v>0</v>
      </c>
      <c r="G9727" t="str">
        <f>"2018-10-15 10:03:11"</f>
        <v>2018-10-15 10:03:11</v>
      </c>
    </row>
    <row r="9728" spans="1:7" x14ac:dyDescent="0.2">
      <c r="A9728" t="s">
        <v>939</v>
      </c>
      <c r="B9728" t="str">
        <f>"18317829067"</f>
        <v>18317829067</v>
      </c>
      <c r="C9728" t="str">
        <f>"410203199301050026"</f>
        <v>410203199301050026</v>
      </c>
      <c r="D9728" t="s">
        <v>1</v>
      </c>
      <c r="E9728" t="s">
        <v>1</v>
      </c>
      <c r="F9728" t="s">
        <v>0</v>
      </c>
      <c r="G9728" t="str">
        <f>"2018-10-15 10:04:04"</f>
        <v>2018-10-15 10:04:04</v>
      </c>
    </row>
    <row r="9729" spans="1:7" x14ac:dyDescent="0.2">
      <c r="A9729" t="s">
        <v>10242</v>
      </c>
      <c r="B9729" t="str">
        <f>"18192905550"</f>
        <v>18192905550</v>
      </c>
      <c r="C9729" t="str">
        <f>"610427198803205416"</f>
        <v>610427198803205416</v>
      </c>
      <c r="D9729" t="s">
        <v>1</v>
      </c>
      <c r="E9729" t="s">
        <v>1</v>
      </c>
      <c r="F9729" t="s">
        <v>0</v>
      </c>
      <c r="G9729" t="str">
        <f>"2018-10-21 09:00:21"</f>
        <v>2018-10-21 09:00:21</v>
      </c>
    </row>
    <row r="9730" spans="1:7" x14ac:dyDescent="0.2">
      <c r="A9730" t="s">
        <v>96</v>
      </c>
      <c r="B9730" t="str">
        <f>"18921539707"</f>
        <v>18921539707</v>
      </c>
      <c r="C9730" t="str">
        <f>"34222419880715099X"</f>
        <v>34222419880715099X</v>
      </c>
      <c r="D9730" t="s">
        <v>1</v>
      </c>
      <c r="E9730" t="s">
        <v>1</v>
      </c>
      <c r="F9730" t="s">
        <v>0</v>
      </c>
      <c r="G9730" t="str">
        <f>"2018-10-15 10:04:35"</f>
        <v>2018-10-15 10:04:35</v>
      </c>
    </row>
    <row r="9731" spans="1:7" x14ac:dyDescent="0.2">
      <c r="A9731" t="s">
        <v>10243</v>
      </c>
      <c r="B9731" t="str">
        <f>"17777393236"</f>
        <v>17777393236</v>
      </c>
      <c r="C9731" t="str">
        <f>"450331198405043019"</f>
        <v>450331198405043019</v>
      </c>
      <c r="D9731" t="s">
        <v>1</v>
      </c>
      <c r="E9731" t="s">
        <v>1</v>
      </c>
      <c r="F9731" t="s">
        <v>0</v>
      </c>
      <c r="G9731" t="str">
        <f>"2018-10-15 10:03:27"</f>
        <v>2018-10-15 10:03:27</v>
      </c>
    </row>
    <row r="9732" spans="1:7" x14ac:dyDescent="0.2">
      <c r="A9732" t="s">
        <v>1</v>
      </c>
      <c r="B9732" t="str">
        <f>"17730595062"</f>
        <v>17730595062</v>
      </c>
      <c r="C9732" t="s">
        <v>1</v>
      </c>
      <c r="D9732" t="s">
        <v>1</v>
      </c>
      <c r="E9732" t="s">
        <v>1</v>
      </c>
      <c r="F9732" t="s">
        <v>0</v>
      </c>
      <c r="G9732" t="str">
        <f>"2018-10-15 10:02:13"</f>
        <v>2018-10-15 10:02:13</v>
      </c>
    </row>
    <row r="9733" spans="1:7" x14ac:dyDescent="0.2">
      <c r="A9733" t="s">
        <v>10244</v>
      </c>
      <c r="B9733" t="str">
        <f>"13376103222"</f>
        <v>13376103222</v>
      </c>
      <c r="C9733" t="str">
        <f>"320684199207171372"</f>
        <v>320684199207171372</v>
      </c>
      <c r="D9733" t="s">
        <v>1</v>
      </c>
      <c r="E9733" t="s">
        <v>1</v>
      </c>
      <c r="F9733" t="s">
        <v>0</v>
      </c>
      <c r="G9733" t="str">
        <f>"2018-10-19 13:45:40"</f>
        <v>2018-10-19 13:45:40</v>
      </c>
    </row>
    <row r="9734" spans="1:7" x14ac:dyDescent="0.2">
      <c r="A9734" t="s">
        <v>10245</v>
      </c>
      <c r="B9734" t="str">
        <f>"18093249304"</f>
        <v>18093249304</v>
      </c>
      <c r="C9734" t="str">
        <f>"622425198609247349"</f>
        <v>622425198609247349</v>
      </c>
      <c r="D9734" t="s">
        <v>1</v>
      </c>
      <c r="E9734" t="s">
        <v>1</v>
      </c>
      <c r="F9734" t="s">
        <v>0</v>
      </c>
      <c r="G9734" t="str">
        <f>"2018-10-15 10:14:20"</f>
        <v>2018-10-15 10:14:20</v>
      </c>
    </row>
    <row r="9735" spans="1:7" x14ac:dyDescent="0.2">
      <c r="A9735" t="s">
        <v>10246</v>
      </c>
      <c r="B9735" t="str">
        <f>"15003568323"</f>
        <v>15003568323</v>
      </c>
      <c r="C9735" t="str">
        <f>"140581198911151938"</f>
        <v>140581198911151938</v>
      </c>
      <c r="D9735" t="s">
        <v>1</v>
      </c>
      <c r="E9735" t="s">
        <v>1</v>
      </c>
      <c r="F9735" t="s">
        <v>0</v>
      </c>
      <c r="G9735" t="str">
        <f>"2018-10-15 10:10:45"</f>
        <v>2018-10-15 10:10:45</v>
      </c>
    </row>
    <row r="9736" spans="1:7" x14ac:dyDescent="0.2">
      <c r="A9736" t="s">
        <v>10247</v>
      </c>
      <c r="B9736" t="str">
        <f>"18006980672"</f>
        <v>18006980672</v>
      </c>
      <c r="C9736" t="str">
        <f>"350423197610194518"</f>
        <v>350423197610194518</v>
      </c>
      <c r="D9736" t="s">
        <v>1</v>
      </c>
      <c r="E9736" t="s">
        <v>1</v>
      </c>
      <c r="F9736" t="s">
        <v>0</v>
      </c>
      <c r="G9736" t="str">
        <f>"2018-10-15 10:00:32"</f>
        <v>2018-10-15 10:00:32</v>
      </c>
    </row>
    <row r="9737" spans="1:7" x14ac:dyDescent="0.2">
      <c r="A9737" t="s">
        <v>1501</v>
      </c>
      <c r="B9737" t="str">
        <f>"15602512853"</f>
        <v>15602512853</v>
      </c>
      <c r="C9737" t="str">
        <f>"440902199207010025"</f>
        <v>440902199207010025</v>
      </c>
      <c r="D9737" t="s">
        <v>1</v>
      </c>
      <c r="E9737" t="s">
        <v>1</v>
      </c>
      <c r="F9737" t="s">
        <v>0</v>
      </c>
      <c r="G9737" t="str">
        <f>"2018-10-15 09:58:38"</f>
        <v>2018-10-15 09:58:38</v>
      </c>
    </row>
    <row r="9738" spans="1:7" x14ac:dyDescent="0.2">
      <c r="A9738" t="s">
        <v>10248</v>
      </c>
      <c r="B9738" t="str">
        <f>"18967173485"</f>
        <v>18967173485</v>
      </c>
      <c r="C9738" t="str">
        <f>"330121196007280051"</f>
        <v>330121196007280051</v>
      </c>
      <c r="D9738" t="s">
        <v>1</v>
      </c>
      <c r="E9738" t="s">
        <v>1</v>
      </c>
      <c r="F9738" t="s">
        <v>0</v>
      </c>
      <c r="G9738" t="str">
        <f>"2018-10-18 16:27:30"</f>
        <v>2018-10-18 16:27:30</v>
      </c>
    </row>
    <row r="9739" spans="1:7" x14ac:dyDescent="0.2">
      <c r="A9739" t="s">
        <v>10249</v>
      </c>
      <c r="B9739" t="str">
        <f>"18089503516"</f>
        <v>18089503516</v>
      </c>
      <c r="C9739" t="str">
        <f>"513437199507130014"</f>
        <v>513437199507130014</v>
      </c>
      <c r="D9739" t="s">
        <v>1</v>
      </c>
      <c r="E9739" t="s">
        <v>1</v>
      </c>
      <c r="F9739" t="s">
        <v>0</v>
      </c>
      <c r="G9739" t="str">
        <f>"2018-10-15 09:58:46"</f>
        <v>2018-10-15 09:58:46</v>
      </c>
    </row>
    <row r="9740" spans="1:7" x14ac:dyDescent="0.2">
      <c r="A9740" t="s">
        <v>10250</v>
      </c>
      <c r="B9740" t="str">
        <f>"17681015018"</f>
        <v>17681015018</v>
      </c>
      <c r="C9740" t="str">
        <f>"342222199611120117"</f>
        <v>342222199611120117</v>
      </c>
      <c r="D9740" t="s">
        <v>10251</v>
      </c>
      <c r="E9740" t="s">
        <v>10252</v>
      </c>
      <c r="F9740" t="s">
        <v>0</v>
      </c>
      <c r="G9740" t="str">
        <f>"2018-10-15 10:31:27"</f>
        <v>2018-10-15 10:31:27</v>
      </c>
    </row>
    <row r="9741" spans="1:7" x14ac:dyDescent="0.2">
      <c r="A9741" t="s">
        <v>10253</v>
      </c>
      <c r="B9741" t="str">
        <f>"18082306246"</f>
        <v>18082306246</v>
      </c>
      <c r="C9741" t="str">
        <f>"321321198704185518"</f>
        <v>321321198704185518</v>
      </c>
      <c r="D9741" t="s">
        <v>1</v>
      </c>
      <c r="E9741" t="s">
        <v>1</v>
      </c>
      <c r="F9741" t="s">
        <v>0</v>
      </c>
      <c r="G9741" t="str">
        <f>"2018-10-15 17:26:40"</f>
        <v>2018-10-15 17:26:40</v>
      </c>
    </row>
    <row r="9742" spans="1:7" x14ac:dyDescent="0.2">
      <c r="A9742" t="s">
        <v>10254</v>
      </c>
      <c r="B9742" t="str">
        <f>"17374539258"</f>
        <v>17374539258</v>
      </c>
      <c r="C9742" t="str">
        <f>"431223198711242835"</f>
        <v>431223198711242835</v>
      </c>
      <c r="D9742" t="s">
        <v>1</v>
      </c>
      <c r="E9742" t="s">
        <v>1</v>
      </c>
      <c r="F9742" t="s">
        <v>0</v>
      </c>
      <c r="G9742" t="str">
        <f>"2018-10-15 09:58:09"</f>
        <v>2018-10-15 09:58:09</v>
      </c>
    </row>
    <row r="9743" spans="1:7" x14ac:dyDescent="0.2">
      <c r="A9743" t="s">
        <v>10255</v>
      </c>
      <c r="B9743" t="str">
        <f>"15078396641"</f>
        <v>15078396641</v>
      </c>
      <c r="C9743" t="str">
        <f>"450329199506081957"</f>
        <v>450329199506081957</v>
      </c>
      <c r="D9743" t="s">
        <v>1</v>
      </c>
      <c r="E9743" t="s">
        <v>1</v>
      </c>
      <c r="F9743" t="s">
        <v>0</v>
      </c>
      <c r="G9743" t="str">
        <f>"2018-10-15 09:55:22"</f>
        <v>2018-10-15 09:55:22</v>
      </c>
    </row>
    <row r="9744" spans="1:7" x14ac:dyDescent="0.2">
      <c r="A9744" t="s">
        <v>10256</v>
      </c>
      <c r="B9744" t="str">
        <f>"17808404853"</f>
        <v>17808404853</v>
      </c>
      <c r="C9744" t="str">
        <f>"522226199710022423"</f>
        <v>522226199710022423</v>
      </c>
      <c r="D9744" t="s">
        <v>1</v>
      </c>
      <c r="E9744" t="s">
        <v>1</v>
      </c>
      <c r="F9744" t="s">
        <v>0</v>
      </c>
      <c r="G9744" t="str">
        <f>"2018-10-15 09:55:46"</f>
        <v>2018-10-15 09:55:46</v>
      </c>
    </row>
    <row r="9745" spans="1:7" x14ac:dyDescent="0.2">
      <c r="A9745" t="s">
        <v>10257</v>
      </c>
      <c r="B9745" t="str">
        <f>"15044555202"</f>
        <v>15044555202</v>
      </c>
      <c r="C9745" t="str">
        <f>"220106198908248622"</f>
        <v>220106198908248622</v>
      </c>
      <c r="D9745" t="s">
        <v>1</v>
      </c>
      <c r="E9745" t="s">
        <v>1</v>
      </c>
      <c r="F9745" t="s">
        <v>0</v>
      </c>
      <c r="G9745" t="str">
        <f>"2018-10-15 09:55:57"</f>
        <v>2018-10-15 09:55:57</v>
      </c>
    </row>
    <row r="9746" spans="1:7" x14ac:dyDescent="0.2">
      <c r="A9746" t="s">
        <v>1</v>
      </c>
      <c r="B9746" t="str">
        <f>"18104842275"</f>
        <v>18104842275</v>
      </c>
      <c r="C9746" t="s">
        <v>1</v>
      </c>
      <c r="D9746" t="s">
        <v>1</v>
      </c>
      <c r="E9746" t="s">
        <v>1</v>
      </c>
      <c r="F9746" t="s">
        <v>0</v>
      </c>
      <c r="G9746" t="str">
        <f>"2018-10-15 09:52:18"</f>
        <v>2018-10-15 09:52:18</v>
      </c>
    </row>
    <row r="9747" spans="1:7" x14ac:dyDescent="0.2">
      <c r="A9747" t="s">
        <v>10258</v>
      </c>
      <c r="B9747" t="str">
        <f>"18056216883"</f>
        <v>18056216883</v>
      </c>
      <c r="C9747" t="str">
        <f>"340702198210200568"</f>
        <v>340702198210200568</v>
      </c>
      <c r="D9747" t="s">
        <v>1</v>
      </c>
      <c r="E9747" t="s">
        <v>1</v>
      </c>
      <c r="F9747" t="s">
        <v>0</v>
      </c>
      <c r="G9747" t="str">
        <f>"2018-10-15 09:54:17"</f>
        <v>2018-10-15 09:54:17</v>
      </c>
    </row>
    <row r="9748" spans="1:7" x14ac:dyDescent="0.2">
      <c r="A9748" t="s">
        <v>10259</v>
      </c>
      <c r="B9748" t="str">
        <f>"13387781373"</f>
        <v>13387781373</v>
      </c>
      <c r="C9748" t="str">
        <f>"452701196211050313"</f>
        <v>452701196211050313</v>
      </c>
      <c r="D9748" t="s">
        <v>1</v>
      </c>
      <c r="E9748" t="s">
        <v>1</v>
      </c>
      <c r="F9748" t="s">
        <v>0</v>
      </c>
      <c r="G9748" t="str">
        <f>"2018-11-01 10:26:02"</f>
        <v>2018-11-01 10:26:02</v>
      </c>
    </row>
    <row r="9749" spans="1:7" x14ac:dyDescent="0.2">
      <c r="A9749" t="s">
        <v>10260</v>
      </c>
      <c r="B9749" t="str">
        <f>"15390224137"</f>
        <v>15390224137</v>
      </c>
      <c r="C9749" t="str">
        <f>"510502196505083815"</f>
        <v>510502196505083815</v>
      </c>
      <c r="D9749" t="s">
        <v>1</v>
      </c>
      <c r="E9749" t="s">
        <v>1</v>
      </c>
      <c r="F9749" t="s">
        <v>0</v>
      </c>
      <c r="G9749" t="str">
        <f>"2018-10-15 09:54:19"</f>
        <v>2018-10-15 09:54:19</v>
      </c>
    </row>
    <row r="9750" spans="1:7" x14ac:dyDescent="0.2">
      <c r="A9750" t="s">
        <v>1</v>
      </c>
      <c r="B9750" t="str">
        <f>"17602288685"</f>
        <v>17602288685</v>
      </c>
      <c r="C9750" t="s">
        <v>1</v>
      </c>
      <c r="D9750" t="s">
        <v>1</v>
      </c>
      <c r="E9750" t="s">
        <v>1</v>
      </c>
      <c r="F9750" t="s">
        <v>0</v>
      </c>
      <c r="G9750" t="str">
        <f>"2018-10-18 16:04:56"</f>
        <v>2018-10-18 16:04:56</v>
      </c>
    </row>
    <row r="9751" spans="1:7" x14ac:dyDescent="0.2">
      <c r="A9751" t="s">
        <v>10261</v>
      </c>
      <c r="B9751" t="str">
        <f>"15019834595"</f>
        <v>15019834595</v>
      </c>
      <c r="C9751" t="str">
        <f>"440783199612124824"</f>
        <v>440783199612124824</v>
      </c>
      <c r="D9751" t="s">
        <v>1</v>
      </c>
      <c r="E9751" t="s">
        <v>1</v>
      </c>
      <c r="F9751" t="s">
        <v>0</v>
      </c>
      <c r="G9751" t="str">
        <f>"2018-10-15 16:18:34"</f>
        <v>2018-10-15 16:18:34</v>
      </c>
    </row>
    <row r="9752" spans="1:7" x14ac:dyDescent="0.2">
      <c r="A9752" t="s">
        <v>10262</v>
      </c>
      <c r="B9752" t="str">
        <f>"13422513434"</f>
        <v>13422513434</v>
      </c>
      <c r="C9752" t="str">
        <f>"440782199403041911"</f>
        <v>440782199403041911</v>
      </c>
      <c r="D9752" t="s">
        <v>1</v>
      </c>
      <c r="E9752" t="s">
        <v>1</v>
      </c>
      <c r="F9752" t="s">
        <v>0</v>
      </c>
      <c r="G9752" t="str">
        <f>"2018-10-15 10:15:01"</f>
        <v>2018-10-15 10:15:01</v>
      </c>
    </row>
    <row r="9753" spans="1:7" x14ac:dyDescent="0.2">
      <c r="A9753" t="s">
        <v>10263</v>
      </c>
      <c r="B9753" t="str">
        <f>"13322483166"</f>
        <v>13322483166</v>
      </c>
      <c r="C9753" t="str">
        <f>"220122197807030056"</f>
        <v>220122197807030056</v>
      </c>
      <c r="D9753" t="s">
        <v>1</v>
      </c>
      <c r="E9753" t="s">
        <v>1</v>
      </c>
      <c r="F9753" t="s">
        <v>0</v>
      </c>
      <c r="G9753" t="str">
        <f>"2018-10-15 09:52:27"</f>
        <v>2018-10-15 09:52:27</v>
      </c>
    </row>
    <row r="9754" spans="1:7" x14ac:dyDescent="0.2">
      <c r="A9754" t="s">
        <v>10264</v>
      </c>
      <c r="B9754" t="str">
        <f>"15935966789"</f>
        <v>15935966789</v>
      </c>
      <c r="C9754" t="str">
        <f>"142703198207013332"</f>
        <v>142703198207013332</v>
      </c>
      <c r="D9754" t="s">
        <v>1</v>
      </c>
      <c r="E9754" t="s">
        <v>1</v>
      </c>
      <c r="F9754" t="s">
        <v>0</v>
      </c>
      <c r="G9754" t="str">
        <f>"2018-10-15 09:49:22"</f>
        <v>2018-10-15 09:49:22</v>
      </c>
    </row>
    <row r="9755" spans="1:7" x14ac:dyDescent="0.2">
      <c r="A9755" t="s">
        <v>10265</v>
      </c>
      <c r="B9755" t="str">
        <f>"18311040535"</f>
        <v>18311040535</v>
      </c>
      <c r="C9755" t="str">
        <f>"412824199111190622"</f>
        <v>412824199111190622</v>
      </c>
      <c r="D9755" t="s">
        <v>1</v>
      </c>
      <c r="E9755" t="s">
        <v>1</v>
      </c>
      <c r="F9755" t="s">
        <v>0</v>
      </c>
      <c r="G9755" t="str">
        <f>"2018-10-15 09:50:09"</f>
        <v>2018-10-15 09:50:09</v>
      </c>
    </row>
    <row r="9756" spans="1:7" x14ac:dyDescent="0.2">
      <c r="A9756" t="s">
        <v>1</v>
      </c>
      <c r="B9756" t="str">
        <f>"17088934531"</f>
        <v>17088934531</v>
      </c>
      <c r="C9756" t="s">
        <v>1</v>
      </c>
      <c r="D9756" t="s">
        <v>1</v>
      </c>
      <c r="E9756" t="s">
        <v>1</v>
      </c>
      <c r="F9756" t="s">
        <v>0</v>
      </c>
      <c r="G9756" t="str">
        <f>"2018-10-15 09:47:00"</f>
        <v>2018-10-15 09:47:00</v>
      </c>
    </row>
    <row r="9757" spans="1:7" x14ac:dyDescent="0.2">
      <c r="A9757" t="s">
        <v>671</v>
      </c>
      <c r="B9757" t="str">
        <f>"15051383954"</f>
        <v>15051383954</v>
      </c>
      <c r="C9757" t="str">
        <f>"320821199302073119"</f>
        <v>320821199302073119</v>
      </c>
      <c r="D9757" t="s">
        <v>1</v>
      </c>
      <c r="E9757" t="s">
        <v>1</v>
      </c>
      <c r="F9757" t="s">
        <v>0</v>
      </c>
      <c r="G9757" t="str">
        <f>"2018-10-15 09:47:58"</f>
        <v>2018-10-15 09:47:58</v>
      </c>
    </row>
    <row r="9758" spans="1:7" x14ac:dyDescent="0.2">
      <c r="A9758" t="s">
        <v>1</v>
      </c>
      <c r="B9758" t="str">
        <f>"18091967066"</f>
        <v>18091967066</v>
      </c>
      <c r="C9758" t="s">
        <v>1</v>
      </c>
      <c r="D9758" t="s">
        <v>1</v>
      </c>
      <c r="E9758" t="s">
        <v>1</v>
      </c>
      <c r="F9758" t="s">
        <v>0</v>
      </c>
      <c r="G9758" t="str">
        <f>"2018-10-15 09:48:22"</f>
        <v>2018-10-15 09:48:22</v>
      </c>
    </row>
    <row r="9759" spans="1:7" x14ac:dyDescent="0.2">
      <c r="A9759" t="s">
        <v>1</v>
      </c>
      <c r="B9759" t="str">
        <f>"18952717648"</f>
        <v>18952717648</v>
      </c>
      <c r="C9759" t="s">
        <v>1</v>
      </c>
      <c r="D9759" t="s">
        <v>1</v>
      </c>
      <c r="E9759" t="s">
        <v>1</v>
      </c>
      <c r="F9759" t="s">
        <v>0</v>
      </c>
      <c r="G9759" t="str">
        <f>"2018-10-15 09:46:47"</f>
        <v>2018-10-15 09:46:47</v>
      </c>
    </row>
    <row r="9760" spans="1:7" x14ac:dyDescent="0.2">
      <c r="A9760" t="s">
        <v>1</v>
      </c>
      <c r="B9760" t="str">
        <f>"18936018050"</f>
        <v>18936018050</v>
      </c>
      <c r="C9760" t="s">
        <v>1</v>
      </c>
      <c r="D9760" t="s">
        <v>1</v>
      </c>
      <c r="E9760" t="s">
        <v>1</v>
      </c>
      <c r="F9760" t="s">
        <v>0</v>
      </c>
      <c r="G9760" t="str">
        <f>"2018-10-15 09:46:30"</f>
        <v>2018-10-15 09:46:30</v>
      </c>
    </row>
    <row r="9761" spans="1:7" x14ac:dyDescent="0.2">
      <c r="A9761" t="s">
        <v>10266</v>
      </c>
      <c r="B9761" t="str">
        <f>"18077243609"</f>
        <v>18077243609</v>
      </c>
      <c r="C9761" t="str">
        <f>"450221199301024418"</f>
        <v>450221199301024418</v>
      </c>
      <c r="D9761" t="s">
        <v>1</v>
      </c>
      <c r="E9761" t="s">
        <v>1</v>
      </c>
      <c r="F9761" t="s">
        <v>0</v>
      </c>
      <c r="G9761" t="str">
        <f>"2018-10-15 09:47:20"</f>
        <v>2018-10-15 09:47:20</v>
      </c>
    </row>
    <row r="9762" spans="1:7" x14ac:dyDescent="0.2">
      <c r="A9762" t="s">
        <v>10267</v>
      </c>
      <c r="B9762" t="str">
        <f>"18742138380"</f>
        <v>18742138380</v>
      </c>
      <c r="C9762" t="str">
        <f>"211321198805068614"</f>
        <v>211321198805068614</v>
      </c>
      <c r="D9762" t="s">
        <v>10268</v>
      </c>
      <c r="E9762" t="s">
        <v>10269</v>
      </c>
      <c r="F9762" t="s">
        <v>0</v>
      </c>
      <c r="G9762" t="str">
        <f>"2018-10-15 09:49:10"</f>
        <v>2018-10-15 09:49:10</v>
      </c>
    </row>
    <row r="9763" spans="1:7" x14ac:dyDescent="0.2">
      <c r="A9763" t="s">
        <v>1</v>
      </c>
      <c r="B9763" t="str">
        <f>"18077650182"</f>
        <v>18077650182</v>
      </c>
      <c r="C9763" t="s">
        <v>1</v>
      </c>
      <c r="D9763" t="s">
        <v>1</v>
      </c>
      <c r="E9763" t="s">
        <v>1</v>
      </c>
      <c r="F9763" t="s">
        <v>0</v>
      </c>
      <c r="G9763" t="str">
        <f>"2018-10-15 09:44:39"</f>
        <v>2018-10-15 09:44:39</v>
      </c>
    </row>
    <row r="9764" spans="1:7" x14ac:dyDescent="0.2">
      <c r="A9764" t="s">
        <v>10270</v>
      </c>
      <c r="B9764" t="str">
        <f>"15208955104"</f>
        <v>15208955104</v>
      </c>
      <c r="C9764" t="str">
        <f>"460004199212216236"</f>
        <v>460004199212216236</v>
      </c>
      <c r="D9764" t="s">
        <v>1</v>
      </c>
      <c r="E9764" t="s">
        <v>1</v>
      </c>
      <c r="F9764" t="s">
        <v>0</v>
      </c>
      <c r="G9764" t="str">
        <f>"2018-10-15 09:44:25"</f>
        <v>2018-10-15 09:44:25</v>
      </c>
    </row>
    <row r="9765" spans="1:7" x14ac:dyDescent="0.2">
      <c r="A9765" t="s">
        <v>10271</v>
      </c>
      <c r="B9765" t="str">
        <f>"13345678555"</f>
        <v>13345678555</v>
      </c>
      <c r="C9765" t="str">
        <f>"152324197502217212"</f>
        <v>152324197502217212</v>
      </c>
      <c r="D9765" t="s">
        <v>10272</v>
      </c>
      <c r="E9765" t="s">
        <v>10273</v>
      </c>
      <c r="F9765" t="s">
        <v>0</v>
      </c>
      <c r="G9765" t="str">
        <f>"2018-10-15 09:46:36"</f>
        <v>2018-10-15 09:46:36</v>
      </c>
    </row>
    <row r="9766" spans="1:7" x14ac:dyDescent="0.2">
      <c r="A9766" t="s">
        <v>1</v>
      </c>
      <c r="B9766" t="str">
        <f>"13363583990"</f>
        <v>13363583990</v>
      </c>
      <c r="C9766" t="s">
        <v>1</v>
      </c>
      <c r="D9766" t="s">
        <v>1</v>
      </c>
      <c r="E9766" t="s">
        <v>1</v>
      </c>
      <c r="F9766" t="s">
        <v>0</v>
      </c>
      <c r="G9766" t="str">
        <f>"2018-10-15 09:43:51"</f>
        <v>2018-10-15 09:43:51</v>
      </c>
    </row>
    <row r="9767" spans="1:7" x14ac:dyDescent="0.2">
      <c r="A9767" t="s">
        <v>10274</v>
      </c>
      <c r="B9767" t="str">
        <f>"18133168434"</f>
        <v>18133168434</v>
      </c>
      <c r="C9767" t="str">
        <f>"341225199302216519"</f>
        <v>341225199302216519</v>
      </c>
      <c r="D9767" t="s">
        <v>1</v>
      </c>
      <c r="E9767" t="s">
        <v>1</v>
      </c>
      <c r="F9767" t="s">
        <v>0</v>
      </c>
      <c r="G9767" t="str">
        <f>"2018-10-15 09:45:05"</f>
        <v>2018-10-15 09:45:05</v>
      </c>
    </row>
    <row r="9768" spans="1:7" x14ac:dyDescent="0.2">
      <c r="A9768" t="s">
        <v>1</v>
      </c>
      <c r="B9768" t="str">
        <f>"15337101137"</f>
        <v>15337101137</v>
      </c>
      <c r="C9768" t="s">
        <v>1</v>
      </c>
      <c r="D9768" t="s">
        <v>1</v>
      </c>
      <c r="E9768" t="s">
        <v>1</v>
      </c>
      <c r="F9768" t="s">
        <v>0</v>
      </c>
      <c r="G9768" t="str">
        <f>"2018-10-15 09:44:41"</f>
        <v>2018-10-15 09:44:41</v>
      </c>
    </row>
    <row r="9769" spans="1:7" x14ac:dyDescent="0.2">
      <c r="A9769" t="s">
        <v>10275</v>
      </c>
      <c r="B9769" t="str">
        <f>"13017149900"</f>
        <v>13017149900</v>
      </c>
      <c r="C9769" t="str">
        <f>"430302199610102275"</f>
        <v>430302199610102275</v>
      </c>
      <c r="D9769" t="s">
        <v>1</v>
      </c>
      <c r="E9769" t="s">
        <v>1</v>
      </c>
      <c r="F9769" t="s">
        <v>0</v>
      </c>
      <c r="G9769" t="str">
        <f>"2018-10-15 09:45:04"</f>
        <v>2018-10-15 09:45:04</v>
      </c>
    </row>
    <row r="9770" spans="1:7" x14ac:dyDescent="0.2">
      <c r="A9770" t="s">
        <v>1</v>
      </c>
      <c r="B9770" t="str">
        <f>"17697170781"</f>
        <v>17697170781</v>
      </c>
      <c r="C9770" t="s">
        <v>1</v>
      </c>
      <c r="D9770" t="s">
        <v>1</v>
      </c>
      <c r="E9770" t="s">
        <v>1</v>
      </c>
      <c r="F9770" t="s">
        <v>0</v>
      </c>
      <c r="G9770" t="str">
        <f>"2018-10-15 09:43:11"</f>
        <v>2018-10-15 09:43:11</v>
      </c>
    </row>
    <row r="9771" spans="1:7" x14ac:dyDescent="0.2">
      <c r="A9771" t="s">
        <v>1</v>
      </c>
      <c r="B9771" t="str">
        <f>"13166571189"</f>
        <v>13166571189</v>
      </c>
      <c r="C9771" t="s">
        <v>1</v>
      </c>
      <c r="D9771" t="s">
        <v>1</v>
      </c>
      <c r="E9771" t="s">
        <v>1</v>
      </c>
      <c r="F9771" t="s">
        <v>0</v>
      </c>
      <c r="G9771" t="str">
        <f>"2018-10-15 09:43:03"</f>
        <v>2018-10-15 09:43:03</v>
      </c>
    </row>
    <row r="9772" spans="1:7" x14ac:dyDescent="0.2">
      <c r="A9772" t="s">
        <v>10276</v>
      </c>
      <c r="B9772" t="str">
        <f>"18993947167"</f>
        <v>18993947167</v>
      </c>
      <c r="C9772" t="str">
        <f>"622628198707106072"</f>
        <v>622628198707106072</v>
      </c>
      <c r="D9772" t="s">
        <v>10277</v>
      </c>
      <c r="E9772" t="s">
        <v>10278</v>
      </c>
      <c r="F9772" t="s">
        <v>0</v>
      </c>
      <c r="G9772" t="str">
        <f>"2018-10-15 09:51:24"</f>
        <v>2018-10-15 09:51:24</v>
      </c>
    </row>
    <row r="9773" spans="1:7" x14ac:dyDescent="0.2">
      <c r="A9773" t="s">
        <v>10279</v>
      </c>
      <c r="B9773" t="str">
        <f>"13879777929"</f>
        <v>13879777929</v>
      </c>
      <c r="C9773" t="str">
        <f>"360732199007020701"</f>
        <v>360732199007020701</v>
      </c>
      <c r="D9773" t="s">
        <v>1</v>
      </c>
      <c r="E9773" t="s">
        <v>1</v>
      </c>
      <c r="F9773" t="s">
        <v>0</v>
      </c>
      <c r="G9773" t="str">
        <f>"2018-10-25 09:52:16"</f>
        <v>2018-10-25 09:52:16</v>
      </c>
    </row>
    <row r="9774" spans="1:7" x14ac:dyDescent="0.2">
      <c r="A9774" t="s">
        <v>10280</v>
      </c>
      <c r="B9774" t="str">
        <f>"18061693183"</f>
        <v>18061693183</v>
      </c>
      <c r="C9774" t="str">
        <f>"362228198603270032"</f>
        <v>362228198603270032</v>
      </c>
      <c r="D9774" t="s">
        <v>10281</v>
      </c>
      <c r="E9774" t="s">
        <v>10282</v>
      </c>
      <c r="F9774" t="s">
        <v>0</v>
      </c>
      <c r="G9774" t="str">
        <f>"2018-10-15 09:43:38"</f>
        <v>2018-10-15 09:43:38</v>
      </c>
    </row>
    <row r="9775" spans="1:7" x14ac:dyDescent="0.2">
      <c r="A9775" t="s">
        <v>233</v>
      </c>
      <c r="B9775" t="str">
        <f>"17781145404"</f>
        <v>17781145404</v>
      </c>
      <c r="C9775" t="str">
        <f>"51138119890813006X"</f>
        <v>51138119890813006X</v>
      </c>
      <c r="D9775" t="s">
        <v>1</v>
      </c>
      <c r="E9775" t="s">
        <v>1</v>
      </c>
      <c r="F9775" t="s">
        <v>0</v>
      </c>
      <c r="G9775" t="str">
        <f>"2018-10-15 09:43:29"</f>
        <v>2018-10-15 09:43:29</v>
      </c>
    </row>
    <row r="9776" spans="1:7" x14ac:dyDescent="0.2">
      <c r="A9776" t="s">
        <v>1</v>
      </c>
      <c r="B9776" t="str">
        <f>"15333348938"</f>
        <v>15333348938</v>
      </c>
      <c r="C9776" t="s">
        <v>1</v>
      </c>
      <c r="D9776" t="s">
        <v>1</v>
      </c>
      <c r="E9776" t="s">
        <v>1</v>
      </c>
      <c r="F9776" t="s">
        <v>0</v>
      </c>
      <c r="G9776" t="str">
        <f>"2018-10-15 09:42:14"</f>
        <v>2018-10-15 09:42:14</v>
      </c>
    </row>
    <row r="9777" spans="1:7" x14ac:dyDescent="0.2">
      <c r="A9777" t="s">
        <v>1</v>
      </c>
      <c r="B9777" t="str">
        <f>"13303372888"</f>
        <v>13303372888</v>
      </c>
      <c r="C9777" t="s">
        <v>1</v>
      </c>
      <c r="D9777" t="s">
        <v>1</v>
      </c>
      <c r="E9777" t="s">
        <v>1</v>
      </c>
      <c r="F9777" t="s">
        <v>0</v>
      </c>
      <c r="G9777" t="str">
        <f>"2018-10-15 09:42:06"</f>
        <v>2018-10-15 09:42:06</v>
      </c>
    </row>
    <row r="9778" spans="1:7" x14ac:dyDescent="0.2">
      <c r="A9778" t="s">
        <v>10283</v>
      </c>
      <c r="B9778" t="str">
        <f>"18189737750"</f>
        <v>18189737750</v>
      </c>
      <c r="C9778" t="str">
        <f>"460035198407251146"</f>
        <v>460035198407251146</v>
      </c>
      <c r="D9778" t="s">
        <v>1</v>
      </c>
      <c r="E9778" t="s">
        <v>1</v>
      </c>
      <c r="F9778" t="s">
        <v>0</v>
      </c>
      <c r="G9778" t="str">
        <f>"2018-10-15 09:43:04"</f>
        <v>2018-10-15 09:43:04</v>
      </c>
    </row>
    <row r="9779" spans="1:7" x14ac:dyDescent="0.2">
      <c r="A9779" t="s">
        <v>1</v>
      </c>
      <c r="B9779" t="str">
        <f>"18074467258"</f>
        <v>18074467258</v>
      </c>
      <c r="C9779" t="s">
        <v>1</v>
      </c>
      <c r="D9779" t="s">
        <v>1</v>
      </c>
      <c r="E9779" t="s">
        <v>1</v>
      </c>
      <c r="F9779" t="s">
        <v>0</v>
      </c>
      <c r="G9779" t="str">
        <f>"2018-10-15 13:00:18"</f>
        <v>2018-10-15 13:00:18</v>
      </c>
    </row>
    <row r="9780" spans="1:7" x14ac:dyDescent="0.2">
      <c r="A9780" t="s">
        <v>1</v>
      </c>
      <c r="B9780" t="str">
        <f>"15389856320"</f>
        <v>15389856320</v>
      </c>
      <c r="C9780" t="s">
        <v>1</v>
      </c>
      <c r="D9780" t="s">
        <v>1</v>
      </c>
      <c r="E9780" t="s">
        <v>1</v>
      </c>
      <c r="F9780" t="s">
        <v>0</v>
      </c>
      <c r="G9780" t="str">
        <f>"2018-10-15 09:42:40"</f>
        <v>2018-10-15 09:42:40</v>
      </c>
    </row>
    <row r="9781" spans="1:7" x14ac:dyDescent="0.2">
      <c r="A9781" t="s">
        <v>1</v>
      </c>
      <c r="B9781" t="str">
        <f>"18900730362"</f>
        <v>18900730362</v>
      </c>
      <c r="C9781" t="s">
        <v>1</v>
      </c>
      <c r="D9781" t="s">
        <v>1</v>
      </c>
      <c r="E9781" t="s">
        <v>1</v>
      </c>
      <c r="F9781" t="s">
        <v>0</v>
      </c>
      <c r="G9781" t="str">
        <f>"2018-10-15 09:44:12"</f>
        <v>2018-10-15 09:44:12</v>
      </c>
    </row>
    <row r="9782" spans="1:7" x14ac:dyDescent="0.2">
      <c r="A9782" t="s">
        <v>10284</v>
      </c>
      <c r="B9782" t="str">
        <f>"18187215499"</f>
        <v>18187215499</v>
      </c>
      <c r="C9782" t="str">
        <f>"511322198610183193"</f>
        <v>511322198610183193</v>
      </c>
      <c r="D9782" t="s">
        <v>1</v>
      </c>
      <c r="E9782" t="s">
        <v>1</v>
      </c>
      <c r="F9782" t="s">
        <v>0</v>
      </c>
      <c r="G9782" t="str">
        <f>"2018-10-15 09:43:13"</f>
        <v>2018-10-15 09:43:13</v>
      </c>
    </row>
    <row r="9783" spans="1:7" x14ac:dyDescent="0.2">
      <c r="A9783" t="s">
        <v>10285</v>
      </c>
      <c r="B9783" t="str">
        <f>"18543005927"</f>
        <v>18543005927</v>
      </c>
      <c r="C9783" t="str">
        <f>"220204199509172111"</f>
        <v>220204199509172111</v>
      </c>
      <c r="D9783" t="s">
        <v>1</v>
      </c>
      <c r="E9783" t="s">
        <v>1</v>
      </c>
      <c r="F9783" t="s">
        <v>0</v>
      </c>
      <c r="G9783" t="str">
        <f>"2018-10-15 09:44:23"</f>
        <v>2018-10-15 09:44:23</v>
      </c>
    </row>
    <row r="9784" spans="1:7" x14ac:dyDescent="0.2">
      <c r="A9784" t="s">
        <v>1</v>
      </c>
      <c r="B9784" t="str">
        <f>"18005234646"</f>
        <v>18005234646</v>
      </c>
      <c r="C9784" t="s">
        <v>1</v>
      </c>
      <c r="D9784" t="s">
        <v>1</v>
      </c>
      <c r="E9784" t="s">
        <v>1</v>
      </c>
      <c r="F9784" t="s">
        <v>0</v>
      </c>
      <c r="G9784" t="str">
        <f>"2018-10-27 16:50:51"</f>
        <v>2018-10-27 16:50:51</v>
      </c>
    </row>
    <row r="9785" spans="1:7" x14ac:dyDescent="0.2">
      <c r="A9785" t="s">
        <v>1</v>
      </c>
      <c r="B9785" t="str">
        <f>"15353712199"</f>
        <v>15353712199</v>
      </c>
      <c r="C9785" t="s">
        <v>1</v>
      </c>
      <c r="D9785" t="s">
        <v>1</v>
      </c>
      <c r="E9785" t="s">
        <v>1</v>
      </c>
      <c r="F9785" t="s">
        <v>0</v>
      </c>
      <c r="G9785" t="str">
        <f>"2018-10-15 09:41:18"</f>
        <v>2018-10-15 09:41:18</v>
      </c>
    </row>
    <row r="9786" spans="1:7" x14ac:dyDescent="0.2">
      <c r="A9786" t="s">
        <v>1552</v>
      </c>
      <c r="B9786" t="str">
        <f>"18657156773"</f>
        <v>18657156773</v>
      </c>
      <c r="C9786" t="str">
        <f>"330102198611173041"</f>
        <v>330102198611173041</v>
      </c>
      <c r="D9786" t="s">
        <v>1</v>
      </c>
      <c r="E9786" t="s">
        <v>1</v>
      </c>
      <c r="F9786" t="s">
        <v>0</v>
      </c>
      <c r="G9786" t="str">
        <f>"2018-10-15 09:44:26"</f>
        <v>2018-10-15 09:44:26</v>
      </c>
    </row>
    <row r="9787" spans="1:7" x14ac:dyDescent="0.2">
      <c r="A9787" t="s">
        <v>10286</v>
      </c>
      <c r="B9787" t="str">
        <f>"15176085306"</f>
        <v>15176085306</v>
      </c>
      <c r="C9787" t="str">
        <f>"130425199609241023"</f>
        <v>130425199609241023</v>
      </c>
      <c r="D9787" t="s">
        <v>1</v>
      </c>
      <c r="E9787" t="s">
        <v>1</v>
      </c>
      <c r="F9787" t="s">
        <v>0</v>
      </c>
      <c r="G9787" t="str">
        <f>"2018-10-15 09:41:51"</f>
        <v>2018-10-15 09:41:51</v>
      </c>
    </row>
    <row r="9788" spans="1:7" x14ac:dyDescent="0.2">
      <c r="A9788" t="s">
        <v>745</v>
      </c>
      <c r="B9788" t="str">
        <f>"18760732803"</f>
        <v>18760732803</v>
      </c>
      <c r="C9788" t="str">
        <f>"53253119970715001X"</f>
        <v>53253119970715001X</v>
      </c>
      <c r="D9788" t="s">
        <v>10287</v>
      </c>
      <c r="E9788" t="s">
        <v>10288</v>
      </c>
      <c r="F9788" t="s">
        <v>0</v>
      </c>
      <c r="G9788" t="str">
        <f>"2018-10-15 09:41:17"</f>
        <v>2018-10-15 09:41:17</v>
      </c>
    </row>
    <row r="9789" spans="1:7" x14ac:dyDescent="0.2">
      <c r="A9789" t="s">
        <v>10289</v>
      </c>
      <c r="B9789" t="str">
        <f>"17364042841"</f>
        <v>17364042841</v>
      </c>
      <c r="C9789" t="str">
        <f>"420104199211050439"</f>
        <v>420104199211050439</v>
      </c>
      <c r="D9789" t="s">
        <v>1</v>
      </c>
      <c r="E9789" t="s">
        <v>1</v>
      </c>
      <c r="F9789" t="s">
        <v>0</v>
      </c>
      <c r="G9789" t="str">
        <f>"2018-10-15 09:41:07"</f>
        <v>2018-10-15 09:41:07</v>
      </c>
    </row>
    <row r="9790" spans="1:7" x14ac:dyDescent="0.2">
      <c r="A9790" t="s">
        <v>1</v>
      </c>
      <c r="B9790" t="str">
        <f>"18954838831"</f>
        <v>18954838831</v>
      </c>
      <c r="C9790" t="s">
        <v>1</v>
      </c>
      <c r="D9790" t="s">
        <v>1</v>
      </c>
      <c r="E9790" t="s">
        <v>1</v>
      </c>
      <c r="F9790" t="s">
        <v>0</v>
      </c>
      <c r="G9790" t="str">
        <f>"2018-10-15 09:38:52"</f>
        <v>2018-10-15 09:38:52</v>
      </c>
    </row>
    <row r="9791" spans="1:7" x14ac:dyDescent="0.2">
      <c r="A9791" t="s">
        <v>7</v>
      </c>
      <c r="B9791" t="str">
        <f>"13352556767"</f>
        <v>13352556767</v>
      </c>
      <c r="C9791" t="str">
        <f>"232326199206081041"</f>
        <v>232326199206081041</v>
      </c>
      <c r="D9791" t="s">
        <v>1</v>
      </c>
      <c r="E9791" t="s">
        <v>1</v>
      </c>
      <c r="F9791" t="s">
        <v>0</v>
      </c>
      <c r="G9791" t="str">
        <f>"2018-10-15 09:38:42"</f>
        <v>2018-10-15 09:38:42</v>
      </c>
    </row>
    <row r="9792" spans="1:7" x14ac:dyDescent="0.2">
      <c r="A9792" t="s">
        <v>10290</v>
      </c>
      <c r="B9792" t="str">
        <f>"15222722814"</f>
        <v>15222722814</v>
      </c>
      <c r="C9792" t="str">
        <f>"120224199104111718"</f>
        <v>120224199104111718</v>
      </c>
      <c r="D9792" t="s">
        <v>1</v>
      </c>
      <c r="E9792" t="s">
        <v>1</v>
      </c>
      <c r="F9792" t="s">
        <v>0</v>
      </c>
      <c r="G9792" t="str">
        <f>"2018-10-30 21:31:44"</f>
        <v>2018-10-30 21:31:44</v>
      </c>
    </row>
    <row r="9793" spans="1:7" x14ac:dyDescent="0.2">
      <c r="A9793" t="s">
        <v>10291</v>
      </c>
      <c r="B9793" t="str">
        <f>"13804252606"</f>
        <v>13804252606</v>
      </c>
      <c r="C9793" t="str">
        <f>"220822198607162516"</f>
        <v>220822198607162516</v>
      </c>
      <c r="D9793" t="s">
        <v>1</v>
      </c>
      <c r="E9793" t="s">
        <v>1</v>
      </c>
      <c r="F9793" t="s">
        <v>0</v>
      </c>
      <c r="G9793" t="str">
        <f>"2018-10-15 09:41:26"</f>
        <v>2018-10-15 09:41:26</v>
      </c>
    </row>
    <row r="9794" spans="1:7" x14ac:dyDescent="0.2">
      <c r="A9794" t="s">
        <v>10292</v>
      </c>
      <c r="B9794" t="str">
        <f>"15918465580"</f>
        <v>15918465580</v>
      </c>
      <c r="C9794" t="str">
        <f>"441821199611240636"</f>
        <v>441821199611240636</v>
      </c>
      <c r="D9794" t="s">
        <v>1</v>
      </c>
      <c r="E9794" t="s">
        <v>1</v>
      </c>
      <c r="F9794" t="s">
        <v>0</v>
      </c>
      <c r="G9794" t="str">
        <f>"2018-10-15 09:39:09"</f>
        <v>2018-10-15 09:39:09</v>
      </c>
    </row>
    <row r="9795" spans="1:7" x14ac:dyDescent="0.2">
      <c r="A9795" t="s">
        <v>10293</v>
      </c>
      <c r="B9795" t="str">
        <f>"18815150100"</f>
        <v>18815150100</v>
      </c>
      <c r="C9795" t="str">
        <f>"330326198905035922"</f>
        <v>330326198905035922</v>
      </c>
      <c r="D9795" t="s">
        <v>1</v>
      </c>
      <c r="E9795" t="s">
        <v>1</v>
      </c>
      <c r="F9795" t="s">
        <v>0</v>
      </c>
      <c r="G9795" t="str">
        <f>"2018-10-29 14:18:05"</f>
        <v>2018-10-29 14:18:05</v>
      </c>
    </row>
    <row r="9796" spans="1:7" x14ac:dyDescent="0.2">
      <c r="A9796" t="s">
        <v>1</v>
      </c>
      <c r="B9796" t="str">
        <f>"18014485575"</f>
        <v>18014485575</v>
      </c>
      <c r="C9796" t="s">
        <v>1</v>
      </c>
      <c r="D9796" t="s">
        <v>1</v>
      </c>
      <c r="E9796" t="s">
        <v>1</v>
      </c>
      <c r="F9796" t="s">
        <v>0</v>
      </c>
      <c r="G9796" t="str">
        <f>"2018-10-15 09:35:52"</f>
        <v>2018-10-15 09:35:52</v>
      </c>
    </row>
    <row r="9797" spans="1:7" x14ac:dyDescent="0.2">
      <c r="A9797" t="s">
        <v>10294</v>
      </c>
      <c r="B9797" t="str">
        <f>"18869749996"</f>
        <v>18869749996</v>
      </c>
      <c r="C9797" t="str">
        <f>"530402198511120675"</f>
        <v>530402198511120675</v>
      </c>
      <c r="D9797" t="s">
        <v>1</v>
      </c>
      <c r="E9797" t="s">
        <v>1</v>
      </c>
      <c r="F9797" t="s">
        <v>0</v>
      </c>
      <c r="G9797" t="str">
        <f>"2018-10-15 09:37:09"</f>
        <v>2018-10-15 09:37:09</v>
      </c>
    </row>
    <row r="9798" spans="1:7" x14ac:dyDescent="0.2">
      <c r="A9798" t="s">
        <v>10295</v>
      </c>
      <c r="B9798" t="str">
        <f>"15132703952"</f>
        <v>15132703952</v>
      </c>
      <c r="C9798" t="str">
        <f>"130925198604076826"</f>
        <v>130925198604076826</v>
      </c>
      <c r="D9798" t="s">
        <v>10296</v>
      </c>
      <c r="E9798" t="s">
        <v>10297</v>
      </c>
      <c r="F9798" t="s">
        <v>0</v>
      </c>
      <c r="G9798" t="str">
        <f>"2018-10-15 09:34:39"</f>
        <v>2018-10-15 09:34:39</v>
      </c>
    </row>
    <row r="9799" spans="1:7" x14ac:dyDescent="0.2">
      <c r="A9799" t="s">
        <v>1</v>
      </c>
      <c r="B9799" t="str">
        <f>"13279011237"</f>
        <v>13279011237</v>
      </c>
      <c r="C9799" t="s">
        <v>1</v>
      </c>
      <c r="D9799" t="s">
        <v>1</v>
      </c>
      <c r="E9799" t="s">
        <v>1</v>
      </c>
      <c r="F9799" t="s">
        <v>0</v>
      </c>
      <c r="G9799" t="str">
        <f>"2018-10-15 09:33:24"</f>
        <v>2018-10-15 09:33:24</v>
      </c>
    </row>
    <row r="9800" spans="1:7" x14ac:dyDescent="0.2">
      <c r="A9800" t="s">
        <v>10298</v>
      </c>
      <c r="B9800" t="str">
        <f>"15866859189"</f>
        <v>15866859189</v>
      </c>
      <c r="C9800" t="str">
        <f>"370284198609304310"</f>
        <v>370284198609304310</v>
      </c>
      <c r="D9800" t="s">
        <v>1</v>
      </c>
      <c r="E9800" t="s">
        <v>1</v>
      </c>
      <c r="F9800" t="s">
        <v>0</v>
      </c>
      <c r="G9800" t="str">
        <f>"2018-10-15 09:32:56"</f>
        <v>2018-10-15 09:32:56</v>
      </c>
    </row>
    <row r="9801" spans="1:7" x14ac:dyDescent="0.2">
      <c r="A9801" t="s">
        <v>1</v>
      </c>
      <c r="B9801" t="str">
        <f>"13831664499"</f>
        <v>13831664499</v>
      </c>
      <c r="C9801" t="s">
        <v>1</v>
      </c>
      <c r="D9801" t="s">
        <v>1</v>
      </c>
      <c r="E9801" t="s">
        <v>1</v>
      </c>
      <c r="F9801" t="s">
        <v>0</v>
      </c>
      <c r="G9801" t="str">
        <f>"2018-10-15 09:31:19"</f>
        <v>2018-10-15 09:31:19</v>
      </c>
    </row>
    <row r="9802" spans="1:7" x14ac:dyDescent="0.2">
      <c r="A9802" t="s">
        <v>1</v>
      </c>
      <c r="B9802" t="str">
        <f>"13542170741"</f>
        <v>13542170741</v>
      </c>
      <c r="C9802" t="s">
        <v>1</v>
      </c>
      <c r="D9802" t="s">
        <v>1</v>
      </c>
      <c r="E9802" t="s">
        <v>1</v>
      </c>
      <c r="F9802" t="s">
        <v>0</v>
      </c>
      <c r="G9802" t="str">
        <f>"2018-10-15 09:31:08"</f>
        <v>2018-10-15 09:31:08</v>
      </c>
    </row>
    <row r="9803" spans="1:7" x14ac:dyDescent="0.2">
      <c r="A9803" t="s">
        <v>1</v>
      </c>
      <c r="B9803" t="str">
        <f>"18845607153"</f>
        <v>18845607153</v>
      </c>
      <c r="C9803" t="s">
        <v>1</v>
      </c>
      <c r="D9803" t="s">
        <v>1</v>
      </c>
      <c r="E9803" t="s">
        <v>1</v>
      </c>
      <c r="F9803" t="s">
        <v>0</v>
      </c>
      <c r="G9803" t="str">
        <f>"2018-10-15 09:33:03"</f>
        <v>2018-10-15 09:33:03</v>
      </c>
    </row>
    <row r="9804" spans="1:7" x14ac:dyDescent="0.2">
      <c r="A9804" t="s">
        <v>10299</v>
      </c>
      <c r="B9804" t="str">
        <f>"13768722452"</f>
        <v>13768722452</v>
      </c>
      <c r="C9804" t="str">
        <f>"450322198110194518"</f>
        <v>450322198110194518</v>
      </c>
      <c r="D9804" t="s">
        <v>1</v>
      </c>
      <c r="E9804" t="s">
        <v>1</v>
      </c>
      <c r="F9804" t="s">
        <v>0</v>
      </c>
      <c r="G9804" t="str">
        <f>"2018-10-15 12:17:59"</f>
        <v>2018-10-15 12:17:59</v>
      </c>
    </row>
    <row r="9805" spans="1:7" x14ac:dyDescent="0.2">
      <c r="A9805" t="s">
        <v>10300</v>
      </c>
      <c r="B9805" t="str">
        <f>"18617117947"</f>
        <v>18617117947</v>
      </c>
      <c r="C9805" t="str">
        <f>"44522419950528001X"</f>
        <v>44522419950528001X</v>
      </c>
      <c r="D9805" t="s">
        <v>1</v>
      </c>
      <c r="E9805" t="s">
        <v>1</v>
      </c>
      <c r="F9805" t="s">
        <v>0</v>
      </c>
      <c r="G9805" t="str">
        <f>"2018-10-21 15:42:28"</f>
        <v>2018-10-21 15:42:28</v>
      </c>
    </row>
    <row r="9806" spans="1:7" x14ac:dyDescent="0.2">
      <c r="A9806" t="s">
        <v>10301</v>
      </c>
      <c r="B9806" t="str">
        <f>"15990753122"</f>
        <v>15990753122</v>
      </c>
      <c r="C9806" t="str">
        <f>"330324199401275334"</f>
        <v>330324199401275334</v>
      </c>
      <c r="D9806" t="s">
        <v>1</v>
      </c>
      <c r="E9806" t="s">
        <v>1</v>
      </c>
      <c r="F9806" t="s">
        <v>0</v>
      </c>
      <c r="G9806" t="str">
        <f>"2018-10-15 09:31:39"</f>
        <v>2018-10-15 09:31:39</v>
      </c>
    </row>
    <row r="9807" spans="1:7" x14ac:dyDescent="0.2">
      <c r="A9807" t="s">
        <v>10302</v>
      </c>
      <c r="B9807" t="str">
        <f>"13634796667"</f>
        <v>13634796667</v>
      </c>
      <c r="C9807" t="str">
        <f>"152201197907102018"</f>
        <v>152201197907102018</v>
      </c>
      <c r="D9807" t="s">
        <v>1</v>
      </c>
      <c r="E9807" t="s">
        <v>1</v>
      </c>
      <c r="F9807" t="s">
        <v>0</v>
      </c>
      <c r="G9807" t="str">
        <f>"2018-10-15 09:28:24"</f>
        <v>2018-10-15 09:28:24</v>
      </c>
    </row>
    <row r="9808" spans="1:7" x14ac:dyDescent="0.2">
      <c r="A9808" t="s">
        <v>10303</v>
      </c>
      <c r="B9808" t="str">
        <f>"18334522262"</f>
        <v>18334522262</v>
      </c>
      <c r="C9808" t="str">
        <f>"140427199202208074"</f>
        <v>140427199202208074</v>
      </c>
      <c r="D9808" t="s">
        <v>1</v>
      </c>
      <c r="E9808" t="s">
        <v>1</v>
      </c>
      <c r="F9808" t="s">
        <v>0</v>
      </c>
      <c r="G9808" t="str">
        <f>"2018-10-15 09:36:21"</f>
        <v>2018-10-15 09:36:21</v>
      </c>
    </row>
    <row r="9809" spans="1:7" x14ac:dyDescent="0.2">
      <c r="A9809" t="s">
        <v>10304</v>
      </c>
      <c r="B9809" t="str">
        <f>"18254122812"</f>
        <v>18254122812</v>
      </c>
      <c r="C9809" t="str">
        <f>"370125199104125615"</f>
        <v>370125199104125615</v>
      </c>
      <c r="D9809" t="s">
        <v>1</v>
      </c>
      <c r="E9809" t="s">
        <v>1</v>
      </c>
      <c r="F9809" t="s">
        <v>0</v>
      </c>
      <c r="G9809" t="str">
        <f>"2018-10-15 09:27:16"</f>
        <v>2018-10-15 09:27:16</v>
      </c>
    </row>
    <row r="9810" spans="1:7" x14ac:dyDescent="0.2">
      <c r="A9810" t="s">
        <v>10305</v>
      </c>
      <c r="B9810" t="str">
        <f>"18075056785"</f>
        <v>18075056785</v>
      </c>
      <c r="C9810" t="str">
        <f>"342426199205150042"</f>
        <v>342426199205150042</v>
      </c>
      <c r="D9810" t="s">
        <v>1</v>
      </c>
      <c r="E9810" t="s">
        <v>1</v>
      </c>
      <c r="F9810" t="s">
        <v>0</v>
      </c>
      <c r="G9810" t="str">
        <f>"2018-10-15 09:28:42"</f>
        <v>2018-10-15 09:28:42</v>
      </c>
    </row>
    <row r="9811" spans="1:7" x14ac:dyDescent="0.2">
      <c r="A9811" t="s">
        <v>7391</v>
      </c>
      <c r="B9811" t="str">
        <f>"18196991770"</f>
        <v>18196991770</v>
      </c>
      <c r="C9811" t="str">
        <f>"654128199312040026"</f>
        <v>654128199312040026</v>
      </c>
      <c r="D9811" t="s">
        <v>1</v>
      </c>
      <c r="E9811" t="s">
        <v>1</v>
      </c>
      <c r="F9811" t="s">
        <v>0</v>
      </c>
      <c r="G9811" t="str">
        <f>"2018-10-15 09:24:19"</f>
        <v>2018-10-15 09:24:19</v>
      </c>
    </row>
    <row r="9812" spans="1:7" x14ac:dyDescent="0.2">
      <c r="A9812" t="s">
        <v>10306</v>
      </c>
      <c r="B9812" t="str">
        <f>"18119883555"</f>
        <v>18119883555</v>
      </c>
      <c r="C9812" t="str">
        <f>"340223198604010016"</f>
        <v>340223198604010016</v>
      </c>
      <c r="D9812" t="s">
        <v>10307</v>
      </c>
      <c r="E9812" t="s">
        <v>10308</v>
      </c>
      <c r="F9812" t="s">
        <v>0</v>
      </c>
      <c r="G9812" t="str">
        <f>"2018-10-15 09:25:40"</f>
        <v>2018-10-15 09:25:40</v>
      </c>
    </row>
    <row r="9813" spans="1:7" x14ac:dyDescent="0.2">
      <c r="A9813" t="s">
        <v>1082</v>
      </c>
      <c r="B9813" t="str">
        <f>"15988693159"</f>
        <v>15988693159</v>
      </c>
      <c r="C9813" t="str">
        <f>"532101199505120621"</f>
        <v>532101199505120621</v>
      </c>
      <c r="D9813" t="s">
        <v>1</v>
      </c>
      <c r="E9813" t="s">
        <v>1</v>
      </c>
      <c r="F9813" t="s">
        <v>0</v>
      </c>
      <c r="G9813" t="str">
        <f>"2018-10-15 09:25:26"</f>
        <v>2018-10-15 09:25:26</v>
      </c>
    </row>
    <row r="9814" spans="1:7" x14ac:dyDescent="0.2">
      <c r="A9814" t="s">
        <v>10309</v>
      </c>
      <c r="B9814" t="str">
        <f>"18320484060"</f>
        <v>18320484060</v>
      </c>
      <c r="C9814" t="str">
        <f>"440883199708201930"</f>
        <v>440883199708201930</v>
      </c>
      <c r="D9814" t="s">
        <v>1</v>
      </c>
      <c r="E9814" t="s">
        <v>1</v>
      </c>
      <c r="F9814" t="s">
        <v>0</v>
      </c>
      <c r="G9814" t="str">
        <f>"2018-10-16 21:53:30"</f>
        <v>2018-10-16 21:53:30</v>
      </c>
    </row>
    <row r="9815" spans="1:7" x14ac:dyDescent="0.2">
      <c r="A9815" t="s">
        <v>1</v>
      </c>
      <c r="B9815" t="str">
        <f>"13950183268"</f>
        <v>13950183268</v>
      </c>
      <c r="C9815" t="s">
        <v>1</v>
      </c>
      <c r="D9815" t="s">
        <v>1</v>
      </c>
      <c r="E9815" t="s">
        <v>1</v>
      </c>
      <c r="F9815" t="s">
        <v>0</v>
      </c>
      <c r="G9815" t="str">
        <f>"2018-10-15 09:19:35"</f>
        <v>2018-10-15 09:19:35</v>
      </c>
    </row>
    <row r="9816" spans="1:7" x14ac:dyDescent="0.2">
      <c r="A9816" t="s">
        <v>10310</v>
      </c>
      <c r="B9816" t="str">
        <f>"15139771007"</f>
        <v>15139771007</v>
      </c>
      <c r="C9816" t="str">
        <f>"411522199410030039"</f>
        <v>411522199410030039</v>
      </c>
      <c r="D9816" t="s">
        <v>1</v>
      </c>
      <c r="E9816" t="s">
        <v>1</v>
      </c>
      <c r="F9816" t="s">
        <v>0</v>
      </c>
      <c r="G9816" t="str">
        <f>"2018-10-15 09:24:04"</f>
        <v>2018-10-15 09:24:04</v>
      </c>
    </row>
    <row r="9817" spans="1:7" x14ac:dyDescent="0.2">
      <c r="A9817" t="s">
        <v>10311</v>
      </c>
      <c r="B9817" t="str">
        <f>"15333193650"</f>
        <v>15333193650</v>
      </c>
      <c r="C9817" t="str">
        <f>"130502198502241513"</f>
        <v>130502198502241513</v>
      </c>
      <c r="D9817" t="s">
        <v>1</v>
      </c>
      <c r="E9817" t="s">
        <v>1</v>
      </c>
      <c r="F9817" t="s">
        <v>0</v>
      </c>
      <c r="G9817" t="str">
        <f>"2018-10-15 09:22:29"</f>
        <v>2018-10-15 09:22:29</v>
      </c>
    </row>
    <row r="9818" spans="1:7" x14ac:dyDescent="0.2">
      <c r="A9818" t="s">
        <v>154</v>
      </c>
      <c r="B9818" t="str">
        <f>"13060338777"</f>
        <v>13060338777</v>
      </c>
      <c r="C9818" t="str">
        <f>"610522199702185012"</f>
        <v>610522199702185012</v>
      </c>
      <c r="D9818" t="s">
        <v>1</v>
      </c>
      <c r="E9818" t="s">
        <v>1</v>
      </c>
      <c r="F9818" t="s">
        <v>0</v>
      </c>
      <c r="G9818" t="str">
        <f>"2018-10-15 09:17:42"</f>
        <v>2018-10-15 09:17:42</v>
      </c>
    </row>
    <row r="9819" spans="1:7" x14ac:dyDescent="0.2">
      <c r="A9819" t="s">
        <v>10312</v>
      </c>
      <c r="B9819" t="str">
        <f>"15100123423"</f>
        <v>15100123423</v>
      </c>
      <c r="C9819" t="str">
        <f>"130182198805092412"</f>
        <v>130182198805092412</v>
      </c>
      <c r="D9819" t="s">
        <v>1</v>
      </c>
      <c r="E9819" t="s">
        <v>1</v>
      </c>
      <c r="F9819" t="s">
        <v>0</v>
      </c>
      <c r="G9819" t="str">
        <f>"2018-10-15 09:18:05"</f>
        <v>2018-10-15 09:18:05</v>
      </c>
    </row>
    <row r="9820" spans="1:7" x14ac:dyDescent="0.2">
      <c r="A9820" t="s">
        <v>10313</v>
      </c>
      <c r="B9820" t="str">
        <f>"18897054214"</f>
        <v>18897054214</v>
      </c>
      <c r="C9820" t="str">
        <f>"632122199210015029"</f>
        <v>632122199210015029</v>
      </c>
      <c r="D9820" t="s">
        <v>1</v>
      </c>
      <c r="E9820" t="s">
        <v>1</v>
      </c>
      <c r="F9820" t="s">
        <v>0</v>
      </c>
      <c r="G9820" t="str">
        <f>"2018-10-15 09:15:40"</f>
        <v>2018-10-15 09:15:40</v>
      </c>
    </row>
    <row r="9821" spans="1:7" x14ac:dyDescent="0.2">
      <c r="A9821" t="s">
        <v>10314</v>
      </c>
      <c r="B9821" t="str">
        <f>"18696784224"</f>
        <v>18696784224</v>
      </c>
      <c r="C9821" t="str">
        <f>"500106198502242834"</f>
        <v>500106198502242834</v>
      </c>
      <c r="D9821" t="s">
        <v>10315</v>
      </c>
      <c r="E9821" t="s">
        <v>10316</v>
      </c>
      <c r="F9821" t="s">
        <v>0</v>
      </c>
      <c r="G9821" t="str">
        <f>"2018-10-15 09:14:57"</f>
        <v>2018-10-15 09:14:57</v>
      </c>
    </row>
    <row r="9822" spans="1:7" x14ac:dyDescent="0.2">
      <c r="A9822" t="s">
        <v>10317</v>
      </c>
      <c r="B9822" t="str">
        <f>"18673998881"</f>
        <v>18673998881</v>
      </c>
      <c r="C9822" t="str">
        <f>"430523198512016670"</f>
        <v>430523198512016670</v>
      </c>
      <c r="D9822" t="s">
        <v>10318</v>
      </c>
      <c r="E9822" t="s">
        <v>10319</v>
      </c>
      <c r="F9822" t="s">
        <v>0</v>
      </c>
      <c r="G9822" t="str">
        <f>"2018-10-15 09:16:39"</f>
        <v>2018-10-15 09:16:39</v>
      </c>
    </row>
    <row r="9823" spans="1:7" x14ac:dyDescent="0.2">
      <c r="A9823" t="s">
        <v>7336</v>
      </c>
      <c r="B9823" t="str">
        <f>"18235610600"</f>
        <v>18235610600</v>
      </c>
      <c r="C9823" t="str">
        <f>"140581198510153617"</f>
        <v>140581198510153617</v>
      </c>
      <c r="D9823" t="s">
        <v>1</v>
      </c>
      <c r="E9823" t="s">
        <v>1</v>
      </c>
      <c r="F9823" t="s">
        <v>0</v>
      </c>
      <c r="G9823" t="str">
        <f>"2018-10-22 15:46:25"</f>
        <v>2018-10-22 15:46:25</v>
      </c>
    </row>
    <row r="9824" spans="1:7" x14ac:dyDescent="0.2">
      <c r="A9824" t="s">
        <v>10320</v>
      </c>
      <c r="B9824" t="str">
        <f>"13665616138"</f>
        <v>13665616138</v>
      </c>
      <c r="C9824" t="str">
        <f>"340621198002270338"</f>
        <v>340621198002270338</v>
      </c>
      <c r="D9824" t="s">
        <v>10321</v>
      </c>
      <c r="E9824" t="s">
        <v>10322</v>
      </c>
      <c r="F9824" t="s">
        <v>0</v>
      </c>
      <c r="G9824" t="str">
        <f>"2018-10-15 09:13:37"</f>
        <v>2018-10-15 09:13:37</v>
      </c>
    </row>
    <row r="9825" spans="1:7" x14ac:dyDescent="0.2">
      <c r="A9825" t="s">
        <v>10323</v>
      </c>
      <c r="B9825" t="str">
        <f>"13464489396"</f>
        <v>13464489396</v>
      </c>
      <c r="C9825" t="str">
        <f>"21128219930626521X"</f>
        <v>21128219930626521X</v>
      </c>
      <c r="D9825" t="s">
        <v>1</v>
      </c>
      <c r="E9825" t="s">
        <v>1</v>
      </c>
      <c r="F9825" t="s">
        <v>0</v>
      </c>
      <c r="G9825" t="str">
        <f>"2018-10-15 09:13:34"</f>
        <v>2018-10-15 09:13:34</v>
      </c>
    </row>
    <row r="9826" spans="1:7" x14ac:dyDescent="0.2">
      <c r="A9826" t="s">
        <v>10324</v>
      </c>
      <c r="B9826" t="str">
        <f>"15978898230"</f>
        <v>15978898230</v>
      </c>
      <c r="C9826" t="str">
        <f>"412824199602116419"</f>
        <v>412824199602116419</v>
      </c>
      <c r="D9826" t="s">
        <v>1</v>
      </c>
      <c r="E9826" t="s">
        <v>1</v>
      </c>
      <c r="F9826" t="s">
        <v>0</v>
      </c>
      <c r="G9826" t="str">
        <f>"2018-10-15 09:19:00"</f>
        <v>2018-10-15 09:19:00</v>
      </c>
    </row>
    <row r="9827" spans="1:7" x14ac:dyDescent="0.2">
      <c r="A9827" t="s">
        <v>654</v>
      </c>
      <c r="B9827" t="str">
        <f>"13988371669"</f>
        <v>13988371669</v>
      </c>
      <c r="C9827" t="str">
        <f>"533527197906171638"</f>
        <v>533527197906171638</v>
      </c>
      <c r="D9827" t="s">
        <v>1</v>
      </c>
      <c r="E9827" t="s">
        <v>1</v>
      </c>
      <c r="F9827" t="s">
        <v>0</v>
      </c>
      <c r="G9827" t="str">
        <f>"2018-10-15 09:08:41"</f>
        <v>2018-10-15 09:08:41</v>
      </c>
    </row>
    <row r="9828" spans="1:7" x14ac:dyDescent="0.2">
      <c r="A9828" t="s">
        <v>1</v>
      </c>
      <c r="B9828" t="str">
        <f>"18941781610"</f>
        <v>18941781610</v>
      </c>
      <c r="C9828" t="s">
        <v>1</v>
      </c>
      <c r="D9828" t="s">
        <v>1</v>
      </c>
      <c r="E9828" t="s">
        <v>1</v>
      </c>
      <c r="F9828" t="s">
        <v>0</v>
      </c>
      <c r="G9828" t="str">
        <f>"2018-10-15 09:03:46"</f>
        <v>2018-10-15 09:03:46</v>
      </c>
    </row>
    <row r="9829" spans="1:7" x14ac:dyDescent="0.2">
      <c r="A9829" t="s">
        <v>1</v>
      </c>
      <c r="B9829" t="str">
        <f>"18756969536"</f>
        <v>18756969536</v>
      </c>
      <c r="C9829" t="s">
        <v>1</v>
      </c>
      <c r="D9829" t="s">
        <v>1</v>
      </c>
      <c r="E9829" t="s">
        <v>1</v>
      </c>
      <c r="F9829" t="s">
        <v>0</v>
      </c>
      <c r="G9829" t="str">
        <f>"2018-10-15 09:07:07"</f>
        <v>2018-10-15 09:07:07</v>
      </c>
    </row>
    <row r="9830" spans="1:7" x14ac:dyDescent="0.2">
      <c r="A9830" t="s">
        <v>10325</v>
      </c>
      <c r="B9830" t="str">
        <f>"15219969340"</f>
        <v>15219969340</v>
      </c>
      <c r="C9830" t="str">
        <f>"440232197404093617"</f>
        <v>440232197404093617</v>
      </c>
      <c r="D9830" t="s">
        <v>1</v>
      </c>
      <c r="E9830" t="s">
        <v>1</v>
      </c>
      <c r="F9830" t="s">
        <v>0</v>
      </c>
      <c r="G9830" t="str">
        <f>"2018-10-15 10:36:09"</f>
        <v>2018-10-15 10:36:09</v>
      </c>
    </row>
    <row r="9831" spans="1:7" x14ac:dyDescent="0.2">
      <c r="A9831" t="s">
        <v>10326</v>
      </c>
      <c r="B9831" t="str">
        <f>"18606900759"</f>
        <v>18606900759</v>
      </c>
      <c r="C9831" t="str">
        <f>"350321199409022213"</f>
        <v>350321199409022213</v>
      </c>
      <c r="D9831" t="s">
        <v>1</v>
      </c>
      <c r="E9831" t="s">
        <v>1</v>
      </c>
      <c r="F9831" t="s">
        <v>0</v>
      </c>
      <c r="G9831" t="str">
        <f>"2018-10-15 09:01:44"</f>
        <v>2018-10-15 09:01:44</v>
      </c>
    </row>
    <row r="9832" spans="1:7" x14ac:dyDescent="0.2">
      <c r="A9832" t="s">
        <v>1</v>
      </c>
      <c r="B9832" t="str">
        <f>"13550296914"</f>
        <v>13550296914</v>
      </c>
      <c r="C9832" t="s">
        <v>1</v>
      </c>
      <c r="D9832" t="s">
        <v>1</v>
      </c>
      <c r="E9832" t="s">
        <v>1</v>
      </c>
      <c r="F9832" t="s">
        <v>0</v>
      </c>
      <c r="G9832" t="str">
        <f>"2018-10-15 08:58:54"</f>
        <v>2018-10-15 08:58:54</v>
      </c>
    </row>
    <row r="9833" spans="1:7" x14ac:dyDescent="0.2">
      <c r="A9833" t="s">
        <v>10327</v>
      </c>
      <c r="B9833" t="str">
        <f>"15115203843"</f>
        <v>15115203843</v>
      </c>
      <c r="C9833" t="str">
        <f>"433027197410203615"</f>
        <v>433027197410203615</v>
      </c>
      <c r="D9833" t="s">
        <v>10328</v>
      </c>
      <c r="E9833" t="s">
        <v>10329</v>
      </c>
      <c r="F9833" t="s">
        <v>0</v>
      </c>
      <c r="G9833" t="str">
        <f>"2018-10-15 08:58:09"</f>
        <v>2018-10-15 08:58:09</v>
      </c>
    </row>
    <row r="9834" spans="1:7" x14ac:dyDescent="0.2">
      <c r="A9834" t="s">
        <v>10330</v>
      </c>
      <c r="B9834" t="str">
        <f>"15057110607"</f>
        <v>15057110607</v>
      </c>
      <c r="C9834" t="str">
        <f>"330124199803271116"</f>
        <v>330124199803271116</v>
      </c>
      <c r="D9834" t="s">
        <v>1</v>
      </c>
      <c r="E9834" t="s">
        <v>1</v>
      </c>
      <c r="F9834" t="s">
        <v>0</v>
      </c>
      <c r="G9834" t="str">
        <f>"2018-10-15 08:55:29"</f>
        <v>2018-10-15 08:55:29</v>
      </c>
    </row>
    <row r="9835" spans="1:7" x14ac:dyDescent="0.2">
      <c r="A9835" t="s">
        <v>10331</v>
      </c>
      <c r="B9835" t="str">
        <f>"18193409995"</f>
        <v>18193409995</v>
      </c>
      <c r="C9835" t="str">
        <f>"622821198604030489"</f>
        <v>622821198604030489</v>
      </c>
      <c r="D9835" t="s">
        <v>1</v>
      </c>
      <c r="E9835" t="s">
        <v>1</v>
      </c>
      <c r="F9835" t="s">
        <v>0</v>
      </c>
      <c r="G9835" t="str">
        <f>"2018-10-25 11:27:19"</f>
        <v>2018-10-25 11:27:19</v>
      </c>
    </row>
    <row r="9836" spans="1:7" x14ac:dyDescent="0.2">
      <c r="A9836" t="s">
        <v>10332</v>
      </c>
      <c r="B9836" t="str">
        <f>"15816999294"</f>
        <v>15816999294</v>
      </c>
      <c r="C9836" t="str">
        <f>"441224199608095454"</f>
        <v>441224199608095454</v>
      </c>
      <c r="D9836" t="s">
        <v>1</v>
      </c>
      <c r="E9836" t="s">
        <v>1</v>
      </c>
      <c r="F9836" t="s">
        <v>0</v>
      </c>
      <c r="G9836" t="str">
        <f>"2018-10-15 12:42:00"</f>
        <v>2018-10-15 12:42:00</v>
      </c>
    </row>
    <row r="9837" spans="1:7" x14ac:dyDescent="0.2">
      <c r="A9837" t="s">
        <v>1</v>
      </c>
      <c r="B9837" t="str">
        <f>"15922883946"</f>
        <v>15922883946</v>
      </c>
      <c r="C9837" t="s">
        <v>1</v>
      </c>
      <c r="D9837" t="s">
        <v>1</v>
      </c>
      <c r="E9837" t="s">
        <v>1</v>
      </c>
      <c r="F9837" t="s">
        <v>0</v>
      </c>
      <c r="G9837" t="str">
        <f>"2018-10-15 08:51:57"</f>
        <v>2018-10-15 08:51:57</v>
      </c>
    </row>
    <row r="9838" spans="1:7" x14ac:dyDescent="0.2">
      <c r="A9838" t="s">
        <v>10333</v>
      </c>
      <c r="B9838" t="str">
        <f>"13845003435"</f>
        <v>13845003435</v>
      </c>
      <c r="C9838" t="str">
        <f>"232303197610061815"</f>
        <v>232303197610061815</v>
      </c>
      <c r="D9838" t="s">
        <v>1</v>
      </c>
      <c r="E9838" t="s">
        <v>1</v>
      </c>
      <c r="F9838" t="s">
        <v>0</v>
      </c>
      <c r="G9838" t="str">
        <f>"2018-10-15 08:50:38"</f>
        <v>2018-10-15 08:50:38</v>
      </c>
    </row>
    <row r="9839" spans="1:7" x14ac:dyDescent="0.2">
      <c r="A9839" t="s">
        <v>10334</v>
      </c>
      <c r="B9839" t="str">
        <f>"13518066636"</f>
        <v>13518066636</v>
      </c>
      <c r="C9839" t="str">
        <f>"46010319930322031X"</f>
        <v>46010319930322031X</v>
      </c>
      <c r="D9839" t="s">
        <v>10335</v>
      </c>
      <c r="E9839" t="s">
        <v>10336</v>
      </c>
      <c r="F9839" t="s">
        <v>0</v>
      </c>
      <c r="G9839" t="str">
        <f>"2018-10-15 09:31:25"</f>
        <v>2018-10-15 09:31:25</v>
      </c>
    </row>
    <row r="9840" spans="1:7" x14ac:dyDescent="0.2">
      <c r="A9840" t="s">
        <v>10337</v>
      </c>
      <c r="B9840" t="str">
        <f>"18880409099"</f>
        <v>18880409099</v>
      </c>
      <c r="C9840" t="str">
        <f>"511024198504190759"</f>
        <v>511024198504190759</v>
      </c>
      <c r="D9840" t="s">
        <v>1</v>
      </c>
      <c r="E9840" t="s">
        <v>1</v>
      </c>
      <c r="F9840" t="s">
        <v>0</v>
      </c>
      <c r="G9840" t="str">
        <f>"2018-10-15 08:45:59"</f>
        <v>2018-10-15 08:45:59</v>
      </c>
    </row>
    <row r="9841" spans="1:7" x14ac:dyDescent="0.2">
      <c r="A9841" t="s">
        <v>10338</v>
      </c>
      <c r="B9841" t="str">
        <f>"17792187792"</f>
        <v>17792187792</v>
      </c>
      <c r="C9841" t="str">
        <f>"612321198307121123"</f>
        <v>612321198307121123</v>
      </c>
      <c r="D9841" t="s">
        <v>1</v>
      </c>
      <c r="E9841" t="s">
        <v>1</v>
      </c>
      <c r="F9841" t="s">
        <v>0</v>
      </c>
      <c r="G9841" t="str">
        <f>"2018-10-15 08:48:22"</f>
        <v>2018-10-15 08:48:22</v>
      </c>
    </row>
    <row r="9842" spans="1:7" x14ac:dyDescent="0.2">
      <c r="A9842" t="s">
        <v>10339</v>
      </c>
      <c r="B9842" t="str">
        <f>"15022073227"</f>
        <v>15022073227</v>
      </c>
      <c r="C9842" t="str">
        <f>"410503199305155008"</f>
        <v>410503199305155008</v>
      </c>
      <c r="D9842" t="s">
        <v>1</v>
      </c>
      <c r="E9842" t="s">
        <v>1</v>
      </c>
      <c r="F9842" t="s">
        <v>0</v>
      </c>
      <c r="G9842" t="str">
        <f>"2018-10-15 08:45:05"</f>
        <v>2018-10-15 08:45:05</v>
      </c>
    </row>
    <row r="9843" spans="1:7" x14ac:dyDescent="0.2">
      <c r="A9843" t="s">
        <v>10340</v>
      </c>
      <c r="B9843" t="str">
        <f>"15526794066"</f>
        <v>15526794066</v>
      </c>
      <c r="C9843" t="str">
        <f>"222403199104074288"</f>
        <v>222403199104074288</v>
      </c>
      <c r="D9843" t="s">
        <v>1</v>
      </c>
      <c r="E9843" t="s">
        <v>1</v>
      </c>
      <c r="F9843" t="s">
        <v>0</v>
      </c>
      <c r="G9843" t="str">
        <f>"2018-10-15 08:45:09"</f>
        <v>2018-10-15 08:45:09</v>
      </c>
    </row>
    <row r="9844" spans="1:7" x14ac:dyDescent="0.2">
      <c r="A9844" t="s">
        <v>10341</v>
      </c>
      <c r="B9844" t="str">
        <f>"18085406000"</f>
        <v>18085406000</v>
      </c>
      <c r="C9844" t="str">
        <f>"522732198811101411"</f>
        <v>522732198811101411</v>
      </c>
      <c r="D9844" t="s">
        <v>1</v>
      </c>
      <c r="E9844" t="s">
        <v>1</v>
      </c>
      <c r="F9844" t="s">
        <v>0</v>
      </c>
      <c r="G9844" t="str">
        <f>"2018-10-21 22:33:26"</f>
        <v>2018-10-21 22:33:26</v>
      </c>
    </row>
    <row r="9845" spans="1:7" x14ac:dyDescent="0.2">
      <c r="A9845" t="s">
        <v>1</v>
      </c>
      <c r="B9845" t="str">
        <f>"15678644114"</f>
        <v>15678644114</v>
      </c>
      <c r="C9845" t="s">
        <v>1</v>
      </c>
      <c r="D9845" t="s">
        <v>1</v>
      </c>
      <c r="E9845" t="s">
        <v>1</v>
      </c>
      <c r="F9845" t="s">
        <v>0</v>
      </c>
      <c r="G9845" t="str">
        <f>"2018-10-15 08:38:12"</f>
        <v>2018-10-15 08:38:12</v>
      </c>
    </row>
    <row r="9846" spans="1:7" x14ac:dyDescent="0.2">
      <c r="A9846" t="s">
        <v>10342</v>
      </c>
      <c r="B9846" t="str">
        <f>"13666204213"</f>
        <v>13666204213</v>
      </c>
      <c r="C9846" t="str">
        <f>"51018219870215401X"</f>
        <v>51018219870215401X</v>
      </c>
      <c r="D9846" t="s">
        <v>10343</v>
      </c>
      <c r="E9846" t="s">
        <v>10344</v>
      </c>
      <c r="F9846" t="s">
        <v>0</v>
      </c>
      <c r="G9846" t="str">
        <f>"2018-10-15 08:35:49"</f>
        <v>2018-10-15 08:35:49</v>
      </c>
    </row>
    <row r="9847" spans="1:7" x14ac:dyDescent="0.2">
      <c r="A9847" t="s">
        <v>1873</v>
      </c>
      <c r="B9847" t="str">
        <f>"18980578922"</f>
        <v>18980578922</v>
      </c>
      <c r="C9847" t="str">
        <f>"510182198203170031"</f>
        <v>510182198203170031</v>
      </c>
      <c r="D9847" t="s">
        <v>10345</v>
      </c>
      <c r="E9847" t="s">
        <v>10346</v>
      </c>
      <c r="F9847" t="s">
        <v>0</v>
      </c>
      <c r="G9847" t="str">
        <f>"2018-10-15 08:32:11"</f>
        <v>2018-10-15 08:32:11</v>
      </c>
    </row>
    <row r="9848" spans="1:7" x14ac:dyDescent="0.2">
      <c r="A9848" t="s">
        <v>1</v>
      </c>
      <c r="B9848" t="str">
        <f>"13506925235"</f>
        <v>13506925235</v>
      </c>
      <c r="C9848" t="s">
        <v>1</v>
      </c>
      <c r="D9848" t="s">
        <v>1</v>
      </c>
      <c r="E9848" t="s">
        <v>1</v>
      </c>
      <c r="F9848" t="s">
        <v>0</v>
      </c>
      <c r="G9848" t="str">
        <f>"2018-10-15 08:31:04"</f>
        <v>2018-10-15 08:31:04</v>
      </c>
    </row>
    <row r="9849" spans="1:7" x14ac:dyDescent="0.2">
      <c r="A9849" t="s">
        <v>10347</v>
      </c>
      <c r="B9849" t="str">
        <f>"15109429903"</f>
        <v>15109429903</v>
      </c>
      <c r="C9849" t="str">
        <f>"623023199208193715"</f>
        <v>623023199208193715</v>
      </c>
      <c r="D9849" t="s">
        <v>1</v>
      </c>
      <c r="E9849" t="s">
        <v>1</v>
      </c>
      <c r="F9849" t="s">
        <v>0</v>
      </c>
      <c r="G9849" t="str">
        <f>"2018-10-15 08:30:27"</f>
        <v>2018-10-15 08:30:27</v>
      </c>
    </row>
    <row r="9850" spans="1:7" x14ac:dyDescent="0.2">
      <c r="A9850" t="s">
        <v>1</v>
      </c>
      <c r="B9850" t="str">
        <f>"13515843013"</f>
        <v>13515843013</v>
      </c>
      <c r="C9850" t="s">
        <v>1</v>
      </c>
      <c r="D9850" t="s">
        <v>1</v>
      </c>
      <c r="E9850" t="s">
        <v>1</v>
      </c>
      <c r="F9850" t="s">
        <v>0</v>
      </c>
      <c r="G9850" t="str">
        <f>"2018-10-15 08:29:45"</f>
        <v>2018-10-15 08:29:45</v>
      </c>
    </row>
    <row r="9851" spans="1:7" x14ac:dyDescent="0.2">
      <c r="A9851" t="s">
        <v>1</v>
      </c>
      <c r="B9851" t="str">
        <f>"13693875851"</f>
        <v>13693875851</v>
      </c>
      <c r="C9851" t="s">
        <v>1</v>
      </c>
      <c r="D9851" t="s">
        <v>1</v>
      </c>
      <c r="E9851" t="s">
        <v>1</v>
      </c>
      <c r="F9851" t="s">
        <v>0</v>
      </c>
      <c r="G9851" t="str">
        <f>"2018-10-15 08:24:12"</f>
        <v>2018-10-15 08:24:12</v>
      </c>
    </row>
    <row r="9852" spans="1:7" x14ac:dyDescent="0.2">
      <c r="A9852" t="s">
        <v>10348</v>
      </c>
      <c r="B9852" t="str">
        <f>"13348133962"</f>
        <v>13348133962</v>
      </c>
      <c r="C9852" t="str">
        <f>"321022197310154415"</f>
        <v>321022197310154415</v>
      </c>
      <c r="D9852" t="s">
        <v>1</v>
      </c>
      <c r="E9852" t="s">
        <v>1</v>
      </c>
      <c r="F9852" t="s">
        <v>0</v>
      </c>
      <c r="G9852" t="str">
        <f>"2018-10-15 08:25:42"</f>
        <v>2018-10-15 08:25:42</v>
      </c>
    </row>
    <row r="9853" spans="1:7" x14ac:dyDescent="0.2">
      <c r="A9853" t="s">
        <v>10349</v>
      </c>
      <c r="B9853" t="str">
        <f>"13737889299"</f>
        <v>13737889299</v>
      </c>
      <c r="C9853" t="str">
        <f>"450411198703070015"</f>
        <v>450411198703070015</v>
      </c>
      <c r="D9853" t="s">
        <v>1</v>
      </c>
      <c r="E9853" t="s">
        <v>1</v>
      </c>
      <c r="F9853" t="s">
        <v>0</v>
      </c>
      <c r="G9853" t="str">
        <f>"2018-10-15 08:24:05"</f>
        <v>2018-10-15 08:24:05</v>
      </c>
    </row>
    <row r="9854" spans="1:7" x14ac:dyDescent="0.2">
      <c r="A9854" t="s">
        <v>10350</v>
      </c>
      <c r="B9854" t="str">
        <f>"18796825238"</f>
        <v>18796825238</v>
      </c>
      <c r="C9854" t="str">
        <f>"320582199111062616"</f>
        <v>320582199111062616</v>
      </c>
      <c r="D9854" t="s">
        <v>1</v>
      </c>
      <c r="E9854" t="s">
        <v>1</v>
      </c>
      <c r="F9854" t="s">
        <v>0</v>
      </c>
      <c r="G9854" t="str">
        <f>"2018-11-03 10:35:20"</f>
        <v>2018-11-03 10:35:20</v>
      </c>
    </row>
    <row r="9855" spans="1:7" x14ac:dyDescent="0.2">
      <c r="A9855" t="s">
        <v>10351</v>
      </c>
      <c r="B9855" t="str">
        <f>"15970064032"</f>
        <v>15970064032</v>
      </c>
      <c r="C9855" t="str">
        <f>"362135198109085913"</f>
        <v>362135198109085913</v>
      </c>
      <c r="D9855" t="s">
        <v>10352</v>
      </c>
      <c r="E9855" t="s">
        <v>10353</v>
      </c>
      <c r="F9855" t="s">
        <v>0</v>
      </c>
      <c r="G9855" t="str">
        <f>"2018-10-15 08:29:09"</f>
        <v>2018-10-15 08:29:09</v>
      </c>
    </row>
    <row r="9856" spans="1:7" x14ac:dyDescent="0.2">
      <c r="A9856" t="s">
        <v>1</v>
      </c>
      <c r="B9856" t="str">
        <f>"13834026645"</f>
        <v>13834026645</v>
      </c>
      <c r="C9856" t="s">
        <v>1</v>
      </c>
      <c r="D9856" t="s">
        <v>1</v>
      </c>
      <c r="E9856" t="s">
        <v>1</v>
      </c>
      <c r="F9856" t="s">
        <v>0</v>
      </c>
      <c r="G9856" t="str">
        <f>"2018-10-15 08:21:15"</f>
        <v>2018-10-15 08:21:15</v>
      </c>
    </row>
    <row r="9857" spans="1:7" x14ac:dyDescent="0.2">
      <c r="A9857" t="s">
        <v>10354</v>
      </c>
      <c r="B9857" t="str">
        <f>"15057819511"</f>
        <v>15057819511</v>
      </c>
      <c r="C9857" t="str">
        <f>"330702197601020816"</f>
        <v>330702197601020816</v>
      </c>
      <c r="D9857" t="s">
        <v>1</v>
      </c>
      <c r="E9857" t="s">
        <v>1</v>
      </c>
      <c r="F9857" t="s">
        <v>0</v>
      </c>
      <c r="G9857" t="str">
        <f>"2018-10-15 08:10:07"</f>
        <v>2018-10-15 08:10:07</v>
      </c>
    </row>
    <row r="9858" spans="1:7" x14ac:dyDescent="0.2">
      <c r="A9858" t="s">
        <v>10355</v>
      </c>
      <c r="B9858" t="str">
        <f>"15006400005"</f>
        <v>15006400005</v>
      </c>
      <c r="C9858" t="str">
        <f>"370784197407233035"</f>
        <v>370784197407233035</v>
      </c>
      <c r="D9858" t="s">
        <v>1</v>
      </c>
      <c r="E9858" t="s">
        <v>1</v>
      </c>
      <c r="F9858" t="s">
        <v>0</v>
      </c>
      <c r="G9858" t="str">
        <f>"2018-10-15 08:08:25"</f>
        <v>2018-10-15 08:08:25</v>
      </c>
    </row>
    <row r="9859" spans="1:7" x14ac:dyDescent="0.2">
      <c r="A9859" t="s">
        <v>1</v>
      </c>
      <c r="B9859" t="str">
        <f>"15819179966"</f>
        <v>15819179966</v>
      </c>
      <c r="C9859" t="s">
        <v>1</v>
      </c>
      <c r="D9859" t="s">
        <v>1</v>
      </c>
      <c r="E9859" t="s">
        <v>1</v>
      </c>
      <c r="F9859" t="s">
        <v>0</v>
      </c>
      <c r="G9859" t="str">
        <f>"2018-10-15 08:04:16"</f>
        <v>2018-10-15 08:04:16</v>
      </c>
    </row>
    <row r="9860" spans="1:7" x14ac:dyDescent="0.2">
      <c r="A9860" t="s">
        <v>1</v>
      </c>
      <c r="B9860" t="str">
        <f>"18093006888"</f>
        <v>18093006888</v>
      </c>
      <c r="C9860" t="s">
        <v>1</v>
      </c>
      <c r="D9860" t="s">
        <v>1</v>
      </c>
      <c r="E9860" t="s">
        <v>1</v>
      </c>
      <c r="F9860" t="s">
        <v>0</v>
      </c>
      <c r="G9860" t="str">
        <f>"2018-10-15 08:03:12"</f>
        <v>2018-10-15 08:03:12</v>
      </c>
    </row>
    <row r="9861" spans="1:7" x14ac:dyDescent="0.2">
      <c r="A9861" t="s">
        <v>10356</v>
      </c>
      <c r="B9861" t="str">
        <f>"15087862320"</f>
        <v>15087862320</v>
      </c>
      <c r="C9861" t="str">
        <f>"533524198905220923"</f>
        <v>533524198905220923</v>
      </c>
      <c r="D9861" t="s">
        <v>1</v>
      </c>
      <c r="E9861" t="s">
        <v>1</v>
      </c>
      <c r="F9861" t="s">
        <v>0</v>
      </c>
      <c r="G9861" t="str">
        <f>"2018-10-15 08:02:53"</f>
        <v>2018-10-15 08:02:53</v>
      </c>
    </row>
    <row r="9862" spans="1:7" x14ac:dyDescent="0.2">
      <c r="A9862" t="s">
        <v>10357</v>
      </c>
      <c r="B9862" t="str">
        <f>"17606786373"</f>
        <v>17606786373</v>
      </c>
      <c r="C9862" t="str">
        <f>"41272219940604355X"</f>
        <v>41272219940604355X</v>
      </c>
      <c r="D9862" t="s">
        <v>1</v>
      </c>
      <c r="E9862" t="s">
        <v>1</v>
      </c>
      <c r="F9862" t="s">
        <v>0</v>
      </c>
      <c r="G9862" t="str">
        <f>"2018-10-15 12:18:35"</f>
        <v>2018-10-15 12:18:35</v>
      </c>
    </row>
    <row r="9863" spans="1:7" x14ac:dyDescent="0.2">
      <c r="A9863" t="s">
        <v>1</v>
      </c>
      <c r="B9863" t="str">
        <f>"13396902135"</f>
        <v>13396902135</v>
      </c>
      <c r="C9863" t="s">
        <v>1</v>
      </c>
      <c r="D9863" t="s">
        <v>1</v>
      </c>
      <c r="E9863" t="s">
        <v>1</v>
      </c>
      <c r="F9863" t="s">
        <v>0</v>
      </c>
      <c r="G9863" t="str">
        <f>"2018-10-15 07:55:30"</f>
        <v>2018-10-15 07:55:30</v>
      </c>
    </row>
    <row r="9864" spans="1:7" x14ac:dyDescent="0.2">
      <c r="A9864" t="s">
        <v>1</v>
      </c>
      <c r="B9864" t="str">
        <f>"15064562859"</f>
        <v>15064562859</v>
      </c>
      <c r="C9864" t="s">
        <v>1</v>
      </c>
      <c r="D9864" t="s">
        <v>1</v>
      </c>
      <c r="E9864" t="s">
        <v>1</v>
      </c>
      <c r="F9864" t="s">
        <v>0</v>
      </c>
      <c r="G9864" t="str">
        <f>"2018-10-15 07:46:54"</f>
        <v>2018-10-15 07:46:54</v>
      </c>
    </row>
    <row r="9865" spans="1:7" x14ac:dyDescent="0.2">
      <c r="A9865" t="s">
        <v>10358</v>
      </c>
      <c r="B9865" t="str">
        <f>"18012801590"</f>
        <v>18012801590</v>
      </c>
      <c r="C9865" t="str">
        <f>"321102199106101016"</f>
        <v>321102199106101016</v>
      </c>
      <c r="D9865" t="s">
        <v>1</v>
      </c>
      <c r="E9865" t="s">
        <v>1</v>
      </c>
      <c r="F9865" t="s">
        <v>0</v>
      </c>
      <c r="G9865" t="str">
        <f>"2018-10-15 07:49:24"</f>
        <v>2018-10-15 07:49:24</v>
      </c>
    </row>
    <row r="9866" spans="1:7" x14ac:dyDescent="0.2">
      <c r="A9866" t="s">
        <v>10359</v>
      </c>
      <c r="B9866" t="str">
        <f>"13612848112"</f>
        <v>13612848112</v>
      </c>
      <c r="C9866" t="str">
        <f>"513029198709291952"</f>
        <v>513029198709291952</v>
      </c>
      <c r="D9866" t="s">
        <v>1</v>
      </c>
      <c r="E9866" t="s">
        <v>1</v>
      </c>
      <c r="F9866" t="s">
        <v>0</v>
      </c>
      <c r="G9866" t="str">
        <f>"2018-10-15 07:44:29"</f>
        <v>2018-10-15 07:44:29</v>
      </c>
    </row>
    <row r="9867" spans="1:7" x14ac:dyDescent="0.2">
      <c r="A9867" t="s">
        <v>10360</v>
      </c>
      <c r="B9867" t="str">
        <f>"18351301693"</f>
        <v>18351301693</v>
      </c>
      <c r="C9867" t="str">
        <f>"412326199112090653"</f>
        <v>412326199112090653</v>
      </c>
      <c r="D9867" t="s">
        <v>10361</v>
      </c>
      <c r="E9867" t="s">
        <v>10362</v>
      </c>
      <c r="F9867" t="s">
        <v>0</v>
      </c>
      <c r="G9867" t="str">
        <f>"2018-10-28 16:07:08"</f>
        <v>2018-10-28 16:07:08</v>
      </c>
    </row>
    <row r="9868" spans="1:7" x14ac:dyDescent="0.2">
      <c r="A9868" t="s">
        <v>1</v>
      </c>
      <c r="B9868" t="str">
        <f>"18906586999"</f>
        <v>18906586999</v>
      </c>
      <c r="C9868" t="s">
        <v>1</v>
      </c>
      <c r="D9868" t="s">
        <v>1</v>
      </c>
      <c r="E9868" t="s">
        <v>1</v>
      </c>
      <c r="F9868" t="s">
        <v>0</v>
      </c>
      <c r="G9868" t="str">
        <f>"2018-10-15 07:30:48"</f>
        <v>2018-10-15 07:30:48</v>
      </c>
    </row>
    <row r="9869" spans="1:7" x14ac:dyDescent="0.2">
      <c r="A9869" t="s">
        <v>10363</v>
      </c>
      <c r="B9869" t="str">
        <f>"13761981476"</f>
        <v>13761981476</v>
      </c>
      <c r="C9869" t="str">
        <f>"310225198102075626"</f>
        <v>310225198102075626</v>
      </c>
      <c r="D9869" t="s">
        <v>10364</v>
      </c>
      <c r="E9869" t="s">
        <v>10365</v>
      </c>
      <c r="F9869" t="s">
        <v>0</v>
      </c>
      <c r="G9869" t="str">
        <f>"2018-10-16 11:00:42"</f>
        <v>2018-10-16 11:00:42</v>
      </c>
    </row>
    <row r="9870" spans="1:7" x14ac:dyDescent="0.2">
      <c r="A9870" t="s">
        <v>10366</v>
      </c>
      <c r="B9870" t="str">
        <f>"18331885809"</f>
        <v>18331885809</v>
      </c>
      <c r="C9870" t="str">
        <f>"130429199506174417"</f>
        <v>130429199506174417</v>
      </c>
      <c r="D9870" t="s">
        <v>1</v>
      </c>
      <c r="E9870" t="s">
        <v>1</v>
      </c>
      <c r="F9870" t="s">
        <v>0</v>
      </c>
      <c r="G9870" t="str">
        <f>"2018-10-17 02:01:39"</f>
        <v>2018-10-17 02:01:39</v>
      </c>
    </row>
    <row r="9871" spans="1:7" x14ac:dyDescent="0.2">
      <c r="A9871" t="s">
        <v>1</v>
      </c>
      <c r="B9871" t="str">
        <f>"13911185466"</f>
        <v>13911185466</v>
      </c>
      <c r="C9871" t="s">
        <v>1</v>
      </c>
      <c r="D9871" t="s">
        <v>1</v>
      </c>
      <c r="E9871" t="s">
        <v>1</v>
      </c>
      <c r="F9871" t="s">
        <v>0</v>
      </c>
      <c r="G9871" t="str">
        <f>"2018-10-15 07:20:13"</f>
        <v>2018-10-15 07:20:13</v>
      </c>
    </row>
    <row r="9872" spans="1:7" x14ac:dyDescent="0.2">
      <c r="A9872" t="s">
        <v>10367</v>
      </c>
      <c r="B9872" t="str">
        <f>"13673663631"</f>
        <v>13673663631</v>
      </c>
      <c r="C9872" t="str">
        <f>"410185198602196533"</f>
        <v>410185198602196533</v>
      </c>
      <c r="D9872" t="s">
        <v>1</v>
      </c>
      <c r="E9872" t="s">
        <v>1</v>
      </c>
      <c r="F9872" t="s">
        <v>0</v>
      </c>
      <c r="G9872" t="str">
        <f>"2018-10-15 12:02:30"</f>
        <v>2018-10-15 12:02:30</v>
      </c>
    </row>
    <row r="9873" spans="1:7" x14ac:dyDescent="0.2">
      <c r="A9873" t="s">
        <v>251</v>
      </c>
      <c r="B9873" t="str">
        <f>"13587272543"</f>
        <v>13587272543</v>
      </c>
      <c r="C9873" t="str">
        <f>"330523199005042824"</f>
        <v>330523199005042824</v>
      </c>
      <c r="D9873" t="s">
        <v>1</v>
      </c>
      <c r="E9873" t="s">
        <v>1</v>
      </c>
      <c r="F9873" t="s">
        <v>0</v>
      </c>
      <c r="G9873" t="str">
        <f>"2018-10-15 07:12:54"</f>
        <v>2018-10-15 07:12:54</v>
      </c>
    </row>
    <row r="9874" spans="1:7" x14ac:dyDescent="0.2">
      <c r="A9874" t="s">
        <v>10368</v>
      </c>
      <c r="B9874" t="str">
        <f>"13375635188"</f>
        <v>13375635188</v>
      </c>
      <c r="C9874" t="str">
        <f>"370983198706103299"</f>
        <v>370983198706103299</v>
      </c>
      <c r="D9874" t="s">
        <v>1</v>
      </c>
      <c r="E9874" t="s">
        <v>1</v>
      </c>
      <c r="F9874" t="s">
        <v>0</v>
      </c>
      <c r="G9874" t="str">
        <f>"2018-10-15 07:09:22"</f>
        <v>2018-10-15 07:09:22</v>
      </c>
    </row>
    <row r="9875" spans="1:7" x14ac:dyDescent="0.2">
      <c r="A9875" t="s">
        <v>10369</v>
      </c>
      <c r="B9875" t="str">
        <f>"18846833344"</f>
        <v>18846833344</v>
      </c>
      <c r="C9875" t="str">
        <f>"230402199108160347"</f>
        <v>230402199108160347</v>
      </c>
      <c r="D9875" t="s">
        <v>1</v>
      </c>
      <c r="E9875" t="s">
        <v>1</v>
      </c>
      <c r="F9875" t="s">
        <v>0</v>
      </c>
      <c r="G9875" t="str">
        <f>"2018-10-18 07:39:43"</f>
        <v>2018-10-18 07:39:43</v>
      </c>
    </row>
    <row r="9876" spans="1:7" x14ac:dyDescent="0.2">
      <c r="A9876" t="s">
        <v>1</v>
      </c>
      <c r="B9876" t="str">
        <f>"13641951586"</f>
        <v>13641951586</v>
      </c>
      <c r="C9876" t="s">
        <v>1</v>
      </c>
      <c r="D9876" t="s">
        <v>1</v>
      </c>
      <c r="E9876" t="s">
        <v>1</v>
      </c>
      <c r="F9876" t="s">
        <v>0</v>
      </c>
      <c r="G9876" t="str">
        <f>"2018-10-15 07:03:44"</f>
        <v>2018-10-15 07:03:44</v>
      </c>
    </row>
    <row r="9877" spans="1:7" x14ac:dyDescent="0.2">
      <c r="A9877" t="s">
        <v>1</v>
      </c>
      <c r="B9877" t="str">
        <f>"17726351765"</f>
        <v>17726351765</v>
      </c>
      <c r="C9877" t="s">
        <v>1</v>
      </c>
      <c r="D9877" t="s">
        <v>1</v>
      </c>
      <c r="E9877" t="s">
        <v>1</v>
      </c>
      <c r="F9877" t="s">
        <v>0</v>
      </c>
      <c r="G9877" t="str">
        <f>"2018-10-15 06:49:22"</f>
        <v>2018-10-15 06:49:22</v>
      </c>
    </row>
    <row r="9878" spans="1:7" x14ac:dyDescent="0.2">
      <c r="A9878" t="s">
        <v>1</v>
      </c>
      <c r="B9878" t="str">
        <f>"18390794430"</f>
        <v>18390794430</v>
      </c>
      <c r="C9878" t="s">
        <v>1</v>
      </c>
      <c r="D9878" t="s">
        <v>1</v>
      </c>
      <c r="E9878" t="s">
        <v>1</v>
      </c>
      <c r="F9878" t="s">
        <v>0</v>
      </c>
      <c r="G9878" t="str">
        <f>"2018-10-15 06:48:41"</f>
        <v>2018-10-15 06:48:41</v>
      </c>
    </row>
    <row r="9879" spans="1:7" x14ac:dyDescent="0.2">
      <c r="A9879" t="s">
        <v>1</v>
      </c>
      <c r="B9879" t="str">
        <f>"15222434179"</f>
        <v>15222434179</v>
      </c>
      <c r="C9879" t="s">
        <v>1</v>
      </c>
      <c r="D9879" t="s">
        <v>1</v>
      </c>
      <c r="E9879" t="s">
        <v>1</v>
      </c>
      <c r="F9879" t="s">
        <v>0</v>
      </c>
      <c r="G9879" t="str">
        <f>"2018-10-15 06:48:13"</f>
        <v>2018-10-15 06:48:13</v>
      </c>
    </row>
    <row r="9880" spans="1:7" x14ac:dyDescent="0.2">
      <c r="A9880" t="s">
        <v>10370</v>
      </c>
      <c r="B9880" t="str">
        <f>"17370427665"</f>
        <v>17370427665</v>
      </c>
      <c r="C9880" t="str">
        <f>"360421199208280045"</f>
        <v>360421199208280045</v>
      </c>
      <c r="D9880" t="s">
        <v>1</v>
      </c>
      <c r="E9880" t="s">
        <v>1</v>
      </c>
      <c r="F9880" t="s">
        <v>0</v>
      </c>
      <c r="G9880" t="str">
        <f>"2018-10-15 06:55:50"</f>
        <v>2018-10-15 06:55:50</v>
      </c>
    </row>
    <row r="9881" spans="1:7" x14ac:dyDescent="0.2">
      <c r="A9881" t="s">
        <v>1</v>
      </c>
      <c r="B9881" t="str">
        <f>"15202137048"</f>
        <v>15202137048</v>
      </c>
      <c r="C9881" t="s">
        <v>1</v>
      </c>
      <c r="D9881" t="s">
        <v>1</v>
      </c>
      <c r="E9881" t="s">
        <v>1</v>
      </c>
      <c r="F9881" t="s">
        <v>0</v>
      </c>
      <c r="G9881" t="str">
        <f>"2018-10-22 11:46:14"</f>
        <v>2018-10-22 11:46:14</v>
      </c>
    </row>
    <row r="9882" spans="1:7" x14ac:dyDescent="0.2">
      <c r="A9882" t="s">
        <v>1025</v>
      </c>
      <c r="B9882" t="str">
        <f>"18169641690"</f>
        <v>18169641690</v>
      </c>
      <c r="C9882" t="str">
        <f>"51372119860521735X"</f>
        <v>51372119860521735X</v>
      </c>
      <c r="D9882" t="s">
        <v>1</v>
      </c>
      <c r="E9882" t="s">
        <v>1</v>
      </c>
      <c r="F9882" t="s">
        <v>0</v>
      </c>
      <c r="G9882" t="str">
        <f>"2018-10-15 06:51:17"</f>
        <v>2018-10-15 06:51:17</v>
      </c>
    </row>
    <row r="9883" spans="1:7" x14ac:dyDescent="0.2">
      <c r="A9883" t="s">
        <v>1</v>
      </c>
      <c r="B9883" t="str">
        <f>"13414716777"</f>
        <v>13414716777</v>
      </c>
      <c r="C9883" t="s">
        <v>1</v>
      </c>
      <c r="D9883" t="s">
        <v>1</v>
      </c>
      <c r="E9883" t="s">
        <v>1</v>
      </c>
      <c r="F9883" t="s">
        <v>0</v>
      </c>
      <c r="G9883" t="str">
        <f>"2018-10-15 06:40:54"</f>
        <v>2018-10-15 06:40:54</v>
      </c>
    </row>
    <row r="9884" spans="1:7" x14ac:dyDescent="0.2">
      <c r="A9884" t="s">
        <v>1</v>
      </c>
      <c r="B9884" t="str">
        <f>"13129652737"</f>
        <v>13129652737</v>
      </c>
      <c r="C9884" t="s">
        <v>1</v>
      </c>
      <c r="D9884" t="s">
        <v>1</v>
      </c>
      <c r="E9884" t="s">
        <v>1</v>
      </c>
      <c r="F9884" t="s">
        <v>0</v>
      </c>
      <c r="G9884" t="str">
        <f>"2018-10-15 06:36:38"</f>
        <v>2018-10-15 06:36:38</v>
      </c>
    </row>
    <row r="9885" spans="1:7" x14ac:dyDescent="0.2">
      <c r="A9885" t="s">
        <v>1</v>
      </c>
      <c r="B9885" t="str">
        <f>"15822896041"</f>
        <v>15822896041</v>
      </c>
      <c r="C9885" t="s">
        <v>1</v>
      </c>
      <c r="D9885" t="s">
        <v>1</v>
      </c>
      <c r="E9885" t="s">
        <v>1</v>
      </c>
      <c r="F9885" t="s">
        <v>0</v>
      </c>
      <c r="G9885" t="str">
        <f>"2018-10-15 06:34:25"</f>
        <v>2018-10-15 06:34:25</v>
      </c>
    </row>
    <row r="9886" spans="1:7" x14ac:dyDescent="0.2">
      <c r="A9886" t="s">
        <v>10371</v>
      </c>
      <c r="B9886" t="str">
        <f>"13757747803"</f>
        <v>13757747803</v>
      </c>
      <c r="C9886" t="str">
        <f>"330323197609101012"</f>
        <v>330323197609101012</v>
      </c>
      <c r="D9886" t="s">
        <v>1</v>
      </c>
      <c r="E9886" t="s">
        <v>1</v>
      </c>
      <c r="F9886" t="s">
        <v>0</v>
      </c>
      <c r="G9886" t="str">
        <f>"2018-10-15 06:27:20"</f>
        <v>2018-10-15 06:27:20</v>
      </c>
    </row>
    <row r="9887" spans="1:7" x14ac:dyDescent="0.2">
      <c r="A9887" t="s">
        <v>10372</v>
      </c>
      <c r="B9887" t="str">
        <f>"15972808682"</f>
        <v>15972808682</v>
      </c>
      <c r="C9887" t="str">
        <f>"420303197912132029"</f>
        <v>420303197912132029</v>
      </c>
      <c r="D9887" t="s">
        <v>1</v>
      </c>
      <c r="E9887" t="s">
        <v>1</v>
      </c>
      <c r="F9887" t="s">
        <v>0</v>
      </c>
      <c r="G9887" t="str">
        <f>"2018-10-15 14:04:53"</f>
        <v>2018-10-15 14:04:53</v>
      </c>
    </row>
    <row r="9888" spans="1:7" x14ac:dyDescent="0.2">
      <c r="A9888" t="s">
        <v>181</v>
      </c>
      <c r="B9888" t="str">
        <f>"15999772765"</f>
        <v>15999772765</v>
      </c>
      <c r="C9888" t="str">
        <f>"441900199105265180"</f>
        <v>441900199105265180</v>
      </c>
      <c r="D9888" t="s">
        <v>10373</v>
      </c>
      <c r="E9888" t="s">
        <v>10374</v>
      </c>
      <c r="F9888" t="s">
        <v>0</v>
      </c>
      <c r="G9888" t="str">
        <f>"2018-10-22 11:24:58"</f>
        <v>2018-10-22 11:24:58</v>
      </c>
    </row>
    <row r="9889" spans="1:7" x14ac:dyDescent="0.2">
      <c r="A9889" t="s">
        <v>10375</v>
      </c>
      <c r="B9889" t="str">
        <f>"15224962791"</f>
        <v>15224962791</v>
      </c>
      <c r="C9889" t="str">
        <f>"412701199504091510"</f>
        <v>412701199504091510</v>
      </c>
      <c r="D9889" t="s">
        <v>10376</v>
      </c>
      <c r="E9889" t="s">
        <v>10377</v>
      </c>
      <c r="F9889" t="s">
        <v>0</v>
      </c>
      <c r="G9889" t="str">
        <f>"2018-10-15 06:26:34"</f>
        <v>2018-10-15 06:26:34</v>
      </c>
    </row>
    <row r="9890" spans="1:7" x14ac:dyDescent="0.2">
      <c r="A9890" t="s">
        <v>10378</v>
      </c>
      <c r="B9890" t="str">
        <f>"18509390202"</f>
        <v>18509390202</v>
      </c>
      <c r="C9890" t="str">
        <f>"622621198911190625"</f>
        <v>622621198911190625</v>
      </c>
      <c r="D9890" t="s">
        <v>10379</v>
      </c>
      <c r="E9890" t="s">
        <v>10380</v>
      </c>
      <c r="F9890" t="s">
        <v>0</v>
      </c>
      <c r="G9890" t="str">
        <f>"2018-10-15 06:52:43"</f>
        <v>2018-10-15 06:52:43</v>
      </c>
    </row>
    <row r="9891" spans="1:7" x14ac:dyDescent="0.2">
      <c r="A9891" t="s">
        <v>10381</v>
      </c>
      <c r="B9891" t="str">
        <f>"18767500421"</f>
        <v>18767500421</v>
      </c>
      <c r="C9891" t="str">
        <f>"211303198801023221"</f>
        <v>211303198801023221</v>
      </c>
      <c r="D9891" t="s">
        <v>1</v>
      </c>
      <c r="E9891" t="s">
        <v>1</v>
      </c>
      <c r="F9891" t="s">
        <v>0</v>
      </c>
      <c r="G9891" t="str">
        <f>"2018-10-15 06:05:05"</f>
        <v>2018-10-15 06:05:05</v>
      </c>
    </row>
    <row r="9892" spans="1:7" x14ac:dyDescent="0.2">
      <c r="A9892" t="s">
        <v>10382</v>
      </c>
      <c r="B9892" t="str">
        <f>"15040164570"</f>
        <v>15040164570</v>
      </c>
      <c r="C9892" t="str">
        <f>"210113199205293714"</f>
        <v>210113199205293714</v>
      </c>
      <c r="D9892" t="s">
        <v>10383</v>
      </c>
      <c r="E9892" t="s">
        <v>10384</v>
      </c>
      <c r="F9892" t="s">
        <v>0</v>
      </c>
      <c r="G9892" t="str">
        <f>"2018-10-15 06:50:19"</f>
        <v>2018-10-15 06:50:19</v>
      </c>
    </row>
    <row r="9893" spans="1:7" x14ac:dyDescent="0.2">
      <c r="A9893" t="s">
        <v>10385</v>
      </c>
      <c r="B9893" t="str">
        <f>"13431781312"</f>
        <v>13431781312</v>
      </c>
      <c r="C9893" t="str">
        <f>"440784199104040313"</f>
        <v>440784199104040313</v>
      </c>
      <c r="D9893" t="s">
        <v>1</v>
      </c>
      <c r="E9893" t="s">
        <v>1</v>
      </c>
      <c r="F9893" t="s">
        <v>0</v>
      </c>
      <c r="G9893" t="str">
        <f>"2018-10-15 05:39:56"</f>
        <v>2018-10-15 05:39:56</v>
      </c>
    </row>
    <row r="9894" spans="1:7" x14ac:dyDescent="0.2">
      <c r="A9894" t="s">
        <v>420</v>
      </c>
      <c r="B9894" t="str">
        <f>"13608109239"</f>
        <v>13608109239</v>
      </c>
      <c r="C9894" t="str">
        <f>"510681199201200626"</f>
        <v>510681199201200626</v>
      </c>
      <c r="D9894" t="s">
        <v>1</v>
      </c>
      <c r="E9894" t="s">
        <v>1</v>
      </c>
      <c r="F9894" t="s">
        <v>0</v>
      </c>
      <c r="G9894" t="str">
        <f>"2018-10-15 05:35:37"</f>
        <v>2018-10-15 05:35:37</v>
      </c>
    </row>
    <row r="9895" spans="1:7" x14ac:dyDescent="0.2">
      <c r="A9895" t="s">
        <v>10386</v>
      </c>
      <c r="B9895" t="str">
        <f>"13723452526"</f>
        <v>13723452526</v>
      </c>
      <c r="C9895" t="str">
        <f>"360731199108267133"</f>
        <v>360731199108267133</v>
      </c>
      <c r="D9895" t="s">
        <v>1</v>
      </c>
      <c r="E9895" t="s">
        <v>1</v>
      </c>
      <c r="F9895" t="s">
        <v>0</v>
      </c>
      <c r="G9895" t="str">
        <f>"2018-10-15 05:33:21"</f>
        <v>2018-10-15 05:33:21</v>
      </c>
    </row>
    <row r="9896" spans="1:7" x14ac:dyDescent="0.2">
      <c r="A9896" t="s">
        <v>10387</v>
      </c>
      <c r="B9896" t="str">
        <f>"13653739108"</f>
        <v>13653739108</v>
      </c>
      <c r="C9896" t="str">
        <f>"410725198901091236"</f>
        <v>410725198901091236</v>
      </c>
      <c r="D9896" t="s">
        <v>1</v>
      </c>
      <c r="E9896" t="s">
        <v>1</v>
      </c>
      <c r="F9896" t="s">
        <v>0</v>
      </c>
      <c r="G9896" t="str">
        <f>"2018-10-15 14:47:04"</f>
        <v>2018-10-15 14:47:04</v>
      </c>
    </row>
    <row r="9897" spans="1:7" x14ac:dyDescent="0.2">
      <c r="A9897" t="s">
        <v>10388</v>
      </c>
      <c r="B9897" t="str">
        <f>"13412027900"</f>
        <v>13412027900</v>
      </c>
      <c r="C9897" t="str">
        <f>"445222199601132719"</f>
        <v>445222199601132719</v>
      </c>
      <c r="D9897" t="s">
        <v>10389</v>
      </c>
      <c r="E9897" t="s">
        <v>10390</v>
      </c>
      <c r="F9897" t="s">
        <v>0</v>
      </c>
      <c r="G9897" t="str">
        <f>"2018-10-15 05:56:02"</f>
        <v>2018-10-15 05:56:02</v>
      </c>
    </row>
    <row r="9898" spans="1:7" x14ac:dyDescent="0.2">
      <c r="A9898" t="s">
        <v>10391</v>
      </c>
      <c r="B9898" t="str">
        <f>"18945328759"</f>
        <v>18945328759</v>
      </c>
      <c r="C9898" t="str">
        <f>"231084197402022919"</f>
        <v>231084197402022919</v>
      </c>
      <c r="D9898" t="s">
        <v>1</v>
      </c>
      <c r="E9898" t="s">
        <v>1</v>
      </c>
      <c r="F9898" t="s">
        <v>0</v>
      </c>
      <c r="G9898" t="str">
        <f>"2018-10-16 14:44:12"</f>
        <v>2018-10-16 14:44:12</v>
      </c>
    </row>
    <row r="9899" spans="1:7" x14ac:dyDescent="0.2">
      <c r="A9899" t="s">
        <v>10392</v>
      </c>
      <c r="B9899" t="str">
        <f>"13178024897"</f>
        <v>13178024897</v>
      </c>
      <c r="C9899" t="str">
        <f>"350628197509174574"</f>
        <v>350628197509174574</v>
      </c>
      <c r="D9899" t="s">
        <v>1</v>
      </c>
      <c r="E9899" t="s">
        <v>1</v>
      </c>
      <c r="F9899" t="s">
        <v>0</v>
      </c>
      <c r="G9899" t="str">
        <f>"2018-10-15 05:18:26"</f>
        <v>2018-10-15 05:18:26</v>
      </c>
    </row>
    <row r="9900" spans="1:7" x14ac:dyDescent="0.2">
      <c r="A9900" t="s">
        <v>1</v>
      </c>
      <c r="B9900" t="str">
        <f>"13951197746"</f>
        <v>13951197746</v>
      </c>
      <c r="C9900" t="s">
        <v>1</v>
      </c>
      <c r="D9900" t="s">
        <v>1</v>
      </c>
      <c r="E9900" t="s">
        <v>1</v>
      </c>
      <c r="F9900" t="s">
        <v>0</v>
      </c>
      <c r="G9900" t="str">
        <f>"2018-10-15 05:13:54"</f>
        <v>2018-10-15 05:13:54</v>
      </c>
    </row>
    <row r="9901" spans="1:7" x14ac:dyDescent="0.2">
      <c r="A9901" t="s">
        <v>10393</v>
      </c>
      <c r="B9901" t="str">
        <f>"15872487652"</f>
        <v>15872487652</v>
      </c>
      <c r="C9901" t="str">
        <f>"420521199302123654"</f>
        <v>420521199302123654</v>
      </c>
      <c r="D9901" t="s">
        <v>1</v>
      </c>
      <c r="E9901" t="s">
        <v>1</v>
      </c>
      <c r="F9901" t="s">
        <v>0</v>
      </c>
      <c r="G9901" t="str">
        <f>"2018-10-15 05:07:15"</f>
        <v>2018-10-15 05:07:15</v>
      </c>
    </row>
    <row r="9902" spans="1:7" x14ac:dyDescent="0.2">
      <c r="A9902" t="s">
        <v>10394</v>
      </c>
      <c r="B9902" t="str">
        <f>"18714251801"</f>
        <v>18714251801</v>
      </c>
      <c r="C9902" t="str">
        <f>"130521199301240825"</f>
        <v>130521199301240825</v>
      </c>
      <c r="D9902" t="s">
        <v>10395</v>
      </c>
      <c r="E9902" t="s">
        <v>10396</v>
      </c>
      <c r="F9902" t="s">
        <v>0</v>
      </c>
      <c r="G9902" t="str">
        <f>"2018-10-15 04:49:47"</f>
        <v>2018-10-15 04:49:47</v>
      </c>
    </row>
    <row r="9903" spans="1:7" x14ac:dyDescent="0.2">
      <c r="A9903" t="s">
        <v>1</v>
      </c>
      <c r="B9903" t="str">
        <f>"13554000177"</f>
        <v>13554000177</v>
      </c>
      <c r="C9903" t="s">
        <v>1</v>
      </c>
      <c r="D9903" t="s">
        <v>1</v>
      </c>
      <c r="E9903" t="s">
        <v>1</v>
      </c>
      <c r="F9903" t="s">
        <v>0</v>
      </c>
      <c r="G9903" t="str">
        <f>"2018-10-15 04:33:05"</f>
        <v>2018-10-15 04:33:05</v>
      </c>
    </row>
    <row r="9904" spans="1:7" x14ac:dyDescent="0.2">
      <c r="A9904" t="s">
        <v>10397</v>
      </c>
      <c r="B9904" t="str">
        <f>"13462827579"</f>
        <v>13462827579</v>
      </c>
      <c r="C9904" t="str">
        <f>"410822198903073521"</f>
        <v>410822198903073521</v>
      </c>
      <c r="D9904" t="s">
        <v>10398</v>
      </c>
      <c r="E9904" t="s">
        <v>10399</v>
      </c>
      <c r="F9904" t="s">
        <v>0</v>
      </c>
      <c r="G9904" t="str">
        <f>"2018-10-15 08:34:46"</f>
        <v>2018-10-15 08:34:46</v>
      </c>
    </row>
    <row r="9905" spans="1:7" x14ac:dyDescent="0.2">
      <c r="A9905" t="s">
        <v>1</v>
      </c>
      <c r="B9905" t="str">
        <f>"18771093727"</f>
        <v>18771093727</v>
      </c>
      <c r="C9905" t="s">
        <v>1</v>
      </c>
      <c r="D9905" t="s">
        <v>1</v>
      </c>
      <c r="E9905" t="s">
        <v>1</v>
      </c>
      <c r="F9905" t="s">
        <v>0</v>
      </c>
      <c r="G9905" t="str">
        <f>"2018-10-15 04:28:56"</f>
        <v>2018-10-15 04:28:56</v>
      </c>
    </row>
    <row r="9906" spans="1:7" x14ac:dyDescent="0.2">
      <c r="A9906" t="s">
        <v>10400</v>
      </c>
      <c r="B9906" t="str">
        <f>"15915283743"</f>
        <v>15915283743</v>
      </c>
      <c r="C9906" t="str">
        <f>"440921199206110816"</f>
        <v>440921199206110816</v>
      </c>
      <c r="D9906" t="s">
        <v>10401</v>
      </c>
      <c r="E9906" t="s">
        <v>10402</v>
      </c>
      <c r="F9906" t="s">
        <v>0</v>
      </c>
      <c r="G9906" t="str">
        <f>"2018-10-19 16:26:29"</f>
        <v>2018-10-19 16:26:29</v>
      </c>
    </row>
    <row r="9907" spans="1:7" x14ac:dyDescent="0.2">
      <c r="A9907" t="s">
        <v>1</v>
      </c>
      <c r="B9907" t="str">
        <f>"17317467426"</f>
        <v>17317467426</v>
      </c>
      <c r="C9907" t="s">
        <v>1</v>
      </c>
      <c r="D9907" t="s">
        <v>1</v>
      </c>
      <c r="E9907" t="s">
        <v>1</v>
      </c>
      <c r="F9907" t="s">
        <v>0</v>
      </c>
      <c r="G9907" t="str">
        <f>"2018-10-15 04:16:03"</f>
        <v>2018-10-15 04:16:03</v>
      </c>
    </row>
    <row r="9908" spans="1:7" x14ac:dyDescent="0.2">
      <c r="A9908" t="s">
        <v>10403</v>
      </c>
      <c r="B9908" t="str">
        <f>"13250252222"</f>
        <v>13250252222</v>
      </c>
      <c r="C9908" t="str">
        <f>"350305199606262312"</f>
        <v>350305199606262312</v>
      </c>
      <c r="D9908" t="s">
        <v>1</v>
      </c>
      <c r="E9908" t="s">
        <v>1</v>
      </c>
      <c r="F9908" t="s">
        <v>0</v>
      </c>
      <c r="G9908" t="str">
        <f>"2018-10-17 02:54:04"</f>
        <v>2018-10-17 02:54:04</v>
      </c>
    </row>
    <row r="9909" spans="1:7" x14ac:dyDescent="0.2">
      <c r="A9909" t="s">
        <v>10404</v>
      </c>
      <c r="B9909" t="str">
        <f>"18967335075"</f>
        <v>18967335075</v>
      </c>
      <c r="C9909" t="str">
        <f>"430529198902090014"</f>
        <v>430529198902090014</v>
      </c>
      <c r="D9909" t="s">
        <v>1</v>
      </c>
      <c r="E9909" t="s">
        <v>1</v>
      </c>
      <c r="F9909" t="s">
        <v>0</v>
      </c>
      <c r="G9909" t="str">
        <f>"2018-10-15 04:11:23"</f>
        <v>2018-10-15 04:11:23</v>
      </c>
    </row>
    <row r="9910" spans="1:7" x14ac:dyDescent="0.2">
      <c r="A9910" t="s">
        <v>10405</v>
      </c>
      <c r="B9910" t="str">
        <f>"17684152435"</f>
        <v>17684152435</v>
      </c>
      <c r="C9910" t="str">
        <f>"522322200104203465"</f>
        <v>522322200104203465</v>
      </c>
      <c r="D9910" t="s">
        <v>1</v>
      </c>
      <c r="E9910" t="s">
        <v>1</v>
      </c>
      <c r="F9910" t="s">
        <v>0</v>
      </c>
      <c r="G9910" t="str">
        <f>"2018-10-15 03:52:58"</f>
        <v>2018-10-15 03:52:58</v>
      </c>
    </row>
    <row r="9911" spans="1:7" x14ac:dyDescent="0.2">
      <c r="A9911" t="s">
        <v>1</v>
      </c>
      <c r="B9911" t="str">
        <f>"18649603306"</f>
        <v>18649603306</v>
      </c>
      <c r="C9911" t="s">
        <v>1</v>
      </c>
      <c r="D9911" t="s">
        <v>1</v>
      </c>
      <c r="E9911" t="s">
        <v>1</v>
      </c>
      <c r="F9911" t="s">
        <v>0</v>
      </c>
      <c r="G9911" t="str">
        <f>"2018-10-15 03:37:07"</f>
        <v>2018-10-15 03:37:07</v>
      </c>
    </row>
    <row r="9912" spans="1:7" x14ac:dyDescent="0.2">
      <c r="A9912" t="s">
        <v>1</v>
      </c>
      <c r="B9912" t="str">
        <f>"15319966719"</f>
        <v>15319966719</v>
      </c>
      <c r="C9912" t="s">
        <v>1</v>
      </c>
      <c r="D9912" t="s">
        <v>1</v>
      </c>
      <c r="E9912" t="s">
        <v>1</v>
      </c>
      <c r="F9912" t="s">
        <v>0</v>
      </c>
      <c r="G9912" t="str">
        <f>"2018-10-15 03:17:18"</f>
        <v>2018-10-15 03:17:18</v>
      </c>
    </row>
    <row r="9913" spans="1:7" x14ac:dyDescent="0.2">
      <c r="A9913" t="s">
        <v>10406</v>
      </c>
      <c r="B9913" t="str">
        <f>"13388868808"</f>
        <v>13388868808</v>
      </c>
      <c r="C9913" t="str">
        <f>"533325198705261611"</f>
        <v>533325198705261611</v>
      </c>
      <c r="D9913" t="s">
        <v>10407</v>
      </c>
      <c r="E9913" t="s">
        <v>10408</v>
      </c>
      <c r="F9913" t="s">
        <v>0</v>
      </c>
      <c r="G9913" t="str">
        <f>"2018-10-15 16:52:44"</f>
        <v>2018-10-15 16:52:44</v>
      </c>
    </row>
    <row r="9914" spans="1:7" x14ac:dyDescent="0.2">
      <c r="A9914" t="s">
        <v>10409</v>
      </c>
      <c r="B9914" t="str">
        <f>"18038989228"</f>
        <v>18038989228</v>
      </c>
      <c r="C9914" t="str">
        <f>"440923199211166112"</f>
        <v>440923199211166112</v>
      </c>
      <c r="D9914" t="s">
        <v>10410</v>
      </c>
      <c r="E9914" t="s">
        <v>10411</v>
      </c>
      <c r="F9914" t="s">
        <v>0</v>
      </c>
      <c r="G9914" t="str">
        <f>"2018-10-18 11:13:32"</f>
        <v>2018-10-18 11:13:32</v>
      </c>
    </row>
    <row r="9915" spans="1:7" x14ac:dyDescent="0.2">
      <c r="A9915" t="s">
        <v>52</v>
      </c>
      <c r="B9915" t="str">
        <f>"15388446992"</f>
        <v>15388446992</v>
      </c>
      <c r="C9915" t="str">
        <f>"510108198210060312"</f>
        <v>510108198210060312</v>
      </c>
      <c r="D9915" t="s">
        <v>1</v>
      </c>
      <c r="E9915" t="s">
        <v>1</v>
      </c>
      <c r="F9915" t="s">
        <v>0</v>
      </c>
      <c r="G9915" t="str">
        <f>"2018-10-15 03:06:53"</f>
        <v>2018-10-15 03:06:53</v>
      </c>
    </row>
    <row r="9916" spans="1:7" x14ac:dyDescent="0.2">
      <c r="A9916" t="s">
        <v>1532</v>
      </c>
      <c r="B9916" t="str">
        <f>"13973378744"</f>
        <v>13973378744</v>
      </c>
      <c r="C9916" t="str">
        <f>"43020219790622201X"</f>
        <v>43020219790622201X</v>
      </c>
      <c r="D9916" t="s">
        <v>1</v>
      </c>
      <c r="E9916" t="s">
        <v>1</v>
      </c>
      <c r="F9916" t="s">
        <v>0</v>
      </c>
      <c r="G9916" t="str">
        <f>"2018-10-15 03:40:20"</f>
        <v>2018-10-15 03:40:20</v>
      </c>
    </row>
    <row r="9917" spans="1:7" x14ac:dyDescent="0.2">
      <c r="A9917" t="s">
        <v>1406</v>
      </c>
      <c r="B9917" t="str">
        <f>"17689266857"</f>
        <v>17689266857</v>
      </c>
      <c r="C9917" t="str">
        <f>"350122199512256830"</f>
        <v>350122199512256830</v>
      </c>
      <c r="D9917" t="s">
        <v>1</v>
      </c>
      <c r="E9917" t="s">
        <v>1</v>
      </c>
      <c r="F9917" t="s">
        <v>0</v>
      </c>
      <c r="G9917" t="str">
        <f>"2018-10-15 03:06:00"</f>
        <v>2018-10-15 03:06:00</v>
      </c>
    </row>
    <row r="9918" spans="1:7" x14ac:dyDescent="0.2">
      <c r="A9918" t="s">
        <v>10412</v>
      </c>
      <c r="B9918" t="str">
        <f>"13621635233"</f>
        <v>13621635233</v>
      </c>
      <c r="C9918" t="str">
        <f>"360733199005107017"</f>
        <v>360733199005107017</v>
      </c>
      <c r="D9918" t="s">
        <v>1</v>
      </c>
      <c r="E9918" t="s">
        <v>1</v>
      </c>
      <c r="F9918" t="s">
        <v>0</v>
      </c>
      <c r="G9918" t="str">
        <f>"2018-10-15 02:51:03"</f>
        <v>2018-10-15 02:51:03</v>
      </c>
    </row>
    <row r="9919" spans="1:7" x14ac:dyDescent="0.2">
      <c r="A9919" t="s">
        <v>10413</v>
      </c>
      <c r="B9919" t="str">
        <f>"18602742704"</f>
        <v>18602742704</v>
      </c>
      <c r="C9919" t="str">
        <f>"420103198502122817"</f>
        <v>420103198502122817</v>
      </c>
      <c r="D9919" t="s">
        <v>1</v>
      </c>
      <c r="E9919" t="s">
        <v>1</v>
      </c>
      <c r="F9919" t="s">
        <v>0</v>
      </c>
      <c r="G9919" t="str">
        <f>"2018-10-22 00:52:13"</f>
        <v>2018-10-22 00:52:13</v>
      </c>
    </row>
    <row r="9920" spans="1:7" x14ac:dyDescent="0.2">
      <c r="A9920" t="s">
        <v>1</v>
      </c>
      <c r="B9920" t="str">
        <f>"17735683099"</f>
        <v>17735683099</v>
      </c>
      <c r="C9920" t="s">
        <v>1</v>
      </c>
      <c r="D9920" t="s">
        <v>1</v>
      </c>
      <c r="E9920" t="s">
        <v>1</v>
      </c>
      <c r="F9920" t="s">
        <v>0</v>
      </c>
      <c r="G9920" t="str">
        <f>"2018-10-15 02:39:26"</f>
        <v>2018-10-15 02:39:26</v>
      </c>
    </row>
    <row r="9921" spans="1:7" x14ac:dyDescent="0.2">
      <c r="A9921" t="s">
        <v>10414</v>
      </c>
      <c r="B9921" t="str">
        <f>"18258260965"</f>
        <v>18258260965</v>
      </c>
      <c r="C9921" t="str">
        <f>"500241199709022934"</f>
        <v>500241199709022934</v>
      </c>
      <c r="D9921" t="s">
        <v>1</v>
      </c>
      <c r="E9921" t="s">
        <v>1</v>
      </c>
      <c r="F9921" t="s">
        <v>0</v>
      </c>
      <c r="G9921" t="str">
        <f>"2018-10-15 02:40:07"</f>
        <v>2018-10-15 02:40:07</v>
      </c>
    </row>
    <row r="9922" spans="1:7" x14ac:dyDescent="0.2">
      <c r="A9922" t="s">
        <v>10415</v>
      </c>
      <c r="B9922" t="str">
        <f>"18006043777"</f>
        <v>18006043777</v>
      </c>
      <c r="C9922" t="str">
        <f>"350521199105245566"</f>
        <v>350521199105245566</v>
      </c>
      <c r="D9922" t="s">
        <v>1</v>
      </c>
      <c r="E9922" t="s">
        <v>1</v>
      </c>
      <c r="F9922" t="s">
        <v>0</v>
      </c>
      <c r="G9922" t="str">
        <f>"2018-10-15 02:53:04"</f>
        <v>2018-10-15 02:53:04</v>
      </c>
    </row>
    <row r="9923" spans="1:7" x14ac:dyDescent="0.2">
      <c r="A9923" t="s">
        <v>10416</v>
      </c>
      <c r="B9923" t="str">
        <f>"13750648306"</f>
        <v>13750648306</v>
      </c>
      <c r="C9923" t="str">
        <f>"331081198112100711"</f>
        <v>331081198112100711</v>
      </c>
      <c r="D9923" t="s">
        <v>1</v>
      </c>
      <c r="E9923" t="s">
        <v>1</v>
      </c>
      <c r="F9923" t="s">
        <v>0</v>
      </c>
      <c r="G9923" t="str">
        <f>"2018-10-15 02:31:44"</f>
        <v>2018-10-15 02:31:44</v>
      </c>
    </row>
    <row r="9924" spans="1:7" x14ac:dyDescent="0.2">
      <c r="A9924" t="s">
        <v>10417</v>
      </c>
      <c r="B9924" t="str">
        <f>"15259803801"</f>
        <v>15259803801</v>
      </c>
      <c r="C9924" t="str">
        <f>"350403198510224010"</f>
        <v>350403198510224010</v>
      </c>
      <c r="D9924" t="s">
        <v>1</v>
      </c>
      <c r="E9924" t="s">
        <v>1</v>
      </c>
      <c r="F9924" t="s">
        <v>0</v>
      </c>
      <c r="G9924" t="str">
        <f>"2018-10-15 03:25:42"</f>
        <v>2018-10-15 03:25:42</v>
      </c>
    </row>
    <row r="9925" spans="1:7" x14ac:dyDescent="0.2">
      <c r="A9925" t="s">
        <v>10418</v>
      </c>
      <c r="B9925" t="str">
        <f>"13250278973"</f>
        <v>13250278973</v>
      </c>
      <c r="C9925" t="str">
        <f>"440182198610042135"</f>
        <v>440182198610042135</v>
      </c>
      <c r="D9925" t="s">
        <v>1</v>
      </c>
      <c r="E9925" t="s">
        <v>1</v>
      </c>
      <c r="F9925" t="s">
        <v>0</v>
      </c>
      <c r="G9925" t="str">
        <f>"2018-10-15 02:21:16"</f>
        <v>2018-10-15 02:21:16</v>
      </c>
    </row>
    <row r="9926" spans="1:7" x14ac:dyDescent="0.2">
      <c r="A9926" t="s">
        <v>10419</v>
      </c>
      <c r="B9926" t="str">
        <f>"18617235362"</f>
        <v>18617235362</v>
      </c>
      <c r="C9926" t="str">
        <f>"612328198701010231"</f>
        <v>612328198701010231</v>
      </c>
      <c r="D9926" t="s">
        <v>10420</v>
      </c>
      <c r="E9926" t="s">
        <v>10421</v>
      </c>
      <c r="F9926" t="s">
        <v>0</v>
      </c>
      <c r="G9926" t="str">
        <f>"2018-10-15 02:19:13"</f>
        <v>2018-10-15 02:19:13</v>
      </c>
    </row>
    <row r="9927" spans="1:7" x14ac:dyDescent="0.2">
      <c r="A9927" t="s">
        <v>10422</v>
      </c>
      <c r="B9927" t="str">
        <f>"15920692825"</f>
        <v>15920692825</v>
      </c>
      <c r="C9927" t="str">
        <f>"431126199903017139"</f>
        <v>431126199903017139</v>
      </c>
      <c r="D9927" t="s">
        <v>1</v>
      </c>
      <c r="E9927" t="s">
        <v>1</v>
      </c>
      <c r="F9927" t="s">
        <v>0</v>
      </c>
      <c r="G9927" t="str">
        <f>"2018-10-15 02:02:35"</f>
        <v>2018-10-15 02:02:35</v>
      </c>
    </row>
    <row r="9928" spans="1:7" x14ac:dyDescent="0.2">
      <c r="A9928" t="s">
        <v>1</v>
      </c>
      <c r="B9928" t="str">
        <f>"13008997461"</f>
        <v>13008997461</v>
      </c>
      <c r="C9928" t="s">
        <v>1</v>
      </c>
      <c r="D9928" t="s">
        <v>1</v>
      </c>
      <c r="E9928" t="s">
        <v>1</v>
      </c>
      <c r="F9928" t="s">
        <v>0</v>
      </c>
      <c r="G9928" t="str">
        <f>"2018-10-15 01:56:49"</f>
        <v>2018-10-15 01:56:49</v>
      </c>
    </row>
    <row r="9929" spans="1:7" x14ac:dyDescent="0.2">
      <c r="A9929" t="s">
        <v>1</v>
      </c>
      <c r="B9929" t="str">
        <f>"15197807773"</f>
        <v>15197807773</v>
      </c>
      <c r="C9929" t="s">
        <v>1</v>
      </c>
      <c r="D9929" t="s">
        <v>1</v>
      </c>
      <c r="E9929" t="s">
        <v>1</v>
      </c>
      <c r="F9929" t="s">
        <v>0</v>
      </c>
      <c r="G9929" t="str">
        <f>"2018-10-15 01:53:53"</f>
        <v>2018-10-15 01:53:53</v>
      </c>
    </row>
    <row r="9930" spans="1:7" x14ac:dyDescent="0.2">
      <c r="A9930" t="s">
        <v>49</v>
      </c>
      <c r="B9930" t="str">
        <f>"15350116344"</f>
        <v>15350116344</v>
      </c>
      <c r="C9930" t="str">
        <f>"360121199308140537"</f>
        <v>360121199308140537</v>
      </c>
      <c r="D9930" t="s">
        <v>1</v>
      </c>
      <c r="E9930" t="s">
        <v>1</v>
      </c>
      <c r="F9930" t="s">
        <v>0</v>
      </c>
      <c r="G9930" t="str">
        <f>"2018-10-15 02:06:04"</f>
        <v>2018-10-15 02:06:04</v>
      </c>
    </row>
    <row r="9931" spans="1:7" x14ac:dyDescent="0.2">
      <c r="A9931" t="s">
        <v>10423</v>
      </c>
      <c r="B9931" t="str">
        <f>"17586096675"</f>
        <v>17586096675</v>
      </c>
      <c r="C9931" t="str">
        <f>"52232119980120375X"</f>
        <v>52232119980120375X</v>
      </c>
      <c r="D9931" t="s">
        <v>1</v>
      </c>
      <c r="E9931" t="s">
        <v>1</v>
      </c>
      <c r="F9931" t="s">
        <v>0</v>
      </c>
      <c r="G9931" t="str">
        <f>"2018-10-24 22:08:42"</f>
        <v>2018-10-24 22:08:42</v>
      </c>
    </row>
    <row r="9932" spans="1:7" x14ac:dyDescent="0.2">
      <c r="A9932" t="s">
        <v>442</v>
      </c>
      <c r="B9932" t="str">
        <f>"13925394000"</f>
        <v>13925394000</v>
      </c>
      <c r="C9932" t="str">
        <f>"320802199101100521"</f>
        <v>320802199101100521</v>
      </c>
      <c r="D9932" t="s">
        <v>1</v>
      </c>
      <c r="E9932" t="s">
        <v>1</v>
      </c>
      <c r="F9932" t="s">
        <v>0</v>
      </c>
      <c r="G9932" t="str">
        <f>"2018-10-15 01:50:57"</f>
        <v>2018-10-15 01:50:57</v>
      </c>
    </row>
    <row r="9933" spans="1:7" x14ac:dyDescent="0.2">
      <c r="A9933" t="s">
        <v>1</v>
      </c>
      <c r="B9933" t="str">
        <f>"13859458793"</f>
        <v>13859458793</v>
      </c>
      <c r="C9933" t="s">
        <v>1</v>
      </c>
      <c r="D9933" t="s">
        <v>1</v>
      </c>
      <c r="E9933" t="s">
        <v>1</v>
      </c>
      <c r="F9933" t="s">
        <v>0</v>
      </c>
      <c r="G9933" t="str">
        <f>"2018-10-15 01:36:29"</f>
        <v>2018-10-15 01:36:29</v>
      </c>
    </row>
    <row r="9934" spans="1:7" x14ac:dyDescent="0.2">
      <c r="A9934" t="s">
        <v>1</v>
      </c>
      <c r="B9934" t="str">
        <f>"13667130077"</f>
        <v>13667130077</v>
      </c>
      <c r="C9934" t="s">
        <v>1</v>
      </c>
      <c r="D9934" t="s">
        <v>1</v>
      </c>
      <c r="E9934" t="s">
        <v>1</v>
      </c>
      <c r="F9934" t="s">
        <v>0</v>
      </c>
      <c r="G9934" t="str">
        <f>"2018-10-15 01:36:13"</f>
        <v>2018-10-15 01:36:13</v>
      </c>
    </row>
    <row r="9935" spans="1:7" x14ac:dyDescent="0.2">
      <c r="A9935" t="s">
        <v>10424</v>
      </c>
      <c r="B9935" t="str">
        <f>"15078920450"</f>
        <v>15078920450</v>
      </c>
      <c r="C9935" t="str">
        <f>"450325199108010939"</f>
        <v>450325199108010939</v>
      </c>
      <c r="D9935" t="s">
        <v>10425</v>
      </c>
      <c r="E9935" t="s">
        <v>10426</v>
      </c>
      <c r="F9935" t="s">
        <v>0</v>
      </c>
      <c r="G9935" t="str">
        <f>"2018-10-15 01:35:34"</f>
        <v>2018-10-15 01:35:34</v>
      </c>
    </row>
    <row r="9936" spans="1:7" x14ac:dyDescent="0.2">
      <c r="A9936" t="s">
        <v>10427</v>
      </c>
      <c r="B9936" t="str">
        <f>"15665354100"</f>
        <v>15665354100</v>
      </c>
      <c r="C9936" t="str">
        <f>"341322199708112820"</f>
        <v>341322199708112820</v>
      </c>
      <c r="D9936" t="s">
        <v>1</v>
      </c>
      <c r="E9936" t="s">
        <v>1</v>
      </c>
      <c r="F9936" t="s">
        <v>0</v>
      </c>
      <c r="G9936" t="str">
        <f>"2018-10-15 01:18:45"</f>
        <v>2018-10-15 01:18:45</v>
      </c>
    </row>
    <row r="9937" spans="1:7" x14ac:dyDescent="0.2">
      <c r="A9937" t="s">
        <v>10428</v>
      </c>
      <c r="B9937" t="str">
        <f>"13794881226"</f>
        <v>13794881226</v>
      </c>
      <c r="C9937" t="str">
        <f>"441581199304238843"</f>
        <v>441581199304238843</v>
      </c>
      <c r="D9937" t="s">
        <v>1</v>
      </c>
      <c r="E9937" t="s">
        <v>1</v>
      </c>
      <c r="F9937" t="s">
        <v>0</v>
      </c>
      <c r="G9937" t="str">
        <f>"2018-10-15 01:15:55"</f>
        <v>2018-10-15 01:15:55</v>
      </c>
    </row>
    <row r="9938" spans="1:7" x14ac:dyDescent="0.2">
      <c r="A9938" t="s">
        <v>10429</v>
      </c>
      <c r="B9938" t="str">
        <f>"18746550499"</f>
        <v>18746550499</v>
      </c>
      <c r="C9938" t="str">
        <f>"232332200202080925"</f>
        <v>232332200202080925</v>
      </c>
      <c r="D9938" t="s">
        <v>1</v>
      </c>
      <c r="E9938" t="s">
        <v>1</v>
      </c>
      <c r="F9938" t="s">
        <v>0</v>
      </c>
      <c r="G9938" t="str">
        <f>"2018-10-17 13:11:29"</f>
        <v>2018-10-17 13:11:29</v>
      </c>
    </row>
    <row r="9939" spans="1:7" x14ac:dyDescent="0.2">
      <c r="A9939" t="s">
        <v>10430</v>
      </c>
      <c r="B9939" t="str">
        <f>"15099239321"</f>
        <v>15099239321</v>
      </c>
      <c r="C9939" t="str">
        <f>"652801199111271633"</f>
        <v>652801199111271633</v>
      </c>
      <c r="D9939" t="s">
        <v>10431</v>
      </c>
      <c r="E9939" t="s">
        <v>10432</v>
      </c>
      <c r="F9939" t="s">
        <v>0</v>
      </c>
      <c r="G9939" t="str">
        <f>"2018-10-22 17:40:21"</f>
        <v>2018-10-22 17:40:21</v>
      </c>
    </row>
    <row r="9940" spans="1:7" x14ac:dyDescent="0.2">
      <c r="A9940" t="s">
        <v>10433</v>
      </c>
      <c r="B9940" t="str">
        <f>"18390928968"</f>
        <v>18390928968</v>
      </c>
      <c r="C9940" t="str">
        <f>"430102197810262046"</f>
        <v>430102197810262046</v>
      </c>
      <c r="D9940" t="s">
        <v>1</v>
      </c>
      <c r="E9940" t="s">
        <v>1</v>
      </c>
      <c r="F9940" t="s">
        <v>0</v>
      </c>
      <c r="G9940" t="str">
        <f>"2018-10-15 01:23:09"</f>
        <v>2018-10-15 01:23:09</v>
      </c>
    </row>
    <row r="9941" spans="1:7" x14ac:dyDescent="0.2">
      <c r="A9941" t="s">
        <v>10434</v>
      </c>
      <c r="B9941" t="str">
        <f>"15577327735"</f>
        <v>15577327735</v>
      </c>
      <c r="C9941" t="str">
        <f>"450924200012193218"</f>
        <v>450924200012193218</v>
      </c>
      <c r="D9941" t="s">
        <v>1</v>
      </c>
      <c r="E9941" t="s">
        <v>1</v>
      </c>
      <c r="F9941" t="s">
        <v>0</v>
      </c>
      <c r="G9941" t="str">
        <f>"2018-10-15 00:56:11"</f>
        <v>2018-10-15 00:56:11</v>
      </c>
    </row>
    <row r="9942" spans="1:7" x14ac:dyDescent="0.2">
      <c r="A9942" t="s">
        <v>1</v>
      </c>
      <c r="B9942" t="str">
        <f>"13018945662"</f>
        <v>13018945662</v>
      </c>
      <c r="C9942" t="s">
        <v>1</v>
      </c>
      <c r="D9942" t="s">
        <v>1</v>
      </c>
      <c r="E9942" t="s">
        <v>1</v>
      </c>
      <c r="F9942" t="s">
        <v>0</v>
      </c>
      <c r="G9942" t="str">
        <f>"2018-10-15 00:51:19"</f>
        <v>2018-10-15 00:51:19</v>
      </c>
    </row>
    <row r="9943" spans="1:7" x14ac:dyDescent="0.2">
      <c r="A9943" t="s">
        <v>10435</v>
      </c>
      <c r="B9943" t="str">
        <f>"18383003341"</f>
        <v>18383003341</v>
      </c>
      <c r="C9943" t="str">
        <f>"510504199701091536"</f>
        <v>510504199701091536</v>
      </c>
      <c r="D9943" t="s">
        <v>1</v>
      </c>
      <c r="E9943" t="s">
        <v>1</v>
      </c>
      <c r="F9943" t="s">
        <v>0</v>
      </c>
      <c r="G9943" t="str">
        <f>"2018-10-15 10:21:42"</f>
        <v>2018-10-15 10:21:42</v>
      </c>
    </row>
    <row r="9944" spans="1:7" x14ac:dyDescent="0.2">
      <c r="A9944" t="s">
        <v>10436</v>
      </c>
      <c r="B9944" t="str">
        <f>"18353792688"</f>
        <v>18353792688</v>
      </c>
      <c r="C9944" t="str">
        <f>"370883198512294212"</f>
        <v>370883198512294212</v>
      </c>
      <c r="D9944" t="s">
        <v>10437</v>
      </c>
      <c r="E9944" t="s">
        <v>10438</v>
      </c>
      <c r="F9944" t="s">
        <v>0</v>
      </c>
      <c r="G9944" t="str">
        <f>"2018-10-17 00:56:57"</f>
        <v>2018-10-17 00:56:57</v>
      </c>
    </row>
    <row r="9945" spans="1:7" x14ac:dyDescent="0.2">
      <c r="A9945" t="s">
        <v>1</v>
      </c>
      <c r="B9945" t="str">
        <f>"15177859855"</f>
        <v>15177859855</v>
      </c>
      <c r="C9945" t="s">
        <v>1</v>
      </c>
      <c r="D9945" t="s">
        <v>1</v>
      </c>
      <c r="E9945" t="s">
        <v>1</v>
      </c>
      <c r="F9945" t="s">
        <v>0</v>
      </c>
      <c r="G9945" t="str">
        <f>"2018-10-15 00:51:26"</f>
        <v>2018-10-15 00:51:26</v>
      </c>
    </row>
    <row r="9946" spans="1:7" x14ac:dyDescent="0.2">
      <c r="A9946" t="s">
        <v>10439</v>
      </c>
      <c r="B9946" t="str">
        <f>"15180888367"</f>
        <v>15180888367</v>
      </c>
      <c r="C9946" t="str">
        <f>"522426199504125350"</f>
        <v>522426199504125350</v>
      </c>
      <c r="D9946" t="s">
        <v>1</v>
      </c>
      <c r="E9946" t="s">
        <v>1</v>
      </c>
      <c r="F9946" t="s">
        <v>0</v>
      </c>
      <c r="G9946" t="str">
        <f>"2018-10-15 00:48:12"</f>
        <v>2018-10-15 00:48:12</v>
      </c>
    </row>
    <row r="9947" spans="1:7" x14ac:dyDescent="0.2">
      <c r="A9947" t="s">
        <v>1</v>
      </c>
      <c r="B9947" t="str">
        <f>"13298740099"</f>
        <v>13298740099</v>
      </c>
      <c r="C9947" t="s">
        <v>1</v>
      </c>
      <c r="D9947" t="s">
        <v>1</v>
      </c>
      <c r="E9947" t="s">
        <v>1</v>
      </c>
      <c r="F9947" t="s">
        <v>0</v>
      </c>
      <c r="G9947" t="str">
        <f>"2018-10-15 00:44:38"</f>
        <v>2018-10-15 00:44:38</v>
      </c>
    </row>
    <row r="9948" spans="1:7" x14ac:dyDescent="0.2">
      <c r="A9948" t="s">
        <v>1</v>
      </c>
      <c r="B9948" t="str">
        <f>"18635510778"</f>
        <v>18635510778</v>
      </c>
      <c r="C9948" t="s">
        <v>1</v>
      </c>
      <c r="D9948" t="s">
        <v>1</v>
      </c>
      <c r="E9948" t="s">
        <v>1</v>
      </c>
      <c r="F9948" t="s">
        <v>0</v>
      </c>
      <c r="G9948" t="str">
        <f>"2018-10-15 00:43:59"</f>
        <v>2018-10-15 00:43:59</v>
      </c>
    </row>
    <row r="9949" spans="1:7" x14ac:dyDescent="0.2">
      <c r="A9949" t="s">
        <v>10440</v>
      </c>
      <c r="B9949" t="str">
        <f>"18278666176"</f>
        <v>18278666176</v>
      </c>
      <c r="C9949" t="str">
        <f>"452625199006130022"</f>
        <v>452625199006130022</v>
      </c>
      <c r="D9949" t="s">
        <v>10441</v>
      </c>
      <c r="E9949" t="s">
        <v>10442</v>
      </c>
      <c r="F9949" t="s">
        <v>0</v>
      </c>
      <c r="G9949" t="str">
        <f>"2018-10-15 00:42:50"</f>
        <v>2018-10-15 00:42:50</v>
      </c>
    </row>
    <row r="9950" spans="1:7" x14ac:dyDescent="0.2">
      <c r="A9950" t="s">
        <v>1</v>
      </c>
      <c r="B9950" t="str">
        <f>"13350076228"</f>
        <v>13350076228</v>
      </c>
      <c r="C9950" t="s">
        <v>1</v>
      </c>
      <c r="D9950" t="s">
        <v>1</v>
      </c>
      <c r="E9950" t="s">
        <v>1</v>
      </c>
      <c r="F9950" t="s">
        <v>0</v>
      </c>
      <c r="G9950" t="str">
        <f>"2018-10-15 00:40:11"</f>
        <v>2018-10-15 00:40:11</v>
      </c>
    </row>
    <row r="9951" spans="1:7" x14ac:dyDescent="0.2">
      <c r="A9951" t="s">
        <v>1</v>
      </c>
      <c r="B9951" t="str">
        <f>"13422521322"</f>
        <v>13422521322</v>
      </c>
      <c r="C9951" t="s">
        <v>1</v>
      </c>
      <c r="D9951" t="s">
        <v>1</v>
      </c>
      <c r="E9951" t="s">
        <v>1</v>
      </c>
      <c r="F9951" t="s">
        <v>0</v>
      </c>
      <c r="G9951" t="str">
        <f>"2018-10-15 00:38:21"</f>
        <v>2018-10-15 00:38:21</v>
      </c>
    </row>
    <row r="9952" spans="1:7" x14ac:dyDescent="0.2">
      <c r="A9952" t="s">
        <v>69</v>
      </c>
      <c r="B9952" t="str">
        <f>"15696033339"</f>
        <v>15696033339</v>
      </c>
      <c r="C9952" t="str">
        <f>"511322198704293051"</f>
        <v>511322198704293051</v>
      </c>
      <c r="D9952" t="s">
        <v>1</v>
      </c>
      <c r="E9952" t="s">
        <v>1</v>
      </c>
      <c r="F9952" t="s">
        <v>0</v>
      </c>
      <c r="G9952" t="str">
        <f>"2018-10-15 00:37:44"</f>
        <v>2018-10-15 00:37:44</v>
      </c>
    </row>
    <row r="9953" spans="1:7" x14ac:dyDescent="0.2">
      <c r="A9953" t="s">
        <v>1</v>
      </c>
      <c r="B9953" t="str">
        <f>"15677365574"</f>
        <v>15677365574</v>
      </c>
      <c r="C9953" t="s">
        <v>1</v>
      </c>
      <c r="D9953" t="s">
        <v>1</v>
      </c>
      <c r="E9953" t="s">
        <v>1</v>
      </c>
      <c r="F9953" t="s">
        <v>0</v>
      </c>
      <c r="G9953" t="str">
        <f>"2018-10-15 00:35:29"</f>
        <v>2018-10-15 00:35:29</v>
      </c>
    </row>
    <row r="9954" spans="1:7" x14ac:dyDescent="0.2">
      <c r="A9954" t="s">
        <v>10443</v>
      </c>
      <c r="B9954" t="str">
        <f>"13333353311"</f>
        <v>13333353311</v>
      </c>
      <c r="C9954" t="str">
        <f>"231223199804010029"</f>
        <v>231223199804010029</v>
      </c>
      <c r="D9954" t="s">
        <v>1</v>
      </c>
      <c r="E9954" t="s">
        <v>1</v>
      </c>
      <c r="F9954" t="s">
        <v>0</v>
      </c>
      <c r="G9954" t="str">
        <f>"2018-10-15 00:37:28"</f>
        <v>2018-10-15 00:37:28</v>
      </c>
    </row>
    <row r="9955" spans="1:7" x14ac:dyDescent="0.2">
      <c r="A9955" t="s">
        <v>1</v>
      </c>
      <c r="B9955" t="str">
        <f>"17830376785"</f>
        <v>17830376785</v>
      </c>
      <c r="C9955" t="s">
        <v>1</v>
      </c>
      <c r="D9955" t="s">
        <v>1</v>
      </c>
      <c r="E9955" t="s">
        <v>1</v>
      </c>
      <c r="F9955" t="s">
        <v>0</v>
      </c>
      <c r="G9955" t="str">
        <f>"2018-10-15 00:32:57"</f>
        <v>2018-10-15 00:32:57</v>
      </c>
    </row>
    <row r="9956" spans="1:7" x14ac:dyDescent="0.2">
      <c r="A9956" t="s">
        <v>1</v>
      </c>
      <c r="B9956" t="str">
        <f>"13729313109"</f>
        <v>13729313109</v>
      </c>
      <c r="C9956" t="s">
        <v>1</v>
      </c>
      <c r="D9956" t="s">
        <v>1</v>
      </c>
      <c r="E9956" t="s">
        <v>1</v>
      </c>
      <c r="F9956" t="s">
        <v>0</v>
      </c>
      <c r="G9956" t="str">
        <f>"2018-10-15 00:30:36"</f>
        <v>2018-10-15 00:30:36</v>
      </c>
    </row>
    <row r="9957" spans="1:7" x14ac:dyDescent="0.2">
      <c r="A9957" t="s">
        <v>116</v>
      </c>
      <c r="B9957" t="str">
        <f>"18170878414"</f>
        <v>18170878414</v>
      </c>
      <c r="C9957" t="str">
        <f>"362301199605185050"</f>
        <v>362301199605185050</v>
      </c>
      <c r="D9957" t="s">
        <v>10444</v>
      </c>
      <c r="E9957" t="s">
        <v>10445</v>
      </c>
      <c r="F9957" t="s">
        <v>0</v>
      </c>
      <c r="G9957" t="str">
        <f>"2018-10-20 14:52:12"</f>
        <v>2018-10-20 14:52:12</v>
      </c>
    </row>
    <row r="9958" spans="1:7" x14ac:dyDescent="0.2">
      <c r="A9958" t="s">
        <v>10446</v>
      </c>
      <c r="B9958" t="str">
        <f>"15140055116"</f>
        <v>15140055116</v>
      </c>
      <c r="C9958" t="str">
        <f>"210111198803175315"</f>
        <v>210111198803175315</v>
      </c>
      <c r="D9958" t="s">
        <v>1</v>
      </c>
      <c r="E9958" t="s">
        <v>1</v>
      </c>
      <c r="F9958" t="s">
        <v>0</v>
      </c>
      <c r="G9958" t="str">
        <f>"2018-10-15 16:56:49"</f>
        <v>2018-10-15 16:56:49</v>
      </c>
    </row>
    <row r="9959" spans="1:7" x14ac:dyDescent="0.2">
      <c r="A9959" t="s">
        <v>10447</v>
      </c>
      <c r="B9959" t="str">
        <f>"13149390056"</f>
        <v>13149390056</v>
      </c>
      <c r="C9959" t="str">
        <f>"441224199304213714"</f>
        <v>441224199304213714</v>
      </c>
      <c r="D9959" t="s">
        <v>1</v>
      </c>
      <c r="E9959" t="s">
        <v>1</v>
      </c>
      <c r="F9959" t="s">
        <v>0</v>
      </c>
      <c r="G9959" t="str">
        <f>"2018-10-15 00:22:08"</f>
        <v>2018-10-15 00:22:08</v>
      </c>
    </row>
    <row r="9960" spans="1:7" x14ac:dyDescent="0.2">
      <c r="A9960" t="s">
        <v>121</v>
      </c>
      <c r="B9960" t="str">
        <f>"17704776772"</f>
        <v>17704776772</v>
      </c>
      <c r="C9960" t="str">
        <f>"152701198904103316"</f>
        <v>152701198904103316</v>
      </c>
      <c r="D9960" t="s">
        <v>1</v>
      </c>
      <c r="E9960" t="s">
        <v>1</v>
      </c>
      <c r="F9960" t="s">
        <v>0</v>
      </c>
      <c r="G9960" t="str">
        <f>"2018-10-15 00:22:53"</f>
        <v>2018-10-15 00:22:53</v>
      </c>
    </row>
    <row r="9961" spans="1:7" x14ac:dyDescent="0.2">
      <c r="A9961" t="s">
        <v>128</v>
      </c>
      <c r="B9961" t="str">
        <f>"17309589701"</f>
        <v>17309589701</v>
      </c>
      <c r="C9961" t="str">
        <f>"640122200009232414"</f>
        <v>640122200009232414</v>
      </c>
      <c r="D9961" t="s">
        <v>1</v>
      </c>
      <c r="E9961" t="s">
        <v>1</v>
      </c>
      <c r="F9961" t="s">
        <v>0</v>
      </c>
      <c r="G9961" t="str">
        <f>"2018-10-15 00:17:59"</f>
        <v>2018-10-15 00:17:59</v>
      </c>
    </row>
    <row r="9962" spans="1:7" x14ac:dyDescent="0.2">
      <c r="A9962" t="s">
        <v>10448</v>
      </c>
      <c r="B9962" t="str">
        <f>"13655839946"</f>
        <v>13655839946</v>
      </c>
      <c r="C9962" t="str">
        <f>"340122198210027219"</f>
        <v>340122198210027219</v>
      </c>
      <c r="D9962" t="s">
        <v>10449</v>
      </c>
      <c r="E9962" t="s">
        <v>10450</v>
      </c>
      <c r="F9962" t="s">
        <v>0</v>
      </c>
      <c r="G9962" t="str">
        <f>"2018-10-15 00:18:07"</f>
        <v>2018-10-15 00:18:07</v>
      </c>
    </row>
    <row r="9963" spans="1:7" x14ac:dyDescent="0.2">
      <c r="A9963" t="s">
        <v>10451</v>
      </c>
      <c r="B9963" t="str">
        <f>"17387065926"</f>
        <v>17387065926</v>
      </c>
      <c r="C9963" t="str">
        <f>"532128198908296766"</f>
        <v>532128198908296766</v>
      </c>
      <c r="D9963" t="s">
        <v>1</v>
      </c>
      <c r="E9963" t="s">
        <v>1</v>
      </c>
      <c r="F9963" t="s">
        <v>0</v>
      </c>
      <c r="G9963" t="str">
        <f>"2018-10-15 00:16:31"</f>
        <v>2018-10-15 00:16:31</v>
      </c>
    </row>
    <row r="9964" spans="1:7" x14ac:dyDescent="0.2">
      <c r="A9964" t="s">
        <v>1</v>
      </c>
      <c r="B9964" t="str">
        <f>"15777900392"</f>
        <v>15777900392</v>
      </c>
      <c r="C9964" t="s">
        <v>1</v>
      </c>
      <c r="D9964" t="s">
        <v>1</v>
      </c>
      <c r="E9964" t="s">
        <v>1</v>
      </c>
      <c r="F9964" t="s">
        <v>0</v>
      </c>
      <c r="G9964" t="str">
        <f>"2018-10-15 00:11:28"</f>
        <v>2018-10-15 00:11:28</v>
      </c>
    </row>
    <row r="9965" spans="1:7" x14ac:dyDescent="0.2">
      <c r="A9965" t="s">
        <v>10452</v>
      </c>
      <c r="B9965" t="str">
        <f>"15735375606"</f>
        <v>15735375606</v>
      </c>
      <c r="C9965" t="str">
        <f>"14082519980520002X"</f>
        <v>14082519980520002X</v>
      </c>
      <c r="D9965" t="s">
        <v>1</v>
      </c>
      <c r="E9965" t="s">
        <v>1</v>
      </c>
      <c r="F9965" t="s">
        <v>0</v>
      </c>
      <c r="G9965" t="str">
        <f>"2018-10-15 00:18:54"</f>
        <v>2018-10-15 00:18:54</v>
      </c>
    </row>
    <row r="9966" spans="1:7" x14ac:dyDescent="0.2">
      <c r="A9966" t="s">
        <v>10453</v>
      </c>
      <c r="B9966" t="str">
        <f>"13066761997"</f>
        <v>13066761997</v>
      </c>
      <c r="C9966" t="str">
        <f>"210122199005193619"</f>
        <v>210122199005193619</v>
      </c>
      <c r="D9966" t="s">
        <v>1</v>
      </c>
      <c r="E9966" t="s">
        <v>1</v>
      </c>
      <c r="F9966" t="s">
        <v>0</v>
      </c>
      <c r="G9966" t="str">
        <f>"2018-10-15 05:05:50"</f>
        <v>2018-10-15 05:05:50</v>
      </c>
    </row>
    <row r="9967" spans="1:7" x14ac:dyDescent="0.2">
      <c r="A9967" t="s">
        <v>1</v>
      </c>
      <c r="B9967" t="str">
        <f>"18908252168"</f>
        <v>18908252168</v>
      </c>
      <c r="C9967" t="s">
        <v>1</v>
      </c>
      <c r="D9967" t="s">
        <v>1</v>
      </c>
      <c r="E9967" t="s">
        <v>1</v>
      </c>
      <c r="F9967" t="s">
        <v>0</v>
      </c>
      <c r="G9967" t="str">
        <f>"2018-10-15 00:09:43"</f>
        <v>2018-10-15 00:09:43</v>
      </c>
    </row>
    <row r="9968" spans="1:7" x14ac:dyDescent="0.2">
      <c r="A9968" t="s">
        <v>10454</v>
      </c>
      <c r="B9968" t="str">
        <f>"13794161591"</f>
        <v>13794161591</v>
      </c>
      <c r="C9968" t="str">
        <f>"441223198904073814"</f>
        <v>441223198904073814</v>
      </c>
      <c r="D9968" t="s">
        <v>1</v>
      </c>
      <c r="E9968" t="s">
        <v>1</v>
      </c>
      <c r="F9968" t="s">
        <v>0</v>
      </c>
      <c r="G9968" t="str">
        <f>"2018-10-15 00:07:46"</f>
        <v>2018-10-15 00:07:46</v>
      </c>
    </row>
    <row r="9969" spans="1:7" x14ac:dyDescent="0.2">
      <c r="A9969" t="s">
        <v>1</v>
      </c>
      <c r="B9969" t="str">
        <f>"13992923312"</f>
        <v>13992923312</v>
      </c>
      <c r="C9969" t="s">
        <v>1</v>
      </c>
      <c r="D9969" t="s">
        <v>1</v>
      </c>
      <c r="E9969" t="s">
        <v>1</v>
      </c>
      <c r="F9969" t="s">
        <v>0</v>
      </c>
      <c r="G9969" t="str">
        <f>"2018-10-15 00:04:57"</f>
        <v>2018-10-15 00:04:57</v>
      </c>
    </row>
    <row r="9970" spans="1:7" x14ac:dyDescent="0.2">
      <c r="A9970" t="s">
        <v>10455</v>
      </c>
      <c r="B9970" t="str">
        <f>"18108835825"</f>
        <v>18108835825</v>
      </c>
      <c r="C9970" t="str">
        <f>"533525199605170638"</f>
        <v>533525199605170638</v>
      </c>
      <c r="D9970" t="s">
        <v>10456</v>
      </c>
      <c r="E9970" t="s">
        <v>10457</v>
      </c>
      <c r="F9970" t="s">
        <v>0</v>
      </c>
      <c r="G9970" t="str">
        <f>"2018-10-15 00:03:09"</f>
        <v>2018-10-15 00:03:09</v>
      </c>
    </row>
    <row r="9971" spans="1:7" x14ac:dyDescent="0.2">
      <c r="A9971" t="s">
        <v>10458</v>
      </c>
      <c r="B9971" t="str">
        <f>"18755051071"</f>
        <v>18755051071</v>
      </c>
      <c r="C9971" t="str">
        <f>"341124198503243015"</f>
        <v>341124198503243015</v>
      </c>
      <c r="D9971" t="s">
        <v>1</v>
      </c>
      <c r="E9971" t="s">
        <v>1</v>
      </c>
      <c r="F9971" t="s">
        <v>0</v>
      </c>
      <c r="G9971" t="str">
        <f>"2018-10-15 00:00:53"</f>
        <v>2018-10-15 00:00:53</v>
      </c>
    </row>
    <row r="9972" spans="1:7" x14ac:dyDescent="0.2">
      <c r="A9972" t="s">
        <v>10459</v>
      </c>
      <c r="B9972" t="str">
        <f>"18460319233"</f>
        <v>18460319233</v>
      </c>
      <c r="C9972" t="str">
        <f>"440582198509293054"</f>
        <v>440582198509293054</v>
      </c>
      <c r="D9972" t="s">
        <v>1</v>
      </c>
      <c r="E9972" t="s">
        <v>1</v>
      </c>
      <c r="F9972" t="s">
        <v>0</v>
      </c>
      <c r="G9972" t="str">
        <f>"2018-10-14 23:59:27"</f>
        <v>2018-10-14 23:59:27</v>
      </c>
    </row>
    <row r="9973" spans="1:7" x14ac:dyDescent="0.2">
      <c r="A9973" t="s">
        <v>10460</v>
      </c>
      <c r="B9973" t="str">
        <f>"18111211911"</f>
        <v>18111211911</v>
      </c>
      <c r="C9973" t="str">
        <f>"622101199603010057"</f>
        <v>622101199603010057</v>
      </c>
      <c r="D9973" t="s">
        <v>10461</v>
      </c>
      <c r="E9973" t="s">
        <v>10462</v>
      </c>
      <c r="F9973" t="s">
        <v>0</v>
      </c>
      <c r="G9973" t="str">
        <f>"2018-10-14 23:58:12"</f>
        <v>2018-10-14 23:58:12</v>
      </c>
    </row>
    <row r="9974" spans="1:7" x14ac:dyDescent="0.2">
      <c r="A9974" t="s">
        <v>10463</v>
      </c>
      <c r="B9974" t="str">
        <f>"18725244023"</f>
        <v>18725244023</v>
      </c>
      <c r="C9974" t="str">
        <f>"533024199712052537"</f>
        <v>533024199712052537</v>
      </c>
      <c r="D9974" t="s">
        <v>1</v>
      </c>
      <c r="E9974" t="s">
        <v>1</v>
      </c>
      <c r="F9974" t="s">
        <v>0</v>
      </c>
      <c r="G9974" t="str">
        <f>"2018-10-15 00:46:39"</f>
        <v>2018-10-15 00:46:39</v>
      </c>
    </row>
    <row r="9975" spans="1:7" x14ac:dyDescent="0.2">
      <c r="A9975" t="s">
        <v>1</v>
      </c>
      <c r="B9975" t="str">
        <f>"13073872784"</f>
        <v>13073872784</v>
      </c>
      <c r="C9975" t="s">
        <v>1</v>
      </c>
      <c r="D9975" t="s">
        <v>1</v>
      </c>
      <c r="E9975" t="s">
        <v>1</v>
      </c>
      <c r="F9975" t="s">
        <v>0</v>
      </c>
      <c r="G9975" t="str">
        <f>"2018-10-14 23:46:46"</f>
        <v>2018-10-14 23:46:46</v>
      </c>
    </row>
    <row r="9976" spans="1:7" x14ac:dyDescent="0.2">
      <c r="A9976" t="s">
        <v>10464</v>
      </c>
      <c r="B9976" t="str">
        <f>"18019132219"</f>
        <v>18019132219</v>
      </c>
      <c r="C9976" t="str">
        <f>"441423199401084226"</f>
        <v>441423199401084226</v>
      </c>
      <c r="D9976" t="s">
        <v>1</v>
      </c>
      <c r="E9976" t="s">
        <v>1</v>
      </c>
      <c r="F9976" t="s">
        <v>0</v>
      </c>
      <c r="G9976" t="str">
        <f>"2018-10-14 23:52:26"</f>
        <v>2018-10-14 23:52:26</v>
      </c>
    </row>
    <row r="9977" spans="1:7" x14ac:dyDescent="0.2">
      <c r="A9977" t="s">
        <v>10465</v>
      </c>
      <c r="B9977" t="str">
        <f>"15802460793"</f>
        <v>15802460793</v>
      </c>
      <c r="C9977" t="str">
        <f>"220524199301240826"</f>
        <v>220524199301240826</v>
      </c>
      <c r="D9977" t="s">
        <v>1</v>
      </c>
      <c r="E9977" t="s">
        <v>1</v>
      </c>
      <c r="F9977" t="s">
        <v>0</v>
      </c>
      <c r="G9977" t="str">
        <f>"2018-10-15 15:16:30"</f>
        <v>2018-10-15 15:16:30</v>
      </c>
    </row>
    <row r="9978" spans="1:7" x14ac:dyDescent="0.2">
      <c r="A9978" t="s">
        <v>1</v>
      </c>
      <c r="B9978" t="str">
        <f>"13221771184"</f>
        <v>13221771184</v>
      </c>
      <c r="C9978" t="s">
        <v>1</v>
      </c>
      <c r="D9978" t="s">
        <v>1</v>
      </c>
      <c r="E9978" t="s">
        <v>1</v>
      </c>
      <c r="F9978" t="s">
        <v>0</v>
      </c>
      <c r="G9978" t="str">
        <f>"2018-10-14 23:42:13"</f>
        <v>2018-10-14 23:42:13</v>
      </c>
    </row>
    <row r="9979" spans="1:7" x14ac:dyDescent="0.2">
      <c r="A9979" t="s">
        <v>10466</v>
      </c>
      <c r="B9979" t="str">
        <f>"13663686394"</f>
        <v>13663686394</v>
      </c>
      <c r="C9979" t="str">
        <f>"142325199110180530"</f>
        <v>142325199110180530</v>
      </c>
      <c r="D9979" t="s">
        <v>1</v>
      </c>
      <c r="E9979" t="s">
        <v>1</v>
      </c>
      <c r="F9979" t="s">
        <v>0</v>
      </c>
      <c r="G9979" t="str">
        <f>"2018-10-14 23:43:14"</f>
        <v>2018-10-14 23:43:14</v>
      </c>
    </row>
    <row r="9980" spans="1:7" x14ac:dyDescent="0.2">
      <c r="A9980" t="s">
        <v>10467</v>
      </c>
      <c r="B9980" t="str">
        <f>"15241770787"</f>
        <v>15241770787</v>
      </c>
      <c r="C9980" t="str">
        <f>"210304199002230048"</f>
        <v>210304199002230048</v>
      </c>
      <c r="D9980" t="s">
        <v>10468</v>
      </c>
      <c r="E9980" t="s">
        <v>10469</v>
      </c>
      <c r="F9980" t="s">
        <v>0</v>
      </c>
      <c r="G9980" t="str">
        <f>"2018-10-14 23:38:25"</f>
        <v>2018-10-14 23:38:25</v>
      </c>
    </row>
    <row r="9981" spans="1:7" x14ac:dyDescent="0.2">
      <c r="A9981" t="s">
        <v>1</v>
      </c>
      <c r="B9981" t="str">
        <f>"13279498425"</f>
        <v>13279498425</v>
      </c>
      <c r="C9981" t="s">
        <v>1</v>
      </c>
      <c r="D9981" t="s">
        <v>1</v>
      </c>
      <c r="E9981" t="s">
        <v>1</v>
      </c>
      <c r="F9981" t="s">
        <v>0</v>
      </c>
      <c r="G9981" t="str">
        <f>"2018-10-14 23:34:52"</f>
        <v>2018-10-14 23:34:52</v>
      </c>
    </row>
    <row r="9982" spans="1:7" x14ac:dyDescent="0.2">
      <c r="A9982" t="s">
        <v>1</v>
      </c>
      <c r="B9982" t="str">
        <f>"13829385885"</f>
        <v>13829385885</v>
      </c>
      <c r="C9982" t="s">
        <v>1</v>
      </c>
      <c r="D9982" t="s">
        <v>1</v>
      </c>
      <c r="E9982" t="s">
        <v>1</v>
      </c>
      <c r="F9982" t="s">
        <v>0</v>
      </c>
      <c r="G9982" t="str">
        <f>"2018-10-14 23:34:09"</f>
        <v>2018-10-14 23:34:09</v>
      </c>
    </row>
    <row r="9983" spans="1:7" x14ac:dyDescent="0.2">
      <c r="A9983" t="s">
        <v>10470</v>
      </c>
      <c r="B9983" t="str">
        <f>"15027515722"</f>
        <v>15027515722</v>
      </c>
      <c r="C9983" t="str">
        <f>"130204198109043015"</f>
        <v>130204198109043015</v>
      </c>
      <c r="D9983" t="s">
        <v>1</v>
      </c>
      <c r="E9983" t="s">
        <v>1</v>
      </c>
      <c r="F9983" t="s">
        <v>0</v>
      </c>
      <c r="G9983" t="str">
        <f>"2018-10-14 23:37:01"</f>
        <v>2018-10-14 23:37:01</v>
      </c>
    </row>
    <row r="9984" spans="1:7" x14ac:dyDescent="0.2">
      <c r="A9984" t="s">
        <v>1</v>
      </c>
      <c r="B9984" t="str">
        <f>"18288902573"</f>
        <v>18288902573</v>
      </c>
      <c r="C9984" t="s">
        <v>1</v>
      </c>
      <c r="D9984" t="s">
        <v>1</v>
      </c>
      <c r="E9984" t="s">
        <v>1</v>
      </c>
      <c r="F9984" t="s">
        <v>0</v>
      </c>
      <c r="G9984" t="str">
        <f>"2018-10-14 23:32:11"</f>
        <v>2018-10-14 23:32:11</v>
      </c>
    </row>
    <row r="9985" spans="1:7" x14ac:dyDescent="0.2">
      <c r="A9985" t="s">
        <v>556</v>
      </c>
      <c r="B9985" t="str">
        <f>"15971397393"</f>
        <v>15971397393</v>
      </c>
      <c r="C9985" t="str">
        <f>"421102199311295212"</f>
        <v>421102199311295212</v>
      </c>
      <c r="D9985" t="s">
        <v>1</v>
      </c>
      <c r="E9985" t="s">
        <v>1</v>
      </c>
      <c r="F9985" t="s">
        <v>0</v>
      </c>
      <c r="G9985" t="str">
        <f>"2018-10-14 23:30:37"</f>
        <v>2018-10-14 23:30:37</v>
      </c>
    </row>
    <row r="9986" spans="1:7" x14ac:dyDescent="0.2">
      <c r="A9986" t="s">
        <v>10471</v>
      </c>
      <c r="B9986" t="str">
        <f>"18677987183"</f>
        <v>18677987183</v>
      </c>
      <c r="C9986" t="str">
        <f>"232103198112254677"</f>
        <v>232103198112254677</v>
      </c>
      <c r="D9986" t="s">
        <v>1</v>
      </c>
      <c r="E9986" t="s">
        <v>1</v>
      </c>
      <c r="F9986" t="s">
        <v>0</v>
      </c>
      <c r="G9986" t="str">
        <f>"2018-10-15 12:57:55"</f>
        <v>2018-10-15 12:57:55</v>
      </c>
    </row>
    <row r="9987" spans="1:7" x14ac:dyDescent="0.2">
      <c r="A9987" t="s">
        <v>10472</v>
      </c>
      <c r="B9987" t="str">
        <f>"13619633591"</f>
        <v>13619633591</v>
      </c>
      <c r="C9987" t="str">
        <f>"450922199708171692"</f>
        <v>450922199708171692</v>
      </c>
      <c r="D9987" t="s">
        <v>1</v>
      </c>
      <c r="E9987" t="s">
        <v>1</v>
      </c>
      <c r="F9987" t="s">
        <v>0</v>
      </c>
      <c r="G9987" t="str">
        <f>"2018-10-14 23:32:17"</f>
        <v>2018-10-14 23:32:17</v>
      </c>
    </row>
    <row r="9988" spans="1:7" x14ac:dyDescent="0.2">
      <c r="A9988" t="s">
        <v>1</v>
      </c>
      <c r="B9988" t="str">
        <f>"13419509295"</f>
        <v>13419509295</v>
      </c>
      <c r="C9988" t="s">
        <v>1</v>
      </c>
      <c r="D9988" t="s">
        <v>1</v>
      </c>
      <c r="E9988" t="s">
        <v>1</v>
      </c>
      <c r="F9988" t="s">
        <v>0</v>
      </c>
      <c r="G9988" t="str">
        <f>"2018-10-14 23:27:14"</f>
        <v>2018-10-14 23:27:14</v>
      </c>
    </row>
    <row r="9989" spans="1:7" x14ac:dyDescent="0.2">
      <c r="A9989" t="s">
        <v>568</v>
      </c>
      <c r="B9989" t="str">
        <f>"18523979444"</f>
        <v>18523979444</v>
      </c>
      <c r="C9989" t="str">
        <f>"500113200005144313"</f>
        <v>500113200005144313</v>
      </c>
      <c r="D9989" t="s">
        <v>10473</v>
      </c>
      <c r="E9989" t="s">
        <v>10474</v>
      </c>
      <c r="F9989" t="s">
        <v>0</v>
      </c>
      <c r="G9989" t="str">
        <f>"2018-10-14 23:37:19"</f>
        <v>2018-10-14 23:37:19</v>
      </c>
    </row>
    <row r="9990" spans="1:7" x14ac:dyDescent="0.2">
      <c r="A9990" t="s">
        <v>10475</v>
      </c>
      <c r="B9990" t="str">
        <f>"15983676691"</f>
        <v>15983676691</v>
      </c>
      <c r="C9990" t="str">
        <f>"510703198211130416"</f>
        <v>510703198211130416</v>
      </c>
      <c r="D9990" t="s">
        <v>10476</v>
      </c>
      <c r="E9990" t="s">
        <v>10477</v>
      </c>
      <c r="F9990" t="s">
        <v>0</v>
      </c>
      <c r="G9990" t="str">
        <f>"2018-10-14 23:27:16"</f>
        <v>2018-10-14 23:27:16</v>
      </c>
    </row>
    <row r="9991" spans="1:7" x14ac:dyDescent="0.2">
      <c r="A9991" t="s">
        <v>10478</v>
      </c>
      <c r="B9991" t="str">
        <f>"13984822252"</f>
        <v>13984822252</v>
      </c>
      <c r="C9991" t="str">
        <f>"520112199201160320"</f>
        <v>520112199201160320</v>
      </c>
      <c r="D9991" t="s">
        <v>1</v>
      </c>
      <c r="E9991" t="s">
        <v>1</v>
      </c>
      <c r="F9991" t="s">
        <v>0</v>
      </c>
      <c r="G9991" t="str">
        <f>"2018-10-14 23:27:27"</f>
        <v>2018-10-14 23:27:27</v>
      </c>
    </row>
    <row r="9992" spans="1:7" x14ac:dyDescent="0.2">
      <c r="A9992" t="s">
        <v>10479</v>
      </c>
      <c r="B9992" t="str">
        <f>"17612035661"</f>
        <v>17612035661</v>
      </c>
      <c r="C9992" t="str">
        <f>"530323199405180915"</f>
        <v>530323199405180915</v>
      </c>
      <c r="D9992" t="s">
        <v>1</v>
      </c>
      <c r="E9992" t="s">
        <v>1</v>
      </c>
      <c r="F9992" t="s">
        <v>0</v>
      </c>
      <c r="G9992" t="str">
        <f>"2018-10-14 23:29:47"</f>
        <v>2018-10-14 23:29:47</v>
      </c>
    </row>
    <row r="9993" spans="1:7" x14ac:dyDescent="0.2">
      <c r="A9993" t="s">
        <v>1</v>
      </c>
      <c r="B9993" t="str">
        <f>"15896422632"</f>
        <v>15896422632</v>
      </c>
      <c r="C9993" t="s">
        <v>1</v>
      </c>
      <c r="D9993" t="s">
        <v>1</v>
      </c>
      <c r="E9993" t="s">
        <v>1</v>
      </c>
      <c r="F9993" t="s">
        <v>0</v>
      </c>
      <c r="G9993" t="str">
        <f>"2018-10-14 23:20:29"</f>
        <v>2018-10-14 23:20:29</v>
      </c>
    </row>
    <row r="9994" spans="1:7" x14ac:dyDescent="0.2">
      <c r="A9994" t="s">
        <v>10480</v>
      </c>
      <c r="B9994" t="str">
        <f>"18238294402"</f>
        <v>18238294402</v>
      </c>
      <c r="C9994" t="str">
        <f>"411503199005095358"</f>
        <v>411503199005095358</v>
      </c>
      <c r="D9994" t="s">
        <v>1</v>
      </c>
      <c r="E9994" t="s">
        <v>1</v>
      </c>
      <c r="F9994" t="s">
        <v>0</v>
      </c>
      <c r="G9994" t="str">
        <f>"2018-10-14 23:51:42"</f>
        <v>2018-10-14 23:51:42</v>
      </c>
    </row>
    <row r="9995" spans="1:7" x14ac:dyDescent="0.2">
      <c r="A9995" t="s">
        <v>1</v>
      </c>
      <c r="B9995" t="str">
        <f>"15690932987"</f>
        <v>15690932987</v>
      </c>
      <c r="C9995" t="s">
        <v>1</v>
      </c>
      <c r="D9995" t="s">
        <v>1</v>
      </c>
      <c r="E9995" t="s">
        <v>1</v>
      </c>
      <c r="F9995" t="s">
        <v>0</v>
      </c>
      <c r="G9995" t="str">
        <f>"2018-10-14 23:18:14"</f>
        <v>2018-10-14 23:18:14</v>
      </c>
    </row>
    <row r="9996" spans="1:7" x14ac:dyDescent="0.2">
      <c r="A9996" t="s">
        <v>1</v>
      </c>
      <c r="B9996" t="str">
        <f>"13688043712"</f>
        <v>13688043712</v>
      </c>
      <c r="C9996" t="s">
        <v>1</v>
      </c>
      <c r="D9996" t="s">
        <v>1</v>
      </c>
      <c r="E9996" t="s">
        <v>1</v>
      </c>
      <c r="F9996" t="s">
        <v>0</v>
      </c>
      <c r="G9996" t="str">
        <f>"2018-10-14 23:19:08"</f>
        <v>2018-10-14 23:19:08</v>
      </c>
    </row>
    <row r="9997" spans="1:7" x14ac:dyDescent="0.2">
      <c r="A9997" t="s">
        <v>1</v>
      </c>
      <c r="B9997" t="str">
        <f>"18996395997"</f>
        <v>18996395997</v>
      </c>
      <c r="C9997" t="s">
        <v>1</v>
      </c>
      <c r="D9997" t="s">
        <v>1</v>
      </c>
      <c r="E9997" t="s">
        <v>1</v>
      </c>
      <c r="F9997" t="s">
        <v>0</v>
      </c>
      <c r="G9997" t="str">
        <f>"2018-10-14 23:18:50"</f>
        <v>2018-10-14 23:18:50</v>
      </c>
    </row>
    <row r="9998" spans="1:7" x14ac:dyDescent="0.2">
      <c r="A9998" t="s">
        <v>10481</v>
      </c>
      <c r="B9998" t="str">
        <f>"15629017232"</f>
        <v>15629017232</v>
      </c>
      <c r="C9998" t="str">
        <f>"420103198210142410"</f>
        <v>420103198210142410</v>
      </c>
      <c r="D9998" t="s">
        <v>10482</v>
      </c>
      <c r="E9998" t="s">
        <v>10483</v>
      </c>
      <c r="F9998" t="s">
        <v>0</v>
      </c>
      <c r="G9998" t="str">
        <f>"2018-10-14 23:18:17"</f>
        <v>2018-10-14 23:18:17</v>
      </c>
    </row>
    <row r="9999" spans="1:7" x14ac:dyDescent="0.2">
      <c r="A9999" t="s">
        <v>10484</v>
      </c>
      <c r="B9999" t="str">
        <f>"13760891673"</f>
        <v>13760891673</v>
      </c>
      <c r="C9999" t="str">
        <f>"440104197901044110"</f>
        <v>440104197901044110</v>
      </c>
      <c r="D9999" t="s">
        <v>1</v>
      </c>
      <c r="E9999" t="s">
        <v>1</v>
      </c>
      <c r="F9999" t="s">
        <v>0</v>
      </c>
      <c r="G9999" t="str">
        <f>"2018-10-14 23:19:52"</f>
        <v>2018-10-14 23:19:52</v>
      </c>
    </row>
    <row r="10000" spans="1:7" x14ac:dyDescent="0.2">
      <c r="A10000" t="s">
        <v>1</v>
      </c>
      <c r="B10000" t="str">
        <f>"17041861865"</f>
        <v>17041861865</v>
      </c>
      <c r="C10000" t="s">
        <v>1</v>
      </c>
      <c r="D10000" t="s">
        <v>1</v>
      </c>
      <c r="E10000" t="s">
        <v>1</v>
      </c>
      <c r="F10000" t="s">
        <v>0</v>
      </c>
      <c r="G10000" t="str">
        <f>"2018-10-14 23:14:03"</f>
        <v>2018-10-14 23:14:03</v>
      </c>
    </row>
    <row r="10001" spans="1:7" x14ac:dyDescent="0.2">
      <c r="A10001" t="s">
        <v>1</v>
      </c>
      <c r="B10001" t="str">
        <f>"15577394140"</f>
        <v>15577394140</v>
      </c>
      <c r="C10001" t="s">
        <v>1</v>
      </c>
      <c r="D10001" t="s">
        <v>1</v>
      </c>
      <c r="E10001" t="s">
        <v>1</v>
      </c>
      <c r="F10001" t="s">
        <v>0</v>
      </c>
      <c r="G10001" t="str">
        <f>"2018-10-14 23:13:49"</f>
        <v>2018-10-14 23:13:49</v>
      </c>
    </row>
    <row r="10002" spans="1:7" x14ac:dyDescent="0.2">
      <c r="A10002" t="s">
        <v>174</v>
      </c>
      <c r="B10002" t="str">
        <f>"13142321406"</f>
        <v>13142321406</v>
      </c>
      <c r="C10002" t="str">
        <f>"430426198105110057"</f>
        <v>430426198105110057</v>
      </c>
      <c r="D10002" t="s">
        <v>1</v>
      </c>
      <c r="E10002" t="s">
        <v>1</v>
      </c>
      <c r="F10002" t="s">
        <v>0</v>
      </c>
      <c r="G10002" t="str">
        <f>"2018-10-14 23:13:46"</f>
        <v>2018-10-14 23:13:46</v>
      </c>
    </row>
    <row r="10003" spans="1:7" x14ac:dyDescent="0.2">
      <c r="A10003" t="s">
        <v>10485</v>
      </c>
      <c r="B10003" t="str">
        <f>"15973202942"</f>
        <v>15973202942</v>
      </c>
      <c r="C10003" t="str">
        <f>"430321199310178357"</f>
        <v>430321199310178357</v>
      </c>
      <c r="D10003" t="s">
        <v>1</v>
      </c>
      <c r="E10003" t="s">
        <v>1</v>
      </c>
      <c r="F10003" t="s">
        <v>0</v>
      </c>
      <c r="G10003" t="str">
        <f>"2018-10-31 13:52:26"</f>
        <v>2018-10-31 13:52:26</v>
      </c>
    </row>
    <row r="10004" spans="1:7" x14ac:dyDescent="0.2">
      <c r="A10004" t="s">
        <v>10486</v>
      </c>
      <c r="B10004" t="str">
        <f>"15589232654"</f>
        <v>15589232654</v>
      </c>
      <c r="C10004" t="str">
        <f>"37048119990228153X"</f>
        <v>37048119990228153X</v>
      </c>
      <c r="D10004" t="s">
        <v>10487</v>
      </c>
      <c r="E10004" t="s">
        <v>10488</v>
      </c>
      <c r="F10004" t="s">
        <v>0</v>
      </c>
      <c r="G10004" t="str">
        <f>"2018-10-14 23:10:56"</f>
        <v>2018-10-14 23:10:56</v>
      </c>
    </row>
    <row r="10005" spans="1:7" x14ac:dyDescent="0.2">
      <c r="A10005" t="s">
        <v>1</v>
      </c>
      <c r="B10005" t="str">
        <f>"15517270093"</f>
        <v>15517270093</v>
      </c>
      <c r="C10005" t="s">
        <v>1</v>
      </c>
      <c r="D10005" t="s">
        <v>1</v>
      </c>
      <c r="E10005" t="s">
        <v>1</v>
      </c>
      <c r="F10005" t="s">
        <v>0</v>
      </c>
      <c r="G10005" t="str">
        <f>"2018-10-14 23:11:02"</f>
        <v>2018-10-14 23:11:02</v>
      </c>
    </row>
    <row r="10006" spans="1:7" x14ac:dyDescent="0.2">
      <c r="A10006" t="s">
        <v>10489</v>
      </c>
      <c r="B10006" t="str">
        <f>"13271139218"</f>
        <v>13271139218</v>
      </c>
      <c r="C10006" t="str">
        <f>"411524199211233653"</f>
        <v>411524199211233653</v>
      </c>
      <c r="D10006" t="s">
        <v>1</v>
      </c>
      <c r="E10006" t="s">
        <v>1</v>
      </c>
      <c r="F10006" t="s">
        <v>0</v>
      </c>
      <c r="G10006" t="str">
        <f>"2018-10-15 10:14:33"</f>
        <v>2018-10-15 10:14:33</v>
      </c>
    </row>
    <row r="10007" spans="1:7" x14ac:dyDescent="0.2">
      <c r="A10007" t="s">
        <v>10490</v>
      </c>
      <c r="B10007" t="str">
        <f>"13437685578"</f>
        <v>13437685578</v>
      </c>
      <c r="C10007" t="str">
        <f>"441322198911272714"</f>
        <v>441322198911272714</v>
      </c>
      <c r="D10007" t="s">
        <v>1</v>
      </c>
      <c r="E10007" t="s">
        <v>1</v>
      </c>
      <c r="F10007" t="s">
        <v>0</v>
      </c>
      <c r="G10007" t="str">
        <f>"2018-10-14 23:32:00"</f>
        <v>2018-10-14 23:32:00</v>
      </c>
    </row>
    <row r="10008" spans="1:7" x14ac:dyDescent="0.2">
      <c r="A10008" t="s">
        <v>10491</v>
      </c>
      <c r="B10008" t="str">
        <f>"15160509409"</f>
        <v>15160509409</v>
      </c>
      <c r="C10008" t="str">
        <f>"152128198108210652"</f>
        <v>152128198108210652</v>
      </c>
      <c r="D10008" t="s">
        <v>10492</v>
      </c>
      <c r="E10008" t="s">
        <v>10493</v>
      </c>
      <c r="F10008" t="s">
        <v>0</v>
      </c>
      <c r="G10008" t="str">
        <f>"2018-10-14 23:11:57"</f>
        <v>2018-10-14 23:11:57</v>
      </c>
    </row>
    <row r="10009" spans="1:7" x14ac:dyDescent="0.2">
      <c r="A10009" t="s">
        <v>1</v>
      </c>
      <c r="B10009" t="str">
        <f>"13073882374"</f>
        <v>13073882374</v>
      </c>
      <c r="C10009" t="s">
        <v>1</v>
      </c>
      <c r="D10009" t="s">
        <v>1</v>
      </c>
      <c r="E10009" t="s">
        <v>1</v>
      </c>
      <c r="F10009" t="s">
        <v>0</v>
      </c>
      <c r="G10009" t="str">
        <f>"2018-10-14 23:05:39"</f>
        <v>2018-10-14 23:05:39</v>
      </c>
    </row>
    <row r="10010" spans="1:7" x14ac:dyDescent="0.2">
      <c r="A10010" t="s">
        <v>10494</v>
      </c>
      <c r="B10010" t="str">
        <f>"15166044881"</f>
        <v>15166044881</v>
      </c>
      <c r="C10010" t="str">
        <f>"230902197709050029"</f>
        <v>230902197709050029</v>
      </c>
      <c r="D10010" t="s">
        <v>1</v>
      </c>
      <c r="E10010" t="s">
        <v>1</v>
      </c>
      <c r="F10010" t="s">
        <v>0</v>
      </c>
      <c r="G10010" t="str">
        <f>"2018-10-15 09:43:15"</f>
        <v>2018-10-15 09:43:15</v>
      </c>
    </row>
    <row r="10011" spans="1:7" x14ac:dyDescent="0.2">
      <c r="A10011" t="s">
        <v>1</v>
      </c>
      <c r="B10011" t="str">
        <f>"15237232122"</f>
        <v>15237232122</v>
      </c>
      <c r="C10011" t="s">
        <v>1</v>
      </c>
      <c r="D10011" t="s">
        <v>1</v>
      </c>
      <c r="E10011" t="s">
        <v>1</v>
      </c>
      <c r="F10011" t="s">
        <v>0</v>
      </c>
      <c r="G10011" t="str">
        <f>"2018-10-14 23:02:29"</f>
        <v>2018-10-14 23:02:29</v>
      </c>
    </row>
    <row r="10012" spans="1:7" x14ac:dyDescent="0.2">
      <c r="A10012" t="s">
        <v>10495</v>
      </c>
      <c r="B10012" t="str">
        <f>"13375907629"</f>
        <v>13375907629</v>
      </c>
      <c r="C10012" t="str">
        <f>"350403198304206014"</f>
        <v>350403198304206014</v>
      </c>
      <c r="D10012" t="s">
        <v>10496</v>
      </c>
      <c r="E10012" t="s">
        <v>10497</v>
      </c>
      <c r="F10012" t="s">
        <v>0</v>
      </c>
      <c r="G10012" t="str">
        <f>"2018-10-15 01:13:29"</f>
        <v>2018-10-15 01:13:29</v>
      </c>
    </row>
    <row r="10013" spans="1:7" x14ac:dyDescent="0.2">
      <c r="A10013" t="s">
        <v>1</v>
      </c>
      <c r="B10013" t="str">
        <f>"13625961386"</f>
        <v>13625961386</v>
      </c>
      <c r="C10013" t="s">
        <v>1</v>
      </c>
      <c r="D10013" t="s">
        <v>1</v>
      </c>
      <c r="E10013" t="s">
        <v>1</v>
      </c>
      <c r="F10013" t="s">
        <v>0</v>
      </c>
      <c r="G10013" t="str">
        <f>"2018-10-14 23:00:42"</f>
        <v>2018-10-14 23:00:42</v>
      </c>
    </row>
    <row r="10014" spans="1:7" x14ac:dyDescent="0.2">
      <c r="A10014" t="s">
        <v>297</v>
      </c>
      <c r="B10014" t="str">
        <f>"18055654666"</f>
        <v>18055654666</v>
      </c>
      <c r="C10014" t="str">
        <f>"340827199306011013"</f>
        <v>340827199306011013</v>
      </c>
      <c r="D10014" t="s">
        <v>1</v>
      </c>
      <c r="E10014" t="s">
        <v>1</v>
      </c>
      <c r="F10014" t="s">
        <v>0</v>
      </c>
      <c r="G10014" t="str">
        <f>"2018-10-14 23:11:22"</f>
        <v>2018-10-14 23:11:22</v>
      </c>
    </row>
    <row r="10015" spans="1:7" x14ac:dyDescent="0.2">
      <c r="A10015" t="s">
        <v>1</v>
      </c>
      <c r="B10015" t="str">
        <f>"13086752044"</f>
        <v>13086752044</v>
      </c>
      <c r="C10015" t="s">
        <v>1</v>
      </c>
      <c r="D10015" t="s">
        <v>1</v>
      </c>
      <c r="E10015" t="s">
        <v>1</v>
      </c>
      <c r="F10015" t="s">
        <v>0</v>
      </c>
      <c r="G10015" t="str">
        <f>"2018-10-14 22:59:21"</f>
        <v>2018-10-14 22:59:21</v>
      </c>
    </row>
    <row r="10016" spans="1:7" x14ac:dyDescent="0.2">
      <c r="A10016" t="s">
        <v>10498</v>
      </c>
      <c r="B10016" t="str">
        <f>"18986284989"</f>
        <v>18986284989</v>
      </c>
      <c r="C10016" t="str">
        <f>"420114197703280015"</f>
        <v>420114197703280015</v>
      </c>
      <c r="D10016" t="s">
        <v>1</v>
      </c>
      <c r="E10016" t="s">
        <v>1</v>
      </c>
      <c r="F10016" t="s">
        <v>0</v>
      </c>
      <c r="G10016" t="str">
        <f>"2018-10-14 23:00:58"</f>
        <v>2018-10-14 23:00:58</v>
      </c>
    </row>
    <row r="10017" spans="1:7" x14ac:dyDescent="0.2">
      <c r="A10017" t="s">
        <v>1</v>
      </c>
      <c r="B10017" t="str">
        <f>"18280044433"</f>
        <v>18280044433</v>
      </c>
      <c r="C10017" t="s">
        <v>1</v>
      </c>
      <c r="D10017" t="s">
        <v>1</v>
      </c>
      <c r="E10017" t="s">
        <v>1</v>
      </c>
      <c r="F10017" t="s">
        <v>0</v>
      </c>
      <c r="G10017" t="str">
        <f>"2018-10-14 22:53:53"</f>
        <v>2018-10-14 22:53:53</v>
      </c>
    </row>
    <row r="10018" spans="1:7" x14ac:dyDescent="0.2">
      <c r="A10018" t="s">
        <v>1</v>
      </c>
      <c r="B10018" t="str">
        <f>"13245557504"</f>
        <v>13245557504</v>
      </c>
      <c r="C10018" t="s">
        <v>1</v>
      </c>
      <c r="D10018" t="s">
        <v>1</v>
      </c>
      <c r="E10018" t="s">
        <v>1</v>
      </c>
      <c r="F10018" t="s">
        <v>0</v>
      </c>
      <c r="G10018" t="str">
        <f>"2018-10-14 22:52:33"</f>
        <v>2018-10-14 22:52:33</v>
      </c>
    </row>
    <row r="10019" spans="1:7" x14ac:dyDescent="0.2">
      <c r="A10019" t="s">
        <v>10499</v>
      </c>
      <c r="B10019" t="str">
        <f>"18320102631"</f>
        <v>18320102631</v>
      </c>
      <c r="C10019" t="str">
        <f>"440783199106057219"</f>
        <v>440783199106057219</v>
      </c>
      <c r="D10019" t="s">
        <v>1</v>
      </c>
      <c r="E10019" t="s">
        <v>1</v>
      </c>
      <c r="F10019" t="s">
        <v>0</v>
      </c>
      <c r="G10019" t="str">
        <f>"2018-10-14 22:52:12"</f>
        <v>2018-10-14 22:52:12</v>
      </c>
    </row>
    <row r="10020" spans="1:7" x14ac:dyDescent="0.2">
      <c r="A10020" t="s">
        <v>1</v>
      </c>
      <c r="B10020" t="str">
        <f>"13366570295"</f>
        <v>13366570295</v>
      </c>
      <c r="C10020" t="s">
        <v>1</v>
      </c>
      <c r="D10020" t="s">
        <v>1</v>
      </c>
      <c r="E10020" t="s">
        <v>1</v>
      </c>
      <c r="F10020" t="s">
        <v>0</v>
      </c>
      <c r="G10020" t="str">
        <f>"2018-10-14 22:49:21"</f>
        <v>2018-10-14 22:49:21</v>
      </c>
    </row>
    <row r="10021" spans="1:7" x14ac:dyDescent="0.2">
      <c r="A10021" t="s">
        <v>10500</v>
      </c>
      <c r="B10021" t="str">
        <f>"17605776555"</f>
        <v>17605776555</v>
      </c>
      <c r="C10021" t="str">
        <f>"330382198006240325"</f>
        <v>330382198006240325</v>
      </c>
      <c r="D10021" t="s">
        <v>1</v>
      </c>
      <c r="E10021" t="s">
        <v>1</v>
      </c>
      <c r="F10021" t="s">
        <v>0</v>
      </c>
      <c r="G10021" t="str">
        <f>"2018-10-14 22:50:42"</f>
        <v>2018-10-14 22:50:42</v>
      </c>
    </row>
    <row r="10022" spans="1:7" x14ac:dyDescent="0.2">
      <c r="A10022" t="s">
        <v>1</v>
      </c>
      <c r="B10022" t="str">
        <f>"15360312324"</f>
        <v>15360312324</v>
      </c>
      <c r="C10022" t="s">
        <v>1</v>
      </c>
      <c r="D10022" t="s">
        <v>1</v>
      </c>
      <c r="E10022" t="s">
        <v>1</v>
      </c>
      <c r="F10022" t="s">
        <v>0</v>
      </c>
      <c r="G10022" t="str">
        <f>"2018-10-14 22:48:11"</f>
        <v>2018-10-14 22:48:11</v>
      </c>
    </row>
    <row r="10023" spans="1:7" x14ac:dyDescent="0.2">
      <c r="A10023" t="s">
        <v>1</v>
      </c>
      <c r="B10023" t="str">
        <f>"13073890498"</f>
        <v>13073890498</v>
      </c>
      <c r="C10023" t="s">
        <v>1</v>
      </c>
      <c r="D10023" t="s">
        <v>1</v>
      </c>
      <c r="E10023" t="s">
        <v>1</v>
      </c>
      <c r="F10023" t="s">
        <v>0</v>
      </c>
      <c r="G10023" t="str">
        <f>"2018-10-14 22:44:38"</f>
        <v>2018-10-14 22:44:38</v>
      </c>
    </row>
    <row r="10024" spans="1:7" x14ac:dyDescent="0.2">
      <c r="A10024" t="s">
        <v>1</v>
      </c>
      <c r="B10024" t="str">
        <f>"15885790728"</f>
        <v>15885790728</v>
      </c>
      <c r="C10024" t="s">
        <v>1</v>
      </c>
      <c r="D10024" t="s">
        <v>1</v>
      </c>
      <c r="E10024" t="s">
        <v>1</v>
      </c>
      <c r="F10024" t="s">
        <v>0</v>
      </c>
      <c r="G10024" t="str">
        <f>"2018-10-14 22:44:36"</f>
        <v>2018-10-14 22:44:36</v>
      </c>
    </row>
    <row r="10025" spans="1:7" x14ac:dyDescent="0.2">
      <c r="A10025" t="s">
        <v>10501</v>
      </c>
      <c r="B10025" t="str">
        <f>"17687300331"</f>
        <v>17687300331</v>
      </c>
      <c r="C10025" t="str">
        <f>"452628199906290012"</f>
        <v>452628199906290012</v>
      </c>
      <c r="D10025" t="s">
        <v>1</v>
      </c>
      <c r="E10025" t="s">
        <v>1</v>
      </c>
      <c r="F10025" t="s">
        <v>0</v>
      </c>
      <c r="G10025" t="str">
        <f>"2018-10-14 22:45:44"</f>
        <v>2018-10-14 22:45:44</v>
      </c>
    </row>
    <row r="10026" spans="1:7" x14ac:dyDescent="0.2">
      <c r="A10026" t="s">
        <v>10502</v>
      </c>
      <c r="B10026" t="str">
        <f>"15581974532"</f>
        <v>15581974532</v>
      </c>
      <c r="C10026" t="str">
        <f>"142427199904060328"</f>
        <v>142427199904060328</v>
      </c>
      <c r="D10026" t="s">
        <v>1</v>
      </c>
      <c r="E10026" t="s">
        <v>1</v>
      </c>
      <c r="F10026" t="s">
        <v>0</v>
      </c>
      <c r="G10026" t="str">
        <f>"2018-10-15 14:55:26"</f>
        <v>2018-10-15 14:55:26</v>
      </c>
    </row>
    <row r="10027" spans="1:7" x14ac:dyDescent="0.2">
      <c r="A10027" t="s">
        <v>10503</v>
      </c>
      <c r="B10027" t="str">
        <f>"13596976842"</f>
        <v>13596976842</v>
      </c>
      <c r="C10027" t="str">
        <f>"220722198204075869"</f>
        <v>220722198204075869</v>
      </c>
      <c r="D10027" t="s">
        <v>1</v>
      </c>
      <c r="E10027" t="s">
        <v>1</v>
      </c>
      <c r="F10027" t="s">
        <v>0</v>
      </c>
      <c r="G10027" t="str">
        <f>"2018-10-15 16:01:08"</f>
        <v>2018-10-15 16:01:08</v>
      </c>
    </row>
    <row r="10028" spans="1:7" x14ac:dyDescent="0.2">
      <c r="A10028" t="s">
        <v>1</v>
      </c>
      <c r="B10028" t="str">
        <f>"15982738578"</f>
        <v>15982738578</v>
      </c>
      <c r="C10028" t="s">
        <v>1</v>
      </c>
      <c r="D10028" t="s">
        <v>1</v>
      </c>
      <c r="E10028" t="s">
        <v>1</v>
      </c>
      <c r="F10028" t="s">
        <v>0</v>
      </c>
      <c r="G10028" t="str">
        <f>"2018-10-14 22:39:24"</f>
        <v>2018-10-14 22:39:24</v>
      </c>
    </row>
    <row r="10029" spans="1:7" x14ac:dyDescent="0.2">
      <c r="A10029" t="s">
        <v>10504</v>
      </c>
      <c r="B10029" t="str">
        <f>"13577629994"</f>
        <v>13577629994</v>
      </c>
      <c r="C10029" t="str">
        <f>"532625198610110031"</f>
        <v>532625198610110031</v>
      </c>
      <c r="D10029" t="s">
        <v>10505</v>
      </c>
      <c r="E10029" t="s">
        <v>10506</v>
      </c>
      <c r="F10029" t="s">
        <v>0</v>
      </c>
      <c r="G10029" t="str">
        <f>"2018-10-15 01:10:09"</f>
        <v>2018-10-15 01:10:09</v>
      </c>
    </row>
    <row r="10030" spans="1:7" x14ac:dyDescent="0.2">
      <c r="A10030" t="s">
        <v>10507</v>
      </c>
      <c r="B10030" t="str">
        <f>"15225965679"</f>
        <v>15225965679</v>
      </c>
      <c r="C10030" t="str">
        <f>"410782198603120411"</f>
        <v>410782198603120411</v>
      </c>
      <c r="D10030" t="s">
        <v>1</v>
      </c>
      <c r="E10030" t="s">
        <v>1</v>
      </c>
      <c r="F10030" t="s">
        <v>0</v>
      </c>
      <c r="G10030" t="str">
        <f>"2018-11-03 20:29:06"</f>
        <v>2018-11-03 20:29:06</v>
      </c>
    </row>
    <row r="10031" spans="1:7" x14ac:dyDescent="0.2">
      <c r="A10031" t="s">
        <v>1692</v>
      </c>
      <c r="B10031" t="str">
        <f>"13339053611"</f>
        <v>13339053611</v>
      </c>
      <c r="C10031" t="str">
        <f>"340521199803226619"</f>
        <v>340521199803226619</v>
      </c>
      <c r="D10031" t="s">
        <v>10508</v>
      </c>
      <c r="E10031" t="s">
        <v>10509</v>
      </c>
      <c r="F10031" t="s">
        <v>0</v>
      </c>
      <c r="G10031" t="str">
        <f>"2018-10-14 22:38:47"</f>
        <v>2018-10-14 22:38:47</v>
      </c>
    </row>
    <row r="10032" spans="1:7" x14ac:dyDescent="0.2">
      <c r="A10032" t="s">
        <v>10510</v>
      </c>
      <c r="B10032" t="str">
        <f>"18604262571"</f>
        <v>18604262571</v>
      </c>
      <c r="C10032" t="str">
        <f>"230183199202254659"</f>
        <v>230183199202254659</v>
      </c>
      <c r="D10032" t="s">
        <v>10511</v>
      </c>
      <c r="E10032" t="s">
        <v>10512</v>
      </c>
      <c r="F10032" t="s">
        <v>0</v>
      </c>
      <c r="G10032" t="str">
        <f>"2018-10-14 22:38:36"</f>
        <v>2018-10-14 22:38:36</v>
      </c>
    </row>
    <row r="10033" spans="1:7" x14ac:dyDescent="0.2">
      <c r="A10033" t="s">
        <v>10513</v>
      </c>
      <c r="B10033" t="str">
        <f>"13100715706"</f>
        <v>13100715706</v>
      </c>
      <c r="C10033" t="str">
        <f>"420583199609101037"</f>
        <v>420583199609101037</v>
      </c>
      <c r="D10033" t="s">
        <v>1</v>
      </c>
      <c r="E10033" t="s">
        <v>1</v>
      </c>
      <c r="F10033" t="s">
        <v>0</v>
      </c>
      <c r="G10033" t="str">
        <f>"2018-10-14 22:39:32"</f>
        <v>2018-10-14 22:39:32</v>
      </c>
    </row>
    <row r="10034" spans="1:7" x14ac:dyDescent="0.2">
      <c r="A10034" t="s">
        <v>10514</v>
      </c>
      <c r="B10034" t="str">
        <f>"15217103391"</f>
        <v>15217103391</v>
      </c>
      <c r="C10034" t="str">
        <f>"43052419891111408X"</f>
        <v>43052419891111408X</v>
      </c>
      <c r="D10034" t="s">
        <v>10515</v>
      </c>
      <c r="E10034" t="s">
        <v>10516</v>
      </c>
      <c r="F10034" t="s">
        <v>0</v>
      </c>
      <c r="G10034" t="str">
        <f>"2018-10-15 11:49:11"</f>
        <v>2018-10-15 11:49:11</v>
      </c>
    </row>
    <row r="10035" spans="1:7" x14ac:dyDescent="0.2">
      <c r="A10035" t="s">
        <v>1</v>
      </c>
      <c r="B10035" t="str">
        <f>"15578149360"</f>
        <v>15578149360</v>
      </c>
      <c r="C10035" t="s">
        <v>1</v>
      </c>
      <c r="D10035" t="s">
        <v>1</v>
      </c>
      <c r="E10035" t="s">
        <v>1</v>
      </c>
      <c r="F10035" t="s">
        <v>0</v>
      </c>
      <c r="G10035" t="str">
        <f>"2018-10-14 22:34:46"</f>
        <v>2018-10-14 22:34:46</v>
      </c>
    </row>
    <row r="10036" spans="1:7" x14ac:dyDescent="0.2">
      <c r="A10036" t="s">
        <v>10517</v>
      </c>
      <c r="B10036" t="str">
        <f>"18700650257"</f>
        <v>18700650257</v>
      </c>
      <c r="C10036" t="str">
        <f>"61233019950314071X"</f>
        <v>61233019950314071X</v>
      </c>
      <c r="D10036" t="s">
        <v>1</v>
      </c>
      <c r="E10036" t="s">
        <v>1</v>
      </c>
      <c r="F10036" t="s">
        <v>0</v>
      </c>
      <c r="G10036" t="str">
        <f>"2018-10-15 00:02:13"</f>
        <v>2018-10-15 00:02:13</v>
      </c>
    </row>
    <row r="10037" spans="1:7" x14ac:dyDescent="0.2">
      <c r="A10037" t="s">
        <v>1</v>
      </c>
      <c r="B10037" t="str">
        <f>"15577804680"</f>
        <v>15577804680</v>
      </c>
      <c r="C10037" t="s">
        <v>1</v>
      </c>
      <c r="D10037" t="s">
        <v>1</v>
      </c>
      <c r="E10037" t="s">
        <v>1</v>
      </c>
      <c r="F10037" t="s">
        <v>0</v>
      </c>
      <c r="G10037" t="str">
        <f>"2018-10-14 22:33:32"</f>
        <v>2018-10-14 22:33:32</v>
      </c>
    </row>
    <row r="10038" spans="1:7" x14ac:dyDescent="0.2">
      <c r="A10038" t="s">
        <v>1</v>
      </c>
      <c r="B10038" t="str">
        <f>"13237550957"</f>
        <v>13237550957</v>
      </c>
      <c r="C10038" t="s">
        <v>1</v>
      </c>
      <c r="D10038" t="s">
        <v>1</v>
      </c>
      <c r="E10038" t="s">
        <v>1</v>
      </c>
      <c r="F10038" t="s">
        <v>0</v>
      </c>
      <c r="G10038" t="str">
        <f>"2018-10-30 21:24:30"</f>
        <v>2018-10-30 21:24:30</v>
      </c>
    </row>
    <row r="10039" spans="1:7" x14ac:dyDescent="0.2">
      <c r="A10039" t="s">
        <v>10518</v>
      </c>
      <c r="B10039" t="str">
        <f>"13967603780"</f>
        <v>13967603780</v>
      </c>
      <c r="C10039" t="str">
        <f>"331023198705300934"</f>
        <v>331023198705300934</v>
      </c>
      <c r="D10039" t="s">
        <v>1</v>
      </c>
      <c r="E10039" t="s">
        <v>1</v>
      </c>
      <c r="F10039" t="s">
        <v>0</v>
      </c>
      <c r="G10039" t="str">
        <f>"2018-10-14 22:33:20"</f>
        <v>2018-10-14 22:33:20</v>
      </c>
    </row>
    <row r="10040" spans="1:7" x14ac:dyDescent="0.2">
      <c r="A10040" t="s">
        <v>1422</v>
      </c>
      <c r="B10040" t="str">
        <f>"13181755758"</f>
        <v>13181755758</v>
      </c>
      <c r="C10040" t="str">
        <f>"371202199805150823"</f>
        <v>371202199805150823</v>
      </c>
      <c r="D10040" t="s">
        <v>1</v>
      </c>
      <c r="E10040" t="s">
        <v>1</v>
      </c>
      <c r="F10040" t="s">
        <v>0</v>
      </c>
      <c r="G10040" t="str">
        <f>"2018-10-14 23:22:22"</f>
        <v>2018-10-14 23:22:22</v>
      </c>
    </row>
    <row r="10041" spans="1:7" x14ac:dyDescent="0.2">
      <c r="A10041" t="s">
        <v>209</v>
      </c>
      <c r="B10041" t="str">
        <f>"15368824579"</f>
        <v>15368824579</v>
      </c>
      <c r="C10041" t="str">
        <f>"530112198511250919"</f>
        <v>530112198511250919</v>
      </c>
      <c r="D10041" t="s">
        <v>1</v>
      </c>
      <c r="E10041" t="s">
        <v>1</v>
      </c>
      <c r="F10041" t="s">
        <v>0</v>
      </c>
      <c r="G10041" t="str">
        <f>"2018-10-14 22:57:21"</f>
        <v>2018-10-14 22:57:21</v>
      </c>
    </row>
    <row r="10042" spans="1:7" x14ac:dyDescent="0.2">
      <c r="A10042" t="s">
        <v>10519</v>
      </c>
      <c r="B10042" t="str">
        <f>"18048636583"</f>
        <v>18048636583</v>
      </c>
      <c r="C10042" t="str">
        <f>"510681199304301817"</f>
        <v>510681199304301817</v>
      </c>
      <c r="D10042" t="s">
        <v>1</v>
      </c>
      <c r="E10042" t="s">
        <v>1</v>
      </c>
      <c r="F10042" t="s">
        <v>0</v>
      </c>
      <c r="G10042" t="str">
        <f>"2018-10-14 22:30:54"</f>
        <v>2018-10-14 22:30:54</v>
      </c>
    </row>
    <row r="10043" spans="1:7" x14ac:dyDescent="0.2">
      <c r="A10043" t="s">
        <v>10520</v>
      </c>
      <c r="B10043" t="str">
        <f>"17751976887"</f>
        <v>17751976887</v>
      </c>
      <c r="C10043" t="str">
        <f>"130229198704153048"</f>
        <v>130229198704153048</v>
      </c>
      <c r="D10043" t="s">
        <v>1</v>
      </c>
      <c r="E10043" t="s">
        <v>1</v>
      </c>
      <c r="F10043" t="s">
        <v>0</v>
      </c>
      <c r="G10043" t="str">
        <f>"2018-10-18 15:07:32"</f>
        <v>2018-10-18 15:07:32</v>
      </c>
    </row>
    <row r="10044" spans="1:7" x14ac:dyDescent="0.2">
      <c r="A10044" t="s">
        <v>1</v>
      </c>
      <c r="B10044" t="str">
        <f>"13607580880"</f>
        <v>13607580880</v>
      </c>
      <c r="C10044" t="s">
        <v>1</v>
      </c>
      <c r="D10044" t="s">
        <v>1</v>
      </c>
      <c r="E10044" t="s">
        <v>1</v>
      </c>
      <c r="F10044" t="s">
        <v>0</v>
      </c>
      <c r="G10044" t="str">
        <f>"2018-10-14 22:26:58"</f>
        <v>2018-10-14 22:26:58</v>
      </c>
    </row>
    <row r="10045" spans="1:7" x14ac:dyDescent="0.2">
      <c r="A10045" t="s">
        <v>751</v>
      </c>
      <c r="B10045" t="str">
        <f>"13577034171"</f>
        <v>13577034171</v>
      </c>
      <c r="C10045" t="str">
        <f>"530122198712102018"</f>
        <v>530122198712102018</v>
      </c>
      <c r="D10045" t="s">
        <v>1</v>
      </c>
      <c r="E10045" t="s">
        <v>1</v>
      </c>
      <c r="F10045" t="s">
        <v>0</v>
      </c>
      <c r="G10045" t="str">
        <f>"2018-10-14 23:02:42"</f>
        <v>2018-10-14 23:02:42</v>
      </c>
    </row>
    <row r="10046" spans="1:7" x14ac:dyDescent="0.2">
      <c r="A10046" t="s">
        <v>10521</v>
      </c>
      <c r="B10046" t="str">
        <f>"15713326769"</f>
        <v>15713326769</v>
      </c>
      <c r="C10046" t="str">
        <f>"13068419921005477X"</f>
        <v>13068419921005477X</v>
      </c>
      <c r="D10046" t="s">
        <v>10522</v>
      </c>
      <c r="E10046" t="s">
        <v>10523</v>
      </c>
      <c r="F10046" t="s">
        <v>0</v>
      </c>
      <c r="G10046" t="str">
        <f>"2018-10-15 07:43:58"</f>
        <v>2018-10-15 07:43:58</v>
      </c>
    </row>
    <row r="10047" spans="1:7" x14ac:dyDescent="0.2">
      <c r="A10047" t="s">
        <v>10524</v>
      </c>
      <c r="B10047" t="str">
        <f>"18689888116"</f>
        <v>18689888116</v>
      </c>
      <c r="C10047" t="str">
        <f>"460001198409080711"</f>
        <v>460001198409080711</v>
      </c>
      <c r="D10047" t="s">
        <v>10525</v>
      </c>
      <c r="E10047" t="s">
        <v>10526</v>
      </c>
      <c r="F10047" t="s">
        <v>0</v>
      </c>
      <c r="G10047" t="str">
        <f>"2018-10-14 22:27:14"</f>
        <v>2018-10-14 22:27:14</v>
      </c>
    </row>
    <row r="10048" spans="1:7" x14ac:dyDescent="0.2">
      <c r="A10048" t="s">
        <v>1</v>
      </c>
      <c r="B10048" t="str">
        <f>"13602023556"</f>
        <v>13602023556</v>
      </c>
      <c r="C10048" t="s">
        <v>1</v>
      </c>
      <c r="D10048" t="s">
        <v>1</v>
      </c>
      <c r="E10048" t="s">
        <v>1</v>
      </c>
      <c r="F10048" t="s">
        <v>0</v>
      </c>
      <c r="G10048" t="str">
        <f>"2018-10-14 22:24:59"</f>
        <v>2018-10-14 22:24:59</v>
      </c>
    </row>
    <row r="10049" spans="1:7" x14ac:dyDescent="0.2">
      <c r="A10049" t="s">
        <v>1</v>
      </c>
      <c r="B10049" t="str">
        <f>"15599936216"</f>
        <v>15599936216</v>
      </c>
      <c r="C10049" t="s">
        <v>1</v>
      </c>
      <c r="D10049" t="s">
        <v>1</v>
      </c>
      <c r="E10049" t="s">
        <v>1</v>
      </c>
      <c r="F10049" t="s">
        <v>0</v>
      </c>
      <c r="G10049" t="str">
        <f>"2018-10-14 22:22:02"</f>
        <v>2018-10-14 22:22:02</v>
      </c>
    </row>
    <row r="10050" spans="1:7" x14ac:dyDescent="0.2">
      <c r="A10050" t="s">
        <v>1</v>
      </c>
      <c r="B10050" t="str">
        <f>"15282312940"</f>
        <v>15282312940</v>
      </c>
      <c r="C10050" t="s">
        <v>1</v>
      </c>
      <c r="D10050" t="s">
        <v>1</v>
      </c>
      <c r="E10050" t="s">
        <v>1</v>
      </c>
      <c r="F10050" t="s">
        <v>0</v>
      </c>
      <c r="G10050" t="str">
        <f>"2018-10-14 22:24:21"</f>
        <v>2018-10-14 22:24:21</v>
      </c>
    </row>
    <row r="10051" spans="1:7" x14ac:dyDescent="0.2">
      <c r="A10051" t="s">
        <v>1</v>
      </c>
      <c r="B10051" t="str">
        <f>"15152392314"</f>
        <v>15152392314</v>
      </c>
      <c r="C10051" t="s">
        <v>1</v>
      </c>
      <c r="D10051" t="s">
        <v>1</v>
      </c>
      <c r="E10051" t="s">
        <v>1</v>
      </c>
      <c r="F10051" t="s">
        <v>0</v>
      </c>
      <c r="G10051" t="str">
        <f>"2018-10-14 22:21:09"</f>
        <v>2018-10-14 22:21:09</v>
      </c>
    </row>
    <row r="10052" spans="1:7" x14ac:dyDescent="0.2">
      <c r="A10052" t="s">
        <v>10527</v>
      </c>
      <c r="B10052" t="str">
        <f>"15797834950"</f>
        <v>15797834950</v>
      </c>
      <c r="C10052" t="str">
        <f>"350425199405143713"</f>
        <v>350425199405143713</v>
      </c>
      <c r="D10052" t="s">
        <v>1</v>
      </c>
      <c r="E10052" t="s">
        <v>1</v>
      </c>
      <c r="F10052" t="s">
        <v>0</v>
      </c>
      <c r="G10052" t="str">
        <f>"2018-10-14 22:22:50"</f>
        <v>2018-10-14 22:22:50</v>
      </c>
    </row>
    <row r="10053" spans="1:7" x14ac:dyDescent="0.2">
      <c r="A10053" t="s">
        <v>1</v>
      </c>
      <c r="B10053" t="str">
        <f>"18593126989"</f>
        <v>18593126989</v>
      </c>
      <c r="C10053" t="s">
        <v>1</v>
      </c>
      <c r="D10053" t="s">
        <v>1</v>
      </c>
      <c r="E10053" t="s">
        <v>1</v>
      </c>
      <c r="F10053" t="s">
        <v>0</v>
      </c>
      <c r="G10053" t="str">
        <f>"2018-10-14 22:20:17"</f>
        <v>2018-10-14 22:20:17</v>
      </c>
    </row>
    <row r="10054" spans="1:7" x14ac:dyDescent="0.2">
      <c r="A10054" t="s">
        <v>10528</v>
      </c>
      <c r="B10054" t="str">
        <f>"17631159905"</f>
        <v>17631159905</v>
      </c>
      <c r="C10054" t="str">
        <f>"130130199501292413"</f>
        <v>130130199501292413</v>
      </c>
      <c r="D10054" t="s">
        <v>10529</v>
      </c>
      <c r="E10054" t="s">
        <v>10530</v>
      </c>
      <c r="F10054" t="s">
        <v>0</v>
      </c>
      <c r="G10054" t="str">
        <f>"2018-10-14 22:39:37"</f>
        <v>2018-10-14 22:39:37</v>
      </c>
    </row>
    <row r="10055" spans="1:7" x14ac:dyDescent="0.2">
      <c r="A10055" t="s">
        <v>10531</v>
      </c>
      <c r="B10055" t="str">
        <f>"13450195608"</f>
        <v>13450195608</v>
      </c>
      <c r="C10055" t="str">
        <f>"441224198410242610"</f>
        <v>441224198410242610</v>
      </c>
      <c r="D10055" t="s">
        <v>10532</v>
      </c>
      <c r="E10055" t="s">
        <v>10533</v>
      </c>
      <c r="F10055" t="s">
        <v>0</v>
      </c>
      <c r="G10055" t="str">
        <f>"2018-10-14 22:20:39"</f>
        <v>2018-10-14 22:20:39</v>
      </c>
    </row>
    <row r="10056" spans="1:7" x14ac:dyDescent="0.2">
      <c r="A10056" t="s">
        <v>10534</v>
      </c>
      <c r="B10056" t="str">
        <f>"18111462939"</f>
        <v>18111462939</v>
      </c>
      <c r="C10056" t="str">
        <f>"511111199904250034"</f>
        <v>511111199904250034</v>
      </c>
      <c r="D10056" t="s">
        <v>1</v>
      </c>
      <c r="E10056" t="s">
        <v>1</v>
      </c>
      <c r="F10056" t="s">
        <v>0</v>
      </c>
      <c r="G10056" t="str">
        <f>"2018-10-15 11:57:28"</f>
        <v>2018-10-15 11:57:28</v>
      </c>
    </row>
    <row r="10057" spans="1:7" x14ac:dyDescent="0.2">
      <c r="A10057" t="s">
        <v>10535</v>
      </c>
      <c r="B10057" t="str">
        <f>"17708530981"</f>
        <v>17708530981</v>
      </c>
      <c r="C10057" t="str">
        <f>"522527199104120085"</f>
        <v>522527199104120085</v>
      </c>
      <c r="D10057" t="s">
        <v>1</v>
      </c>
      <c r="E10057" t="s">
        <v>1</v>
      </c>
      <c r="F10057" t="s">
        <v>0</v>
      </c>
      <c r="G10057" t="str">
        <f>"2018-11-01 20:47:51"</f>
        <v>2018-11-01 20:47:51</v>
      </c>
    </row>
    <row r="10058" spans="1:7" x14ac:dyDescent="0.2">
      <c r="A10058" t="s">
        <v>1</v>
      </c>
      <c r="B10058" t="str">
        <f>"13117722400"</f>
        <v>13117722400</v>
      </c>
      <c r="C10058" t="s">
        <v>1</v>
      </c>
      <c r="D10058" t="s">
        <v>1</v>
      </c>
      <c r="E10058" t="s">
        <v>1</v>
      </c>
      <c r="F10058" t="s">
        <v>0</v>
      </c>
      <c r="G10058" t="str">
        <f>"2018-10-14 22:43:14"</f>
        <v>2018-10-14 22:43:14</v>
      </c>
    </row>
    <row r="10059" spans="1:7" x14ac:dyDescent="0.2">
      <c r="A10059" t="s">
        <v>10536</v>
      </c>
      <c r="B10059" t="str">
        <f>"15125572382"</f>
        <v>15125572382</v>
      </c>
      <c r="C10059" t="str">
        <f>"532701199301130628"</f>
        <v>532701199301130628</v>
      </c>
      <c r="D10059" t="s">
        <v>1</v>
      </c>
      <c r="E10059" t="s">
        <v>1</v>
      </c>
      <c r="F10059" t="s">
        <v>0</v>
      </c>
      <c r="G10059" t="str">
        <f>"2018-10-14 22:13:47"</f>
        <v>2018-10-14 22:13:47</v>
      </c>
    </row>
    <row r="10060" spans="1:7" x14ac:dyDescent="0.2">
      <c r="A10060" t="s">
        <v>10537</v>
      </c>
      <c r="B10060" t="str">
        <f>"18759625622"</f>
        <v>18759625622</v>
      </c>
      <c r="C10060" t="str">
        <f>"350521198301114016"</f>
        <v>350521198301114016</v>
      </c>
      <c r="D10060" t="s">
        <v>1</v>
      </c>
      <c r="E10060" t="s">
        <v>1</v>
      </c>
      <c r="F10060" t="s">
        <v>0</v>
      </c>
      <c r="G10060" t="str">
        <f>"2018-10-14 22:14:16"</f>
        <v>2018-10-14 22:14:16</v>
      </c>
    </row>
    <row r="10061" spans="1:7" x14ac:dyDescent="0.2">
      <c r="A10061" t="s">
        <v>10538</v>
      </c>
      <c r="B10061" t="str">
        <f>"13809227117"</f>
        <v>13809227117</v>
      </c>
      <c r="C10061" t="str">
        <f>"440682199009123235"</f>
        <v>440682199009123235</v>
      </c>
      <c r="D10061" t="s">
        <v>1</v>
      </c>
      <c r="E10061" t="s">
        <v>1</v>
      </c>
      <c r="F10061" t="s">
        <v>0</v>
      </c>
      <c r="G10061" t="str">
        <f>"2018-10-15 01:10:33"</f>
        <v>2018-10-15 01:10:33</v>
      </c>
    </row>
    <row r="10062" spans="1:7" x14ac:dyDescent="0.2">
      <c r="A10062" t="s">
        <v>10539</v>
      </c>
      <c r="B10062" t="str">
        <f>"18389886520"</f>
        <v>18389886520</v>
      </c>
      <c r="C10062" t="str">
        <f>"460004199701134813"</f>
        <v>460004199701134813</v>
      </c>
      <c r="D10062" t="s">
        <v>1</v>
      </c>
      <c r="E10062" t="s">
        <v>1</v>
      </c>
      <c r="F10062" t="s">
        <v>0</v>
      </c>
      <c r="G10062" t="str">
        <f>"2018-10-14 22:14:05"</f>
        <v>2018-10-14 22:14:05</v>
      </c>
    </row>
    <row r="10063" spans="1:7" x14ac:dyDescent="0.2">
      <c r="A10063" t="s">
        <v>1</v>
      </c>
      <c r="B10063" t="str">
        <f>"13690887440"</f>
        <v>13690887440</v>
      </c>
      <c r="C10063" t="s">
        <v>1</v>
      </c>
      <c r="D10063" t="s">
        <v>1</v>
      </c>
      <c r="E10063" t="s">
        <v>1</v>
      </c>
      <c r="F10063" t="s">
        <v>0</v>
      </c>
      <c r="G10063" t="str">
        <f>"2018-10-14 22:10:20"</f>
        <v>2018-10-14 22:10:20</v>
      </c>
    </row>
    <row r="10064" spans="1:7" x14ac:dyDescent="0.2">
      <c r="A10064" t="s">
        <v>10540</v>
      </c>
      <c r="B10064" t="str">
        <f>"18868698668"</f>
        <v>18868698668</v>
      </c>
      <c r="C10064" t="str">
        <f>"330226198406277032"</f>
        <v>330226198406277032</v>
      </c>
      <c r="D10064" t="s">
        <v>1</v>
      </c>
      <c r="E10064" t="s">
        <v>1</v>
      </c>
      <c r="F10064" t="s">
        <v>0</v>
      </c>
      <c r="G10064" t="str">
        <f>"2018-10-14 22:11:35"</f>
        <v>2018-10-14 22:11:35</v>
      </c>
    </row>
    <row r="10065" spans="1:7" x14ac:dyDescent="0.2">
      <c r="A10065" t="s">
        <v>10541</v>
      </c>
      <c r="B10065" t="str">
        <f>"13323242322"</f>
        <v>13323242322</v>
      </c>
      <c r="C10065" t="str">
        <f>"130628198803104212"</f>
        <v>130628198803104212</v>
      </c>
      <c r="D10065" t="s">
        <v>1</v>
      </c>
      <c r="E10065" t="s">
        <v>1</v>
      </c>
      <c r="F10065" t="s">
        <v>0</v>
      </c>
      <c r="G10065" t="str">
        <f>"2018-10-26 13:04:24"</f>
        <v>2018-10-26 13:04:24</v>
      </c>
    </row>
    <row r="10066" spans="1:7" x14ac:dyDescent="0.2">
      <c r="A10066" t="s">
        <v>10542</v>
      </c>
      <c r="B10066" t="str">
        <f>"13738096839"</f>
        <v>13738096839</v>
      </c>
      <c r="C10066" t="str">
        <f>"330824199010280037"</f>
        <v>330824199010280037</v>
      </c>
      <c r="D10066" t="s">
        <v>1</v>
      </c>
      <c r="E10066" t="s">
        <v>1</v>
      </c>
      <c r="F10066" t="s">
        <v>0</v>
      </c>
      <c r="G10066" t="str">
        <f>"2018-10-14 22:52:42"</f>
        <v>2018-10-14 22:52:42</v>
      </c>
    </row>
    <row r="10067" spans="1:7" x14ac:dyDescent="0.2">
      <c r="A10067" t="s">
        <v>1</v>
      </c>
      <c r="B10067" t="str">
        <f>"18234006541"</f>
        <v>18234006541</v>
      </c>
      <c r="C10067" t="s">
        <v>1</v>
      </c>
      <c r="D10067" t="s">
        <v>1</v>
      </c>
      <c r="E10067" t="s">
        <v>1</v>
      </c>
      <c r="F10067" t="s">
        <v>0</v>
      </c>
      <c r="G10067" t="str">
        <f>"2018-10-14 22:09:35"</f>
        <v>2018-10-14 22:09:35</v>
      </c>
    </row>
    <row r="10068" spans="1:7" x14ac:dyDescent="0.2">
      <c r="A10068" t="s">
        <v>1</v>
      </c>
      <c r="B10068" t="str">
        <f>"13826676262"</f>
        <v>13826676262</v>
      </c>
      <c r="C10068" t="s">
        <v>1</v>
      </c>
      <c r="D10068" t="s">
        <v>1</v>
      </c>
      <c r="E10068" t="s">
        <v>1</v>
      </c>
      <c r="F10068" t="s">
        <v>0</v>
      </c>
      <c r="G10068" t="str">
        <f>"2018-10-14 22:06:53"</f>
        <v>2018-10-14 22:06:53</v>
      </c>
    </row>
    <row r="10069" spans="1:7" x14ac:dyDescent="0.2">
      <c r="A10069" t="s">
        <v>10543</v>
      </c>
      <c r="B10069" t="str">
        <f>"13772275912"</f>
        <v>13772275912</v>
      </c>
      <c r="C10069" t="str">
        <f>"610621198509111059"</f>
        <v>610621198509111059</v>
      </c>
      <c r="D10069" t="s">
        <v>1</v>
      </c>
      <c r="E10069" t="s">
        <v>1</v>
      </c>
      <c r="F10069" t="s">
        <v>0</v>
      </c>
      <c r="G10069" t="str">
        <f>"2018-10-14 22:06:42"</f>
        <v>2018-10-14 22:06:42</v>
      </c>
    </row>
    <row r="10070" spans="1:7" x14ac:dyDescent="0.2">
      <c r="A10070" t="s">
        <v>10544</v>
      </c>
      <c r="B10070" t="str">
        <f>"18187075045"</f>
        <v>18187075045</v>
      </c>
      <c r="C10070" t="str">
        <f>"533521199011161528"</f>
        <v>533521199011161528</v>
      </c>
      <c r="D10070" t="s">
        <v>1</v>
      </c>
      <c r="E10070" t="s">
        <v>1</v>
      </c>
      <c r="F10070" t="s">
        <v>0</v>
      </c>
      <c r="G10070" t="str">
        <f>"2018-10-14 22:13:18"</f>
        <v>2018-10-14 22:13:18</v>
      </c>
    </row>
    <row r="10071" spans="1:7" x14ac:dyDescent="0.2">
      <c r="A10071" t="s">
        <v>1</v>
      </c>
      <c r="B10071" t="str">
        <f>"13099765280"</f>
        <v>13099765280</v>
      </c>
      <c r="C10071" t="s">
        <v>1</v>
      </c>
      <c r="D10071" t="s">
        <v>1</v>
      </c>
      <c r="E10071" t="s">
        <v>1</v>
      </c>
      <c r="F10071" t="s">
        <v>0</v>
      </c>
      <c r="G10071" t="str">
        <f>"2018-10-14 22:01:41"</f>
        <v>2018-10-14 22:01:41</v>
      </c>
    </row>
    <row r="10072" spans="1:7" x14ac:dyDescent="0.2">
      <c r="A10072" t="s">
        <v>32</v>
      </c>
      <c r="B10072" t="str">
        <f>"18821633672"</f>
        <v>18821633672</v>
      </c>
      <c r="C10072" t="str">
        <f>"612429199412140191"</f>
        <v>612429199412140191</v>
      </c>
      <c r="D10072" t="s">
        <v>1</v>
      </c>
      <c r="E10072" t="s">
        <v>1</v>
      </c>
      <c r="F10072" t="s">
        <v>0</v>
      </c>
      <c r="G10072" t="str">
        <f>"2018-10-14 22:06:29"</f>
        <v>2018-10-14 22:06:29</v>
      </c>
    </row>
    <row r="10073" spans="1:7" x14ac:dyDescent="0.2">
      <c r="A10073" t="s">
        <v>10545</v>
      </c>
      <c r="B10073" t="str">
        <f>"18826721609"</f>
        <v>18826721609</v>
      </c>
      <c r="C10073" t="str">
        <f>"441701199509250095"</f>
        <v>441701199509250095</v>
      </c>
      <c r="D10073" t="s">
        <v>10546</v>
      </c>
      <c r="E10073" t="s">
        <v>10547</v>
      </c>
      <c r="F10073" t="s">
        <v>0</v>
      </c>
      <c r="G10073" t="str">
        <f>"2018-10-14 22:00:50"</f>
        <v>2018-10-14 22:00:50</v>
      </c>
    </row>
    <row r="10074" spans="1:7" x14ac:dyDescent="0.2">
      <c r="A10074" t="s">
        <v>10548</v>
      </c>
      <c r="B10074" t="str">
        <f>"15967401014"</f>
        <v>15967401014</v>
      </c>
      <c r="C10074" t="str">
        <f>"522401198909052936"</f>
        <v>522401198909052936</v>
      </c>
      <c r="D10074" t="s">
        <v>1</v>
      </c>
      <c r="E10074" t="s">
        <v>1</v>
      </c>
      <c r="F10074" t="s">
        <v>0</v>
      </c>
      <c r="G10074" t="str">
        <f>"2018-10-14 21:59:59"</f>
        <v>2018-10-14 21:59:59</v>
      </c>
    </row>
    <row r="10075" spans="1:7" x14ac:dyDescent="0.2">
      <c r="A10075" t="s">
        <v>10549</v>
      </c>
      <c r="B10075" t="str">
        <f>"15543350421"</f>
        <v>15543350421</v>
      </c>
      <c r="C10075" t="str">
        <f>"220724199810052015"</f>
        <v>220724199810052015</v>
      </c>
      <c r="D10075" t="s">
        <v>1</v>
      </c>
      <c r="E10075" t="s">
        <v>1</v>
      </c>
      <c r="F10075" t="s">
        <v>0</v>
      </c>
      <c r="G10075" t="str">
        <f>"2018-10-14 22:01:02"</f>
        <v>2018-10-14 22:01:02</v>
      </c>
    </row>
    <row r="10076" spans="1:7" x14ac:dyDescent="0.2">
      <c r="A10076" t="s">
        <v>10550</v>
      </c>
      <c r="B10076" t="str">
        <f>"13712808377"</f>
        <v>13712808377</v>
      </c>
      <c r="C10076" t="str">
        <f>"430726198709290024"</f>
        <v>430726198709290024</v>
      </c>
      <c r="D10076" t="s">
        <v>1</v>
      </c>
      <c r="E10076" t="s">
        <v>1</v>
      </c>
      <c r="F10076" t="s">
        <v>0</v>
      </c>
      <c r="G10076" t="str">
        <f>"2018-10-14 22:06:13"</f>
        <v>2018-10-14 22:06:13</v>
      </c>
    </row>
    <row r="10077" spans="1:7" x14ac:dyDescent="0.2">
      <c r="A10077" t="s">
        <v>10551</v>
      </c>
      <c r="B10077" t="str">
        <f>"15852822666"</f>
        <v>15852822666</v>
      </c>
      <c r="C10077" t="str">
        <f>"320204197907060312"</f>
        <v>320204197907060312</v>
      </c>
      <c r="D10077" t="s">
        <v>10552</v>
      </c>
      <c r="E10077" t="s">
        <v>10553</v>
      </c>
      <c r="F10077" t="s">
        <v>0</v>
      </c>
      <c r="G10077" t="str">
        <f>"2018-10-24 06:01:26"</f>
        <v>2018-10-24 06:01:26</v>
      </c>
    </row>
    <row r="10078" spans="1:7" x14ac:dyDescent="0.2">
      <c r="A10078" t="s">
        <v>1743</v>
      </c>
      <c r="B10078" t="str">
        <f>"18783039011"</f>
        <v>18783039011</v>
      </c>
      <c r="C10078" t="str">
        <f>"510502198702170714"</f>
        <v>510502198702170714</v>
      </c>
      <c r="D10078" t="s">
        <v>1</v>
      </c>
      <c r="E10078" t="s">
        <v>1</v>
      </c>
      <c r="F10078" t="s">
        <v>0</v>
      </c>
      <c r="G10078" t="str">
        <f>"2018-10-14 22:02:18"</f>
        <v>2018-10-14 22:02:18</v>
      </c>
    </row>
    <row r="10079" spans="1:7" x14ac:dyDescent="0.2">
      <c r="A10079" t="s">
        <v>1</v>
      </c>
      <c r="B10079" t="str">
        <f>"13087918451"</f>
        <v>13087918451</v>
      </c>
      <c r="C10079" t="s">
        <v>1</v>
      </c>
      <c r="D10079" t="s">
        <v>1</v>
      </c>
      <c r="E10079" t="s">
        <v>1</v>
      </c>
      <c r="F10079" t="s">
        <v>0</v>
      </c>
      <c r="G10079" t="str">
        <f>"2018-10-14 21:57:32"</f>
        <v>2018-10-14 21:57:32</v>
      </c>
    </row>
    <row r="10080" spans="1:7" x14ac:dyDescent="0.2">
      <c r="A10080" t="s">
        <v>10554</v>
      </c>
      <c r="B10080" t="str">
        <f>"18140384282"</f>
        <v>18140384282</v>
      </c>
      <c r="C10080" t="str">
        <f>"51340119921112281X"</f>
        <v>51340119921112281X</v>
      </c>
      <c r="D10080" t="s">
        <v>1</v>
      </c>
      <c r="E10080" t="s">
        <v>1</v>
      </c>
      <c r="F10080" t="s">
        <v>0</v>
      </c>
      <c r="G10080" t="str">
        <f>"2018-10-14 21:59:48"</f>
        <v>2018-10-14 21:59:48</v>
      </c>
    </row>
    <row r="10081" spans="1:7" x14ac:dyDescent="0.2">
      <c r="A10081" t="s">
        <v>1</v>
      </c>
      <c r="B10081" t="str">
        <f>"13558716386"</f>
        <v>13558716386</v>
      </c>
      <c r="C10081" t="s">
        <v>1</v>
      </c>
      <c r="D10081" t="s">
        <v>1</v>
      </c>
      <c r="E10081" t="s">
        <v>1</v>
      </c>
      <c r="F10081" t="s">
        <v>0</v>
      </c>
      <c r="G10081" t="str">
        <f>"2018-10-14 21:59:26"</f>
        <v>2018-10-14 21:59:26</v>
      </c>
    </row>
    <row r="10082" spans="1:7" x14ac:dyDescent="0.2">
      <c r="A10082" t="s">
        <v>10555</v>
      </c>
      <c r="B10082" t="str">
        <f>"15141370201"</f>
        <v>15141370201</v>
      </c>
      <c r="C10082" t="str">
        <f>"210402198704050517"</f>
        <v>210402198704050517</v>
      </c>
      <c r="D10082" t="s">
        <v>1</v>
      </c>
      <c r="E10082" t="s">
        <v>1</v>
      </c>
      <c r="F10082" t="s">
        <v>0</v>
      </c>
      <c r="G10082" t="str">
        <f>"2018-10-15 09:52:32"</f>
        <v>2018-10-15 09:52:32</v>
      </c>
    </row>
    <row r="10083" spans="1:7" x14ac:dyDescent="0.2">
      <c r="A10083" t="s">
        <v>10556</v>
      </c>
      <c r="B10083" t="str">
        <f>"17777938389"</f>
        <v>17777938389</v>
      </c>
      <c r="C10083" t="str">
        <f>"452730198706125023"</f>
        <v>452730198706125023</v>
      </c>
      <c r="D10083" t="s">
        <v>1</v>
      </c>
      <c r="E10083" t="s">
        <v>1</v>
      </c>
      <c r="F10083" t="s">
        <v>0</v>
      </c>
      <c r="G10083" t="str">
        <f>"2018-10-14 21:50:03"</f>
        <v>2018-10-14 21:50:03</v>
      </c>
    </row>
    <row r="10084" spans="1:7" x14ac:dyDescent="0.2">
      <c r="A10084" t="s">
        <v>815</v>
      </c>
      <c r="B10084" t="str">
        <f>"18636795060"</f>
        <v>18636795060</v>
      </c>
      <c r="C10084" t="str">
        <f>"14262119910322003X"</f>
        <v>14262119910322003X</v>
      </c>
      <c r="D10084" t="s">
        <v>10557</v>
      </c>
      <c r="E10084" t="s">
        <v>10558</v>
      </c>
      <c r="F10084" t="s">
        <v>0</v>
      </c>
      <c r="G10084" t="str">
        <f>"2018-10-14 22:00:44"</f>
        <v>2018-10-14 22:00:44</v>
      </c>
    </row>
    <row r="10085" spans="1:7" x14ac:dyDescent="0.2">
      <c r="A10085" t="s">
        <v>10559</v>
      </c>
      <c r="B10085" t="str">
        <f>"13960676756"</f>
        <v>13960676756</v>
      </c>
      <c r="C10085" t="str">
        <f>"350784199504133314"</f>
        <v>350784199504133314</v>
      </c>
      <c r="D10085" t="s">
        <v>1</v>
      </c>
      <c r="E10085" t="s">
        <v>1</v>
      </c>
      <c r="F10085" t="s">
        <v>0</v>
      </c>
      <c r="G10085" t="str">
        <f>"2018-10-14 21:52:56"</f>
        <v>2018-10-14 21:52:56</v>
      </c>
    </row>
    <row r="10086" spans="1:7" x14ac:dyDescent="0.2">
      <c r="A10086" t="s">
        <v>1</v>
      </c>
      <c r="B10086" t="str">
        <f>"18209842873"</f>
        <v>18209842873</v>
      </c>
      <c r="C10086" t="s">
        <v>1</v>
      </c>
      <c r="D10086" t="s">
        <v>1</v>
      </c>
      <c r="E10086" t="s">
        <v>1</v>
      </c>
      <c r="F10086" t="s">
        <v>0</v>
      </c>
      <c r="G10086" t="str">
        <f>"2018-10-14 21:46:38"</f>
        <v>2018-10-14 21:46:38</v>
      </c>
    </row>
    <row r="10087" spans="1:7" x14ac:dyDescent="0.2">
      <c r="A10087" t="s">
        <v>10560</v>
      </c>
      <c r="B10087" t="str">
        <f>"18902177750"</f>
        <v>18902177750</v>
      </c>
      <c r="C10087" t="str">
        <f>"120103198207173223"</f>
        <v>120103198207173223</v>
      </c>
      <c r="D10087" t="s">
        <v>1</v>
      </c>
      <c r="E10087" t="s">
        <v>1</v>
      </c>
      <c r="F10087" t="s">
        <v>0</v>
      </c>
      <c r="G10087" t="str">
        <f>"2018-10-23 08:06:06"</f>
        <v>2018-10-23 08:06:06</v>
      </c>
    </row>
    <row r="10088" spans="1:7" x14ac:dyDescent="0.2">
      <c r="A10088" t="s">
        <v>10561</v>
      </c>
      <c r="B10088" t="str">
        <f>"18778952881"</f>
        <v>18778952881</v>
      </c>
      <c r="C10088" t="str">
        <f>"450902199408292710"</f>
        <v>450902199408292710</v>
      </c>
      <c r="D10088" t="s">
        <v>1</v>
      </c>
      <c r="E10088" t="s">
        <v>1</v>
      </c>
      <c r="F10088" t="s">
        <v>0</v>
      </c>
      <c r="G10088" t="str">
        <f>"2018-11-04 15:24:20"</f>
        <v>2018-11-04 15:24:20</v>
      </c>
    </row>
    <row r="10089" spans="1:7" x14ac:dyDescent="0.2">
      <c r="A10089" t="s">
        <v>10562</v>
      </c>
      <c r="B10089" t="str">
        <f>"15244766781"</f>
        <v>15244766781</v>
      </c>
      <c r="C10089" t="str">
        <f>"23900519851210281X"</f>
        <v>23900519851210281X</v>
      </c>
      <c r="D10089" t="s">
        <v>1</v>
      </c>
      <c r="E10089" t="s">
        <v>1</v>
      </c>
      <c r="F10089" t="s">
        <v>0</v>
      </c>
      <c r="G10089" t="str">
        <f>"2018-10-14 21:48:58"</f>
        <v>2018-10-14 21:48:58</v>
      </c>
    </row>
    <row r="10090" spans="1:7" x14ac:dyDescent="0.2">
      <c r="A10090" t="s">
        <v>10563</v>
      </c>
      <c r="B10090" t="str">
        <f>"13428276235"</f>
        <v>13428276235</v>
      </c>
      <c r="C10090" t="str">
        <f>"440781199209134712"</f>
        <v>440781199209134712</v>
      </c>
      <c r="D10090" t="s">
        <v>10564</v>
      </c>
      <c r="E10090" t="s">
        <v>10565</v>
      </c>
      <c r="F10090" t="s">
        <v>0</v>
      </c>
      <c r="G10090" t="str">
        <f>"2018-10-14 22:00:57"</f>
        <v>2018-10-14 22:00:57</v>
      </c>
    </row>
    <row r="10091" spans="1:7" x14ac:dyDescent="0.2">
      <c r="A10091" t="s">
        <v>1</v>
      </c>
      <c r="B10091" t="str">
        <f>"13123870934"</f>
        <v>13123870934</v>
      </c>
      <c r="C10091" t="s">
        <v>1</v>
      </c>
      <c r="D10091" t="s">
        <v>1</v>
      </c>
      <c r="E10091" t="s">
        <v>1</v>
      </c>
      <c r="F10091" t="s">
        <v>0</v>
      </c>
      <c r="G10091" t="str">
        <f>"2018-10-14 21:36:06"</f>
        <v>2018-10-14 21:36:06</v>
      </c>
    </row>
    <row r="10092" spans="1:7" x14ac:dyDescent="0.2">
      <c r="A10092" t="s">
        <v>1</v>
      </c>
      <c r="B10092" t="str">
        <f>"15850915882"</f>
        <v>15850915882</v>
      </c>
      <c r="C10092" t="s">
        <v>1</v>
      </c>
      <c r="D10092" t="s">
        <v>1</v>
      </c>
      <c r="E10092" t="s">
        <v>1</v>
      </c>
      <c r="F10092" t="s">
        <v>0</v>
      </c>
      <c r="G10092" t="str">
        <f>"2018-10-14 21:32:09"</f>
        <v>2018-10-14 21:32:09</v>
      </c>
    </row>
    <row r="10093" spans="1:7" x14ac:dyDescent="0.2">
      <c r="A10093" t="s">
        <v>599</v>
      </c>
      <c r="B10093" t="str">
        <f>"13995116996"</f>
        <v>13995116996</v>
      </c>
      <c r="C10093" t="str">
        <f>"640103197312010917"</f>
        <v>640103197312010917</v>
      </c>
      <c r="D10093" t="s">
        <v>1</v>
      </c>
      <c r="E10093" t="s">
        <v>1</v>
      </c>
      <c r="F10093" t="s">
        <v>0</v>
      </c>
      <c r="G10093" t="str">
        <f>"2018-10-14 21:32:46"</f>
        <v>2018-10-14 21:32:46</v>
      </c>
    </row>
    <row r="10094" spans="1:7" x14ac:dyDescent="0.2">
      <c r="A10094" t="s">
        <v>65</v>
      </c>
      <c r="B10094" t="str">
        <f>"13154822443"</f>
        <v>13154822443</v>
      </c>
      <c r="C10094" t="str">
        <f>"152202198907120014"</f>
        <v>152202198907120014</v>
      </c>
      <c r="D10094" t="s">
        <v>10566</v>
      </c>
      <c r="E10094" t="s">
        <v>10567</v>
      </c>
      <c r="F10094" t="s">
        <v>0</v>
      </c>
      <c r="G10094" t="str">
        <f>"2018-10-14 21:29:24"</f>
        <v>2018-10-14 21:29:24</v>
      </c>
    </row>
    <row r="10095" spans="1:7" x14ac:dyDescent="0.2">
      <c r="A10095" t="s">
        <v>1033</v>
      </c>
      <c r="B10095" t="str">
        <f>"18766009212"</f>
        <v>18766009212</v>
      </c>
      <c r="C10095" t="str">
        <f>"371402199001292624"</f>
        <v>371402199001292624</v>
      </c>
      <c r="D10095" t="s">
        <v>1</v>
      </c>
      <c r="E10095" t="s">
        <v>1</v>
      </c>
      <c r="F10095" t="s">
        <v>0</v>
      </c>
      <c r="G10095" t="str">
        <f>"2018-10-14 21:32:29"</f>
        <v>2018-10-14 21:32:29</v>
      </c>
    </row>
    <row r="10096" spans="1:7" x14ac:dyDescent="0.2">
      <c r="A10096" t="s">
        <v>10568</v>
      </c>
      <c r="B10096" t="str">
        <f>"15846111197"</f>
        <v>15846111197</v>
      </c>
      <c r="C10096" t="str">
        <f>"230125199110063114"</f>
        <v>230125199110063114</v>
      </c>
      <c r="D10096" t="s">
        <v>1</v>
      </c>
      <c r="E10096" t="s">
        <v>1</v>
      </c>
      <c r="F10096" t="s">
        <v>0</v>
      </c>
      <c r="G10096" t="str">
        <f>"2018-10-14 21:28:16"</f>
        <v>2018-10-14 21:28:16</v>
      </c>
    </row>
    <row r="10097" spans="1:7" x14ac:dyDescent="0.2">
      <c r="A10097" t="s">
        <v>10569</v>
      </c>
      <c r="B10097" t="str">
        <f>"15296063070"</f>
        <v>15296063070</v>
      </c>
      <c r="C10097" t="str">
        <f>"452728199909133915"</f>
        <v>452728199909133915</v>
      </c>
      <c r="D10097" t="s">
        <v>10570</v>
      </c>
      <c r="E10097" t="s">
        <v>10571</v>
      </c>
      <c r="F10097" t="s">
        <v>0</v>
      </c>
      <c r="G10097" t="str">
        <f>"2018-10-17 02:11:49"</f>
        <v>2018-10-17 02:11:49</v>
      </c>
    </row>
    <row r="10098" spans="1:7" x14ac:dyDescent="0.2">
      <c r="A10098" t="s">
        <v>10572</v>
      </c>
      <c r="B10098" t="str">
        <f>"15762806662"</f>
        <v>15762806662</v>
      </c>
      <c r="C10098" t="str">
        <f>"370125199612063414"</f>
        <v>370125199612063414</v>
      </c>
      <c r="D10098" t="s">
        <v>10573</v>
      </c>
      <c r="E10098" t="s">
        <v>10574</v>
      </c>
      <c r="F10098" t="s">
        <v>0</v>
      </c>
      <c r="G10098" t="str">
        <f>"2018-10-15 10:08:33"</f>
        <v>2018-10-15 10:08:33</v>
      </c>
    </row>
    <row r="10099" spans="1:7" x14ac:dyDescent="0.2">
      <c r="A10099" t="s">
        <v>10575</v>
      </c>
      <c r="B10099" t="str">
        <f>"13016813717"</f>
        <v>13016813717</v>
      </c>
      <c r="C10099" t="str">
        <f>"321183198910052650"</f>
        <v>321183198910052650</v>
      </c>
      <c r="D10099" t="s">
        <v>10576</v>
      </c>
      <c r="E10099" t="s">
        <v>10577</v>
      </c>
      <c r="F10099" t="s">
        <v>0</v>
      </c>
      <c r="G10099" t="str">
        <f>"2018-10-15 09:14:49"</f>
        <v>2018-10-15 09:14:49</v>
      </c>
    </row>
    <row r="10100" spans="1:7" x14ac:dyDescent="0.2">
      <c r="A10100" t="s">
        <v>10578</v>
      </c>
      <c r="B10100" t="str">
        <f>"18719584385"</f>
        <v>18719584385</v>
      </c>
      <c r="C10100" t="str">
        <f>"622630199205250433"</f>
        <v>622630199205250433</v>
      </c>
      <c r="D10100" t="s">
        <v>10579</v>
      </c>
      <c r="E10100" t="s">
        <v>10580</v>
      </c>
      <c r="F10100" t="s">
        <v>0</v>
      </c>
      <c r="G10100" t="str">
        <f>"2018-10-14 21:29:25"</f>
        <v>2018-10-14 21:29:25</v>
      </c>
    </row>
    <row r="10101" spans="1:7" x14ac:dyDescent="0.2">
      <c r="A10101" t="s">
        <v>10581</v>
      </c>
      <c r="B10101" t="str">
        <f>"18195350507"</f>
        <v>18195350507</v>
      </c>
      <c r="C10101" t="str">
        <f>"640381198605310010"</f>
        <v>640381198605310010</v>
      </c>
      <c r="D10101" t="s">
        <v>1</v>
      </c>
      <c r="E10101" t="s">
        <v>1</v>
      </c>
      <c r="F10101" t="s">
        <v>0</v>
      </c>
      <c r="G10101" t="str">
        <f>"2018-10-14 21:28:43"</f>
        <v>2018-10-14 21:28:43</v>
      </c>
    </row>
    <row r="10102" spans="1:7" x14ac:dyDescent="0.2">
      <c r="A10102" t="s">
        <v>1</v>
      </c>
      <c r="B10102" t="str">
        <f>"18849658586"</f>
        <v>18849658586</v>
      </c>
      <c r="C10102" t="s">
        <v>1</v>
      </c>
      <c r="D10102" t="s">
        <v>1</v>
      </c>
      <c r="E10102" t="s">
        <v>1</v>
      </c>
      <c r="F10102" t="s">
        <v>0</v>
      </c>
      <c r="G10102" t="str">
        <f>"2018-10-14 21:26:16"</f>
        <v>2018-10-14 21:26:16</v>
      </c>
    </row>
    <row r="10103" spans="1:7" x14ac:dyDescent="0.2">
      <c r="A10103" t="s">
        <v>745</v>
      </c>
      <c r="B10103" t="str">
        <f>"18804229392"</f>
        <v>18804229392</v>
      </c>
      <c r="C10103" t="str">
        <f>"230231199607103735"</f>
        <v>230231199607103735</v>
      </c>
      <c r="D10103" t="s">
        <v>1</v>
      </c>
      <c r="E10103" t="s">
        <v>1</v>
      </c>
      <c r="F10103" t="s">
        <v>0</v>
      </c>
      <c r="G10103" t="str">
        <f>"2018-10-14 22:18:18"</f>
        <v>2018-10-14 22:18:18</v>
      </c>
    </row>
    <row r="10104" spans="1:7" x14ac:dyDescent="0.2">
      <c r="A10104" t="s">
        <v>10582</v>
      </c>
      <c r="B10104" t="str">
        <f>"18270676957"</f>
        <v>18270676957</v>
      </c>
      <c r="C10104" t="str">
        <f>"36042819691212491X"</f>
        <v>36042819691212491X</v>
      </c>
      <c r="D10104" t="s">
        <v>10583</v>
      </c>
      <c r="E10104" t="s">
        <v>10584</v>
      </c>
      <c r="F10104" t="s">
        <v>0</v>
      </c>
      <c r="G10104" t="str">
        <f>"2018-10-14 21:27:24"</f>
        <v>2018-10-14 21:27:24</v>
      </c>
    </row>
    <row r="10105" spans="1:7" x14ac:dyDescent="0.2">
      <c r="A10105" t="s">
        <v>10585</v>
      </c>
      <c r="B10105" t="str">
        <f>"15084275767"</f>
        <v>15084275767</v>
      </c>
      <c r="C10105" t="str">
        <f>"210522199504115326"</f>
        <v>210522199504115326</v>
      </c>
      <c r="D10105" t="s">
        <v>1</v>
      </c>
      <c r="E10105" t="s">
        <v>1</v>
      </c>
      <c r="F10105" t="s">
        <v>0</v>
      </c>
      <c r="G10105" t="str">
        <f>"2018-10-14 21:27:59"</f>
        <v>2018-10-14 21:27:59</v>
      </c>
    </row>
    <row r="10106" spans="1:7" x14ac:dyDescent="0.2">
      <c r="A10106" t="s">
        <v>10586</v>
      </c>
      <c r="B10106" t="str">
        <f>"18868811311"</f>
        <v>18868811311</v>
      </c>
      <c r="C10106" t="str">
        <f>"412828199310103339"</f>
        <v>412828199310103339</v>
      </c>
      <c r="D10106" t="s">
        <v>1</v>
      </c>
      <c r="E10106" t="s">
        <v>1</v>
      </c>
      <c r="F10106" t="s">
        <v>0</v>
      </c>
      <c r="G10106" t="str">
        <f>"2018-10-14 21:24:49"</f>
        <v>2018-10-14 21:24:49</v>
      </c>
    </row>
    <row r="10107" spans="1:7" x14ac:dyDescent="0.2">
      <c r="A10107" t="s">
        <v>10587</v>
      </c>
      <c r="B10107" t="str">
        <f>"17673116528"</f>
        <v>17673116528</v>
      </c>
      <c r="C10107" t="str">
        <f>"430381199807144116"</f>
        <v>430381199807144116</v>
      </c>
      <c r="D10107" t="s">
        <v>1</v>
      </c>
      <c r="E10107" t="s">
        <v>1</v>
      </c>
      <c r="F10107" t="s">
        <v>0</v>
      </c>
      <c r="G10107" t="str">
        <f>"2018-10-14 21:26:25"</f>
        <v>2018-10-14 21:26:25</v>
      </c>
    </row>
    <row r="10108" spans="1:7" x14ac:dyDescent="0.2">
      <c r="A10108" t="s">
        <v>1</v>
      </c>
      <c r="B10108" t="str">
        <f>"18230713971"</f>
        <v>18230713971</v>
      </c>
      <c r="C10108" t="s">
        <v>1</v>
      </c>
      <c r="D10108" t="s">
        <v>1</v>
      </c>
      <c r="E10108" t="s">
        <v>1</v>
      </c>
      <c r="F10108" t="s">
        <v>0</v>
      </c>
      <c r="G10108" t="str">
        <f>"2018-10-14 21:24:19"</f>
        <v>2018-10-14 21:24:19</v>
      </c>
    </row>
    <row r="10109" spans="1:7" x14ac:dyDescent="0.2">
      <c r="A10109" t="s">
        <v>10588</v>
      </c>
      <c r="B10109" t="str">
        <f>"18678144265"</f>
        <v>18678144265</v>
      </c>
      <c r="C10109" t="str">
        <f>"370302199612131735"</f>
        <v>370302199612131735</v>
      </c>
      <c r="D10109" t="s">
        <v>1</v>
      </c>
      <c r="E10109" t="s">
        <v>1</v>
      </c>
      <c r="F10109" t="s">
        <v>0</v>
      </c>
      <c r="G10109" t="str">
        <f>"2018-10-14 21:25:34"</f>
        <v>2018-10-14 21:25:34</v>
      </c>
    </row>
    <row r="10110" spans="1:7" x14ac:dyDescent="0.2">
      <c r="A10110" t="s">
        <v>10589</v>
      </c>
      <c r="B10110" t="str">
        <f>"18992389396"</f>
        <v>18992389396</v>
      </c>
      <c r="C10110" t="str">
        <f>"610631199011200641"</f>
        <v>610631199011200641</v>
      </c>
      <c r="D10110" t="s">
        <v>1</v>
      </c>
      <c r="E10110" t="s">
        <v>1</v>
      </c>
      <c r="F10110" t="s">
        <v>0</v>
      </c>
      <c r="G10110" t="str">
        <f>"2018-10-14 21:27:58"</f>
        <v>2018-10-14 21:27:58</v>
      </c>
    </row>
    <row r="10111" spans="1:7" x14ac:dyDescent="0.2">
      <c r="A10111" t="s">
        <v>10590</v>
      </c>
      <c r="B10111" t="str">
        <f>"18469130928"</f>
        <v>18469130928</v>
      </c>
      <c r="C10111" t="str">
        <f>"532724199609183616"</f>
        <v>532724199609183616</v>
      </c>
      <c r="D10111" t="s">
        <v>1</v>
      </c>
      <c r="E10111" t="s">
        <v>1</v>
      </c>
      <c r="F10111" t="s">
        <v>0</v>
      </c>
      <c r="G10111" t="str">
        <f>"2018-10-14 21:23:36"</f>
        <v>2018-10-14 21:23:36</v>
      </c>
    </row>
    <row r="10112" spans="1:7" x14ac:dyDescent="0.2">
      <c r="A10112" t="s">
        <v>10591</v>
      </c>
      <c r="B10112" t="str">
        <f>"13591444026"</f>
        <v>13591444026</v>
      </c>
      <c r="C10112" t="str">
        <f>"210106197906261528"</f>
        <v>210106197906261528</v>
      </c>
      <c r="D10112" t="s">
        <v>1</v>
      </c>
      <c r="E10112" t="s">
        <v>1</v>
      </c>
      <c r="F10112" t="s">
        <v>0</v>
      </c>
      <c r="G10112" t="str">
        <f>"2018-10-14 21:25:01"</f>
        <v>2018-10-14 21:25:01</v>
      </c>
    </row>
    <row r="10113" spans="1:7" x14ac:dyDescent="0.2">
      <c r="A10113" t="s">
        <v>10592</v>
      </c>
      <c r="B10113" t="str">
        <f>"15251811701"</f>
        <v>15251811701</v>
      </c>
      <c r="C10113" t="str">
        <f>"421087198811123314"</f>
        <v>421087198811123314</v>
      </c>
      <c r="D10113" t="s">
        <v>1</v>
      </c>
      <c r="E10113" t="s">
        <v>1</v>
      </c>
      <c r="F10113" t="s">
        <v>0</v>
      </c>
      <c r="G10113" t="str">
        <f>"2018-10-30 22:22:38"</f>
        <v>2018-10-30 22:22:38</v>
      </c>
    </row>
    <row r="10114" spans="1:7" x14ac:dyDescent="0.2">
      <c r="A10114" t="s">
        <v>10593</v>
      </c>
      <c r="B10114" t="str">
        <f>"13424189952"</f>
        <v>13424189952</v>
      </c>
      <c r="C10114" t="str">
        <f>"429004199312015328"</f>
        <v>429004199312015328</v>
      </c>
      <c r="D10114" t="s">
        <v>1</v>
      </c>
      <c r="E10114" t="s">
        <v>1</v>
      </c>
      <c r="F10114" t="s">
        <v>0</v>
      </c>
      <c r="G10114" t="str">
        <f>"2018-10-14 21:21:40"</f>
        <v>2018-10-14 21:21:40</v>
      </c>
    </row>
    <row r="10115" spans="1:7" x14ac:dyDescent="0.2">
      <c r="A10115" t="s">
        <v>1</v>
      </c>
      <c r="B10115" t="str">
        <f>"17772838470"</f>
        <v>17772838470</v>
      </c>
      <c r="C10115" t="s">
        <v>1</v>
      </c>
      <c r="D10115" t="s">
        <v>1</v>
      </c>
      <c r="E10115" t="s">
        <v>1</v>
      </c>
      <c r="F10115" t="s">
        <v>0</v>
      </c>
      <c r="G10115" t="str">
        <f>"2018-10-14 21:36:50"</f>
        <v>2018-10-14 21:36:50</v>
      </c>
    </row>
    <row r="10116" spans="1:7" x14ac:dyDescent="0.2">
      <c r="A10116" t="s">
        <v>1</v>
      </c>
      <c r="B10116" t="str">
        <f>"18818741140"</f>
        <v>18818741140</v>
      </c>
      <c r="C10116" t="s">
        <v>1</v>
      </c>
      <c r="D10116" t="s">
        <v>1</v>
      </c>
      <c r="E10116" t="s">
        <v>1</v>
      </c>
      <c r="F10116" t="s">
        <v>0</v>
      </c>
      <c r="G10116" t="str">
        <f>"2018-10-14 21:19:43"</f>
        <v>2018-10-14 21:19:43</v>
      </c>
    </row>
    <row r="10117" spans="1:7" x14ac:dyDescent="0.2">
      <c r="A10117" t="s">
        <v>10594</v>
      </c>
      <c r="B10117" t="str">
        <f>"13927451304"</f>
        <v>13927451304</v>
      </c>
      <c r="C10117" t="str">
        <f>"362132198202240026"</f>
        <v>362132198202240026</v>
      </c>
      <c r="D10117" t="s">
        <v>10595</v>
      </c>
      <c r="E10117" t="s">
        <v>10596</v>
      </c>
      <c r="F10117" t="s">
        <v>0</v>
      </c>
      <c r="G10117" t="str">
        <f>"2018-10-14 22:32:18"</f>
        <v>2018-10-14 22:32:18</v>
      </c>
    </row>
    <row r="10118" spans="1:7" x14ac:dyDescent="0.2">
      <c r="A10118" t="s">
        <v>10597</v>
      </c>
      <c r="B10118" t="str">
        <f>"17356233262"</f>
        <v>17356233262</v>
      </c>
      <c r="C10118" t="str">
        <f>"340702199004271028"</f>
        <v>340702199004271028</v>
      </c>
      <c r="D10118" t="s">
        <v>1</v>
      </c>
      <c r="E10118" t="s">
        <v>1</v>
      </c>
      <c r="F10118" t="s">
        <v>0</v>
      </c>
      <c r="G10118" t="str">
        <f>"2018-10-14 21:32:30"</f>
        <v>2018-10-14 21:32:30</v>
      </c>
    </row>
    <row r="10119" spans="1:7" x14ac:dyDescent="0.2">
      <c r="A10119" t="s">
        <v>1068</v>
      </c>
      <c r="B10119" t="str">
        <f>"15247750075"</f>
        <v>15247750075</v>
      </c>
      <c r="C10119" t="str">
        <f>"152723199111196623"</f>
        <v>152723199111196623</v>
      </c>
      <c r="D10119" t="s">
        <v>1</v>
      </c>
      <c r="E10119" t="s">
        <v>1</v>
      </c>
      <c r="F10119" t="s">
        <v>0</v>
      </c>
      <c r="G10119" t="str">
        <f>"2018-10-14 21:26:58"</f>
        <v>2018-10-14 21:26:58</v>
      </c>
    </row>
    <row r="10120" spans="1:7" x14ac:dyDescent="0.2">
      <c r="A10120" t="s">
        <v>1</v>
      </c>
      <c r="B10120" t="str">
        <f>"17621964246"</f>
        <v>17621964246</v>
      </c>
      <c r="C10120" t="s">
        <v>1</v>
      </c>
      <c r="D10120" t="s">
        <v>1</v>
      </c>
      <c r="E10120" t="s">
        <v>1</v>
      </c>
      <c r="F10120" t="s">
        <v>0</v>
      </c>
      <c r="G10120" t="str">
        <f>"2018-10-14 21:17:15"</f>
        <v>2018-10-14 21:17:15</v>
      </c>
    </row>
    <row r="10121" spans="1:7" x14ac:dyDescent="0.2">
      <c r="A10121" t="s">
        <v>1</v>
      </c>
      <c r="B10121" t="str">
        <f>"18002938670"</f>
        <v>18002938670</v>
      </c>
      <c r="C10121" t="s">
        <v>1</v>
      </c>
      <c r="D10121" t="s">
        <v>1</v>
      </c>
      <c r="E10121" t="s">
        <v>1</v>
      </c>
      <c r="F10121" t="s">
        <v>0</v>
      </c>
      <c r="G10121" t="str">
        <f>"2018-10-14 21:14:07"</f>
        <v>2018-10-14 21:14:07</v>
      </c>
    </row>
    <row r="10122" spans="1:7" x14ac:dyDescent="0.2">
      <c r="A10122" t="s">
        <v>1</v>
      </c>
      <c r="B10122" t="str">
        <f>"13646188079"</f>
        <v>13646188079</v>
      </c>
      <c r="C10122" t="s">
        <v>1</v>
      </c>
      <c r="D10122" t="s">
        <v>1</v>
      </c>
      <c r="E10122" t="s">
        <v>1</v>
      </c>
      <c r="F10122" t="s">
        <v>0</v>
      </c>
      <c r="G10122" t="str">
        <f>"2018-10-31 07:53:50"</f>
        <v>2018-10-31 07:53:50</v>
      </c>
    </row>
    <row r="10123" spans="1:7" x14ac:dyDescent="0.2">
      <c r="A10123" t="s">
        <v>1</v>
      </c>
      <c r="B10123" t="str">
        <f>"18172573780"</f>
        <v>18172573780</v>
      </c>
      <c r="C10123" t="s">
        <v>1</v>
      </c>
      <c r="D10123" t="s">
        <v>1</v>
      </c>
      <c r="E10123" t="s">
        <v>1</v>
      </c>
      <c r="F10123" t="s">
        <v>0</v>
      </c>
      <c r="G10123" t="str">
        <f>"2018-10-14 21:11:03"</f>
        <v>2018-10-14 21:11:03</v>
      </c>
    </row>
    <row r="10124" spans="1:7" x14ac:dyDescent="0.2">
      <c r="A10124" t="s">
        <v>1748</v>
      </c>
      <c r="B10124" t="str">
        <f>"13888048471"</f>
        <v>13888048471</v>
      </c>
      <c r="C10124" t="str">
        <f>"532122198106130045"</f>
        <v>532122198106130045</v>
      </c>
      <c r="D10124" t="s">
        <v>1</v>
      </c>
      <c r="E10124" t="s">
        <v>1</v>
      </c>
      <c r="F10124" t="s">
        <v>0</v>
      </c>
      <c r="G10124" t="str">
        <f>"2018-10-15 08:00:52"</f>
        <v>2018-10-15 08:00:52</v>
      </c>
    </row>
    <row r="10125" spans="1:7" x14ac:dyDescent="0.2">
      <c r="A10125" t="s">
        <v>10598</v>
      </c>
      <c r="B10125" t="str">
        <f>"15669850106"</f>
        <v>15669850106</v>
      </c>
      <c r="C10125" t="str">
        <f>"522328198910085318"</f>
        <v>522328198910085318</v>
      </c>
      <c r="D10125" t="s">
        <v>10599</v>
      </c>
      <c r="E10125" t="s">
        <v>10600</v>
      </c>
      <c r="F10125" t="s">
        <v>0</v>
      </c>
      <c r="G10125" t="str">
        <f>"2018-10-16 10:50:19"</f>
        <v>2018-10-16 10:50:19</v>
      </c>
    </row>
    <row r="10126" spans="1:7" x14ac:dyDescent="0.2">
      <c r="A10126" t="s">
        <v>10601</v>
      </c>
      <c r="B10126" t="str">
        <f>"18889828934"</f>
        <v>18889828934</v>
      </c>
      <c r="C10126" t="str">
        <f>"460004198301155311"</f>
        <v>460004198301155311</v>
      </c>
      <c r="D10126" t="s">
        <v>1</v>
      </c>
      <c r="E10126" t="s">
        <v>1</v>
      </c>
      <c r="F10126" t="s">
        <v>0</v>
      </c>
      <c r="G10126" t="str">
        <f>"2018-10-14 21:07:09"</f>
        <v>2018-10-14 21:07:09</v>
      </c>
    </row>
    <row r="10127" spans="1:7" x14ac:dyDescent="0.2">
      <c r="A10127" t="s">
        <v>10602</v>
      </c>
      <c r="B10127" t="str">
        <f>"17794187182"</f>
        <v>17794187182</v>
      </c>
      <c r="C10127" t="str">
        <f>"622102198911104313"</f>
        <v>622102198911104313</v>
      </c>
      <c r="D10127" t="s">
        <v>10603</v>
      </c>
      <c r="E10127" t="s">
        <v>10604</v>
      </c>
      <c r="F10127" t="s">
        <v>0</v>
      </c>
      <c r="G10127" t="str">
        <f>"2018-11-03 16:03:30"</f>
        <v>2018-11-03 16:03:30</v>
      </c>
    </row>
    <row r="10128" spans="1:7" x14ac:dyDescent="0.2">
      <c r="A10128" t="s">
        <v>1</v>
      </c>
      <c r="B10128" t="str">
        <f>"13529695196"</f>
        <v>13529695196</v>
      </c>
      <c r="C10128" t="s">
        <v>1</v>
      </c>
      <c r="D10128" t="s">
        <v>1</v>
      </c>
      <c r="E10128" t="s">
        <v>1</v>
      </c>
      <c r="F10128" t="s">
        <v>0</v>
      </c>
      <c r="G10128" t="str">
        <f>"2018-10-15 00:34:17"</f>
        <v>2018-10-15 00:34:17</v>
      </c>
    </row>
    <row r="10129" spans="1:7" x14ac:dyDescent="0.2">
      <c r="A10129" t="s">
        <v>10605</v>
      </c>
      <c r="B10129" t="str">
        <f>"18966490577"</f>
        <v>18966490577</v>
      </c>
      <c r="C10129" t="str">
        <f>"33032719761226001X"</f>
        <v>33032719761226001X</v>
      </c>
      <c r="D10129" t="s">
        <v>1</v>
      </c>
      <c r="E10129" t="s">
        <v>1</v>
      </c>
      <c r="F10129" t="s">
        <v>0</v>
      </c>
      <c r="G10129" t="str">
        <f>"2018-10-14 21:03:45"</f>
        <v>2018-10-14 21:03:45</v>
      </c>
    </row>
    <row r="10130" spans="1:7" x14ac:dyDescent="0.2">
      <c r="A10130" t="s">
        <v>10606</v>
      </c>
      <c r="B10130" t="str">
        <f>"13511603555"</f>
        <v>13511603555</v>
      </c>
      <c r="C10130" t="str">
        <f>"320504198212270023"</f>
        <v>320504198212270023</v>
      </c>
      <c r="D10130" t="s">
        <v>1</v>
      </c>
      <c r="E10130" t="s">
        <v>1</v>
      </c>
      <c r="F10130" t="s">
        <v>0</v>
      </c>
      <c r="G10130" t="str">
        <f>"2018-10-14 21:02:47"</f>
        <v>2018-10-14 21:02:47</v>
      </c>
    </row>
    <row r="10131" spans="1:7" x14ac:dyDescent="0.2">
      <c r="A10131" t="s">
        <v>1</v>
      </c>
      <c r="B10131" t="str">
        <f>"13173752431"</f>
        <v>13173752431</v>
      </c>
      <c r="C10131" t="s">
        <v>1</v>
      </c>
      <c r="D10131" t="s">
        <v>1</v>
      </c>
      <c r="E10131" t="s">
        <v>1</v>
      </c>
      <c r="F10131" t="s">
        <v>0</v>
      </c>
      <c r="G10131" t="str">
        <f>"2018-10-14 21:01:26"</f>
        <v>2018-10-14 21:01:26</v>
      </c>
    </row>
    <row r="10132" spans="1:7" x14ac:dyDescent="0.2">
      <c r="A10132" t="s">
        <v>1</v>
      </c>
      <c r="B10132" t="str">
        <f>"13028972409"</f>
        <v>13028972409</v>
      </c>
      <c r="C10132" t="s">
        <v>1</v>
      </c>
      <c r="D10132" t="s">
        <v>1</v>
      </c>
      <c r="E10132" t="s">
        <v>1</v>
      </c>
      <c r="F10132" t="s">
        <v>0</v>
      </c>
      <c r="G10132" t="str">
        <f>"2018-10-14 21:01:14"</f>
        <v>2018-10-14 21:01:14</v>
      </c>
    </row>
    <row r="10133" spans="1:7" x14ac:dyDescent="0.2">
      <c r="A10133" t="s">
        <v>10607</v>
      </c>
      <c r="B10133" t="str">
        <f>"15293405430"</f>
        <v>15293405430</v>
      </c>
      <c r="C10133" t="str">
        <f>"62280119930420102X"</f>
        <v>62280119930420102X</v>
      </c>
      <c r="D10133" t="s">
        <v>1</v>
      </c>
      <c r="E10133" t="s">
        <v>1</v>
      </c>
      <c r="F10133" t="s">
        <v>0</v>
      </c>
      <c r="G10133" t="str">
        <f>"2018-10-14 21:15:15"</f>
        <v>2018-10-14 21:15:15</v>
      </c>
    </row>
    <row r="10134" spans="1:7" x14ac:dyDescent="0.2">
      <c r="A10134" t="s">
        <v>139</v>
      </c>
      <c r="B10134" t="str">
        <f>"13973010893"</f>
        <v>13973010893</v>
      </c>
      <c r="C10134" t="str">
        <f>"430103197912141014"</f>
        <v>430103197912141014</v>
      </c>
      <c r="D10134" t="s">
        <v>1</v>
      </c>
      <c r="E10134" t="s">
        <v>1</v>
      </c>
      <c r="F10134" t="s">
        <v>0</v>
      </c>
      <c r="G10134" t="str">
        <f>"2018-10-14 21:04:21"</f>
        <v>2018-10-14 21:04:21</v>
      </c>
    </row>
    <row r="10135" spans="1:7" x14ac:dyDescent="0.2">
      <c r="A10135" t="s">
        <v>10608</v>
      </c>
      <c r="B10135" t="str">
        <f>"13388386834"</f>
        <v>13388386834</v>
      </c>
      <c r="C10135" t="str">
        <f>"512529198012270031"</f>
        <v>512529198012270031</v>
      </c>
      <c r="D10135" t="s">
        <v>1</v>
      </c>
      <c r="E10135" t="s">
        <v>1</v>
      </c>
      <c r="F10135" t="s">
        <v>0</v>
      </c>
      <c r="G10135" t="str">
        <f>"2018-10-14 21:39:44"</f>
        <v>2018-10-14 21:39:44</v>
      </c>
    </row>
    <row r="10136" spans="1:7" x14ac:dyDescent="0.2">
      <c r="A10136" t="s">
        <v>1</v>
      </c>
      <c r="B10136" t="str">
        <f>"13724091300"</f>
        <v>13724091300</v>
      </c>
      <c r="C10136" t="s">
        <v>1</v>
      </c>
      <c r="D10136" t="s">
        <v>1</v>
      </c>
      <c r="E10136" t="s">
        <v>1</v>
      </c>
      <c r="F10136" t="s">
        <v>0</v>
      </c>
      <c r="G10136" t="str">
        <f>"2018-10-14 20:57:48"</f>
        <v>2018-10-14 20:57:48</v>
      </c>
    </row>
    <row r="10137" spans="1:7" x14ac:dyDescent="0.2">
      <c r="A10137" t="s">
        <v>10609</v>
      </c>
      <c r="B10137" t="str">
        <f>"18741886051"</f>
        <v>18741886051</v>
      </c>
      <c r="C10137" t="str">
        <f>"210903199701150529"</f>
        <v>210903199701150529</v>
      </c>
      <c r="D10137" t="s">
        <v>1</v>
      </c>
      <c r="E10137" t="s">
        <v>1</v>
      </c>
      <c r="F10137" t="s">
        <v>0</v>
      </c>
      <c r="G10137" t="str">
        <f>"2018-10-14 21:10:23"</f>
        <v>2018-10-14 21:10:23</v>
      </c>
    </row>
    <row r="10138" spans="1:7" x14ac:dyDescent="0.2">
      <c r="A10138" t="s">
        <v>10610</v>
      </c>
      <c r="B10138" t="str">
        <f>"18373982207"</f>
        <v>18373982207</v>
      </c>
      <c r="C10138" t="str">
        <f>"430528199211050548"</f>
        <v>430528199211050548</v>
      </c>
      <c r="D10138" t="s">
        <v>1</v>
      </c>
      <c r="E10138" t="s">
        <v>1</v>
      </c>
      <c r="F10138" t="s">
        <v>0</v>
      </c>
      <c r="G10138" t="str">
        <f>"2018-10-14 20:54:15"</f>
        <v>2018-10-14 20:54:15</v>
      </c>
    </row>
    <row r="10139" spans="1:7" x14ac:dyDescent="0.2">
      <c r="A10139" t="s">
        <v>10611</v>
      </c>
      <c r="B10139" t="str">
        <f>"18960607720"</f>
        <v>18960607720</v>
      </c>
      <c r="C10139" t="str">
        <f>"350427198810202017"</f>
        <v>350427198810202017</v>
      </c>
      <c r="D10139" t="s">
        <v>1</v>
      </c>
      <c r="E10139" t="s">
        <v>1</v>
      </c>
      <c r="F10139" t="s">
        <v>0</v>
      </c>
      <c r="G10139" t="str">
        <f>"2018-10-25 14:33:25"</f>
        <v>2018-10-25 14:33:25</v>
      </c>
    </row>
    <row r="10140" spans="1:7" x14ac:dyDescent="0.2">
      <c r="A10140" t="s">
        <v>1</v>
      </c>
      <c r="B10140" t="str">
        <f>"15917483466"</f>
        <v>15917483466</v>
      </c>
      <c r="C10140" t="s">
        <v>1</v>
      </c>
      <c r="D10140" t="s">
        <v>1</v>
      </c>
      <c r="E10140" t="s">
        <v>1</v>
      </c>
      <c r="F10140" t="s">
        <v>0</v>
      </c>
      <c r="G10140" t="str">
        <f>"2018-10-14 20:52:32"</f>
        <v>2018-10-14 20:52:32</v>
      </c>
    </row>
    <row r="10141" spans="1:7" x14ac:dyDescent="0.2">
      <c r="A10141" t="s">
        <v>10612</v>
      </c>
      <c r="B10141" t="str">
        <f>"15912604875"</f>
        <v>15912604875</v>
      </c>
      <c r="C10141" t="str">
        <f>"532930197902160981"</f>
        <v>532930197902160981</v>
      </c>
      <c r="D10141" t="s">
        <v>1</v>
      </c>
      <c r="E10141" t="s">
        <v>1</v>
      </c>
      <c r="F10141" t="s">
        <v>0</v>
      </c>
      <c r="G10141" t="str">
        <f>"2018-11-05 07:54:13"</f>
        <v>2018-11-05 07:54:13</v>
      </c>
    </row>
    <row r="10142" spans="1:7" x14ac:dyDescent="0.2">
      <c r="A10142" t="s">
        <v>10613</v>
      </c>
      <c r="B10142" t="str">
        <f>"18034924216"</f>
        <v>18034924216</v>
      </c>
      <c r="C10142" t="str">
        <f>"140602198701158517"</f>
        <v>140602198701158517</v>
      </c>
      <c r="D10142" t="s">
        <v>10614</v>
      </c>
      <c r="E10142" t="s">
        <v>10615</v>
      </c>
      <c r="F10142" t="s">
        <v>0</v>
      </c>
      <c r="G10142" t="str">
        <f>"2018-10-20 19:52:15"</f>
        <v>2018-10-20 19:52:15</v>
      </c>
    </row>
    <row r="10143" spans="1:7" x14ac:dyDescent="0.2">
      <c r="A10143" t="s">
        <v>1594</v>
      </c>
      <c r="B10143" t="str">
        <f>"13885144989"</f>
        <v>13885144989</v>
      </c>
      <c r="C10143" t="str">
        <f>"52010219590326422X"</f>
        <v>52010219590326422X</v>
      </c>
      <c r="D10143" t="s">
        <v>1</v>
      </c>
      <c r="E10143" t="s">
        <v>1</v>
      </c>
      <c r="F10143" t="s">
        <v>0</v>
      </c>
      <c r="G10143" t="str">
        <f>"2018-10-14 21:10:15"</f>
        <v>2018-10-14 21:10:15</v>
      </c>
    </row>
    <row r="10144" spans="1:7" x14ac:dyDescent="0.2">
      <c r="A10144" t="s">
        <v>1</v>
      </c>
      <c r="B10144" t="str">
        <f>"18912119329"</f>
        <v>18912119329</v>
      </c>
      <c r="C10144" t="s">
        <v>1</v>
      </c>
      <c r="D10144" t="s">
        <v>1</v>
      </c>
      <c r="E10144" t="s">
        <v>1</v>
      </c>
      <c r="F10144" t="s">
        <v>0</v>
      </c>
      <c r="G10144" t="str">
        <f>"2018-10-14 20:49:09"</f>
        <v>2018-10-14 20:49:09</v>
      </c>
    </row>
    <row r="10145" spans="1:7" x14ac:dyDescent="0.2">
      <c r="A10145" t="s">
        <v>10616</v>
      </c>
      <c r="B10145" t="str">
        <f>"13089988259"</f>
        <v>13089988259</v>
      </c>
      <c r="C10145" t="str">
        <f>"232126199405144016"</f>
        <v>232126199405144016</v>
      </c>
      <c r="D10145" t="s">
        <v>1</v>
      </c>
      <c r="E10145" t="s">
        <v>1</v>
      </c>
      <c r="F10145" t="s">
        <v>0</v>
      </c>
      <c r="G10145" t="str">
        <f>"2018-10-14 20:47:17"</f>
        <v>2018-10-14 20:47:17</v>
      </c>
    </row>
    <row r="10146" spans="1:7" x14ac:dyDescent="0.2">
      <c r="A10146" t="s">
        <v>991</v>
      </c>
      <c r="B10146" t="str">
        <f>"18680541515"</f>
        <v>18680541515</v>
      </c>
      <c r="C10146" t="str">
        <f>"511023198701295713"</f>
        <v>511023198701295713</v>
      </c>
      <c r="D10146" t="s">
        <v>1</v>
      </c>
      <c r="E10146" t="s">
        <v>1</v>
      </c>
      <c r="F10146" t="s">
        <v>0</v>
      </c>
      <c r="G10146" t="str">
        <f>"2018-10-14 20:51:42"</f>
        <v>2018-10-14 20:51:42</v>
      </c>
    </row>
    <row r="10147" spans="1:7" x14ac:dyDescent="0.2">
      <c r="A10147" t="s">
        <v>10617</v>
      </c>
      <c r="B10147" t="str">
        <f>"13927564438"</f>
        <v>13927564438</v>
      </c>
      <c r="C10147" t="str">
        <f>"440982199707134368"</f>
        <v>440982199707134368</v>
      </c>
      <c r="D10147" t="s">
        <v>1</v>
      </c>
      <c r="E10147" t="s">
        <v>1</v>
      </c>
      <c r="F10147" t="s">
        <v>0</v>
      </c>
      <c r="G10147" t="str">
        <f>"2018-10-14 20:52:37"</f>
        <v>2018-10-14 20:52:37</v>
      </c>
    </row>
    <row r="10148" spans="1:7" x14ac:dyDescent="0.2">
      <c r="A10148" t="s">
        <v>1</v>
      </c>
      <c r="B10148" t="str">
        <f>"15553038908"</f>
        <v>15553038908</v>
      </c>
      <c r="C10148" t="s">
        <v>1</v>
      </c>
      <c r="D10148" t="s">
        <v>1</v>
      </c>
      <c r="E10148" t="s">
        <v>1</v>
      </c>
      <c r="F10148" t="s">
        <v>0</v>
      </c>
      <c r="G10148" t="str">
        <f>"2018-10-14 20:50:44"</f>
        <v>2018-10-14 20:50:44</v>
      </c>
    </row>
    <row r="10149" spans="1:7" x14ac:dyDescent="0.2">
      <c r="A10149" t="s">
        <v>10618</v>
      </c>
      <c r="B10149" t="str">
        <f>"18279069019"</f>
        <v>18279069019</v>
      </c>
      <c r="C10149" t="str">
        <f>"360502198802203618"</f>
        <v>360502198802203618</v>
      </c>
      <c r="D10149" t="s">
        <v>1</v>
      </c>
      <c r="E10149" t="s">
        <v>1</v>
      </c>
      <c r="F10149" t="s">
        <v>0</v>
      </c>
      <c r="G10149" t="str">
        <f>"2018-10-14 20:55:38"</f>
        <v>2018-10-14 20:55:38</v>
      </c>
    </row>
    <row r="10150" spans="1:7" x14ac:dyDescent="0.2">
      <c r="A10150" t="s">
        <v>1</v>
      </c>
      <c r="B10150" t="str">
        <f>"13618697998"</f>
        <v>13618697998</v>
      </c>
      <c r="C10150" t="s">
        <v>1</v>
      </c>
      <c r="D10150" t="s">
        <v>1</v>
      </c>
      <c r="E10150" t="s">
        <v>1</v>
      </c>
      <c r="F10150" t="s">
        <v>0</v>
      </c>
      <c r="G10150" t="str">
        <f>"2018-10-14 20:44:14"</f>
        <v>2018-10-14 20:44:14</v>
      </c>
    </row>
    <row r="10151" spans="1:7" x14ac:dyDescent="0.2">
      <c r="A10151" t="s">
        <v>10619</v>
      </c>
      <c r="B10151" t="str">
        <f>"15170962316"</f>
        <v>15170962316</v>
      </c>
      <c r="C10151" t="str">
        <f>"360429198202120020"</f>
        <v>360429198202120020</v>
      </c>
      <c r="D10151" t="s">
        <v>1</v>
      </c>
      <c r="E10151" t="s">
        <v>1</v>
      </c>
      <c r="F10151" t="s">
        <v>0</v>
      </c>
      <c r="G10151" t="str">
        <f>"2018-11-03 13:48:17"</f>
        <v>2018-11-03 13:48:17</v>
      </c>
    </row>
    <row r="10152" spans="1:7" x14ac:dyDescent="0.2">
      <c r="A10152" t="s">
        <v>10620</v>
      </c>
      <c r="B10152" t="str">
        <f>"13773645056"</f>
        <v>13773645056</v>
      </c>
      <c r="C10152" t="str">
        <f>"320602198007181518"</f>
        <v>320602198007181518</v>
      </c>
      <c r="D10152" t="s">
        <v>1</v>
      </c>
      <c r="E10152" t="s">
        <v>1</v>
      </c>
      <c r="F10152" t="s">
        <v>0</v>
      </c>
      <c r="G10152" t="str">
        <f>"2018-10-14 20:43:47"</f>
        <v>2018-10-14 20:43:47</v>
      </c>
    </row>
    <row r="10153" spans="1:7" x14ac:dyDescent="0.2">
      <c r="A10153" t="s">
        <v>10621</v>
      </c>
      <c r="B10153" t="str">
        <f>"15108985130"</f>
        <v>15108985130</v>
      </c>
      <c r="C10153" t="str">
        <f>"532622199510010522"</f>
        <v>532622199510010522</v>
      </c>
      <c r="D10153" t="s">
        <v>1</v>
      </c>
      <c r="E10153" t="s">
        <v>1</v>
      </c>
      <c r="F10153" t="s">
        <v>0</v>
      </c>
      <c r="G10153" t="str">
        <f>"2018-10-14 20:43:52"</f>
        <v>2018-10-14 20:43:52</v>
      </c>
    </row>
    <row r="10154" spans="1:7" x14ac:dyDescent="0.2">
      <c r="A10154" t="s">
        <v>1192</v>
      </c>
      <c r="B10154" t="str">
        <f>"13953633657"</f>
        <v>13953633657</v>
      </c>
      <c r="C10154" t="str">
        <f>"37078219861016169X"</f>
        <v>37078219861016169X</v>
      </c>
      <c r="D10154" t="s">
        <v>1</v>
      </c>
      <c r="E10154" t="s">
        <v>1</v>
      </c>
      <c r="F10154" t="s">
        <v>0</v>
      </c>
      <c r="G10154" t="str">
        <f>"2018-10-14 20:41:56"</f>
        <v>2018-10-14 20:41:56</v>
      </c>
    </row>
    <row r="10155" spans="1:7" x14ac:dyDescent="0.2">
      <c r="A10155" t="s">
        <v>10622</v>
      </c>
      <c r="B10155" t="str">
        <f>"13876972555"</f>
        <v>13876972555</v>
      </c>
      <c r="C10155" t="str">
        <f>"460025199309050318"</f>
        <v>460025199309050318</v>
      </c>
      <c r="D10155" t="s">
        <v>1</v>
      </c>
      <c r="E10155" t="s">
        <v>1</v>
      </c>
      <c r="F10155" t="s">
        <v>0</v>
      </c>
      <c r="G10155" t="str">
        <f>"2018-10-14 20:41:10"</f>
        <v>2018-10-14 20:41:10</v>
      </c>
    </row>
    <row r="10156" spans="1:7" x14ac:dyDescent="0.2">
      <c r="A10156" t="s">
        <v>10623</v>
      </c>
      <c r="B10156" t="str">
        <f>"17817090891"</f>
        <v>17817090891</v>
      </c>
      <c r="C10156" t="str">
        <f>"36042819991225411X"</f>
        <v>36042819991225411X</v>
      </c>
      <c r="D10156" t="s">
        <v>1</v>
      </c>
      <c r="E10156" t="s">
        <v>1</v>
      </c>
      <c r="F10156" t="s">
        <v>0</v>
      </c>
      <c r="G10156" t="str">
        <f>"2018-10-14 20:46:02"</f>
        <v>2018-10-14 20:46:02</v>
      </c>
    </row>
    <row r="10157" spans="1:7" x14ac:dyDescent="0.2">
      <c r="A10157" t="s">
        <v>10624</v>
      </c>
      <c r="B10157" t="str">
        <f>"13816870076"</f>
        <v>13816870076</v>
      </c>
      <c r="C10157" t="str">
        <f>"310225198904040417"</f>
        <v>310225198904040417</v>
      </c>
      <c r="D10157" t="s">
        <v>1</v>
      </c>
      <c r="E10157" t="s">
        <v>1</v>
      </c>
      <c r="F10157" t="s">
        <v>0</v>
      </c>
      <c r="G10157" t="str">
        <f>"2018-10-14 20:37:16"</f>
        <v>2018-10-14 20:37:16</v>
      </c>
    </row>
    <row r="10158" spans="1:7" x14ac:dyDescent="0.2">
      <c r="A10158" t="s">
        <v>10625</v>
      </c>
      <c r="B10158" t="str">
        <f>"18708530130"</f>
        <v>18708530130</v>
      </c>
      <c r="C10158" t="str">
        <f>"450802199401150546"</f>
        <v>450802199401150546</v>
      </c>
      <c r="D10158" t="s">
        <v>10626</v>
      </c>
      <c r="E10158" t="s">
        <v>10627</v>
      </c>
      <c r="F10158" t="s">
        <v>0</v>
      </c>
      <c r="G10158" t="str">
        <f>"2018-10-14 20:35:48"</f>
        <v>2018-10-14 20:35:48</v>
      </c>
    </row>
    <row r="10159" spans="1:7" x14ac:dyDescent="0.2">
      <c r="A10159" t="s">
        <v>879</v>
      </c>
      <c r="B10159" t="str">
        <f>"17733602004"</f>
        <v>17733602004</v>
      </c>
      <c r="C10159" t="str">
        <f>"131002198901220879"</f>
        <v>131002198901220879</v>
      </c>
      <c r="D10159" t="s">
        <v>1</v>
      </c>
      <c r="E10159" t="s">
        <v>1</v>
      </c>
      <c r="F10159" t="s">
        <v>0</v>
      </c>
      <c r="G10159" t="str">
        <f>"2018-10-14 20:36:54"</f>
        <v>2018-10-14 20:36:54</v>
      </c>
    </row>
    <row r="10160" spans="1:7" x14ac:dyDescent="0.2">
      <c r="A10160" t="s">
        <v>10628</v>
      </c>
      <c r="B10160" t="str">
        <f>"15542521077"</f>
        <v>15542521077</v>
      </c>
      <c r="C10160" t="str">
        <f>"130924199008114214"</f>
        <v>130924199008114214</v>
      </c>
      <c r="D10160" t="s">
        <v>10629</v>
      </c>
      <c r="E10160" t="s">
        <v>10630</v>
      </c>
      <c r="F10160" t="s">
        <v>0</v>
      </c>
      <c r="G10160" t="str">
        <f>"2018-10-14 20:33:16"</f>
        <v>2018-10-14 20:33:16</v>
      </c>
    </row>
    <row r="10161" spans="1:7" x14ac:dyDescent="0.2">
      <c r="A10161" t="s">
        <v>10631</v>
      </c>
      <c r="B10161" t="str">
        <f>"18733696005"</f>
        <v>18733696005</v>
      </c>
      <c r="C10161" t="str">
        <f>"131002198911012854"</f>
        <v>131002198911012854</v>
      </c>
      <c r="D10161" t="s">
        <v>1</v>
      </c>
      <c r="E10161" t="s">
        <v>1</v>
      </c>
      <c r="F10161" t="s">
        <v>0</v>
      </c>
      <c r="G10161" t="str">
        <f>"2018-10-14 20:31:18"</f>
        <v>2018-10-14 20:31:18</v>
      </c>
    </row>
    <row r="10162" spans="1:7" x14ac:dyDescent="0.2">
      <c r="A10162" t="s">
        <v>1</v>
      </c>
      <c r="B10162" t="str">
        <f>"17797111094"</f>
        <v>17797111094</v>
      </c>
      <c r="C10162" t="s">
        <v>1</v>
      </c>
      <c r="D10162" t="s">
        <v>1</v>
      </c>
      <c r="E10162" t="s">
        <v>1</v>
      </c>
      <c r="F10162" t="s">
        <v>0</v>
      </c>
      <c r="G10162" t="str">
        <f>"2018-10-14 20:31:05"</f>
        <v>2018-10-14 20:31:05</v>
      </c>
    </row>
    <row r="10163" spans="1:7" x14ac:dyDescent="0.2">
      <c r="A10163" t="s">
        <v>522</v>
      </c>
      <c r="B10163" t="str">
        <f>"18796406700"</f>
        <v>18796406700</v>
      </c>
      <c r="C10163" t="str">
        <f>"321283198402252432"</f>
        <v>321283198402252432</v>
      </c>
      <c r="D10163" t="s">
        <v>1</v>
      </c>
      <c r="E10163" t="s">
        <v>1</v>
      </c>
      <c r="F10163" t="s">
        <v>0</v>
      </c>
      <c r="G10163" t="str">
        <f>"2018-10-14 20:31:47"</f>
        <v>2018-10-14 20:31:47</v>
      </c>
    </row>
    <row r="10164" spans="1:7" x14ac:dyDescent="0.2">
      <c r="A10164" t="s">
        <v>1</v>
      </c>
      <c r="B10164" t="str">
        <f>"18131651610"</f>
        <v>18131651610</v>
      </c>
      <c r="C10164" t="s">
        <v>1</v>
      </c>
      <c r="D10164" t="s">
        <v>1</v>
      </c>
      <c r="E10164" t="s">
        <v>1</v>
      </c>
      <c r="F10164" t="s">
        <v>0</v>
      </c>
      <c r="G10164" t="str">
        <f>"2018-10-14 20:30:18"</f>
        <v>2018-10-14 20:30:18</v>
      </c>
    </row>
    <row r="10165" spans="1:7" x14ac:dyDescent="0.2">
      <c r="A10165" t="s">
        <v>10632</v>
      </c>
      <c r="B10165" t="str">
        <f>"17686490807"</f>
        <v>17686490807</v>
      </c>
      <c r="C10165" t="str">
        <f>"23030219940807471X"</f>
        <v>23030219940807471X</v>
      </c>
      <c r="D10165" t="s">
        <v>1</v>
      </c>
      <c r="E10165" t="s">
        <v>1</v>
      </c>
      <c r="F10165" t="s">
        <v>0</v>
      </c>
      <c r="G10165" t="str">
        <f>"2018-10-14 20:29:12"</f>
        <v>2018-10-14 20:29:12</v>
      </c>
    </row>
    <row r="10166" spans="1:7" x14ac:dyDescent="0.2">
      <c r="A10166" t="s">
        <v>10633</v>
      </c>
      <c r="B10166" t="str">
        <f>"15977938927"</f>
        <v>15977938927</v>
      </c>
      <c r="C10166" t="str">
        <f>"452323198302254915"</f>
        <v>452323198302254915</v>
      </c>
      <c r="D10166" t="s">
        <v>1</v>
      </c>
      <c r="E10166" t="s">
        <v>1</v>
      </c>
      <c r="F10166" t="s">
        <v>0</v>
      </c>
      <c r="G10166" t="str">
        <f>"2018-10-14 20:28:17"</f>
        <v>2018-10-14 20:28:17</v>
      </c>
    </row>
    <row r="10167" spans="1:7" x14ac:dyDescent="0.2">
      <c r="A10167" t="s">
        <v>10634</v>
      </c>
      <c r="B10167" t="str">
        <f>"17530197242"</f>
        <v>17530197242</v>
      </c>
      <c r="C10167" t="str">
        <f>"410822199504035522"</f>
        <v>410822199504035522</v>
      </c>
      <c r="D10167" t="s">
        <v>1</v>
      </c>
      <c r="E10167" t="s">
        <v>1</v>
      </c>
      <c r="F10167" t="s">
        <v>0</v>
      </c>
      <c r="G10167" t="str">
        <f>"2018-10-16 20:39:32"</f>
        <v>2018-10-16 20:39:32</v>
      </c>
    </row>
    <row r="10168" spans="1:7" x14ac:dyDescent="0.2">
      <c r="A10168" t="s">
        <v>1</v>
      </c>
      <c r="B10168" t="str">
        <f>"15042649702"</f>
        <v>15042649702</v>
      </c>
      <c r="C10168" t="s">
        <v>1</v>
      </c>
      <c r="D10168" t="s">
        <v>1</v>
      </c>
      <c r="E10168" t="s">
        <v>1</v>
      </c>
      <c r="F10168" t="s">
        <v>0</v>
      </c>
      <c r="G10168" t="str">
        <f>"2018-10-14 20:25:00"</f>
        <v>2018-10-14 20:25:00</v>
      </c>
    </row>
    <row r="10169" spans="1:7" x14ac:dyDescent="0.2">
      <c r="A10169" t="s">
        <v>10635</v>
      </c>
      <c r="B10169" t="str">
        <f>"17313109693"</f>
        <v>17313109693</v>
      </c>
      <c r="C10169" t="str">
        <f>"513701199202067413"</f>
        <v>513701199202067413</v>
      </c>
      <c r="D10169" t="s">
        <v>10636</v>
      </c>
      <c r="E10169" t="s">
        <v>10637</v>
      </c>
      <c r="F10169" t="s">
        <v>0</v>
      </c>
      <c r="G10169" t="str">
        <f>"2018-10-17 04:34:15"</f>
        <v>2018-10-17 04:34:15</v>
      </c>
    </row>
    <row r="10170" spans="1:7" x14ac:dyDescent="0.2">
      <c r="A10170" t="s">
        <v>558</v>
      </c>
      <c r="B10170" t="str">
        <f>"13938182677"</f>
        <v>13938182677</v>
      </c>
      <c r="C10170" t="str">
        <f>"410825198302123510"</f>
        <v>410825198302123510</v>
      </c>
      <c r="D10170" t="s">
        <v>1</v>
      </c>
      <c r="E10170" t="s">
        <v>1</v>
      </c>
      <c r="F10170" t="s">
        <v>0</v>
      </c>
      <c r="G10170" t="str">
        <f>"2018-10-14 20:23:39"</f>
        <v>2018-10-14 20:23:39</v>
      </c>
    </row>
    <row r="10171" spans="1:7" x14ac:dyDescent="0.2">
      <c r="A10171" t="s">
        <v>10638</v>
      </c>
      <c r="B10171" t="str">
        <f>"15203074824"</f>
        <v>15203074824</v>
      </c>
      <c r="C10171" t="str">
        <f>"460001199805290723"</f>
        <v>460001199805290723</v>
      </c>
      <c r="D10171" t="s">
        <v>1</v>
      </c>
      <c r="E10171" t="s">
        <v>1</v>
      </c>
      <c r="F10171" t="s">
        <v>0</v>
      </c>
      <c r="G10171" t="str">
        <f>"2018-10-14 20:25:11"</f>
        <v>2018-10-14 20:25:11</v>
      </c>
    </row>
    <row r="10172" spans="1:7" x14ac:dyDescent="0.2">
      <c r="A10172" t="s">
        <v>10639</v>
      </c>
      <c r="B10172" t="str">
        <f>"15810387893"</f>
        <v>15810387893</v>
      </c>
      <c r="C10172" t="str">
        <f>"110105199001317725"</f>
        <v>110105199001317725</v>
      </c>
      <c r="D10172" t="s">
        <v>1</v>
      </c>
      <c r="E10172" t="s">
        <v>1</v>
      </c>
      <c r="F10172" t="s">
        <v>0</v>
      </c>
      <c r="G10172" t="str">
        <f>"2018-10-14 20:21:27"</f>
        <v>2018-10-14 20:21:27</v>
      </c>
    </row>
    <row r="10173" spans="1:7" x14ac:dyDescent="0.2">
      <c r="A10173" t="s">
        <v>1</v>
      </c>
      <c r="B10173" t="str">
        <f>"13787772111"</f>
        <v>13787772111</v>
      </c>
      <c r="C10173" t="s">
        <v>1</v>
      </c>
      <c r="D10173" t="s">
        <v>1</v>
      </c>
      <c r="E10173" t="s">
        <v>1</v>
      </c>
      <c r="F10173" t="s">
        <v>0</v>
      </c>
      <c r="G10173" t="str">
        <f>"2018-10-14 20:16:02"</f>
        <v>2018-10-14 20:16:02</v>
      </c>
    </row>
    <row r="10174" spans="1:7" x14ac:dyDescent="0.2">
      <c r="A10174" t="s">
        <v>10640</v>
      </c>
      <c r="B10174" t="str">
        <f>"18310908579"</f>
        <v>18310908579</v>
      </c>
      <c r="C10174" t="str">
        <f>"132629197710132939"</f>
        <v>132629197710132939</v>
      </c>
      <c r="D10174" t="s">
        <v>1</v>
      </c>
      <c r="E10174" t="s">
        <v>1</v>
      </c>
      <c r="F10174" t="s">
        <v>0</v>
      </c>
      <c r="G10174" t="str">
        <f>"2018-10-14 20:15:37"</f>
        <v>2018-10-14 20:15:37</v>
      </c>
    </row>
    <row r="10175" spans="1:7" x14ac:dyDescent="0.2">
      <c r="A10175" t="s">
        <v>1</v>
      </c>
      <c r="B10175" t="str">
        <f>"15523238936"</f>
        <v>15523238936</v>
      </c>
      <c r="C10175" t="s">
        <v>1</v>
      </c>
      <c r="D10175" t="s">
        <v>1</v>
      </c>
      <c r="E10175" t="s">
        <v>1</v>
      </c>
      <c r="F10175" t="s">
        <v>0</v>
      </c>
      <c r="G10175" t="str">
        <f>"2018-10-14 20:13:39"</f>
        <v>2018-10-14 20:13:39</v>
      </c>
    </row>
    <row r="10176" spans="1:7" x14ac:dyDescent="0.2">
      <c r="A10176" t="s">
        <v>10641</v>
      </c>
      <c r="B10176" t="str">
        <f>"18254056864"</f>
        <v>18254056864</v>
      </c>
      <c r="C10176" t="str">
        <f>"372926199911025428"</f>
        <v>372926199911025428</v>
      </c>
      <c r="D10176" t="s">
        <v>1</v>
      </c>
      <c r="E10176" t="s">
        <v>1</v>
      </c>
      <c r="F10176" t="s">
        <v>0</v>
      </c>
      <c r="G10176" t="str">
        <f>"2018-10-14 20:18:09"</f>
        <v>2018-10-14 20:18:09</v>
      </c>
    </row>
    <row r="10177" spans="1:7" x14ac:dyDescent="0.2">
      <c r="A10177" t="s">
        <v>1</v>
      </c>
      <c r="B10177" t="str">
        <f>"13252027698"</f>
        <v>13252027698</v>
      </c>
      <c r="C10177" t="s">
        <v>1</v>
      </c>
      <c r="D10177" t="s">
        <v>1</v>
      </c>
      <c r="E10177" t="s">
        <v>1</v>
      </c>
      <c r="F10177" t="s">
        <v>0</v>
      </c>
      <c r="G10177" t="str">
        <f>"2018-10-14 20:13:03"</f>
        <v>2018-10-14 20:13:03</v>
      </c>
    </row>
    <row r="10178" spans="1:7" x14ac:dyDescent="0.2">
      <c r="A10178" t="s">
        <v>1</v>
      </c>
      <c r="B10178" t="str">
        <f>"18302010806"</f>
        <v>18302010806</v>
      </c>
      <c r="C10178" t="s">
        <v>1</v>
      </c>
      <c r="D10178" t="s">
        <v>1</v>
      </c>
      <c r="E10178" t="s">
        <v>1</v>
      </c>
      <c r="F10178" t="s">
        <v>0</v>
      </c>
      <c r="G10178" t="str">
        <f>"2018-10-14 20:10:22"</f>
        <v>2018-10-14 20:10:22</v>
      </c>
    </row>
    <row r="10179" spans="1:7" x14ac:dyDescent="0.2">
      <c r="A10179" t="s">
        <v>10642</v>
      </c>
      <c r="B10179" t="str">
        <f>"15878155462"</f>
        <v>15878155462</v>
      </c>
      <c r="C10179" t="str">
        <f>"45213220000121451X"</f>
        <v>45213220000121451X</v>
      </c>
      <c r="D10179" t="s">
        <v>1</v>
      </c>
      <c r="E10179" t="s">
        <v>1</v>
      </c>
      <c r="F10179" t="s">
        <v>0</v>
      </c>
      <c r="G10179" t="str">
        <f>"2018-10-14 20:11:44"</f>
        <v>2018-10-14 20:11:44</v>
      </c>
    </row>
    <row r="10180" spans="1:7" x14ac:dyDescent="0.2">
      <c r="A10180" t="s">
        <v>10643</v>
      </c>
      <c r="B10180" t="str">
        <f>"15872692262"</f>
        <v>15872692262</v>
      </c>
      <c r="C10180" t="str">
        <f>"420323198712170565"</f>
        <v>420323198712170565</v>
      </c>
      <c r="D10180" t="s">
        <v>1</v>
      </c>
      <c r="E10180" t="s">
        <v>1</v>
      </c>
      <c r="F10180" t="s">
        <v>0</v>
      </c>
      <c r="G10180" t="str">
        <f>"2018-10-27 12:44:25"</f>
        <v>2018-10-27 12:44:25</v>
      </c>
    </row>
    <row r="10181" spans="1:7" x14ac:dyDescent="0.2">
      <c r="A10181" t="s">
        <v>10644</v>
      </c>
      <c r="B10181" t="str">
        <f>"17600662851"</f>
        <v>17600662851</v>
      </c>
      <c r="C10181" t="str">
        <f>"142629199504112516"</f>
        <v>142629199504112516</v>
      </c>
      <c r="D10181" t="s">
        <v>1</v>
      </c>
      <c r="E10181" t="s">
        <v>1</v>
      </c>
      <c r="F10181" t="s">
        <v>0</v>
      </c>
      <c r="G10181" t="str">
        <f>"2018-10-14 20:07:05"</f>
        <v>2018-10-14 20:07:05</v>
      </c>
    </row>
    <row r="10182" spans="1:7" x14ac:dyDescent="0.2">
      <c r="A10182" t="s">
        <v>10645</v>
      </c>
      <c r="B10182" t="str">
        <f>"15328882403"</f>
        <v>15328882403</v>
      </c>
      <c r="C10182" t="str">
        <f>"511302199108270012"</f>
        <v>511302199108270012</v>
      </c>
      <c r="D10182" t="s">
        <v>1</v>
      </c>
      <c r="E10182" t="s">
        <v>1</v>
      </c>
      <c r="F10182" t="s">
        <v>0</v>
      </c>
      <c r="G10182" t="str">
        <f>"2018-10-21 14:27:23"</f>
        <v>2018-10-21 14:27:23</v>
      </c>
    </row>
    <row r="10183" spans="1:7" x14ac:dyDescent="0.2">
      <c r="A10183" t="s">
        <v>1</v>
      </c>
      <c r="B10183" t="str">
        <f>"13004260051"</f>
        <v>13004260051</v>
      </c>
      <c r="C10183" t="s">
        <v>1</v>
      </c>
      <c r="D10183" t="s">
        <v>1</v>
      </c>
      <c r="E10183" t="s">
        <v>1</v>
      </c>
      <c r="F10183" t="s">
        <v>0</v>
      </c>
      <c r="G10183" t="str">
        <f>"2018-10-14 20:06:27"</f>
        <v>2018-10-14 20:06:27</v>
      </c>
    </row>
    <row r="10184" spans="1:7" x14ac:dyDescent="0.2">
      <c r="A10184" t="s">
        <v>10646</v>
      </c>
      <c r="B10184" t="str">
        <f>"18223850971"</f>
        <v>18223850971</v>
      </c>
      <c r="C10184" t="str">
        <f>"500234199306075763"</f>
        <v>500234199306075763</v>
      </c>
      <c r="D10184" t="s">
        <v>10647</v>
      </c>
      <c r="E10184" t="s">
        <v>10648</v>
      </c>
      <c r="F10184" t="s">
        <v>0</v>
      </c>
      <c r="G10184" t="str">
        <f>"2018-10-14 20:06:07"</f>
        <v>2018-10-14 20:06:07</v>
      </c>
    </row>
    <row r="10185" spans="1:7" x14ac:dyDescent="0.2">
      <c r="A10185" t="s">
        <v>1</v>
      </c>
      <c r="B10185" t="str">
        <f>"18682196079"</f>
        <v>18682196079</v>
      </c>
      <c r="C10185" t="s">
        <v>1</v>
      </c>
      <c r="D10185" t="s">
        <v>1</v>
      </c>
      <c r="E10185" t="s">
        <v>1</v>
      </c>
      <c r="F10185" t="s">
        <v>0</v>
      </c>
      <c r="G10185" t="str">
        <f>"2018-10-14 20:03:06"</f>
        <v>2018-10-14 20:03:06</v>
      </c>
    </row>
    <row r="10186" spans="1:7" x14ac:dyDescent="0.2">
      <c r="A10186" t="s">
        <v>10649</v>
      </c>
      <c r="B10186" t="str">
        <f>"13708550022"</f>
        <v>13708550022</v>
      </c>
      <c r="C10186" t="str">
        <f>"522632198402050013"</f>
        <v>522632198402050013</v>
      </c>
      <c r="D10186" t="s">
        <v>1</v>
      </c>
      <c r="E10186" t="s">
        <v>1</v>
      </c>
      <c r="F10186" t="s">
        <v>0</v>
      </c>
      <c r="G10186" t="str">
        <f>"2018-10-14 20:04:59"</f>
        <v>2018-10-14 20:04:59</v>
      </c>
    </row>
    <row r="10187" spans="1:7" x14ac:dyDescent="0.2">
      <c r="A10187" t="s">
        <v>1</v>
      </c>
      <c r="B10187" t="str">
        <f>"15204111173"</f>
        <v>15204111173</v>
      </c>
      <c r="C10187" t="s">
        <v>1</v>
      </c>
      <c r="D10187" t="s">
        <v>1</v>
      </c>
      <c r="E10187" t="s">
        <v>1</v>
      </c>
      <c r="F10187" t="s">
        <v>0</v>
      </c>
      <c r="G10187" t="str">
        <f>"2018-10-14 20:02:57"</f>
        <v>2018-10-14 20:02:57</v>
      </c>
    </row>
    <row r="10188" spans="1:7" x14ac:dyDescent="0.2">
      <c r="A10188" t="s">
        <v>1</v>
      </c>
      <c r="B10188" t="str">
        <f>"13809600442"</f>
        <v>13809600442</v>
      </c>
      <c r="C10188" t="s">
        <v>1</v>
      </c>
      <c r="D10188" t="s">
        <v>1</v>
      </c>
      <c r="E10188" t="s">
        <v>1</v>
      </c>
      <c r="F10188" t="s">
        <v>0</v>
      </c>
      <c r="G10188" t="str">
        <f>"2018-10-14 20:00:31"</f>
        <v>2018-10-14 20:00:31</v>
      </c>
    </row>
    <row r="10189" spans="1:7" x14ac:dyDescent="0.2">
      <c r="A10189" t="s">
        <v>10650</v>
      </c>
      <c r="B10189" t="str">
        <f>"15521832488"</f>
        <v>15521832488</v>
      </c>
      <c r="C10189" t="str">
        <f>"362421199508304418"</f>
        <v>362421199508304418</v>
      </c>
      <c r="D10189" t="s">
        <v>1</v>
      </c>
      <c r="E10189" t="s">
        <v>1</v>
      </c>
      <c r="F10189" t="s">
        <v>0</v>
      </c>
      <c r="G10189" t="str">
        <f>"2018-10-14 20:01:30"</f>
        <v>2018-10-14 20:01:30</v>
      </c>
    </row>
    <row r="10190" spans="1:7" x14ac:dyDescent="0.2">
      <c r="A10190" t="s">
        <v>10651</v>
      </c>
      <c r="B10190" t="str">
        <f>"18373944164"</f>
        <v>18373944164</v>
      </c>
      <c r="C10190" t="str">
        <f>"430503197808081025"</f>
        <v>430503197808081025</v>
      </c>
      <c r="D10190" t="s">
        <v>1</v>
      </c>
      <c r="E10190" t="s">
        <v>1</v>
      </c>
      <c r="F10190" t="s">
        <v>0</v>
      </c>
      <c r="G10190" t="str">
        <f>"2018-10-14 19:55:36"</f>
        <v>2018-10-14 19:55:36</v>
      </c>
    </row>
    <row r="10191" spans="1:7" x14ac:dyDescent="0.2">
      <c r="A10191" t="s">
        <v>10652</v>
      </c>
      <c r="B10191" t="str">
        <f>"13230708840"</f>
        <v>13230708840</v>
      </c>
      <c r="C10191" t="str">
        <f>"130923199009202623"</f>
        <v>130923199009202623</v>
      </c>
      <c r="D10191" t="s">
        <v>1</v>
      </c>
      <c r="E10191" t="s">
        <v>1</v>
      </c>
      <c r="F10191" t="s">
        <v>0</v>
      </c>
      <c r="G10191" t="str">
        <f>"2018-10-14 19:55:03"</f>
        <v>2018-10-14 19:55:03</v>
      </c>
    </row>
    <row r="10192" spans="1:7" x14ac:dyDescent="0.2">
      <c r="A10192" t="s">
        <v>1</v>
      </c>
      <c r="B10192" t="str">
        <f>"18960103732"</f>
        <v>18960103732</v>
      </c>
      <c r="C10192" t="s">
        <v>1</v>
      </c>
      <c r="D10192" t="s">
        <v>1</v>
      </c>
      <c r="E10192" t="s">
        <v>1</v>
      </c>
      <c r="F10192" t="s">
        <v>0</v>
      </c>
      <c r="G10192" t="str">
        <f>"2018-10-14 19:52:17"</f>
        <v>2018-10-14 19:52:17</v>
      </c>
    </row>
    <row r="10193" spans="1:7" x14ac:dyDescent="0.2">
      <c r="A10193" t="s">
        <v>10653</v>
      </c>
      <c r="B10193" t="str">
        <f>"13601164676"</f>
        <v>13601164676</v>
      </c>
      <c r="C10193" t="str">
        <f>"342921197702074518"</f>
        <v>342921197702074518</v>
      </c>
      <c r="D10193" t="s">
        <v>1</v>
      </c>
      <c r="E10193" t="s">
        <v>1</v>
      </c>
      <c r="F10193" t="s">
        <v>0</v>
      </c>
      <c r="G10193" t="str">
        <f>"2018-10-14 19:49:25"</f>
        <v>2018-10-14 19:49:25</v>
      </c>
    </row>
    <row r="10194" spans="1:7" x14ac:dyDescent="0.2">
      <c r="A10194" t="s">
        <v>10654</v>
      </c>
      <c r="B10194" t="str">
        <f>"18379946482"</f>
        <v>18379946482</v>
      </c>
      <c r="C10194" t="str">
        <f>"362301199501200033"</f>
        <v>362301199501200033</v>
      </c>
      <c r="D10194" t="s">
        <v>1</v>
      </c>
      <c r="E10194" t="s">
        <v>1</v>
      </c>
      <c r="F10194" t="s">
        <v>0</v>
      </c>
      <c r="G10194" t="str">
        <f>"2018-10-14 19:49:51"</f>
        <v>2018-10-14 19:49:51</v>
      </c>
    </row>
    <row r="10195" spans="1:7" x14ac:dyDescent="0.2">
      <c r="A10195" t="s">
        <v>1</v>
      </c>
      <c r="B10195" t="str">
        <f>"18977073005"</f>
        <v>18977073005</v>
      </c>
      <c r="C10195" t="s">
        <v>1</v>
      </c>
      <c r="D10195" t="s">
        <v>1</v>
      </c>
      <c r="E10195" t="s">
        <v>1</v>
      </c>
      <c r="F10195" t="s">
        <v>0</v>
      </c>
      <c r="G10195" t="str">
        <f>"2018-10-14 19:48:45"</f>
        <v>2018-10-14 19:48:45</v>
      </c>
    </row>
    <row r="10196" spans="1:7" x14ac:dyDescent="0.2">
      <c r="A10196" t="s">
        <v>3137</v>
      </c>
      <c r="B10196" t="str">
        <f>"18672990196"</f>
        <v>18672990196</v>
      </c>
      <c r="C10196" t="str">
        <f>"210881198909124513"</f>
        <v>210881198909124513</v>
      </c>
      <c r="D10196" t="s">
        <v>10655</v>
      </c>
      <c r="E10196" t="s">
        <v>10656</v>
      </c>
      <c r="F10196" t="s">
        <v>0</v>
      </c>
      <c r="G10196" t="str">
        <f>"2018-10-14 19:50:35"</f>
        <v>2018-10-14 19:50:35</v>
      </c>
    </row>
    <row r="10197" spans="1:7" x14ac:dyDescent="0.2">
      <c r="A10197" t="s">
        <v>10657</v>
      </c>
      <c r="B10197" t="str">
        <f>"13504365957"</f>
        <v>13504365957</v>
      </c>
      <c r="C10197" t="str">
        <f>"220882198609085020"</f>
        <v>220882198609085020</v>
      </c>
      <c r="D10197" t="s">
        <v>10658</v>
      </c>
      <c r="E10197" t="s">
        <v>10659</v>
      </c>
      <c r="F10197" t="s">
        <v>0</v>
      </c>
      <c r="G10197" t="str">
        <f>"2018-10-14 19:46:48"</f>
        <v>2018-10-14 19:46:48</v>
      </c>
    </row>
    <row r="10198" spans="1:7" x14ac:dyDescent="0.2">
      <c r="A10198" t="s">
        <v>10660</v>
      </c>
      <c r="B10198" t="str">
        <f>"13128868158"</f>
        <v>13128868158</v>
      </c>
      <c r="C10198" t="str">
        <f>"431128198504023126"</f>
        <v>431128198504023126</v>
      </c>
      <c r="D10198" t="s">
        <v>1</v>
      </c>
      <c r="E10198" t="s">
        <v>1</v>
      </c>
      <c r="F10198" t="s">
        <v>0</v>
      </c>
      <c r="G10198" t="str">
        <f>"2018-10-15 17:06:03"</f>
        <v>2018-10-15 17:06:03</v>
      </c>
    </row>
    <row r="10199" spans="1:7" x14ac:dyDescent="0.2">
      <c r="A10199" t="s">
        <v>1</v>
      </c>
      <c r="B10199" t="str">
        <f>"17521591549"</f>
        <v>17521591549</v>
      </c>
      <c r="C10199" t="s">
        <v>1</v>
      </c>
      <c r="D10199" t="s">
        <v>1</v>
      </c>
      <c r="E10199" t="s">
        <v>1</v>
      </c>
      <c r="F10199" t="s">
        <v>0</v>
      </c>
      <c r="G10199" t="str">
        <f>"2018-10-14 19:42:22"</f>
        <v>2018-10-14 19:42:22</v>
      </c>
    </row>
    <row r="10200" spans="1:7" x14ac:dyDescent="0.2">
      <c r="A10200" t="s">
        <v>1</v>
      </c>
      <c r="B10200" t="str">
        <f>"15037143001"</f>
        <v>15037143001</v>
      </c>
      <c r="C10200" t="s">
        <v>1</v>
      </c>
      <c r="D10200" t="s">
        <v>1</v>
      </c>
      <c r="E10200" t="s">
        <v>1</v>
      </c>
      <c r="F10200" t="s">
        <v>0</v>
      </c>
      <c r="G10200" t="str">
        <f>"2018-10-14 19:42:09"</f>
        <v>2018-10-14 19:42:09</v>
      </c>
    </row>
    <row r="10201" spans="1:7" x14ac:dyDescent="0.2">
      <c r="A10201" t="s">
        <v>1</v>
      </c>
      <c r="B10201" t="str">
        <f>"15954438897"</f>
        <v>15954438897</v>
      </c>
      <c r="C10201" t="s">
        <v>1</v>
      </c>
      <c r="D10201" t="s">
        <v>1</v>
      </c>
      <c r="E10201" t="s">
        <v>1</v>
      </c>
      <c r="F10201" t="s">
        <v>0</v>
      </c>
      <c r="G10201" t="str">
        <f>"2018-10-14 19:41:44"</f>
        <v>2018-10-14 19:41:44</v>
      </c>
    </row>
    <row r="10202" spans="1:7" x14ac:dyDescent="0.2">
      <c r="A10202" t="s">
        <v>1</v>
      </c>
      <c r="B10202" t="str">
        <f>"15006172286"</f>
        <v>15006172286</v>
      </c>
      <c r="C10202" t="s">
        <v>1</v>
      </c>
      <c r="D10202" t="s">
        <v>1</v>
      </c>
      <c r="E10202" t="s">
        <v>1</v>
      </c>
      <c r="F10202" t="s">
        <v>0</v>
      </c>
      <c r="G10202" t="str">
        <f>"2018-10-14 19:41:20"</f>
        <v>2018-10-14 19:41:20</v>
      </c>
    </row>
    <row r="10203" spans="1:7" x14ac:dyDescent="0.2">
      <c r="A10203" t="s">
        <v>10661</v>
      </c>
      <c r="B10203" t="str">
        <f>"18385498377"</f>
        <v>18385498377</v>
      </c>
      <c r="C10203" t="str">
        <f>"52272519890624661X"</f>
        <v>52272519890624661X</v>
      </c>
      <c r="D10203" t="s">
        <v>1</v>
      </c>
      <c r="E10203" t="s">
        <v>1</v>
      </c>
      <c r="F10203" t="s">
        <v>0</v>
      </c>
      <c r="G10203" t="str">
        <f>"2018-10-14 19:49:27"</f>
        <v>2018-10-14 19:49:27</v>
      </c>
    </row>
    <row r="10204" spans="1:7" x14ac:dyDescent="0.2">
      <c r="A10204" t="s">
        <v>10662</v>
      </c>
      <c r="B10204" t="str">
        <f>"15133666319"</f>
        <v>15133666319</v>
      </c>
      <c r="C10204" t="str">
        <f>"131025199004170399"</f>
        <v>131025199004170399</v>
      </c>
      <c r="D10204" t="s">
        <v>10663</v>
      </c>
      <c r="E10204" t="s">
        <v>10663</v>
      </c>
      <c r="F10204" t="s">
        <v>0</v>
      </c>
      <c r="G10204" t="str">
        <f>"2018-10-14 19:41:05"</f>
        <v>2018-10-14 19:41:05</v>
      </c>
    </row>
    <row r="10205" spans="1:7" x14ac:dyDescent="0.2">
      <c r="A10205" t="s">
        <v>458</v>
      </c>
      <c r="B10205" t="str">
        <f>"15042095456"</f>
        <v>15042095456</v>
      </c>
      <c r="C10205" t="str">
        <f>"211221199306170349"</f>
        <v>211221199306170349</v>
      </c>
      <c r="D10205" t="s">
        <v>1</v>
      </c>
      <c r="E10205" t="s">
        <v>1</v>
      </c>
      <c r="F10205" t="s">
        <v>0</v>
      </c>
      <c r="G10205" t="str">
        <f>"2018-10-14 19:40:00"</f>
        <v>2018-10-14 19:40:00</v>
      </c>
    </row>
    <row r="10206" spans="1:7" x14ac:dyDescent="0.2">
      <c r="A10206" t="s">
        <v>10664</v>
      </c>
      <c r="B10206" t="str">
        <f>"15917998994"</f>
        <v>15917998994</v>
      </c>
      <c r="C10206" t="str">
        <f>"445281199504101013"</f>
        <v>445281199504101013</v>
      </c>
      <c r="D10206" t="s">
        <v>10665</v>
      </c>
      <c r="E10206" t="s">
        <v>10666</v>
      </c>
      <c r="F10206" t="s">
        <v>0</v>
      </c>
      <c r="G10206" t="str">
        <f>"2018-10-26 00:12:49"</f>
        <v>2018-10-26 00:12:49</v>
      </c>
    </row>
    <row r="10207" spans="1:7" x14ac:dyDescent="0.2">
      <c r="A10207" t="s">
        <v>10667</v>
      </c>
      <c r="B10207" t="str">
        <f>"13881877747"</f>
        <v>13881877747</v>
      </c>
      <c r="C10207" t="str">
        <f>"511525199604300335"</f>
        <v>511525199604300335</v>
      </c>
      <c r="D10207" t="s">
        <v>10668</v>
      </c>
      <c r="E10207" t="s">
        <v>10669</v>
      </c>
      <c r="F10207" t="s">
        <v>0</v>
      </c>
      <c r="G10207" t="str">
        <f>"2018-10-14 22:47:08"</f>
        <v>2018-10-14 22:47:08</v>
      </c>
    </row>
    <row r="10208" spans="1:7" x14ac:dyDescent="0.2">
      <c r="A10208" t="s">
        <v>1</v>
      </c>
      <c r="B10208" t="str">
        <f>"15578130547"</f>
        <v>15578130547</v>
      </c>
      <c r="C10208" t="s">
        <v>1</v>
      </c>
      <c r="D10208" t="s">
        <v>1</v>
      </c>
      <c r="E10208" t="s">
        <v>1</v>
      </c>
      <c r="F10208" t="s">
        <v>0</v>
      </c>
      <c r="G10208" t="str">
        <f>"2018-10-14 19:35:06"</f>
        <v>2018-10-14 19:35:06</v>
      </c>
    </row>
    <row r="10209" spans="1:7" x14ac:dyDescent="0.2">
      <c r="A10209" t="s">
        <v>1</v>
      </c>
      <c r="B10209" t="str">
        <f>"15077580714"</f>
        <v>15077580714</v>
      </c>
      <c r="C10209" t="s">
        <v>1</v>
      </c>
      <c r="D10209" t="s">
        <v>1</v>
      </c>
      <c r="E10209" t="s">
        <v>1</v>
      </c>
      <c r="F10209" t="s">
        <v>0</v>
      </c>
      <c r="G10209" t="str">
        <f>"2018-10-14 19:34:08"</f>
        <v>2018-10-14 19:34:08</v>
      </c>
    </row>
    <row r="10210" spans="1:7" x14ac:dyDescent="0.2">
      <c r="A10210" t="s">
        <v>10670</v>
      </c>
      <c r="B10210" t="str">
        <f>"15855246080"</f>
        <v>15855246080</v>
      </c>
      <c r="C10210" t="str">
        <f>"342425199109273724"</f>
        <v>342425199109273724</v>
      </c>
      <c r="D10210" t="s">
        <v>1</v>
      </c>
      <c r="E10210" t="s">
        <v>1</v>
      </c>
      <c r="F10210" t="s">
        <v>0</v>
      </c>
      <c r="G10210" t="str">
        <f>"2018-10-14 19:33:14"</f>
        <v>2018-10-14 19:33:14</v>
      </c>
    </row>
    <row r="10211" spans="1:7" x14ac:dyDescent="0.2">
      <c r="A10211" t="s">
        <v>1</v>
      </c>
      <c r="B10211" t="str">
        <f>"13303206677"</f>
        <v>13303206677</v>
      </c>
      <c r="C10211" t="s">
        <v>1</v>
      </c>
      <c r="D10211" t="s">
        <v>1</v>
      </c>
      <c r="E10211" t="s">
        <v>1</v>
      </c>
      <c r="F10211" t="s">
        <v>0</v>
      </c>
      <c r="G10211" t="str">
        <f>"2018-10-14 19:32:06"</f>
        <v>2018-10-14 19:32:06</v>
      </c>
    </row>
    <row r="10212" spans="1:7" x14ac:dyDescent="0.2">
      <c r="A10212" t="s">
        <v>1</v>
      </c>
      <c r="B10212" t="str">
        <f>"13921303861"</f>
        <v>13921303861</v>
      </c>
      <c r="C10212" t="s">
        <v>1</v>
      </c>
      <c r="D10212" t="s">
        <v>1</v>
      </c>
      <c r="E10212" t="s">
        <v>1</v>
      </c>
      <c r="F10212" t="s">
        <v>0</v>
      </c>
      <c r="G10212" t="str">
        <f>"2018-10-14 19:31:46"</f>
        <v>2018-10-14 19:31:46</v>
      </c>
    </row>
    <row r="10213" spans="1:7" x14ac:dyDescent="0.2">
      <c r="A10213" t="s">
        <v>3839</v>
      </c>
      <c r="B10213" t="str">
        <f>"15087969707"</f>
        <v>15087969707</v>
      </c>
      <c r="C10213" t="str">
        <f>"530802199206020623"</f>
        <v>530802199206020623</v>
      </c>
      <c r="D10213" t="s">
        <v>1</v>
      </c>
      <c r="E10213" t="s">
        <v>1</v>
      </c>
      <c r="F10213" t="s">
        <v>0</v>
      </c>
      <c r="G10213" t="str">
        <f>"2018-10-14 19:32:58"</f>
        <v>2018-10-14 19:32:58</v>
      </c>
    </row>
    <row r="10214" spans="1:7" x14ac:dyDescent="0.2">
      <c r="A10214" t="s">
        <v>1</v>
      </c>
      <c r="B10214" t="str">
        <f>"15249469699"</f>
        <v>15249469699</v>
      </c>
      <c r="C10214" t="s">
        <v>1</v>
      </c>
      <c r="D10214" t="s">
        <v>1</v>
      </c>
      <c r="E10214" t="s">
        <v>1</v>
      </c>
      <c r="F10214" t="s">
        <v>0</v>
      </c>
      <c r="G10214" t="str">
        <f>"2018-10-14 19:30:58"</f>
        <v>2018-10-14 19:30:58</v>
      </c>
    </row>
    <row r="10215" spans="1:7" x14ac:dyDescent="0.2">
      <c r="A10215" t="s">
        <v>10671</v>
      </c>
      <c r="B10215" t="str">
        <f>"17371295430"</f>
        <v>17371295430</v>
      </c>
      <c r="C10215" t="str">
        <f>"421125199808187916"</f>
        <v>421125199808187916</v>
      </c>
      <c r="D10215" t="s">
        <v>1</v>
      </c>
      <c r="E10215" t="s">
        <v>1</v>
      </c>
      <c r="F10215" t="s">
        <v>0</v>
      </c>
      <c r="G10215" t="str">
        <f>"2018-10-14 19:30:24"</f>
        <v>2018-10-14 19:30:24</v>
      </c>
    </row>
    <row r="10216" spans="1:7" x14ac:dyDescent="0.2">
      <c r="A10216" t="s">
        <v>10672</v>
      </c>
      <c r="B10216" t="str">
        <f>"13993476034"</f>
        <v>13993476034</v>
      </c>
      <c r="C10216" t="str">
        <f>"622822198108041310"</f>
        <v>622822198108041310</v>
      </c>
      <c r="D10216" t="s">
        <v>10673</v>
      </c>
      <c r="E10216" t="s">
        <v>10674</v>
      </c>
      <c r="F10216" t="s">
        <v>0</v>
      </c>
      <c r="G10216" t="str">
        <f>"2018-10-14 19:30:21"</f>
        <v>2018-10-14 19:30:21</v>
      </c>
    </row>
    <row r="10217" spans="1:7" x14ac:dyDescent="0.2">
      <c r="A10217" t="s">
        <v>1291</v>
      </c>
      <c r="B10217" t="str">
        <f>"15802750901"</f>
        <v>15802750901</v>
      </c>
      <c r="C10217" t="str">
        <f>"420104197308124319"</f>
        <v>420104197308124319</v>
      </c>
      <c r="D10217" t="s">
        <v>10675</v>
      </c>
      <c r="E10217" t="s">
        <v>10676</v>
      </c>
      <c r="F10217" t="s">
        <v>0</v>
      </c>
      <c r="G10217" t="str">
        <f>"2018-10-14 19:28:27"</f>
        <v>2018-10-14 19:28:27</v>
      </c>
    </row>
    <row r="10218" spans="1:7" x14ac:dyDescent="0.2">
      <c r="A10218" t="s">
        <v>10677</v>
      </c>
      <c r="B10218" t="str">
        <f>"13980779318"</f>
        <v>13980779318</v>
      </c>
      <c r="C10218" t="str">
        <f>"513021197503183811"</f>
        <v>513021197503183811</v>
      </c>
      <c r="D10218" t="s">
        <v>10678</v>
      </c>
      <c r="E10218" t="s">
        <v>10679</v>
      </c>
      <c r="F10218" t="s">
        <v>0</v>
      </c>
      <c r="G10218" t="str">
        <f>"2018-10-14 19:27:38"</f>
        <v>2018-10-14 19:27:38</v>
      </c>
    </row>
    <row r="10219" spans="1:7" x14ac:dyDescent="0.2">
      <c r="A10219" t="s">
        <v>1</v>
      </c>
      <c r="B10219" t="str">
        <f>"18324121046"</f>
        <v>18324121046</v>
      </c>
      <c r="C10219" t="s">
        <v>1</v>
      </c>
      <c r="D10219" t="s">
        <v>1</v>
      </c>
      <c r="E10219" t="s">
        <v>1</v>
      </c>
      <c r="F10219" t="s">
        <v>0</v>
      </c>
      <c r="G10219" t="str">
        <f>"2018-10-14 19:24:55"</f>
        <v>2018-10-14 19:24:55</v>
      </c>
    </row>
    <row r="10220" spans="1:7" x14ac:dyDescent="0.2">
      <c r="A10220" t="s">
        <v>10680</v>
      </c>
      <c r="B10220" t="str">
        <f>"15778425830"</f>
        <v>15778425830</v>
      </c>
      <c r="C10220" t="str">
        <f>"452427198802133715"</f>
        <v>452427198802133715</v>
      </c>
      <c r="D10220" t="s">
        <v>1</v>
      </c>
      <c r="E10220" t="s">
        <v>1</v>
      </c>
      <c r="F10220" t="s">
        <v>0</v>
      </c>
      <c r="G10220" t="str">
        <f>"2018-10-14 19:36:07"</f>
        <v>2018-10-14 19:36:07</v>
      </c>
    </row>
    <row r="10221" spans="1:7" x14ac:dyDescent="0.2">
      <c r="A10221" t="s">
        <v>236</v>
      </c>
      <c r="B10221" t="str">
        <f>"15102896792"</f>
        <v>15102896792</v>
      </c>
      <c r="C10221" t="str">
        <f>"513221199107200317"</f>
        <v>513221199107200317</v>
      </c>
      <c r="D10221" t="s">
        <v>10681</v>
      </c>
      <c r="E10221" t="s">
        <v>10682</v>
      </c>
      <c r="F10221" t="s">
        <v>0</v>
      </c>
      <c r="G10221" t="str">
        <f>"2018-10-15 11:48:13"</f>
        <v>2018-10-15 11:48:13</v>
      </c>
    </row>
    <row r="10222" spans="1:7" x14ac:dyDescent="0.2">
      <c r="A10222" t="s">
        <v>10683</v>
      </c>
      <c r="B10222" t="str">
        <f>"18575697506"</f>
        <v>18575697506</v>
      </c>
      <c r="C10222" t="str">
        <f>"520203199306122418"</f>
        <v>520203199306122418</v>
      </c>
      <c r="D10222" t="s">
        <v>1</v>
      </c>
      <c r="E10222" t="s">
        <v>1</v>
      </c>
      <c r="F10222" t="s">
        <v>0</v>
      </c>
      <c r="G10222" t="str">
        <f>"2018-10-14 19:22:59"</f>
        <v>2018-10-14 19:22:59</v>
      </c>
    </row>
    <row r="10223" spans="1:7" x14ac:dyDescent="0.2">
      <c r="A10223" t="s">
        <v>10684</v>
      </c>
      <c r="B10223" t="str">
        <f>"15933227896"</f>
        <v>15933227896</v>
      </c>
      <c r="C10223" t="str">
        <f>"130622199010044834"</f>
        <v>130622199010044834</v>
      </c>
      <c r="D10223" t="s">
        <v>10685</v>
      </c>
      <c r="E10223" t="s">
        <v>10686</v>
      </c>
      <c r="F10223" t="s">
        <v>0</v>
      </c>
      <c r="G10223" t="str">
        <f>"2018-10-14 19:23:58"</f>
        <v>2018-10-14 19:23:58</v>
      </c>
    </row>
    <row r="10224" spans="1:7" x14ac:dyDescent="0.2">
      <c r="A10224" t="s">
        <v>1</v>
      </c>
      <c r="B10224" t="str">
        <f>"13422581015"</f>
        <v>13422581015</v>
      </c>
      <c r="C10224" t="s">
        <v>1</v>
      </c>
      <c r="D10224" t="s">
        <v>1</v>
      </c>
      <c r="E10224" t="s">
        <v>1</v>
      </c>
      <c r="F10224" t="s">
        <v>0</v>
      </c>
      <c r="G10224" t="str">
        <f>"2018-10-14 19:19:42"</f>
        <v>2018-10-14 19:19:42</v>
      </c>
    </row>
    <row r="10225" spans="1:7" x14ac:dyDescent="0.2">
      <c r="A10225" t="s">
        <v>1252</v>
      </c>
      <c r="B10225" t="str">
        <f>"13050839400"</f>
        <v>13050839400</v>
      </c>
      <c r="C10225" t="str">
        <f>"230204198608140630"</f>
        <v>230204198608140630</v>
      </c>
      <c r="D10225" t="s">
        <v>1</v>
      </c>
      <c r="E10225" t="s">
        <v>1</v>
      </c>
      <c r="F10225" t="s">
        <v>0</v>
      </c>
      <c r="G10225" t="str">
        <f>"2018-10-14 19:39:27"</f>
        <v>2018-10-14 19:39:27</v>
      </c>
    </row>
    <row r="10226" spans="1:7" x14ac:dyDescent="0.2">
      <c r="A10226" t="s">
        <v>10687</v>
      </c>
      <c r="B10226" t="str">
        <f>"13597076710"</f>
        <v>13597076710</v>
      </c>
      <c r="C10226" t="str">
        <f>"452132199706034513"</f>
        <v>452132199706034513</v>
      </c>
      <c r="D10226" t="s">
        <v>1</v>
      </c>
      <c r="E10226" t="s">
        <v>1</v>
      </c>
      <c r="F10226" t="s">
        <v>0</v>
      </c>
      <c r="G10226" t="str">
        <f>"2018-10-14 19:20:11"</f>
        <v>2018-10-14 19:20:11</v>
      </c>
    </row>
    <row r="10227" spans="1:7" x14ac:dyDescent="0.2">
      <c r="A10227" t="s">
        <v>10688</v>
      </c>
      <c r="B10227" t="str">
        <f>"15093227109"</f>
        <v>15093227109</v>
      </c>
      <c r="C10227" t="str">
        <f>"410481198005193511"</f>
        <v>410481198005193511</v>
      </c>
      <c r="D10227" t="s">
        <v>1</v>
      </c>
      <c r="E10227" t="s">
        <v>1</v>
      </c>
      <c r="F10227" t="s">
        <v>0</v>
      </c>
      <c r="G10227" t="str">
        <f>"2018-10-22 15:11:46"</f>
        <v>2018-10-22 15:11:46</v>
      </c>
    </row>
    <row r="10228" spans="1:7" x14ac:dyDescent="0.2">
      <c r="A10228" t="s">
        <v>10689</v>
      </c>
      <c r="B10228" t="str">
        <f>"15936243349"</f>
        <v>15936243349</v>
      </c>
      <c r="C10228" t="str">
        <f>"622425199409094418"</f>
        <v>622425199409094418</v>
      </c>
      <c r="D10228" t="s">
        <v>1</v>
      </c>
      <c r="E10228" t="s">
        <v>1</v>
      </c>
      <c r="F10228" t="s">
        <v>0</v>
      </c>
      <c r="G10228" t="str">
        <f>"2018-10-21 22:50:35"</f>
        <v>2018-10-21 22:50:35</v>
      </c>
    </row>
    <row r="10229" spans="1:7" x14ac:dyDescent="0.2">
      <c r="A10229" t="s">
        <v>10690</v>
      </c>
      <c r="B10229" t="str">
        <f>"18826267872"</f>
        <v>18826267872</v>
      </c>
      <c r="C10229" t="str">
        <f>"45070319911208271X"</f>
        <v>45070319911208271X</v>
      </c>
      <c r="D10229" t="s">
        <v>1</v>
      </c>
      <c r="E10229" t="s">
        <v>1</v>
      </c>
      <c r="F10229" t="s">
        <v>0</v>
      </c>
      <c r="G10229" t="str">
        <f>"2018-10-14 19:27:32"</f>
        <v>2018-10-14 19:27:32</v>
      </c>
    </row>
    <row r="10230" spans="1:7" x14ac:dyDescent="0.2">
      <c r="A10230" t="s">
        <v>1</v>
      </c>
      <c r="B10230" t="str">
        <f>"13628152538"</f>
        <v>13628152538</v>
      </c>
      <c r="C10230" t="s">
        <v>1</v>
      </c>
      <c r="D10230" t="s">
        <v>1</v>
      </c>
      <c r="E10230" t="s">
        <v>1</v>
      </c>
      <c r="F10230" t="s">
        <v>0</v>
      </c>
      <c r="G10230" t="str">
        <f>"2018-11-01 18:35:35"</f>
        <v>2018-11-01 18:35:35</v>
      </c>
    </row>
    <row r="10231" spans="1:7" x14ac:dyDescent="0.2">
      <c r="A10231" t="s">
        <v>10691</v>
      </c>
      <c r="B10231" t="str">
        <f>"15630085032"</f>
        <v>15630085032</v>
      </c>
      <c r="C10231" t="str">
        <f>"130481198706224512"</f>
        <v>130481198706224512</v>
      </c>
      <c r="D10231" t="s">
        <v>1</v>
      </c>
      <c r="E10231" t="s">
        <v>1</v>
      </c>
      <c r="F10231" t="s">
        <v>0</v>
      </c>
      <c r="G10231" t="str">
        <f>"2018-10-14 19:19:55"</f>
        <v>2018-10-14 19:19:55</v>
      </c>
    </row>
    <row r="10232" spans="1:7" x14ac:dyDescent="0.2">
      <c r="A10232" t="s">
        <v>10692</v>
      </c>
      <c r="B10232" t="str">
        <f>"15901185575"</f>
        <v>15901185575</v>
      </c>
      <c r="C10232" t="str">
        <f>"421002199202281430"</f>
        <v>421002199202281430</v>
      </c>
      <c r="D10232" t="s">
        <v>1</v>
      </c>
      <c r="E10232" t="s">
        <v>1</v>
      </c>
      <c r="F10232" t="s">
        <v>0</v>
      </c>
      <c r="G10232" t="str">
        <f>"2018-10-31 15:07:29"</f>
        <v>2018-10-31 15:07:29</v>
      </c>
    </row>
    <row r="10233" spans="1:7" x14ac:dyDescent="0.2">
      <c r="A10233" t="s">
        <v>10693</v>
      </c>
      <c r="B10233" t="str">
        <f>"18378191178"</f>
        <v>18378191178</v>
      </c>
      <c r="C10233" t="str">
        <f>"452130199112300033"</f>
        <v>452130199112300033</v>
      </c>
      <c r="D10233" t="s">
        <v>1</v>
      </c>
      <c r="E10233" t="s">
        <v>1</v>
      </c>
      <c r="F10233" t="s">
        <v>0</v>
      </c>
      <c r="G10233" t="str">
        <f>"2018-10-14 19:14:11"</f>
        <v>2018-10-14 19:14:11</v>
      </c>
    </row>
    <row r="10234" spans="1:7" x14ac:dyDescent="0.2">
      <c r="A10234" t="s">
        <v>10694</v>
      </c>
      <c r="B10234" t="str">
        <f>"15131698206"</f>
        <v>15131698206</v>
      </c>
      <c r="C10234" t="str">
        <f>"130821199402136628"</f>
        <v>130821199402136628</v>
      </c>
      <c r="D10234" t="s">
        <v>1</v>
      </c>
      <c r="E10234" t="s">
        <v>1</v>
      </c>
      <c r="F10234" t="s">
        <v>0</v>
      </c>
      <c r="G10234" t="str">
        <f>"2018-10-14 19:15:22"</f>
        <v>2018-10-14 19:15:22</v>
      </c>
    </row>
    <row r="10235" spans="1:7" x14ac:dyDescent="0.2">
      <c r="A10235" t="s">
        <v>10695</v>
      </c>
      <c r="B10235" t="str">
        <f>"18336638805"</f>
        <v>18336638805</v>
      </c>
      <c r="C10235" t="str">
        <f>"411324199806245513"</f>
        <v>411324199806245513</v>
      </c>
      <c r="D10235" t="s">
        <v>1</v>
      </c>
      <c r="E10235" t="s">
        <v>1</v>
      </c>
      <c r="F10235" t="s">
        <v>0</v>
      </c>
      <c r="G10235" t="str">
        <f>"2018-10-14 19:14:14"</f>
        <v>2018-10-14 19:14:14</v>
      </c>
    </row>
    <row r="10236" spans="1:7" x14ac:dyDescent="0.2">
      <c r="A10236" t="s">
        <v>10696</v>
      </c>
      <c r="B10236" t="str">
        <f>"18885028090"</f>
        <v>18885028090</v>
      </c>
      <c r="C10236" t="str">
        <f>"52010219980528126X"</f>
        <v>52010219980528126X</v>
      </c>
      <c r="D10236" t="s">
        <v>1</v>
      </c>
      <c r="E10236" t="s">
        <v>1</v>
      </c>
      <c r="F10236" t="s">
        <v>0</v>
      </c>
      <c r="G10236" t="str">
        <f>"2018-10-14 19:16:01"</f>
        <v>2018-10-14 19:16:01</v>
      </c>
    </row>
    <row r="10237" spans="1:7" x14ac:dyDescent="0.2">
      <c r="A10237" t="s">
        <v>10697</v>
      </c>
      <c r="B10237" t="str">
        <f>"18330747898"</f>
        <v>18330747898</v>
      </c>
      <c r="C10237" t="str">
        <f>"610302198309064512"</f>
        <v>610302198309064512</v>
      </c>
      <c r="D10237" t="s">
        <v>1459</v>
      </c>
      <c r="E10237" t="s">
        <v>10698</v>
      </c>
      <c r="F10237" t="s">
        <v>0</v>
      </c>
      <c r="G10237" t="str">
        <f>"2018-10-14 19:13:44"</f>
        <v>2018-10-14 19:13:44</v>
      </c>
    </row>
    <row r="10238" spans="1:7" x14ac:dyDescent="0.2">
      <c r="A10238" t="s">
        <v>1442</v>
      </c>
      <c r="B10238" t="str">
        <f>"13582988430"</f>
        <v>13582988430</v>
      </c>
      <c r="C10238" t="str">
        <f>"130702198305280629"</f>
        <v>130702198305280629</v>
      </c>
      <c r="D10238" t="s">
        <v>1</v>
      </c>
      <c r="E10238" t="s">
        <v>1</v>
      </c>
      <c r="F10238" t="s">
        <v>0</v>
      </c>
      <c r="G10238" t="str">
        <f>"2018-10-14 19:12:52"</f>
        <v>2018-10-14 19:12:52</v>
      </c>
    </row>
    <row r="10239" spans="1:7" x14ac:dyDescent="0.2">
      <c r="A10239" t="s">
        <v>844</v>
      </c>
      <c r="B10239" t="str">
        <f>"18686622461"</f>
        <v>18686622461</v>
      </c>
      <c r="C10239" t="str">
        <f>"220382198306265334"</f>
        <v>220382198306265334</v>
      </c>
      <c r="D10239" t="s">
        <v>1</v>
      </c>
      <c r="E10239" t="s">
        <v>1</v>
      </c>
      <c r="F10239" t="s">
        <v>0</v>
      </c>
      <c r="G10239" t="str">
        <f>"2018-10-14 19:11:28"</f>
        <v>2018-10-14 19:11:28</v>
      </c>
    </row>
    <row r="10240" spans="1:7" x14ac:dyDescent="0.2">
      <c r="A10240" t="s">
        <v>10699</v>
      </c>
      <c r="B10240" t="str">
        <f>"15942049060"</f>
        <v>15942049060</v>
      </c>
      <c r="C10240" t="str">
        <f>"210106198106294940"</f>
        <v>210106198106294940</v>
      </c>
      <c r="D10240" t="s">
        <v>10700</v>
      </c>
      <c r="E10240" t="s">
        <v>10701</v>
      </c>
      <c r="F10240" t="s">
        <v>0</v>
      </c>
      <c r="G10240" t="str">
        <f>"2018-10-25 14:26:53"</f>
        <v>2018-10-25 14:26:53</v>
      </c>
    </row>
    <row r="10241" spans="1:7" x14ac:dyDescent="0.2">
      <c r="A10241" t="s">
        <v>1</v>
      </c>
      <c r="B10241" t="str">
        <f>"13113623454"</f>
        <v>13113623454</v>
      </c>
      <c r="C10241" t="s">
        <v>1</v>
      </c>
      <c r="D10241" t="s">
        <v>1</v>
      </c>
      <c r="E10241" t="s">
        <v>1</v>
      </c>
      <c r="F10241" t="s">
        <v>0</v>
      </c>
      <c r="G10241" t="str">
        <f>"2018-10-14 19:06:24"</f>
        <v>2018-10-14 19:06:24</v>
      </c>
    </row>
    <row r="10242" spans="1:7" x14ac:dyDescent="0.2">
      <c r="A10242" t="s">
        <v>10702</v>
      </c>
      <c r="B10242" t="str">
        <f>"13283351367"</f>
        <v>13283351367</v>
      </c>
      <c r="C10242" t="str">
        <f>"130825198804015715"</f>
        <v>130825198804015715</v>
      </c>
      <c r="D10242" t="s">
        <v>1</v>
      </c>
      <c r="E10242" t="s">
        <v>1</v>
      </c>
      <c r="F10242" t="s">
        <v>0</v>
      </c>
      <c r="G10242" t="str">
        <f>"2018-10-14 20:07:19"</f>
        <v>2018-10-14 20:07:19</v>
      </c>
    </row>
    <row r="10243" spans="1:7" x14ac:dyDescent="0.2">
      <c r="A10243" t="s">
        <v>10703</v>
      </c>
      <c r="B10243" t="str">
        <f>"15263171444"</f>
        <v>15263171444</v>
      </c>
      <c r="C10243" t="str">
        <f>"371083198502157035"</f>
        <v>371083198502157035</v>
      </c>
      <c r="D10243" t="s">
        <v>1</v>
      </c>
      <c r="E10243" t="s">
        <v>1</v>
      </c>
      <c r="F10243" t="s">
        <v>0</v>
      </c>
      <c r="G10243" t="str">
        <f>"2018-10-14 19:15:18"</f>
        <v>2018-10-14 19:15:18</v>
      </c>
    </row>
    <row r="10244" spans="1:7" x14ac:dyDescent="0.2">
      <c r="A10244" t="s">
        <v>1</v>
      </c>
      <c r="B10244" t="str">
        <f>"13087795513"</f>
        <v>13087795513</v>
      </c>
      <c r="C10244" t="s">
        <v>1</v>
      </c>
      <c r="D10244" t="s">
        <v>1</v>
      </c>
      <c r="E10244" t="s">
        <v>1</v>
      </c>
      <c r="F10244" t="s">
        <v>0</v>
      </c>
      <c r="G10244" t="str">
        <f>"2018-10-14 19:03:35"</f>
        <v>2018-10-14 19:03:35</v>
      </c>
    </row>
    <row r="10245" spans="1:7" x14ac:dyDescent="0.2">
      <c r="A10245" t="s">
        <v>10704</v>
      </c>
      <c r="B10245" t="str">
        <f>"18735193969"</f>
        <v>18735193969</v>
      </c>
      <c r="C10245" t="str">
        <f>"142630198004203017"</f>
        <v>142630198004203017</v>
      </c>
      <c r="D10245" t="s">
        <v>1</v>
      </c>
      <c r="E10245" t="s">
        <v>1</v>
      </c>
      <c r="F10245" t="s">
        <v>0</v>
      </c>
      <c r="G10245" t="str">
        <f>"2018-10-14 19:04:30"</f>
        <v>2018-10-14 19:04:30</v>
      </c>
    </row>
    <row r="10246" spans="1:7" x14ac:dyDescent="0.2">
      <c r="A10246" t="s">
        <v>10705</v>
      </c>
      <c r="B10246" t="str">
        <f>"18686299132"</f>
        <v>18686299132</v>
      </c>
      <c r="C10246" t="str">
        <f>"150424200004190326"</f>
        <v>150424200004190326</v>
      </c>
      <c r="D10246" t="s">
        <v>1</v>
      </c>
      <c r="E10246" t="s">
        <v>1</v>
      </c>
      <c r="F10246" t="s">
        <v>0</v>
      </c>
      <c r="G10246" t="str">
        <f>"2018-10-14 19:04:46"</f>
        <v>2018-10-14 19:04:46</v>
      </c>
    </row>
    <row r="10247" spans="1:7" x14ac:dyDescent="0.2">
      <c r="A10247" t="s">
        <v>10706</v>
      </c>
      <c r="B10247" t="str">
        <f>"15678600866"</f>
        <v>15678600866</v>
      </c>
      <c r="C10247" t="str">
        <f>"450923199010044356"</f>
        <v>450923199010044356</v>
      </c>
      <c r="D10247" t="s">
        <v>1</v>
      </c>
      <c r="E10247" t="s">
        <v>1</v>
      </c>
      <c r="F10247" t="s">
        <v>0</v>
      </c>
      <c r="G10247" t="str">
        <f>"2018-10-30 22:45:59"</f>
        <v>2018-10-30 22:45:59</v>
      </c>
    </row>
    <row r="10248" spans="1:7" x14ac:dyDescent="0.2">
      <c r="A10248" t="s">
        <v>1</v>
      </c>
      <c r="B10248" t="str">
        <f>"15215561722"</f>
        <v>15215561722</v>
      </c>
      <c r="C10248" t="s">
        <v>1</v>
      </c>
      <c r="D10248" t="s">
        <v>1</v>
      </c>
      <c r="E10248" t="s">
        <v>1</v>
      </c>
      <c r="F10248" t="s">
        <v>0</v>
      </c>
      <c r="G10248" t="str">
        <f>"2018-10-14 19:00:29"</f>
        <v>2018-10-14 19:00:29</v>
      </c>
    </row>
    <row r="10249" spans="1:7" x14ac:dyDescent="0.2">
      <c r="A10249" t="s">
        <v>10707</v>
      </c>
      <c r="B10249" t="str">
        <f>"13895634350"</f>
        <v>13895634350</v>
      </c>
      <c r="C10249" t="str">
        <f>"642222199812053222"</f>
        <v>642222199812053222</v>
      </c>
      <c r="D10249" t="s">
        <v>1</v>
      </c>
      <c r="E10249" t="s">
        <v>1</v>
      </c>
      <c r="F10249" t="s">
        <v>0</v>
      </c>
      <c r="G10249" t="str">
        <f>"2018-10-14 19:04:46"</f>
        <v>2018-10-14 19:04:46</v>
      </c>
    </row>
    <row r="10250" spans="1:7" x14ac:dyDescent="0.2">
      <c r="A10250" t="s">
        <v>10708</v>
      </c>
      <c r="B10250" t="str">
        <f>"18921570518"</f>
        <v>18921570518</v>
      </c>
      <c r="C10250" t="str">
        <f>"321181198412110018"</f>
        <v>321181198412110018</v>
      </c>
      <c r="D10250" t="s">
        <v>1</v>
      </c>
      <c r="E10250" t="s">
        <v>1</v>
      </c>
      <c r="F10250" t="s">
        <v>0</v>
      </c>
      <c r="G10250" t="str">
        <f>"2018-11-02 20:21:28"</f>
        <v>2018-11-02 20:21:28</v>
      </c>
    </row>
    <row r="10251" spans="1:7" x14ac:dyDescent="0.2">
      <c r="A10251" t="s">
        <v>10709</v>
      </c>
      <c r="B10251" t="str">
        <f>"15813232509"</f>
        <v>15813232509</v>
      </c>
      <c r="C10251" t="str">
        <f>"441881199908011929"</f>
        <v>441881199908011929</v>
      </c>
      <c r="D10251" t="s">
        <v>1</v>
      </c>
      <c r="E10251" t="s">
        <v>1</v>
      </c>
      <c r="F10251" t="s">
        <v>0</v>
      </c>
      <c r="G10251" t="str">
        <f>"2018-10-14 19:00:45"</f>
        <v>2018-10-14 19:00:45</v>
      </c>
    </row>
    <row r="10252" spans="1:7" x14ac:dyDescent="0.2">
      <c r="A10252" t="s">
        <v>1535</v>
      </c>
      <c r="B10252" t="str">
        <f>"13650086484"</f>
        <v>13650086484</v>
      </c>
      <c r="C10252" t="str">
        <f>"430481198109230077"</f>
        <v>430481198109230077</v>
      </c>
      <c r="D10252" t="s">
        <v>1</v>
      </c>
      <c r="E10252" t="s">
        <v>1</v>
      </c>
      <c r="F10252" t="s">
        <v>0</v>
      </c>
      <c r="G10252" t="str">
        <f>"2018-10-14 18:59:55"</f>
        <v>2018-10-14 18:59:55</v>
      </c>
    </row>
    <row r="10253" spans="1:7" x14ac:dyDescent="0.2">
      <c r="A10253" t="s">
        <v>10710</v>
      </c>
      <c r="B10253" t="str">
        <f>"18048097627"</f>
        <v>18048097627</v>
      </c>
      <c r="C10253" t="str">
        <f>"513322199408047012"</f>
        <v>513322199408047012</v>
      </c>
      <c r="D10253" t="s">
        <v>1</v>
      </c>
      <c r="E10253" t="s">
        <v>1</v>
      </c>
      <c r="F10253" t="s">
        <v>0</v>
      </c>
      <c r="G10253" t="str">
        <f>"2018-10-14 18:57:48"</f>
        <v>2018-10-14 18:57:48</v>
      </c>
    </row>
    <row r="10254" spans="1:7" x14ac:dyDescent="0.2">
      <c r="A10254" t="s">
        <v>1</v>
      </c>
      <c r="B10254" t="str">
        <f>"13978842715"</f>
        <v>13978842715</v>
      </c>
      <c r="C10254" t="s">
        <v>1</v>
      </c>
      <c r="D10254" t="s">
        <v>1</v>
      </c>
      <c r="E10254" t="s">
        <v>1</v>
      </c>
      <c r="F10254" t="s">
        <v>0</v>
      </c>
      <c r="G10254" t="str">
        <f>"2018-10-14 19:03:57"</f>
        <v>2018-10-14 19:03:57</v>
      </c>
    </row>
    <row r="10255" spans="1:7" x14ac:dyDescent="0.2">
      <c r="A10255" t="s">
        <v>1096</v>
      </c>
      <c r="B10255" t="str">
        <f>"13551483434"</f>
        <v>13551483434</v>
      </c>
      <c r="C10255" t="str">
        <f>"513223198904190017"</f>
        <v>513223198904190017</v>
      </c>
      <c r="D10255" t="s">
        <v>1</v>
      </c>
      <c r="E10255" t="s">
        <v>1</v>
      </c>
      <c r="F10255" t="s">
        <v>0</v>
      </c>
      <c r="G10255" t="str">
        <f>"2018-10-14 19:13:30"</f>
        <v>2018-10-14 19:13:30</v>
      </c>
    </row>
    <row r="10256" spans="1:7" x14ac:dyDescent="0.2">
      <c r="A10256" t="s">
        <v>10711</v>
      </c>
      <c r="B10256" t="str">
        <f>"18177739218"</f>
        <v>18177739218</v>
      </c>
      <c r="C10256" t="str">
        <f>"452626199805263223"</f>
        <v>452626199805263223</v>
      </c>
      <c r="D10256" t="s">
        <v>1</v>
      </c>
      <c r="E10256" t="s">
        <v>1</v>
      </c>
      <c r="F10256" t="s">
        <v>0</v>
      </c>
      <c r="G10256" t="str">
        <f>"2018-10-14 18:56:26"</f>
        <v>2018-10-14 18:56:26</v>
      </c>
    </row>
    <row r="10257" spans="1:7" x14ac:dyDescent="0.2">
      <c r="A10257" t="s">
        <v>1</v>
      </c>
      <c r="B10257" t="str">
        <f>"15006513830"</f>
        <v>15006513830</v>
      </c>
      <c r="C10257" t="s">
        <v>1</v>
      </c>
      <c r="D10257" t="s">
        <v>1</v>
      </c>
      <c r="E10257" t="s">
        <v>1</v>
      </c>
      <c r="F10257" t="s">
        <v>0</v>
      </c>
      <c r="G10257" t="str">
        <f>"2018-10-14 18:55:12"</f>
        <v>2018-10-14 18:55:12</v>
      </c>
    </row>
    <row r="10258" spans="1:7" x14ac:dyDescent="0.2">
      <c r="A10258" t="s">
        <v>10712</v>
      </c>
      <c r="B10258" t="str">
        <f>"18285097306"</f>
        <v>18285097306</v>
      </c>
      <c r="C10258" t="str">
        <f>"522423199201058745"</f>
        <v>522423199201058745</v>
      </c>
      <c r="D10258" t="s">
        <v>1</v>
      </c>
      <c r="E10258" t="s">
        <v>1</v>
      </c>
      <c r="F10258" t="s">
        <v>0</v>
      </c>
      <c r="G10258" t="str">
        <f>"2018-10-14 18:54:54"</f>
        <v>2018-10-14 18:54:54</v>
      </c>
    </row>
    <row r="10259" spans="1:7" x14ac:dyDescent="0.2">
      <c r="A10259" t="s">
        <v>10713</v>
      </c>
      <c r="B10259" t="str">
        <f>"13013781620"</f>
        <v>13013781620</v>
      </c>
      <c r="C10259" t="str">
        <f>"411121198809054523"</f>
        <v>411121198809054523</v>
      </c>
      <c r="D10259" t="s">
        <v>1</v>
      </c>
      <c r="E10259" t="s">
        <v>1</v>
      </c>
      <c r="F10259" t="s">
        <v>0</v>
      </c>
      <c r="G10259" t="str">
        <f>"2018-10-14 19:41:24"</f>
        <v>2018-10-14 19:41:24</v>
      </c>
    </row>
    <row r="10260" spans="1:7" x14ac:dyDescent="0.2">
      <c r="A10260" t="s">
        <v>1</v>
      </c>
      <c r="B10260" t="str">
        <f>"13627020125"</f>
        <v>13627020125</v>
      </c>
      <c r="C10260" t="s">
        <v>1</v>
      </c>
      <c r="D10260" t="s">
        <v>1</v>
      </c>
      <c r="E10260" t="s">
        <v>1</v>
      </c>
      <c r="F10260" t="s">
        <v>0</v>
      </c>
      <c r="G10260" t="str">
        <f>"2018-10-14 18:51:04"</f>
        <v>2018-10-14 18:51:04</v>
      </c>
    </row>
    <row r="10261" spans="1:7" x14ac:dyDescent="0.2">
      <c r="A10261" t="s">
        <v>10714</v>
      </c>
      <c r="B10261" t="str">
        <f>"15010351495"</f>
        <v>15010351495</v>
      </c>
      <c r="C10261" t="str">
        <f>"130627198803120638"</f>
        <v>130627198803120638</v>
      </c>
      <c r="D10261" t="s">
        <v>1</v>
      </c>
      <c r="E10261" t="s">
        <v>1</v>
      </c>
      <c r="F10261" t="s">
        <v>0</v>
      </c>
      <c r="G10261" t="str">
        <f>"2018-10-29 16:15:20"</f>
        <v>2018-10-29 16:15:20</v>
      </c>
    </row>
    <row r="10262" spans="1:7" x14ac:dyDescent="0.2">
      <c r="A10262" t="s">
        <v>10715</v>
      </c>
      <c r="B10262" t="str">
        <f>"17743488862"</f>
        <v>17743488862</v>
      </c>
      <c r="C10262" t="str">
        <f>"220102198704025915"</f>
        <v>220102198704025915</v>
      </c>
      <c r="D10262" t="s">
        <v>1</v>
      </c>
      <c r="E10262" t="s">
        <v>1</v>
      </c>
      <c r="F10262" t="s">
        <v>0</v>
      </c>
      <c r="G10262" t="str">
        <f>"2018-10-15 22:19:34"</f>
        <v>2018-10-15 22:19:34</v>
      </c>
    </row>
    <row r="10263" spans="1:7" x14ac:dyDescent="0.2">
      <c r="A10263" t="s">
        <v>1</v>
      </c>
      <c r="B10263" t="str">
        <f>"15823558546"</f>
        <v>15823558546</v>
      </c>
      <c r="C10263" t="s">
        <v>1</v>
      </c>
      <c r="D10263" t="s">
        <v>1</v>
      </c>
      <c r="E10263" t="s">
        <v>1</v>
      </c>
      <c r="F10263" t="s">
        <v>0</v>
      </c>
      <c r="G10263" t="str">
        <f>"2018-10-14 18:51:08"</f>
        <v>2018-10-14 18:51:08</v>
      </c>
    </row>
    <row r="10264" spans="1:7" x14ac:dyDescent="0.2">
      <c r="A10264" t="s">
        <v>1230</v>
      </c>
      <c r="B10264" t="str">
        <f>"15349115108"</f>
        <v>15349115108</v>
      </c>
      <c r="C10264" t="str">
        <f>"610627198707290068"</f>
        <v>610627198707290068</v>
      </c>
      <c r="D10264" t="s">
        <v>1</v>
      </c>
      <c r="E10264" t="s">
        <v>1</v>
      </c>
      <c r="F10264" t="s">
        <v>0</v>
      </c>
      <c r="G10264" t="str">
        <f>"2018-10-14 18:48:05"</f>
        <v>2018-10-14 18:48:05</v>
      </c>
    </row>
    <row r="10265" spans="1:7" x14ac:dyDescent="0.2">
      <c r="A10265" t="s">
        <v>1</v>
      </c>
      <c r="B10265" t="str">
        <f>"17789691900"</f>
        <v>17789691900</v>
      </c>
      <c r="C10265" t="s">
        <v>1</v>
      </c>
      <c r="D10265" t="s">
        <v>1</v>
      </c>
      <c r="E10265" t="s">
        <v>1</v>
      </c>
      <c r="F10265" t="s">
        <v>0</v>
      </c>
      <c r="G10265" t="str">
        <f>"2018-10-14 18:47:09"</f>
        <v>2018-10-14 18:47:09</v>
      </c>
    </row>
    <row r="10266" spans="1:7" x14ac:dyDescent="0.2">
      <c r="A10266" t="s">
        <v>10716</v>
      </c>
      <c r="B10266" t="str">
        <f>"13719791008"</f>
        <v>13719791008</v>
      </c>
      <c r="C10266" t="str">
        <f>"440221198007016816"</f>
        <v>440221198007016816</v>
      </c>
      <c r="D10266" t="s">
        <v>1</v>
      </c>
      <c r="E10266" t="s">
        <v>1</v>
      </c>
      <c r="F10266" t="s">
        <v>0</v>
      </c>
      <c r="G10266" t="str">
        <f>"2018-10-14 18:55:56"</f>
        <v>2018-10-14 18:55:56</v>
      </c>
    </row>
    <row r="10267" spans="1:7" x14ac:dyDescent="0.2">
      <c r="A10267" t="s">
        <v>10717</v>
      </c>
      <c r="B10267" t="str">
        <f>"13169502336"</f>
        <v>13169502336</v>
      </c>
      <c r="C10267" t="str">
        <f>"340881199812282236"</f>
        <v>340881199812282236</v>
      </c>
      <c r="D10267" t="s">
        <v>1</v>
      </c>
      <c r="E10267" t="s">
        <v>1</v>
      </c>
      <c r="F10267" t="s">
        <v>0</v>
      </c>
      <c r="G10267" t="str">
        <f>"2018-10-14 18:45:36"</f>
        <v>2018-10-14 18:45:36</v>
      </c>
    </row>
    <row r="10268" spans="1:7" x14ac:dyDescent="0.2">
      <c r="A10268" t="s">
        <v>1</v>
      </c>
      <c r="B10268" t="str">
        <f>"13093874992"</f>
        <v>13093874992</v>
      </c>
      <c r="C10268" t="s">
        <v>1</v>
      </c>
      <c r="D10268" t="s">
        <v>1</v>
      </c>
      <c r="E10268" t="s">
        <v>1</v>
      </c>
      <c r="F10268" t="s">
        <v>0</v>
      </c>
      <c r="G10268" t="str">
        <f>"2018-10-14 18:44:04"</f>
        <v>2018-10-14 18:44:04</v>
      </c>
    </row>
    <row r="10269" spans="1:7" x14ac:dyDescent="0.2">
      <c r="A10269" t="s">
        <v>1</v>
      </c>
      <c r="B10269" t="str">
        <f>"15344179506"</f>
        <v>15344179506</v>
      </c>
      <c r="C10269" t="s">
        <v>1</v>
      </c>
      <c r="D10269" t="s">
        <v>1</v>
      </c>
      <c r="E10269" t="s">
        <v>1</v>
      </c>
      <c r="F10269" t="s">
        <v>0</v>
      </c>
      <c r="G10269" t="str">
        <f>"2018-10-14 18:41:58"</f>
        <v>2018-10-14 18:41:58</v>
      </c>
    </row>
    <row r="10270" spans="1:7" x14ac:dyDescent="0.2">
      <c r="A10270" t="s">
        <v>1</v>
      </c>
      <c r="B10270" t="str">
        <f>"13898797470"</f>
        <v>13898797470</v>
      </c>
      <c r="C10270" t="s">
        <v>1</v>
      </c>
      <c r="D10270" t="s">
        <v>1</v>
      </c>
      <c r="E10270" t="s">
        <v>1</v>
      </c>
      <c r="F10270" t="s">
        <v>0</v>
      </c>
      <c r="G10270" t="str">
        <f>"2018-10-14 18:45:34"</f>
        <v>2018-10-14 18:45:34</v>
      </c>
    </row>
    <row r="10271" spans="1:7" x14ac:dyDescent="0.2">
      <c r="A10271" t="s">
        <v>10718</v>
      </c>
      <c r="B10271" t="str">
        <f>"13432342479"</f>
        <v>13432342479</v>
      </c>
      <c r="C10271" t="str">
        <f>"440923199409012151"</f>
        <v>440923199409012151</v>
      </c>
      <c r="D10271" t="s">
        <v>1</v>
      </c>
      <c r="E10271" t="s">
        <v>1</v>
      </c>
      <c r="F10271" t="s">
        <v>0</v>
      </c>
      <c r="G10271" t="str">
        <f>"2018-10-15 16:18:31"</f>
        <v>2018-10-15 16:18:31</v>
      </c>
    </row>
    <row r="10272" spans="1:7" x14ac:dyDescent="0.2">
      <c r="A10272" t="s">
        <v>1</v>
      </c>
      <c r="B10272" t="str">
        <f>"18870706692"</f>
        <v>18870706692</v>
      </c>
      <c r="C10272" t="s">
        <v>1</v>
      </c>
      <c r="D10272" t="s">
        <v>1</v>
      </c>
      <c r="E10272" t="s">
        <v>1</v>
      </c>
      <c r="F10272" t="s">
        <v>0</v>
      </c>
      <c r="G10272" t="str">
        <f>"2018-10-15 14:36:15"</f>
        <v>2018-10-15 14:36:15</v>
      </c>
    </row>
    <row r="10273" spans="1:7" x14ac:dyDescent="0.2">
      <c r="A10273" t="s">
        <v>1</v>
      </c>
      <c r="B10273" t="str">
        <f>"13935039574"</f>
        <v>13935039574</v>
      </c>
      <c r="C10273" t="s">
        <v>1</v>
      </c>
      <c r="D10273" t="s">
        <v>1</v>
      </c>
      <c r="E10273" t="s">
        <v>1</v>
      </c>
      <c r="F10273" t="s">
        <v>0</v>
      </c>
      <c r="G10273" t="str">
        <f>"2018-10-14 18:36:08"</f>
        <v>2018-10-14 18:36:08</v>
      </c>
    </row>
    <row r="10274" spans="1:7" x14ac:dyDescent="0.2">
      <c r="A10274" t="s">
        <v>10719</v>
      </c>
      <c r="B10274" t="str">
        <f>"15964777109"</f>
        <v>15964777109</v>
      </c>
      <c r="C10274" t="str">
        <f>"371521199710034219"</f>
        <v>371521199710034219</v>
      </c>
      <c r="D10274" t="s">
        <v>10720</v>
      </c>
      <c r="E10274" t="s">
        <v>10721</v>
      </c>
      <c r="F10274" t="s">
        <v>0</v>
      </c>
      <c r="G10274" t="str">
        <f>"2018-11-03 14:55:35"</f>
        <v>2018-11-03 14:55:35</v>
      </c>
    </row>
    <row r="10275" spans="1:7" x14ac:dyDescent="0.2">
      <c r="A10275" t="s">
        <v>1</v>
      </c>
      <c r="B10275" t="str">
        <f>"17084410529"</f>
        <v>17084410529</v>
      </c>
      <c r="C10275" t="s">
        <v>1</v>
      </c>
      <c r="D10275" t="s">
        <v>1</v>
      </c>
      <c r="E10275" t="s">
        <v>1</v>
      </c>
      <c r="F10275" t="s">
        <v>0</v>
      </c>
      <c r="G10275" t="str">
        <f>"2018-10-14 18:34:03"</f>
        <v>2018-10-14 18:34:03</v>
      </c>
    </row>
    <row r="10276" spans="1:7" x14ac:dyDescent="0.2">
      <c r="A10276" t="s">
        <v>10722</v>
      </c>
      <c r="B10276" t="str">
        <f>"13759417273"</f>
        <v>13759417273</v>
      </c>
      <c r="C10276" t="str">
        <f>"530381199410091179"</f>
        <v>530381199410091179</v>
      </c>
      <c r="D10276" t="s">
        <v>10723</v>
      </c>
      <c r="E10276" t="s">
        <v>10724</v>
      </c>
      <c r="F10276" t="s">
        <v>0</v>
      </c>
      <c r="G10276" t="str">
        <f>"2018-10-14 21:54:06"</f>
        <v>2018-10-14 21:54:06</v>
      </c>
    </row>
    <row r="10277" spans="1:7" x14ac:dyDescent="0.2">
      <c r="A10277" t="s">
        <v>10725</v>
      </c>
      <c r="B10277" t="str">
        <f>"13576810933"</f>
        <v>13576810933</v>
      </c>
      <c r="C10277" t="str">
        <f>"362427197807092530"</f>
        <v>362427197807092530</v>
      </c>
      <c r="D10277" t="s">
        <v>1</v>
      </c>
      <c r="E10277" t="s">
        <v>1</v>
      </c>
      <c r="F10277" t="s">
        <v>0</v>
      </c>
      <c r="G10277" t="str">
        <f>"2018-10-14 19:02:21"</f>
        <v>2018-10-14 19:02:21</v>
      </c>
    </row>
    <row r="10278" spans="1:7" x14ac:dyDescent="0.2">
      <c r="A10278" t="s">
        <v>1580</v>
      </c>
      <c r="B10278" t="str">
        <f>"18282030386"</f>
        <v>18282030386</v>
      </c>
      <c r="C10278" t="str">
        <f>"51130319901010061X"</f>
        <v>51130319901010061X</v>
      </c>
      <c r="D10278" t="s">
        <v>10726</v>
      </c>
      <c r="E10278" t="s">
        <v>10727</v>
      </c>
      <c r="F10278" t="s">
        <v>0</v>
      </c>
      <c r="G10278" t="str">
        <f>"2018-10-14 19:11:30"</f>
        <v>2018-10-14 19:11:30</v>
      </c>
    </row>
    <row r="10279" spans="1:7" x14ac:dyDescent="0.2">
      <c r="A10279" t="s">
        <v>1</v>
      </c>
      <c r="B10279" t="str">
        <f>"13323678256"</f>
        <v>13323678256</v>
      </c>
      <c r="C10279" t="s">
        <v>1</v>
      </c>
      <c r="D10279" t="s">
        <v>1</v>
      </c>
      <c r="E10279" t="s">
        <v>1</v>
      </c>
      <c r="F10279" t="s">
        <v>0</v>
      </c>
      <c r="G10279" t="str">
        <f>"2018-10-14 18:30:48"</f>
        <v>2018-10-14 18:30:48</v>
      </c>
    </row>
    <row r="10280" spans="1:7" x14ac:dyDescent="0.2">
      <c r="A10280" t="s">
        <v>10728</v>
      </c>
      <c r="B10280" t="str">
        <f>"13457186444"</f>
        <v>13457186444</v>
      </c>
      <c r="C10280" t="str">
        <f>"452123198510305210"</f>
        <v>452123198510305210</v>
      </c>
      <c r="D10280" t="s">
        <v>1</v>
      </c>
      <c r="E10280" t="s">
        <v>1</v>
      </c>
      <c r="F10280" t="s">
        <v>0</v>
      </c>
      <c r="G10280" t="str">
        <f>"2018-10-14 18:31:12"</f>
        <v>2018-10-14 18:31:12</v>
      </c>
    </row>
    <row r="10281" spans="1:7" x14ac:dyDescent="0.2">
      <c r="A10281" t="s">
        <v>1</v>
      </c>
      <c r="B10281" t="str">
        <f>"17623131239"</f>
        <v>17623131239</v>
      </c>
      <c r="C10281" t="s">
        <v>1</v>
      </c>
      <c r="D10281" t="s">
        <v>1</v>
      </c>
      <c r="E10281" t="s">
        <v>1</v>
      </c>
      <c r="F10281" t="s">
        <v>0</v>
      </c>
      <c r="G10281" t="str">
        <f>"2018-10-14 18:29:20"</f>
        <v>2018-10-14 18:29:20</v>
      </c>
    </row>
    <row r="10282" spans="1:7" x14ac:dyDescent="0.2">
      <c r="A10282" t="s">
        <v>10729</v>
      </c>
      <c r="B10282" t="str">
        <f>"13413496742"</f>
        <v>13413496742</v>
      </c>
      <c r="C10282" t="str">
        <f>"441827199912040417"</f>
        <v>441827199912040417</v>
      </c>
      <c r="D10282" t="s">
        <v>10730</v>
      </c>
      <c r="E10282" t="s">
        <v>10731</v>
      </c>
      <c r="F10282" t="s">
        <v>0</v>
      </c>
      <c r="G10282" t="str">
        <f>"2018-10-16 02:32:06"</f>
        <v>2018-10-16 02:32:06</v>
      </c>
    </row>
    <row r="10283" spans="1:7" x14ac:dyDescent="0.2">
      <c r="A10283" t="s">
        <v>113</v>
      </c>
      <c r="B10283" t="str">
        <f>"13589463006"</f>
        <v>13589463006</v>
      </c>
      <c r="C10283" t="str">
        <f>"371526198702155624"</f>
        <v>371526198702155624</v>
      </c>
      <c r="D10283" t="s">
        <v>1</v>
      </c>
      <c r="E10283" t="s">
        <v>1</v>
      </c>
      <c r="F10283" t="s">
        <v>0</v>
      </c>
      <c r="G10283" t="str">
        <f>"2018-10-25 13:28:21"</f>
        <v>2018-10-25 13:28:21</v>
      </c>
    </row>
    <row r="10284" spans="1:7" x14ac:dyDescent="0.2">
      <c r="A10284" t="s">
        <v>10732</v>
      </c>
      <c r="B10284" t="str">
        <f>"15077054809"</f>
        <v>15077054809</v>
      </c>
      <c r="C10284" t="str">
        <f>"450122198911171542"</f>
        <v>450122198911171542</v>
      </c>
      <c r="D10284" t="s">
        <v>1</v>
      </c>
      <c r="E10284" t="s">
        <v>1</v>
      </c>
      <c r="F10284" t="s">
        <v>0</v>
      </c>
      <c r="G10284" t="str">
        <f>"2018-10-14 18:26:42"</f>
        <v>2018-10-14 18:26:42</v>
      </c>
    </row>
    <row r="10285" spans="1:7" x14ac:dyDescent="0.2">
      <c r="A10285" t="s">
        <v>10733</v>
      </c>
      <c r="B10285" t="str">
        <f>"13715198772"</f>
        <v>13715198772</v>
      </c>
      <c r="C10285" t="str">
        <f>"430523198706128611"</f>
        <v>430523198706128611</v>
      </c>
      <c r="D10285" t="s">
        <v>1</v>
      </c>
      <c r="E10285" t="s">
        <v>1</v>
      </c>
      <c r="F10285" t="s">
        <v>0</v>
      </c>
      <c r="G10285" t="str">
        <f>"2018-10-30 09:15:18"</f>
        <v>2018-10-30 09:15:18</v>
      </c>
    </row>
    <row r="10286" spans="1:7" x14ac:dyDescent="0.2">
      <c r="A10286" t="s">
        <v>1472</v>
      </c>
      <c r="B10286" t="str">
        <f>"18579266259"</f>
        <v>18579266259</v>
      </c>
      <c r="C10286" t="str">
        <f>"360302199007232018"</f>
        <v>360302199007232018</v>
      </c>
      <c r="D10286" t="s">
        <v>1</v>
      </c>
      <c r="E10286" t="s">
        <v>1</v>
      </c>
      <c r="F10286" t="s">
        <v>0</v>
      </c>
      <c r="G10286" t="str">
        <f>"2018-10-14 18:26:39"</f>
        <v>2018-10-14 18:26:39</v>
      </c>
    </row>
    <row r="10287" spans="1:7" x14ac:dyDescent="0.2">
      <c r="A10287" t="s">
        <v>1</v>
      </c>
      <c r="B10287" t="str">
        <f>"15578014393"</f>
        <v>15578014393</v>
      </c>
      <c r="C10287" t="s">
        <v>1</v>
      </c>
      <c r="D10287" t="s">
        <v>1</v>
      </c>
      <c r="E10287" t="s">
        <v>1</v>
      </c>
      <c r="F10287" t="s">
        <v>0</v>
      </c>
      <c r="G10287" t="str">
        <f>"2018-10-14 18:22:44"</f>
        <v>2018-10-14 18:22:44</v>
      </c>
    </row>
    <row r="10288" spans="1:7" x14ac:dyDescent="0.2">
      <c r="A10288" t="s">
        <v>10734</v>
      </c>
      <c r="B10288" t="str">
        <f>"17635345703"</f>
        <v>17635345703</v>
      </c>
      <c r="C10288" t="str">
        <f>"142401199611123723"</f>
        <v>142401199611123723</v>
      </c>
      <c r="D10288" t="s">
        <v>10735</v>
      </c>
      <c r="E10288" t="s">
        <v>10736</v>
      </c>
      <c r="F10288" t="s">
        <v>0</v>
      </c>
      <c r="G10288" t="str">
        <f>"2018-10-15 08:19:06"</f>
        <v>2018-10-15 08:19:06</v>
      </c>
    </row>
    <row r="10289" spans="1:7" x14ac:dyDescent="0.2">
      <c r="A10289" t="s">
        <v>10737</v>
      </c>
      <c r="B10289" t="str">
        <f>"18845494545"</f>
        <v>18845494545</v>
      </c>
      <c r="C10289" t="str">
        <f>"230822199001203383"</f>
        <v>230822199001203383</v>
      </c>
      <c r="D10289" t="s">
        <v>10738</v>
      </c>
      <c r="E10289" t="s">
        <v>10739</v>
      </c>
      <c r="F10289" t="s">
        <v>0</v>
      </c>
      <c r="G10289" t="str">
        <f>"2018-10-14 18:21:08"</f>
        <v>2018-10-14 18:21:08</v>
      </c>
    </row>
    <row r="10290" spans="1:7" x14ac:dyDescent="0.2">
      <c r="A10290" t="s">
        <v>1</v>
      </c>
      <c r="B10290" t="str">
        <f>"15012322210"</f>
        <v>15012322210</v>
      </c>
      <c r="C10290" t="s">
        <v>1</v>
      </c>
      <c r="D10290" t="s">
        <v>1</v>
      </c>
      <c r="E10290" t="s">
        <v>1</v>
      </c>
      <c r="F10290" t="s">
        <v>0</v>
      </c>
      <c r="G10290" t="str">
        <f>"2018-10-14 18:19:17"</f>
        <v>2018-10-14 18:19:17</v>
      </c>
    </row>
    <row r="10291" spans="1:7" x14ac:dyDescent="0.2">
      <c r="A10291" t="s">
        <v>5947</v>
      </c>
      <c r="B10291" t="str">
        <f>"13697357444"</f>
        <v>13697357444</v>
      </c>
      <c r="C10291" t="str">
        <f>"421081198609255446"</f>
        <v>421081198609255446</v>
      </c>
      <c r="D10291" t="s">
        <v>1</v>
      </c>
      <c r="E10291" t="s">
        <v>1</v>
      </c>
      <c r="F10291" t="s">
        <v>0</v>
      </c>
      <c r="G10291" t="str">
        <f>"2018-10-14 18:18:55"</f>
        <v>2018-10-14 18:18:55</v>
      </c>
    </row>
    <row r="10292" spans="1:7" x14ac:dyDescent="0.2">
      <c r="A10292" t="s">
        <v>10740</v>
      </c>
      <c r="B10292" t="str">
        <f>"18204929811"</f>
        <v>18204929811</v>
      </c>
      <c r="C10292" t="str">
        <f>"152801198510280614"</f>
        <v>152801198510280614</v>
      </c>
      <c r="D10292" t="s">
        <v>1</v>
      </c>
      <c r="E10292" t="s">
        <v>1</v>
      </c>
      <c r="F10292" t="s">
        <v>0</v>
      </c>
      <c r="G10292" t="str">
        <f>"2018-10-14 18:19:57"</f>
        <v>2018-10-14 18:19:57</v>
      </c>
    </row>
    <row r="10293" spans="1:7" x14ac:dyDescent="0.2">
      <c r="A10293" t="s">
        <v>10741</v>
      </c>
      <c r="B10293" t="str">
        <f>"13803727665"</f>
        <v>13803727665</v>
      </c>
      <c r="C10293" t="str">
        <f>"410503199812155010"</f>
        <v>410503199812155010</v>
      </c>
      <c r="D10293" t="s">
        <v>10742</v>
      </c>
      <c r="E10293" t="s">
        <v>10743</v>
      </c>
      <c r="F10293" t="s">
        <v>0</v>
      </c>
      <c r="G10293" t="str">
        <f>"2018-10-14 18:18:14"</f>
        <v>2018-10-14 18:18:14</v>
      </c>
    </row>
    <row r="10294" spans="1:7" x14ac:dyDescent="0.2">
      <c r="A10294" t="s">
        <v>10744</v>
      </c>
      <c r="B10294" t="str">
        <f>"15809146164"</f>
        <v>15809146164</v>
      </c>
      <c r="C10294" t="str">
        <f>"612524199202025172"</f>
        <v>612524199202025172</v>
      </c>
      <c r="D10294" t="s">
        <v>1</v>
      </c>
      <c r="E10294" t="s">
        <v>1</v>
      </c>
      <c r="F10294" t="s">
        <v>0</v>
      </c>
      <c r="G10294" t="str">
        <f>"2018-10-14 18:19:07"</f>
        <v>2018-10-14 18:19:07</v>
      </c>
    </row>
    <row r="10295" spans="1:7" x14ac:dyDescent="0.2">
      <c r="A10295" t="s">
        <v>10745</v>
      </c>
      <c r="B10295" t="str">
        <f>"15876307856"</f>
        <v>15876307856</v>
      </c>
      <c r="C10295" t="str">
        <f>"441827198810036869"</f>
        <v>441827198810036869</v>
      </c>
      <c r="D10295" t="s">
        <v>1</v>
      </c>
      <c r="E10295" t="s">
        <v>1</v>
      </c>
      <c r="F10295" t="s">
        <v>0</v>
      </c>
      <c r="G10295" t="str">
        <f>"2018-10-14 18:20:28"</f>
        <v>2018-10-14 18:20:28</v>
      </c>
    </row>
    <row r="10296" spans="1:7" x14ac:dyDescent="0.2">
      <c r="A10296" t="s">
        <v>1</v>
      </c>
      <c r="B10296" t="str">
        <f>"13038798589"</f>
        <v>13038798589</v>
      </c>
      <c r="C10296" t="s">
        <v>1</v>
      </c>
      <c r="D10296" t="s">
        <v>1</v>
      </c>
      <c r="E10296" t="s">
        <v>1</v>
      </c>
      <c r="F10296" t="s">
        <v>0</v>
      </c>
      <c r="G10296" t="str">
        <f>"2018-10-14 18:18:57"</f>
        <v>2018-10-14 18:18:57</v>
      </c>
    </row>
    <row r="10297" spans="1:7" x14ac:dyDescent="0.2">
      <c r="A10297" t="s">
        <v>10746</v>
      </c>
      <c r="B10297" t="str">
        <f>"15160038110"</f>
        <v>15160038110</v>
      </c>
      <c r="C10297" t="str">
        <f>"350823198704031636"</f>
        <v>350823198704031636</v>
      </c>
      <c r="D10297" t="s">
        <v>1</v>
      </c>
      <c r="E10297" t="s">
        <v>1</v>
      </c>
      <c r="F10297" t="s">
        <v>0</v>
      </c>
      <c r="G10297" t="str">
        <f>"2018-10-14 18:39:05"</f>
        <v>2018-10-14 18:39:05</v>
      </c>
    </row>
    <row r="10298" spans="1:7" x14ac:dyDescent="0.2">
      <c r="A10298" t="s">
        <v>10747</v>
      </c>
      <c r="B10298" t="str">
        <f>"18262278271"</f>
        <v>18262278271</v>
      </c>
      <c r="C10298" t="str">
        <f>"500241199708192915"</f>
        <v>500241199708192915</v>
      </c>
      <c r="D10298" t="s">
        <v>1</v>
      </c>
      <c r="E10298" t="s">
        <v>1</v>
      </c>
      <c r="F10298" t="s">
        <v>0</v>
      </c>
      <c r="G10298" t="str">
        <f>"2018-10-15 13:54:19"</f>
        <v>2018-10-15 13:54:19</v>
      </c>
    </row>
    <row r="10299" spans="1:7" x14ac:dyDescent="0.2">
      <c r="A10299" t="s">
        <v>1</v>
      </c>
      <c r="B10299" t="str">
        <f>"17607676174"</f>
        <v>17607676174</v>
      </c>
      <c r="C10299" t="s">
        <v>1</v>
      </c>
      <c r="D10299" t="s">
        <v>1</v>
      </c>
      <c r="E10299" t="s">
        <v>1</v>
      </c>
      <c r="F10299" t="s">
        <v>0</v>
      </c>
      <c r="G10299" t="str">
        <f>"2018-10-14 18:16:48"</f>
        <v>2018-10-14 18:16:48</v>
      </c>
    </row>
    <row r="10300" spans="1:7" x14ac:dyDescent="0.2">
      <c r="A10300" t="s">
        <v>470</v>
      </c>
      <c r="B10300" t="str">
        <f>"17521105194"</f>
        <v>17521105194</v>
      </c>
      <c r="C10300" t="str">
        <f>"330328199708313919"</f>
        <v>330328199708313919</v>
      </c>
      <c r="D10300" t="s">
        <v>10748</v>
      </c>
      <c r="E10300" t="s">
        <v>10749</v>
      </c>
      <c r="F10300" t="s">
        <v>0</v>
      </c>
      <c r="G10300" t="str">
        <f>"2018-10-14 18:17:41"</f>
        <v>2018-10-14 18:17:41</v>
      </c>
    </row>
    <row r="10301" spans="1:7" x14ac:dyDescent="0.2">
      <c r="A10301" t="s">
        <v>1</v>
      </c>
      <c r="B10301" t="str">
        <f>"18269180856"</f>
        <v>18269180856</v>
      </c>
      <c r="C10301" t="s">
        <v>1</v>
      </c>
      <c r="D10301" t="s">
        <v>1</v>
      </c>
      <c r="E10301" t="s">
        <v>1</v>
      </c>
      <c r="F10301" t="s">
        <v>0</v>
      </c>
      <c r="G10301" t="str">
        <f>"2018-10-14 18:14:56"</f>
        <v>2018-10-14 18:14:56</v>
      </c>
    </row>
    <row r="10302" spans="1:7" x14ac:dyDescent="0.2">
      <c r="A10302" t="s">
        <v>1630</v>
      </c>
      <c r="B10302" t="str">
        <f>"13120957376"</f>
        <v>13120957376</v>
      </c>
      <c r="C10302" t="str">
        <f>"310112198101164312"</f>
        <v>310112198101164312</v>
      </c>
      <c r="D10302" t="s">
        <v>1</v>
      </c>
      <c r="E10302" t="s">
        <v>1</v>
      </c>
      <c r="F10302" t="s">
        <v>0</v>
      </c>
      <c r="G10302" t="str">
        <f>"2018-10-14 18:18:44"</f>
        <v>2018-10-14 18:18:44</v>
      </c>
    </row>
    <row r="10303" spans="1:7" x14ac:dyDescent="0.2">
      <c r="A10303" t="s">
        <v>10750</v>
      </c>
      <c r="B10303" t="str">
        <f>"13891747900"</f>
        <v>13891747900</v>
      </c>
      <c r="C10303" t="str">
        <f>"61032619850621041X"</f>
        <v>61032619850621041X</v>
      </c>
      <c r="D10303" t="s">
        <v>1</v>
      </c>
      <c r="E10303" t="s">
        <v>1</v>
      </c>
      <c r="F10303" t="s">
        <v>0</v>
      </c>
      <c r="G10303" t="str">
        <f>"2018-10-15 13:49:41"</f>
        <v>2018-10-15 13:49:41</v>
      </c>
    </row>
    <row r="10304" spans="1:7" x14ac:dyDescent="0.2">
      <c r="A10304" t="s">
        <v>10751</v>
      </c>
      <c r="B10304" t="str">
        <f>"13876725451"</f>
        <v>13876725451</v>
      </c>
      <c r="C10304" t="str">
        <f>"460032197809137617"</f>
        <v>460032197809137617</v>
      </c>
      <c r="D10304" t="s">
        <v>1</v>
      </c>
      <c r="E10304" t="s">
        <v>1</v>
      </c>
      <c r="F10304" t="s">
        <v>0</v>
      </c>
      <c r="G10304" t="str">
        <f>"2018-10-14 18:12:36"</f>
        <v>2018-10-14 18:12:36</v>
      </c>
    </row>
    <row r="10305" spans="1:7" x14ac:dyDescent="0.2">
      <c r="A10305" t="s">
        <v>10752</v>
      </c>
      <c r="B10305" t="str">
        <f>"18666165585"</f>
        <v>18666165585</v>
      </c>
      <c r="C10305" t="str">
        <f>"350322198205073838"</f>
        <v>350322198205073838</v>
      </c>
      <c r="D10305" t="s">
        <v>1</v>
      </c>
      <c r="E10305" t="s">
        <v>1</v>
      </c>
      <c r="F10305" t="s">
        <v>0</v>
      </c>
      <c r="G10305" t="str">
        <f>"2018-10-14 18:09:40"</f>
        <v>2018-10-14 18:09:40</v>
      </c>
    </row>
    <row r="10306" spans="1:7" x14ac:dyDescent="0.2">
      <c r="A10306" t="s">
        <v>10753</v>
      </c>
      <c r="B10306" t="str">
        <f>"17775132598"</f>
        <v>17775132598</v>
      </c>
      <c r="C10306" t="str">
        <f>"431023199408260049"</f>
        <v>431023199408260049</v>
      </c>
      <c r="D10306" t="s">
        <v>1</v>
      </c>
      <c r="E10306" t="s">
        <v>1</v>
      </c>
      <c r="F10306" t="s">
        <v>0</v>
      </c>
      <c r="G10306" t="str">
        <f>"2018-10-14 18:10:27"</f>
        <v>2018-10-14 18:10:27</v>
      </c>
    </row>
    <row r="10307" spans="1:7" x14ac:dyDescent="0.2">
      <c r="A10307" t="s">
        <v>10754</v>
      </c>
      <c r="B10307" t="str">
        <f>"13343038852"</f>
        <v>13343038852</v>
      </c>
      <c r="C10307" t="str">
        <f>"130182199005292971"</f>
        <v>130182199005292971</v>
      </c>
      <c r="D10307" t="s">
        <v>1</v>
      </c>
      <c r="E10307" t="s">
        <v>1</v>
      </c>
      <c r="F10307" t="s">
        <v>0</v>
      </c>
      <c r="G10307" t="str">
        <f>"2018-10-14 18:18:02"</f>
        <v>2018-10-14 18:18:02</v>
      </c>
    </row>
    <row r="10308" spans="1:7" x14ac:dyDescent="0.2">
      <c r="A10308" t="s">
        <v>10755</v>
      </c>
      <c r="B10308" t="str">
        <f>"15076055566"</f>
        <v>15076055566</v>
      </c>
      <c r="C10308" t="str">
        <f>"13030219850912161X"</f>
        <v>13030219850912161X</v>
      </c>
      <c r="D10308" t="s">
        <v>1</v>
      </c>
      <c r="E10308" t="s">
        <v>1</v>
      </c>
      <c r="F10308" t="s">
        <v>0</v>
      </c>
      <c r="G10308" t="str">
        <f>"2018-10-14 18:09:32"</f>
        <v>2018-10-14 18:09:32</v>
      </c>
    </row>
    <row r="10309" spans="1:7" x14ac:dyDescent="0.2">
      <c r="A10309" t="s">
        <v>10756</v>
      </c>
      <c r="B10309" t="str">
        <f>"13923833690"</f>
        <v>13923833690</v>
      </c>
      <c r="C10309" t="str">
        <f>"421081199011265644"</f>
        <v>421081199011265644</v>
      </c>
      <c r="D10309" t="s">
        <v>1</v>
      </c>
      <c r="E10309" t="s">
        <v>1</v>
      </c>
      <c r="F10309" t="s">
        <v>0</v>
      </c>
      <c r="G10309" t="str">
        <f>"2018-10-14 18:09:02"</f>
        <v>2018-10-14 18:09:02</v>
      </c>
    </row>
    <row r="10310" spans="1:7" x14ac:dyDescent="0.2">
      <c r="A10310" t="s">
        <v>1717</v>
      </c>
      <c r="B10310" t="str">
        <f>"18181649597"</f>
        <v>18181649597</v>
      </c>
      <c r="C10310" t="str">
        <f>"511523199607130025"</f>
        <v>511523199607130025</v>
      </c>
      <c r="D10310" t="s">
        <v>1</v>
      </c>
      <c r="E10310" t="s">
        <v>1</v>
      </c>
      <c r="F10310" t="s">
        <v>0</v>
      </c>
      <c r="G10310" t="str">
        <f>"2018-10-14 18:06:38"</f>
        <v>2018-10-14 18:06:38</v>
      </c>
    </row>
    <row r="10311" spans="1:7" x14ac:dyDescent="0.2">
      <c r="A10311" t="s">
        <v>1</v>
      </c>
      <c r="B10311" t="str">
        <f>"13175963134"</f>
        <v>13175963134</v>
      </c>
      <c r="C10311" t="s">
        <v>1</v>
      </c>
      <c r="D10311" t="s">
        <v>1</v>
      </c>
      <c r="E10311" t="s">
        <v>1</v>
      </c>
      <c r="F10311" t="s">
        <v>0</v>
      </c>
      <c r="G10311" t="str">
        <f>"2018-10-14 18:04:53"</f>
        <v>2018-10-14 18:04:53</v>
      </c>
    </row>
    <row r="10312" spans="1:7" x14ac:dyDescent="0.2">
      <c r="A10312" t="s">
        <v>1711</v>
      </c>
      <c r="B10312" t="str">
        <f>"13636207373"</f>
        <v>13636207373</v>
      </c>
      <c r="C10312" t="str">
        <f>"420321199008282119"</f>
        <v>420321199008282119</v>
      </c>
      <c r="D10312" t="s">
        <v>1</v>
      </c>
      <c r="E10312" t="s">
        <v>1</v>
      </c>
      <c r="F10312" t="s">
        <v>0</v>
      </c>
      <c r="G10312" t="str">
        <f>"2018-10-14 18:06:18"</f>
        <v>2018-10-14 18:06:18</v>
      </c>
    </row>
    <row r="10313" spans="1:7" x14ac:dyDescent="0.2">
      <c r="A10313" t="s">
        <v>1</v>
      </c>
      <c r="B10313" t="str">
        <f>"15013258825"</f>
        <v>15013258825</v>
      </c>
      <c r="C10313" t="s">
        <v>1</v>
      </c>
      <c r="D10313" t="s">
        <v>1</v>
      </c>
      <c r="E10313" t="s">
        <v>1</v>
      </c>
      <c r="F10313" t="s">
        <v>0</v>
      </c>
      <c r="G10313" t="str">
        <f>"2018-10-14 18:06:13"</f>
        <v>2018-10-14 18:06:13</v>
      </c>
    </row>
    <row r="10314" spans="1:7" x14ac:dyDescent="0.2">
      <c r="A10314" t="s">
        <v>10757</v>
      </c>
      <c r="B10314" t="str">
        <f>"18609609104"</f>
        <v>18609609104</v>
      </c>
      <c r="C10314" t="str">
        <f>"341126199601161213"</f>
        <v>341126199601161213</v>
      </c>
      <c r="D10314" t="s">
        <v>1</v>
      </c>
      <c r="E10314" t="s">
        <v>1</v>
      </c>
      <c r="F10314" t="s">
        <v>0</v>
      </c>
      <c r="G10314" t="str">
        <f>"2018-10-14 17:58:44"</f>
        <v>2018-10-14 17:58:44</v>
      </c>
    </row>
    <row r="10315" spans="1:7" x14ac:dyDescent="0.2">
      <c r="A10315" t="s">
        <v>629</v>
      </c>
      <c r="B10315" t="str">
        <f>"17793738214"</f>
        <v>17793738214</v>
      </c>
      <c r="C10315" t="str">
        <f>"622101199203232910"</f>
        <v>622101199203232910</v>
      </c>
      <c r="D10315" t="s">
        <v>10758</v>
      </c>
      <c r="E10315" t="s">
        <v>10759</v>
      </c>
      <c r="F10315" t="s">
        <v>0</v>
      </c>
      <c r="G10315" t="str">
        <f>"2018-10-14 17:55:21"</f>
        <v>2018-10-14 17:55:21</v>
      </c>
    </row>
    <row r="10316" spans="1:7" x14ac:dyDescent="0.2">
      <c r="A10316" t="s">
        <v>1</v>
      </c>
      <c r="B10316" t="str">
        <f>"15089211300"</f>
        <v>15089211300</v>
      </c>
      <c r="C10316" t="s">
        <v>1</v>
      </c>
      <c r="D10316" t="s">
        <v>1</v>
      </c>
      <c r="E10316" t="s">
        <v>1</v>
      </c>
      <c r="F10316" t="s">
        <v>0</v>
      </c>
      <c r="G10316" t="str">
        <f>"2018-10-14 17:53:51"</f>
        <v>2018-10-14 17:53:51</v>
      </c>
    </row>
    <row r="10317" spans="1:7" x14ac:dyDescent="0.2">
      <c r="A10317" t="s">
        <v>10760</v>
      </c>
      <c r="B10317" t="str">
        <f>"13779267370"</f>
        <v>13779267370</v>
      </c>
      <c r="C10317" t="str">
        <f>"622427198805245298"</f>
        <v>622427198805245298</v>
      </c>
      <c r="D10317" t="s">
        <v>1</v>
      </c>
      <c r="E10317" t="s">
        <v>1</v>
      </c>
      <c r="F10317" t="s">
        <v>0</v>
      </c>
      <c r="G10317" t="str">
        <f>"2018-10-14 17:55:21"</f>
        <v>2018-10-14 17:55:21</v>
      </c>
    </row>
    <row r="10318" spans="1:7" x14ac:dyDescent="0.2">
      <c r="A10318" t="s">
        <v>10761</v>
      </c>
      <c r="B10318" t="str">
        <f>"17710618995"</f>
        <v>17710618995</v>
      </c>
      <c r="C10318" t="str">
        <f>"13082119811227274X"</f>
        <v>13082119811227274X</v>
      </c>
      <c r="D10318" t="s">
        <v>1</v>
      </c>
      <c r="E10318" t="s">
        <v>1</v>
      </c>
      <c r="F10318" t="s">
        <v>0</v>
      </c>
      <c r="G10318" t="str">
        <f>"2018-10-14 18:15:49"</f>
        <v>2018-10-14 18:15:49</v>
      </c>
    </row>
    <row r="10319" spans="1:7" x14ac:dyDescent="0.2">
      <c r="A10319" t="s">
        <v>868</v>
      </c>
      <c r="B10319" t="str">
        <f>"15840428447"</f>
        <v>15840428447</v>
      </c>
      <c r="C10319" t="str">
        <f>"210323199405050024"</f>
        <v>210323199405050024</v>
      </c>
      <c r="D10319" t="s">
        <v>1</v>
      </c>
      <c r="E10319" t="s">
        <v>1</v>
      </c>
      <c r="F10319" t="s">
        <v>0</v>
      </c>
      <c r="G10319" t="str">
        <f>"2018-10-14 17:54:00"</f>
        <v>2018-10-14 17:54:00</v>
      </c>
    </row>
    <row r="10320" spans="1:7" x14ac:dyDescent="0.2">
      <c r="A10320" t="s">
        <v>10762</v>
      </c>
      <c r="B10320" t="str">
        <f>"15057738836"</f>
        <v>15057738836</v>
      </c>
      <c r="C10320" t="str">
        <f>"330824197408105918"</f>
        <v>330824197408105918</v>
      </c>
      <c r="D10320" t="s">
        <v>1</v>
      </c>
      <c r="E10320" t="s">
        <v>1</v>
      </c>
      <c r="F10320" t="s">
        <v>0</v>
      </c>
      <c r="G10320" t="str">
        <f>"2018-10-14 17:53:16"</f>
        <v>2018-10-14 17:53:16</v>
      </c>
    </row>
    <row r="10321" spans="1:7" x14ac:dyDescent="0.2">
      <c r="A10321" t="s">
        <v>1</v>
      </c>
      <c r="B10321" t="str">
        <f>"13289264582"</f>
        <v>13289264582</v>
      </c>
      <c r="C10321" t="s">
        <v>1</v>
      </c>
      <c r="D10321" t="s">
        <v>1</v>
      </c>
      <c r="E10321" t="s">
        <v>1</v>
      </c>
      <c r="F10321" t="s">
        <v>0</v>
      </c>
      <c r="G10321" t="str">
        <f>"2018-10-14 17:52:12"</f>
        <v>2018-10-14 17:52:12</v>
      </c>
    </row>
    <row r="10322" spans="1:7" x14ac:dyDescent="0.2">
      <c r="A10322" t="s">
        <v>1</v>
      </c>
      <c r="B10322" t="str">
        <f>"13522401596"</f>
        <v>13522401596</v>
      </c>
      <c r="C10322" t="s">
        <v>1</v>
      </c>
      <c r="D10322" t="s">
        <v>1</v>
      </c>
      <c r="E10322" t="s">
        <v>1</v>
      </c>
      <c r="F10322" t="s">
        <v>0</v>
      </c>
      <c r="G10322" t="str">
        <f>"2018-10-15 13:48:56"</f>
        <v>2018-10-15 13:48:56</v>
      </c>
    </row>
    <row r="10323" spans="1:7" x14ac:dyDescent="0.2">
      <c r="A10323" t="s">
        <v>681</v>
      </c>
      <c r="B10323" t="str">
        <f>"18220254950"</f>
        <v>18220254950</v>
      </c>
      <c r="C10323" t="str">
        <f>"612731199508230835"</f>
        <v>612731199508230835</v>
      </c>
      <c r="D10323" t="s">
        <v>1</v>
      </c>
      <c r="E10323" t="s">
        <v>1</v>
      </c>
      <c r="F10323" t="s">
        <v>0</v>
      </c>
      <c r="G10323" t="str">
        <f>"2018-10-14 17:53:22"</f>
        <v>2018-10-14 17:53:22</v>
      </c>
    </row>
    <row r="10324" spans="1:7" x14ac:dyDescent="0.2">
      <c r="A10324" t="s">
        <v>1</v>
      </c>
      <c r="B10324" t="str">
        <f>"18089350700"</f>
        <v>18089350700</v>
      </c>
      <c r="C10324" t="s">
        <v>1</v>
      </c>
      <c r="D10324" t="s">
        <v>1</v>
      </c>
      <c r="E10324" t="s">
        <v>1</v>
      </c>
      <c r="F10324" t="s">
        <v>0</v>
      </c>
      <c r="G10324" t="str">
        <f>"2018-10-14 17:50:33"</f>
        <v>2018-10-14 17:50:33</v>
      </c>
    </row>
    <row r="10325" spans="1:7" x14ac:dyDescent="0.2">
      <c r="A10325" t="s">
        <v>10763</v>
      </c>
      <c r="B10325" t="str">
        <f>"15811811030"</f>
        <v>15811811030</v>
      </c>
      <c r="C10325" t="str">
        <f>"513022199103072106"</f>
        <v>513022199103072106</v>
      </c>
      <c r="D10325" t="s">
        <v>1</v>
      </c>
      <c r="E10325" t="s">
        <v>1</v>
      </c>
      <c r="F10325" t="s">
        <v>0</v>
      </c>
      <c r="G10325" t="str">
        <f>"2018-10-14 17:52:05"</f>
        <v>2018-10-14 17:52:05</v>
      </c>
    </row>
    <row r="10326" spans="1:7" x14ac:dyDescent="0.2">
      <c r="A10326" t="s">
        <v>10764</v>
      </c>
      <c r="B10326" t="str">
        <f>"15213008909"</f>
        <v>15213008909</v>
      </c>
      <c r="C10326" t="str">
        <f>"50010919951023001X"</f>
        <v>50010919951023001X</v>
      </c>
      <c r="D10326" t="s">
        <v>1</v>
      </c>
      <c r="E10326" t="s">
        <v>1</v>
      </c>
      <c r="F10326" t="s">
        <v>0</v>
      </c>
      <c r="G10326" t="str">
        <f>"2018-10-14 17:50:37"</f>
        <v>2018-10-14 17:50:37</v>
      </c>
    </row>
    <row r="10327" spans="1:7" x14ac:dyDescent="0.2">
      <c r="A10327" t="s">
        <v>16</v>
      </c>
      <c r="B10327" t="str">
        <f>"18981161986"</f>
        <v>18981161986</v>
      </c>
      <c r="C10327" t="str">
        <f>"510704198609071715"</f>
        <v>510704198609071715</v>
      </c>
      <c r="D10327" t="s">
        <v>1</v>
      </c>
      <c r="E10327" t="s">
        <v>1</v>
      </c>
      <c r="F10327" t="s">
        <v>0</v>
      </c>
      <c r="G10327" t="str">
        <f>"2018-10-14 17:50:13"</f>
        <v>2018-10-14 17:50:13</v>
      </c>
    </row>
    <row r="10328" spans="1:7" x14ac:dyDescent="0.2">
      <c r="A10328" t="s">
        <v>475</v>
      </c>
      <c r="B10328" t="str">
        <f>"15658321505"</f>
        <v>15658321505</v>
      </c>
      <c r="C10328" t="str">
        <f>"330227198410247537"</f>
        <v>330227198410247537</v>
      </c>
      <c r="D10328" t="s">
        <v>1</v>
      </c>
      <c r="E10328" t="s">
        <v>1</v>
      </c>
      <c r="F10328" t="s">
        <v>0</v>
      </c>
      <c r="G10328" t="str">
        <f>"2018-10-22 18:47:02"</f>
        <v>2018-10-22 18:47:02</v>
      </c>
    </row>
    <row r="10329" spans="1:7" x14ac:dyDescent="0.2">
      <c r="A10329" t="s">
        <v>1</v>
      </c>
      <c r="B10329" t="str">
        <f>"13617466770"</f>
        <v>13617466770</v>
      </c>
      <c r="C10329" t="s">
        <v>1</v>
      </c>
      <c r="D10329" t="s">
        <v>1</v>
      </c>
      <c r="E10329" t="s">
        <v>1</v>
      </c>
      <c r="F10329" t="s">
        <v>0</v>
      </c>
      <c r="G10329" t="str">
        <f>"2018-10-14 17:49:27"</f>
        <v>2018-10-14 17:49:27</v>
      </c>
    </row>
    <row r="10330" spans="1:7" x14ac:dyDescent="0.2">
      <c r="A10330" t="s">
        <v>1</v>
      </c>
      <c r="B10330" t="str">
        <f>"15392702470"</f>
        <v>15392702470</v>
      </c>
      <c r="C10330" t="s">
        <v>1</v>
      </c>
      <c r="D10330" t="s">
        <v>1</v>
      </c>
      <c r="E10330" t="s">
        <v>1</v>
      </c>
      <c r="F10330" t="s">
        <v>0</v>
      </c>
      <c r="G10330" t="str">
        <f>"2018-10-15 06:33:48"</f>
        <v>2018-10-15 06:33:48</v>
      </c>
    </row>
    <row r="10331" spans="1:7" x14ac:dyDescent="0.2">
      <c r="A10331" t="s">
        <v>1</v>
      </c>
      <c r="B10331" t="str">
        <f>"13659218014"</f>
        <v>13659218014</v>
      </c>
      <c r="C10331" t="s">
        <v>1</v>
      </c>
      <c r="D10331" t="s">
        <v>1</v>
      </c>
      <c r="E10331" t="s">
        <v>1</v>
      </c>
      <c r="F10331" t="s">
        <v>0</v>
      </c>
      <c r="G10331" t="str">
        <f>"2018-10-14 17:46:19"</f>
        <v>2018-10-14 17:46:19</v>
      </c>
    </row>
    <row r="10332" spans="1:7" x14ac:dyDescent="0.2">
      <c r="A10332" t="s">
        <v>1</v>
      </c>
      <c r="B10332" t="str">
        <f>"13725932468"</f>
        <v>13725932468</v>
      </c>
      <c r="C10332" t="s">
        <v>1</v>
      </c>
      <c r="D10332" t="s">
        <v>1</v>
      </c>
      <c r="E10332" t="s">
        <v>1</v>
      </c>
      <c r="F10332" t="s">
        <v>0</v>
      </c>
      <c r="G10332" t="str">
        <f>"2018-10-14 17:45:28"</f>
        <v>2018-10-14 17:45:28</v>
      </c>
    </row>
    <row r="10333" spans="1:7" x14ac:dyDescent="0.2">
      <c r="A10333" t="s">
        <v>10765</v>
      </c>
      <c r="B10333" t="str">
        <f>"18554043817"</f>
        <v>18554043817</v>
      </c>
      <c r="C10333" t="str">
        <f>"370686199702080752"</f>
        <v>370686199702080752</v>
      </c>
      <c r="D10333" t="s">
        <v>10766</v>
      </c>
      <c r="E10333" t="s">
        <v>10767</v>
      </c>
      <c r="F10333" t="s">
        <v>0</v>
      </c>
      <c r="G10333" t="str">
        <f>"2018-10-14 17:45:41"</f>
        <v>2018-10-14 17:45:41</v>
      </c>
    </row>
    <row r="10334" spans="1:7" x14ac:dyDescent="0.2">
      <c r="A10334" t="s">
        <v>1</v>
      </c>
      <c r="B10334" t="str">
        <f>"15577724946"</f>
        <v>15577724946</v>
      </c>
      <c r="C10334" t="s">
        <v>1</v>
      </c>
      <c r="D10334" t="s">
        <v>1</v>
      </c>
      <c r="E10334" t="s">
        <v>1</v>
      </c>
      <c r="F10334" t="s">
        <v>0</v>
      </c>
      <c r="G10334" t="str">
        <f>"2018-10-14 17:43:00"</f>
        <v>2018-10-14 17:43:00</v>
      </c>
    </row>
    <row r="10335" spans="1:7" x14ac:dyDescent="0.2">
      <c r="A10335" t="s">
        <v>10768</v>
      </c>
      <c r="B10335" t="str">
        <f>"18889750103"</f>
        <v>18889750103</v>
      </c>
      <c r="C10335" t="str">
        <f>"440882199507248314"</f>
        <v>440882199507248314</v>
      </c>
      <c r="D10335" t="s">
        <v>1</v>
      </c>
      <c r="E10335" t="s">
        <v>1</v>
      </c>
      <c r="F10335" t="s">
        <v>0</v>
      </c>
      <c r="G10335" t="str">
        <f>"2018-10-14 17:43:53"</f>
        <v>2018-10-14 17:43:53</v>
      </c>
    </row>
    <row r="10336" spans="1:7" x14ac:dyDescent="0.2">
      <c r="A10336" t="s">
        <v>1</v>
      </c>
      <c r="B10336" t="str">
        <f>"15888728055"</f>
        <v>15888728055</v>
      </c>
      <c r="C10336" t="s">
        <v>1</v>
      </c>
      <c r="D10336" t="s">
        <v>1</v>
      </c>
      <c r="E10336" t="s">
        <v>1</v>
      </c>
      <c r="F10336" t="s">
        <v>0</v>
      </c>
      <c r="G10336" t="str">
        <f>"2018-10-14 17:42:05"</f>
        <v>2018-10-14 17:42:05</v>
      </c>
    </row>
    <row r="10337" spans="1:7" x14ac:dyDescent="0.2">
      <c r="A10337" t="s">
        <v>1</v>
      </c>
      <c r="B10337" t="str">
        <f>"18285690452"</f>
        <v>18285690452</v>
      </c>
      <c r="C10337" t="s">
        <v>1</v>
      </c>
      <c r="D10337" t="s">
        <v>1</v>
      </c>
      <c r="E10337" t="s">
        <v>1</v>
      </c>
      <c r="F10337" t="s">
        <v>0</v>
      </c>
      <c r="G10337" t="str">
        <f>"2018-10-14 17:41:30"</f>
        <v>2018-10-14 17:41:30</v>
      </c>
    </row>
    <row r="10338" spans="1:7" x14ac:dyDescent="0.2">
      <c r="A10338" t="s">
        <v>1</v>
      </c>
      <c r="B10338" t="str">
        <f>"13289079884"</f>
        <v>13289079884</v>
      </c>
      <c r="C10338" t="s">
        <v>1</v>
      </c>
      <c r="D10338" t="s">
        <v>1</v>
      </c>
      <c r="E10338" t="s">
        <v>1</v>
      </c>
      <c r="F10338" t="s">
        <v>0</v>
      </c>
      <c r="G10338" t="str">
        <f>"2018-10-14 17:54:49"</f>
        <v>2018-10-14 17:54:49</v>
      </c>
    </row>
    <row r="10339" spans="1:7" x14ac:dyDescent="0.2">
      <c r="A10339" t="s">
        <v>1</v>
      </c>
      <c r="B10339" t="str">
        <f>"13204280003"</f>
        <v>13204280003</v>
      </c>
      <c r="C10339" t="s">
        <v>1</v>
      </c>
      <c r="D10339" t="s">
        <v>1</v>
      </c>
      <c r="E10339" t="s">
        <v>1</v>
      </c>
      <c r="F10339" t="s">
        <v>0</v>
      </c>
      <c r="G10339" t="str">
        <f>"2018-10-14 17:40:10"</f>
        <v>2018-10-14 17:40:10</v>
      </c>
    </row>
    <row r="10340" spans="1:7" x14ac:dyDescent="0.2">
      <c r="A10340" t="s">
        <v>1</v>
      </c>
      <c r="B10340" t="str">
        <f>"15577744947"</f>
        <v>15577744947</v>
      </c>
      <c r="C10340" t="s">
        <v>1</v>
      </c>
      <c r="D10340" t="s">
        <v>1</v>
      </c>
      <c r="E10340" t="s">
        <v>1</v>
      </c>
      <c r="F10340" t="s">
        <v>0</v>
      </c>
      <c r="G10340" t="str">
        <f>"2018-10-14 17:40:06"</f>
        <v>2018-10-14 17:40:06</v>
      </c>
    </row>
    <row r="10341" spans="1:7" x14ac:dyDescent="0.2">
      <c r="A10341" t="s">
        <v>10769</v>
      </c>
      <c r="B10341" t="str">
        <f>"18782785048"</f>
        <v>18782785048</v>
      </c>
      <c r="C10341" t="str">
        <f>"513721199410183393"</f>
        <v>513721199410183393</v>
      </c>
      <c r="D10341" t="s">
        <v>10770</v>
      </c>
      <c r="E10341" t="s">
        <v>10771</v>
      </c>
      <c r="F10341" t="s">
        <v>0</v>
      </c>
      <c r="G10341" t="str">
        <f>"2018-10-14 17:40:19"</f>
        <v>2018-10-14 17:40:19</v>
      </c>
    </row>
    <row r="10342" spans="1:7" x14ac:dyDescent="0.2">
      <c r="A10342" t="s">
        <v>10772</v>
      </c>
      <c r="B10342" t="str">
        <f>"17832278237"</f>
        <v>17832278237</v>
      </c>
      <c r="C10342" t="str">
        <f>"320902199910263035"</f>
        <v>320902199910263035</v>
      </c>
      <c r="D10342" t="s">
        <v>1</v>
      </c>
      <c r="E10342" t="s">
        <v>1</v>
      </c>
      <c r="F10342" t="s">
        <v>0</v>
      </c>
      <c r="G10342" t="str">
        <f>"2018-10-14 17:40:20"</f>
        <v>2018-10-14 17:40:20</v>
      </c>
    </row>
    <row r="10343" spans="1:7" x14ac:dyDescent="0.2">
      <c r="A10343" t="s">
        <v>10773</v>
      </c>
      <c r="B10343" t="str">
        <f>"18789004122"</f>
        <v>18789004122</v>
      </c>
      <c r="C10343" t="str">
        <f>"460200199706134017"</f>
        <v>460200199706134017</v>
      </c>
      <c r="D10343" t="s">
        <v>1</v>
      </c>
      <c r="E10343" t="s">
        <v>1</v>
      </c>
      <c r="F10343" t="s">
        <v>0</v>
      </c>
      <c r="G10343" t="str">
        <f>"2018-10-14 17:40:21"</f>
        <v>2018-10-14 17:40:21</v>
      </c>
    </row>
    <row r="10344" spans="1:7" x14ac:dyDescent="0.2">
      <c r="A10344" t="s">
        <v>1065</v>
      </c>
      <c r="B10344" t="str">
        <f>"18232555508"</f>
        <v>18232555508</v>
      </c>
      <c r="C10344" t="str">
        <f>"130221199012277633"</f>
        <v>130221199012277633</v>
      </c>
      <c r="D10344" t="s">
        <v>1</v>
      </c>
      <c r="E10344" t="s">
        <v>1</v>
      </c>
      <c r="F10344" t="s">
        <v>0</v>
      </c>
      <c r="G10344" t="str">
        <f>"2018-10-14 17:43:52"</f>
        <v>2018-10-14 17:43:52</v>
      </c>
    </row>
    <row r="10345" spans="1:7" x14ac:dyDescent="0.2">
      <c r="A10345" t="s">
        <v>10774</v>
      </c>
      <c r="B10345" t="str">
        <f>"17351469919"</f>
        <v>17351469919</v>
      </c>
      <c r="C10345" t="str">
        <f>"522324199002021211"</f>
        <v>522324199002021211</v>
      </c>
      <c r="D10345" t="s">
        <v>1</v>
      </c>
      <c r="E10345" t="s">
        <v>1</v>
      </c>
      <c r="F10345" t="s">
        <v>0</v>
      </c>
      <c r="G10345" t="str">
        <f>"2018-10-14 17:39:19"</f>
        <v>2018-10-14 17:39:19</v>
      </c>
    </row>
    <row r="10346" spans="1:7" x14ac:dyDescent="0.2">
      <c r="A10346" t="s">
        <v>1</v>
      </c>
      <c r="B10346" t="str">
        <f>"15735131155"</f>
        <v>15735131155</v>
      </c>
      <c r="C10346" t="s">
        <v>1</v>
      </c>
      <c r="D10346" t="s">
        <v>1</v>
      </c>
      <c r="E10346" t="s">
        <v>1</v>
      </c>
      <c r="F10346" t="s">
        <v>0</v>
      </c>
      <c r="G10346" t="str">
        <f>"2018-10-14 17:37:09"</f>
        <v>2018-10-14 17:37:09</v>
      </c>
    </row>
    <row r="10347" spans="1:7" x14ac:dyDescent="0.2">
      <c r="A10347" t="s">
        <v>1</v>
      </c>
      <c r="B10347" t="str">
        <f>"18781508228"</f>
        <v>18781508228</v>
      </c>
      <c r="C10347" t="s">
        <v>1</v>
      </c>
      <c r="D10347" t="s">
        <v>1</v>
      </c>
      <c r="E10347" t="s">
        <v>1</v>
      </c>
      <c r="F10347" t="s">
        <v>0</v>
      </c>
      <c r="G10347" t="str">
        <f>"2018-10-14 17:35:40"</f>
        <v>2018-10-14 17:35:40</v>
      </c>
    </row>
    <row r="10348" spans="1:7" x14ac:dyDescent="0.2">
      <c r="A10348" t="s">
        <v>1</v>
      </c>
      <c r="B10348" t="str">
        <f>"15095310020"</f>
        <v>15095310020</v>
      </c>
      <c r="C10348" t="s">
        <v>1</v>
      </c>
      <c r="D10348" t="s">
        <v>1</v>
      </c>
      <c r="E10348" t="s">
        <v>1</v>
      </c>
      <c r="F10348" t="s">
        <v>0</v>
      </c>
      <c r="G10348" t="str">
        <f>"2018-10-14 17:35:28"</f>
        <v>2018-10-14 17:35:28</v>
      </c>
    </row>
    <row r="10349" spans="1:7" x14ac:dyDescent="0.2">
      <c r="A10349" t="s">
        <v>10775</v>
      </c>
      <c r="B10349" t="str">
        <f>"18187029070"</f>
        <v>18187029070</v>
      </c>
      <c r="C10349" t="str">
        <f>"530321199510111716"</f>
        <v>530321199510111716</v>
      </c>
      <c r="D10349" t="s">
        <v>1</v>
      </c>
      <c r="E10349" t="s">
        <v>1</v>
      </c>
      <c r="F10349" t="s">
        <v>0</v>
      </c>
      <c r="G10349" t="str">
        <f>"2018-10-25 16:32:34"</f>
        <v>2018-10-25 16:32:34</v>
      </c>
    </row>
    <row r="10350" spans="1:7" x14ac:dyDescent="0.2">
      <c r="A10350" t="s">
        <v>1396</v>
      </c>
      <c r="B10350" t="str">
        <f>"13730052577"</f>
        <v>13730052577</v>
      </c>
      <c r="C10350" t="str">
        <f>"130434197711151013"</f>
        <v>130434197711151013</v>
      </c>
      <c r="D10350" t="s">
        <v>1</v>
      </c>
      <c r="E10350" t="s">
        <v>1</v>
      </c>
      <c r="F10350" t="s">
        <v>0</v>
      </c>
      <c r="G10350" t="str">
        <f>"2018-10-14 17:34:40"</f>
        <v>2018-10-14 17:34:40</v>
      </c>
    </row>
    <row r="10351" spans="1:7" x14ac:dyDescent="0.2">
      <c r="A10351" t="s">
        <v>10776</v>
      </c>
      <c r="B10351" t="str">
        <f>"18109555252"</f>
        <v>18109555252</v>
      </c>
      <c r="C10351" t="str">
        <f>"642222196711050619"</f>
        <v>642222196711050619</v>
      </c>
      <c r="D10351" t="s">
        <v>10777</v>
      </c>
      <c r="E10351" t="s">
        <v>10778</v>
      </c>
      <c r="F10351" t="s">
        <v>0</v>
      </c>
      <c r="G10351" t="str">
        <f>"2018-10-14 17:36:41"</f>
        <v>2018-10-14 17:36:41</v>
      </c>
    </row>
    <row r="10352" spans="1:7" x14ac:dyDescent="0.2">
      <c r="A10352" t="s">
        <v>1</v>
      </c>
      <c r="B10352" t="str">
        <f>"17757109912"</f>
        <v>17757109912</v>
      </c>
      <c r="C10352" t="s">
        <v>1</v>
      </c>
      <c r="D10352" t="s">
        <v>1</v>
      </c>
      <c r="E10352" t="s">
        <v>1</v>
      </c>
      <c r="F10352" t="s">
        <v>0</v>
      </c>
      <c r="G10352" t="str">
        <f>"2018-10-14 17:59:32"</f>
        <v>2018-10-14 17:59:32</v>
      </c>
    </row>
    <row r="10353" spans="1:7" x14ac:dyDescent="0.2">
      <c r="A10353" t="s">
        <v>1</v>
      </c>
      <c r="B10353" t="str">
        <f>"18277260515"</f>
        <v>18277260515</v>
      </c>
      <c r="C10353" t="s">
        <v>1</v>
      </c>
      <c r="D10353" t="s">
        <v>1</v>
      </c>
      <c r="E10353" t="s">
        <v>1</v>
      </c>
      <c r="F10353" t="s">
        <v>0</v>
      </c>
      <c r="G10353" t="str">
        <f>"2018-10-14 17:33:28"</f>
        <v>2018-10-14 17:33:28</v>
      </c>
    </row>
    <row r="10354" spans="1:7" x14ac:dyDescent="0.2">
      <c r="A10354" t="s">
        <v>10779</v>
      </c>
      <c r="B10354" t="str">
        <f>"18127655139"</f>
        <v>18127655139</v>
      </c>
      <c r="C10354" t="str">
        <f>"440204198408195038"</f>
        <v>440204198408195038</v>
      </c>
      <c r="D10354" t="s">
        <v>1</v>
      </c>
      <c r="E10354" t="s">
        <v>1</v>
      </c>
      <c r="F10354" t="s">
        <v>0</v>
      </c>
      <c r="G10354" t="str">
        <f>"2018-10-14 17:34:27"</f>
        <v>2018-10-14 17:34:27</v>
      </c>
    </row>
    <row r="10355" spans="1:7" x14ac:dyDescent="0.2">
      <c r="A10355" t="s">
        <v>10780</v>
      </c>
      <c r="B10355" t="str">
        <f>"13425182289"</f>
        <v>13425182289</v>
      </c>
      <c r="C10355" t="str">
        <f>"440921198308038339"</f>
        <v>440921198308038339</v>
      </c>
      <c r="D10355" t="s">
        <v>1</v>
      </c>
      <c r="E10355" t="s">
        <v>1</v>
      </c>
      <c r="F10355" t="s">
        <v>0</v>
      </c>
      <c r="G10355" t="str">
        <f>"2018-10-14 17:33:29"</f>
        <v>2018-10-14 17:33:29</v>
      </c>
    </row>
    <row r="10356" spans="1:7" x14ac:dyDescent="0.2">
      <c r="A10356" t="s">
        <v>1</v>
      </c>
      <c r="B10356" t="str">
        <f>"15154155536"</f>
        <v>15154155536</v>
      </c>
      <c r="C10356" t="s">
        <v>1</v>
      </c>
      <c r="D10356" t="s">
        <v>1</v>
      </c>
      <c r="E10356" t="s">
        <v>1</v>
      </c>
      <c r="F10356" t="s">
        <v>0</v>
      </c>
      <c r="G10356" t="str">
        <f>"2018-10-15 09:34:15"</f>
        <v>2018-10-15 09:34:15</v>
      </c>
    </row>
    <row r="10357" spans="1:7" x14ac:dyDescent="0.2">
      <c r="A10357" t="s">
        <v>1</v>
      </c>
      <c r="B10357" t="str">
        <f>"13157008194"</f>
        <v>13157008194</v>
      </c>
      <c r="C10357" t="s">
        <v>1</v>
      </c>
      <c r="D10357" t="s">
        <v>1</v>
      </c>
      <c r="E10357" t="s">
        <v>1</v>
      </c>
      <c r="F10357" t="s">
        <v>0</v>
      </c>
      <c r="G10357" t="str">
        <f>"2018-10-14 17:31:33"</f>
        <v>2018-10-14 17:31:33</v>
      </c>
    </row>
    <row r="10358" spans="1:7" x14ac:dyDescent="0.2">
      <c r="A10358" t="s">
        <v>1</v>
      </c>
      <c r="B10358" t="str">
        <f>"18187530896"</f>
        <v>18187530896</v>
      </c>
      <c r="C10358" t="s">
        <v>1</v>
      </c>
      <c r="D10358" t="s">
        <v>1</v>
      </c>
      <c r="E10358" t="s">
        <v>1</v>
      </c>
      <c r="F10358" t="s">
        <v>0</v>
      </c>
      <c r="G10358" t="str">
        <f>"2018-10-14 17:30:08"</f>
        <v>2018-10-14 17:30:08</v>
      </c>
    </row>
    <row r="10359" spans="1:7" x14ac:dyDescent="0.2">
      <c r="A10359" t="s">
        <v>1</v>
      </c>
      <c r="B10359" t="str">
        <f>"13583822265"</f>
        <v>13583822265</v>
      </c>
      <c r="C10359" t="s">
        <v>1</v>
      </c>
      <c r="D10359" t="s">
        <v>1</v>
      </c>
      <c r="E10359" t="s">
        <v>1</v>
      </c>
      <c r="F10359" t="s">
        <v>0</v>
      </c>
      <c r="G10359" t="str">
        <f>"2018-10-14 17:29:14"</f>
        <v>2018-10-14 17:29:14</v>
      </c>
    </row>
    <row r="10360" spans="1:7" x14ac:dyDescent="0.2">
      <c r="A10360" t="s">
        <v>1</v>
      </c>
      <c r="B10360" t="str">
        <f>"13225611779"</f>
        <v>13225611779</v>
      </c>
      <c r="C10360" t="s">
        <v>1</v>
      </c>
      <c r="D10360" t="s">
        <v>1</v>
      </c>
      <c r="E10360" t="s">
        <v>1</v>
      </c>
      <c r="F10360" t="s">
        <v>0</v>
      </c>
      <c r="G10360" t="str">
        <f>"2018-10-14 17:27:04"</f>
        <v>2018-10-14 17:27:04</v>
      </c>
    </row>
    <row r="10361" spans="1:7" x14ac:dyDescent="0.2">
      <c r="A10361" t="s">
        <v>1</v>
      </c>
      <c r="B10361" t="str">
        <f>"15387778769"</f>
        <v>15387778769</v>
      </c>
      <c r="C10361" t="s">
        <v>1</v>
      </c>
      <c r="D10361" t="s">
        <v>1</v>
      </c>
      <c r="E10361" t="s">
        <v>1</v>
      </c>
      <c r="F10361" t="s">
        <v>0</v>
      </c>
      <c r="G10361" t="str">
        <f>"2018-10-14 17:25:52"</f>
        <v>2018-10-14 17:25:52</v>
      </c>
    </row>
    <row r="10362" spans="1:7" x14ac:dyDescent="0.2">
      <c r="A10362" t="s">
        <v>10781</v>
      </c>
      <c r="B10362" t="str">
        <f>"18183513528"</f>
        <v>18183513528</v>
      </c>
      <c r="C10362" t="str">
        <f>"532928199005240719"</f>
        <v>532928199005240719</v>
      </c>
      <c r="D10362" t="s">
        <v>1</v>
      </c>
      <c r="E10362" t="s">
        <v>1</v>
      </c>
      <c r="F10362" t="s">
        <v>0</v>
      </c>
      <c r="G10362" t="str">
        <f>"2018-10-14 17:25:44"</f>
        <v>2018-10-14 17:25:44</v>
      </c>
    </row>
    <row r="10363" spans="1:7" x14ac:dyDescent="0.2">
      <c r="A10363" t="s">
        <v>1</v>
      </c>
      <c r="B10363" t="str">
        <f>"15181291668"</f>
        <v>15181291668</v>
      </c>
      <c r="C10363" t="s">
        <v>1</v>
      </c>
      <c r="D10363" t="s">
        <v>1</v>
      </c>
      <c r="E10363" t="s">
        <v>1</v>
      </c>
      <c r="F10363" t="s">
        <v>0</v>
      </c>
      <c r="G10363" t="str">
        <f>"2018-10-14 17:24:26"</f>
        <v>2018-10-14 17:24:26</v>
      </c>
    </row>
    <row r="10364" spans="1:7" x14ac:dyDescent="0.2">
      <c r="A10364" t="s">
        <v>1</v>
      </c>
      <c r="B10364" t="str">
        <f>"15678583747"</f>
        <v>15678583747</v>
      </c>
      <c r="C10364" t="s">
        <v>1</v>
      </c>
      <c r="D10364" t="s">
        <v>1</v>
      </c>
      <c r="E10364" t="s">
        <v>1</v>
      </c>
      <c r="F10364" t="s">
        <v>0</v>
      </c>
      <c r="G10364" t="str">
        <f>"2018-10-14 17:24:18"</f>
        <v>2018-10-14 17:24:18</v>
      </c>
    </row>
    <row r="10365" spans="1:7" x14ac:dyDescent="0.2">
      <c r="A10365" t="s">
        <v>10782</v>
      </c>
      <c r="B10365" t="str">
        <f>"15135769586"</f>
        <v>15135769586</v>
      </c>
      <c r="C10365" t="str">
        <f>"141024199408020077"</f>
        <v>141024199408020077</v>
      </c>
      <c r="D10365" t="s">
        <v>10783</v>
      </c>
      <c r="E10365" t="s">
        <v>10784</v>
      </c>
      <c r="F10365" t="s">
        <v>0</v>
      </c>
      <c r="G10365" t="str">
        <f>"2018-10-14 17:26:37"</f>
        <v>2018-10-14 17:26:37</v>
      </c>
    </row>
    <row r="10366" spans="1:7" x14ac:dyDescent="0.2">
      <c r="A10366" t="s">
        <v>131</v>
      </c>
      <c r="B10366" t="str">
        <f>"18902175562"</f>
        <v>18902175562</v>
      </c>
      <c r="C10366" t="str">
        <f>"150202199306261818"</f>
        <v>150202199306261818</v>
      </c>
      <c r="D10366" t="s">
        <v>1</v>
      </c>
      <c r="E10366" t="s">
        <v>1</v>
      </c>
      <c r="F10366" t="s">
        <v>0</v>
      </c>
      <c r="G10366" t="str">
        <f>"2018-10-25 16:10:32"</f>
        <v>2018-10-25 16:10:32</v>
      </c>
    </row>
    <row r="10367" spans="1:7" x14ac:dyDescent="0.2">
      <c r="A10367" t="s">
        <v>932</v>
      </c>
      <c r="B10367" t="str">
        <f>"15934788044"</f>
        <v>15934788044</v>
      </c>
      <c r="C10367" t="str">
        <f>"522422198901301215"</f>
        <v>522422198901301215</v>
      </c>
      <c r="D10367" t="s">
        <v>1</v>
      </c>
      <c r="E10367" t="s">
        <v>1</v>
      </c>
      <c r="F10367" t="s">
        <v>0</v>
      </c>
      <c r="G10367" t="str">
        <f>"2018-10-14 17:23:37"</f>
        <v>2018-10-14 17:23:37</v>
      </c>
    </row>
    <row r="10368" spans="1:7" x14ac:dyDescent="0.2">
      <c r="A10368" t="s">
        <v>10785</v>
      </c>
      <c r="B10368" t="str">
        <f>"15047371782"</f>
        <v>15047371782</v>
      </c>
      <c r="C10368" t="str">
        <f>"152822197505233036"</f>
        <v>152822197505233036</v>
      </c>
      <c r="D10368" t="s">
        <v>1</v>
      </c>
      <c r="E10368" t="s">
        <v>1</v>
      </c>
      <c r="F10368" t="s">
        <v>0</v>
      </c>
      <c r="G10368" t="str">
        <f>"2018-10-14 22:33:28"</f>
        <v>2018-10-14 22:33:28</v>
      </c>
    </row>
    <row r="10369" spans="1:7" x14ac:dyDescent="0.2">
      <c r="A10369" t="s">
        <v>499</v>
      </c>
      <c r="B10369" t="str">
        <f>"17508511778"</f>
        <v>17508511778</v>
      </c>
      <c r="C10369" t="str">
        <f>"520103198311126712"</f>
        <v>520103198311126712</v>
      </c>
      <c r="D10369" t="s">
        <v>10786</v>
      </c>
      <c r="E10369" t="s">
        <v>10787</v>
      </c>
      <c r="F10369" t="s">
        <v>0</v>
      </c>
      <c r="G10369" t="str">
        <f>"2018-10-14 17:24:41"</f>
        <v>2018-10-14 17:24:41</v>
      </c>
    </row>
    <row r="10370" spans="1:7" x14ac:dyDescent="0.2">
      <c r="A10370" t="s">
        <v>10788</v>
      </c>
      <c r="B10370" t="str">
        <f>"15137789895"</f>
        <v>15137789895</v>
      </c>
      <c r="C10370" t="str">
        <f>"411302199102194238"</f>
        <v>411302199102194238</v>
      </c>
      <c r="D10370" t="s">
        <v>1</v>
      </c>
      <c r="E10370" t="s">
        <v>1</v>
      </c>
      <c r="F10370" t="s">
        <v>0</v>
      </c>
      <c r="G10370" t="str">
        <f>"2018-10-14 17:30:52"</f>
        <v>2018-10-14 17:30:52</v>
      </c>
    </row>
    <row r="10371" spans="1:7" x14ac:dyDescent="0.2">
      <c r="A10371" t="s">
        <v>1</v>
      </c>
      <c r="B10371" t="str">
        <f>"15096049120"</f>
        <v>15096049120</v>
      </c>
      <c r="C10371" t="s">
        <v>1</v>
      </c>
      <c r="D10371" t="s">
        <v>1</v>
      </c>
      <c r="E10371" t="s">
        <v>1</v>
      </c>
      <c r="F10371" t="s">
        <v>0</v>
      </c>
      <c r="G10371" t="str">
        <f>"2018-10-14 17:22:23"</f>
        <v>2018-10-14 17:22:23</v>
      </c>
    </row>
    <row r="10372" spans="1:7" x14ac:dyDescent="0.2">
      <c r="A10372" t="s">
        <v>10789</v>
      </c>
      <c r="B10372" t="str">
        <f>"13435944481"</f>
        <v>13435944481</v>
      </c>
      <c r="C10372" t="str">
        <f>"445381198810310025"</f>
        <v>445381198810310025</v>
      </c>
      <c r="D10372" t="s">
        <v>1</v>
      </c>
      <c r="E10372" t="s">
        <v>1</v>
      </c>
      <c r="F10372" t="s">
        <v>0</v>
      </c>
      <c r="G10372" t="str">
        <f>"2018-10-14 17:22:12"</f>
        <v>2018-10-14 17:22:12</v>
      </c>
    </row>
    <row r="10373" spans="1:7" x14ac:dyDescent="0.2">
      <c r="A10373" t="s">
        <v>10790</v>
      </c>
      <c r="B10373" t="str">
        <f>"13794972707"</f>
        <v>13794972707</v>
      </c>
      <c r="C10373" t="str">
        <f>"44190019950214485X"</f>
        <v>44190019950214485X</v>
      </c>
      <c r="D10373" t="s">
        <v>1</v>
      </c>
      <c r="E10373" t="s">
        <v>1</v>
      </c>
      <c r="F10373" t="s">
        <v>0</v>
      </c>
      <c r="G10373" t="str">
        <f>"2018-11-03 23:51:11"</f>
        <v>2018-11-03 23:51:11</v>
      </c>
    </row>
    <row r="10374" spans="1:7" x14ac:dyDescent="0.2">
      <c r="A10374" t="s">
        <v>1714</v>
      </c>
      <c r="B10374" t="str">
        <f>"13969884311"</f>
        <v>13969884311</v>
      </c>
      <c r="C10374" t="str">
        <f>"37028519951006141X"</f>
        <v>37028519951006141X</v>
      </c>
      <c r="D10374" t="s">
        <v>10791</v>
      </c>
      <c r="E10374" t="s">
        <v>10792</v>
      </c>
      <c r="F10374" t="s">
        <v>0</v>
      </c>
      <c r="G10374" t="str">
        <f>"2018-10-24 13:28:19"</f>
        <v>2018-10-24 13:28:19</v>
      </c>
    </row>
    <row r="10375" spans="1:7" x14ac:dyDescent="0.2">
      <c r="A10375" t="s">
        <v>10793</v>
      </c>
      <c r="B10375" t="str">
        <f>"13304527775"</f>
        <v>13304527775</v>
      </c>
      <c r="C10375" t="str">
        <f>"230204199209280024"</f>
        <v>230204199209280024</v>
      </c>
      <c r="D10375" t="s">
        <v>1</v>
      </c>
      <c r="E10375" t="s">
        <v>1</v>
      </c>
      <c r="F10375" t="s">
        <v>0</v>
      </c>
      <c r="G10375" t="str">
        <f>"2018-10-14 17:20:37"</f>
        <v>2018-10-14 17:20:37</v>
      </c>
    </row>
    <row r="10376" spans="1:7" x14ac:dyDescent="0.2">
      <c r="A10376" t="s">
        <v>10794</v>
      </c>
      <c r="B10376" t="str">
        <f>"13242327689"</f>
        <v>13242327689</v>
      </c>
      <c r="C10376" t="str">
        <f>"445222199502230372"</f>
        <v>445222199502230372</v>
      </c>
      <c r="D10376" t="s">
        <v>1</v>
      </c>
      <c r="E10376" t="s">
        <v>1</v>
      </c>
      <c r="F10376" t="s">
        <v>0</v>
      </c>
      <c r="G10376" t="str">
        <f>"2018-10-14 17:40:36"</f>
        <v>2018-10-14 17:40:36</v>
      </c>
    </row>
    <row r="10377" spans="1:7" x14ac:dyDescent="0.2">
      <c r="A10377" t="s">
        <v>1</v>
      </c>
      <c r="B10377" t="str">
        <f>"18281651671"</f>
        <v>18281651671</v>
      </c>
      <c r="C10377" t="s">
        <v>1</v>
      </c>
      <c r="D10377" t="s">
        <v>1</v>
      </c>
      <c r="E10377" t="s">
        <v>1</v>
      </c>
      <c r="F10377" t="s">
        <v>0</v>
      </c>
      <c r="G10377" t="str">
        <f>"2018-10-14 17:18:18"</f>
        <v>2018-10-14 17:18:18</v>
      </c>
    </row>
    <row r="10378" spans="1:7" x14ac:dyDescent="0.2">
      <c r="A10378" t="s">
        <v>10795</v>
      </c>
      <c r="B10378" t="str">
        <f>"18949528080"</f>
        <v>18949528080</v>
      </c>
      <c r="C10378" t="str">
        <f>"610425198906130231"</f>
        <v>610425198906130231</v>
      </c>
      <c r="D10378" t="s">
        <v>1</v>
      </c>
      <c r="E10378" t="s">
        <v>1</v>
      </c>
      <c r="F10378" t="s">
        <v>0</v>
      </c>
      <c r="G10378" t="str">
        <f>"2018-10-14 17:16:06"</f>
        <v>2018-10-14 17:16:06</v>
      </c>
    </row>
    <row r="10379" spans="1:7" x14ac:dyDescent="0.2">
      <c r="A10379" t="s">
        <v>1</v>
      </c>
      <c r="B10379" t="str">
        <f>"13433729579"</f>
        <v>13433729579</v>
      </c>
      <c r="C10379" t="s">
        <v>1</v>
      </c>
      <c r="D10379" t="s">
        <v>1</v>
      </c>
      <c r="E10379" t="s">
        <v>1</v>
      </c>
      <c r="F10379" t="s">
        <v>0</v>
      </c>
      <c r="G10379" t="str">
        <f>"2018-10-14 17:16:06"</f>
        <v>2018-10-14 17:16:06</v>
      </c>
    </row>
    <row r="10380" spans="1:7" x14ac:dyDescent="0.2">
      <c r="A10380" t="s">
        <v>10796</v>
      </c>
      <c r="B10380" t="str">
        <f>"13336166113"</f>
        <v>13336166113</v>
      </c>
      <c r="C10380" t="str">
        <f>"330183198810045622"</f>
        <v>330183198810045622</v>
      </c>
      <c r="D10380" t="s">
        <v>1</v>
      </c>
      <c r="E10380" t="s">
        <v>1</v>
      </c>
      <c r="F10380" t="s">
        <v>0</v>
      </c>
      <c r="G10380" t="str">
        <f>"2018-10-14 17:17:15"</f>
        <v>2018-10-14 17:17:15</v>
      </c>
    </row>
    <row r="10381" spans="1:7" x14ac:dyDescent="0.2">
      <c r="A10381" t="s">
        <v>1</v>
      </c>
      <c r="B10381" t="str">
        <f>"17508549866"</f>
        <v>17508549866</v>
      </c>
      <c r="C10381" t="s">
        <v>1</v>
      </c>
      <c r="D10381" t="s">
        <v>1</v>
      </c>
      <c r="E10381" t="s">
        <v>1</v>
      </c>
      <c r="F10381" t="s">
        <v>0</v>
      </c>
      <c r="G10381" t="str">
        <f>"2018-10-14 17:15:03"</f>
        <v>2018-10-14 17:15:03</v>
      </c>
    </row>
    <row r="10382" spans="1:7" x14ac:dyDescent="0.2">
      <c r="A10382" t="s">
        <v>10797</v>
      </c>
      <c r="B10382" t="str">
        <f>"15136137863"</f>
        <v>15136137863</v>
      </c>
      <c r="C10382" t="str">
        <f>"410527199309220023"</f>
        <v>410527199309220023</v>
      </c>
      <c r="D10382" t="s">
        <v>1</v>
      </c>
      <c r="E10382" t="s">
        <v>1</v>
      </c>
      <c r="F10382" t="s">
        <v>0</v>
      </c>
      <c r="G10382" t="str">
        <f>"2018-10-14 17:14:01"</f>
        <v>2018-10-14 17:14:01</v>
      </c>
    </row>
    <row r="10383" spans="1:7" x14ac:dyDescent="0.2">
      <c r="A10383" t="s">
        <v>10798</v>
      </c>
      <c r="B10383" t="str">
        <f>"13963467433"</f>
        <v>13963467433</v>
      </c>
      <c r="C10383" t="str">
        <f>"371202197805016318"</f>
        <v>371202197805016318</v>
      </c>
      <c r="D10383" t="s">
        <v>1</v>
      </c>
      <c r="E10383" t="s">
        <v>1</v>
      </c>
      <c r="F10383" t="s">
        <v>0</v>
      </c>
      <c r="G10383" t="str">
        <f>"2018-10-14 17:15:22"</f>
        <v>2018-10-14 17:15:22</v>
      </c>
    </row>
    <row r="10384" spans="1:7" x14ac:dyDescent="0.2">
      <c r="A10384" t="s">
        <v>1</v>
      </c>
      <c r="B10384" t="str">
        <f>"18611985772"</f>
        <v>18611985772</v>
      </c>
      <c r="C10384" t="s">
        <v>1</v>
      </c>
      <c r="D10384" t="s">
        <v>1</v>
      </c>
      <c r="E10384" t="s">
        <v>1</v>
      </c>
      <c r="F10384" t="s">
        <v>0</v>
      </c>
      <c r="G10384" t="str">
        <f>"2018-10-14 17:14:23"</f>
        <v>2018-10-14 17:14:23</v>
      </c>
    </row>
    <row r="10385" spans="1:7" x14ac:dyDescent="0.2">
      <c r="A10385" t="s">
        <v>1</v>
      </c>
      <c r="B10385" t="str">
        <f>"15248305830"</f>
        <v>15248305830</v>
      </c>
      <c r="C10385" t="s">
        <v>1</v>
      </c>
      <c r="D10385" t="s">
        <v>1</v>
      </c>
      <c r="E10385" t="s">
        <v>1</v>
      </c>
      <c r="F10385" t="s">
        <v>0</v>
      </c>
      <c r="G10385" t="str">
        <f>"2018-10-14 17:11:49"</f>
        <v>2018-10-14 17:11:49</v>
      </c>
    </row>
    <row r="10386" spans="1:7" x14ac:dyDescent="0.2">
      <c r="A10386" t="s">
        <v>565</v>
      </c>
      <c r="B10386" t="str">
        <f>"13995538540"</f>
        <v>13995538540</v>
      </c>
      <c r="C10386" t="str">
        <f>"420105199009093212"</f>
        <v>420105199009093212</v>
      </c>
      <c r="D10386" t="s">
        <v>1</v>
      </c>
      <c r="E10386" t="s">
        <v>1</v>
      </c>
      <c r="F10386" t="s">
        <v>0</v>
      </c>
      <c r="G10386" t="str">
        <f>"2018-10-14 17:12:55"</f>
        <v>2018-10-14 17:12:55</v>
      </c>
    </row>
    <row r="10387" spans="1:7" x14ac:dyDescent="0.2">
      <c r="A10387" t="s">
        <v>1</v>
      </c>
      <c r="B10387" t="str">
        <f>"15178243977"</f>
        <v>15178243977</v>
      </c>
      <c r="C10387" t="s">
        <v>1</v>
      </c>
      <c r="D10387" t="s">
        <v>1</v>
      </c>
      <c r="E10387" t="s">
        <v>1</v>
      </c>
      <c r="F10387" t="s">
        <v>0</v>
      </c>
      <c r="G10387" t="str">
        <f>"2018-10-14 17:08:58"</f>
        <v>2018-10-14 17:08:58</v>
      </c>
    </row>
    <row r="10388" spans="1:7" x14ac:dyDescent="0.2">
      <c r="A10388" t="s">
        <v>1</v>
      </c>
      <c r="B10388" t="str">
        <f>"13342575966"</f>
        <v>13342575966</v>
      </c>
      <c r="C10388" t="s">
        <v>1</v>
      </c>
      <c r="D10388" t="s">
        <v>1</v>
      </c>
      <c r="E10388" t="s">
        <v>1</v>
      </c>
      <c r="F10388" t="s">
        <v>0</v>
      </c>
      <c r="G10388" t="str">
        <f>"2018-10-14 17:21:29"</f>
        <v>2018-10-14 17:21:29</v>
      </c>
    </row>
    <row r="10389" spans="1:7" x14ac:dyDescent="0.2">
      <c r="A10389" t="s">
        <v>1</v>
      </c>
      <c r="B10389" t="str">
        <f>"15577690843"</f>
        <v>15577690843</v>
      </c>
      <c r="C10389" t="s">
        <v>1</v>
      </c>
      <c r="D10389" t="s">
        <v>1</v>
      </c>
      <c r="E10389" t="s">
        <v>1</v>
      </c>
      <c r="F10389" t="s">
        <v>0</v>
      </c>
      <c r="G10389" t="str">
        <f>"2018-10-14 17:06:30"</f>
        <v>2018-10-14 17:06:30</v>
      </c>
    </row>
    <row r="10390" spans="1:7" x14ac:dyDescent="0.2">
      <c r="A10390" t="s">
        <v>10799</v>
      </c>
      <c r="B10390" t="str">
        <f>"13568620764"</f>
        <v>13568620764</v>
      </c>
      <c r="C10390" t="str">
        <f>"510522199208153177"</f>
        <v>510522199208153177</v>
      </c>
      <c r="D10390" t="s">
        <v>1</v>
      </c>
      <c r="E10390" t="s">
        <v>1</v>
      </c>
      <c r="F10390" t="s">
        <v>0</v>
      </c>
      <c r="G10390" t="str">
        <f>"2018-10-15 09:30:10"</f>
        <v>2018-10-15 09:30:10</v>
      </c>
    </row>
    <row r="10391" spans="1:7" x14ac:dyDescent="0.2">
      <c r="A10391" t="s">
        <v>10800</v>
      </c>
      <c r="B10391" t="str">
        <f>"13632444661"</f>
        <v>13632444661</v>
      </c>
      <c r="C10391" t="str">
        <f>"440183199112012137"</f>
        <v>440183199112012137</v>
      </c>
      <c r="D10391" t="s">
        <v>1</v>
      </c>
      <c r="E10391" t="s">
        <v>1</v>
      </c>
      <c r="F10391" t="s">
        <v>0</v>
      </c>
      <c r="G10391" t="str">
        <f>"2018-10-14 17:07:27"</f>
        <v>2018-10-14 17:07:27</v>
      </c>
    </row>
    <row r="10392" spans="1:7" x14ac:dyDescent="0.2">
      <c r="A10392" t="s">
        <v>1</v>
      </c>
      <c r="B10392" t="str">
        <f>"15860050890"</f>
        <v>15860050890</v>
      </c>
      <c r="C10392" t="s">
        <v>1</v>
      </c>
      <c r="D10392" t="s">
        <v>1</v>
      </c>
      <c r="E10392" t="s">
        <v>1</v>
      </c>
      <c r="F10392" t="s">
        <v>0</v>
      </c>
      <c r="G10392" t="str">
        <f>"2018-10-14 17:05:39"</f>
        <v>2018-10-14 17:05:39</v>
      </c>
    </row>
    <row r="10393" spans="1:7" x14ac:dyDescent="0.2">
      <c r="A10393" t="s">
        <v>10801</v>
      </c>
      <c r="B10393" t="str">
        <f>"13708881393"</f>
        <v>13708881393</v>
      </c>
      <c r="C10393" t="str">
        <f>"530125198011030444"</f>
        <v>530125198011030444</v>
      </c>
      <c r="D10393" t="s">
        <v>1</v>
      </c>
      <c r="E10393" t="s">
        <v>1</v>
      </c>
      <c r="F10393" t="s">
        <v>0</v>
      </c>
      <c r="G10393" t="str">
        <f>"2018-10-14 17:06:24"</f>
        <v>2018-10-14 17:06:24</v>
      </c>
    </row>
    <row r="10394" spans="1:7" x14ac:dyDescent="0.2">
      <c r="A10394" t="s">
        <v>1</v>
      </c>
      <c r="B10394" t="str">
        <f>"17346747166"</f>
        <v>17346747166</v>
      </c>
      <c r="C10394" t="s">
        <v>1</v>
      </c>
      <c r="D10394" t="s">
        <v>1</v>
      </c>
      <c r="E10394" t="s">
        <v>1</v>
      </c>
      <c r="F10394" t="s">
        <v>0</v>
      </c>
      <c r="G10394" t="str">
        <f>"2018-10-14 17:04:36"</f>
        <v>2018-10-14 17:04:36</v>
      </c>
    </row>
    <row r="10395" spans="1:7" x14ac:dyDescent="0.2">
      <c r="A10395" t="s">
        <v>1</v>
      </c>
      <c r="B10395" t="str">
        <f>"13812270061"</f>
        <v>13812270061</v>
      </c>
      <c r="C10395" t="s">
        <v>1</v>
      </c>
      <c r="D10395" t="s">
        <v>1</v>
      </c>
      <c r="E10395" t="s">
        <v>1</v>
      </c>
      <c r="F10395" t="s">
        <v>0</v>
      </c>
      <c r="G10395" t="str">
        <f>"2018-10-14 17:03:15"</f>
        <v>2018-10-14 17:03:15</v>
      </c>
    </row>
    <row r="10396" spans="1:7" x14ac:dyDescent="0.2">
      <c r="A10396" t="s">
        <v>10802</v>
      </c>
      <c r="B10396" t="str">
        <f>"13633715693"</f>
        <v>13633715693</v>
      </c>
      <c r="C10396" t="str">
        <f>"410882199710148639"</f>
        <v>410882199710148639</v>
      </c>
      <c r="D10396" t="s">
        <v>10803</v>
      </c>
      <c r="E10396" t="s">
        <v>10804</v>
      </c>
      <c r="F10396" t="s">
        <v>0</v>
      </c>
      <c r="G10396" t="str">
        <f>"2018-10-30 16:48:01"</f>
        <v>2018-10-30 16:48:01</v>
      </c>
    </row>
    <row r="10397" spans="1:7" x14ac:dyDescent="0.2">
      <c r="A10397" t="s">
        <v>10805</v>
      </c>
      <c r="B10397" t="str">
        <f>"13126890852"</f>
        <v>13126890852</v>
      </c>
      <c r="C10397" t="str">
        <f>"510524199603051413"</f>
        <v>510524199603051413</v>
      </c>
      <c r="D10397" t="s">
        <v>1</v>
      </c>
      <c r="E10397" t="s">
        <v>1</v>
      </c>
      <c r="F10397" t="s">
        <v>0</v>
      </c>
      <c r="G10397" t="str">
        <f>"2018-10-14 17:05:22"</f>
        <v>2018-10-14 17:05:22</v>
      </c>
    </row>
    <row r="10398" spans="1:7" x14ac:dyDescent="0.2">
      <c r="A10398" t="s">
        <v>10806</v>
      </c>
      <c r="B10398" t="str">
        <f>"15991291567"</f>
        <v>15991291567</v>
      </c>
      <c r="C10398" t="str">
        <f>"610526198410307920"</f>
        <v>610526198410307920</v>
      </c>
      <c r="D10398" t="s">
        <v>1</v>
      </c>
      <c r="E10398" t="s">
        <v>1</v>
      </c>
      <c r="F10398" t="s">
        <v>0</v>
      </c>
      <c r="G10398" t="str">
        <f>"2018-10-24 20:18:50"</f>
        <v>2018-10-24 20:18:50</v>
      </c>
    </row>
    <row r="10399" spans="1:7" x14ac:dyDescent="0.2">
      <c r="A10399" t="s">
        <v>10807</v>
      </c>
      <c r="B10399" t="str">
        <f>"17623703334"</f>
        <v>17623703334</v>
      </c>
      <c r="C10399" t="str">
        <f>"513021199511145398"</f>
        <v>513021199511145398</v>
      </c>
      <c r="D10399" t="s">
        <v>1</v>
      </c>
      <c r="E10399" t="s">
        <v>1</v>
      </c>
      <c r="F10399" t="s">
        <v>0</v>
      </c>
      <c r="G10399" t="str">
        <f>"2018-10-14 17:03:34"</f>
        <v>2018-10-14 17:03:34</v>
      </c>
    </row>
    <row r="10400" spans="1:7" x14ac:dyDescent="0.2">
      <c r="A10400" t="s">
        <v>10808</v>
      </c>
      <c r="B10400" t="str">
        <f>"15858700759"</f>
        <v>15858700759</v>
      </c>
      <c r="C10400" t="str">
        <f>"330381199307311017"</f>
        <v>330381199307311017</v>
      </c>
      <c r="D10400" t="s">
        <v>1</v>
      </c>
      <c r="E10400" t="s">
        <v>1</v>
      </c>
      <c r="F10400" t="s">
        <v>0</v>
      </c>
      <c r="G10400" t="str">
        <f>"2018-10-14 17:04:25"</f>
        <v>2018-10-14 17:04:25</v>
      </c>
    </row>
    <row r="10401" spans="1:7" x14ac:dyDescent="0.2">
      <c r="A10401" t="s">
        <v>10809</v>
      </c>
      <c r="B10401" t="str">
        <f>"15950923943"</f>
        <v>15950923943</v>
      </c>
      <c r="C10401" t="str">
        <f>"511025199105207198"</f>
        <v>511025199105207198</v>
      </c>
      <c r="D10401" t="s">
        <v>10810</v>
      </c>
      <c r="E10401" t="s">
        <v>10811</v>
      </c>
      <c r="F10401" t="s">
        <v>0</v>
      </c>
      <c r="G10401" t="str">
        <f>"2018-10-14 19:11:00"</f>
        <v>2018-10-14 19:11:00</v>
      </c>
    </row>
    <row r="10402" spans="1:7" x14ac:dyDescent="0.2">
      <c r="A10402" t="s">
        <v>10812</v>
      </c>
      <c r="B10402" t="str">
        <f>"17729903439"</f>
        <v>17729903439</v>
      </c>
      <c r="C10402" t="str">
        <f>"340406199710173416"</f>
        <v>340406199710173416</v>
      </c>
      <c r="D10402" t="s">
        <v>10813</v>
      </c>
      <c r="E10402" t="s">
        <v>10814</v>
      </c>
      <c r="F10402" t="s">
        <v>0</v>
      </c>
      <c r="G10402" t="str">
        <f>"2018-10-14 17:12:02"</f>
        <v>2018-10-14 17:12:02</v>
      </c>
    </row>
    <row r="10403" spans="1:7" x14ac:dyDescent="0.2">
      <c r="A10403" t="s">
        <v>10815</v>
      </c>
      <c r="B10403" t="str">
        <f>"13885370884"</f>
        <v>13885370884</v>
      </c>
      <c r="C10403" t="str">
        <f>"522527197410120076"</f>
        <v>522527197410120076</v>
      </c>
      <c r="D10403" t="s">
        <v>1</v>
      </c>
      <c r="E10403" t="s">
        <v>1</v>
      </c>
      <c r="F10403" t="s">
        <v>0</v>
      </c>
      <c r="G10403" t="str">
        <f>"2018-10-14 17:00:36"</f>
        <v>2018-10-14 17:00:36</v>
      </c>
    </row>
    <row r="10404" spans="1:7" x14ac:dyDescent="0.2">
      <c r="A10404" t="s">
        <v>10816</v>
      </c>
      <c r="B10404" t="str">
        <f>"17640527853"</f>
        <v>17640527853</v>
      </c>
      <c r="C10404" t="str">
        <f>"210726198409254119"</f>
        <v>210726198409254119</v>
      </c>
      <c r="D10404" t="s">
        <v>1</v>
      </c>
      <c r="E10404" t="s">
        <v>1</v>
      </c>
      <c r="F10404" t="s">
        <v>0</v>
      </c>
      <c r="G10404" t="str">
        <f>"2018-10-14 16:58:32"</f>
        <v>2018-10-14 16:58:32</v>
      </c>
    </row>
    <row r="10405" spans="1:7" x14ac:dyDescent="0.2">
      <c r="A10405" t="s">
        <v>1</v>
      </c>
      <c r="B10405" t="str">
        <f>"15578094092"</f>
        <v>15578094092</v>
      </c>
      <c r="C10405" t="s">
        <v>1</v>
      </c>
      <c r="D10405" t="s">
        <v>1</v>
      </c>
      <c r="E10405" t="s">
        <v>1</v>
      </c>
      <c r="F10405" t="s">
        <v>0</v>
      </c>
      <c r="G10405" t="str">
        <f>"2018-10-14 16:58:12"</f>
        <v>2018-10-14 16:58:12</v>
      </c>
    </row>
    <row r="10406" spans="1:7" x14ac:dyDescent="0.2">
      <c r="A10406" t="s">
        <v>10817</v>
      </c>
      <c r="B10406" t="str">
        <f>"18806453238"</f>
        <v>18806453238</v>
      </c>
      <c r="C10406" t="str">
        <f>"370685198907243024"</f>
        <v>370685198907243024</v>
      </c>
      <c r="D10406" t="s">
        <v>1</v>
      </c>
      <c r="E10406" t="s">
        <v>1</v>
      </c>
      <c r="F10406" t="s">
        <v>0</v>
      </c>
      <c r="G10406" t="str">
        <f>"2018-10-14 17:00:30"</f>
        <v>2018-10-14 17:00:30</v>
      </c>
    </row>
    <row r="10407" spans="1:7" x14ac:dyDescent="0.2">
      <c r="A10407" t="s">
        <v>1</v>
      </c>
      <c r="B10407" t="str">
        <f>"15025572420"</f>
        <v>15025572420</v>
      </c>
      <c r="C10407" t="s">
        <v>1</v>
      </c>
      <c r="D10407" t="s">
        <v>1</v>
      </c>
      <c r="E10407" t="s">
        <v>1</v>
      </c>
      <c r="F10407" t="s">
        <v>0</v>
      </c>
      <c r="G10407" t="str">
        <f>"2018-10-14 16:57:50"</f>
        <v>2018-10-14 16:57:50</v>
      </c>
    </row>
    <row r="10408" spans="1:7" x14ac:dyDescent="0.2">
      <c r="A10408" t="s">
        <v>10818</v>
      </c>
      <c r="B10408" t="str">
        <f>"13765825997"</f>
        <v>13765825997</v>
      </c>
      <c r="C10408" t="str">
        <f>"520111198611231530"</f>
        <v>520111198611231530</v>
      </c>
      <c r="D10408" t="s">
        <v>1</v>
      </c>
      <c r="E10408" t="s">
        <v>1</v>
      </c>
      <c r="F10408" t="s">
        <v>0</v>
      </c>
      <c r="G10408" t="str">
        <f>"2018-10-14 17:00:31"</f>
        <v>2018-10-14 17:00:31</v>
      </c>
    </row>
    <row r="10409" spans="1:7" x14ac:dyDescent="0.2">
      <c r="A10409" t="s">
        <v>10819</v>
      </c>
      <c r="B10409" t="str">
        <f>"13527486500"</f>
        <v>13527486500</v>
      </c>
      <c r="C10409" t="str">
        <f>"500230198907052110"</f>
        <v>500230198907052110</v>
      </c>
      <c r="D10409" t="s">
        <v>1</v>
      </c>
      <c r="E10409" t="s">
        <v>1</v>
      </c>
      <c r="F10409" t="s">
        <v>0</v>
      </c>
      <c r="G10409" t="str">
        <f>"2018-10-14 16:59:07"</f>
        <v>2018-10-14 16:59:07</v>
      </c>
    </row>
    <row r="10410" spans="1:7" x14ac:dyDescent="0.2">
      <c r="A10410" t="s">
        <v>1</v>
      </c>
      <c r="B10410" t="str">
        <f>"13297699054"</f>
        <v>13297699054</v>
      </c>
      <c r="C10410" t="s">
        <v>1</v>
      </c>
      <c r="D10410" t="s">
        <v>1</v>
      </c>
      <c r="E10410" t="s">
        <v>1</v>
      </c>
      <c r="F10410" t="s">
        <v>0</v>
      </c>
      <c r="G10410" t="str">
        <f>"2018-10-14 16:56:36"</f>
        <v>2018-10-14 16:56:36</v>
      </c>
    </row>
    <row r="10411" spans="1:7" x14ac:dyDescent="0.2">
      <c r="A10411" t="s">
        <v>1704</v>
      </c>
      <c r="B10411" t="str">
        <f>"15241080972"</f>
        <v>15241080972</v>
      </c>
      <c r="C10411" t="str">
        <f>"211203197904260115"</f>
        <v>211203197904260115</v>
      </c>
      <c r="D10411" t="s">
        <v>10820</v>
      </c>
      <c r="E10411" t="s">
        <v>10821</v>
      </c>
      <c r="F10411" t="s">
        <v>0</v>
      </c>
      <c r="G10411" t="str">
        <f>"2018-10-14 16:58:24"</f>
        <v>2018-10-14 16:58:24</v>
      </c>
    </row>
    <row r="10412" spans="1:7" x14ac:dyDescent="0.2">
      <c r="A10412" t="s">
        <v>10822</v>
      </c>
      <c r="B10412" t="str">
        <f>"18600136449"</f>
        <v>18600136449</v>
      </c>
      <c r="C10412" t="str">
        <f>"110105196407020813"</f>
        <v>110105196407020813</v>
      </c>
      <c r="D10412" t="s">
        <v>10823</v>
      </c>
      <c r="E10412" t="s">
        <v>10824</v>
      </c>
      <c r="F10412" t="s">
        <v>0</v>
      </c>
      <c r="G10412" t="str">
        <f>"2018-10-14 16:57:04"</f>
        <v>2018-10-14 16:57:04</v>
      </c>
    </row>
    <row r="10413" spans="1:7" x14ac:dyDescent="0.2">
      <c r="A10413" t="s">
        <v>10825</v>
      </c>
      <c r="B10413" t="str">
        <f>"18729529773"</f>
        <v>18729529773</v>
      </c>
      <c r="C10413" t="str">
        <f>"610423199710083025"</f>
        <v>610423199710083025</v>
      </c>
      <c r="D10413" t="s">
        <v>1</v>
      </c>
      <c r="E10413" t="s">
        <v>1</v>
      </c>
      <c r="F10413" t="s">
        <v>0</v>
      </c>
      <c r="G10413" t="str">
        <f>"2018-10-14 16:56:45"</f>
        <v>2018-10-14 16:56:45</v>
      </c>
    </row>
    <row r="10414" spans="1:7" x14ac:dyDescent="0.2">
      <c r="A10414" t="s">
        <v>341</v>
      </c>
      <c r="B10414" t="str">
        <f>"17749967677"</f>
        <v>17749967677</v>
      </c>
      <c r="C10414" t="str">
        <f>"500109198707102332"</f>
        <v>500109198707102332</v>
      </c>
      <c r="D10414" t="s">
        <v>1</v>
      </c>
      <c r="E10414" t="s">
        <v>1</v>
      </c>
      <c r="F10414" t="s">
        <v>0</v>
      </c>
      <c r="G10414" t="str">
        <f>"2018-10-14 16:58:11"</f>
        <v>2018-10-14 16:58:11</v>
      </c>
    </row>
    <row r="10415" spans="1:7" x14ac:dyDescent="0.2">
      <c r="A10415" t="s">
        <v>1</v>
      </c>
      <c r="B10415" t="str">
        <f>"18766267055"</f>
        <v>18766267055</v>
      </c>
      <c r="C10415" t="s">
        <v>1</v>
      </c>
      <c r="D10415" t="s">
        <v>1</v>
      </c>
      <c r="E10415" t="s">
        <v>1</v>
      </c>
      <c r="F10415" t="s">
        <v>0</v>
      </c>
      <c r="G10415" t="str">
        <f>"2018-10-14 17:03:07"</f>
        <v>2018-10-14 17:03:07</v>
      </c>
    </row>
    <row r="10416" spans="1:7" x14ac:dyDescent="0.2">
      <c r="A10416" t="s">
        <v>1</v>
      </c>
      <c r="B10416" t="str">
        <f>"15841772940"</f>
        <v>15841772940</v>
      </c>
      <c r="C10416" t="s">
        <v>1</v>
      </c>
      <c r="D10416" t="s">
        <v>1</v>
      </c>
      <c r="E10416" t="s">
        <v>1</v>
      </c>
      <c r="F10416" t="s">
        <v>0</v>
      </c>
      <c r="G10416" t="str">
        <f>"2018-10-14 16:54:50"</f>
        <v>2018-10-14 16:54:50</v>
      </c>
    </row>
    <row r="10417" spans="1:7" x14ac:dyDescent="0.2">
      <c r="A10417" t="s">
        <v>10826</v>
      </c>
      <c r="B10417" t="str">
        <f>"18136562979"</f>
        <v>18136562979</v>
      </c>
      <c r="C10417" t="str">
        <f>"320721199411010218"</f>
        <v>320721199411010218</v>
      </c>
      <c r="D10417" t="s">
        <v>1</v>
      </c>
      <c r="E10417" t="s">
        <v>1</v>
      </c>
      <c r="F10417" t="s">
        <v>0</v>
      </c>
      <c r="G10417" t="str">
        <f>"2018-10-14 16:55:26"</f>
        <v>2018-10-14 16:55:26</v>
      </c>
    </row>
    <row r="10418" spans="1:7" x14ac:dyDescent="0.2">
      <c r="A10418" t="s">
        <v>10827</v>
      </c>
      <c r="B10418" t="str">
        <f>"13138379649"</f>
        <v>13138379649</v>
      </c>
      <c r="C10418" t="str">
        <f>"441422199505212652"</f>
        <v>441422199505212652</v>
      </c>
      <c r="D10418" t="s">
        <v>1</v>
      </c>
      <c r="E10418" t="s">
        <v>1</v>
      </c>
      <c r="F10418" t="s">
        <v>0</v>
      </c>
      <c r="G10418" t="str">
        <f>"2018-10-14 16:55:34"</f>
        <v>2018-10-14 16:55:34</v>
      </c>
    </row>
    <row r="10419" spans="1:7" x14ac:dyDescent="0.2">
      <c r="A10419" t="s">
        <v>719</v>
      </c>
      <c r="B10419" t="str">
        <f>"18684320155"</f>
        <v>18684320155</v>
      </c>
      <c r="C10419" t="str">
        <f>"220702199506264816"</f>
        <v>220702199506264816</v>
      </c>
      <c r="D10419" t="s">
        <v>1</v>
      </c>
      <c r="E10419" t="s">
        <v>1</v>
      </c>
      <c r="F10419" t="s">
        <v>0</v>
      </c>
      <c r="G10419" t="str">
        <f>"2018-10-14 16:53:52"</f>
        <v>2018-10-14 16:53:52</v>
      </c>
    </row>
    <row r="10420" spans="1:7" x14ac:dyDescent="0.2">
      <c r="A10420" t="s">
        <v>1</v>
      </c>
      <c r="B10420" t="str">
        <f>"17728163689"</f>
        <v>17728163689</v>
      </c>
      <c r="C10420" t="s">
        <v>1</v>
      </c>
      <c r="D10420" t="s">
        <v>1</v>
      </c>
      <c r="E10420" t="s">
        <v>1</v>
      </c>
      <c r="F10420" t="s">
        <v>0</v>
      </c>
      <c r="G10420" t="str">
        <f>"2018-10-14 16:50:10"</f>
        <v>2018-10-14 16:50:10</v>
      </c>
    </row>
    <row r="10421" spans="1:7" x14ac:dyDescent="0.2">
      <c r="A10421" t="s">
        <v>1693</v>
      </c>
      <c r="B10421" t="str">
        <f>"18663963521"</f>
        <v>18663963521</v>
      </c>
      <c r="C10421" t="str">
        <f>"370481198912034554"</f>
        <v>370481198912034554</v>
      </c>
      <c r="D10421" t="s">
        <v>10828</v>
      </c>
      <c r="E10421" t="s">
        <v>10829</v>
      </c>
      <c r="F10421" t="s">
        <v>0</v>
      </c>
      <c r="G10421" t="str">
        <f>"2018-10-31 13:20:44"</f>
        <v>2018-10-31 13:20:44</v>
      </c>
    </row>
    <row r="10422" spans="1:7" x14ac:dyDescent="0.2">
      <c r="A10422" t="s">
        <v>1</v>
      </c>
      <c r="B10422" t="str">
        <f>"13305107698"</f>
        <v>13305107698</v>
      </c>
      <c r="C10422" t="s">
        <v>1</v>
      </c>
      <c r="D10422" t="s">
        <v>1</v>
      </c>
      <c r="E10422" t="s">
        <v>1</v>
      </c>
      <c r="F10422" t="s">
        <v>0</v>
      </c>
      <c r="G10422" t="str">
        <f>"2018-10-14 16:49:55"</f>
        <v>2018-10-14 16:49:55</v>
      </c>
    </row>
    <row r="10423" spans="1:7" x14ac:dyDescent="0.2">
      <c r="A10423" t="s">
        <v>10830</v>
      </c>
      <c r="B10423" t="str">
        <f>"15660997771"</f>
        <v>15660997771</v>
      </c>
      <c r="C10423" t="str">
        <f>"411302199202265128"</f>
        <v>411302199202265128</v>
      </c>
      <c r="D10423" t="s">
        <v>10831</v>
      </c>
      <c r="E10423" t="s">
        <v>10832</v>
      </c>
      <c r="F10423" t="s">
        <v>0</v>
      </c>
      <c r="G10423" t="str">
        <f>"2018-10-14 16:52:55"</f>
        <v>2018-10-14 16:52:55</v>
      </c>
    </row>
    <row r="10424" spans="1:7" x14ac:dyDescent="0.2">
      <c r="A10424" t="s">
        <v>10833</v>
      </c>
      <c r="B10424" t="str">
        <f>"13850867705"</f>
        <v>13850867705</v>
      </c>
      <c r="C10424" t="str">
        <f>"350425198901280755"</f>
        <v>350425198901280755</v>
      </c>
      <c r="D10424" t="s">
        <v>1</v>
      </c>
      <c r="E10424" t="s">
        <v>1</v>
      </c>
      <c r="F10424" t="s">
        <v>0</v>
      </c>
      <c r="G10424" t="str">
        <f>"2018-10-14 17:25:46"</f>
        <v>2018-10-14 17:25:46</v>
      </c>
    </row>
    <row r="10425" spans="1:7" x14ac:dyDescent="0.2">
      <c r="A10425" t="s">
        <v>10834</v>
      </c>
      <c r="B10425" t="str">
        <f>"13042484707"</f>
        <v>13042484707</v>
      </c>
      <c r="C10425" t="str">
        <f>"210727199303075711"</f>
        <v>210727199303075711</v>
      </c>
      <c r="D10425" t="s">
        <v>1</v>
      </c>
      <c r="E10425" t="s">
        <v>1</v>
      </c>
      <c r="F10425" t="s">
        <v>0</v>
      </c>
      <c r="G10425" t="str">
        <f>"2018-10-22 19:08:06"</f>
        <v>2018-10-22 19:08:06</v>
      </c>
    </row>
    <row r="10426" spans="1:7" x14ac:dyDescent="0.2">
      <c r="A10426" t="s">
        <v>1</v>
      </c>
      <c r="B10426" t="str">
        <f>"13428881730"</f>
        <v>13428881730</v>
      </c>
      <c r="C10426" t="s">
        <v>1</v>
      </c>
      <c r="D10426" t="s">
        <v>1</v>
      </c>
      <c r="E10426" t="s">
        <v>1</v>
      </c>
      <c r="F10426" t="s">
        <v>0</v>
      </c>
      <c r="G10426" t="str">
        <f>"2018-10-14 16:48:25"</f>
        <v>2018-10-14 16:48:25</v>
      </c>
    </row>
    <row r="10427" spans="1:7" x14ac:dyDescent="0.2">
      <c r="A10427" t="s">
        <v>10835</v>
      </c>
      <c r="B10427" t="str">
        <f>"13258336949"</f>
        <v>13258336949</v>
      </c>
      <c r="C10427" t="str">
        <f>"511323199504215279"</f>
        <v>511323199504215279</v>
      </c>
      <c r="D10427" t="s">
        <v>10836</v>
      </c>
      <c r="E10427" t="s">
        <v>10837</v>
      </c>
      <c r="F10427" t="s">
        <v>0</v>
      </c>
      <c r="G10427" t="str">
        <f>"2018-10-21 19:18:52"</f>
        <v>2018-10-21 19:18:52</v>
      </c>
    </row>
    <row r="10428" spans="1:7" x14ac:dyDescent="0.2">
      <c r="A10428" t="s">
        <v>1267</v>
      </c>
      <c r="B10428" t="str">
        <f>"13306323686"</f>
        <v>13306323686</v>
      </c>
      <c r="C10428" t="str">
        <f>"370402198203215728"</f>
        <v>370402198203215728</v>
      </c>
      <c r="D10428" t="s">
        <v>1</v>
      </c>
      <c r="E10428" t="s">
        <v>1</v>
      </c>
      <c r="F10428" t="s">
        <v>0</v>
      </c>
      <c r="G10428" t="str">
        <f>"2018-10-14 16:48:53"</f>
        <v>2018-10-14 16:48:53</v>
      </c>
    </row>
    <row r="10429" spans="1:7" x14ac:dyDescent="0.2">
      <c r="A10429" t="s">
        <v>1</v>
      </c>
      <c r="B10429" t="str">
        <f>"18555317270"</f>
        <v>18555317270</v>
      </c>
      <c r="C10429" t="s">
        <v>1</v>
      </c>
      <c r="D10429" t="s">
        <v>1</v>
      </c>
      <c r="E10429" t="s">
        <v>1</v>
      </c>
      <c r="F10429" t="s">
        <v>0</v>
      </c>
      <c r="G10429" t="str">
        <f>"2018-10-14 16:47:15"</f>
        <v>2018-10-14 16:47:15</v>
      </c>
    </row>
    <row r="10430" spans="1:7" x14ac:dyDescent="0.2">
      <c r="A10430" t="s">
        <v>10838</v>
      </c>
      <c r="B10430" t="str">
        <f>"15008426169"</f>
        <v>15008426169</v>
      </c>
      <c r="C10430" t="str">
        <f>"511112198901060528"</f>
        <v>511112198901060528</v>
      </c>
      <c r="D10430" t="s">
        <v>10839</v>
      </c>
      <c r="E10430" t="s">
        <v>10840</v>
      </c>
      <c r="F10430" t="s">
        <v>0</v>
      </c>
      <c r="G10430" t="str">
        <f>"2018-10-14 16:46:29"</f>
        <v>2018-10-14 16:46:29</v>
      </c>
    </row>
    <row r="10431" spans="1:7" x14ac:dyDescent="0.2">
      <c r="A10431" t="s">
        <v>1</v>
      </c>
      <c r="B10431" t="str">
        <f>"15755840885"</f>
        <v>15755840885</v>
      </c>
      <c r="C10431" t="s">
        <v>1</v>
      </c>
      <c r="D10431" t="s">
        <v>1</v>
      </c>
      <c r="E10431" t="s">
        <v>1</v>
      </c>
      <c r="F10431" t="s">
        <v>0</v>
      </c>
      <c r="G10431" t="str">
        <f>"2018-10-14 16:45:27"</f>
        <v>2018-10-14 16:45:27</v>
      </c>
    </row>
    <row r="10432" spans="1:7" x14ac:dyDescent="0.2">
      <c r="A10432" t="s">
        <v>10841</v>
      </c>
      <c r="B10432" t="str">
        <f>"15595590804"</f>
        <v>15595590804</v>
      </c>
      <c r="C10432" t="str">
        <f>"640111199001292418"</f>
        <v>640111199001292418</v>
      </c>
      <c r="D10432" t="s">
        <v>1</v>
      </c>
      <c r="E10432" t="s">
        <v>1</v>
      </c>
      <c r="F10432" t="s">
        <v>0</v>
      </c>
      <c r="G10432" t="str">
        <f>"2018-10-14 16:46:58"</f>
        <v>2018-10-14 16:46:58</v>
      </c>
    </row>
    <row r="10433" spans="1:7" x14ac:dyDescent="0.2">
      <c r="A10433" t="s">
        <v>10842</v>
      </c>
      <c r="B10433" t="str">
        <f>"15930916671"</f>
        <v>15930916671</v>
      </c>
      <c r="C10433" t="str">
        <f>"130430198105150052"</f>
        <v>130430198105150052</v>
      </c>
      <c r="D10433" t="s">
        <v>1</v>
      </c>
      <c r="E10433" t="s">
        <v>1</v>
      </c>
      <c r="F10433" t="s">
        <v>0</v>
      </c>
      <c r="G10433" t="str">
        <f>"2018-10-14 16:46:52"</f>
        <v>2018-10-14 16:46:52</v>
      </c>
    </row>
    <row r="10434" spans="1:7" x14ac:dyDescent="0.2">
      <c r="A10434" t="s">
        <v>1</v>
      </c>
      <c r="B10434" t="str">
        <f>"15697713340"</f>
        <v>15697713340</v>
      </c>
      <c r="C10434" t="s">
        <v>1</v>
      </c>
      <c r="D10434" t="s">
        <v>1</v>
      </c>
      <c r="E10434" t="s">
        <v>1</v>
      </c>
      <c r="F10434" t="s">
        <v>0</v>
      </c>
      <c r="G10434" t="str">
        <f>"2018-10-14 16:44:05"</f>
        <v>2018-10-14 16:44:05</v>
      </c>
    </row>
    <row r="10435" spans="1:7" x14ac:dyDescent="0.2">
      <c r="A10435" t="s">
        <v>350</v>
      </c>
      <c r="B10435" t="str">
        <f>"13732030823"</f>
        <v>13732030823</v>
      </c>
      <c r="C10435" t="str">
        <f>"330322198507150014"</f>
        <v>330322198507150014</v>
      </c>
      <c r="D10435" t="s">
        <v>1</v>
      </c>
      <c r="E10435" t="s">
        <v>1</v>
      </c>
      <c r="F10435" t="s">
        <v>0</v>
      </c>
      <c r="G10435" t="str">
        <f>"2018-10-14 16:42:41"</f>
        <v>2018-10-14 16:42:41</v>
      </c>
    </row>
    <row r="10436" spans="1:7" x14ac:dyDescent="0.2">
      <c r="A10436" t="s">
        <v>10843</v>
      </c>
      <c r="B10436" t="str">
        <f>"18695695212"</f>
        <v>18695695212</v>
      </c>
      <c r="C10436" t="str">
        <f>"35052419950118053X"</f>
        <v>35052419950118053X</v>
      </c>
      <c r="D10436" t="s">
        <v>1</v>
      </c>
      <c r="E10436" t="s">
        <v>1</v>
      </c>
      <c r="F10436" t="s">
        <v>0</v>
      </c>
      <c r="G10436" t="str">
        <f>"2018-10-14 16:43:52"</f>
        <v>2018-10-14 16:43:52</v>
      </c>
    </row>
    <row r="10437" spans="1:7" x14ac:dyDescent="0.2">
      <c r="A10437" t="s">
        <v>10844</v>
      </c>
      <c r="B10437" t="str">
        <f>"13337175000"</f>
        <v>13337175000</v>
      </c>
      <c r="C10437" t="str">
        <f>"152621197205194410"</f>
        <v>152621197205194410</v>
      </c>
      <c r="D10437" t="s">
        <v>1</v>
      </c>
      <c r="E10437" t="s">
        <v>1</v>
      </c>
      <c r="F10437" t="s">
        <v>0</v>
      </c>
      <c r="G10437" t="str">
        <f>"2018-10-14 16:44:09"</f>
        <v>2018-10-14 16:44:09</v>
      </c>
    </row>
    <row r="10438" spans="1:7" x14ac:dyDescent="0.2">
      <c r="A10438" t="s">
        <v>1</v>
      </c>
      <c r="B10438" t="str">
        <f>"15578784719"</f>
        <v>15578784719</v>
      </c>
      <c r="C10438" t="s">
        <v>1</v>
      </c>
      <c r="D10438" t="s">
        <v>1</v>
      </c>
      <c r="E10438" t="s">
        <v>1</v>
      </c>
      <c r="F10438" t="s">
        <v>0</v>
      </c>
      <c r="G10438" t="str">
        <f>"2018-10-14 16:41:55"</f>
        <v>2018-10-14 16:41:55</v>
      </c>
    </row>
    <row r="10439" spans="1:7" x14ac:dyDescent="0.2">
      <c r="A10439" t="s">
        <v>10845</v>
      </c>
      <c r="B10439" t="str">
        <f>"18625502550"</f>
        <v>18625502550</v>
      </c>
      <c r="C10439" t="str">
        <f>"41302619870506723X"</f>
        <v>41302619870506723X</v>
      </c>
      <c r="D10439" t="s">
        <v>1</v>
      </c>
      <c r="E10439" t="s">
        <v>1</v>
      </c>
      <c r="F10439" t="s">
        <v>0</v>
      </c>
      <c r="G10439" t="str">
        <f>"2018-10-14 17:36:03"</f>
        <v>2018-10-14 17:36:03</v>
      </c>
    </row>
    <row r="10440" spans="1:7" x14ac:dyDescent="0.2">
      <c r="A10440" t="s">
        <v>10846</v>
      </c>
      <c r="B10440" t="str">
        <f>"18212903055"</f>
        <v>18212903055</v>
      </c>
      <c r="C10440" t="str">
        <f>"520202199412154716"</f>
        <v>520202199412154716</v>
      </c>
      <c r="D10440" t="s">
        <v>1</v>
      </c>
      <c r="E10440" t="s">
        <v>1</v>
      </c>
      <c r="F10440" t="s">
        <v>0</v>
      </c>
      <c r="G10440" t="str">
        <f>"2018-10-28 15:31:08"</f>
        <v>2018-10-28 15:31:08</v>
      </c>
    </row>
    <row r="10441" spans="1:7" x14ac:dyDescent="0.2">
      <c r="A10441" t="s">
        <v>1</v>
      </c>
      <c r="B10441" t="str">
        <f>"18068955020"</f>
        <v>18068955020</v>
      </c>
      <c r="C10441" t="s">
        <v>1</v>
      </c>
      <c r="D10441" t="s">
        <v>1</v>
      </c>
      <c r="E10441" t="s">
        <v>1</v>
      </c>
      <c r="F10441" t="s">
        <v>0</v>
      </c>
      <c r="G10441" t="str">
        <f>"2018-10-14 16:40:43"</f>
        <v>2018-10-14 16:40:43</v>
      </c>
    </row>
    <row r="10442" spans="1:7" x14ac:dyDescent="0.2">
      <c r="A10442" t="s">
        <v>10847</v>
      </c>
      <c r="B10442" t="str">
        <f>"13919492203"</f>
        <v>13919492203</v>
      </c>
      <c r="C10442" t="str">
        <f>"320582198510137916"</f>
        <v>320582198510137916</v>
      </c>
      <c r="D10442" t="s">
        <v>1</v>
      </c>
      <c r="E10442" t="s">
        <v>1</v>
      </c>
      <c r="F10442" t="s">
        <v>0</v>
      </c>
      <c r="G10442" t="str">
        <f>"2018-10-14 16:45:07"</f>
        <v>2018-10-14 16:45:07</v>
      </c>
    </row>
    <row r="10443" spans="1:7" x14ac:dyDescent="0.2">
      <c r="A10443" t="s">
        <v>10848</v>
      </c>
      <c r="B10443" t="str">
        <f>"13540213575"</f>
        <v>13540213575</v>
      </c>
      <c r="C10443" t="str">
        <f>"510105198310011519"</f>
        <v>510105198310011519</v>
      </c>
      <c r="D10443" t="s">
        <v>1</v>
      </c>
      <c r="E10443" t="s">
        <v>1</v>
      </c>
      <c r="F10443" t="s">
        <v>0</v>
      </c>
      <c r="G10443" t="str">
        <f>"2018-10-14 23:54:28"</f>
        <v>2018-10-14 23:54:28</v>
      </c>
    </row>
    <row r="10444" spans="1:7" x14ac:dyDescent="0.2">
      <c r="A10444" t="s">
        <v>10849</v>
      </c>
      <c r="B10444" t="str">
        <f>"15928818321"</f>
        <v>15928818321</v>
      </c>
      <c r="C10444" t="str">
        <f>"511304198802204611"</f>
        <v>511304198802204611</v>
      </c>
      <c r="D10444" t="s">
        <v>1</v>
      </c>
      <c r="E10444" t="s">
        <v>1</v>
      </c>
      <c r="F10444" t="s">
        <v>0</v>
      </c>
      <c r="G10444" t="str">
        <f>"2018-10-14 16:39:08"</f>
        <v>2018-10-14 16:39:08</v>
      </c>
    </row>
    <row r="10445" spans="1:7" x14ac:dyDescent="0.2">
      <c r="A10445" t="s">
        <v>1</v>
      </c>
      <c r="B10445" t="str">
        <f>"13685278298"</f>
        <v>13685278298</v>
      </c>
      <c r="C10445" t="s">
        <v>1</v>
      </c>
      <c r="D10445" t="s">
        <v>1</v>
      </c>
      <c r="E10445" t="s">
        <v>1</v>
      </c>
      <c r="F10445" t="s">
        <v>0</v>
      </c>
      <c r="G10445" t="str">
        <f>"2018-10-14 16:38:23"</f>
        <v>2018-10-14 16:38:23</v>
      </c>
    </row>
    <row r="10446" spans="1:7" x14ac:dyDescent="0.2">
      <c r="A10446" t="s">
        <v>10850</v>
      </c>
      <c r="B10446" t="str">
        <f>"13546534981"</f>
        <v>13546534981</v>
      </c>
      <c r="C10446" t="str">
        <f>"141023199702170010"</f>
        <v>141023199702170010</v>
      </c>
      <c r="D10446" t="s">
        <v>1</v>
      </c>
      <c r="E10446" t="s">
        <v>1</v>
      </c>
      <c r="F10446" t="s">
        <v>0</v>
      </c>
      <c r="G10446" t="str">
        <f>"2018-10-14 16:38:14"</f>
        <v>2018-10-14 16:38:14</v>
      </c>
    </row>
    <row r="10447" spans="1:7" x14ac:dyDescent="0.2">
      <c r="A10447" t="s">
        <v>10851</v>
      </c>
      <c r="B10447" t="str">
        <f>"13824760085"</f>
        <v>13824760085</v>
      </c>
      <c r="C10447" t="str">
        <f>"360731198609073412"</f>
        <v>360731198609073412</v>
      </c>
      <c r="D10447" t="s">
        <v>1</v>
      </c>
      <c r="E10447" t="s">
        <v>1</v>
      </c>
      <c r="F10447" t="s">
        <v>0</v>
      </c>
      <c r="G10447" t="str">
        <f>"2018-10-14 16:45:53"</f>
        <v>2018-10-14 16:45:53</v>
      </c>
    </row>
    <row r="10448" spans="1:7" x14ac:dyDescent="0.2">
      <c r="A10448" t="s">
        <v>10852</v>
      </c>
      <c r="B10448" t="str">
        <f>"13058183012"</f>
        <v>13058183012</v>
      </c>
      <c r="C10448" t="str">
        <f>"420114199101262214"</f>
        <v>420114199101262214</v>
      </c>
      <c r="D10448" t="s">
        <v>1</v>
      </c>
      <c r="E10448" t="s">
        <v>1</v>
      </c>
      <c r="F10448" t="s">
        <v>0</v>
      </c>
      <c r="G10448" t="str">
        <f>"2018-10-14 16:38:37"</f>
        <v>2018-10-14 16:38:37</v>
      </c>
    </row>
    <row r="10449" spans="1:7" x14ac:dyDescent="0.2">
      <c r="A10449" t="s">
        <v>1</v>
      </c>
      <c r="B10449" t="str">
        <f>"13620428370"</f>
        <v>13620428370</v>
      </c>
      <c r="C10449" t="s">
        <v>1</v>
      </c>
      <c r="D10449" t="s">
        <v>1</v>
      </c>
      <c r="E10449" t="s">
        <v>1</v>
      </c>
      <c r="F10449" t="s">
        <v>0</v>
      </c>
      <c r="G10449" t="str">
        <f>"2018-10-14 16:37:02"</f>
        <v>2018-10-14 16:37:02</v>
      </c>
    </row>
    <row r="10450" spans="1:7" x14ac:dyDescent="0.2">
      <c r="A10450" t="s">
        <v>10853</v>
      </c>
      <c r="B10450" t="str">
        <f>"17351154040"</f>
        <v>17351154040</v>
      </c>
      <c r="C10450" t="str">
        <f>"421123198612206452"</f>
        <v>421123198612206452</v>
      </c>
      <c r="D10450" t="s">
        <v>1</v>
      </c>
      <c r="E10450" t="s">
        <v>1</v>
      </c>
      <c r="F10450" t="s">
        <v>0</v>
      </c>
      <c r="G10450" t="str">
        <f>"2018-10-20 14:10:31"</f>
        <v>2018-10-20 14:10:31</v>
      </c>
    </row>
    <row r="10451" spans="1:7" x14ac:dyDescent="0.2">
      <c r="A10451" t="s">
        <v>10854</v>
      </c>
      <c r="B10451" t="str">
        <f>"18661256897"</f>
        <v>18661256897</v>
      </c>
      <c r="C10451" t="str">
        <f>"320704198610084016"</f>
        <v>320704198610084016</v>
      </c>
      <c r="D10451" t="s">
        <v>1</v>
      </c>
      <c r="E10451" t="s">
        <v>1</v>
      </c>
      <c r="F10451" t="s">
        <v>0</v>
      </c>
      <c r="G10451" t="str">
        <f>"2018-10-14 16:38:25"</f>
        <v>2018-10-14 16:38:25</v>
      </c>
    </row>
    <row r="10452" spans="1:7" x14ac:dyDescent="0.2">
      <c r="A10452" t="s">
        <v>10855</v>
      </c>
      <c r="B10452" t="str">
        <f>"15141003111"</f>
        <v>15141003111</v>
      </c>
      <c r="C10452" t="str">
        <f>"211282197905170627"</f>
        <v>211282197905170627</v>
      </c>
      <c r="D10452" t="s">
        <v>1</v>
      </c>
      <c r="E10452" t="s">
        <v>1</v>
      </c>
      <c r="F10452" t="s">
        <v>0</v>
      </c>
      <c r="G10452" t="str">
        <f>"2018-10-15 09:24:36"</f>
        <v>2018-10-15 09:24:36</v>
      </c>
    </row>
    <row r="10453" spans="1:7" x14ac:dyDescent="0.2">
      <c r="A10453" t="s">
        <v>6461</v>
      </c>
      <c r="B10453" t="str">
        <f>"15821568280"</f>
        <v>15821568280</v>
      </c>
      <c r="C10453" t="str">
        <f>"42068219921128301X"</f>
        <v>42068219921128301X</v>
      </c>
      <c r="D10453" t="s">
        <v>1</v>
      </c>
      <c r="E10453" t="s">
        <v>1</v>
      </c>
      <c r="F10453" t="s">
        <v>0</v>
      </c>
      <c r="G10453" t="str">
        <f>"2018-10-14 16:38:54"</f>
        <v>2018-10-14 16:38:54</v>
      </c>
    </row>
    <row r="10454" spans="1:7" x14ac:dyDescent="0.2">
      <c r="A10454" t="s">
        <v>10856</v>
      </c>
      <c r="B10454" t="str">
        <f>"18107477773"</f>
        <v>18107477773</v>
      </c>
      <c r="C10454" t="str">
        <f>"430406199007040031"</f>
        <v>430406199007040031</v>
      </c>
      <c r="D10454" t="s">
        <v>10857</v>
      </c>
      <c r="E10454" t="s">
        <v>10858</v>
      </c>
      <c r="F10454" t="s">
        <v>0</v>
      </c>
      <c r="G10454" t="str">
        <f>"2018-10-14 16:38:39"</f>
        <v>2018-10-14 16:38:39</v>
      </c>
    </row>
    <row r="10455" spans="1:7" x14ac:dyDescent="0.2">
      <c r="A10455" t="s">
        <v>10859</v>
      </c>
      <c r="B10455" t="str">
        <f>"13868770361"</f>
        <v>13868770361</v>
      </c>
      <c r="C10455" t="str">
        <f>"330382198602112637"</f>
        <v>330382198602112637</v>
      </c>
      <c r="D10455" t="s">
        <v>1</v>
      </c>
      <c r="E10455" t="s">
        <v>1</v>
      </c>
      <c r="F10455" t="s">
        <v>0</v>
      </c>
      <c r="G10455" t="str">
        <f>"2018-10-18 10:52:09"</f>
        <v>2018-10-18 10:52:09</v>
      </c>
    </row>
    <row r="10456" spans="1:7" x14ac:dyDescent="0.2">
      <c r="A10456" t="s">
        <v>10860</v>
      </c>
      <c r="B10456" t="str">
        <f>"15184797036"</f>
        <v>15184797036</v>
      </c>
      <c r="C10456" t="str">
        <f>"150202198801271226"</f>
        <v>150202198801271226</v>
      </c>
      <c r="D10456" t="s">
        <v>1</v>
      </c>
      <c r="E10456" t="s">
        <v>1</v>
      </c>
      <c r="F10456" t="s">
        <v>0</v>
      </c>
      <c r="G10456" t="str">
        <f>"2018-10-14 18:01:59"</f>
        <v>2018-10-14 18:01:59</v>
      </c>
    </row>
    <row r="10457" spans="1:7" x14ac:dyDescent="0.2">
      <c r="A10457" t="s">
        <v>10861</v>
      </c>
      <c r="B10457" t="str">
        <f>"18781906065"</f>
        <v>18781906065</v>
      </c>
      <c r="C10457" t="str">
        <f>"510121199508132679"</f>
        <v>510121199508132679</v>
      </c>
      <c r="D10457" t="s">
        <v>10862</v>
      </c>
      <c r="E10457" t="s">
        <v>10863</v>
      </c>
      <c r="F10457" t="s">
        <v>0</v>
      </c>
      <c r="G10457" t="str">
        <f>"2018-10-30 15:55:23"</f>
        <v>2018-10-30 15:55:23</v>
      </c>
    </row>
    <row r="10458" spans="1:7" x14ac:dyDescent="0.2">
      <c r="A10458" t="s">
        <v>10864</v>
      </c>
      <c r="B10458" t="str">
        <f>"15867963562"</f>
        <v>15867963562</v>
      </c>
      <c r="C10458" t="str">
        <f>"330726198809172515"</f>
        <v>330726198809172515</v>
      </c>
      <c r="D10458" t="s">
        <v>1</v>
      </c>
      <c r="E10458" t="s">
        <v>1</v>
      </c>
      <c r="F10458" t="s">
        <v>0</v>
      </c>
      <c r="G10458" t="str">
        <f>"2018-10-14 16:37:10"</f>
        <v>2018-10-14 16:37:10</v>
      </c>
    </row>
    <row r="10459" spans="1:7" x14ac:dyDescent="0.2">
      <c r="A10459" t="s">
        <v>446</v>
      </c>
      <c r="B10459" t="str">
        <f>"18771352223"</f>
        <v>18771352223</v>
      </c>
      <c r="C10459" t="str">
        <f>"421381198902060011"</f>
        <v>421381198902060011</v>
      </c>
      <c r="D10459" t="s">
        <v>10865</v>
      </c>
      <c r="E10459" t="s">
        <v>10866</v>
      </c>
      <c r="F10459" t="s">
        <v>0</v>
      </c>
      <c r="G10459" t="str">
        <f>"2018-10-14 16:37:29"</f>
        <v>2018-10-14 16:37:29</v>
      </c>
    </row>
    <row r="10460" spans="1:7" x14ac:dyDescent="0.2">
      <c r="A10460" t="s">
        <v>10867</v>
      </c>
      <c r="B10460" t="str">
        <f>"18583260649"</f>
        <v>18583260649</v>
      </c>
      <c r="C10460" t="str">
        <f>"513722199307013915"</f>
        <v>513722199307013915</v>
      </c>
      <c r="D10460" t="s">
        <v>1</v>
      </c>
      <c r="E10460" t="s">
        <v>1</v>
      </c>
      <c r="F10460" t="s">
        <v>0</v>
      </c>
      <c r="G10460" t="str">
        <f>"2018-10-14 16:35:40"</f>
        <v>2018-10-14 16:35:40</v>
      </c>
    </row>
    <row r="10461" spans="1:7" x14ac:dyDescent="0.2">
      <c r="A10461" t="s">
        <v>10868</v>
      </c>
      <c r="B10461" t="str">
        <f>"15968468972"</f>
        <v>15968468972</v>
      </c>
      <c r="C10461" t="str">
        <f>"37083019900228653X"</f>
        <v>37083019900228653X</v>
      </c>
      <c r="D10461" t="s">
        <v>1</v>
      </c>
      <c r="E10461" t="s">
        <v>1</v>
      </c>
      <c r="F10461" t="s">
        <v>0</v>
      </c>
      <c r="G10461" t="str">
        <f>"2018-10-16 09:32:59"</f>
        <v>2018-10-16 09:32:59</v>
      </c>
    </row>
    <row r="10462" spans="1:7" x14ac:dyDescent="0.2">
      <c r="A10462" t="s">
        <v>10869</v>
      </c>
      <c r="B10462" t="str">
        <f>"13210723053"</f>
        <v>13210723053</v>
      </c>
      <c r="C10462" t="str">
        <f>"372321199211041334"</f>
        <v>372321199211041334</v>
      </c>
      <c r="D10462" t="s">
        <v>10870</v>
      </c>
      <c r="E10462" t="s">
        <v>10871</v>
      </c>
      <c r="F10462" t="s">
        <v>0</v>
      </c>
      <c r="G10462" t="str">
        <f>"2018-10-14 16:36:20"</f>
        <v>2018-10-14 16:36:20</v>
      </c>
    </row>
    <row r="10463" spans="1:7" x14ac:dyDescent="0.2">
      <c r="A10463" t="s">
        <v>699</v>
      </c>
      <c r="B10463" t="str">
        <f>"15531444678"</f>
        <v>15531444678</v>
      </c>
      <c r="C10463" t="str">
        <f>"130827199504214816"</f>
        <v>130827199504214816</v>
      </c>
      <c r="D10463" t="s">
        <v>1</v>
      </c>
      <c r="E10463" t="s">
        <v>1</v>
      </c>
      <c r="F10463" t="s">
        <v>0</v>
      </c>
      <c r="G10463" t="str">
        <f>"2018-10-14 16:33:36"</f>
        <v>2018-10-14 16:33:36</v>
      </c>
    </row>
    <row r="10464" spans="1:7" x14ac:dyDescent="0.2">
      <c r="A10464" t="s">
        <v>140</v>
      </c>
      <c r="B10464" t="str">
        <f>"15909539459"</f>
        <v>15909539459</v>
      </c>
      <c r="C10464" t="str">
        <f>"640381198707163912"</f>
        <v>640381198707163912</v>
      </c>
      <c r="D10464" t="s">
        <v>1</v>
      </c>
      <c r="E10464" t="s">
        <v>1</v>
      </c>
      <c r="F10464" t="s">
        <v>0</v>
      </c>
      <c r="G10464" t="str">
        <f>"2018-10-14 16:34:36"</f>
        <v>2018-10-14 16:34:36</v>
      </c>
    </row>
    <row r="10465" spans="1:7" x14ac:dyDescent="0.2">
      <c r="A10465" t="s">
        <v>1</v>
      </c>
      <c r="B10465" t="str">
        <f>"15198403610"</f>
        <v>15198403610</v>
      </c>
      <c r="C10465" t="s">
        <v>1</v>
      </c>
      <c r="D10465" t="s">
        <v>1</v>
      </c>
      <c r="E10465" t="s">
        <v>1</v>
      </c>
      <c r="F10465" t="s">
        <v>0</v>
      </c>
      <c r="G10465" t="str">
        <f>"2018-10-14 16:32:42"</f>
        <v>2018-10-14 16:32:42</v>
      </c>
    </row>
    <row r="10466" spans="1:7" x14ac:dyDescent="0.2">
      <c r="A10466" t="s">
        <v>10872</v>
      </c>
      <c r="B10466" t="str">
        <f>"18595112024"</f>
        <v>18595112024</v>
      </c>
      <c r="C10466" t="str">
        <f>"62282219960512172X"</f>
        <v>62282219960512172X</v>
      </c>
      <c r="D10466" t="s">
        <v>1</v>
      </c>
      <c r="E10466" t="s">
        <v>1</v>
      </c>
      <c r="F10466" t="s">
        <v>0</v>
      </c>
      <c r="G10466" t="str">
        <f>"2018-10-14 16:31:37"</f>
        <v>2018-10-14 16:31:37</v>
      </c>
    </row>
    <row r="10467" spans="1:7" x14ac:dyDescent="0.2">
      <c r="A10467" t="s">
        <v>1</v>
      </c>
      <c r="B10467" t="str">
        <f>"13619527776"</f>
        <v>13619527776</v>
      </c>
      <c r="C10467" t="s">
        <v>1</v>
      </c>
      <c r="D10467" t="s">
        <v>1</v>
      </c>
      <c r="E10467" t="s">
        <v>1</v>
      </c>
      <c r="F10467" t="s">
        <v>0</v>
      </c>
      <c r="G10467" t="str">
        <f>"2018-10-23 15:32:42"</f>
        <v>2018-10-23 15:32:42</v>
      </c>
    </row>
    <row r="10468" spans="1:7" x14ac:dyDescent="0.2">
      <c r="A10468" t="s">
        <v>1</v>
      </c>
      <c r="B10468" t="str">
        <f>"18125786780"</f>
        <v>18125786780</v>
      </c>
      <c r="C10468" t="s">
        <v>1</v>
      </c>
      <c r="D10468" t="s">
        <v>1</v>
      </c>
      <c r="E10468" t="s">
        <v>1</v>
      </c>
      <c r="F10468" t="s">
        <v>0</v>
      </c>
      <c r="G10468" t="str">
        <f>"2018-10-14 16:37:00"</f>
        <v>2018-10-14 16:37:00</v>
      </c>
    </row>
    <row r="10469" spans="1:7" x14ac:dyDescent="0.2">
      <c r="A10469" t="s">
        <v>756</v>
      </c>
      <c r="B10469" t="str">
        <f>"15681444780"</f>
        <v>15681444780</v>
      </c>
      <c r="C10469" t="str">
        <f>"511621199705286472"</f>
        <v>511621199705286472</v>
      </c>
      <c r="D10469" t="s">
        <v>1</v>
      </c>
      <c r="E10469" t="s">
        <v>1</v>
      </c>
      <c r="F10469" t="s">
        <v>0</v>
      </c>
      <c r="G10469" t="str">
        <f>"2018-10-14 16:30:33"</f>
        <v>2018-10-14 16:30:33</v>
      </c>
    </row>
    <row r="10470" spans="1:7" x14ac:dyDescent="0.2">
      <c r="A10470" t="s">
        <v>1</v>
      </c>
      <c r="B10470" t="str">
        <f>"13661823803"</f>
        <v>13661823803</v>
      </c>
      <c r="C10470" t="s">
        <v>1</v>
      </c>
      <c r="D10470" t="s">
        <v>1</v>
      </c>
      <c r="E10470" t="s">
        <v>1</v>
      </c>
      <c r="F10470" t="s">
        <v>0</v>
      </c>
      <c r="G10470" t="str">
        <f>"2018-10-14 16:30:28"</f>
        <v>2018-10-14 16:30:28</v>
      </c>
    </row>
    <row r="10471" spans="1:7" x14ac:dyDescent="0.2">
      <c r="A10471" t="s">
        <v>10873</v>
      </c>
      <c r="B10471" t="str">
        <f>"18576374674"</f>
        <v>18576374674</v>
      </c>
      <c r="C10471" t="str">
        <f>"360311199607122521"</f>
        <v>360311199607122521</v>
      </c>
      <c r="D10471" t="s">
        <v>1</v>
      </c>
      <c r="E10471" t="s">
        <v>1</v>
      </c>
      <c r="F10471" t="s">
        <v>0</v>
      </c>
      <c r="G10471" t="str">
        <f>"2018-10-22 23:58:48"</f>
        <v>2018-10-22 23:58:48</v>
      </c>
    </row>
    <row r="10472" spans="1:7" x14ac:dyDescent="0.2">
      <c r="A10472" t="s">
        <v>10874</v>
      </c>
      <c r="B10472" t="str">
        <f>"18756557615"</f>
        <v>18756557615</v>
      </c>
      <c r="C10472" t="str">
        <f>"342622199111041190"</f>
        <v>342622199111041190</v>
      </c>
      <c r="D10472" t="s">
        <v>10875</v>
      </c>
      <c r="E10472" t="s">
        <v>10876</v>
      </c>
      <c r="F10472" t="s">
        <v>0</v>
      </c>
      <c r="G10472" t="str">
        <f>"2018-10-14 16:55:26"</f>
        <v>2018-10-14 16:55:26</v>
      </c>
    </row>
    <row r="10473" spans="1:7" x14ac:dyDescent="0.2">
      <c r="A10473" t="s">
        <v>10877</v>
      </c>
      <c r="B10473" t="str">
        <f>"18803005551"</f>
        <v>18803005551</v>
      </c>
      <c r="C10473" t="str">
        <f>"130428198801012313"</f>
        <v>130428198801012313</v>
      </c>
      <c r="D10473" t="s">
        <v>1</v>
      </c>
      <c r="E10473" t="s">
        <v>1</v>
      </c>
      <c r="F10473" t="s">
        <v>0</v>
      </c>
      <c r="G10473" t="str">
        <f>"2018-10-14 17:01:31"</f>
        <v>2018-10-14 17:01:31</v>
      </c>
    </row>
    <row r="10474" spans="1:7" x14ac:dyDescent="0.2">
      <c r="A10474" t="s">
        <v>796</v>
      </c>
      <c r="B10474" t="str">
        <f>"13361478887"</f>
        <v>13361478887</v>
      </c>
      <c r="C10474" t="str">
        <f>"372501197901060731"</f>
        <v>372501197901060731</v>
      </c>
      <c r="D10474" t="s">
        <v>1</v>
      </c>
      <c r="E10474" t="s">
        <v>1</v>
      </c>
      <c r="F10474" t="s">
        <v>0</v>
      </c>
      <c r="G10474" t="str">
        <f>"2018-10-14 16:29:24"</f>
        <v>2018-10-14 16:29:24</v>
      </c>
    </row>
    <row r="10475" spans="1:7" x14ac:dyDescent="0.2">
      <c r="A10475" t="s">
        <v>10878</v>
      </c>
      <c r="B10475" t="str">
        <f>"18202053481"</f>
        <v>18202053481</v>
      </c>
      <c r="C10475" t="str">
        <f>"445322199411080415"</f>
        <v>445322199411080415</v>
      </c>
      <c r="D10475" t="s">
        <v>1</v>
      </c>
      <c r="E10475" t="s">
        <v>1</v>
      </c>
      <c r="F10475" t="s">
        <v>0</v>
      </c>
      <c r="G10475" t="str">
        <f>"2018-10-14 16:24:58"</f>
        <v>2018-10-14 16:24:58</v>
      </c>
    </row>
    <row r="10476" spans="1:7" x14ac:dyDescent="0.2">
      <c r="A10476" t="s">
        <v>3307</v>
      </c>
      <c r="B10476" t="str">
        <f>"18360191512"</f>
        <v>18360191512</v>
      </c>
      <c r="C10476" t="str">
        <f>"321321199503035083"</f>
        <v>321321199503035083</v>
      </c>
      <c r="D10476" t="s">
        <v>1</v>
      </c>
      <c r="E10476" t="s">
        <v>1</v>
      </c>
      <c r="F10476" t="s">
        <v>0</v>
      </c>
      <c r="G10476" t="str">
        <f>"2018-10-22 12:36:46"</f>
        <v>2018-10-22 12:36:46</v>
      </c>
    </row>
    <row r="10477" spans="1:7" x14ac:dyDescent="0.2">
      <c r="A10477" t="s">
        <v>10879</v>
      </c>
      <c r="B10477" t="str">
        <f>"15038891805"</f>
        <v>15038891805</v>
      </c>
      <c r="C10477" t="str">
        <f>"410423199307095416"</f>
        <v>410423199307095416</v>
      </c>
      <c r="D10477" t="s">
        <v>1</v>
      </c>
      <c r="E10477" t="s">
        <v>1</v>
      </c>
      <c r="F10477" t="s">
        <v>0</v>
      </c>
      <c r="G10477" t="str">
        <f>"2018-10-14 16:28:01"</f>
        <v>2018-10-14 16:28:01</v>
      </c>
    </row>
    <row r="10478" spans="1:7" x14ac:dyDescent="0.2">
      <c r="A10478" t="s">
        <v>10880</v>
      </c>
      <c r="B10478" t="str">
        <f>"13124906526"</f>
        <v>13124906526</v>
      </c>
      <c r="C10478" t="str">
        <f>"440881198410051418"</f>
        <v>440881198410051418</v>
      </c>
      <c r="D10478" t="s">
        <v>1</v>
      </c>
      <c r="E10478" t="s">
        <v>1</v>
      </c>
      <c r="F10478" t="s">
        <v>0</v>
      </c>
      <c r="G10478" t="str">
        <f>"2018-10-15 09:36:47"</f>
        <v>2018-10-15 09:36:47</v>
      </c>
    </row>
    <row r="10479" spans="1:7" x14ac:dyDescent="0.2">
      <c r="A10479" t="s">
        <v>10881</v>
      </c>
      <c r="B10479" t="str">
        <f>"15342744689"</f>
        <v>15342744689</v>
      </c>
      <c r="C10479" t="str">
        <f>"422101197206111392"</f>
        <v>422101197206111392</v>
      </c>
      <c r="D10479" t="s">
        <v>10882</v>
      </c>
      <c r="E10479" t="s">
        <v>10883</v>
      </c>
      <c r="F10479" t="s">
        <v>0</v>
      </c>
      <c r="G10479" t="str">
        <f>"2018-10-14 16:26:00"</f>
        <v>2018-10-14 16:26:00</v>
      </c>
    </row>
    <row r="10480" spans="1:7" x14ac:dyDescent="0.2">
      <c r="A10480" t="s">
        <v>10884</v>
      </c>
      <c r="B10480" t="str">
        <f>"17726323229"</f>
        <v>17726323229</v>
      </c>
      <c r="C10480" t="str">
        <f>"511323198507174519"</f>
        <v>511323198507174519</v>
      </c>
      <c r="D10480" t="s">
        <v>1</v>
      </c>
      <c r="E10480" t="s">
        <v>1</v>
      </c>
      <c r="F10480" t="s">
        <v>0</v>
      </c>
      <c r="G10480" t="str">
        <f>"2018-10-14 16:24:05"</f>
        <v>2018-10-14 16:24:05</v>
      </c>
    </row>
    <row r="10481" spans="1:7" x14ac:dyDescent="0.2">
      <c r="A10481" t="s">
        <v>10885</v>
      </c>
      <c r="B10481" t="str">
        <f>"13221239063"</f>
        <v>13221239063</v>
      </c>
      <c r="C10481" t="str">
        <f>"33052319820812004X"</f>
        <v>33052319820812004X</v>
      </c>
      <c r="D10481" t="s">
        <v>1</v>
      </c>
      <c r="E10481" t="s">
        <v>1</v>
      </c>
      <c r="F10481" t="s">
        <v>0</v>
      </c>
      <c r="G10481" t="str">
        <f>"2018-10-14 16:39:14"</f>
        <v>2018-10-14 16:39:14</v>
      </c>
    </row>
    <row r="10482" spans="1:7" x14ac:dyDescent="0.2">
      <c r="A10482" t="s">
        <v>10886</v>
      </c>
      <c r="B10482" t="str">
        <f>"15238961938"</f>
        <v>15238961938</v>
      </c>
      <c r="C10482" t="str">
        <f>"411219197104053052"</f>
        <v>411219197104053052</v>
      </c>
      <c r="D10482" t="s">
        <v>1</v>
      </c>
      <c r="E10482" t="s">
        <v>1</v>
      </c>
      <c r="F10482" t="s">
        <v>0</v>
      </c>
      <c r="G10482" t="str">
        <f>"2018-10-14 16:23:48"</f>
        <v>2018-10-14 16:23:48</v>
      </c>
    </row>
    <row r="10483" spans="1:7" x14ac:dyDescent="0.2">
      <c r="A10483" t="s">
        <v>10887</v>
      </c>
      <c r="B10483" t="str">
        <f>"13693365399"</f>
        <v>13693365399</v>
      </c>
      <c r="C10483" t="str">
        <f>"130702197608110315"</f>
        <v>130702197608110315</v>
      </c>
      <c r="D10483" t="s">
        <v>10888</v>
      </c>
      <c r="E10483" t="s">
        <v>10889</v>
      </c>
      <c r="F10483" t="s">
        <v>0</v>
      </c>
      <c r="G10483" t="str">
        <f>"2018-10-15 19:24:02"</f>
        <v>2018-10-15 19:24:02</v>
      </c>
    </row>
    <row r="10484" spans="1:7" x14ac:dyDescent="0.2">
      <c r="A10484" t="s">
        <v>1</v>
      </c>
      <c r="B10484" t="str">
        <f>"13619174308"</f>
        <v>13619174308</v>
      </c>
      <c r="C10484" t="s">
        <v>1</v>
      </c>
      <c r="D10484" t="s">
        <v>1</v>
      </c>
      <c r="E10484" t="s">
        <v>1</v>
      </c>
      <c r="F10484" t="s">
        <v>0</v>
      </c>
      <c r="G10484" t="str">
        <f>"2018-10-14 16:20:30"</f>
        <v>2018-10-14 16:20:30</v>
      </c>
    </row>
    <row r="10485" spans="1:7" x14ac:dyDescent="0.2">
      <c r="A10485" t="s">
        <v>10890</v>
      </c>
      <c r="B10485" t="str">
        <f>"18339610725"</f>
        <v>18339610725</v>
      </c>
      <c r="C10485" t="str">
        <f>"412828199210121548"</f>
        <v>412828199210121548</v>
      </c>
      <c r="D10485" t="s">
        <v>1</v>
      </c>
      <c r="E10485" t="s">
        <v>1</v>
      </c>
      <c r="F10485" t="s">
        <v>0</v>
      </c>
      <c r="G10485" t="str">
        <f>"2018-10-14 16:20:01"</f>
        <v>2018-10-14 16:20:01</v>
      </c>
    </row>
    <row r="10486" spans="1:7" x14ac:dyDescent="0.2">
      <c r="A10486" t="s">
        <v>10891</v>
      </c>
      <c r="B10486" t="str">
        <f>"15012561892"</f>
        <v>15012561892</v>
      </c>
      <c r="C10486" t="str">
        <f>"44150219890413022X"</f>
        <v>44150219890413022X</v>
      </c>
      <c r="D10486" t="s">
        <v>1</v>
      </c>
      <c r="E10486" t="s">
        <v>1</v>
      </c>
      <c r="F10486" t="s">
        <v>0</v>
      </c>
      <c r="G10486" t="str">
        <f>"2018-10-14 16:21:02"</f>
        <v>2018-10-14 16:21:02</v>
      </c>
    </row>
    <row r="10487" spans="1:7" x14ac:dyDescent="0.2">
      <c r="A10487" t="s">
        <v>10892</v>
      </c>
      <c r="B10487" t="str">
        <f>"17688675015"</f>
        <v>17688675015</v>
      </c>
      <c r="C10487" t="str">
        <f>"440923199009090791"</f>
        <v>440923199009090791</v>
      </c>
      <c r="D10487" t="s">
        <v>1</v>
      </c>
      <c r="E10487" t="s">
        <v>1</v>
      </c>
      <c r="F10487" t="s">
        <v>0</v>
      </c>
      <c r="G10487" t="str">
        <f>"2018-10-14 16:25:10"</f>
        <v>2018-10-14 16:25:10</v>
      </c>
    </row>
    <row r="10488" spans="1:7" x14ac:dyDescent="0.2">
      <c r="A10488" t="s">
        <v>1</v>
      </c>
      <c r="B10488" t="str">
        <f>"13020552320"</f>
        <v>13020552320</v>
      </c>
      <c r="C10488" t="s">
        <v>1</v>
      </c>
      <c r="D10488" t="s">
        <v>1</v>
      </c>
      <c r="E10488" t="s">
        <v>1</v>
      </c>
      <c r="F10488" t="s">
        <v>0</v>
      </c>
      <c r="G10488" t="str">
        <f>"2018-10-14 16:17:22"</f>
        <v>2018-10-14 16:17:22</v>
      </c>
    </row>
    <row r="10489" spans="1:7" x14ac:dyDescent="0.2">
      <c r="A10489" t="s">
        <v>10893</v>
      </c>
      <c r="B10489" t="str">
        <f>"18662436287"</f>
        <v>18662436287</v>
      </c>
      <c r="C10489" t="str">
        <f>"412828198301254819"</f>
        <v>412828198301254819</v>
      </c>
      <c r="D10489" t="s">
        <v>1</v>
      </c>
      <c r="E10489" t="s">
        <v>1</v>
      </c>
      <c r="F10489" t="s">
        <v>0</v>
      </c>
      <c r="G10489" t="str">
        <f>"2018-10-14 16:17:13"</f>
        <v>2018-10-14 16:17:13</v>
      </c>
    </row>
    <row r="10490" spans="1:7" x14ac:dyDescent="0.2">
      <c r="A10490" t="s">
        <v>10894</v>
      </c>
      <c r="B10490" t="str">
        <f>"18254308539"</f>
        <v>18254308539</v>
      </c>
      <c r="C10490" t="str">
        <f>"372330199706082468"</f>
        <v>372330199706082468</v>
      </c>
      <c r="D10490" t="s">
        <v>1</v>
      </c>
      <c r="E10490" t="s">
        <v>1</v>
      </c>
      <c r="F10490" t="s">
        <v>0</v>
      </c>
      <c r="G10490" t="str">
        <f>"2018-10-20 13:35:56"</f>
        <v>2018-10-20 13:35:56</v>
      </c>
    </row>
    <row r="10491" spans="1:7" x14ac:dyDescent="0.2">
      <c r="A10491" t="s">
        <v>10895</v>
      </c>
      <c r="B10491" t="str">
        <f>"15012645923"</f>
        <v>15012645923</v>
      </c>
      <c r="C10491" t="str">
        <f>"513022198702123310"</f>
        <v>513022198702123310</v>
      </c>
      <c r="D10491" t="s">
        <v>1</v>
      </c>
      <c r="E10491" t="s">
        <v>1</v>
      </c>
      <c r="F10491" t="s">
        <v>0</v>
      </c>
      <c r="G10491" t="str">
        <f>"2018-10-14 16:19:09"</f>
        <v>2018-10-14 16:19:09</v>
      </c>
    </row>
    <row r="10492" spans="1:7" x14ac:dyDescent="0.2">
      <c r="A10492" t="s">
        <v>1</v>
      </c>
      <c r="B10492" t="str">
        <f>"15534246742"</f>
        <v>15534246742</v>
      </c>
      <c r="C10492" t="s">
        <v>1</v>
      </c>
      <c r="D10492" t="s">
        <v>1</v>
      </c>
      <c r="E10492" t="s">
        <v>1</v>
      </c>
      <c r="F10492" t="s">
        <v>0</v>
      </c>
      <c r="G10492" t="str">
        <f>"2018-10-14 16:16:17"</f>
        <v>2018-10-14 16:16:17</v>
      </c>
    </row>
    <row r="10493" spans="1:7" x14ac:dyDescent="0.2">
      <c r="A10493" t="s">
        <v>1</v>
      </c>
      <c r="B10493" t="str">
        <f>"18059653225"</f>
        <v>18059653225</v>
      </c>
      <c r="C10493" t="s">
        <v>1</v>
      </c>
      <c r="D10493" t="s">
        <v>1</v>
      </c>
      <c r="E10493" t="s">
        <v>1</v>
      </c>
      <c r="F10493" t="s">
        <v>0</v>
      </c>
      <c r="G10493" t="str">
        <f>"2018-10-14 16:14:34"</f>
        <v>2018-10-14 16:14:34</v>
      </c>
    </row>
    <row r="10494" spans="1:7" x14ac:dyDescent="0.2">
      <c r="A10494" t="s">
        <v>10896</v>
      </c>
      <c r="B10494" t="str">
        <f>"13298139218"</f>
        <v>13298139218</v>
      </c>
      <c r="C10494" t="str">
        <f>"410122198211168679"</f>
        <v>410122198211168679</v>
      </c>
      <c r="D10494" t="s">
        <v>10897</v>
      </c>
      <c r="E10494" t="s">
        <v>10898</v>
      </c>
      <c r="F10494" t="s">
        <v>0</v>
      </c>
      <c r="G10494" t="str">
        <f>"2018-11-05 12:08:46"</f>
        <v>2018-11-05 12:08:46</v>
      </c>
    </row>
    <row r="10495" spans="1:7" x14ac:dyDescent="0.2">
      <c r="A10495" t="s">
        <v>1</v>
      </c>
      <c r="B10495" t="str">
        <f>"18076033877"</f>
        <v>18076033877</v>
      </c>
      <c r="C10495" t="s">
        <v>1</v>
      </c>
      <c r="D10495" t="s">
        <v>1</v>
      </c>
      <c r="E10495" t="s">
        <v>1</v>
      </c>
      <c r="F10495" t="s">
        <v>0</v>
      </c>
      <c r="G10495" t="str">
        <f>"2018-10-14 16:11:19"</f>
        <v>2018-10-14 16:11:19</v>
      </c>
    </row>
    <row r="10496" spans="1:7" x14ac:dyDescent="0.2">
      <c r="A10496" t="s">
        <v>10899</v>
      </c>
      <c r="B10496" t="str">
        <f>"18713216573"</f>
        <v>18713216573</v>
      </c>
      <c r="C10496" t="str">
        <f>"130625200009120427"</f>
        <v>130625200009120427</v>
      </c>
      <c r="D10496" t="s">
        <v>10900</v>
      </c>
      <c r="E10496" t="s">
        <v>10901</v>
      </c>
      <c r="F10496" t="s">
        <v>0</v>
      </c>
      <c r="G10496" t="str">
        <f>"2018-10-14 16:10:58"</f>
        <v>2018-10-14 16:10:58</v>
      </c>
    </row>
    <row r="10497" spans="1:7" x14ac:dyDescent="0.2">
      <c r="A10497" t="s">
        <v>1</v>
      </c>
      <c r="B10497" t="str">
        <f>"18358295079"</f>
        <v>18358295079</v>
      </c>
      <c r="C10497" t="s">
        <v>1</v>
      </c>
      <c r="D10497" t="s">
        <v>1</v>
      </c>
      <c r="E10497" t="s">
        <v>1</v>
      </c>
      <c r="F10497" t="s">
        <v>0</v>
      </c>
      <c r="G10497" t="str">
        <f>"2018-10-14 16:09:55"</f>
        <v>2018-10-14 16:09:55</v>
      </c>
    </row>
    <row r="10498" spans="1:7" x14ac:dyDescent="0.2">
      <c r="A10498" t="s">
        <v>10902</v>
      </c>
      <c r="B10498" t="str">
        <f>"13559059406"</f>
        <v>13559059406</v>
      </c>
      <c r="C10498" t="str">
        <f>"350500197703056510"</f>
        <v>350500197703056510</v>
      </c>
      <c r="D10498" t="s">
        <v>10903</v>
      </c>
      <c r="E10498" t="s">
        <v>10904</v>
      </c>
      <c r="F10498" t="s">
        <v>0</v>
      </c>
      <c r="G10498" t="str">
        <f>"2018-10-27 20:16:55"</f>
        <v>2018-10-27 20:16:55</v>
      </c>
    </row>
    <row r="10499" spans="1:7" x14ac:dyDescent="0.2">
      <c r="A10499" t="s">
        <v>1</v>
      </c>
      <c r="B10499" t="str">
        <f>"13688347456"</f>
        <v>13688347456</v>
      </c>
      <c r="C10499" t="s">
        <v>1</v>
      </c>
      <c r="D10499" t="s">
        <v>1</v>
      </c>
      <c r="E10499" t="s">
        <v>1</v>
      </c>
      <c r="F10499" t="s">
        <v>0</v>
      </c>
      <c r="G10499" t="str">
        <f>"2018-10-14 16:06:22"</f>
        <v>2018-10-14 16:06:22</v>
      </c>
    </row>
    <row r="10500" spans="1:7" x14ac:dyDescent="0.2">
      <c r="A10500" t="s">
        <v>10905</v>
      </c>
      <c r="B10500" t="str">
        <f>"13866450003"</f>
        <v>13866450003</v>
      </c>
      <c r="C10500" t="str">
        <f>"342921198703172819"</f>
        <v>342921198703172819</v>
      </c>
      <c r="D10500" t="s">
        <v>1</v>
      </c>
      <c r="E10500" t="s">
        <v>1</v>
      </c>
      <c r="F10500" t="s">
        <v>0</v>
      </c>
      <c r="G10500" t="str">
        <f>"2018-10-14 16:08:37"</f>
        <v>2018-10-14 16:08:37</v>
      </c>
    </row>
    <row r="10501" spans="1:7" x14ac:dyDescent="0.2">
      <c r="A10501" t="s">
        <v>10906</v>
      </c>
      <c r="B10501" t="str">
        <f>"13512898708"</f>
        <v>13512898708</v>
      </c>
      <c r="C10501" t="str">
        <f>"120106198808047547"</f>
        <v>120106198808047547</v>
      </c>
      <c r="D10501" t="s">
        <v>1</v>
      </c>
      <c r="E10501" t="s">
        <v>1</v>
      </c>
      <c r="F10501" t="s">
        <v>0</v>
      </c>
      <c r="G10501" t="str">
        <f>"2018-10-14 16:07:09"</f>
        <v>2018-10-14 16:07:09</v>
      </c>
    </row>
    <row r="10502" spans="1:7" x14ac:dyDescent="0.2">
      <c r="A10502" t="s">
        <v>10907</v>
      </c>
      <c r="B10502" t="str">
        <f>"13773435947"</f>
        <v>13773435947</v>
      </c>
      <c r="C10502" t="str">
        <f>"352227199006025617"</f>
        <v>352227199006025617</v>
      </c>
      <c r="D10502" t="s">
        <v>1</v>
      </c>
      <c r="E10502" t="s">
        <v>1</v>
      </c>
      <c r="F10502" t="s">
        <v>0</v>
      </c>
      <c r="G10502" t="str">
        <f>"2018-10-15 03:03:33"</f>
        <v>2018-10-15 03:03:33</v>
      </c>
    </row>
    <row r="10503" spans="1:7" x14ac:dyDescent="0.2">
      <c r="A10503" t="s">
        <v>10908</v>
      </c>
      <c r="B10503" t="str">
        <f>"18287902734"</f>
        <v>18287902734</v>
      </c>
      <c r="C10503" t="str">
        <f>"53272519911109302X"</f>
        <v>53272519911109302X</v>
      </c>
      <c r="D10503" t="s">
        <v>1</v>
      </c>
      <c r="E10503" t="s">
        <v>1</v>
      </c>
      <c r="F10503" t="s">
        <v>0</v>
      </c>
      <c r="G10503" t="str">
        <f>"2018-10-14 16:09:03"</f>
        <v>2018-10-14 16:09:03</v>
      </c>
    </row>
    <row r="10504" spans="1:7" x14ac:dyDescent="0.2">
      <c r="A10504" t="s">
        <v>10909</v>
      </c>
      <c r="B10504" t="str">
        <f>"13567601651"</f>
        <v>13567601651</v>
      </c>
      <c r="C10504" t="str">
        <f>"332502199211280014"</f>
        <v>332502199211280014</v>
      </c>
      <c r="D10504" t="s">
        <v>1</v>
      </c>
      <c r="E10504" t="s">
        <v>1</v>
      </c>
      <c r="F10504" t="s">
        <v>0</v>
      </c>
      <c r="G10504" t="str">
        <f>"2018-10-14 16:06:31"</f>
        <v>2018-10-14 16:06:31</v>
      </c>
    </row>
    <row r="10505" spans="1:7" x14ac:dyDescent="0.2">
      <c r="A10505" t="s">
        <v>1</v>
      </c>
      <c r="B10505" t="str">
        <f>"17715172055"</f>
        <v>17715172055</v>
      </c>
      <c r="C10505" t="s">
        <v>1</v>
      </c>
      <c r="D10505" t="s">
        <v>1</v>
      </c>
      <c r="E10505" t="s">
        <v>1</v>
      </c>
      <c r="F10505" t="s">
        <v>0</v>
      </c>
      <c r="G10505" t="str">
        <f>"2018-10-14 16:10:12"</f>
        <v>2018-10-14 16:10:12</v>
      </c>
    </row>
    <row r="10506" spans="1:7" x14ac:dyDescent="0.2">
      <c r="A10506" t="s">
        <v>10910</v>
      </c>
      <c r="B10506" t="str">
        <f>"13596577781"</f>
        <v>13596577781</v>
      </c>
      <c r="C10506" t="str">
        <f>"23042119830411262X"</f>
        <v>23042119830411262X</v>
      </c>
      <c r="D10506" t="s">
        <v>1</v>
      </c>
      <c r="E10506" t="s">
        <v>1</v>
      </c>
      <c r="F10506" t="s">
        <v>0</v>
      </c>
      <c r="G10506" t="str">
        <f>"2018-10-14 16:05:24"</f>
        <v>2018-10-14 16:05:24</v>
      </c>
    </row>
    <row r="10507" spans="1:7" x14ac:dyDescent="0.2">
      <c r="A10507" t="s">
        <v>1</v>
      </c>
      <c r="B10507" t="str">
        <f>"13963322351"</f>
        <v>13963322351</v>
      </c>
      <c r="C10507" t="s">
        <v>1</v>
      </c>
      <c r="D10507" t="s">
        <v>1</v>
      </c>
      <c r="E10507" t="s">
        <v>1</v>
      </c>
      <c r="F10507" t="s">
        <v>0</v>
      </c>
      <c r="G10507" t="str">
        <f>"2018-10-14 16:03:17"</f>
        <v>2018-10-14 16:03:17</v>
      </c>
    </row>
    <row r="10508" spans="1:7" x14ac:dyDescent="0.2">
      <c r="A10508" t="s">
        <v>10911</v>
      </c>
      <c r="B10508" t="str">
        <f>"15114188200"</f>
        <v>15114188200</v>
      </c>
      <c r="C10508" t="str">
        <f>"210604198907292018"</f>
        <v>210604198907292018</v>
      </c>
      <c r="D10508" t="s">
        <v>1</v>
      </c>
      <c r="E10508" t="s">
        <v>1</v>
      </c>
      <c r="F10508" t="s">
        <v>0</v>
      </c>
      <c r="G10508" t="str">
        <f>"2018-10-15 16:10:09"</f>
        <v>2018-10-15 16:10:09</v>
      </c>
    </row>
    <row r="10509" spans="1:7" x14ac:dyDescent="0.2">
      <c r="A10509" t="s">
        <v>10912</v>
      </c>
      <c r="B10509" t="str">
        <f>"15018523884"</f>
        <v>15018523884</v>
      </c>
      <c r="C10509" t="str">
        <f>"445221199001194696"</f>
        <v>445221199001194696</v>
      </c>
      <c r="D10509" t="s">
        <v>1</v>
      </c>
      <c r="E10509" t="s">
        <v>1</v>
      </c>
      <c r="F10509" t="s">
        <v>0</v>
      </c>
      <c r="G10509" t="str">
        <f>"2018-10-14 16:05:05"</f>
        <v>2018-10-14 16:05:05</v>
      </c>
    </row>
    <row r="10510" spans="1:7" x14ac:dyDescent="0.2">
      <c r="A10510" t="s">
        <v>10913</v>
      </c>
      <c r="B10510" t="str">
        <f>"15934014403"</f>
        <v>15934014403</v>
      </c>
      <c r="C10510" t="str">
        <f>"14230119820501373X"</f>
        <v>14230119820501373X</v>
      </c>
      <c r="D10510" t="s">
        <v>1</v>
      </c>
      <c r="E10510" t="s">
        <v>1</v>
      </c>
      <c r="F10510" t="s">
        <v>0</v>
      </c>
      <c r="G10510" t="str">
        <f>"2018-10-14 16:06:19"</f>
        <v>2018-10-14 16:06:19</v>
      </c>
    </row>
    <row r="10511" spans="1:7" x14ac:dyDescent="0.2">
      <c r="A10511" t="s">
        <v>1</v>
      </c>
      <c r="B10511" t="str">
        <f>"15042646420"</f>
        <v>15042646420</v>
      </c>
      <c r="C10511" t="s">
        <v>1</v>
      </c>
      <c r="D10511" t="s">
        <v>1</v>
      </c>
      <c r="E10511" t="s">
        <v>1</v>
      </c>
      <c r="F10511" t="s">
        <v>0</v>
      </c>
      <c r="G10511" t="str">
        <f>"2018-10-14 16:00:51"</f>
        <v>2018-10-14 16:00:51</v>
      </c>
    </row>
    <row r="10512" spans="1:7" x14ac:dyDescent="0.2">
      <c r="A10512" t="s">
        <v>1</v>
      </c>
      <c r="B10512" t="str">
        <f>"17387753343"</f>
        <v>17387753343</v>
      </c>
      <c r="C10512" t="s">
        <v>1</v>
      </c>
      <c r="D10512" t="s">
        <v>1</v>
      </c>
      <c r="E10512" t="s">
        <v>1</v>
      </c>
      <c r="F10512" t="s">
        <v>0</v>
      </c>
      <c r="G10512" t="str">
        <f>"2018-10-14 16:00:42"</f>
        <v>2018-10-14 16:00:42</v>
      </c>
    </row>
    <row r="10513" spans="1:7" x14ac:dyDescent="0.2">
      <c r="A10513" t="s">
        <v>344</v>
      </c>
      <c r="B10513" t="str">
        <f>"13767067321"</f>
        <v>13767067321</v>
      </c>
      <c r="C10513" t="str">
        <f>"360104198911090430"</f>
        <v>360104198911090430</v>
      </c>
      <c r="D10513" t="s">
        <v>10914</v>
      </c>
      <c r="E10513" t="s">
        <v>10915</v>
      </c>
      <c r="F10513" t="s">
        <v>0</v>
      </c>
      <c r="G10513" t="str">
        <f>"2018-10-14 16:01:20"</f>
        <v>2018-10-14 16:01:20</v>
      </c>
    </row>
    <row r="10514" spans="1:7" x14ac:dyDescent="0.2">
      <c r="A10514" t="s">
        <v>10916</v>
      </c>
      <c r="B10514" t="str">
        <f>"15821012346"</f>
        <v>15821012346</v>
      </c>
      <c r="C10514" t="str">
        <f>"342622199210071598"</f>
        <v>342622199210071598</v>
      </c>
      <c r="D10514" t="s">
        <v>1</v>
      </c>
      <c r="E10514" t="s">
        <v>1</v>
      </c>
      <c r="F10514" t="s">
        <v>0</v>
      </c>
      <c r="G10514" t="str">
        <f>"2018-10-14 16:02:37"</f>
        <v>2018-10-14 16:02:37</v>
      </c>
    </row>
    <row r="10515" spans="1:7" x14ac:dyDescent="0.2">
      <c r="A10515" t="s">
        <v>1</v>
      </c>
      <c r="B10515" t="str">
        <f>"15507729438"</f>
        <v>15507729438</v>
      </c>
      <c r="C10515" t="s">
        <v>1</v>
      </c>
      <c r="D10515" t="s">
        <v>1</v>
      </c>
      <c r="E10515" t="s">
        <v>1</v>
      </c>
      <c r="F10515" t="s">
        <v>0</v>
      </c>
      <c r="G10515" t="str">
        <f>"2018-10-14 15:59:49"</f>
        <v>2018-10-14 15:59:49</v>
      </c>
    </row>
    <row r="10516" spans="1:7" x14ac:dyDescent="0.2">
      <c r="A10516" t="s">
        <v>10917</v>
      </c>
      <c r="B10516" t="str">
        <f>"15120670771"</f>
        <v>15120670771</v>
      </c>
      <c r="C10516" t="str">
        <f>"440923199505193757"</f>
        <v>440923199505193757</v>
      </c>
      <c r="D10516" t="s">
        <v>1</v>
      </c>
      <c r="E10516" t="s">
        <v>1</v>
      </c>
      <c r="F10516" t="s">
        <v>0</v>
      </c>
      <c r="G10516" t="str">
        <f>"2018-10-14 16:21:35"</f>
        <v>2018-10-14 16:21:35</v>
      </c>
    </row>
    <row r="10517" spans="1:7" x14ac:dyDescent="0.2">
      <c r="A10517" t="s">
        <v>1255</v>
      </c>
      <c r="B10517" t="str">
        <f>"15821196224"</f>
        <v>15821196224</v>
      </c>
      <c r="C10517" t="str">
        <f>"340321198906104694"</f>
        <v>340321198906104694</v>
      </c>
      <c r="D10517" t="s">
        <v>1</v>
      </c>
      <c r="E10517" t="s">
        <v>1</v>
      </c>
      <c r="F10517" t="s">
        <v>0</v>
      </c>
      <c r="G10517" t="str">
        <f>"2018-10-14 16:02:09"</f>
        <v>2018-10-14 16:02:09</v>
      </c>
    </row>
    <row r="10518" spans="1:7" x14ac:dyDescent="0.2">
      <c r="A10518" t="s">
        <v>1</v>
      </c>
      <c r="B10518" t="str">
        <f>"17609358306"</f>
        <v>17609358306</v>
      </c>
      <c r="C10518" t="s">
        <v>1</v>
      </c>
      <c r="D10518" t="s">
        <v>1</v>
      </c>
      <c r="E10518" t="s">
        <v>1</v>
      </c>
      <c r="F10518" t="s">
        <v>0</v>
      </c>
      <c r="G10518" t="str">
        <f>"2018-10-14 15:58:30"</f>
        <v>2018-10-14 15:58:30</v>
      </c>
    </row>
    <row r="10519" spans="1:7" x14ac:dyDescent="0.2">
      <c r="A10519" t="s">
        <v>1</v>
      </c>
      <c r="B10519" t="str">
        <f>"15304804662"</f>
        <v>15304804662</v>
      </c>
      <c r="C10519" t="s">
        <v>1</v>
      </c>
      <c r="D10519" t="s">
        <v>1</v>
      </c>
      <c r="E10519" t="s">
        <v>1</v>
      </c>
      <c r="F10519" t="s">
        <v>0</v>
      </c>
      <c r="G10519" t="str">
        <f>"2018-10-14 15:57:38"</f>
        <v>2018-10-14 15:57:38</v>
      </c>
    </row>
    <row r="10520" spans="1:7" x14ac:dyDescent="0.2">
      <c r="A10520" t="s">
        <v>10918</v>
      </c>
      <c r="B10520" t="str">
        <f>"18035780628"</f>
        <v>18035780628</v>
      </c>
      <c r="C10520" t="str">
        <f>"410621197209235111"</f>
        <v>410621197209235111</v>
      </c>
      <c r="D10520" t="s">
        <v>1</v>
      </c>
      <c r="E10520" t="s">
        <v>1</v>
      </c>
      <c r="F10520" t="s">
        <v>0</v>
      </c>
      <c r="G10520" t="str">
        <f>"2018-10-14 15:59:13"</f>
        <v>2018-10-14 15:59:13</v>
      </c>
    </row>
    <row r="10521" spans="1:7" x14ac:dyDescent="0.2">
      <c r="A10521" t="s">
        <v>1</v>
      </c>
      <c r="B10521" t="str">
        <f>"15715849812"</f>
        <v>15715849812</v>
      </c>
      <c r="C10521" t="s">
        <v>1</v>
      </c>
      <c r="D10521" t="s">
        <v>1</v>
      </c>
      <c r="E10521" t="s">
        <v>1</v>
      </c>
      <c r="F10521" t="s">
        <v>0</v>
      </c>
      <c r="G10521" t="str">
        <f>"2018-10-14 15:55:58"</f>
        <v>2018-10-14 15:55:58</v>
      </c>
    </row>
    <row r="10522" spans="1:7" x14ac:dyDescent="0.2">
      <c r="A10522" t="s">
        <v>1</v>
      </c>
      <c r="B10522" t="str">
        <f>"13822597540"</f>
        <v>13822597540</v>
      </c>
      <c r="C10522" t="s">
        <v>1</v>
      </c>
      <c r="D10522" t="s">
        <v>1</v>
      </c>
      <c r="E10522" t="s">
        <v>1</v>
      </c>
      <c r="F10522" t="s">
        <v>0</v>
      </c>
      <c r="G10522" t="str">
        <f>"2018-10-14 15:55:47"</f>
        <v>2018-10-14 15:55:47</v>
      </c>
    </row>
    <row r="10523" spans="1:7" x14ac:dyDescent="0.2">
      <c r="A10523" t="s">
        <v>1</v>
      </c>
      <c r="B10523" t="str">
        <f>"13511066908"</f>
        <v>13511066908</v>
      </c>
      <c r="C10523" t="s">
        <v>1</v>
      </c>
      <c r="D10523" t="s">
        <v>1</v>
      </c>
      <c r="E10523" t="s">
        <v>1</v>
      </c>
      <c r="F10523" t="s">
        <v>0</v>
      </c>
      <c r="G10523" t="str">
        <f>"2018-10-14 15:55:38"</f>
        <v>2018-10-14 15:55:38</v>
      </c>
    </row>
    <row r="10524" spans="1:7" x14ac:dyDescent="0.2">
      <c r="A10524" t="s">
        <v>10919</v>
      </c>
      <c r="B10524" t="str">
        <f>"13764656836"</f>
        <v>13764656836</v>
      </c>
      <c r="C10524" t="str">
        <f>"320981198701084496"</f>
        <v>320981198701084496</v>
      </c>
      <c r="D10524" t="s">
        <v>10920</v>
      </c>
      <c r="E10524" t="s">
        <v>10921</v>
      </c>
      <c r="F10524" t="s">
        <v>0</v>
      </c>
      <c r="G10524" t="str">
        <f>"2018-10-28 18:31:38"</f>
        <v>2018-10-28 18:31:38</v>
      </c>
    </row>
    <row r="10525" spans="1:7" x14ac:dyDescent="0.2">
      <c r="A10525" t="s">
        <v>217</v>
      </c>
      <c r="B10525" t="str">
        <f>"17644252525"</f>
        <v>17644252525</v>
      </c>
      <c r="C10525" t="str">
        <f>"220204198201280074"</f>
        <v>220204198201280074</v>
      </c>
      <c r="D10525" t="s">
        <v>1</v>
      </c>
      <c r="E10525" t="s">
        <v>1</v>
      </c>
      <c r="F10525" t="s">
        <v>0</v>
      </c>
      <c r="G10525" t="str">
        <f>"2018-10-14 15:56:32"</f>
        <v>2018-10-14 15:56:32</v>
      </c>
    </row>
    <row r="10526" spans="1:7" x14ac:dyDescent="0.2">
      <c r="A10526" t="s">
        <v>10922</v>
      </c>
      <c r="B10526" t="str">
        <f>"13132198091"</f>
        <v>13132198091</v>
      </c>
      <c r="C10526" t="str">
        <f>"130402198307212412"</f>
        <v>130402198307212412</v>
      </c>
      <c r="D10526" t="s">
        <v>10923</v>
      </c>
      <c r="E10526" t="s">
        <v>10924</v>
      </c>
      <c r="F10526" t="s">
        <v>0</v>
      </c>
      <c r="G10526" t="str">
        <f>"2018-10-30 15:43:37"</f>
        <v>2018-10-30 15:43:37</v>
      </c>
    </row>
    <row r="10527" spans="1:7" x14ac:dyDescent="0.2">
      <c r="A10527" t="s">
        <v>10925</v>
      </c>
      <c r="B10527" t="str">
        <f>"17605695319"</f>
        <v>17605695319</v>
      </c>
      <c r="C10527" t="str">
        <f>"341126199512123215"</f>
        <v>341126199512123215</v>
      </c>
      <c r="D10527" t="s">
        <v>1</v>
      </c>
      <c r="E10527" t="s">
        <v>1</v>
      </c>
      <c r="F10527" t="s">
        <v>0</v>
      </c>
      <c r="G10527" t="str">
        <f>"2018-10-14 15:54:12"</f>
        <v>2018-10-14 15:54:12</v>
      </c>
    </row>
    <row r="10528" spans="1:7" x14ac:dyDescent="0.2">
      <c r="A10528" t="s">
        <v>173</v>
      </c>
      <c r="B10528" t="str">
        <f>"18888287456"</f>
        <v>18888287456</v>
      </c>
      <c r="C10528" t="str">
        <f>"37098219870410673X"</f>
        <v>37098219870410673X</v>
      </c>
      <c r="D10528" t="s">
        <v>1</v>
      </c>
      <c r="E10528" t="s">
        <v>1</v>
      </c>
      <c r="F10528" t="s">
        <v>0</v>
      </c>
      <c r="G10528" t="str">
        <f>"2018-10-14 16:00:03"</f>
        <v>2018-10-14 16:00:03</v>
      </c>
    </row>
    <row r="10529" spans="1:7" x14ac:dyDescent="0.2">
      <c r="A10529" t="s">
        <v>10926</v>
      </c>
      <c r="B10529" t="str">
        <f>"15699211882"</f>
        <v>15699211882</v>
      </c>
      <c r="C10529" t="str">
        <f>"652923199011100769"</f>
        <v>652923199011100769</v>
      </c>
      <c r="D10529" t="s">
        <v>1</v>
      </c>
      <c r="E10529" t="s">
        <v>1</v>
      </c>
      <c r="F10529" t="s">
        <v>0</v>
      </c>
      <c r="G10529" t="str">
        <f>"2018-10-14 15:58:46"</f>
        <v>2018-10-14 15:58:46</v>
      </c>
    </row>
    <row r="10530" spans="1:7" x14ac:dyDescent="0.2">
      <c r="A10530" t="s">
        <v>10927</v>
      </c>
      <c r="B10530" t="str">
        <f>"13281973255"</f>
        <v>13281973255</v>
      </c>
      <c r="C10530" t="str">
        <f>"511528199112182810"</f>
        <v>511528199112182810</v>
      </c>
      <c r="D10530" t="s">
        <v>10928</v>
      </c>
      <c r="E10530" t="s">
        <v>10929</v>
      </c>
      <c r="F10530" t="s">
        <v>0</v>
      </c>
      <c r="G10530" t="str">
        <f>"2018-10-14 16:03:57"</f>
        <v>2018-10-14 16:03:57</v>
      </c>
    </row>
    <row r="10531" spans="1:7" x14ac:dyDescent="0.2">
      <c r="A10531" t="s">
        <v>1</v>
      </c>
      <c r="B10531" t="str">
        <f>"15195170702"</f>
        <v>15195170702</v>
      </c>
      <c r="C10531" t="s">
        <v>1</v>
      </c>
      <c r="D10531" t="s">
        <v>1</v>
      </c>
      <c r="E10531" t="s">
        <v>1</v>
      </c>
      <c r="F10531" t="s">
        <v>0</v>
      </c>
      <c r="G10531" t="str">
        <f>"2018-10-14 15:51:00"</f>
        <v>2018-10-14 15:51:00</v>
      </c>
    </row>
    <row r="10532" spans="1:7" x14ac:dyDescent="0.2">
      <c r="A10532" t="s">
        <v>10930</v>
      </c>
      <c r="B10532" t="str">
        <f>"18815925513"</f>
        <v>18815925513</v>
      </c>
      <c r="C10532" t="str">
        <f>"350782198601232018"</f>
        <v>350782198601232018</v>
      </c>
      <c r="D10532" t="s">
        <v>1</v>
      </c>
      <c r="E10532" t="s">
        <v>1</v>
      </c>
      <c r="F10532" t="s">
        <v>0</v>
      </c>
      <c r="G10532" t="str">
        <f>"2018-10-14 15:56:15"</f>
        <v>2018-10-14 15:56:15</v>
      </c>
    </row>
    <row r="10533" spans="1:7" x14ac:dyDescent="0.2">
      <c r="A10533" t="s">
        <v>10931</v>
      </c>
      <c r="B10533" t="str">
        <f>"17606522246"</f>
        <v>17606522246</v>
      </c>
      <c r="C10533" t="str">
        <f>"341202199904142938"</f>
        <v>341202199904142938</v>
      </c>
      <c r="D10533" t="s">
        <v>10932</v>
      </c>
      <c r="E10533" t="s">
        <v>10933</v>
      </c>
      <c r="F10533" t="s">
        <v>0</v>
      </c>
      <c r="G10533" t="str">
        <f>"2018-10-14 15:50:23"</f>
        <v>2018-10-14 15:50:23</v>
      </c>
    </row>
    <row r="10534" spans="1:7" x14ac:dyDescent="0.2">
      <c r="A10534" t="s">
        <v>10934</v>
      </c>
      <c r="B10534" t="str">
        <f>"18980485071"</f>
        <v>18980485071</v>
      </c>
      <c r="C10534" t="str">
        <f>"510129198909022127"</f>
        <v>510129198909022127</v>
      </c>
      <c r="D10534" t="s">
        <v>1</v>
      </c>
      <c r="E10534" t="s">
        <v>1</v>
      </c>
      <c r="F10534" t="s">
        <v>0</v>
      </c>
      <c r="G10534" t="str">
        <f>"2018-10-15 12:22:45"</f>
        <v>2018-10-15 12:22:45</v>
      </c>
    </row>
    <row r="10535" spans="1:7" x14ac:dyDescent="0.2">
      <c r="A10535" t="s">
        <v>10935</v>
      </c>
      <c r="B10535" t="str">
        <f>"18305450385"</f>
        <v>18305450385</v>
      </c>
      <c r="C10535" t="str">
        <f>"370681199306068020"</f>
        <v>370681199306068020</v>
      </c>
      <c r="D10535" t="s">
        <v>1</v>
      </c>
      <c r="E10535" t="s">
        <v>1</v>
      </c>
      <c r="F10535" t="s">
        <v>0</v>
      </c>
      <c r="G10535" t="str">
        <f>"2018-10-14 16:47:01"</f>
        <v>2018-10-14 16:47:01</v>
      </c>
    </row>
    <row r="10536" spans="1:7" x14ac:dyDescent="0.2">
      <c r="A10536" t="s">
        <v>1029</v>
      </c>
      <c r="B10536" t="str">
        <f>"15692933727"</f>
        <v>15692933727</v>
      </c>
      <c r="C10536" t="str">
        <f>"511526198809101710"</f>
        <v>511526198809101710</v>
      </c>
      <c r="D10536" t="s">
        <v>1</v>
      </c>
      <c r="E10536" t="s">
        <v>1</v>
      </c>
      <c r="F10536" t="s">
        <v>0</v>
      </c>
      <c r="G10536" t="str">
        <f>"2018-10-14 15:49:17"</f>
        <v>2018-10-14 15:49:17</v>
      </c>
    </row>
    <row r="10537" spans="1:7" x14ac:dyDescent="0.2">
      <c r="A10537" t="s">
        <v>9003</v>
      </c>
      <c r="B10537" t="str">
        <f>"15142797161"</f>
        <v>15142797161</v>
      </c>
      <c r="C10537" t="str">
        <f>"211103197706111113"</f>
        <v>211103197706111113</v>
      </c>
      <c r="D10537" t="s">
        <v>1</v>
      </c>
      <c r="E10537" t="s">
        <v>1</v>
      </c>
      <c r="F10537" t="s">
        <v>0</v>
      </c>
      <c r="G10537" t="str">
        <f>"2018-10-16 10:16:20"</f>
        <v>2018-10-16 10:16:20</v>
      </c>
    </row>
    <row r="10538" spans="1:7" x14ac:dyDescent="0.2">
      <c r="A10538" t="s">
        <v>10936</v>
      </c>
      <c r="B10538" t="str">
        <f>"15832415110"</f>
        <v>15832415110</v>
      </c>
      <c r="C10538" t="str">
        <f>"13082419970417352X"</f>
        <v>13082419970417352X</v>
      </c>
      <c r="D10538" t="s">
        <v>10937</v>
      </c>
      <c r="E10538" t="s">
        <v>10938</v>
      </c>
      <c r="F10538" t="s">
        <v>0</v>
      </c>
      <c r="G10538" t="str">
        <f>"2018-10-14 15:48:40"</f>
        <v>2018-10-14 15:48:40</v>
      </c>
    </row>
    <row r="10539" spans="1:7" x14ac:dyDescent="0.2">
      <c r="A10539" t="s">
        <v>1</v>
      </c>
      <c r="B10539" t="str">
        <f>"13427328688"</f>
        <v>13427328688</v>
      </c>
      <c r="C10539" t="s">
        <v>1</v>
      </c>
      <c r="D10539" t="s">
        <v>1</v>
      </c>
      <c r="E10539" t="s">
        <v>1</v>
      </c>
      <c r="F10539" t="s">
        <v>0</v>
      </c>
      <c r="G10539" t="str">
        <f>"2018-10-14 15:43:59"</f>
        <v>2018-10-14 15:43:59</v>
      </c>
    </row>
    <row r="10540" spans="1:7" x14ac:dyDescent="0.2">
      <c r="A10540" t="s">
        <v>10939</v>
      </c>
      <c r="B10540" t="str">
        <f>"18674118431"</f>
        <v>18674118431</v>
      </c>
      <c r="C10540" t="str">
        <f>"422202199610202449"</f>
        <v>422202199610202449</v>
      </c>
      <c r="D10540" t="s">
        <v>1</v>
      </c>
      <c r="E10540" t="s">
        <v>1</v>
      </c>
      <c r="F10540" t="s">
        <v>0</v>
      </c>
      <c r="G10540" t="str">
        <f>"2018-10-14 15:49:42"</f>
        <v>2018-10-14 15:49:42</v>
      </c>
    </row>
    <row r="10541" spans="1:7" x14ac:dyDescent="0.2">
      <c r="A10541" t="s">
        <v>1</v>
      </c>
      <c r="B10541" t="str">
        <f>"15933444991"</f>
        <v>15933444991</v>
      </c>
      <c r="C10541" t="s">
        <v>1</v>
      </c>
      <c r="D10541" t="s">
        <v>1</v>
      </c>
      <c r="E10541" t="s">
        <v>1</v>
      </c>
      <c r="F10541" t="s">
        <v>0</v>
      </c>
      <c r="G10541" t="str">
        <f>"2018-10-14 15:42:27"</f>
        <v>2018-10-14 15:42:27</v>
      </c>
    </row>
    <row r="10542" spans="1:7" x14ac:dyDescent="0.2">
      <c r="A10542" t="s">
        <v>24</v>
      </c>
      <c r="B10542" t="str">
        <f>"15183532575"</f>
        <v>15183532575</v>
      </c>
      <c r="C10542" t="str">
        <f>"500236199012202985"</f>
        <v>500236199012202985</v>
      </c>
      <c r="D10542" t="s">
        <v>1</v>
      </c>
      <c r="E10542" t="s">
        <v>1</v>
      </c>
      <c r="F10542" t="s">
        <v>0</v>
      </c>
      <c r="G10542" t="str">
        <f>"2018-10-14 15:47:32"</f>
        <v>2018-10-14 15:47:32</v>
      </c>
    </row>
    <row r="10543" spans="1:7" x14ac:dyDescent="0.2">
      <c r="A10543" t="s">
        <v>861</v>
      </c>
      <c r="B10543" t="str">
        <f>"18098624567"</f>
        <v>18098624567</v>
      </c>
      <c r="C10543" t="str">
        <f>"342623199409052315"</f>
        <v>342623199409052315</v>
      </c>
      <c r="D10543" t="s">
        <v>1</v>
      </c>
      <c r="E10543" t="s">
        <v>1</v>
      </c>
      <c r="F10543" t="s">
        <v>0</v>
      </c>
      <c r="G10543" t="str">
        <f>"2018-10-14 15:49:02"</f>
        <v>2018-10-14 15:49:02</v>
      </c>
    </row>
    <row r="10544" spans="1:7" x14ac:dyDescent="0.2">
      <c r="A10544" t="s">
        <v>10940</v>
      </c>
      <c r="B10544" t="str">
        <f>"13616614955"</f>
        <v>13616614955</v>
      </c>
      <c r="C10544" t="str">
        <f>"330381199702011217"</f>
        <v>330381199702011217</v>
      </c>
      <c r="D10544" t="s">
        <v>1</v>
      </c>
      <c r="E10544" t="s">
        <v>1</v>
      </c>
      <c r="F10544" t="s">
        <v>0</v>
      </c>
      <c r="G10544" t="str">
        <f>"2018-10-14 15:39:59"</f>
        <v>2018-10-14 15:39:59</v>
      </c>
    </row>
    <row r="10545" spans="1:7" x14ac:dyDescent="0.2">
      <c r="A10545" t="s">
        <v>10941</v>
      </c>
      <c r="B10545" t="str">
        <f>"18790560726"</f>
        <v>18790560726</v>
      </c>
      <c r="C10545" t="str">
        <f>"410724198811099596"</f>
        <v>410724198811099596</v>
      </c>
      <c r="D10545" t="s">
        <v>1</v>
      </c>
      <c r="E10545" t="s">
        <v>1</v>
      </c>
      <c r="F10545" t="s">
        <v>0</v>
      </c>
      <c r="G10545" t="str">
        <f>"2018-10-14 15:44:02"</f>
        <v>2018-10-14 15:44:02</v>
      </c>
    </row>
    <row r="10546" spans="1:7" x14ac:dyDescent="0.2">
      <c r="A10546" t="s">
        <v>10942</v>
      </c>
      <c r="B10546" t="str">
        <f>"15248505240"</f>
        <v>15248505240</v>
      </c>
      <c r="C10546" t="str">
        <f>"15220119960323001X"</f>
        <v>15220119960323001X</v>
      </c>
      <c r="D10546" t="s">
        <v>1</v>
      </c>
      <c r="E10546" t="s">
        <v>1</v>
      </c>
      <c r="F10546" t="s">
        <v>0</v>
      </c>
      <c r="G10546" t="str">
        <f>"2018-10-14 15:39:45"</f>
        <v>2018-10-14 15:39:45</v>
      </c>
    </row>
    <row r="10547" spans="1:7" x14ac:dyDescent="0.2">
      <c r="A10547" t="s">
        <v>10943</v>
      </c>
      <c r="B10547" t="str">
        <f>"18772658340"</f>
        <v>18772658340</v>
      </c>
      <c r="C10547" t="str">
        <f>"421023199209222013"</f>
        <v>421023199209222013</v>
      </c>
      <c r="D10547" t="s">
        <v>1</v>
      </c>
      <c r="E10547" t="s">
        <v>1</v>
      </c>
      <c r="F10547" t="s">
        <v>0</v>
      </c>
      <c r="G10547" t="str">
        <f>"2018-10-14 15:57:17"</f>
        <v>2018-10-14 15:57:17</v>
      </c>
    </row>
    <row r="10548" spans="1:7" x14ac:dyDescent="0.2">
      <c r="A10548" t="s">
        <v>1</v>
      </c>
      <c r="B10548" t="str">
        <f>"17666207658"</f>
        <v>17666207658</v>
      </c>
      <c r="C10548" t="s">
        <v>1</v>
      </c>
      <c r="D10548" t="s">
        <v>1</v>
      </c>
      <c r="E10548" t="s">
        <v>1</v>
      </c>
      <c r="F10548" t="s">
        <v>0</v>
      </c>
      <c r="G10548" t="str">
        <f>"2018-10-28 18:31:31"</f>
        <v>2018-10-28 18:31:31</v>
      </c>
    </row>
    <row r="10549" spans="1:7" x14ac:dyDescent="0.2">
      <c r="A10549" t="s">
        <v>1</v>
      </c>
      <c r="B10549" t="str">
        <f>"18115520111"</f>
        <v>18115520111</v>
      </c>
      <c r="C10549" t="s">
        <v>1</v>
      </c>
      <c r="D10549" t="s">
        <v>1</v>
      </c>
      <c r="E10549" t="s">
        <v>1</v>
      </c>
      <c r="F10549" t="s">
        <v>0</v>
      </c>
      <c r="G10549" t="str">
        <f>"2018-10-14 15:38:22"</f>
        <v>2018-10-14 15:38:22</v>
      </c>
    </row>
    <row r="10550" spans="1:7" x14ac:dyDescent="0.2">
      <c r="A10550" t="s">
        <v>1</v>
      </c>
      <c r="B10550" t="str">
        <f>"15862118467"</f>
        <v>15862118467</v>
      </c>
      <c r="C10550" t="s">
        <v>1</v>
      </c>
      <c r="D10550" t="s">
        <v>1</v>
      </c>
      <c r="E10550" t="s">
        <v>1</v>
      </c>
      <c r="F10550" t="s">
        <v>0</v>
      </c>
      <c r="G10550" t="str">
        <f>"2018-10-14 15:38:05"</f>
        <v>2018-10-14 15:38:05</v>
      </c>
    </row>
    <row r="10551" spans="1:7" x14ac:dyDescent="0.2">
      <c r="A10551" t="s">
        <v>59</v>
      </c>
      <c r="B10551" t="str">
        <f>"15046003929"</f>
        <v>15046003929</v>
      </c>
      <c r="C10551" t="str">
        <f>"230121197804072627"</f>
        <v>230121197804072627</v>
      </c>
      <c r="D10551" t="s">
        <v>1</v>
      </c>
      <c r="E10551" t="s">
        <v>1</v>
      </c>
      <c r="F10551" t="s">
        <v>0</v>
      </c>
      <c r="G10551" t="str">
        <f>"2018-10-14 15:39:09"</f>
        <v>2018-10-14 15:39:09</v>
      </c>
    </row>
    <row r="10552" spans="1:7" x14ac:dyDescent="0.2">
      <c r="A10552" t="s">
        <v>10944</v>
      </c>
      <c r="B10552" t="str">
        <f>"17743481233"</f>
        <v>17743481233</v>
      </c>
      <c r="C10552" t="str">
        <f>"220181199807222217"</f>
        <v>220181199807222217</v>
      </c>
      <c r="D10552" t="s">
        <v>1</v>
      </c>
      <c r="E10552" t="s">
        <v>1</v>
      </c>
      <c r="F10552" t="s">
        <v>0</v>
      </c>
      <c r="G10552" t="str">
        <f>"2018-10-14 15:37:55"</f>
        <v>2018-10-14 15:37:55</v>
      </c>
    </row>
    <row r="10553" spans="1:7" x14ac:dyDescent="0.2">
      <c r="A10553" t="s">
        <v>1555</v>
      </c>
      <c r="B10553" t="str">
        <f>"18931428521"</f>
        <v>18931428521</v>
      </c>
      <c r="C10553" t="str">
        <f>"13082119940301151X"</f>
        <v>13082119940301151X</v>
      </c>
      <c r="D10553" t="s">
        <v>10945</v>
      </c>
      <c r="E10553" t="s">
        <v>10946</v>
      </c>
      <c r="F10553" t="s">
        <v>0</v>
      </c>
      <c r="G10553" t="str">
        <f>"2018-10-18 19:45:16"</f>
        <v>2018-10-18 19:45:16</v>
      </c>
    </row>
    <row r="10554" spans="1:7" x14ac:dyDescent="0.2">
      <c r="A10554" t="s">
        <v>1</v>
      </c>
      <c r="B10554" t="str">
        <f>"13384308962"</f>
        <v>13384308962</v>
      </c>
      <c r="C10554" t="s">
        <v>1</v>
      </c>
      <c r="D10554" t="s">
        <v>1</v>
      </c>
      <c r="E10554" t="s">
        <v>1</v>
      </c>
      <c r="F10554" t="s">
        <v>0</v>
      </c>
      <c r="G10554" t="str">
        <f>"2018-10-14 15:46:46"</f>
        <v>2018-10-14 15:46:46</v>
      </c>
    </row>
    <row r="10555" spans="1:7" x14ac:dyDescent="0.2">
      <c r="A10555" t="s">
        <v>10947</v>
      </c>
      <c r="B10555" t="str">
        <f>"18615518614"</f>
        <v>18615518614</v>
      </c>
      <c r="C10555" t="str">
        <f>"140321198803081816"</f>
        <v>140321198803081816</v>
      </c>
      <c r="D10555" t="s">
        <v>1</v>
      </c>
      <c r="E10555" t="s">
        <v>1</v>
      </c>
      <c r="F10555" t="s">
        <v>0</v>
      </c>
      <c r="G10555" t="str">
        <f>"2018-10-14 15:32:57"</f>
        <v>2018-10-14 15:32:57</v>
      </c>
    </row>
    <row r="10556" spans="1:7" x14ac:dyDescent="0.2">
      <c r="A10556" t="s">
        <v>10948</v>
      </c>
      <c r="B10556" t="str">
        <f>"18815195446"</f>
        <v>18815195446</v>
      </c>
      <c r="C10556" t="str">
        <f>"511323199606136678"</f>
        <v>511323199606136678</v>
      </c>
      <c r="D10556" t="s">
        <v>10949</v>
      </c>
      <c r="E10556" t="s">
        <v>10950</v>
      </c>
      <c r="F10556" t="s">
        <v>0</v>
      </c>
      <c r="G10556" t="str">
        <f>"2018-10-14 15:33:39"</f>
        <v>2018-10-14 15:33:39</v>
      </c>
    </row>
    <row r="10557" spans="1:7" x14ac:dyDescent="0.2">
      <c r="A10557" t="s">
        <v>10951</v>
      </c>
      <c r="B10557" t="str">
        <f>"13692453365"</f>
        <v>13692453365</v>
      </c>
      <c r="C10557" t="str">
        <f>"440882199404235019"</f>
        <v>440882199404235019</v>
      </c>
      <c r="D10557" t="s">
        <v>1</v>
      </c>
      <c r="E10557" t="s">
        <v>1</v>
      </c>
      <c r="F10557" t="s">
        <v>0</v>
      </c>
      <c r="G10557" t="str">
        <f>"2018-10-14 15:37:56"</f>
        <v>2018-10-14 15:37:56</v>
      </c>
    </row>
    <row r="10558" spans="1:7" x14ac:dyDescent="0.2">
      <c r="A10558" t="s">
        <v>1</v>
      </c>
      <c r="B10558" t="str">
        <f>"18184505057"</f>
        <v>18184505057</v>
      </c>
      <c r="C10558" t="s">
        <v>1</v>
      </c>
      <c r="D10558" t="s">
        <v>1</v>
      </c>
      <c r="E10558" t="s">
        <v>1</v>
      </c>
      <c r="F10558" t="s">
        <v>0</v>
      </c>
      <c r="G10558" t="str">
        <f>"2018-10-14 15:31:16"</f>
        <v>2018-10-14 15:31:16</v>
      </c>
    </row>
    <row r="10559" spans="1:7" x14ac:dyDescent="0.2">
      <c r="A10559" t="s">
        <v>10952</v>
      </c>
      <c r="B10559" t="str">
        <f>"13697678315"</f>
        <v>13697678315</v>
      </c>
      <c r="C10559" t="str">
        <f>"370283198704223176"</f>
        <v>370283198704223176</v>
      </c>
      <c r="D10559" t="s">
        <v>1</v>
      </c>
      <c r="E10559" t="s">
        <v>1</v>
      </c>
      <c r="F10559" t="s">
        <v>0</v>
      </c>
      <c r="G10559" t="str">
        <f>"2018-10-14 15:31:00"</f>
        <v>2018-10-14 15:31:00</v>
      </c>
    </row>
    <row r="10560" spans="1:7" x14ac:dyDescent="0.2">
      <c r="A10560" t="s">
        <v>1</v>
      </c>
      <c r="B10560" t="str">
        <f>"15676318447"</f>
        <v>15676318447</v>
      </c>
      <c r="C10560" t="s">
        <v>1</v>
      </c>
      <c r="D10560" t="s">
        <v>1</v>
      </c>
      <c r="E10560" t="s">
        <v>1</v>
      </c>
      <c r="F10560" t="s">
        <v>0</v>
      </c>
      <c r="G10560" t="str">
        <f>"2018-10-14 15:34:03"</f>
        <v>2018-10-14 15:34:03</v>
      </c>
    </row>
    <row r="10561" spans="1:7" x14ac:dyDescent="0.2">
      <c r="A10561" t="s">
        <v>10953</v>
      </c>
      <c r="B10561" t="str">
        <f>"18327600615"</f>
        <v>18327600615</v>
      </c>
      <c r="C10561" t="str">
        <f>"420921199607272812"</f>
        <v>420921199607272812</v>
      </c>
      <c r="D10561" t="s">
        <v>1</v>
      </c>
      <c r="E10561" t="s">
        <v>1</v>
      </c>
      <c r="F10561" t="s">
        <v>0</v>
      </c>
      <c r="G10561" t="str">
        <f>"2018-10-22 16:57:03"</f>
        <v>2018-10-22 16:57:03</v>
      </c>
    </row>
    <row r="10562" spans="1:7" x14ac:dyDescent="0.2">
      <c r="A10562" t="s">
        <v>10954</v>
      </c>
      <c r="B10562" t="str">
        <f>"13527055125"</f>
        <v>13527055125</v>
      </c>
      <c r="C10562" t="str">
        <f>"35032119790716395X"</f>
        <v>35032119790716395X</v>
      </c>
      <c r="D10562" t="s">
        <v>1</v>
      </c>
      <c r="E10562" t="s">
        <v>1</v>
      </c>
      <c r="F10562" t="s">
        <v>0</v>
      </c>
      <c r="G10562" t="str">
        <f>"2018-10-14 15:28:18"</f>
        <v>2018-10-14 15:28:18</v>
      </c>
    </row>
    <row r="10563" spans="1:7" x14ac:dyDescent="0.2">
      <c r="A10563" t="s">
        <v>1</v>
      </c>
      <c r="B10563" t="str">
        <f>"13186946171"</f>
        <v>13186946171</v>
      </c>
      <c r="C10563" t="s">
        <v>1</v>
      </c>
      <c r="D10563" t="s">
        <v>1</v>
      </c>
      <c r="E10563" t="s">
        <v>1</v>
      </c>
      <c r="F10563" t="s">
        <v>0</v>
      </c>
      <c r="G10563" t="str">
        <f>"2018-10-14 15:28:00"</f>
        <v>2018-10-14 15:28:00</v>
      </c>
    </row>
    <row r="10564" spans="1:7" x14ac:dyDescent="0.2">
      <c r="A10564" t="s">
        <v>10955</v>
      </c>
      <c r="B10564" t="str">
        <f>"18685886604"</f>
        <v>18685886604</v>
      </c>
      <c r="C10564" t="str">
        <f>"522423199610100895"</f>
        <v>522423199610100895</v>
      </c>
      <c r="D10564" t="s">
        <v>10956</v>
      </c>
      <c r="E10564" t="s">
        <v>10957</v>
      </c>
      <c r="F10564" t="s">
        <v>0</v>
      </c>
      <c r="G10564" t="str">
        <f>"2018-10-14 15:28:54"</f>
        <v>2018-10-14 15:28:54</v>
      </c>
    </row>
    <row r="10565" spans="1:7" x14ac:dyDescent="0.2">
      <c r="A10565" t="s">
        <v>10958</v>
      </c>
      <c r="B10565" t="str">
        <f>"18301595027"</f>
        <v>18301595027</v>
      </c>
      <c r="C10565" t="str">
        <f>"413026199511060632"</f>
        <v>413026199511060632</v>
      </c>
      <c r="D10565" t="s">
        <v>1</v>
      </c>
      <c r="E10565" t="s">
        <v>1</v>
      </c>
      <c r="F10565" t="s">
        <v>0</v>
      </c>
      <c r="G10565" t="str">
        <f>"2018-10-14 15:27:31"</f>
        <v>2018-10-14 15:27:31</v>
      </c>
    </row>
    <row r="10566" spans="1:7" x14ac:dyDescent="0.2">
      <c r="A10566" t="s">
        <v>10959</v>
      </c>
      <c r="B10566" t="str">
        <f>"17801037677"</f>
        <v>17801037677</v>
      </c>
      <c r="C10566" t="str">
        <f>"231102198807050032"</f>
        <v>231102198807050032</v>
      </c>
      <c r="D10566" t="s">
        <v>1</v>
      </c>
      <c r="E10566" t="s">
        <v>1</v>
      </c>
      <c r="F10566" t="s">
        <v>0</v>
      </c>
      <c r="G10566" t="str">
        <f>"2018-10-14 15:27:11"</f>
        <v>2018-10-14 15:27:11</v>
      </c>
    </row>
    <row r="10567" spans="1:7" x14ac:dyDescent="0.2">
      <c r="A10567" t="s">
        <v>1</v>
      </c>
      <c r="B10567" t="str">
        <f>"15349566338"</f>
        <v>15349566338</v>
      </c>
      <c r="C10567" t="s">
        <v>1</v>
      </c>
      <c r="D10567" t="s">
        <v>1</v>
      </c>
      <c r="E10567" t="s">
        <v>1</v>
      </c>
      <c r="F10567" t="s">
        <v>0</v>
      </c>
      <c r="G10567" t="str">
        <f>"2018-10-14 15:26:12"</f>
        <v>2018-10-14 15:26:12</v>
      </c>
    </row>
    <row r="10568" spans="1:7" x14ac:dyDescent="0.2">
      <c r="A10568" t="s">
        <v>10960</v>
      </c>
      <c r="B10568" t="str">
        <f>"13319304288"</f>
        <v>13319304288</v>
      </c>
      <c r="C10568" t="str">
        <f>"362323197811162131"</f>
        <v>362323197811162131</v>
      </c>
      <c r="D10568" t="s">
        <v>10961</v>
      </c>
      <c r="E10568" t="s">
        <v>10962</v>
      </c>
      <c r="F10568" t="s">
        <v>0</v>
      </c>
      <c r="G10568" t="str">
        <f>"2018-10-14 16:20:35"</f>
        <v>2018-10-14 16:20:35</v>
      </c>
    </row>
    <row r="10569" spans="1:7" x14ac:dyDescent="0.2">
      <c r="A10569" t="s">
        <v>1</v>
      </c>
      <c r="B10569" t="str">
        <f>"17101670747"</f>
        <v>17101670747</v>
      </c>
      <c r="C10569" t="s">
        <v>1</v>
      </c>
      <c r="D10569" t="s">
        <v>1</v>
      </c>
      <c r="E10569" t="s">
        <v>1</v>
      </c>
      <c r="F10569" t="s">
        <v>0</v>
      </c>
      <c r="G10569" t="str">
        <f>"2018-10-14 15:25:21"</f>
        <v>2018-10-14 15:25:21</v>
      </c>
    </row>
    <row r="10570" spans="1:7" x14ac:dyDescent="0.2">
      <c r="A10570" t="s">
        <v>10963</v>
      </c>
      <c r="B10570" t="str">
        <f>"18237598303"</f>
        <v>18237598303</v>
      </c>
      <c r="C10570" t="str">
        <f>"41048219970307772X"</f>
        <v>41048219970307772X</v>
      </c>
      <c r="D10570" t="s">
        <v>1</v>
      </c>
      <c r="E10570" t="s">
        <v>1</v>
      </c>
      <c r="F10570" t="s">
        <v>0</v>
      </c>
      <c r="G10570" t="str">
        <f>"2018-10-14 16:30:26"</f>
        <v>2018-10-14 16:30:26</v>
      </c>
    </row>
    <row r="10571" spans="1:7" x14ac:dyDescent="0.2">
      <c r="A10571" t="s">
        <v>10964</v>
      </c>
      <c r="B10571" t="str">
        <f>"15865799479"</f>
        <v>15865799479</v>
      </c>
      <c r="C10571" t="str">
        <f>"371521199005030765"</f>
        <v>371521199005030765</v>
      </c>
      <c r="D10571" t="s">
        <v>1</v>
      </c>
      <c r="E10571" t="s">
        <v>1</v>
      </c>
      <c r="F10571" t="s">
        <v>0</v>
      </c>
      <c r="G10571" t="str">
        <f>"2018-10-14 21:39:40"</f>
        <v>2018-10-14 21:39:40</v>
      </c>
    </row>
    <row r="10572" spans="1:7" x14ac:dyDescent="0.2">
      <c r="A10572" t="s">
        <v>1</v>
      </c>
      <c r="B10572" t="str">
        <f>"15565437666"</f>
        <v>15565437666</v>
      </c>
      <c r="C10572" t="s">
        <v>1</v>
      </c>
      <c r="D10572" t="s">
        <v>1</v>
      </c>
      <c r="E10572" t="s">
        <v>1</v>
      </c>
      <c r="F10572" t="s">
        <v>0</v>
      </c>
      <c r="G10572" t="str">
        <f>"2018-10-14 15:22:28"</f>
        <v>2018-10-14 15:22:28</v>
      </c>
    </row>
    <row r="10573" spans="1:7" x14ac:dyDescent="0.2">
      <c r="A10573" t="s">
        <v>1</v>
      </c>
      <c r="B10573" t="str">
        <f>"13855347281"</f>
        <v>13855347281</v>
      </c>
      <c r="C10573" t="s">
        <v>1</v>
      </c>
      <c r="D10573" t="s">
        <v>1</v>
      </c>
      <c r="E10573" t="s">
        <v>1</v>
      </c>
      <c r="F10573" t="s">
        <v>0</v>
      </c>
      <c r="G10573" t="str">
        <f>"2018-10-14 15:22:25"</f>
        <v>2018-10-14 15:22:25</v>
      </c>
    </row>
    <row r="10574" spans="1:7" x14ac:dyDescent="0.2">
      <c r="A10574" t="s">
        <v>10965</v>
      </c>
      <c r="B10574" t="str">
        <f>"15067555025"</f>
        <v>15067555025</v>
      </c>
      <c r="C10574" t="str">
        <f>"330683198809161228"</f>
        <v>330683198809161228</v>
      </c>
      <c r="D10574" t="s">
        <v>1</v>
      </c>
      <c r="E10574" t="s">
        <v>1</v>
      </c>
      <c r="F10574" t="s">
        <v>0</v>
      </c>
      <c r="G10574" t="str">
        <f>"2018-10-14 15:25:08"</f>
        <v>2018-10-14 15:25:08</v>
      </c>
    </row>
    <row r="10575" spans="1:7" x14ac:dyDescent="0.2">
      <c r="A10575" t="s">
        <v>1</v>
      </c>
      <c r="B10575" t="str">
        <f>"18990227966"</f>
        <v>18990227966</v>
      </c>
      <c r="C10575" t="s">
        <v>1</v>
      </c>
      <c r="D10575" t="s">
        <v>1</v>
      </c>
      <c r="E10575" t="s">
        <v>1</v>
      </c>
      <c r="F10575" t="s">
        <v>0</v>
      </c>
      <c r="G10575" t="str">
        <f>"2018-10-14 15:23:41"</f>
        <v>2018-10-14 15:23:41</v>
      </c>
    </row>
    <row r="10576" spans="1:7" x14ac:dyDescent="0.2">
      <c r="A10576" t="s">
        <v>1</v>
      </c>
      <c r="B10576" t="str">
        <f>"13032257554"</f>
        <v>13032257554</v>
      </c>
      <c r="C10576" t="s">
        <v>1</v>
      </c>
      <c r="D10576" t="s">
        <v>1</v>
      </c>
      <c r="E10576" t="s">
        <v>1</v>
      </c>
      <c r="F10576" t="s">
        <v>0</v>
      </c>
      <c r="G10576" t="str">
        <f>"2018-10-14 15:23:36"</f>
        <v>2018-10-14 15:23:36</v>
      </c>
    </row>
    <row r="10577" spans="1:7" x14ac:dyDescent="0.2">
      <c r="A10577" t="s">
        <v>3446</v>
      </c>
      <c r="B10577" t="str">
        <f>"13327363672"</f>
        <v>13327363672</v>
      </c>
      <c r="C10577" t="str">
        <f>"430726198105121318"</f>
        <v>430726198105121318</v>
      </c>
      <c r="D10577" t="s">
        <v>10966</v>
      </c>
      <c r="E10577" t="s">
        <v>10967</v>
      </c>
      <c r="F10577" t="s">
        <v>0</v>
      </c>
      <c r="G10577" t="str">
        <f>"2018-10-25 10:59:59"</f>
        <v>2018-10-25 10:59:59</v>
      </c>
    </row>
    <row r="10578" spans="1:7" x14ac:dyDescent="0.2">
      <c r="A10578" t="s">
        <v>10968</v>
      </c>
      <c r="B10578" t="str">
        <f>"18937111829"</f>
        <v>18937111829</v>
      </c>
      <c r="C10578" t="str">
        <f>"410185198606105512"</f>
        <v>410185198606105512</v>
      </c>
      <c r="D10578" t="s">
        <v>10969</v>
      </c>
      <c r="E10578" t="s">
        <v>10970</v>
      </c>
      <c r="F10578" t="s">
        <v>0</v>
      </c>
      <c r="G10578" t="str">
        <f>"2018-10-14 15:21:54"</f>
        <v>2018-10-14 15:21:54</v>
      </c>
    </row>
    <row r="10579" spans="1:7" x14ac:dyDescent="0.2">
      <c r="A10579" t="s">
        <v>89</v>
      </c>
      <c r="B10579" t="str">
        <f>"15328101108"</f>
        <v>15328101108</v>
      </c>
      <c r="C10579" t="str">
        <f>"510623197503300013"</f>
        <v>510623197503300013</v>
      </c>
      <c r="D10579" t="s">
        <v>1</v>
      </c>
      <c r="E10579" t="s">
        <v>1</v>
      </c>
      <c r="F10579" t="s">
        <v>0</v>
      </c>
      <c r="G10579" t="str">
        <f>"2018-10-14 15:18:56"</f>
        <v>2018-10-14 15:18:56</v>
      </c>
    </row>
    <row r="10580" spans="1:7" x14ac:dyDescent="0.2">
      <c r="A10580" t="s">
        <v>10971</v>
      </c>
      <c r="B10580" t="str">
        <f>"15835228108"</f>
        <v>15835228108</v>
      </c>
      <c r="C10580" t="str">
        <f>"140202198707226531"</f>
        <v>140202198707226531</v>
      </c>
      <c r="D10580" t="s">
        <v>1</v>
      </c>
      <c r="E10580" t="s">
        <v>1</v>
      </c>
      <c r="F10580" t="s">
        <v>0</v>
      </c>
      <c r="G10580" t="str">
        <f>"2018-10-14 15:44:41"</f>
        <v>2018-10-14 15:44:41</v>
      </c>
    </row>
    <row r="10581" spans="1:7" x14ac:dyDescent="0.2">
      <c r="A10581" t="s">
        <v>1</v>
      </c>
      <c r="B10581" t="str">
        <f>"15398748804"</f>
        <v>15398748804</v>
      </c>
      <c r="C10581" t="s">
        <v>1</v>
      </c>
      <c r="D10581" t="s">
        <v>1</v>
      </c>
      <c r="E10581" t="s">
        <v>1</v>
      </c>
      <c r="F10581" t="s">
        <v>0</v>
      </c>
      <c r="G10581" t="str">
        <f>"2018-10-14 15:18:45"</f>
        <v>2018-10-14 15:18:45</v>
      </c>
    </row>
    <row r="10582" spans="1:7" x14ac:dyDescent="0.2">
      <c r="A10582" t="s">
        <v>1</v>
      </c>
      <c r="B10582" t="str">
        <f>"18697406411"</f>
        <v>18697406411</v>
      </c>
      <c r="C10582" t="s">
        <v>1</v>
      </c>
      <c r="D10582" t="s">
        <v>1</v>
      </c>
      <c r="E10582" t="s">
        <v>1</v>
      </c>
      <c r="F10582" t="s">
        <v>0</v>
      </c>
      <c r="G10582" t="str">
        <f>"2018-10-14 15:18:45"</f>
        <v>2018-10-14 15:18:45</v>
      </c>
    </row>
    <row r="10583" spans="1:7" x14ac:dyDescent="0.2">
      <c r="A10583" t="s">
        <v>10972</v>
      </c>
      <c r="B10583" t="str">
        <f>"13842444887"</f>
        <v>13842444887</v>
      </c>
      <c r="C10583" t="str">
        <f>"210682198705044218"</f>
        <v>210682198705044218</v>
      </c>
      <c r="D10583" t="s">
        <v>1</v>
      </c>
      <c r="E10583" t="s">
        <v>1</v>
      </c>
      <c r="F10583" t="s">
        <v>0</v>
      </c>
      <c r="G10583" t="str">
        <f>"2018-10-14 15:43:18"</f>
        <v>2018-10-14 15:43:18</v>
      </c>
    </row>
    <row r="10584" spans="1:7" x14ac:dyDescent="0.2">
      <c r="A10584" t="s">
        <v>1</v>
      </c>
      <c r="B10584" t="str">
        <f>"15822281967"</f>
        <v>15822281967</v>
      </c>
      <c r="C10584" t="s">
        <v>1</v>
      </c>
      <c r="D10584" t="s">
        <v>1</v>
      </c>
      <c r="E10584" t="s">
        <v>1</v>
      </c>
      <c r="F10584" t="s">
        <v>0</v>
      </c>
      <c r="G10584" t="str">
        <f>"2018-10-14 15:18:28"</f>
        <v>2018-10-14 15:18:28</v>
      </c>
    </row>
    <row r="10585" spans="1:7" x14ac:dyDescent="0.2">
      <c r="A10585" t="s">
        <v>1</v>
      </c>
      <c r="B10585" t="str">
        <f>"13390060066"</f>
        <v>13390060066</v>
      </c>
      <c r="C10585" t="s">
        <v>1</v>
      </c>
      <c r="D10585" t="s">
        <v>1</v>
      </c>
      <c r="E10585" t="s">
        <v>1</v>
      </c>
      <c r="F10585" t="s">
        <v>0</v>
      </c>
      <c r="G10585" t="str">
        <f>"2018-10-14 15:18:15"</f>
        <v>2018-10-14 15:18:15</v>
      </c>
    </row>
    <row r="10586" spans="1:7" x14ac:dyDescent="0.2">
      <c r="A10586" t="s">
        <v>1</v>
      </c>
      <c r="B10586" t="str">
        <f>"18907835965"</f>
        <v>18907835965</v>
      </c>
      <c r="C10586" t="s">
        <v>1</v>
      </c>
      <c r="D10586" t="s">
        <v>1</v>
      </c>
      <c r="E10586" t="s">
        <v>1</v>
      </c>
      <c r="F10586" t="s">
        <v>0</v>
      </c>
      <c r="G10586" t="str">
        <f>"2018-10-14 15:17:11"</f>
        <v>2018-10-14 15:17:11</v>
      </c>
    </row>
    <row r="10587" spans="1:7" x14ac:dyDescent="0.2">
      <c r="A10587" t="s">
        <v>10973</v>
      </c>
      <c r="B10587" t="str">
        <f>"18761189576"</f>
        <v>18761189576</v>
      </c>
      <c r="C10587" t="str">
        <f>"32048319950411422X"</f>
        <v>32048319950411422X</v>
      </c>
      <c r="D10587" t="s">
        <v>1</v>
      </c>
      <c r="E10587" t="s">
        <v>1</v>
      </c>
      <c r="F10587" t="s">
        <v>0</v>
      </c>
      <c r="G10587" t="str">
        <f>"2018-10-18 14:05:38"</f>
        <v>2018-10-18 14:05:38</v>
      </c>
    </row>
    <row r="10588" spans="1:7" x14ac:dyDescent="0.2">
      <c r="A10588" t="s">
        <v>10974</v>
      </c>
      <c r="B10588" t="str">
        <f>"17709707527"</f>
        <v>17709707527</v>
      </c>
      <c r="C10588" t="str">
        <f>"632224198810150279"</f>
        <v>632224198810150279</v>
      </c>
      <c r="D10588" t="s">
        <v>10975</v>
      </c>
      <c r="E10588" t="s">
        <v>10976</v>
      </c>
      <c r="F10588" t="s">
        <v>0</v>
      </c>
      <c r="G10588" t="str">
        <f>"2018-10-14 15:17:56"</f>
        <v>2018-10-14 15:17:56</v>
      </c>
    </row>
    <row r="10589" spans="1:7" x14ac:dyDescent="0.2">
      <c r="A10589" t="s">
        <v>10977</v>
      </c>
      <c r="B10589" t="str">
        <f>"17612267311"</f>
        <v>17612267311</v>
      </c>
      <c r="C10589" t="str">
        <f>"120106199208207513"</f>
        <v>120106199208207513</v>
      </c>
      <c r="D10589" t="s">
        <v>1</v>
      </c>
      <c r="E10589" t="s">
        <v>1</v>
      </c>
      <c r="F10589" t="s">
        <v>0</v>
      </c>
      <c r="G10589" t="str">
        <f>"2018-10-14 15:16:14"</f>
        <v>2018-10-14 15:16:14</v>
      </c>
    </row>
    <row r="10590" spans="1:7" x14ac:dyDescent="0.2">
      <c r="A10590" t="s">
        <v>1151</v>
      </c>
      <c r="B10590" t="str">
        <f>"15595271918"</f>
        <v>15595271918</v>
      </c>
      <c r="C10590" t="str">
        <f>"642223199310161633"</f>
        <v>642223199310161633</v>
      </c>
      <c r="D10590" t="s">
        <v>10978</v>
      </c>
      <c r="E10590" t="s">
        <v>10979</v>
      </c>
      <c r="F10590" t="s">
        <v>0</v>
      </c>
      <c r="G10590" t="str">
        <f>"2018-10-14 15:43:23"</f>
        <v>2018-10-14 15:43:23</v>
      </c>
    </row>
    <row r="10591" spans="1:7" x14ac:dyDescent="0.2">
      <c r="A10591" t="s">
        <v>10980</v>
      </c>
      <c r="B10591" t="str">
        <f>"18628500545"</f>
        <v>18628500545</v>
      </c>
      <c r="C10591" t="str">
        <f>"610521198901071498"</f>
        <v>610521198901071498</v>
      </c>
      <c r="D10591" t="s">
        <v>1</v>
      </c>
      <c r="E10591" t="s">
        <v>1</v>
      </c>
      <c r="F10591" t="s">
        <v>0</v>
      </c>
      <c r="G10591" t="str">
        <f>"2018-10-14 15:27:03"</f>
        <v>2018-10-14 15:27:03</v>
      </c>
    </row>
    <row r="10592" spans="1:7" x14ac:dyDescent="0.2">
      <c r="A10592" t="s">
        <v>1</v>
      </c>
      <c r="B10592" t="str">
        <f>"13486139725"</f>
        <v>13486139725</v>
      </c>
      <c r="C10592" t="s">
        <v>1</v>
      </c>
      <c r="D10592" t="s">
        <v>1</v>
      </c>
      <c r="E10592" t="s">
        <v>1</v>
      </c>
      <c r="F10592" t="s">
        <v>0</v>
      </c>
      <c r="G10592" t="str">
        <f>"2018-10-14 15:13:21"</f>
        <v>2018-10-14 15:13:21</v>
      </c>
    </row>
    <row r="10593" spans="1:7" x14ac:dyDescent="0.2">
      <c r="A10593" t="s">
        <v>1</v>
      </c>
      <c r="B10593" t="str">
        <f>"13022710096"</f>
        <v>13022710096</v>
      </c>
      <c r="C10593" t="s">
        <v>1</v>
      </c>
      <c r="D10593" t="s">
        <v>1</v>
      </c>
      <c r="E10593" t="s">
        <v>1</v>
      </c>
      <c r="F10593" t="s">
        <v>0</v>
      </c>
      <c r="G10593" t="str">
        <f>"2018-10-14 15:13:16"</f>
        <v>2018-10-14 15:13:16</v>
      </c>
    </row>
    <row r="10594" spans="1:7" x14ac:dyDescent="0.2">
      <c r="A10594" t="s">
        <v>10981</v>
      </c>
      <c r="B10594" t="str">
        <f>"15178560761"</f>
        <v>15178560761</v>
      </c>
      <c r="C10594" t="str">
        <f>"340223199009240014"</f>
        <v>340223199009240014</v>
      </c>
      <c r="D10594" t="s">
        <v>1</v>
      </c>
      <c r="E10594" t="s">
        <v>1</v>
      </c>
      <c r="F10594" t="s">
        <v>0</v>
      </c>
      <c r="G10594" t="str">
        <f>"2018-10-14 15:25:22"</f>
        <v>2018-10-14 15:25:22</v>
      </c>
    </row>
    <row r="10595" spans="1:7" x14ac:dyDescent="0.2">
      <c r="A10595" t="s">
        <v>1</v>
      </c>
      <c r="B10595" t="str">
        <f>"13032368199"</f>
        <v>13032368199</v>
      </c>
      <c r="C10595" t="s">
        <v>1</v>
      </c>
      <c r="D10595" t="s">
        <v>1</v>
      </c>
      <c r="E10595" t="s">
        <v>1</v>
      </c>
      <c r="F10595" t="s">
        <v>0</v>
      </c>
      <c r="G10595" t="str">
        <f>"2018-10-14 15:13:04"</f>
        <v>2018-10-14 15:13:04</v>
      </c>
    </row>
    <row r="10596" spans="1:7" x14ac:dyDescent="0.2">
      <c r="A10596" t="s">
        <v>10982</v>
      </c>
      <c r="B10596" t="str">
        <f>"18604470100"</f>
        <v>18604470100</v>
      </c>
      <c r="C10596" t="str">
        <f>"220202198004213929"</f>
        <v>220202198004213929</v>
      </c>
      <c r="D10596" t="s">
        <v>10983</v>
      </c>
      <c r="E10596" t="s">
        <v>10984</v>
      </c>
      <c r="F10596" t="s">
        <v>0</v>
      </c>
      <c r="G10596" t="str">
        <f>"2018-10-14 15:14:21"</f>
        <v>2018-10-14 15:14:21</v>
      </c>
    </row>
    <row r="10597" spans="1:7" x14ac:dyDescent="0.2">
      <c r="A10597" t="s">
        <v>10985</v>
      </c>
      <c r="B10597" t="str">
        <f>"18921665762"</f>
        <v>18921665762</v>
      </c>
      <c r="C10597" t="str">
        <f>"500236199109013179"</f>
        <v>500236199109013179</v>
      </c>
      <c r="D10597" t="s">
        <v>1</v>
      </c>
      <c r="E10597" t="s">
        <v>1</v>
      </c>
      <c r="F10597" t="s">
        <v>0</v>
      </c>
      <c r="G10597" t="str">
        <f>"2018-10-14 15:12:19"</f>
        <v>2018-10-14 15:12:19</v>
      </c>
    </row>
    <row r="10598" spans="1:7" x14ac:dyDescent="0.2">
      <c r="A10598" t="s">
        <v>10986</v>
      </c>
      <c r="B10598" t="str">
        <f>"15870650971"</f>
        <v>15870650971</v>
      </c>
      <c r="C10598" t="str">
        <f>"360122199804047223"</f>
        <v>360122199804047223</v>
      </c>
      <c r="D10598" t="s">
        <v>1</v>
      </c>
      <c r="E10598" t="s">
        <v>1</v>
      </c>
      <c r="F10598" t="s">
        <v>0</v>
      </c>
      <c r="G10598" t="str">
        <f>"2018-10-14 15:11:52"</f>
        <v>2018-10-14 15:11:52</v>
      </c>
    </row>
    <row r="10599" spans="1:7" x14ac:dyDescent="0.2">
      <c r="A10599" t="s">
        <v>3116</v>
      </c>
      <c r="B10599" t="str">
        <f>"18752740196"</f>
        <v>18752740196</v>
      </c>
      <c r="C10599" t="str">
        <f>"362326198710186314"</f>
        <v>362326198710186314</v>
      </c>
      <c r="D10599" t="s">
        <v>10987</v>
      </c>
      <c r="E10599" t="s">
        <v>10988</v>
      </c>
      <c r="F10599" t="s">
        <v>0</v>
      </c>
      <c r="G10599" t="str">
        <f>"2018-10-14 15:28:17"</f>
        <v>2018-10-14 15:28:17</v>
      </c>
    </row>
    <row r="10600" spans="1:7" x14ac:dyDescent="0.2">
      <c r="A10600" t="s">
        <v>10989</v>
      </c>
      <c r="B10600" t="str">
        <f>"18003208000"</f>
        <v>18003208000</v>
      </c>
      <c r="C10600" t="str">
        <f>"130404198308230017"</f>
        <v>130404198308230017</v>
      </c>
      <c r="D10600" t="s">
        <v>1</v>
      </c>
      <c r="E10600" t="s">
        <v>1</v>
      </c>
      <c r="F10600" t="s">
        <v>0</v>
      </c>
      <c r="G10600" t="str">
        <f>"2018-10-14 15:10:54"</f>
        <v>2018-10-14 15:10:54</v>
      </c>
    </row>
    <row r="10601" spans="1:7" x14ac:dyDescent="0.2">
      <c r="A10601" t="s">
        <v>10990</v>
      </c>
      <c r="B10601" t="str">
        <f>"18265260505"</f>
        <v>18265260505</v>
      </c>
      <c r="C10601" t="str">
        <f>"370402197612152524"</f>
        <v>370402197612152524</v>
      </c>
      <c r="D10601" t="s">
        <v>1</v>
      </c>
      <c r="E10601" t="s">
        <v>1</v>
      </c>
      <c r="F10601" t="s">
        <v>0</v>
      </c>
      <c r="G10601" t="str">
        <f>"2018-10-14 15:12:56"</f>
        <v>2018-10-14 15:12:56</v>
      </c>
    </row>
    <row r="10602" spans="1:7" x14ac:dyDescent="0.2">
      <c r="A10602" t="s">
        <v>1</v>
      </c>
      <c r="B10602" t="str">
        <f>"13247165078"</f>
        <v>13247165078</v>
      </c>
      <c r="C10602" t="s">
        <v>1</v>
      </c>
      <c r="D10602" t="s">
        <v>1</v>
      </c>
      <c r="E10602" t="s">
        <v>1</v>
      </c>
      <c r="F10602" t="s">
        <v>0</v>
      </c>
      <c r="G10602" t="str">
        <f>"2018-10-14 15:10:06"</f>
        <v>2018-10-14 15:10:06</v>
      </c>
    </row>
    <row r="10603" spans="1:7" x14ac:dyDescent="0.2">
      <c r="A10603" t="s">
        <v>5203</v>
      </c>
      <c r="B10603" t="str">
        <f>"18093020811"</f>
        <v>18093020811</v>
      </c>
      <c r="C10603" t="str">
        <f>"622826198509250418"</f>
        <v>622826198509250418</v>
      </c>
      <c r="D10603" t="s">
        <v>1</v>
      </c>
      <c r="E10603" t="s">
        <v>1</v>
      </c>
      <c r="F10603" t="s">
        <v>0</v>
      </c>
      <c r="G10603" t="str">
        <f>"2018-10-14 15:09:34"</f>
        <v>2018-10-14 15:09:34</v>
      </c>
    </row>
    <row r="10604" spans="1:7" x14ac:dyDescent="0.2">
      <c r="A10604" t="s">
        <v>10991</v>
      </c>
      <c r="B10604" t="str">
        <f>"15024354372"</f>
        <v>15024354372</v>
      </c>
      <c r="C10604" t="str">
        <f>"410928199410182410"</f>
        <v>410928199410182410</v>
      </c>
      <c r="D10604" t="s">
        <v>10992</v>
      </c>
      <c r="E10604" t="s">
        <v>10993</v>
      </c>
      <c r="F10604" t="s">
        <v>0</v>
      </c>
      <c r="G10604" t="str">
        <f>"2018-10-14 15:10:31"</f>
        <v>2018-10-14 15:10:31</v>
      </c>
    </row>
    <row r="10605" spans="1:7" x14ac:dyDescent="0.2">
      <c r="A10605" t="s">
        <v>1</v>
      </c>
      <c r="B10605" t="str">
        <f>"18647339228"</f>
        <v>18647339228</v>
      </c>
      <c r="C10605" t="s">
        <v>1</v>
      </c>
      <c r="D10605" t="s">
        <v>1</v>
      </c>
      <c r="E10605" t="s">
        <v>1</v>
      </c>
      <c r="F10605" t="s">
        <v>0</v>
      </c>
      <c r="G10605" t="str">
        <f>"2018-10-14 15:06:53"</f>
        <v>2018-10-14 15:06:53</v>
      </c>
    </row>
    <row r="10606" spans="1:7" x14ac:dyDescent="0.2">
      <c r="A10606" t="s">
        <v>10994</v>
      </c>
      <c r="B10606" t="str">
        <f>"18702973760"</f>
        <v>18702973760</v>
      </c>
      <c r="C10606" t="str">
        <f>"610428198111094010"</f>
        <v>610428198111094010</v>
      </c>
      <c r="D10606" t="s">
        <v>10995</v>
      </c>
      <c r="E10606" t="s">
        <v>10996</v>
      </c>
      <c r="F10606" t="s">
        <v>0</v>
      </c>
      <c r="G10606" t="str">
        <f>"2018-10-14 15:10:17"</f>
        <v>2018-10-14 15:10:17</v>
      </c>
    </row>
    <row r="10607" spans="1:7" x14ac:dyDescent="0.2">
      <c r="A10607" t="s">
        <v>10997</v>
      </c>
      <c r="B10607" t="str">
        <f>"15277720780"</f>
        <v>15277720780</v>
      </c>
      <c r="C10607" t="str">
        <f>"452229199901275416"</f>
        <v>452229199901275416</v>
      </c>
      <c r="D10607" t="s">
        <v>10998</v>
      </c>
      <c r="E10607" t="s">
        <v>10999</v>
      </c>
      <c r="F10607" t="s">
        <v>0</v>
      </c>
      <c r="G10607" t="str">
        <f>"2018-10-14 15:05:35"</f>
        <v>2018-10-14 15:05:35</v>
      </c>
    </row>
    <row r="10608" spans="1:7" x14ac:dyDescent="0.2">
      <c r="A10608" t="s">
        <v>2</v>
      </c>
      <c r="B10608" t="str">
        <f>"18419142187"</f>
        <v>18419142187</v>
      </c>
      <c r="C10608" t="str">
        <f>"620122199601050231"</f>
        <v>620122199601050231</v>
      </c>
      <c r="D10608" t="s">
        <v>1</v>
      </c>
      <c r="E10608" t="s">
        <v>1</v>
      </c>
      <c r="F10608" t="s">
        <v>0</v>
      </c>
      <c r="G10608" t="str">
        <f>"2018-10-14 15:07:02"</f>
        <v>2018-10-14 15:07:02</v>
      </c>
    </row>
    <row r="10609" spans="1:7" x14ac:dyDescent="0.2">
      <c r="A10609" t="s">
        <v>11000</v>
      </c>
      <c r="B10609" t="str">
        <f>"13668666363"</f>
        <v>13668666363</v>
      </c>
      <c r="C10609" t="str">
        <f>"370704199107211835"</f>
        <v>370704199107211835</v>
      </c>
      <c r="D10609" t="s">
        <v>11001</v>
      </c>
      <c r="E10609" t="s">
        <v>11002</v>
      </c>
      <c r="F10609" t="s">
        <v>0</v>
      </c>
      <c r="G10609" t="str">
        <f>"2018-10-14 15:04:57"</f>
        <v>2018-10-14 15:04:57</v>
      </c>
    </row>
    <row r="10610" spans="1:7" x14ac:dyDescent="0.2">
      <c r="A10610" t="s">
        <v>11003</v>
      </c>
      <c r="B10610" t="str">
        <f>"15367830175"</f>
        <v>15367830175</v>
      </c>
      <c r="C10610" t="str">
        <f>"430623198311055759"</f>
        <v>430623198311055759</v>
      </c>
      <c r="D10610" t="s">
        <v>11004</v>
      </c>
      <c r="E10610" t="s">
        <v>11005</v>
      </c>
      <c r="F10610" t="s">
        <v>0</v>
      </c>
      <c r="G10610" t="str">
        <f>"2018-10-14 15:04:29"</f>
        <v>2018-10-14 15:04:29</v>
      </c>
    </row>
    <row r="10611" spans="1:7" x14ac:dyDescent="0.2">
      <c r="A10611" t="s">
        <v>345</v>
      </c>
      <c r="B10611" t="str">
        <f>"13696514013"</f>
        <v>13696514013</v>
      </c>
      <c r="C10611" t="str">
        <f>"350301199010042559"</f>
        <v>350301199010042559</v>
      </c>
      <c r="D10611" t="s">
        <v>1</v>
      </c>
      <c r="E10611" t="s">
        <v>1</v>
      </c>
      <c r="F10611" t="s">
        <v>0</v>
      </c>
      <c r="G10611" t="str">
        <f>"2018-10-14 15:02:49"</f>
        <v>2018-10-14 15:02:49</v>
      </c>
    </row>
    <row r="10612" spans="1:7" x14ac:dyDescent="0.2">
      <c r="A10612" t="s">
        <v>1</v>
      </c>
      <c r="B10612" t="str">
        <f>"13583769708"</f>
        <v>13583769708</v>
      </c>
      <c r="C10612" t="s">
        <v>1</v>
      </c>
      <c r="D10612" t="s">
        <v>1</v>
      </c>
      <c r="E10612" t="s">
        <v>1</v>
      </c>
      <c r="F10612" t="s">
        <v>0</v>
      </c>
      <c r="G10612" t="str">
        <f>"2018-10-14 15:01:48"</f>
        <v>2018-10-14 15:01:48</v>
      </c>
    </row>
    <row r="10613" spans="1:7" x14ac:dyDescent="0.2">
      <c r="A10613" t="s">
        <v>1</v>
      </c>
      <c r="B10613" t="str">
        <f>"13316935114"</f>
        <v>13316935114</v>
      </c>
      <c r="C10613" t="s">
        <v>1</v>
      </c>
      <c r="D10613" t="s">
        <v>1</v>
      </c>
      <c r="E10613" t="s">
        <v>1</v>
      </c>
      <c r="F10613" t="s">
        <v>0</v>
      </c>
      <c r="G10613" t="str">
        <f>"2018-10-14 15:01:20"</f>
        <v>2018-10-14 15:01:20</v>
      </c>
    </row>
    <row r="10614" spans="1:7" x14ac:dyDescent="0.2">
      <c r="A10614" t="s">
        <v>11006</v>
      </c>
      <c r="B10614" t="str">
        <f>"13502216471"</f>
        <v>13502216471</v>
      </c>
      <c r="C10614" t="str">
        <f>"522101198812044431"</f>
        <v>522101198812044431</v>
      </c>
      <c r="D10614" t="s">
        <v>1</v>
      </c>
      <c r="E10614" t="s">
        <v>1</v>
      </c>
      <c r="F10614" t="s">
        <v>0</v>
      </c>
      <c r="G10614" t="str">
        <f>"2018-10-14 14:59:23"</f>
        <v>2018-10-14 14:59:23</v>
      </c>
    </row>
    <row r="10615" spans="1:7" x14ac:dyDescent="0.2">
      <c r="A10615" t="s">
        <v>1</v>
      </c>
      <c r="B10615" t="str">
        <f>"17192447797"</f>
        <v>17192447797</v>
      </c>
      <c r="C10615" t="s">
        <v>1</v>
      </c>
      <c r="D10615" t="s">
        <v>1</v>
      </c>
      <c r="E10615" t="s">
        <v>1</v>
      </c>
      <c r="F10615" t="s">
        <v>0</v>
      </c>
      <c r="G10615" t="str">
        <f>"2018-10-14 14:58:35"</f>
        <v>2018-10-14 14:58:35</v>
      </c>
    </row>
    <row r="10616" spans="1:7" x14ac:dyDescent="0.2">
      <c r="A10616" t="s">
        <v>11007</v>
      </c>
      <c r="B10616" t="str">
        <f>"18248710010"</f>
        <v>18248710010</v>
      </c>
      <c r="C10616" t="str">
        <f>"420625198910054492"</f>
        <v>420625198910054492</v>
      </c>
      <c r="D10616" t="s">
        <v>1</v>
      </c>
      <c r="E10616" t="s">
        <v>1</v>
      </c>
      <c r="F10616" t="s">
        <v>0</v>
      </c>
      <c r="G10616" t="str">
        <f>"2018-11-02 13:16:43"</f>
        <v>2018-11-02 13:16:43</v>
      </c>
    </row>
    <row r="10617" spans="1:7" x14ac:dyDescent="0.2">
      <c r="A10617" t="s">
        <v>11008</v>
      </c>
      <c r="B10617" t="str">
        <f>"15507695295"</f>
        <v>15507695295</v>
      </c>
      <c r="C10617" t="str">
        <f>"44188219940503691X"</f>
        <v>44188219940503691X</v>
      </c>
      <c r="D10617" t="s">
        <v>1</v>
      </c>
      <c r="E10617" t="s">
        <v>1</v>
      </c>
      <c r="F10617" t="s">
        <v>0</v>
      </c>
      <c r="G10617" t="str">
        <f>"2018-10-16 10:30:38"</f>
        <v>2018-10-16 10:30:38</v>
      </c>
    </row>
    <row r="10618" spans="1:7" x14ac:dyDescent="0.2">
      <c r="A10618" t="s">
        <v>6150</v>
      </c>
      <c r="B10618" t="str">
        <f>"13665634387"</f>
        <v>13665634387</v>
      </c>
      <c r="C10618" t="str">
        <f>"330523199003122812"</f>
        <v>330523199003122812</v>
      </c>
      <c r="D10618" t="s">
        <v>11009</v>
      </c>
      <c r="E10618" t="s">
        <v>11010</v>
      </c>
      <c r="F10618" t="s">
        <v>0</v>
      </c>
      <c r="G10618" t="str">
        <f>"2018-10-14 14:56:49"</f>
        <v>2018-10-14 14:56:49</v>
      </c>
    </row>
    <row r="10619" spans="1:7" x14ac:dyDescent="0.2">
      <c r="A10619" t="s">
        <v>1</v>
      </c>
      <c r="B10619" t="str">
        <f>"18289719900"</f>
        <v>18289719900</v>
      </c>
      <c r="C10619" t="s">
        <v>1</v>
      </c>
      <c r="D10619" t="s">
        <v>1</v>
      </c>
      <c r="E10619" t="s">
        <v>1</v>
      </c>
      <c r="F10619" t="s">
        <v>0</v>
      </c>
      <c r="G10619" t="str">
        <f>"2018-10-14 14:56:34"</f>
        <v>2018-10-14 14:56:34</v>
      </c>
    </row>
    <row r="10620" spans="1:7" x14ac:dyDescent="0.2">
      <c r="A10620" t="s">
        <v>11011</v>
      </c>
      <c r="B10620" t="str">
        <f>"15318709356"</f>
        <v>15318709356</v>
      </c>
      <c r="C10620" t="str">
        <f>"220621198107120240"</f>
        <v>220621198107120240</v>
      </c>
      <c r="D10620" t="s">
        <v>11012</v>
      </c>
      <c r="E10620" t="s">
        <v>11012</v>
      </c>
      <c r="F10620" t="s">
        <v>0</v>
      </c>
      <c r="G10620" t="str">
        <f>"2018-10-14 14:57:47"</f>
        <v>2018-10-14 14:57:47</v>
      </c>
    </row>
    <row r="10621" spans="1:7" x14ac:dyDescent="0.2">
      <c r="A10621" t="s">
        <v>11013</v>
      </c>
      <c r="B10621" t="str">
        <f>"15674555553"</f>
        <v>15674555553</v>
      </c>
      <c r="C10621" t="str">
        <f>"431202198905090014"</f>
        <v>431202198905090014</v>
      </c>
      <c r="D10621" t="s">
        <v>1</v>
      </c>
      <c r="E10621" t="s">
        <v>1</v>
      </c>
      <c r="F10621" t="s">
        <v>0</v>
      </c>
      <c r="G10621" t="str">
        <f>"2018-10-14 14:59:17"</f>
        <v>2018-10-14 14:59:17</v>
      </c>
    </row>
    <row r="10622" spans="1:7" x14ac:dyDescent="0.2">
      <c r="A10622" t="s">
        <v>11014</v>
      </c>
      <c r="B10622" t="str">
        <f>"18553655009"</f>
        <v>18553655009</v>
      </c>
      <c r="C10622" t="str">
        <f>"370784199107233817"</f>
        <v>370784199107233817</v>
      </c>
      <c r="D10622" t="s">
        <v>1</v>
      </c>
      <c r="E10622" t="s">
        <v>1</v>
      </c>
      <c r="F10622" t="s">
        <v>0</v>
      </c>
      <c r="G10622" t="str">
        <f>"2018-10-14 15:03:59"</f>
        <v>2018-10-14 15:03:59</v>
      </c>
    </row>
    <row r="10623" spans="1:7" x14ac:dyDescent="0.2">
      <c r="A10623" t="s">
        <v>11015</v>
      </c>
      <c r="B10623" t="str">
        <f>"15814202332"</f>
        <v>15814202332</v>
      </c>
      <c r="C10623" t="str">
        <f>"442000199001044238"</f>
        <v>442000199001044238</v>
      </c>
      <c r="D10623" t="s">
        <v>1</v>
      </c>
      <c r="E10623" t="s">
        <v>1</v>
      </c>
      <c r="F10623" t="s">
        <v>0</v>
      </c>
      <c r="G10623" t="str">
        <f>"2018-10-14 14:55:25"</f>
        <v>2018-10-14 14:55:25</v>
      </c>
    </row>
    <row r="10624" spans="1:7" x14ac:dyDescent="0.2">
      <c r="A10624" t="s">
        <v>11016</v>
      </c>
      <c r="B10624" t="str">
        <f>"13020551819"</f>
        <v>13020551819</v>
      </c>
      <c r="C10624" t="str">
        <f>"372522198209121856"</f>
        <v>372522198209121856</v>
      </c>
      <c r="D10624" t="s">
        <v>11017</v>
      </c>
      <c r="E10624" t="s">
        <v>11018</v>
      </c>
      <c r="F10624" t="s">
        <v>0</v>
      </c>
      <c r="G10624" t="str">
        <f>"2018-10-18 20:42:43"</f>
        <v>2018-10-18 20:42:43</v>
      </c>
    </row>
    <row r="10625" spans="1:7" x14ac:dyDescent="0.2">
      <c r="A10625" t="s">
        <v>1</v>
      </c>
      <c r="B10625" t="str">
        <f>"13715065025"</f>
        <v>13715065025</v>
      </c>
      <c r="C10625" t="s">
        <v>1</v>
      </c>
      <c r="D10625" t="s">
        <v>1</v>
      </c>
      <c r="E10625" t="s">
        <v>1</v>
      </c>
      <c r="F10625" t="s">
        <v>0</v>
      </c>
      <c r="G10625" t="str">
        <f>"2018-10-14 14:53:25"</f>
        <v>2018-10-14 14:53:25</v>
      </c>
    </row>
    <row r="10626" spans="1:7" x14ac:dyDescent="0.2">
      <c r="A10626" t="s">
        <v>11019</v>
      </c>
      <c r="B10626" t="str">
        <f>"15973927552"</f>
        <v>15973927552</v>
      </c>
      <c r="C10626" t="str">
        <f>"430502199004264515"</f>
        <v>430502199004264515</v>
      </c>
      <c r="D10626" t="s">
        <v>11020</v>
      </c>
      <c r="E10626" t="s">
        <v>11021</v>
      </c>
      <c r="F10626" t="s">
        <v>0</v>
      </c>
      <c r="G10626" t="str">
        <f>"2018-10-14 14:55:16"</f>
        <v>2018-10-14 14:55:16</v>
      </c>
    </row>
    <row r="10627" spans="1:7" x14ac:dyDescent="0.2">
      <c r="A10627" t="s">
        <v>282</v>
      </c>
      <c r="B10627" t="str">
        <f>"18258565358"</f>
        <v>18258565358</v>
      </c>
      <c r="C10627" t="str">
        <f>"530325199411011571"</f>
        <v>530325199411011571</v>
      </c>
      <c r="D10627" t="s">
        <v>1</v>
      </c>
      <c r="E10627" t="s">
        <v>1</v>
      </c>
      <c r="F10627" t="s">
        <v>0</v>
      </c>
      <c r="G10627" t="str">
        <f>"2018-10-25 10:54:19"</f>
        <v>2018-10-25 10:54:19</v>
      </c>
    </row>
    <row r="10628" spans="1:7" x14ac:dyDescent="0.2">
      <c r="A10628" t="s">
        <v>11022</v>
      </c>
      <c r="B10628" t="str">
        <f>"15605906567"</f>
        <v>15605906567</v>
      </c>
      <c r="C10628" t="str">
        <f>"350625199111240519"</f>
        <v>350625199111240519</v>
      </c>
      <c r="D10628" t="s">
        <v>1</v>
      </c>
      <c r="E10628" t="s">
        <v>1</v>
      </c>
      <c r="F10628" t="s">
        <v>0</v>
      </c>
      <c r="G10628" t="str">
        <f>"2018-10-14 14:53:25"</f>
        <v>2018-10-14 14:53:25</v>
      </c>
    </row>
    <row r="10629" spans="1:7" x14ac:dyDescent="0.2">
      <c r="A10629" t="s">
        <v>11023</v>
      </c>
      <c r="B10629" t="str">
        <f>"15766250755"</f>
        <v>15766250755</v>
      </c>
      <c r="C10629" t="str">
        <f>"441223197811185011"</f>
        <v>441223197811185011</v>
      </c>
      <c r="D10629" t="s">
        <v>1</v>
      </c>
      <c r="E10629" t="s">
        <v>1</v>
      </c>
      <c r="F10629" t="s">
        <v>0</v>
      </c>
      <c r="G10629" t="str">
        <f>"2018-10-14 14:53:30"</f>
        <v>2018-10-14 14:53:30</v>
      </c>
    </row>
    <row r="10630" spans="1:7" x14ac:dyDescent="0.2">
      <c r="A10630" t="s">
        <v>11024</v>
      </c>
      <c r="B10630" t="str">
        <f>"17635700363"</f>
        <v>17635700363</v>
      </c>
      <c r="C10630" t="str">
        <f>"140322199506070337"</f>
        <v>140322199506070337</v>
      </c>
      <c r="D10630" t="s">
        <v>1</v>
      </c>
      <c r="E10630" t="s">
        <v>1</v>
      </c>
      <c r="F10630" t="s">
        <v>0</v>
      </c>
      <c r="G10630" t="str">
        <f>"2018-10-14 14:55:45"</f>
        <v>2018-10-14 14:55:45</v>
      </c>
    </row>
    <row r="10631" spans="1:7" x14ac:dyDescent="0.2">
      <c r="A10631" t="s">
        <v>799</v>
      </c>
      <c r="B10631" t="str">
        <f>"15764550981"</f>
        <v>15764550981</v>
      </c>
      <c r="C10631" t="str">
        <f>"230713199507010659"</f>
        <v>230713199507010659</v>
      </c>
      <c r="D10631" t="s">
        <v>1</v>
      </c>
      <c r="E10631" t="s">
        <v>1</v>
      </c>
      <c r="F10631" t="s">
        <v>0</v>
      </c>
      <c r="G10631" t="str">
        <f>"2018-10-14 14:55:16"</f>
        <v>2018-10-14 14:55:16</v>
      </c>
    </row>
    <row r="10632" spans="1:7" x14ac:dyDescent="0.2">
      <c r="A10632" t="s">
        <v>1</v>
      </c>
      <c r="B10632" t="str">
        <f>"15035926864"</f>
        <v>15035926864</v>
      </c>
      <c r="C10632" t="s">
        <v>1</v>
      </c>
      <c r="D10632" t="s">
        <v>1</v>
      </c>
      <c r="E10632" t="s">
        <v>1</v>
      </c>
      <c r="F10632" t="s">
        <v>0</v>
      </c>
      <c r="G10632" t="str">
        <f>"2018-10-14 14:51:59"</f>
        <v>2018-10-14 14:51:59</v>
      </c>
    </row>
    <row r="10633" spans="1:7" x14ac:dyDescent="0.2">
      <c r="A10633" t="s">
        <v>11025</v>
      </c>
      <c r="B10633" t="str">
        <f>"13726633112"</f>
        <v>13726633112</v>
      </c>
      <c r="C10633" t="str">
        <f>"362421198804014111"</f>
        <v>362421198804014111</v>
      </c>
      <c r="D10633" t="s">
        <v>1</v>
      </c>
      <c r="E10633" t="s">
        <v>1</v>
      </c>
      <c r="F10633" t="s">
        <v>0</v>
      </c>
      <c r="G10633" t="str">
        <f>"2018-10-14 14:53:23"</f>
        <v>2018-10-14 14:53:23</v>
      </c>
    </row>
    <row r="10634" spans="1:7" x14ac:dyDescent="0.2">
      <c r="A10634" t="s">
        <v>1</v>
      </c>
      <c r="B10634" t="str">
        <f>"18753668107"</f>
        <v>18753668107</v>
      </c>
      <c r="C10634" t="s">
        <v>1</v>
      </c>
      <c r="D10634" t="s">
        <v>1</v>
      </c>
      <c r="E10634" t="s">
        <v>1</v>
      </c>
      <c r="F10634" t="s">
        <v>0</v>
      </c>
      <c r="G10634" t="str">
        <f>"2018-10-14 14:49:06"</f>
        <v>2018-10-14 14:49:06</v>
      </c>
    </row>
    <row r="10635" spans="1:7" x14ac:dyDescent="0.2">
      <c r="A10635" t="s">
        <v>11026</v>
      </c>
      <c r="B10635" t="str">
        <f>"13335181244"</f>
        <v>13335181244</v>
      </c>
      <c r="C10635" t="str">
        <f>"370103198412017015"</f>
        <v>370103198412017015</v>
      </c>
      <c r="D10635" t="s">
        <v>1</v>
      </c>
      <c r="E10635" t="s">
        <v>1</v>
      </c>
      <c r="F10635" t="s">
        <v>0</v>
      </c>
      <c r="G10635" t="str">
        <f>"2018-10-14 14:51:01"</f>
        <v>2018-10-14 14:51:01</v>
      </c>
    </row>
    <row r="10636" spans="1:7" x14ac:dyDescent="0.2">
      <c r="A10636" t="s">
        <v>11027</v>
      </c>
      <c r="B10636" t="str">
        <f>"15280318161"</f>
        <v>15280318161</v>
      </c>
      <c r="C10636" t="str">
        <f>"350924199606220042"</f>
        <v>350924199606220042</v>
      </c>
      <c r="D10636" t="s">
        <v>1</v>
      </c>
      <c r="E10636" t="s">
        <v>1</v>
      </c>
      <c r="F10636" t="s">
        <v>0</v>
      </c>
      <c r="G10636" t="str">
        <f>"2018-10-14 14:50:20"</f>
        <v>2018-10-14 14:50:20</v>
      </c>
    </row>
    <row r="10637" spans="1:7" x14ac:dyDescent="0.2">
      <c r="A10637" t="s">
        <v>1</v>
      </c>
      <c r="B10637" t="str">
        <f>"13960492612"</f>
        <v>13960492612</v>
      </c>
      <c r="C10637" t="s">
        <v>1</v>
      </c>
      <c r="D10637" t="s">
        <v>1</v>
      </c>
      <c r="E10637" t="s">
        <v>1</v>
      </c>
      <c r="F10637" t="s">
        <v>0</v>
      </c>
      <c r="G10637" t="str">
        <f>"2018-10-14 14:47:59"</f>
        <v>2018-10-14 14:47:59</v>
      </c>
    </row>
    <row r="10638" spans="1:7" x14ac:dyDescent="0.2">
      <c r="A10638" t="s">
        <v>11028</v>
      </c>
      <c r="B10638" t="str">
        <f>"15994588535"</f>
        <v>15994588535</v>
      </c>
      <c r="C10638" t="str">
        <f>"450924198709174113"</f>
        <v>450924198709174113</v>
      </c>
      <c r="D10638" t="s">
        <v>1</v>
      </c>
      <c r="E10638" t="s">
        <v>1</v>
      </c>
      <c r="F10638" t="s">
        <v>0</v>
      </c>
      <c r="G10638" t="str">
        <f>"2018-10-14 14:54:05"</f>
        <v>2018-10-14 14:54:05</v>
      </c>
    </row>
    <row r="10639" spans="1:7" x14ac:dyDescent="0.2">
      <c r="A10639" t="s">
        <v>1</v>
      </c>
      <c r="B10639" t="str">
        <f>"15503964544"</f>
        <v>15503964544</v>
      </c>
      <c r="C10639" t="s">
        <v>1</v>
      </c>
      <c r="D10639" t="s">
        <v>1</v>
      </c>
      <c r="E10639" t="s">
        <v>1</v>
      </c>
      <c r="F10639" t="s">
        <v>0</v>
      </c>
      <c r="G10639" t="str">
        <f>"2018-10-14 14:47:42"</f>
        <v>2018-10-14 14:47:42</v>
      </c>
    </row>
    <row r="10640" spans="1:7" x14ac:dyDescent="0.2">
      <c r="A10640" t="s">
        <v>11029</v>
      </c>
      <c r="B10640" t="str">
        <f>"15631000100"</f>
        <v>15631000100</v>
      </c>
      <c r="C10640" t="str">
        <f>"130431199206100311"</f>
        <v>130431199206100311</v>
      </c>
      <c r="D10640" t="s">
        <v>1</v>
      </c>
      <c r="E10640" t="s">
        <v>1</v>
      </c>
      <c r="F10640" t="s">
        <v>0</v>
      </c>
      <c r="G10640" t="str">
        <f>"2018-10-14 14:48:44"</f>
        <v>2018-10-14 14:48:44</v>
      </c>
    </row>
    <row r="10641" spans="1:7" x14ac:dyDescent="0.2">
      <c r="A10641" t="s">
        <v>11030</v>
      </c>
      <c r="B10641" t="str">
        <f>"18861393373"</f>
        <v>18861393373</v>
      </c>
      <c r="C10641" t="str">
        <f>"342201198709103829"</f>
        <v>342201198709103829</v>
      </c>
      <c r="D10641" t="s">
        <v>1</v>
      </c>
      <c r="E10641" t="s">
        <v>1</v>
      </c>
      <c r="F10641" t="s">
        <v>0</v>
      </c>
      <c r="G10641" t="str">
        <f>"2018-10-14 15:01:00"</f>
        <v>2018-10-14 15:01:00</v>
      </c>
    </row>
    <row r="10642" spans="1:7" x14ac:dyDescent="0.2">
      <c r="A10642" t="s">
        <v>11031</v>
      </c>
      <c r="B10642" t="str">
        <f>"17744591451"</f>
        <v>17744591451</v>
      </c>
      <c r="C10642" t="str">
        <f>"131022198612190314"</f>
        <v>131022198612190314</v>
      </c>
      <c r="D10642" t="s">
        <v>1</v>
      </c>
      <c r="E10642" t="s">
        <v>1</v>
      </c>
      <c r="F10642" t="s">
        <v>0</v>
      </c>
      <c r="G10642" t="str">
        <f>"2018-10-14 14:57:40"</f>
        <v>2018-10-14 14:57:40</v>
      </c>
    </row>
    <row r="10643" spans="1:7" x14ac:dyDescent="0.2">
      <c r="A10643" t="s">
        <v>11032</v>
      </c>
      <c r="B10643" t="str">
        <f>"17777612321"</f>
        <v>17777612321</v>
      </c>
      <c r="C10643" t="str">
        <f>"452624199902243838"</f>
        <v>452624199902243838</v>
      </c>
      <c r="D10643" t="s">
        <v>1</v>
      </c>
      <c r="E10643" t="s">
        <v>1</v>
      </c>
      <c r="F10643" t="s">
        <v>0</v>
      </c>
      <c r="G10643" t="str">
        <f>"2018-10-14 14:46:17"</f>
        <v>2018-10-14 14:46:17</v>
      </c>
    </row>
    <row r="10644" spans="1:7" x14ac:dyDescent="0.2">
      <c r="A10644" t="s">
        <v>11033</v>
      </c>
      <c r="B10644" t="str">
        <f>"17768796698"</f>
        <v>17768796698</v>
      </c>
      <c r="C10644" t="str">
        <f>"642224198404201634"</f>
        <v>642224198404201634</v>
      </c>
      <c r="D10644" t="s">
        <v>1</v>
      </c>
      <c r="E10644" t="s">
        <v>1</v>
      </c>
      <c r="F10644" t="s">
        <v>0</v>
      </c>
      <c r="G10644" t="str">
        <f>"2018-10-14 15:30:44"</f>
        <v>2018-10-14 15:30:44</v>
      </c>
    </row>
    <row r="10645" spans="1:7" x14ac:dyDescent="0.2">
      <c r="A10645" t="s">
        <v>11034</v>
      </c>
      <c r="B10645" t="str">
        <f>"18085290585"</f>
        <v>18085290585</v>
      </c>
      <c r="C10645" t="str">
        <f>"522424199206291016"</f>
        <v>522424199206291016</v>
      </c>
      <c r="D10645" t="s">
        <v>1</v>
      </c>
      <c r="E10645" t="s">
        <v>1</v>
      </c>
      <c r="F10645" t="s">
        <v>0</v>
      </c>
      <c r="G10645" t="str">
        <f>"2018-10-14 16:51:35"</f>
        <v>2018-10-14 16:51:35</v>
      </c>
    </row>
    <row r="10646" spans="1:7" x14ac:dyDescent="0.2">
      <c r="A10646" t="s">
        <v>1</v>
      </c>
      <c r="B10646" t="str">
        <f>"18709558315"</f>
        <v>18709558315</v>
      </c>
      <c r="C10646" t="s">
        <v>1</v>
      </c>
      <c r="D10646" t="s">
        <v>1</v>
      </c>
      <c r="E10646" t="s">
        <v>1</v>
      </c>
      <c r="F10646" t="s">
        <v>0</v>
      </c>
      <c r="G10646" t="str">
        <f>"2018-10-14 14:47:08"</f>
        <v>2018-10-14 14:47:08</v>
      </c>
    </row>
    <row r="10647" spans="1:7" x14ac:dyDescent="0.2">
      <c r="A10647" t="s">
        <v>11035</v>
      </c>
      <c r="B10647" t="str">
        <f>"13459558497"</f>
        <v>13459558497</v>
      </c>
      <c r="C10647" t="str">
        <f>"350425198806042214"</f>
        <v>350425198806042214</v>
      </c>
      <c r="D10647" t="s">
        <v>1</v>
      </c>
      <c r="E10647" t="s">
        <v>1</v>
      </c>
      <c r="F10647" t="s">
        <v>0</v>
      </c>
      <c r="G10647" t="str">
        <f>"2018-10-14 14:51:56"</f>
        <v>2018-10-14 14:51:56</v>
      </c>
    </row>
    <row r="10648" spans="1:7" x14ac:dyDescent="0.2">
      <c r="A10648" t="s">
        <v>780</v>
      </c>
      <c r="B10648" t="str">
        <f>"15252260765"</f>
        <v>15252260765</v>
      </c>
      <c r="C10648" t="str">
        <f>"32032219890420001X"</f>
        <v>32032219890420001X</v>
      </c>
      <c r="D10648" t="s">
        <v>11036</v>
      </c>
      <c r="E10648" t="s">
        <v>11037</v>
      </c>
      <c r="F10648" t="s">
        <v>0</v>
      </c>
      <c r="G10648" t="str">
        <f>"2018-10-14 14:48:10"</f>
        <v>2018-10-14 14:48:10</v>
      </c>
    </row>
    <row r="10649" spans="1:7" x14ac:dyDescent="0.2">
      <c r="A10649" t="s">
        <v>988</v>
      </c>
      <c r="B10649" t="str">
        <f>"13287007005"</f>
        <v>13287007005</v>
      </c>
      <c r="C10649" t="str">
        <f>"370304198301115824"</f>
        <v>370304198301115824</v>
      </c>
      <c r="D10649" t="s">
        <v>11038</v>
      </c>
      <c r="E10649" t="s">
        <v>11039</v>
      </c>
      <c r="F10649" t="s">
        <v>0</v>
      </c>
      <c r="G10649" t="str">
        <f>"2018-10-14 14:45:20"</f>
        <v>2018-10-14 14:45:20</v>
      </c>
    </row>
    <row r="10650" spans="1:7" x14ac:dyDescent="0.2">
      <c r="A10650" t="s">
        <v>11040</v>
      </c>
      <c r="B10650" t="str">
        <f>"13052672730"</f>
        <v>13052672730</v>
      </c>
      <c r="C10650" t="str">
        <f>"211481198407162519"</f>
        <v>211481198407162519</v>
      </c>
      <c r="D10650" t="s">
        <v>1</v>
      </c>
      <c r="E10650" t="s">
        <v>1</v>
      </c>
      <c r="F10650" t="s">
        <v>0</v>
      </c>
      <c r="G10650" t="str">
        <f>"2018-10-14 14:45:30"</f>
        <v>2018-10-14 14:45:30</v>
      </c>
    </row>
    <row r="10651" spans="1:7" x14ac:dyDescent="0.2">
      <c r="A10651" t="s">
        <v>11041</v>
      </c>
      <c r="B10651" t="str">
        <f>"17614019321"</f>
        <v>17614019321</v>
      </c>
      <c r="C10651" t="str">
        <f>"210112199202241234"</f>
        <v>210112199202241234</v>
      </c>
      <c r="D10651" t="s">
        <v>1</v>
      </c>
      <c r="E10651" t="s">
        <v>1</v>
      </c>
      <c r="F10651" t="s">
        <v>0</v>
      </c>
      <c r="G10651" t="str">
        <f>"2018-10-14 14:44:42"</f>
        <v>2018-10-14 14:44:42</v>
      </c>
    </row>
    <row r="10652" spans="1:7" x14ac:dyDescent="0.2">
      <c r="A10652" t="s">
        <v>11042</v>
      </c>
      <c r="B10652" t="str">
        <f>"15899675081"</f>
        <v>15899675081</v>
      </c>
      <c r="C10652" t="str">
        <f>"441900199104171318"</f>
        <v>441900199104171318</v>
      </c>
      <c r="D10652" t="s">
        <v>1</v>
      </c>
      <c r="E10652" t="s">
        <v>1</v>
      </c>
      <c r="F10652" t="s">
        <v>0</v>
      </c>
      <c r="G10652" t="str">
        <f>"2018-10-14 14:43:07"</f>
        <v>2018-10-14 14:43:07</v>
      </c>
    </row>
    <row r="10653" spans="1:7" x14ac:dyDescent="0.2">
      <c r="A10653" t="s">
        <v>1</v>
      </c>
      <c r="B10653" t="str">
        <f>"15048717177"</f>
        <v>15048717177</v>
      </c>
      <c r="C10653" t="s">
        <v>1</v>
      </c>
      <c r="D10653" t="s">
        <v>1</v>
      </c>
      <c r="E10653" t="s">
        <v>1</v>
      </c>
      <c r="F10653" t="s">
        <v>0</v>
      </c>
      <c r="G10653" t="str">
        <f>"2018-10-14 14:40:59"</f>
        <v>2018-10-14 14:40:59</v>
      </c>
    </row>
    <row r="10654" spans="1:7" x14ac:dyDescent="0.2">
      <c r="A10654" t="s">
        <v>11043</v>
      </c>
      <c r="B10654" t="str">
        <f>"13710614818"</f>
        <v>13710614818</v>
      </c>
      <c r="C10654" t="str">
        <f>"510322197110097998"</f>
        <v>510322197110097998</v>
      </c>
      <c r="D10654" t="s">
        <v>1</v>
      </c>
      <c r="E10654" t="s">
        <v>1</v>
      </c>
      <c r="F10654" t="s">
        <v>0</v>
      </c>
      <c r="G10654" t="str">
        <f>"2018-10-14 14:43:15"</f>
        <v>2018-10-14 14:43:15</v>
      </c>
    </row>
    <row r="10655" spans="1:7" x14ac:dyDescent="0.2">
      <c r="A10655" t="s">
        <v>11044</v>
      </c>
      <c r="B10655" t="str">
        <f>"18214363197"</f>
        <v>18214363197</v>
      </c>
      <c r="C10655" t="str">
        <f>"532501198802032211"</f>
        <v>532501198802032211</v>
      </c>
      <c r="D10655" t="s">
        <v>1</v>
      </c>
      <c r="E10655" t="s">
        <v>1</v>
      </c>
      <c r="F10655" t="s">
        <v>0</v>
      </c>
      <c r="G10655" t="str">
        <f>"2018-10-14 14:44:04"</f>
        <v>2018-10-14 14:44:04</v>
      </c>
    </row>
    <row r="10656" spans="1:7" x14ac:dyDescent="0.2">
      <c r="A10656" t="s">
        <v>11045</v>
      </c>
      <c r="B10656" t="str">
        <f>"15273060367"</f>
        <v>15273060367</v>
      </c>
      <c r="C10656" t="str">
        <f>"430611199209305028"</f>
        <v>430611199209305028</v>
      </c>
      <c r="D10656" t="s">
        <v>1</v>
      </c>
      <c r="E10656" t="s">
        <v>1</v>
      </c>
      <c r="F10656" t="s">
        <v>0</v>
      </c>
      <c r="G10656" t="str">
        <f>"2018-10-14 14:41:17"</f>
        <v>2018-10-14 14:41:17</v>
      </c>
    </row>
    <row r="10657" spans="1:7" x14ac:dyDescent="0.2">
      <c r="A10657" t="s">
        <v>11046</v>
      </c>
      <c r="B10657" t="str">
        <f>"13375612689"</f>
        <v>13375612689</v>
      </c>
      <c r="C10657" t="str">
        <f>"372523197409175375"</f>
        <v>372523197409175375</v>
      </c>
      <c r="D10657" t="s">
        <v>11047</v>
      </c>
      <c r="E10657" t="s">
        <v>11048</v>
      </c>
      <c r="F10657" t="s">
        <v>0</v>
      </c>
      <c r="G10657" t="str">
        <f>"2018-10-14 14:41:19"</f>
        <v>2018-10-14 14:41:19</v>
      </c>
    </row>
    <row r="10658" spans="1:7" x14ac:dyDescent="0.2">
      <c r="A10658" t="s">
        <v>11049</v>
      </c>
      <c r="B10658" t="str">
        <f>"13893155300"</f>
        <v>13893155300</v>
      </c>
      <c r="C10658" t="str">
        <f>"620104199705070533"</f>
        <v>620104199705070533</v>
      </c>
      <c r="D10658" t="s">
        <v>1</v>
      </c>
      <c r="E10658" t="s">
        <v>1</v>
      </c>
      <c r="F10658" t="s">
        <v>0</v>
      </c>
      <c r="G10658" t="str">
        <f>"2018-10-14 14:42:42"</f>
        <v>2018-10-14 14:42:42</v>
      </c>
    </row>
    <row r="10659" spans="1:7" x14ac:dyDescent="0.2">
      <c r="A10659" t="s">
        <v>11050</v>
      </c>
      <c r="B10659" t="str">
        <f>"13709129782"</f>
        <v>13709129782</v>
      </c>
      <c r="C10659" t="str">
        <f>"610124199105080010"</f>
        <v>610124199105080010</v>
      </c>
      <c r="D10659" t="s">
        <v>11051</v>
      </c>
      <c r="E10659" t="s">
        <v>11052</v>
      </c>
      <c r="F10659" t="s">
        <v>0</v>
      </c>
      <c r="G10659" t="str">
        <f>"2018-10-14 16:24:21"</f>
        <v>2018-10-14 16:24:21</v>
      </c>
    </row>
    <row r="10660" spans="1:7" x14ac:dyDescent="0.2">
      <c r="A10660" t="s">
        <v>11053</v>
      </c>
      <c r="B10660" t="str">
        <f>"15767012408"</f>
        <v>15767012408</v>
      </c>
      <c r="C10660" t="str">
        <f>"440811200111192836"</f>
        <v>440811200111192836</v>
      </c>
      <c r="D10660" t="s">
        <v>1</v>
      </c>
      <c r="E10660" t="s">
        <v>1</v>
      </c>
      <c r="F10660" t="s">
        <v>0</v>
      </c>
      <c r="G10660" t="str">
        <f>"2018-10-14 14:40:55"</f>
        <v>2018-10-14 14:40:55</v>
      </c>
    </row>
    <row r="10661" spans="1:7" x14ac:dyDescent="0.2">
      <c r="A10661" t="s">
        <v>1</v>
      </c>
      <c r="B10661" t="str">
        <f>"18086400037"</f>
        <v>18086400037</v>
      </c>
      <c r="C10661" t="s">
        <v>1</v>
      </c>
      <c r="D10661" t="s">
        <v>1</v>
      </c>
      <c r="E10661" t="s">
        <v>1</v>
      </c>
      <c r="F10661" t="s">
        <v>0</v>
      </c>
      <c r="G10661" t="str">
        <f>"2018-10-14 14:38:14"</f>
        <v>2018-10-14 14:38:14</v>
      </c>
    </row>
    <row r="10662" spans="1:7" x14ac:dyDescent="0.2">
      <c r="A10662" t="s">
        <v>11054</v>
      </c>
      <c r="B10662" t="str">
        <f>"18780521417"</f>
        <v>18780521417</v>
      </c>
      <c r="C10662" t="str">
        <f>"510722197901234575"</f>
        <v>510722197901234575</v>
      </c>
      <c r="D10662" t="s">
        <v>1</v>
      </c>
      <c r="E10662" t="s">
        <v>1</v>
      </c>
      <c r="F10662" t="s">
        <v>0</v>
      </c>
      <c r="G10662" t="str">
        <f>"2018-10-14 15:41:36"</f>
        <v>2018-10-14 15:41:36</v>
      </c>
    </row>
    <row r="10663" spans="1:7" x14ac:dyDescent="0.2">
      <c r="A10663" t="s">
        <v>1</v>
      </c>
      <c r="B10663" t="str">
        <f>"15730379707"</f>
        <v>15730379707</v>
      </c>
      <c r="C10663" t="s">
        <v>1</v>
      </c>
      <c r="D10663" t="s">
        <v>1</v>
      </c>
      <c r="E10663" t="s">
        <v>1</v>
      </c>
      <c r="F10663" t="s">
        <v>0</v>
      </c>
      <c r="G10663" t="str">
        <f>"2018-10-14 14:36:58"</f>
        <v>2018-10-14 14:36:58</v>
      </c>
    </row>
    <row r="10664" spans="1:7" x14ac:dyDescent="0.2">
      <c r="A10664" t="s">
        <v>1</v>
      </c>
      <c r="B10664" t="str">
        <f>"18960914989"</f>
        <v>18960914989</v>
      </c>
      <c r="C10664" t="s">
        <v>1</v>
      </c>
      <c r="D10664" t="s">
        <v>1</v>
      </c>
      <c r="E10664" t="s">
        <v>1</v>
      </c>
      <c r="F10664" t="s">
        <v>0</v>
      </c>
      <c r="G10664" t="str">
        <f>"2018-10-14 14:36:06"</f>
        <v>2018-10-14 14:36:06</v>
      </c>
    </row>
    <row r="10665" spans="1:7" x14ac:dyDescent="0.2">
      <c r="A10665" t="s">
        <v>1</v>
      </c>
      <c r="B10665" t="str">
        <f>"18772552769"</f>
        <v>18772552769</v>
      </c>
      <c r="C10665" t="s">
        <v>1</v>
      </c>
      <c r="D10665" t="s">
        <v>1</v>
      </c>
      <c r="E10665" t="s">
        <v>1</v>
      </c>
      <c r="F10665" t="s">
        <v>0</v>
      </c>
      <c r="G10665" t="str">
        <f>"2018-10-25 16:54:29"</f>
        <v>2018-10-25 16:54:29</v>
      </c>
    </row>
    <row r="10666" spans="1:7" x14ac:dyDescent="0.2">
      <c r="A10666" t="s">
        <v>1</v>
      </c>
      <c r="B10666" t="str">
        <f>"18369841398"</f>
        <v>18369841398</v>
      </c>
      <c r="C10666" t="s">
        <v>1</v>
      </c>
      <c r="D10666" t="s">
        <v>1</v>
      </c>
      <c r="E10666" t="s">
        <v>1</v>
      </c>
      <c r="F10666" t="s">
        <v>0</v>
      </c>
      <c r="G10666" t="str">
        <f>"2018-10-14 14:35:55"</f>
        <v>2018-10-14 14:35:55</v>
      </c>
    </row>
    <row r="10667" spans="1:7" x14ac:dyDescent="0.2">
      <c r="A10667" t="s">
        <v>11055</v>
      </c>
      <c r="B10667" t="str">
        <f>"13625262433"</f>
        <v>13625262433</v>
      </c>
      <c r="C10667" t="str">
        <f>"321183198702035370"</f>
        <v>321183198702035370</v>
      </c>
      <c r="D10667" t="s">
        <v>1</v>
      </c>
      <c r="E10667" t="s">
        <v>1</v>
      </c>
      <c r="F10667" t="s">
        <v>0</v>
      </c>
      <c r="G10667" t="str">
        <f>"2018-10-14 14:35:25"</f>
        <v>2018-10-14 14:35:25</v>
      </c>
    </row>
    <row r="10668" spans="1:7" x14ac:dyDescent="0.2">
      <c r="A10668" t="s">
        <v>11056</v>
      </c>
      <c r="B10668" t="str">
        <f>"15843348233"</f>
        <v>15843348233</v>
      </c>
      <c r="C10668" t="str">
        <f>"222403198210300643"</f>
        <v>222403198210300643</v>
      </c>
      <c r="D10668" t="s">
        <v>1</v>
      </c>
      <c r="E10668" t="s">
        <v>1</v>
      </c>
      <c r="F10668" t="s">
        <v>0</v>
      </c>
      <c r="G10668" t="str">
        <f>"2018-10-14 14:37:27"</f>
        <v>2018-10-14 14:37:27</v>
      </c>
    </row>
    <row r="10669" spans="1:7" x14ac:dyDescent="0.2">
      <c r="A10669" t="s">
        <v>11057</v>
      </c>
      <c r="B10669" t="str">
        <f>"13249868364"</f>
        <v>13249868364</v>
      </c>
      <c r="C10669" t="str">
        <f>"430523199710022531"</f>
        <v>430523199710022531</v>
      </c>
      <c r="D10669" t="s">
        <v>1</v>
      </c>
      <c r="E10669" t="s">
        <v>1</v>
      </c>
      <c r="F10669" t="s">
        <v>0</v>
      </c>
      <c r="G10669" t="str">
        <f>"2018-10-14 14:38:52"</f>
        <v>2018-10-14 14:38:52</v>
      </c>
    </row>
    <row r="10670" spans="1:7" x14ac:dyDescent="0.2">
      <c r="A10670" t="s">
        <v>11058</v>
      </c>
      <c r="B10670" t="str">
        <f>"18975542055"</f>
        <v>18975542055</v>
      </c>
      <c r="C10670" t="str">
        <f>"431003199602291927"</f>
        <v>431003199602291927</v>
      </c>
      <c r="D10670" t="s">
        <v>1</v>
      </c>
      <c r="E10670" t="s">
        <v>1</v>
      </c>
      <c r="F10670" t="s">
        <v>0</v>
      </c>
      <c r="G10670" t="str">
        <f>"2018-10-20 15:09:54"</f>
        <v>2018-10-20 15:09:54</v>
      </c>
    </row>
    <row r="10671" spans="1:7" x14ac:dyDescent="0.2">
      <c r="A10671" t="s">
        <v>1</v>
      </c>
      <c r="B10671" t="str">
        <f>"13100469554"</f>
        <v>13100469554</v>
      </c>
      <c r="C10671" t="s">
        <v>1</v>
      </c>
      <c r="D10671" t="s">
        <v>1</v>
      </c>
      <c r="E10671" t="s">
        <v>1</v>
      </c>
      <c r="F10671" t="s">
        <v>0</v>
      </c>
      <c r="G10671" t="str">
        <f>"2018-10-14 14:34:33"</f>
        <v>2018-10-14 14:34:33</v>
      </c>
    </row>
    <row r="10672" spans="1:7" x14ac:dyDescent="0.2">
      <c r="A10672" t="s">
        <v>261</v>
      </c>
      <c r="B10672" t="str">
        <f>"13340201100"</f>
        <v>13340201100</v>
      </c>
      <c r="C10672" t="str">
        <f>"500221199107187613"</f>
        <v>500221199107187613</v>
      </c>
      <c r="D10672" t="s">
        <v>1</v>
      </c>
      <c r="E10672" t="s">
        <v>1</v>
      </c>
      <c r="F10672" t="s">
        <v>0</v>
      </c>
      <c r="G10672" t="str">
        <f>"2018-10-14 17:11:07"</f>
        <v>2018-10-14 17:11:07</v>
      </c>
    </row>
    <row r="10673" spans="1:7" x14ac:dyDescent="0.2">
      <c r="A10673" t="s">
        <v>291</v>
      </c>
      <c r="B10673" t="str">
        <f>"13541754644"</f>
        <v>13541754644</v>
      </c>
      <c r="C10673" t="str">
        <f>"510727198811082711"</f>
        <v>510727198811082711</v>
      </c>
      <c r="D10673" t="s">
        <v>1</v>
      </c>
      <c r="E10673" t="s">
        <v>1</v>
      </c>
      <c r="F10673" t="s">
        <v>0</v>
      </c>
      <c r="G10673" t="str">
        <f>"2018-10-14 14:32:36"</f>
        <v>2018-10-14 14:32:36</v>
      </c>
    </row>
    <row r="10674" spans="1:7" x14ac:dyDescent="0.2">
      <c r="A10674" t="s">
        <v>11059</v>
      </c>
      <c r="B10674" t="str">
        <f>"13883037077"</f>
        <v>13883037077</v>
      </c>
      <c r="C10674" t="str">
        <f>"43302419791215325X"</f>
        <v>43302419791215325X</v>
      </c>
      <c r="D10674" t="s">
        <v>1</v>
      </c>
      <c r="E10674" t="s">
        <v>1</v>
      </c>
      <c r="F10674" t="s">
        <v>0</v>
      </c>
      <c r="G10674" t="str">
        <f>"2018-10-14 14:32:20"</f>
        <v>2018-10-14 14:32:20</v>
      </c>
    </row>
    <row r="10675" spans="1:7" x14ac:dyDescent="0.2">
      <c r="A10675" t="s">
        <v>11060</v>
      </c>
      <c r="B10675" t="str">
        <f>"13914934426"</f>
        <v>13914934426</v>
      </c>
      <c r="C10675" t="str">
        <f>"320581198703142029"</f>
        <v>320581198703142029</v>
      </c>
      <c r="D10675" t="s">
        <v>1</v>
      </c>
      <c r="E10675" t="s">
        <v>1</v>
      </c>
      <c r="F10675" t="s">
        <v>0</v>
      </c>
      <c r="G10675" t="str">
        <f>"2018-10-14 14:34:52"</f>
        <v>2018-10-14 14:34:52</v>
      </c>
    </row>
    <row r="10676" spans="1:7" x14ac:dyDescent="0.2">
      <c r="A10676" t="s">
        <v>11061</v>
      </c>
      <c r="B10676" t="str">
        <f>"13349978025"</f>
        <v>13349978025</v>
      </c>
      <c r="C10676" t="str">
        <f>"429006199310192411"</f>
        <v>429006199310192411</v>
      </c>
      <c r="D10676" t="s">
        <v>11062</v>
      </c>
      <c r="E10676" t="s">
        <v>11063</v>
      </c>
      <c r="F10676" t="s">
        <v>0</v>
      </c>
      <c r="G10676" t="str">
        <f>"2018-10-15 13:51:15"</f>
        <v>2018-10-15 13:51:15</v>
      </c>
    </row>
    <row r="10677" spans="1:7" x14ac:dyDescent="0.2">
      <c r="A10677" t="s">
        <v>1</v>
      </c>
      <c r="B10677" t="str">
        <f>"13568645156"</f>
        <v>13568645156</v>
      </c>
      <c r="C10677" t="s">
        <v>1</v>
      </c>
      <c r="D10677" t="s">
        <v>1</v>
      </c>
      <c r="E10677" t="s">
        <v>1</v>
      </c>
      <c r="F10677" t="s">
        <v>0</v>
      </c>
      <c r="G10677" t="str">
        <f>"2018-10-14 14:30:26"</f>
        <v>2018-10-14 14:30:26</v>
      </c>
    </row>
    <row r="10678" spans="1:7" x14ac:dyDescent="0.2">
      <c r="A10678" t="s">
        <v>11064</v>
      </c>
      <c r="B10678" t="str">
        <f>"15885433724"</f>
        <v>15885433724</v>
      </c>
      <c r="C10678" t="str">
        <f>"522728199804225416"</f>
        <v>522728199804225416</v>
      </c>
      <c r="D10678" t="s">
        <v>1</v>
      </c>
      <c r="E10678" t="s">
        <v>1</v>
      </c>
      <c r="F10678" t="s">
        <v>0</v>
      </c>
      <c r="G10678" t="str">
        <f>"2018-10-15 12:31:26"</f>
        <v>2018-10-15 12:31:26</v>
      </c>
    </row>
    <row r="10679" spans="1:7" x14ac:dyDescent="0.2">
      <c r="A10679" t="s">
        <v>1</v>
      </c>
      <c r="B10679" t="str">
        <f>"18212685455"</f>
        <v>18212685455</v>
      </c>
      <c r="C10679" t="s">
        <v>1</v>
      </c>
      <c r="D10679" t="s">
        <v>1</v>
      </c>
      <c r="E10679" t="s">
        <v>1</v>
      </c>
      <c r="F10679" t="s">
        <v>0</v>
      </c>
      <c r="G10679" t="str">
        <f>"2018-10-14 14:29:35"</f>
        <v>2018-10-14 14:29:35</v>
      </c>
    </row>
    <row r="10680" spans="1:7" x14ac:dyDescent="0.2">
      <c r="A10680" t="s">
        <v>11065</v>
      </c>
      <c r="B10680" t="str">
        <f>"15293285857"</f>
        <v>15293285857</v>
      </c>
      <c r="C10680" t="str">
        <f>"622123199709050354"</f>
        <v>622123199709050354</v>
      </c>
      <c r="D10680" t="s">
        <v>11066</v>
      </c>
      <c r="E10680" t="s">
        <v>11067</v>
      </c>
      <c r="F10680" t="s">
        <v>0</v>
      </c>
      <c r="G10680" t="str">
        <f>"2018-10-14 14:30:22"</f>
        <v>2018-10-14 14:30:22</v>
      </c>
    </row>
    <row r="10681" spans="1:7" x14ac:dyDescent="0.2">
      <c r="A10681" t="s">
        <v>11068</v>
      </c>
      <c r="B10681" t="str">
        <f>"13325553222"</f>
        <v>13325553222</v>
      </c>
      <c r="C10681" t="str">
        <f>"330382198801050918"</f>
        <v>330382198801050918</v>
      </c>
      <c r="D10681" t="s">
        <v>1</v>
      </c>
      <c r="E10681" t="s">
        <v>1</v>
      </c>
      <c r="F10681" t="s">
        <v>0</v>
      </c>
      <c r="G10681" t="str">
        <f>"2018-10-14 14:29:58"</f>
        <v>2018-10-14 14:29:58</v>
      </c>
    </row>
    <row r="10682" spans="1:7" x14ac:dyDescent="0.2">
      <c r="A10682" t="s">
        <v>1278</v>
      </c>
      <c r="B10682" t="str">
        <f>"17374896030"</f>
        <v>17374896030</v>
      </c>
      <c r="C10682" t="str">
        <f>"230227198712260813"</f>
        <v>230227198712260813</v>
      </c>
      <c r="D10682" t="s">
        <v>1</v>
      </c>
      <c r="E10682" t="s">
        <v>1</v>
      </c>
      <c r="F10682" t="s">
        <v>0</v>
      </c>
      <c r="G10682" t="str">
        <f>"2018-10-14 14:31:40"</f>
        <v>2018-10-14 14:31:40</v>
      </c>
    </row>
    <row r="10683" spans="1:7" x14ac:dyDescent="0.2">
      <c r="A10683" t="s">
        <v>11069</v>
      </c>
      <c r="B10683" t="str">
        <f>"18861471383"</f>
        <v>18861471383</v>
      </c>
      <c r="C10683" t="str">
        <f>"32048319951212812X"</f>
        <v>32048319951212812X</v>
      </c>
      <c r="D10683" t="s">
        <v>1</v>
      </c>
      <c r="E10683" t="s">
        <v>1</v>
      </c>
      <c r="F10683" t="s">
        <v>0</v>
      </c>
      <c r="G10683" t="str">
        <f>"2018-10-14 14:28:23"</f>
        <v>2018-10-14 14:28:23</v>
      </c>
    </row>
    <row r="10684" spans="1:7" x14ac:dyDescent="0.2">
      <c r="A10684" t="s">
        <v>883</v>
      </c>
      <c r="B10684" t="str">
        <f>"15978528655"</f>
        <v>15978528655</v>
      </c>
      <c r="C10684" t="str">
        <f>"411521199006155415"</f>
        <v>411521199006155415</v>
      </c>
      <c r="D10684" t="s">
        <v>1</v>
      </c>
      <c r="E10684" t="s">
        <v>1</v>
      </c>
      <c r="F10684" t="s">
        <v>0</v>
      </c>
      <c r="G10684" t="str">
        <f>"2018-10-14 14:28:22"</f>
        <v>2018-10-14 14:28:22</v>
      </c>
    </row>
    <row r="10685" spans="1:7" x14ac:dyDescent="0.2">
      <c r="A10685" t="s">
        <v>513</v>
      </c>
      <c r="B10685" t="str">
        <f>"18888312534"</f>
        <v>18888312534</v>
      </c>
      <c r="C10685" t="str">
        <f>"370123199611254427"</f>
        <v>370123199611254427</v>
      </c>
      <c r="D10685" t="s">
        <v>1</v>
      </c>
      <c r="E10685" t="s">
        <v>1</v>
      </c>
      <c r="F10685" t="s">
        <v>0</v>
      </c>
      <c r="G10685" t="str">
        <f>"2018-10-14 14:30:00"</f>
        <v>2018-10-14 14:30:00</v>
      </c>
    </row>
    <row r="10686" spans="1:7" x14ac:dyDescent="0.2">
      <c r="A10686" t="s">
        <v>1</v>
      </c>
      <c r="B10686" t="str">
        <f>"15006611660"</f>
        <v>15006611660</v>
      </c>
      <c r="C10686" t="s">
        <v>1</v>
      </c>
      <c r="D10686" t="s">
        <v>1</v>
      </c>
      <c r="E10686" t="s">
        <v>1</v>
      </c>
      <c r="F10686" t="s">
        <v>0</v>
      </c>
      <c r="G10686" t="str">
        <f>"2018-10-14 20:35:25"</f>
        <v>2018-10-14 20:35:25</v>
      </c>
    </row>
    <row r="10687" spans="1:7" x14ac:dyDescent="0.2">
      <c r="A10687" t="s">
        <v>11070</v>
      </c>
      <c r="B10687" t="str">
        <f>"15365862424"</f>
        <v>15365862424</v>
      </c>
      <c r="C10687" t="str">
        <f>"342221198912085027"</f>
        <v>342221198912085027</v>
      </c>
      <c r="D10687" t="s">
        <v>1</v>
      </c>
      <c r="E10687" t="s">
        <v>1</v>
      </c>
      <c r="F10687" t="s">
        <v>0</v>
      </c>
      <c r="G10687" t="str">
        <f>"2018-10-14 14:27:14"</f>
        <v>2018-10-14 14:27:14</v>
      </c>
    </row>
    <row r="10688" spans="1:7" x14ac:dyDescent="0.2">
      <c r="A10688" t="s">
        <v>11071</v>
      </c>
      <c r="B10688" t="str">
        <f>"18328196880"</f>
        <v>18328196880</v>
      </c>
      <c r="C10688" t="str">
        <f>"500101198411114413"</f>
        <v>500101198411114413</v>
      </c>
      <c r="D10688" t="s">
        <v>1</v>
      </c>
      <c r="E10688" t="s">
        <v>1</v>
      </c>
      <c r="F10688" t="s">
        <v>0</v>
      </c>
      <c r="G10688" t="str">
        <f>"2018-10-14 14:28:14"</f>
        <v>2018-10-14 14:28:14</v>
      </c>
    </row>
    <row r="10689" spans="1:7" x14ac:dyDescent="0.2">
      <c r="A10689" t="s">
        <v>11072</v>
      </c>
      <c r="B10689" t="str">
        <f>"15176621022"</f>
        <v>15176621022</v>
      </c>
      <c r="C10689" t="str">
        <f>"130221198501054364"</f>
        <v>130221198501054364</v>
      </c>
      <c r="D10689" t="s">
        <v>1</v>
      </c>
      <c r="E10689" t="s">
        <v>1</v>
      </c>
      <c r="F10689" t="s">
        <v>0</v>
      </c>
      <c r="G10689" t="str">
        <f>"2018-10-14 14:27:43"</f>
        <v>2018-10-14 14:27:43</v>
      </c>
    </row>
    <row r="10690" spans="1:7" x14ac:dyDescent="0.2">
      <c r="A10690" t="s">
        <v>11073</v>
      </c>
      <c r="B10690" t="str">
        <f>"13977088646"</f>
        <v>13977088646</v>
      </c>
      <c r="C10690" t="str">
        <f>"45060319910903122X"</f>
        <v>45060319910903122X</v>
      </c>
      <c r="D10690" t="s">
        <v>11074</v>
      </c>
      <c r="E10690" t="s">
        <v>11075</v>
      </c>
      <c r="F10690" t="s">
        <v>0</v>
      </c>
      <c r="G10690" t="str">
        <f>"2018-10-14 14:28:08"</f>
        <v>2018-10-14 14:28:08</v>
      </c>
    </row>
    <row r="10691" spans="1:7" x14ac:dyDescent="0.2">
      <c r="A10691" t="s">
        <v>11076</v>
      </c>
      <c r="B10691" t="str">
        <f>"15092279722"</f>
        <v>15092279722</v>
      </c>
      <c r="C10691" t="str">
        <f>"370281199403176718"</f>
        <v>370281199403176718</v>
      </c>
      <c r="D10691" t="s">
        <v>1</v>
      </c>
      <c r="E10691" t="s">
        <v>1</v>
      </c>
      <c r="F10691" t="s">
        <v>0</v>
      </c>
      <c r="G10691" t="str">
        <f>"2018-10-14 14:41:23"</f>
        <v>2018-10-14 14:41:23</v>
      </c>
    </row>
    <row r="10692" spans="1:7" x14ac:dyDescent="0.2">
      <c r="A10692" t="s">
        <v>1</v>
      </c>
      <c r="B10692" t="str">
        <f>"18875016940"</f>
        <v>18875016940</v>
      </c>
      <c r="C10692" t="s">
        <v>1</v>
      </c>
      <c r="D10692" t="s">
        <v>1</v>
      </c>
      <c r="E10692" t="s">
        <v>1</v>
      </c>
      <c r="F10692" t="s">
        <v>0</v>
      </c>
      <c r="G10692" t="str">
        <f>"2018-10-14 14:25:34"</f>
        <v>2018-10-14 14:25:34</v>
      </c>
    </row>
    <row r="10693" spans="1:7" x14ac:dyDescent="0.2">
      <c r="A10693" t="s">
        <v>1</v>
      </c>
      <c r="B10693" t="str">
        <f>"15757769218"</f>
        <v>15757769218</v>
      </c>
      <c r="C10693" t="s">
        <v>1</v>
      </c>
      <c r="D10693" t="s">
        <v>1</v>
      </c>
      <c r="E10693" t="s">
        <v>1</v>
      </c>
      <c r="F10693" t="s">
        <v>0</v>
      </c>
      <c r="G10693" t="str">
        <f>"2018-10-14 14:45:02"</f>
        <v>2018-10-14 14:45:02</v>
      </c>
    </row>
    <row r="10694" spans="1:7" x14ac:dyDescent="0.2">
      <c r="A10694" t="s">
        <v>1486</v>
      </c>
      <c r="B10694" t="str">
        <f>"15542790633"</f>
        <v>15542790633</v>
      </c>
      <c r="C10694" t="str">
        <f>"211102199206152528"</f>
        <v>211102199206152528</v>
      </c>
      <c r="D10694" t="s">
        <v>1</v>
      </c>
      <c r="E10694" t="s">
        <v>1</v>
      </c>
      <c r="F10694" t="s">
        <v>0</v>
      </c>
      <c r="G10694" t="str">
        <f>"2018-10-14 14:26:02"</f>
        <v>2018-10-14 14:26:02</v>
      </c>
    </row>
    <row r="10695" spans="1:7" x14ac:dyDescent="0.2">
      <c r="A10695" t="s">
        <v>1</v>
      </c>
      <c r="B10695" t="str">
        <f>"15332263677"</f>
        <v>15332263677</v>
      </c>
      <c r="C10695" t="s">
        <v>1</v>
      </c>
      <c r="D10695" t="s">
        <v>1</v>
      </c>
      <c r="E10695" t="s">
        <v>1</v>
      </c>
      <c r="F10695" t="s">
        <v>0</v>
      </c>
      <c r="G10695" t="str">
        <f>"2018-10-29 15:23:58"</f>
        <v>2018-10-29 15:23:58</v>
      </c>
    </row>
    <row r="10696" spans="1:7" x14ac:dyDescent="0.2">
      <c r="A10696" t="s">
        <v>11077</v>
      </c>
      <c r="B10696" t="str">
        <f>"15846720005"</f>
        <v>15846720005</v>
      </c>
      <c r="C10696" t="str">
        <f>"230381198710070358"</f>
        <v>230381198710070358</v>
      </c>
      <c r="D10696" t="s">
        <v>1</v>
      </c>
      <c r="E10696" t="s">
        <v>1</v>
      </c>
      <c r="F10696" t="s">
        <v>0</v>
      </c>
      <c r="G10696" t="str">
        <f>"2018-10-14 14:33:01"</f>
        <v>2018-10-14 14:33:01</v>
      </c>
    </row>
    <row r="10697" spans="1:7" x14ac:dyDescent="0.2">
      <c r="A10697" t="s">
        <v>343</v>
      </c>
      <c r="B10697" t="str">
        <f>"18271759226"</f>
        <v>18271759226</v>
      </c>
      <c r="C10697" t="str">
        <f>"420921199507022613"</f>
        <v>420921199507022613</v>
      </c>
      <c r="D10697" t="s">
        <v>11078</v>
      </c>
      <c r="E10697" t="s">
        <v>11079</v>
      </c>
      <c r="F10697" t="s">
        <v>0</v>
      </c>
      <c r="G10697" t="str">
        <f>"2018-10-14 14:25:38"</f>
        <v>2018-10-14 14:25:38</v>
      </c>
    </row>
    <row r="10698" spans="1:7" x14ac:dyDescent="0.2">
      <c r="A10698" t="s">
        <v>1</v>
      </c>
      <c r="B10698" t="str">
        <f>"18177637749"</f>
        <v>18177637749</v>
      </c>
      <c r="C10698" t="s">
        <v>1</v>
      </c>
      <c r="D10698" t="s">
        <v>1</v>
      </c>
      <c r="E10698" t="s">
        <v>1</v>
      </c>
      <c r="F10698" t="s">
        <v>0</v>
      </c>
      <c r="G10698" t="str">
        <f>"2018-10-14 14:25:51"</f>
        <v>2018-10-14 14:25:51</v>
      </c>
    </row>
    <row r="10699" spans="1:7" x14ac:dyDescent="0.2">
      <c r="A10699" t="s">
        <v>11080</v>
      </c>
      <c r="B10699" t="str">
        <f>"15380192488"</f>
        <v>15380192488</v>
      </c>
      <c r="C10699" t="str">
        <f>"320325198111158156"</f>
        <v>320325198111158156</v>
      </c>
      <c r="D10699" t="s">
        <v>1</v>
      </c>
      <c r="E10699" t="s">
        <v>1</v>
      </c>
      <c r="F10699" t="s">
        <v>0</v>
      </c>
      <c r="G10699" t="str">
        <f>"2018-10-14 14:25:37"</f>
        <v>2018-10-14 14:25:37</v>
      </c>
    </row>
    <row r="10700" spans="1:7" x14ac:dyDescent="0.2">
      <c r="A10700" t="s">
        <v>11081</v>
      </c>
      <c r="B10700" t="str">
        <f>"13388312506"</f>
        <v>13388312506</v>
      </c>
      <c r="C10700" t="str">
        <f>"510403198912020328"</f>
        <v>510403198912020328</v>
      </c>
      <c r="D10700" t="s">
        <v>1</v>
      </c>
      <c r="E10700" t="s">
        <v>1</v>
      </c>
      <c r="F10700" t="s">
        <v>0</v>
      </c>
      <c r="G10700" t="str">
        <f>"2018-10-14 14:33:09"</f>
        <v>2018-10-14 14:33:09</v>
      </c>
    </row>
    <row r="10701" spans="1:7" x14ac:dyDescent="0.2">
      <c r="A10701" t="s">
        <v>1</v>
      </c>
      <c r="B10701" t="str">
        <f>"13077750364"</f>
        <v>13077750364</v>
      </c>
      <c r="C10701" t="s">
        <v>1</v>
      </c>
      <c r="D10701" t="s">
        <v>1</v>
      </c>
      <c r="E10701" t="s">
        <v>1</v>
      </c>
      <c r="F10701" t="s">
        <v>0</v>
      </c>
      <c r="G10701" t="str">
        <f>"2018-10-14 14:23:00"</f>
        <v>2018-10-14 14:23:00</v>
      </c>
    </row>
    <row r="10702" spans="1:7" x14ac:dyDescent="0.2">
      <c r="A10702" t="s">
        <v>11082</v>
      </c>
      <c r="B10702" t="str">
        <f>"13637733776"</f>
        <v>13637733776</v>
      </c>
      <c r="C10702" t="str">
        <f>"360730198807173610"</f>
        <v>360730198807173610</v>
      </c>
      <c r="D10702" t="s">
        <v>1</v>
      </c>
      <c r="E10702" t="s">
        <v>1</v>
      </c>
      <c r="F10702" t="s">
        <v>0</v>
      </c>
      <c r="G10702" t="str">
        <f>"2018-10-31 13:25:26"</f>
        <v>2018-10-31 13:25:26</v>
      </c>
    </row>
    <row r="10703" spans="1:7" x14ac:dyDescent="0.2">
      <c r="A10703" t="s">
        <v>1</v>
      </c>
      <c r="B10703" t="str">
        <f>"13339959499"</f>
        <v>13339959499</v>
      </c>
      <c r="C10703" t="s">
        <v>1</v>
      </c>
      <c r="D10703" t="s">
        <v>1</v>
      </c>
      <c r="E10703" t="s">
        <v>1</v>
      </c>
      <c r="F10703" t="s">
        <v>0</v>
      </c>
      <c r="G10703" t="str">
        <f>"2018-10-14 14:21:48"</f>
        <v>2018-10-14 14:21:48</v>
      </c>
    </row>
    <row r="10704" spans="1:7" x14ac:dyDescent="0.2">
      <c r="A10704" t="s">
        <v>11083</v>
      </c>
      <c r="B10704" t="str">
        <f>"15076010136"</f>
        <v>15076010136</v>
      </c>
      <c r="C10704" t="str">
        <f>"220102198205262238"</f>
        <v>220102198205262238</v>
      </c>
      <c r="D10704" t="s">
        <v>1</v>
      </c>
      <c r="E10704" t="s">
        <v>1</v>
      </c>
      <c r="F10704" t="s">
        <v>0</v>
      </c>
      <c r="G10704" t="str">
        <f>"2018-10-27 12:40:00"</f>
        <v>2018-10-27 12:40:00</v>
      </c>
    </row>
    <row r="10705" spans="1:7" x14ac:dyDescent="0.2">
      <c r="A10705" t="s">
        <v>1</v>
      </c>
      <c r="B10705" t="str">
        <f>"15808847323"</f>
        <v>15808847323</v>
      </c>
      <c r="C10705" t="s">
        <v>1</v>
      </c>
      <c r="D10705" t="s">
        <v>1</v>
      </c>
      <c r="E10705" t="s">
        <v>1</v>
      </c>
      <c r="F10705" t="s">
        <v>0</v>
      </c>
      <c r="G10705" t="str">
        <f>"2018-10-14 14:19:24"</f>
        <v>2018-10-14 14:19:24</v>
      </c>
    </row>
    <row r="10706" spans="1:7" x14ac:dyDescent="0.2">
      <c r="A10706" t="s">
        <v>1</v>
      </c>
      <c r="B10706" t="str">
        <f>"15139345301"</f>
        <v>15139345301</v>
      </c>
      <c r="C10706" t="s">
        <v>1</v>
      </c>
      <c r="D10706" t="s">
        <v>1</v>
      </c>
      <c r="E10706" t="s">
        <v>1</v>
      </c>
      <c r="F10706" t="s">
        <v>0</v>
      </c>
      <c r="G10706" t="str">
        <f>"2018-10-14 14:19:18"</f>
        <v>2018-10-14 14:19:18</v>
      </c>
    </row>
    <row r="10707" spans="1:7" x14ac:dyDescent="0.2">
      <c r="A10707" t="s">
        <v>11084</v>
      </c>
      <c r="B10707" t="str">
        <f>"13860597725"</f>
        <v>13860597725</v>
      </c>
      <c r="C10707" t="str">
        <f>"350426199410211019"</f>
        <v>350426199410211019</v>
      </c>
      <c r="D10707" t="s">
        <v>1</v>
      </c>
      <c r="E10707" t="s">
        <v>1</v>
      </c>
      <c r="F10707" t="s">
        <v>0</v>
      </c>
      <c r="G10707" t="str">
        <f>"2018-10-14 14:18:49"</f>
        <v>2018-10-14 14:18:49</v>
      </c>
    </row>
    <row r="10708" spans="1:7" x14ac:dyDescent="0.2">
      <c r="A10708" t="s">
        <v>1</v>
      </c>
      <c r="B10708" t="str">
        <f>"15815279614"</f>
        <v>15815279614</v>
      </c>
      <c r="C10708" t="s">
        <v>1</v>
      </c>
      <c r="D10708" t="s">
        <v>1</v>
      </c>
      <c r="E10708" t="s">
        <v>1</v>
      </c>
      <c r="F10708" t="s">
        <v>0</v>
      </c>
      <c r="G10708" t="str">
        <f>"2018-10-14 14:18:31"</f>
        <v>2018-10-14 14:18:31</v>
      </c>
    </row>
    <row r="10709" spans="1:7" x14ac:dyDescent="0.2">
      <c r="A10709" t="s">
        <v>1</v>
      </c>
      <c r="B10709" t="str">
        <f>"15259925796"</f>
        <v>15259925796</v>
      </c>
      <c r="C10709" t="s">
        <v>1</v>
      </c>
      <c r="D10709" t="s">
        <v>1</v>
      </c>
      <c r="E10709" t="s">
        <v>1</v>
      </c>
      <c r="F10709" t="s">
        <v>0</v>
      </c>
      <c r="G10709" t="str">
        <f>"2018-10-14 14:17:48"</f>
        <v>2018-10-14 14:17:48</v>
      </c>
    </row>
    <row r="10710" spans="1:7" x14ac:dyDescent="0.2">
      <c r="A10710" t="s">
        <v>11085</v>
      </c>
      <c r="B10710" t="str">
        <f>"15959797873"</f>
        <v>15959797873</v>
      </c>
      <c r="C10710" t="str">
        <f>"350424199703021013"</f>
        <v>350424199703021013</v>
      </c>
      <c r="D10710" t="s">
        <v>1</v>
      </c>
      <c r="E10710" t="s">
        <v>1</v>
      </c>
      <c r="F10710" t="s">
        <v>0</v>
      </c>
      <c r="G10710" t="str">
        <f>"2018-10-14 14:42:24"</f>
        <v>2018-10-14 14:42:24</v>
      </c>
    </row>
    <row r="10711" spans="1:7" x14ac:dyDescent="0.2">
      <c r="A10711" t="s">
        <v>11086</v>
      </c>
      <c r="B10711" t="str">
        <f>"15051747721"</f>
        <v>15051747721</v>
      </c>
      <c r="C10711" t="str">
        <f>"450221198312102966"</f>
        <v>450221198312102966</v>
      </c>
      <c r="D10711" t="s">
        <v>1</v>
      </c>
      <c r="E10711" t="s">
        <v>1</v>
      </c>
      <c r="F10711" t="s">
        <v>0</v>
      </c>
      <c r="G10711" t="str">
        <f>"2018-10-14 14:18:06"</f>
        <v>2018-10-14 14:18:06</v>
      </c>
    </row>
    <row r="10712" spans="1:7" x14ac:dyDescent="0.2">
      <c r="A10712" t="s">
        <v>11087</v>
      </c>
      <c r="B10712" t="str">
        <f>"15061706399"</f>
        <v>15061706399</v>
      </c>
      <c r="C10712" t="str">
        <f>"320322198810145339"</f>
        <v>320322198810145339</v>
      </c>
      <c r="D10712" t="s">
        <v>11088</v>
      </c>
      <c r="E10712" t="s">
        <v>11089</v>
      </c>
      <c r="F10712" t="s">
        <v>0</v>
      </c>
      <c r="G10712" t="str">
        <f>"2018-10-14 14:17:35"</f>
        <v>2018-10-14 14:17:35</v>
      </c>
    </row>
    <row r="10713" spans="1:7" x14ac:dyDescent="0.2">
      <c r="A10713" t="s">
        <v>11090</v>
      </c>
      <c r="B10713" t="str">
        <f>"15891070220"</f>
        <v>15891070220</v>
      </c>
      <c r="C10713" t="str">
        <f>"610328199104131214"</f>
        <v>610328199104131214</v>
      </c>
      <c r="D10713" t="s">
        <v>1</v>
      </c>
      <c r="E10713" t="s">
        <v>1</v>
      </c>
      <c r="F10713" t="s">
        <v>0</v>
      </c>
      <c r="G10713" t="str">
        <f>"2018-10-21 15:57:28"</f>
        <v>2018-10-21 15:57:28</v>
      </c>
    </row>
    <row r="10714" spans="1:7" x14ac:dyDescent="0.2">
      <c r="A10714" t="s">
        <v>1</v>
      </c>
      <c r="B10714" t="str">
        <f>"13760882238"</f>
        <v>13760882238</v>
      </c>
      <c r="C10714" t="s">
        <v>1</v>
      </c>
      <c r="D10714" t="s">
        <v>1</v>
      </c>
      <c r="E10714" t="s">
        <v>1</v>
      </c>
      <c r="F10714" t="s">
        <v>0</v>
      </c>
      <c r="G10714" t="str">
        <f>"2018-10-14 14:18:44"</f>
        <v>2018-10-14 14:18:44</v>
      </c>
    </row>
    <row r="10715" spans="1:7" x14ac:dyDescent="0.2">
      <c r="A10715" t="s">
        <v>11091</v>
      </c>
      <c r="B10715" t="str">
        <f>"15841638312"</f>
        <v>15841638312</v>
      </c>
      <c r="C10715" t="str">
        <f>"231121198805094129"</f>
        <v>231121198805094129</v>
      </c>
      <c r="D10715" t="s">
        <v>1</v>
      </c>
      <c r="E10715" t="s">
        <v>1</v>
      </c>
      <c r="F10715" t="s">
        <v>0</v>
      </c>
      <c r="G10715" t="str">
        <f>"2018-10-14 14:15:40"</f>
        <v>2018-10-14 14:15:40</v>
      </c>
    </row>
    <row r="10716" spans="1:7" x14ac:dyDescent="0.2">
      <c r="A10716" t="s">
        <v>11092</v>
      </c>
      <c r="B10716" t="str">
        <f>"18809838803"</f>
        <v>18809838803</v>
      </c>
      <c r="C10716" t="str">
        <f>"210123199012252011"</f>
        <v>210123199012252011</v>
      </c>
      <c r="D10716" t="s">
        <v>1</v>
      </c>
      <c r="E10716" t="s">
        <v>1</v>
      </c>
      <c r="F10716" t="s">
        <v>0</v>
      </c>
      <c r="G10716" t="str">
        <f>"2018-10-14 14:13:59"</f>
        <v>2018-10-14 14:13:59</v>
      </c>
    </row>
    <row r="10717" spans="1:7" x14ac:dyDescent="0.2">
      <c r="A10717" t="s">
        <v>11093</v>
      </c>
      <c r="B10717" t="str">
        <f>"15597179710"</f>
        <v>15597179710</v>
      </c>
      <c r="C10717" t="str">
        <f>"632125198111190037"</f>
        <v>632125198111190037</v>
      </c>
      <c r="D10717" t="s">
        <v>11094</v>
      </c>
      <c r="E10717" t="s">
        <v>11095</v>
      </c>
      <c r="F10717" t="s">
        <v>0</v>
      </c>
      <c r="G10717" t="str">
        <f>"2018-10-14 14:12:30"</f>
        <v>2018-10-14 14:12:30</v>
      </c>
    </row>
    <row r="10718" spans="1:7" x14ac:dyDescent="0.2">
      <c r="A10718" t="s">
        <v>1</v>
      </c>
      <c r="B10718" t="str">
        <f>"13903800860"</f>
        <v>13903800860</v>
      </c>
      <c r="C10718" t="s">
        <v>1</v>
      </c>
      <c r="D10718" t="s">
        <v>1</v>
      </c>
      <c r="E10718" t="s">
        <v>1</v>
      </c>
      <c r="F10718" t="s">
        <v>0</v>
      </c>
      <c r="G10718" t="str">
        <f>"2018-10-14 14:12:22"</f>
        <v>2018-10-14 14:12:22</v>
      </c>
    </row>
    <row r="10719" spans="1:7" x14ac:dyDescent="0.2">
      <c r="A10719" t="s">
        <v>11096</v>
      </c>
      <c r="B10719" t="str">
        <f>"18610787899"</f>
        <v>18610787899</v>
      </c>
      <c r="C10719" t="str">
        <f>"612731199005133013"</f>
        <v>612731199005133013</v>
      </c>
      <c r="D10719" t="s">
        <v>1</v>
      </c>
      <c r="E10719" t="s">
        <v>1</v>
      </c>
      <c r="F10719" t="s">
        <v>0</v>
      </c>
      <c r="G10719" t="str">
        <f>"2018-10-14 14:43:11"</f>
        <v>2018-10-14 14:43:11</v>
      </c>
    </row>
    <row r="10720" spans="1:7" x14ac:dyDescent="0.2">
      <c r="A10720" t="s">
        <v>1</v>
      </c>
      <c r="B10720" t="str">
        <f>"13277401994"</f>
        <v>13277401994</v>
      </c>
      <c r="C10720" t="s">
        <v>1</v>
      </c>
      <c r="D10720" t="s">
        <v>1</v>
      </c>
      <c r="E10720" t="s">
        <v>1</v>
      </c>
      <c r="F10720" t="s">
        <v>0</v>
      </c>
      <c r="G10720" t="str">
        <f>"2018-10-14 14:11:34"</f>
        <v>2018-10-14 14:11:34</v>
      </c>
    </row>
    <row r="10721" spans="1:7" x14ac:dyDescent="0.2">
      <c r="A10721" t="s">
        <v>1</v>
      </c>
      <c r="B10721" t="str">
        <f>"15858905386"</f>
        <v>15858905386</v>
      </c>
      <c r="C10721" t="s">
        <v>1</v>
      </c>
      <c r="D10721" t="s">
        <v>1</v>
      </c>
      <c r="E10721" t="s">
        <v>1</v>
      </c>
      <c r="F10721" t="s">
        <v>0</v>
      </c>
      <c r="G10721" t="str">
        <f>"2018-10-14 14:11:25"</f>
        <v>2018-10-14 14:11:25</v>
      </c>
    </row>
    <row r="10722" spans="1:7" x14ac:dyDescent="0.2">
      <c r="A10722" t="s">
        <v>11097</v>
      </c>
      <c r="B10722" t="str">
        <f>"13815617906"</f>
        <v>13815617906</v>
      </c>
      <c r="C10722" t="str">
        <f>"321322198506301828"</f>
        <v>321322198506301828</v>
      </c>
      <c r="D10722" t="s">
        <v>1</v>
      </c>
      <c r="E10722" t="s">
        <v>1</v>
      </c>
      <c r="F10722" t="s">
        <v>0</v>
      </c>
      <c r="G10722" t="str">
        <f>"2018-10-14 14:12:32"</f>
        <v>2018-10-14 14:12:32</v>
      </c>
    </row>
    <row r="10723" spans="1:7" x14ac:dyDescent="0.2">
      <c r="A10723" t="s">
        <v>11098</v>
      </c>
      <c r="B10723" t="str">
        <f>"15013621286"</f>
        <v>15013621286</v>
      </c>
      <c r="C10723" t="str">
        <f>"500233199707015116"</f>
        <v>500233199707015116</v>
      </c>
      <c r="D10723" t="s">
        <v>1</v>
      </c>
      <c r="E10723" t="s">
        <v>1</v>
      </c>
      <c r="F10723" t="s">
        <v>0</v>
      </c>
      <c r="G10723" t="str">
        <f>"2018-10-14 14:17:44"</f>
        <v>2018-10-14 14:17:44</v>
      </c>
    </row>
    <row r="10724" spans="1:7" x14ac:dyDescent="0.2">
      <c r="A10724" t="s">
        <v>1</v>
      </c>
      <c r="B10724" t="str">
        <f>"17703242896"</f>
        <v>17703242896</v>
      </c>
      <c r="C10724" t="s">
        <v>1</v>
      </c>
      <c r="D10724" t="s">
        <v>1</v>
      </c>
      <c r="E10724" t="s">
        <v>1</v>
      </c>
      <c r="F10724" t="s">
        <v>0</v>
      </c>
      <c r="G10724" t="str">
        <f>"2018-10-14 14:10:17"</f>
        <v>2018-10-14 14:10:17</v>
      </c>
    </row>
    <row r="10725" spans="1:7" x14ac:dyDescent="0.2">
      <c r="A10725" t="s">
        <v>1</v>
      </c>
      <c r="B10725" t="str">
        <f>"15676301484"</f>
        <v>15676301484</v>
      </c>
      <c r="C10725" t="s">
        <v>1</v>
      </c>
      <c r="D10725" t="s">
        <v>1</v>
      </c>
      <c r="E10725" t="s">
        <v>1</v>
      </c>
      <c r="F10725" t="s">
        <v>0</v>
      </c>
      <c r="G10725" t="str">
        <f>"2018-10-14 14:09:48"</f>
        <v>2018-10-14 14:09:48</v>
      </c>
    </row>
    <row r="10726" spans="1:7" x14ac:dyDescent="0.2">
      <c r="A10726" t="s">
        <v>11099</v>
      </c>
      <c r="B10726" t="str">
        <f>"15200774353"</f>
        <v>15200774353</v>
      </c>
      <c r="C10726" t="str">
        <f>"433130199001150017"</f>
        <v>433130199001150017</v>
      </c>
      <c r="D10726" t="s">
        <v>1</v>
      </c>
      <c r="E10726" t="s">
        <v>1</v>
      </c>
      <c r="F10726" t="s">
        <v>0</v>
      </c>
      <c r="G10726" t="str">
        <f>"2018-10-14 14:10:11"</f>
        <v>2018-10-14 14:10:11</v>
      </c>
    </row>
    <row r="10727" spans="1:7" x14ac:dyDescent="0.2">
      <c r="A10727" t="s">
        <v>11100</v>
      </c>
      <c r="B10727" t="str">
        <f>"13735723626"</f>
        <v>13735723626</v>
      </c>
      <c r="C10727" t="str">
        <f>"330781198810024821"</f>
        <v>330781198810024821</v>
      </c>
      <c r="D10727" t="s">
        <v>11101</v>
      </c>
      <c r="E10727" t="s">
        <v>11102</v>
      </c>
      <c r="F10727" t="s">
        <v>0</v>
      </c>
      <c r="G10727" t="str">
        <f>"2018-10-14 15:07:24"</f>
        <v>2018-10-14 15:07:24</v>
      </c>
    </row>
    <row r="10728" spans="1:7" x14ac:dyDescent="0.2">
      <c r="A10728" t="s">
        <v>11103</v>
      </c>
      <c r="B10728" t="str">
        <f>"15857196505"</f>
        <v>15857196505</v>
      </c>
      <c r="C10728" t="str">
        <f>"330825199309297024"</f>
        <v>330825199309297024</v>
      </c>
      <c r="D10728" t="s">
        <v>1</v>
      </c>
      <c r="E10728" t="s">
        <v>1</v>
      </c>
      <c r="F10728" t="s">
        <v>0</v>
      </c>
      <c r="G10728" t="str">
        <f>"2018-10-14 14:10:18"</f>
        <v>2018-10-14 14:10:18</v>
      </c>
    </row>
    <row r="10729" spans="1:7" x14ac:dyDescent="0.2">
      <c r="A10729" t="s">
        <v>1</v>
      </c>
      <c r="B10729" t="str">
        <f>"18103428210"</f>
        <v>18103428210</v>
      </c>
      <c r="C10729" t="s">
        <v>1</v>
      </c>
      <c r="D10729" t="s">
        <v>1</v>
      </c>
      <c r="E10729" t="s">
        <v>1</v>
      </c>
      <c r="F10729" t="s">
        <v>0</v>
      </c>
      <c r="G10729" t="str">
        <f>"2018-10-14 14:07:17"</f>
        <v>2018-10-14 14:07:17</v>
      </c>
    </row>
    <row r="10730" spans="1:7" x14ac:dyDescent="0.2">
      <c r="A10730" t="s">
        <v>11104</v>
      </c>
      <c r="B10730" t="str">
        <f>"15049215170"</f>
        <v>15049215170</v>
      </c>
      <c r="C10730" t="str">
        <f>"152322199404283925"</f>
        <v>152322199404283925</v>
      </c>
      <c r="D10730" t="s">
        <v>1</v>
      </c>
      <c r="E10730" t="s">
        <v>1</v>
      </c>
      <c r="F10730" t="s">
        <v>0</v>
      </c>
      <c r="G10730" t="str">
        <f>"2018-10-14 14:10:52"</f>
        <v>2018-10-14 14:10:52</v>
      </c>
    </row>
    <row r="10731" spans="1:7" x14ac:dyDescent="0.2">
      <c r="A10731" t="s">
        <v>11105</v>
      </c>
      <c r="B10731" t="str">
        <f>"18837527298"</f>
        <v>18837527298</v>
      </c>
      <c r="C10731" t="str">
        <f>"410423199303088059"</f>
        <v>410423199303088059</v>
      </c>
      <c r="D10731" t="s">
        <v>1</v>
      </c>
      <c r="E10731" t="s">
        <v>1</v>
      </c>
      <c r="F10731" t="s">
        <v>0</v>
      </c>
      <c r="G10731" t="str">
        <f>"2018-10-14 14:07:02"</f>
        <v>2018-10-14 14:07:02</v>
      </c>
    </row>
    <row r="10732" spans="1:7" x14ac:dyDescent="0.2">
      <c r="A10732" t="s">
        <v>11106</v>
      </c>
      <c r="B10732" t="str">
        <f>"13681462139"</f>
        <v>13681462139</v>
      </c>
      <c r="C10732" t="str">
        <f>"131123198809151214"</f>
        <v>131123198809151214</v>
      </c>
      <c r="D10732" t="s">
        <v>1</v>
      </c>
      <c r="E10732" t="s">
        <v>1</v>
      </c>
      <c r="F10732" t="s">
        <v>0</v>
      </c>
      <c r="G10732" t="str">
        <f>"2018-10-14 14:06:18"</f>
        <v>2018-10-14 14:06:18</v>
      </c>
    </row>
    <row r="10733" spans="1:7" x14ac:dyDescent="0.2">
      <c r="A10733" t="s">
        <v>11107</v>
      </c>
      <c r="B10733" t="str">
        <f>"13055759160"</f>
        <v>13055759160</v>
      </c>
      <c r="C10733" t="str">
        <f>"352202199109121524"</f>
        <v>352202199109121524</v>
      </c>
      <c r="D10733" t="s">
        <v>1</v>
      </c>
      <c r="E10733" t="s">
        <v>1</v>
      </c>
      <c r="F10733" t="s">
        <v>0</v>
      </c>
      <c r="G10733" t="str">
        <f>"2018-10-14 14:14:29"</f>
        <v>2018-10-14 14:14:29</v>
      </c>
    </row>
    <row r="10734" spans="1:7" x14ac:dyDescent="0.2">
      <c r="A10734" t="s">
        <v>11108</v>
      </c>
      <c r="B10734" t="str">
        <f>"15298334620"</f>
        <v>15298334620</v>
      </c>
      <c r="C10734" t="str">
        <f>"321323198310030030"</f>
        <v>321323198310030030</v>
      </c>
      <c r="D10734" t="s">
        <v>1</v>
      </c>
      <c r="E10734" t="s">
        <v>1</v>
      </c>
      <c r="F10734" t="s">
        <v>0</v>
      </c>
      <c r="G10734" t="str">
        <f>"2018-10-14 15:23:59"</f>
        <v>2018-10-14 15:23:59</v>
      </c>
    </row>
    <row r="10735" spans="1:7" x14ac:dyDescent="0.2">
      <c r="A10735" t="s">
        <v>1</v>
      </c>
      <c r="B10735" t="str">
        <f>"17171049384"</f>
        <v>17171049384</v>
      </c>
      <c r="C10735" t="s">
        <v>1</v>
      </c>
      <c r="D10735" t="s">
        <v>1</v>
      </c>
      <c r="E10735" t="s">
        <v>1</v>
      </c>
      <c r="F10735" t="s">
        <v>0</v>
      </c>
      <c r="G10735" t="str">
        <f>"2018-10-14 14:04:02"</f>
        <v>2018-10-14 14:04:02</v>
      </c>
    </row>
    <row r="10736" spans="1:7" x14ac:dyDescent="0.2">
      <c r="A10736" t="s">
        <v>11109</v>
      </c>
      <c r="B10736" t="str">
        <f>"13617551957"</f>
        <v>13617551957</v>
      </c>
      <c r="C10736" t="str">
        <f>"460007199006230829"</f>
        <v>460007199006230829</v>
      </c>
      <c r="D10736" t="s">
        <v>11110</v>
      </c>
      <c r="E10736" t="s">
        <v>11111</v>
      </c>
      <c r="F10736" t="s">
        <v>0</v>
      </c>
      <c r="G10736" t="str">
        <f>"2018-10-14 14:11:47"</f>
        <v>2018-10-14 14:11:47</v>
      </c>
    </row>
    <row r="10737" spans="1:7" x14ac:dyDescent="0.2">
      <c r="A10737" t="s">
        <v>11112</v>
      </c>
      <c r="B10737" t="str">
        <f>"18781205681"</f>
        <v>18781205681</v>
      </c>
      <c r="C10737" t="str">
        <f>"510811197510013472"</f>
        <v>510811197510013472</v>
      </c>
      <c r="D10737" t="s">
        <v>1</v>
      </c>
      <c r="E10737" t="s">
        <v>1</v>
      </c>
      <c r="F10737" t="s">
        <v>0</v>
      </c>
      <c r="G10737" t="str">
        <f>"2018-10-14 14:09:16"</f>
        <v>2018-10-14 14:09:16</v>
      </c>
    </row>
    <row r="10738" spans="1:7" x14ac:dyDescent="0.2">
      <c r="A10738" t="s">
        <v>11113</v>
      </c>
      <c r="B10738" t="str">
        <f>"18135902976"</f>
        <v>18135902976</v>
      </c>
      <c r="C10738" t="str">
        <f>"142725196811104010"</f>
        <v>142725196811104010</v>
      </c>
      <c r="D10738" t="s">
        <v>1</v>
      </c>
      <c r="E10738" t="s">
        <v>1</v>
      </c>
      <c r="F10738" t="s">
        <v>0</v>
      </c>
      <c r="G10738" t="str">
        <f>"2018-10-14 14:04:48"</f>
        <v>2018-10-14 14:04:48</v>
      </c>
    </row>
    <row r="10739" spans="1:7" x14ac:dyDescent="0.2">
      <c r="A10739" t="s">
        <v>1</v>
      </c>
      <c r="B10739" t="str">
        <f>"13903504315"</f>
        <v>13903504315</v>
      </c>
      <c r="C10739" t="s">
        <v>1</v>
      </c>
      <c r="D10739" t="s">
        <v>1</v>
      </c>
      <c r="E10739" t="s">
        <v>1</v>
      </c>
      <c r="F10739" t="s">
        <v>0</v>
      </c>
      <c r="G10739" t="str">
        <f>"2018-10-14 14:03:15"</f>
        <v>2018-10-14 14:03:15</v>
      </c>
    </row>
    <row r="10740" spans="1:7" x14ac:dyDescent="0.2">
      <c r="A10740" t="s">
        <v>11114</v>
      </c>
      <c r="B10740" t="str">
        <f>"13863441151"</f>
        <v>13863441151</v>
      </c>
      <c r="C10740" t="str">
        <f>"371203199205043510"</f>
        <v>371203199205043510</v>
      </c>
      <c r="D10740" t="s">
        <v>1</v>
      </c>
      <c r="E10740" t="s">
        <v>1</v>
      </c>
      <c r="F10740" t="s">
        <v>0</v>
      </c>
      <c r="G10740" t="str">
        <f>"2018-10-14 14:04:06"</f>
        <v>2018-10-14 14:04:06</v>
      </c>
    </row>
    <row r="10741" spans="1:7" x14ac:dyDescent="0.2">
      <c r="A10741" t="s">
        <v>11115</v>
      </c>
      <c r="B10741" t="str">
        <f>"15388468995"</f>
        <v>15388468995</v>
      </c>
      <c r="C10741" t="str">
        <f>"510681198411012514"</f>
        <v>510681198411012514</v>
      </c>
      <c r="D10741" t="s">
        <v>1</v>
      </c>
      <c r="E10741" t="s">
        <v>1</v>
      </c>
      <c r="F10741" t="s">
        <v>0</v>
      </c>
      <c r="G10741" t="str">
        <f>"2018-10-14 14:05:55"</f>
        <v>2018-10-14 14:05:55</v>
      </c>
    </row>
    <row r="10742" spans="1:7" x14ac:dyDescent="0.2">
      <c r="A10742" t="s">
        <v>5637</v>
      </c>
      <c r="B10742" t="str">
        <f>"13177988898"</f>
        <v>13177988898</v>
      </c>
      <c r="C10742" t="str">
        <f>"362331199409300056"</f>
        <v>362331199409300056</v>
      </c>
      <c r="D10742" t="s">
        <v>1</v>
      </c>
      <c r="E10742" t="s">
        <v>1</v>
      </c>
      <c r="F10742" t="s">
        <v>0</v>
      </c>
      <c r="G10742" t="str">
        <f>"2018-10-14 14:03:13"</f>
        <v>2018-10-14 14:03:13</v>
      </c>
    </row>
    <row r="10743" spans="1:7" x14ac:dyDescent="0.2">
      <c r="A10743" t="s">
        <v>11116</v>
      </c>
      <c r="B10743" t="str">
        <f>"15067510303"</f>
        <v>15067510303</v>
      </c>
      <c r="C10743" t="str">
        <f>"330621197707040026"</f>
        <v>330621197707040026</v>
      </c>
      <c r="D10743" t="s">
        <v>1</v>
      </c>
      <c r="E10743" t="s">
        <v>1</v>
      </c>
      <c r="F10743" t="s">
        <v>0</v>
      </c>
      <c r="G10743" t="str">
        <f>"2018-10-14 14:01:11"</f>
        <v>2018-10-14 14:01:11</v>
      </c>
    </row>
    <row r="10744" spans="1:7" x14ac:dyDescent="0.2">
      <c r="A10744" t="s">
        <v>568</v>
      </c>
      <c r="B10744" t="str">
        <f>"13759516303"</f>
        <v>13759516303</v>
      </c>
      <c r="C10744" t="str">
        <f>"530381199209101638"</f>
        <v>530381199209101638</v>
      </c>
      <c r="D10744" t="s">
        <v>1</v>
      </c>
      <c r="E10744" t="s">
        <v>1</v>
      </c>
      <c r="F10744" t="s">
        <v>0</v>
      </c>
      <c r="G10744" t="str">
        <f>"2018-10-14 13:58:46"</f>
        <v>2018-10-14 13:58:46</v>
      </c>
    </row>
    <row r="10745" spans="1:7" x14ac:dyDescent="0.2">
      <c r="A10745" t="s">
        <v>11117</v>
      </c>
      <c r="B10745" t="str">
        <f>"13399321192"</f>
        <v>13399321192</v>
      </c>
      <c r="C10745" t="str">
        <f>"622425199108151036"</f>
        <v>622425199108151036</v>
      </c>
      <c r="D10745" t="s">
        <v>11118</v>
      </c>
      <c r="E10745" t="s">
        <v>11119</v>
      </c>
      <c r="F10745" t="s">
        <v>0</v>
      </c>
      <c r="G10745" t="str">
        <f>"2018-10-14 14:00:36"</f>
        <v>2018-10-14 14:00:36</v>
      </c>
    </row>
    <row r="10746" spans="1:7" x14ac:dyDescent="0.2">
      <c r="A10746" t="s">
        <v>1</v>
      </c>
      <c r="B10746" t="str">
        <f>"13248975450"</f>
        <v>13248975450</v>
      </c>
      <c r="C10746" t="s">
        <v>1</v>
      </c>
      <c r="D10746" t="s">
        <v>1</v>
      </c>
      <c r="E10746" t="s">
        <v>1</v>
      </c>
      <c r="F10746" t="s">
        <v>0</v>
      </c>
      <c r="G10746" t="str">
        <f>"2018-10-14 13:58:26"</f>
        <v>2018-10-14 13:58:26</v>
      </c>
    </row>
    <row r="10747" spans="1:7" x14ac:dyDescent="0.2">
      <c r="A10747" t="s">
        <v>11120</v>
      </c>
      <c r="B10747" t="str">
        <f>"13876927592"</f>
        <v>13876927592</v>
      </c>
      <c r="C10747" t="str">
        <f>"452130199302105191"</f>
        <v>452130199302105191</v>
      </c>
      <c r="D10747" t="s">
        <v>1</v>
      </c>
      <c r="E10747" t="s">
        <v>1</v>
      </c>
      <c r="F10747" t="s">
        <v>0</v>
      </c>
      <c r="G10747" t="str">
        <f>"2018-10-14 14:13:35"</f>
        <v>2018-10-14 14:13:35</v>
      </c>
    </row>
    <row r="10748" spans="1:7" x14ac:dyDescent="0.2">
      <c r="A10748" t="s">
        <v>11121</v>
      </c>
      <c r="B10748" t="str">
        <f>"15877150325"</f>
        <v>15877150325</v>
      </c>
      <c r="C10748" t="str">
        <f>"452730198804210811"</f>
        <v>452730198804210811</v>
      </c>
      <c r="D10748" t="s">
        <v>11122</v>
      </c>
      <c r="E10748" t="s">
        <v>11123</v>
      </c>
      <c r="F10748" t="s">
        <v>0</v>
      </c>
      <c r="G10748" t="str">
        <f>"2018-10-14 13:58:11"</f>
        <v>2018-10-14 13:58:11</v>
      </c>
    </row>
    <row r="10749" spans="1:7" x14ac:dyDescent="0.2">
      <c r="A10749" t="s">
        <v>11124</v>
      </c>
      <c r="B10749" t="str">
        <f>"18383208383"</f>
        <v>18383208383</v>
      </c>
      <c r="C10749" t="str">
        <f>"511011198108245058"</f>
        <v>511011198108245058</v>
      </c>
      <c r="D10749" t="s">
        <v>1</v>
      </c>
      <c r="E10749" t="s">
        <v>1</v>
      </c>
      <c r="F10749" t="s">
        <v>0</v>
      </c>
      <c r="G10749" t="str">
        <f>"2018-10-14 13:57:30"</f>
        <v>2018-10-14 13:57:30</v>
      </c>
    </row>
    <row r="10750" spans="1:7" x14ac:dyDescent="0.2">
      <c r="A10750" t="s">
        <v>11125</v>
      </c>
      <c r="B10750" t="str">
        <f>"15280885948"</f>
        <v>15280885948</v>
      </c>
      <c r="C10750" t="str">
        <f>"350524199112112015"</f>
        <v>350524199112112015</v>
      </c>
      <c r="D10750" t="s">
        <v>1</v>
      </c>
      <c r="E10750" t="s">
        <v>1</v>
      </c>
      <c r="F10750" t="s">
        <v>0</v>
      </c>
      <c r="G10750" t="str">
        <f>"2018-10-14 13:57:08"</f>
        <v>2018-10-14 13:57:08</v>
      </c>
    </row>
    <row r="10751" spans="1:7" x14ac:dyDescent="0.2">
      <c r="A10751" t="s">
        <v>11126</v>
      </c>
      <c r="B10751" t="str">
        <f>"15635187722"</f>
        <v>15635187722</v>
      </c>
      <c r="C10751" t="str">
        <f>"142631198911292638"</f>
        <v>142631198911292638</v>
      </c>
      <c r="D10751" t="s">
        <v>1</v>
      </c>
      <c r="E10751" t="s">
        <v>1</v>
      </c>
      <c r="F10751" t="s">
        <v>0</v>
      </c>
      <c r="G10751" t="str">
        <f>"2018-10-14 13:55:30"</f>
        <v>2018-10-14 13:55:30</v>
      </c>
    </row>
    <row r="10752" spans="1:7" x14ac:dyDescent="0.2">
      <c r="A10752" t="s">
        <v>11127</v>
      </c>
      <c r="B10752" t="str">
        <f>"18677462630"</f>
        <v>18677462630</v>
      </c>
      <c r="C10752" t="str">
        <f>"452402199410150636"</f>
        <v>452402199410150636</v>
      </c>
      <c r="D10752" t="s">
        <v>11128</v>
      </c>
      <c r="E10752" t="s">
        <v>11128</v>
      </c>
      <c r="F10752" t="s">
        <v>0</v>
      </c>
      <c r="G10752" t="str">
        <f>"2018-10-14 13:56:47"</f>
        <v>2018-10-14 13:56:47</v>
      </c>
    </row>
    <row r="10753" spans="1:7" x14ac:dyDescent="0.2">
      <c r="A10753" t="s">
        <v>1</v>
      </c>
      <c r="B10753" t="str">
        <f>"13795119174"</f>
        <v>13795119174</v>
      </c>
      <c r="C10753" t="s">
        <v>1</v>
      </c>
      <c r="D10753" t="s">
        <v>1</v>
      </c>
      <c r="E10753" t="s">
        <v>1</v>
      </c>
      <c r="F10753" t="s">
        <v>0</v>
      </c>
      <c r="G10753" t="str">
        <f>"2018-10-14 13:54:36"</f>
        <v>2018-10-14 13:54:36</v>
      </c>
    </row>
    <row r="10754" spans="1:7" x14ac:dyDescent="0.2">
      <c r="A10754" t="s">
        <v>11129</v>
      </c>
      <c r="B10754" t="str">
        <f>"15842466123"</f>
        <v>15842466123</v>
      </c>
      <c r="C10754" t="str">
        <f>"220182199101232137"</f>
        <v>220182199101232137</v>
      </c>
      <c r="D10754" t="s">
        <v>11130</v>
      </c>
      <c r="E10754" t="s">
        <v>11131</v>
      </c>
      <c r="F10754" t="s">
        <v>0</v>
      </c>
      <c r="G10754" t="str">
        <f>"2018-10-20 11:55:11"</f>
        <v>2018-10-20 11:55:11</v>
      </c>
    </row>
    <row r="10755" spans="1:7" x14ac:dyDescent="0.2">
      <c r="A10755" t="s">
        <v>11132</v>
      </c>
      <c r="B10755" t="str">
        <f>"18359055975"</f>
        <v>18359055975</v>
      </c>
      <c r="C10755" t="str">
        <f>"350821199202290453"</f>
        <v>350821199202290453</v>
      </c>
      <c r="D10755" t="s">
        <v>1</v>
      </c>
      <c r="E10755" t="s">
        <v>1</v>
      </c>
      <c r="F10755" t="s">
        <v>0</v>
      </c>
      <c r="G10755" t="str">
        <f>"2018-10-14 13:54:52"</f>
        <v>2018-10-14 13:54:52</v>
      </c>
    </row>
    <row r="10756" spans="1:7" x14ac:dyDescent="0.2">
      <c r="A10756" t="s">
        <v>1</v>
      </c>
      <c r="B10756" t="str">
        <f>"15662557118"</f>
        <v>15662557118</v>
      </c>
      <c r="C10756" t="s">
        <v>1</v>
      </c>
      <c r="D10756" t="s">
        <v>1</v>
      </c>
      <c r="E10756" t="s">
        <v>1</v>
      </c>
      <c r="F10756" t="s">
        <v>0</v>
      </c>
      <c r="G10756" t="str">
        <f>"2018-10-14 14:14:41"</f>
        <v>2018-10-14 14:14:41</v>
      </c>
    </row>
    <row r="10757" spans="1:7" x14ac:dyDescent="0.2">
      <c r="A10757" t="s">
        <v>11133</v>
      </c>
      <c r="B10757" t="str">
        <f>"18675194949"</f>
        <v>18675194949</v>
      </c>
      <c r="C10757" t="str">
        <f>"450821199704235319"</f>
        <v>450821199704235319</v>
      </c>
      <c r="D10757" t="s">
        <v>1</v>
      </c>
      <c r="E10757" t="s">
        <v>1</v>
      </c>
      <c r="F10757" t="s">
        <v>0</v>
      </c>
      <c r="G10757" t="str">
        <f>"2018-10-14 13:52:28"</f>
        <v>2018-10-14 13:52:28</v>
      </c>
    </row>
    <row r="10758" spans="1:7" x14ac:dyDescent="0.2">
      <c r="A10758" t="s">
        <v>1</v>
      </c>
      <c r="B10758" t="str">
        <f>"18759176245"</f>
        <v>18759176245</v>
      </c>
      <c r="C10758" t="s">
        <v>1</v>
      </c>
      <c r="D10758" t="s">
        <v>1</v>
      </c>
      <c r="E10758" t="s">
        <v>1</v>
      </c>
      <c r="F10758" t="s">
        <v>0</v>
      </c>
      <c r="G10758" t="str">
        <f>"2018-10-14 13:51:12"</f>
        <v>2018-10-14 13:51:12</v>
      </c>
    </row>
    <row r="10759" spans="1:7" x14ac:dyDescent="0.2">
      <c r="A10759" t="s">
        <v>11134</v>
      </c>
      <c r="B10759" t="str">
        <f>"18071770667"</f>
        <v>18071770667</v>
      </c>
      <c r="C10759" t="str">
        <f>"420683198004031874"</f>
        <v>420683198004031874</v>
      </c>
      <c r="D10759" t="s">
        <v>1</v>
      </c>
      <c r="E10759" t="s">
        <v>1</v>
      </c>
      <c r="F10759" t="s">
        <v>0</v>
      </c>
      <c r="G10759" t="str">
        <f>"2018-10-14 13:52:38"</f>
        <v>2018-10-14 13:52:38</v>
      </c>
    </row>
    <row r="10760" spans="1:7" x14ac:dyDescent="0.2">
      <c r="A10760" t="s">
        <v>21</v>
      </c>
      <c r="B10760" t="str">
        <f>"17625584332"</f>
        <v>17625584332</v>
      </c>
      <c r="C10760" t="str">
        <f>"341227199708279010"</f>
        <v>341227199708279010</v>
      </c>
      <c r="D10760" t="s">
        <v>1</v>
      </c>
      <c r="E10760" t="s">
        <v>1</v>
      </c>
      <c r="F10760" t="s">
        <v>0</v>
      </c>
      <c r="G10760" t="str">
        <f>"2018-10-14 13:52:35"</f>
        <v>2018-10-14 13:52:35</v>
      </c>
    </row>
    <row r="10761" spans="1:7" x14ac:dyDescent="0.2">
      <c r="A10761" t="s">
        <v>1385</v>
      </c>
      <c r="B10761" t="str">
        <f>"18118806144"</f>
        <v>18118806144</v>
      </c>
      <c r="C10761" t="str">
        <f>"320826199206103850"</f>
        <v>320826199206103850</v>
      </c>
      <c r="D10761" t="s">
        <v>1</v>
      </c>
      <c r="E10761" t="s">
        <v>1</v>
      </c>
      <c r="F10761" t="s">
        <v>0</v>
      </c>
      <c r="G10761" t="str">
        <f>"2018-10-14 13:50:33"</f>
        <v>2018-10-14 13:50:33</v>
      </c>
    </row>
    <row r="10762" spans="1:7" x14ac:dyDescent="0.2">
      <c r="A10762" t="s">
        <v>1</v>
      </c>
      <c r="B10762" t="str">
        <f>"18975129066"</f>
        <v>18975129066</v>
      </c>
      <c r="C10762" t="s">
        <v>1</v>
      </c>
      <c r="D10762" t="s">
        <v>1</v>
      </c>
      <c r="E10762" t="s">
        <v>1</v>
      </c>
      <c r="F10762" t="s">
        <v>0</v>
      </c>
      <c r="G10762" t="str">
        <f>"2018-10-14 13:50:25"</f>
        <v>2018-10-14 13:50:25</v>
      </c>
    </row>
    <row r="10763" spans="1:7" x14ac:dyDescent="0.2">
      <c r="A10763" t="s">
        <v>6158</v>
      </c>
      <c r="B10763" t="str">
        <f>"15760176922"</f>
        <v>15760176922</v>
      </c>
      <c r="C10763" t="str">
        <f>"513701199910152934"</f>
        <v>513701199910152934</v>
      </c>
      <c r="D10763" t="s">
        <v>1</v>
      </c>
      <c r="E10763" t="s">
        <v>1</v>
      </c>
      <c r="F10763" t="s">
        <v>0</v>
      </c>
      <c r="G10763" t="str">
        <f>"2018-10-14 23:19:58"</f>
        <v>2018-10-14 23:19:58</v>
      </c>
    </row>
    <row r="10764" spans="1:7" x14ac:dyDescent="0.2">
      <c r="A10764" t="s">
        <v>11135</v>
      </c>
      <c r="B10764" t="str">
        <f>"15255181477"</f>
        <v>15255181477</v>
      </c>
      <c r="C10764" t="str">
        <f>"342225199507195310"</f>
        <v>342225199507195310</v>
      </c>
      <c r="D10764" t="s">
        <v>1</v>
      </c>
      <c r="E10764" t="s">
        <v>1</v>
      </c>
      <c r="F10764" t="s">
        <v>0</v>
      </c>
      <c r="G10764" t="str">
        <f>"2018-10-14 13:48:58"</f>
        <v>2018-10-14 13:48:58</v>
      </c>
    </row>
    <row r="10765" spans="1:7" x14ac:dyDescent="0.2">
      <c r="A10765" t="s">
        <v>1</v>
      </c>
      <c r="B10765" t="str">
        <f>"13778137743"</f>
        <v>13778137743</v>
      </c>
      <c r="C10765" t="s">
        <v>1</v>
      </c>
      <c r="D10765" t="s">
        <v>1</v>
      </c>
      <c r="E10765" t="s">
        <v>1</v>
      </c>
      <c r="F10765" t="s">
        <v>0</v>
      </c>
      <c r="G10765" t="str">
        <f>"2018-10-14 13:46:08"</f>
        <v>2018-10-14 13:46:08</v>
      </c>
    </row>
    <row r="10766" spans="1:7" x14ac:dyDescent="0.2">
      <c r="A10766" t="s">
        <v>1</v>
      </c>
      <c r="B10766" t="str">
        <f>"15893812526"</f>
        <v>15893812526</v>
      </c>
      <c r="C10766" t="s">
        <v>1</v>
      </c>
      <c r="D10766" t="s">
        <v>1</v>
      </c>
      <c r="E10766" t="s">
        <v>1</v>
      </c>
      <c r="F10766" t="s">
        <v>0</v>
      </c>
      <c r="G10766" t="str">
        <f>"2018-10-14 13:45:59"</f>
        <v>2018-10-14 13:45:59</v>
      </c>
    </row>
    <row r="10767" spans="1:7" x14ac:dyDescent="0.2">
      <c r="A10767" t="s">
        <v>11136</v>
      </c>
      <c r="B10767" t="str">
        <f>"18858502278"</f>
        <v>18858502278</v>
      </c>
      <c r="C10767" t="str">
        <f>"330621198906254670"</f>
        <v>330621198906254670</v>
      </c>
      <c r="D10767" t="s">
        <v>1</v>
      </c>
      <c r="E10767" t="s">
        <v>1</v>
      </c>
      <c r="F10767" t="s">
        <v>0</v>
      </c>
      <c r="G10767" t="str">
        <f>"2018-10-14 13:49:13"</f>
        <v>2018-10-14 13:49:13</v>
      </c>
    </row>
    <row r="10768" spans="1:7" x14ac:dyDescent="0.2">
      <c r="A10768" t="s">
        <v>11137</v>
      </c>
      <c r="B10768" t="str">
        <f>"13211180533"</f>
        <v>13211180533</v>
      </c>
      <c r="C10768" t="str">
        <f>"522123199803045515"</f>
        <v>522123199803045515</v>
      </c>
      <c r="D10768" t="s">
        <v>1</v>
      </c>
      <c r="E10768" t="s">
        <v>1</v>
      </c>
      <c r="F10768" t="s">
        <v>0</v>
      </c>
      <c r="G10768" t="str">
        <f>"2018-10-14 13:44:47"</f>
        <v>2018-10-14 13:44:47</v>
      </c>
    </row>
    <row r="10769" spans="1:7" x14ac:dyDescent="0.2">
      <c r="A10769" t="s">
        <v>11138</v>
      </c>
      <c r="B10769" t="str">
        <f>"15521835612"</f>
        <v>15521835612</v>
      </c>
      <c r="C10769" t="str">
        <f>"442000199703234298"</f>
        <v>442000199703234298</v>
      </c>
      <c r="D10769" t="s">
        <v>1</v>
      </c>
      <c r="E10769" t="s">
        <v>1</v>
      </c>
      <c r="F10769" t="s">
        <v>0</v>
      </c>
      <c r="G10769" t="str">
        <f>"2018-10-14 13:44:36"</f>
        <v>2018-10-14 13:44:36</v>
      </c>
    </row>
    <row r="10770" spans="1:7" x14ac:dyDescent="0.2">
      <c r="A10770" t="s">
        <v>11139</v>
      </c>
      <c r="B10770" t="str">
        <f>"13764883128"</f>
        <v>13764883128</v>
      </c>
      <c r="C10770" t="str">
        <f>"310229197501023015"</f>
        <v>310229197501023015</v>
      </c>
      <c r="D10770" t="s">
        <v>1</v>
      </c>
      <c r="E10770" t="s">
        <v>1</v>
      </c>
      <c r="F10770" t="s">
        <v>0</v>
      </c>
      <c r="G10770" t="str">
        <f>"2018-10-30 19:30:29"</f>
        <v>2018-10-30 19:30:29</v>
      </c>
    </row>
    <row r="10771" spans="1:7" x14ac:dyDescent="0.2">
      <c r="A10771" t="s">
        <v>1</v>
      </c>
      <c r="B10771" t="str">
        <f>"18589156286"</f>
        <v>18589156286</v>
      </c>
      <c r="C10771" t="s">
        <v>1</v>
      </c>
      <c r="D10771" t="s">
        <v>1</v>
      </c>
      <c r="E10771" t="s">
        <v>1</v>
      </c>
      <c r="F10771" t="s">
        <v>0</v>
      </c>
      <c r="G10771" t="str">
        <f>"2018-10-14 13:43:27"</f>
        <v>2018-10-14 13:43:27</v>
      </c>
    </row>
    <row r="10772" spans="1:7" x14ac:dyDescent="0.2">
      <c r="A10772" t="s">
        <v>1</v>
      </c>
      <c r="B10772" t="str">
        <f>"13242956956"</f>
        <v>13242956956</v>
      </c>
      <c r="C10772" t="s">
        <v>1</v>
      </c>
      <c r="D10772" t="s">
        <v>1</v>
      </c>
      <c r="E10772" t="s">
        <v>1</v>
      </c>
      <c r="F10772" t="s">
        <v>0</v>
      </c>
      <c r="G10772" t="str">
        <f>"2018-10-23 15:48:55"</f>
        <v>2018-10-23 15:48:55</v>
      </c>
    </row>
    <row r="10773" spans="1:7" x14ac:dyDescent="0.2">
      <c r="A10773" t="s">
        <v>11140</v>
      </c>
      <c r="B10773" t="str">
        <f>"18376880700"</f>
        <v>18376880700</v>
      </c>
      <c r="C10773" t="str">
        <f>"452624199102090466"</f>
        <v>452624199102090466</v>
      </c>
      <c r="D10773" t="s">
        <v>1</v>
      </c>
      <c r="E10773" t="s">
        <v>1</v>
      </c>
      <c r="F10773" t="s">
        <v>0</v>
      </c>
      <c r="G10773" t="str">
        <f>"2018-10-14 14:50:12"</f>
        <v>2018-10-14 14:50:12</v>
      </c>
    </row>
    <row r="10774" spans="1:7" x14ac:dyDescent="0.2">
      <c r="A10774" t="s">
        <v>11141</v>
      </c>
      <c r="B10774" t="str">
        <f>"18054081653"</f>
        <v>18054081653</v>
      </c>
      <c r="C10774" t="str">
        <f>"340828198206266221"</f>
        <v>340828198206266221</v>
      </c>
      <c r="D10774" t="s">
        <v>1</v>
      </c>
      <c r="E10774" t="s">
        <v>1</v>
      </c>
      <c r="F10774" t="s">
        <v>0</v>
      </c>
      <c r="G10774" t="str">
        <f>"2018-10-14 13:48:21"</f>
        <v>2018-10-14 13:48:21</v>
      </c>
    </row>
    <row r="10775" spans="1:7" x14ac:dyDescent="0.2">
      <c r="A10775" t="s">
        <v>11142</v>
      </c>
      <c r="B10775" t="str">
        <f>"13947474108"</f>
        <v>13947474108</v>
      </c>
      <c r="C10775" t="str">
        <f>"152629199704196218"</f>
        <v>152629199704196218</v>
      </c>
      <c r="D10775" t="s">
        <v>1</v>
      </c>
      <c r="E10775" t="s">
        <v>1</v>
      </c>
      <c r="F10775" t="s">
        <v>0</v>
      </c>
      <c r="G10775" t="str">
        <f>"2018-10-14 13:45:26"</f>
        <v>2018-10-14 13:45:26</v>
      </c>
    </row>
    <row r="10776" spans="1:7" x14ac:dyDescent="0.2">
      <c r="A10776" t="s">
        <v>11143</v>
      </c>
      <c r="B10776" t="str">
        <f>"18184497839"</f>
        <v>18184497839</v>
      </c>
      <c r="C10776" t="str">
        <f>"522121199509020023"</f>
        <v>522121199509020023</v>
      </c>
      <c r="D10776" t="s">
        <v>1</v>
      </c>
      <c r="E10776" t="s">
        <v>1</v>
      </c>
      <c r="F10776" t="s">
        <v>0</v>
      </c>
      <c r="G10776" t="str">
        <f>"2018-10-14 13:48:28"</f>
        <v>2018-10-14 13:48:28</v>
      </c>
    </row>
    <row r="10777" spans="1:7" x14ac:dyDescent="0.2">
      <c r="A10777" t="s">
        <v>11144</v>
      </c>
      <c r="B10777" t="str">
        <f>"17774707776"</f>
        <v>17774707776</v>
      </c>
      <c r="C10777" t="str">
        <f>"432522198309032451"</f>
        <v>432522198309032451</v>
      </c>
      <c r="D10777" t="s">
        <v>1</v>
      </c>
      <c r="E10777" t="s">
        <v>1</v>
      </c>
      <c r="F10777" t="s">
        <v>0</v>
      </c>
      <c r="G10777" t="str">
        <f>"2018-10-14 13:40:29"</f>
        <v>2018-10-14 13:40:29</v>
      </c>
    </row>
    <row r="10778" spans="1:7" x14ac:dyDescent="0.2">
      <c r="A10778" t="s">
        <v>11145</v>
      </c>
      <c r="B10778" t="str">
        <f>"15684889966"</f>
        <v>15684889966</v>
      </c>
      <c r="C10778" t="str">
        <f>"370811199512052814"</f>
        <v>370811199512052814</v>
      </c>
      <c r="D10778" t="s">
        <v>11146</v>
      </c>
      <c r="E10778" t="s">
        <v>11147</v>
      </c>
      <c r="F10778" t="s">
        <v>0</v>
      </c>
      <c r="G10778" t="str">
        <f>"2018-10-14 13:40:15"</f>
        <v>2018-10-14 13:40:15</v>
      </c>
    </row>
    <row r="10779" spans="1:7" x14ac:dyDescent="0.2">
      <c r="A10779" t="s">
        <v>11148</v>
      </c>
      <c r="B10779" t="str">
        <f>"15852876114"</f>
        <v>15852876114</v>
      </c>
      <c r="C10779" t="str">
        <f>"321002199609106120"</f>
        <v>321002199609106120</v>
      </c>
      <c r="D10779" t="s">
        <v>1</v>
      </c>
      <c r="E10779" t="s">
        <v>1</v>
      </c>
      <c r="F10779" t="s">
        <v>0</v>
      </c>
      <c r="G10779" t="str">
        <f>"2018-10-14 13:41:18"</f>
        <v>2018-10-14 13:41:18</v>
      </c>
    </row>
    <row r="10780" spans="1:7" x14ac:dyDescent="0.2">
      <c r="A10780" t="s">
        <v>1</v>
      </c>
      <c r="B10780" t="str">
        <f>"15389251283"</f>
        <v>15389251283</v>
      </c>
      <c r="C10780" t="s">
        <v>1</v>
      </c>
      <c r="D10780" t="s">
        <v>1</v>
      </c>
      <c r="E10780" t="s">
        <v>1</v>
      </c>
      <c r="F10780" t="s">
        <v>0</v>
      </c>
      <c r="G10780" t="str">
        <f>"2018-10-14 13:39:54"</f>
        <v>2018-10-14 13:39:54</v>
      </c>
    </row>
    <row r="10781" spans="1:7" x14ac:dyDescent="0.2">
      <c r="A10781" t="s">
        <v>11149</v>
      </c>
      <c r="B10781" t="str">
        <f>"15170322137"</f>
        <v>15170322137</v>
      </c>
      <c r="C10781" t="str">
        <f>"360311198410112050"</f>
        <v>360311198410112050</v>
      </c>
      <c r="D10781" t="s">
        <v>1</v>
      </c>
      <c r="E10781" t="s">
        <v>1</v>
      </c>
      <c r="F10781" t="s">
        <v>0</v>
      </c>
      <c r="G10781" t="str">
        <f>"2018-10-14 13:38:22"</f>
        <v>2018-10-14 13:38:22</v>
      </c>
    </row>
    <row r="10782" spans="1:7" x14ac:dyDescent="0.2">
      <c r="A10782" t="s">
        <v>11150</v>
      </c>
      <c r="B10782" t="str">
        <f>"17853473378"</f>
        <v>17853473378</v>
      </c>
      <c r="C10782" t="str">
        <f>"320121198102234536"</f>
        <v>320121198102234536</v>
      </c>
      <c r="D10782" t="s">
        <v>1</v>
      </c>
      <c r="E10782" t="s">
        <v>1</v>
      </c>
      <c r="F10782" t="s">
        <v>0</v>
      </c>
      <c r="G10782" t="str">
        <f>"2018-10-16 21:34:16"</f>
        <v>2018-10-16 21:34:16</v>
      </c>
    </row>
    <row r="10783" spans="1:7" x14ac:dyDescent="0.2">
      <c r="A10783" t="s">
        <v>11151</v>
      </c>
      <c r="B10783" t="str">
        <f>"13469756948"</f>
        <v>13469756948</v>
      </c>
      <c r="C10783" t="str">
        <f>"422827198106091431"</f>
        <v>422827198106091431</v>
      </c>
      <c r="D10783" t="s">
        <v>1</v>
      </c>
      <c r="E10783" t="s">
        <v>1</v>
      </c>
      <c r="F10783" t="s">
        <v>0</v>
      </c>
      <c r="G10783" t="str">
        <f>"2018-10-14 13:37:39"</f>
        <v>2018-10-14 13:37:39</v>
      </c>
    </row>
    <row r="10784" spans="1:7" x14ac:dyDescent="0.2">
      <c r="A10784" t="s">
        <v>1</v>
      </c>
      <c r="B10784" t="str">
        <f>"15271858381"</f>
        <v>15271858381</v>
      </c>
      <c r="C10784" t="s">
        <v>1</v>
      </c>
      <c r="D10784" t="s">
        <v>1</v>
      </c>
      <c r="E10784" t="s">
        <v>1</v>
      </c>
      <c r="F10784" t="s">
        <v>0</v>
      </c>
      <c r="G10784" t="str">
        <f>"2018-10-14 14:39:23"</f>
        <v>2018-10-14 14:39:23</v>
      </c>
    </row>
    <row r="10785" spans="1:7" x14ac:dyDescent="0.2">
      <c r="A10785" t="s">
        <v>1</v>
      </c>
      <c r="B10785" t="str">
        <f>"18718171198"</f>
        <v>18718171198</v>
      </c>
      <c r="C10785" t="s">
        <v>1</v>
      </c>
      <c r="D10785" t="s">
        <v>1</v>
      </c>
      <c r="E10785" t="s">
        <v>1</v>
      </c>
      <c r="F10785" t="s">
        <v>0</v>
      </c>
      <c r="G10785" t="str">
        <f>"2018-10-14 13:35:00"</f>
        <v>2018-10-14 13:35:00</v>
      </c>
    </row>
    <row r="10786" spans="1:7" x14ac:dyDescent="0.2">
      <c r="A10786" t="s">
        <v>11152</v>
      </c>
      <c r="B10786" t="str">
        <f>"15901468980"</f>
        <v>15901468980</v>
      </c>
      <c r="C10786" t="str">
        <f>"142702199002023658"</f>
        <v>142702199002023658</v>
      </c>
      <c r="D10786" t="s">
        <v>1</v>
      </c>
      <c r="E10786" t="s">
        <v>1</v>
      </c>
      <c r="F10786" t="s">
        <v>0</v>
      </c>
      <c r="G10786" t="str">
        <f>"2018-10-14 13:35:56"</f>
        <v>2018-10-14 13:35:56</v>
      </c>
    </row>
    <row r="10787" spans="1:7" x14ac:dyDescent="0.2">
      <c r="A10787" t="s">
        <v>11153</v>
      </c>
      <c r="B10787" t="str">
        <f>"15892507640"</f>
        <v>15892507640</v>
      </c>
      <c r="C10787" t="str">
        <f>"511502199712300661"</f>
        <v>511502199712300661</v>
      </c>
      <c r="D10787" t="s">
        <v>1</v>
      </c>
      <c r="E10787" t="s">
        <v>1</v>
      </c>
      <c r="F10787" t="s">
        <v>0</v>
      </c>
      <c r="G10787" t="str">
        <f>"2018-10-14 13:34:31"</f>
        <v>2018-10-14 13:34:31</v>
      </c>
    </row>
    <row r="10788" spans="1:7" x14ac:dyDescent="0.2">
      <c r="A10788" t="s">
        <v>1</v>
      </c>
      <c r="B10788" t="str">
        <f>"15204443588"</f>
        <v>15204443588</v>
      </c>
      <c r="C10788" t="s">
        <v>1</v>
      </c>
      <c r="D10788" t="s">
        <v>1</v>
      </c>
      <c r="E10788" t="s">
        <v>1</v>
      </c>
      <c r="F10788" t="s">
        <v>0</v>
      </c>
      <c r="G10788" t="str">
        <f>"2018-10-14 13:34:28"</f>
        <v>2018-10-14 13:34:28</v>
      </c>
    </row>
    <row r="10789" spans="1:7" x14ac:dyDescent="0.2">
      <c r="A10789" t="s">
        <v>11154</v>
      </c>
      <c r="B10789" t="str">
        <f>"18113196883"</f>
        <v>18113196883</v>
      </c>
      <c r="C10789" t="str">
        <f>"500106198912227418"</f>
        <v>500106198912227418</v>
      </c>
      <c r="D10789" t="s">
        <v>1</v>
      </c>
      <c r="E10789" t="s">
        <v>1</v>
      </c>
      <c r="F10789" t="s">
        <v>0</v>
      </c>
      <c r="G10789" t="str">
        <f>"2018-10-14 13:34:27"</f>
        <v>2018-10-14 13:34:27</v>
      </c>
    </row>
    <row r="10790" spans="1:7" x14ac:dyDescent="0.2">
      <c r="A10790" t="s">
        <v>1</v>
      </c>
      <c r="B10790" t="str">
        <f>"18757972096"</f>
        <v>18757972096</v>
      </c>
      <c r="C10790" t="s">
        <v>1</v>
      </c>
      <c r="D10790" t="s">
        <v>1</v>
      </c>
      <c r="E10790" t="s">
        <v>1</v>
      </c>
      <c r="F10790" t="s">
        <v>0</v>
      </c>
      <c r="G10790" t="str">
        <f>"2018-10-14 13:33:48"</f>
        <v>2018-10-14 13:33:48</v>
      </c>
    </row>
    <row r="10791" spans="1:7" x14ac:dyDescent="0.2">
      <c r="A10791" t="s">
        <v>11155</v>
      </c>
      <c r="B10791" t="str">
        <f>"15606051120"</f>
        <v>15606051120</v>
      </c>
      <c r="C10791" t="str">
        <f>"350600198409250515"</f>
        <v>350600198409250515</v>
      </c>
      <c r="D10791" t="s">
        <v>1</v>
      </c>
      <c r="E10791" t="s">
        <v>1</v>
      </c>
      <c r="F10791" t="s">
        <v>0</v>
      </c>
      <c r="G10791" t="str">
        <f>"2018-10-14 13:36:22"</f>
        <v>2018-10-14 13:36:22</v>
      </c>
    </row>
    <row r="10792" spans="1:7" x14ac:dyDescent="0.2">
      <c r="A10792" t="s">
        <v>11156</v>
      </c>
      <c r="B10792" t="str">
        <f>"18227603060"</f>
        <v>18227603060</v>
      </c>
      <c r="C10792" t="str">
        <f>"510622199505213020"</f>
        <v>510622199505213020</v>
      </c>
      <c r="D10792" t="s">
        <v>1</v>
      </c>
      <c r="E10792" t="s">
        <v>1</v>
      </c>
      <c r="F10792" t="s">
        <v>0</v>
      </c>
      <c r="G10792" t="str">
        <f>"2018-10-14 13:34:14"</f>
        <v>2018-10-14 13:34:14</v>
      </c>
    </row>
    <row r="10793" spans="1:7" x14ac:dyDescent="0.2">
      <c r="A10793" t="s">
        <v>1</v>
      </c>
      <c r="B10793" t="str">
        <f>"13356169819"</f>
        <v>13356169819</v>
      </c>
      <c r="C10793" t="s">
        <v>1</v>
      </c>
      <c r="D10793" t="s">
        <v>1</v>
      </c>
      <c r="E10793" t="s">
        <v>1</v>
      </c>
      <c r="F10793" t="s">
        <v>0</v>
      </c>
      <c r="G10793" t="str">
        <f>"2018-10-14 13:31:57"</f>
        <v>2018-10-14 13:31:57</v>
      </c>
    </row>
    <row r="10794" spans="1:7" x14ac:dyDescent="0.2">
      <c r="A10794" t="s">
        <v>11157</v>
      </c>
      <c r="B10794" t="str">
        <f>"18672034899"</f>
        <v>18672034899</v>
      </c>
      <c r="C10794" t="str">
        <f>"422802198205251763"</f>
        <v>422802198205251763</v>
      </c>
      <c r="D10794" t="s">
        <v>1</v>
      </c>
      <c r="E10794" t="s">
        <v>1</v>
      </c>
      <c r="F10794" t="s">
        <v>0</v>
      </c>
      <c r="G10794" t="str">
        <f>"2018-10-14 13:32:42"</f>
        <v>2018-10-14 13:32:42</v>
      </c>
    </row>
    <row r="10795" spans="1:7" x14ac:dyDescent="0.2">
      <c r="A10795" t="s">
        <v>1</v>
      </c>
      <c r="B10795" t="str">
        <f>"15677737008"</f>
        <v>15677737008</v>
      </c>
      <c r="C10795" t="s">
        <v>1</v>
      </c>
      <c r="D10795" t="s">
        <v>1</v>
      </c>
      <c r="E10795" t="s">
        <v>1</v>
      </c>
      <c r="F10795" t="s">
        <v>0</v>
      </c>
      <c r="G10795" t="str">
        <f>"2018-10-14 13:28:12"</f>
        <v>2018-10-14 13:28:12</v>
      </c>
    </row>
    <row r="10796" spans="1:7" x14ac:dyDescent="0.2">
      <c r="A10796" t="s">
        <v>11158</v>
      </c>
      <c r="B10796" t="str">
        <f>"13396295309"</f>
        <v>13396295309</v>
      </c>
      <c r="C10796" t="str">
        <f>"37232119770917176X"</f>
        <v>37232119770917176X</v>
      </c>
      <c r="D10796" t="s">
        <v>1</v>
      </c>
      <c r="E10796" t="s">
        <v>1</v>
      </c>
      <c r="F10796" t="s">
        <v>0</v>
      </c>
      <c r="G10796" t="str">
        <f>"2018-10-14 13:27:37"</f>
        <v>2018-10-14 13:27:37</v>
      </c>
    </row>
    <row r="10797" spans="1:7" x14ac:dyDescent="0.2">
      <c r="A10797" t="s">
        <v>11159</v>
      </c>
      <c r="B10797" t="str">
        <f>"18595607121"</f>
        <v>18595607121</v>
      </c>
      <c r="C10797" t="str">
        <f>"410923198912275485"</f>
        <v>410923198912275485</v>
      </c>
      <c r="D10797" t="s">
        <v>1</v>
      </c>
      <c r="E10797" t="s">
        <v>1</v>
      </c>
      <c r="F10797" t="s">
        <v>0</v>
      </c>
      <c r="G10797" t="str">
        <f>"2018-10-14 13:27:21"</f>
        <v>2018-10-14 13:27:21</v>
      </c>
    </row>
    <row r="10798" spans="1:7" x14ac:dyDescent="0.2">
      <c r="A10798" t="s">
        <v>11160</v>
      </c>
      <c r="B10798" t="str">
        <f>"15314120246"</f>
        <v>15314120246</v>
      </c>
      <c r="C10798" t="str">
        <f>"150426198907210052"</f>
        <v>150426198907210052</v>
      </c>
      <c r="D10798" t="s">
        <v>1</v>
      </c>
      <c r="E10798" t="s">
        <v>1</v>
      </c>
      <c r="F10798" t="s">
        <v>0</v>
      </c>
      <c r="G10798" t="str">
        <f>"2018-10-14 13:29:12"</f>
        <v>2018-10-14 13:29:12</v>
      </c>
    </row>
    <row r="10799" spans="1:7" x14ac:dyDescent="0.2">
      <c r="A10799" t="s">
        <v>1</v>
      </c>
      <c r="B10799" t="str">
        <f>"18986107775"</f>
        <v>18986107775</v>
      </c>
      <c r="C10799" t="s">
        <v>1</v>
      </c>
      <c r="D10799" t="s">
        <v>1</v>
      </c>
      <c r="E10799" t="s">
        <v>1</v>
      </c>
      <c r="F10799" t="s">
        <v>0</v>
      </c>
      <c r="G10799" t="str">
        <f>"2018-10-14 13:25:20"</f>
        <v>2018-10-14 13:25:20</v>
      </c>
    </row>
    <row r="10800" spans="1:7" x14ac:dyDescent="0.2">
      <c r="A10800" t="s">
        <v>1452</v>
      </c>
      <c r="B10800" t="str">
        <f>"13787805515"</f>
        <v>13787805515</v>
      </c>
      <c r="C10800" t="str">
        <f>"42028119950421081X"</f>
        <v>42028119950421081X</v>
      </c>
      <c r="D10800" t="s">
        <v>1</v>
      </c>
      <c r="E10800" t="s">
        <v>1</v>
      </c>
      <c r="F10800" t="s">
        <v>0</v>
      </c>
      <c r="G10800" t="str">
        <f>"2018-10-20 10:57:09"</f>
        <v>2018-10-20 10:57:09</v>
      </c>
    </row>
    <row r="10801" spans="1:7" x14ac:dyDescent="0.2">
      <c r="A10801" t="s">
        <v>1245</v>
      </c>
      <c r="B10801" t="str">
        <f>"15164218641"</f>
        <v>15164218641</v>
      </c>
      <c r="C10801" t="str">
        <f>"210304198808302018"</f>
        <v>210304198808302018</v>
      </c>
      <c r="D10801" t="s">
        <v>1</v>
      </c>
      <c r="E10801" t="s">
        <v>1</v>
      </c>
      <c r="F10801" t="s">
        <v>0</v>
      </c>
      <c r="G10801" t="str">
        <f>"2018-10-14 13:24:32"</f>
        <v>2018-10-14 13:24:32</v>
      </c>
    </row>
    <row r="10802" spans="1:7" x14ac:dyDescent="0.2">
      <c r="A10802" t="s">
        <v>1</v>
      </c>
      <c r="B10802" t="str">
        <f>"13959406651"</f>
        <v>13959406651</v>
      </c>
      <c r="C10802" t="s">
        <v>1</v>
      </c>
      <c r="D10802" t="s">
        <v>1</v>
      </c>
      <c r="E10802" t="s">
        <v>1</v>
      </c>
      <c r="F10802" t="s">
        <v>0</v>
      </c>
      <c r="G10802" t="str">
        <f>"2018-10-14 13:24:20"</f>
        <v>2018-10-14 13:24:20</v>
      </c>
    </row>
    <row r="10803" spans="1:7" x14ac:dyDescent="0.2">
      <c r="A10803" t="s">
        <v>1</v>
      </c>
      <c r="B10803" t="str">
        <f>"15700176211"</f>
        <v>15700176211</v>
      </c>
      <c r="C10803" t="s">
        <v>1</v>
      </c>
      <c r="D10803" t="s">
        <v>1</v>
      </c>
      <c r="E10803" t="s">
        <v>1</v>
      </c>
      <c r="F10803" t="s">
        <v>0</v>
      </c>
      <c r="G10803" t="str">
        <f>"2018-10-14 15:52:26"</f>
        <v>2018-10-14 15:52:26</v>
      </c>
    </row>
    <row r="10804" spans="1:7" x14ac:dyDescent="0.2">
      <c r="A10804" t="s">
        <v>11161</v>
      </c>
      <c r="B10804" t="str">
        <f>"15940858574"</f>
        <v>15940858574</v>
      </c>
      <c r="C10804" t="str">
        <f>"152224199403077510"</f>
        <v>152224199403077510</v>
      </c>
      <c r="D10804" t="s">
        <v>11162</v>
      </c>
      <c r="E10804" t="s">
        <v>11163</v>
      </c>
      <c r="F10804" t="s">
        <v>0</v>
      </c>
      <c r="G10804" t="str">
        <f>"2018-10-18 15:58:18"</f>
        <v>2018-10-18 15:58:18</v>
      </c>
    </row>
    <row r="10805" spans="1:7" x14ac:dyDescent="0.2">
      <c r="A10805" t="s">
        <v>11164</v>
      </c>
      <c r="B10805" t="str">
        <f>"18897028258"</f>
        <v>18897028258</v>
      </c>
      <c r="C10805" t="str">
        <f>"320831197604202856"</f>
        <v>320831197604202856</v>
      </c>
      <c r="D10805" t="s">
        <v>11165</v>
      </c>
      <c r="E10805" t="s">
        <v>11166</v>
      </c>
      <c r="F10805" t="s">
        <v>0</v>
      </c>
      <c r="G10805" t="str">
        <f>"2018-10-14 13:25:47"</f>
        <v>2018-10-14 13:25:47</v>
      </c>
    </row>
    <row r="10806" spans="1:7" x14ac:dyDescent="0.2">
      <c r="A10806" t="s">
        <v>1</v>
      </c>
      <c r="B10806" t="str">
        <f>"13005476543"</f>
        <v>13005476543</v>
      </c>
      <c r="C10806" t="s">
        <v>1</v>
      </c>
      <c r="D10806" t="s">
        <v>1</v>
      </c>
      <c r="E10806" t="s">
        <v>1</v>
      </c>
      <c r="F10806" t="s">
        <v>0</v>
      </c>
      <c r="G10806" t="str">
        <f>"2018-10-14 13:22:33"</f>
        <v>2018-10-14 13:22:33</v>
      </c>
    </row>
    <row r="10807" spans="1:7" x14ac:dyDescent="0.2">
      <c r="A10807" t="s">
        <v>11167</v>
      </c>
      <c r="B10807" t="str">
        <f>"18765084615"</f>
        <v>18765084615</v>
      </c>
      <c r="C10807" t="str">
        <f>"429006198107230318"</f>
        <v>429006198107230318</v>
      </c>
      <c r="D10807" t="s">
        <v>1</v>
      </c>
      <c r="E10807" t="s">
        <v>1</v>
      </c>
      <c r="F10807" t="s">
        <v>0</v>
      </c>
      <c r="G10807" t="str">
        <f>"2018-10-14 15:35:23"</f>
        <v>2018-10-14 15:35:23</v>
      </c>
    </row>
    <row r="10808" spans="1:7" x14ac:dyDescent="0.2">
      <c r="A10808" t="s">
        <v>11168</v>
      </c>
      <c r="B10808" t="str">
        <f>"13720348945"</f>
        <v>13720348945</v>
      </c>
      <c r="C10808" t="str">
        <f>"42900519780209197X"</f>
        <v>42900519780209197X</v>
      </c>
      <c r="D10808" t="s">
        <v>1</v>
      </c>
      <c r="E10808" t="s">
        <v>1</v>
      </c>
      <c r="F10808" t="s">
        <v>0</v>
      </c>
      <c r="G10808" t="str">
        <f>"2018-10-18 15:06:24"</f>
        <v>2018-10-18 15:06:24</v>
      </c>
    </row>
    <row r="10809" spans="1:7" x14ac:dyDescent="0.2">
      <c r="A10809" t="s">
        <v>1</v>
      </c>
      <c r="B10809" t="str">
        <f>"13522548363"</f>
        <v>13522548363</v>
      </c>
      <c r="C10809" t="s">
        <v>1</v>
      </c>
      <c r="D10809" t="s">
        <v>1</v>
      </c>
      <c r="E10809" t="s">
        <v>1</v>
      </c>
      <c r="F10809" t="s">
        <v>0</v>
      </c>
      <c r="G10809" t="str">
        <f>"2018-10-14 13:19:56"</f>
        <v>2018-10-14 13:19:56</v>
      </c>
    </row>
    <row r="10810" spans="1:7" x14ac:dyDescent="0.2">
      <c r="A10810" t="s">
        <v>1</v>
      </c>
      <c r="B10810" t="str">
        <f>"13106333331"</f>
        <v>13106333331</v>
      </c>
      <c r="C10810" t="s">
        <v>1</v>
      </c>
      <c r="D10810" t="s">
        <v>1</v>
      </c>
      <c r="E10810" t="s">
        <v>1</v>
      </c>
      <c r="F10810" t="s">
        <v>0</v>
      </c>
      <c r="G10810" t="str">
        <f>"2018-10-14 13:19:21"</f>
        <v>2018-10-14 13:19:21</v>
      </c>
    </row>
    <row r="10811" spans="1:7" x14ac:dyDescent="0.2">
      <c r="A10811" t="s">
        <v>11169</v>
      </c>
      <c r="B10811" t="str">
        <f>"13590093032"</f>
        <v>13590093032</v>
      </c>
      <c r="C10811" t="str">
        <f>"440882199709174413"</f>
        <v>440882199709174413</v>
      </c>
      <c r="D10811" t="s">
        <v>1</v>
      </c>
      <c r="E10811" t="s">
        <v>1</v>
      </c>
      <c r="F10811" t="s">
        <v>0</v>
      </c>
      <c r="G10811" t="str">
        <f>"2018-10-14 13:21:45"</f>
        <v>2018-10-14 13:21:45</v>
      </c>
    </row>
    <row r="10812" spans="1:7" x14ac:dyDescent="0.2">
      <c r="A10812" t="s">
        <v>11170</v>
      </c>
      <c r="B10812" t="str">
        <f>"18230501600"</f>
        <v>18230501600</v>
      </c>
      <c r="C10812" t="str">
        <f>"430903198702275119"</f>
        <v>430903198702275119</v>
      </c>
      <c r="D10812" t="s">
        <v>1</v>
      </c>
      <c r="E10812" t="s">
        <v>1</v>
      </c>
      <c r="F10812" t="s">
        <v>0</v>
      </c>
      <c r="G10812" t="str">
        <f>"2018-10-14 13:43:55"</f>
        <v>2018-10-14 13:43:55</v>
      </c>
    </row>
    <row r="10813" spans="1:7" x14ac:dyDescent="0.2">
      <c r="A10813" t="s">
        <v>1</v>
      </c>
      <c r="B10813" t="str">
        <f>"17710067656"</f>
        <v>17710067656</v>
      </c>
      <c r="C10813" t="s">
        <v>1</v>
      </c>
      <c r="D10813" t="s">
        <v>1</v>
      </c>
      <c r="E10813" t="s">
        <v>1</v>
      </c>
      <c r="F10813" t="s">
        <v>0</v>
      </c>
      <c r="G10813" t="str">
        <f>"2018-10-18 15:58:27"</f>
        <v>2018-10-18 15:58:27</v>
      </c>
    </row>
    <row r="10814" spans="1:7" x14ac:dyDescent="0.2">
      <c r="A10814" t="s">
        <v>11171</v>
      </c>
      <c r="B10814" t="str">
        <f>"13657674119"</f>
        <v>13657674119</v>
      </c>
      <c r="C10814" t="str">
        <f>"500231199102060413"</f>
        <v>500231199102060413</v>
      </c>
      <c r="D10814" t="s">
        <v>11172</v>
      </c>
      <c r="E10814" t="s">
        <v>11173</v>
      </c>
      <c r="F10814" t="s">
        <v>0</v>
      </c>
      <c r="G10814" t="str">
        <f>"2018-10-14 13:19:55"</f>
        <v>2018-10-14 13:19:55</v>
      </c>
    </row>
    <row r="10815" spans="1:7" x14ac:dyDescent="0.2">
      <c r="A10815" t="s">
        <v>1</v>
      </c>
      <c r="B10815" t="str">
        <f>"13877571411"</f>
        <v>13877571411</v>
      </c>
      <c r="C10815" t="s">
        <v>1</v>
      </c>
      <c r="D10815" t="s">
        <v>1</v>
      </c>
      <c r="E10815" t="s">
        <v>1</v>
      </c>
      <c r="F10815" t="s">
        <v>0</v>
      </c>
      <c r="G10815" t="str">
        <f>"2018-10-14 13:18:03"</f>
        <v>2018-10-14 13:18:03</v>
      </c>
    </row>
    <row r="10816" spans="1:7" x14ac:dyDescent="0.2">
      <c r="A10816" t="s">
        <v>747</v>
      </c>
      <c r="B10816" t="str">
        <f>"18985332100"</f>
        <v>18985332100</v>
      </c>
      <c r="C10816" t="str">
        <f>"522224197509100061"</f>
        <v>522224197509100061</v>
      </c>
      <c r="D10816" t="s">
        <v>1</v>
      </c>
      <c r="E10816" t="s">
        <v>1</v>
      </c>
      <c r="F10816" t="s">
        <v>0</v>
      </c>
      <c r="G10816" t="str">
        <f>"2018-10-14 13:25:42"</f>
        <v>2018-10-14 13:25:42</v>
      </c>
    </row>
    <row r="10817" spans="1:7" x14ac:dyDescent="0.2">
      <c r="A10817" t="s">
        <v>642</v>
      </c>
      <c r="B10817" t="str">
        <f>"18751766969"</f>
        <v>18751766969</v>
      </c>
      <c r="C10817" t="str">
        <f>"340602198802012637"</f>
        <v>340602198802012637</v>
      </c>
      <c r="D10817" t="s">
        <v>1</v>
      </c>
      <c r="E10817" t="s">
        <v>1</v>
      </c>
      <c r="F10817" t="s">
        <v>0</v>
      </c>
      <c r="G10817" t="str">
        <f>"2018-10-14 13:19:23"</f>
        <v>2018-10-14 13:19:23</v>
      </c>
    </row>
    <row r="10818" spans="1:7" x14ac:dyDescent="0.2">
      <c r="A10818" t="s">
        <v>1</v>
      </c>
      <c r="B10818" t="str">
        <f>"15216130550"</f>
        <v>15216130550</v>
      </c>
      <c r="C10818" t="s">
        <v>1</v>
      </c>
      <c r="D10818" t="s">
        <v>1</v>
      </c>
      <c r="E10818" t="s">
        <v>1</v>
      </c>
      <c r="F10818" t="s">
        <v>0</v>
      </c>
      <c r="G10818" t="str">
        <f>"2018-10-14 13:27:24"</f>
        <v>2018-10-14 13:27:24</v>
      </c>
    </row>
    <row r="10819" spans="1:7" x14ac:dyDescent="0.2">
      <c r="A10819" t="s">
        <v>1</v>
      </c>
      <c r="B10819" t="str">
        <f>"18258468343"</f>
        <v>18258468343</v>
      </c>
      <c r="C10819" t="s">
        <v>1</v>
      </c>
      <c r="D10819" t="s">
        <v>1</v>
      </c>
      <c r="E10819" t="s">
        <v>1</v>
      </c>
      <c r="F10819" t="s">
        <v>0</v>
      </c>
      <c r="G10819" t="str">
        <f>"2018-10-14 13:17:24"</f>
        <v>2018-10-14 13:17:24</v>
      </c>
    </row>
    <row r="10820" spans="1:7" x14ac:dyDescent="0.2">
      <c r="A10820" t="s">
        <v>1</v>
      </c>
      <c r="B10820" t="str">
        <f>"13632257734"</f>
        <v>13632257734</v>
      </c>
      <c r="C10820" t="s">
        <v>1</v>
      </c>
      <c r="D10820" t="s">
        <v>1</v>
      </c>
      <c r="E10820" t="s">
        <v>1</v>
      </c>
      <c r="F10820" t="s">
        <v>0</v>
      </c>
      <c r="G10820" t="str">
        <f>"2018-10-14 13:17:16"</f>
        <v>2018-10-14 13:17:16</v>
      </c>
    </row>
    <row r="10821" spans="1:7" x14ac:dyDescent="0.2">
      <c r="A10821" t="s">
        <v>11174</v>
      </c>
      <c r="B10821" t="str">
        <f>"18773376320"</f>
        <v>18773376320</v>
      </c>
      <c r="C10821" t="str">
        <f>"421023199810124123"</f>
        <v>421023199810124123</v>
      </c>
      <c r="D10821" t="s">
        <v>1</v>
      </c>
      <c r="E10821" t="s">
        <v>1</v>
      </c>
      <c r="F10821" t="s">
        <v>0</v>
      </c>
      <c r="G10821" t="str">
        <f>"2018-10-14 13:18:12"</f>
        <v>2018-10-14 13:18:12</v>
      </c>
    </row>
    <row r="10822" spans="1:7" x14ac:dyDescent="0.2">
      <c r="A10822" t="s">
        <v>11175</v>
      </c>
      <c r="B10822" t="str">
        <f>"13837882180"</f>
        <v>13837882180</v>
      </c>
      <c r="C10822" t="str">
        <f>"41022219930628201X"</f>
        <v>41022219930628201X</v>
      </c>
      <c r="D10822" t="s">
        <v>1</v>
      </c>
      <c r="E10822" t="s">
        <v>1</v>
      </c>
      <c r="F10822" t="s">
        <v>0</v>
      </c>
      <c r="G10822" t="str">
        <f>"2018-10-14 13:17:03"</f>
        <v>2018-10-14 13:17:03</v>
      </c>
    </row>
    <row r="10823" spans="1:7" x14ac:dyDescent="0.2">
      <c r="A10823" t="s">
        <v>1</v>
      </c>
      <c r="B10823" t="str">
        <f>"18608128712"</f>
        <v>18608128712</v>
      </c>
      <c r="C10823" t="s">
        <v>1</v>
      </c>
      <c r="D10823" t="s">
        <v>1</v>
      </c>
      <c r="E10823" t="s">
        <v>1</v>
      </c>
      <c r="F10823" t="s">
        <v>0</v>
      </c>
      <c r="G10823" t="str">
        <f>"2018-10-14 13:15:18"</f>
        <v>2018-10-14 13:15:18</v>
      </c>
    </row>
    <row r="10824" spans="1:7" x14ac:dyDescent="0.2">
      <c r="A10824" t="s">
        <v>1371</v>
      </c>
      <c r="B10824" t="str">
        <f>"18842308140"</f>
        <v>18842308140</v>
      </c>
      <c r="C10824" t="str">
        <f>"232324199306161249"</f>
        <v>232324199306161249</v>
      </c>
      <c r="D10824" t="s">
        <v>1</v>
      </c>
      <c r="E10824" t="s">
        <v>1</v>
      </c>
      <c r="F10824" t="s">
        <v>0</v>
      </c>
      <c r="G10824" t="str">
        <f>"2018-10-14 15:35:08"</f>
        <v>2018-10-14 15:35:08</v>
      </c>
    </row>
    <row r="10825" spans="1:7" x14ac:dyDescent="0.2">
      <c r="A10825" t="s">
        <v>11176</v>
      </c>
      <c r="B10825" t="str">
        <f>"18661905129"</f>
        <v>18661905129</v>
      </c>
      <c r="C10825" t="str">
        <f>"370285199007216816"</f>
        <v>370285199007216816</v>
      </c>
      <c r="D10825" t="s">
        <v>1</v>
      </c>
      <c r="E10825" t="s">
        <v>1</v>
      </c>
      <c r="F10825" t="s">
        <v>0</v>
      </c>
      <c r="G10825" t="str">
        <f>"2018-10-14 13:16:24"</f>
        <v>2018-10-14 13:16:24</v>
      </c>
    </row>
    <row r="10826" spans="1:7" x14ac:dyDescent="0.2">
      <c r="A10826" t="s">
        <v>1203</v>
      </c>
      <c r="B10826" t="str">
        <f>"18371933693"</f>
        <v>18371933693</v>
      </c>
      <c r="C10826" t="str">
        <f>"420381199202183014"</f>
        <v>420381199202183014</v>
      </c>
      <c r="D10826" t="s">
        <v>11177</v>
      </c>
      <c r="E10826" t="s">
        <v>11178</v>
      </c>
      <c r="F10826" t="s">
        <v>0</v>
      </c>
      <c r="G10826" t="str">
        <f>"2018-10-18 12:31:24"</f>
        <v>2018-10-18 12:31:24</v>
      </c>
    </row>
    <row r="10827" spans="1:7" x14ac:dyDescent="0.2">
      <c r="A10827" t="s">
        <v>11179</v>
      </c>
      <c r="B10827" t="str">
        <f>"13824494146"</f>
        <v>13824494146</v>
      </c>
      <c r="C10827" t="str">
        <f>"440882198205276120"</f>
        <v>440882198205276120</v>
      </c>
      <c r="D10827" t="s">
        <v>1</v>
      </c>
      <c r="E10827" t="s">
        <v>1</v>
      </c>
      <c r="F10827" t="s">
        <v>0</v>
      </c>
      <c r="G10827" t="str">
        <f>"2018-10-24 10:29:46"</f>
        <v>2018-10-24 10:29:46</v>
      </c>
    </row>
    <row r="10828" spans="1:7" x14ac:dyDescent="0.2">
      <c r="A10828" t="s">
        <v>11180</v>
      </c>
      <c r="B10828" t="str">
        <f>"17796633305"</f>
        <v>17796633305</v>
      </c>
      <c r="C10828" t="str">
        <f>"410305198905270517"</f>
        <v>410305198905270517</v>
      </c>
      <c r="D10828" t="s">
        <v>1</v>
      </c>
      <c r="E10828" t="s">
        <v>1</v>
      </c>
      <c r="F10828" t="s">
        <v>0</v>
      </c>
      <c r="G10828" t="str">
        <f>"2018-10-14 13:31:48"</f>
        <v>2018-10-14 13:31:48</v>
      </c>
    </row>
    <row r="10829" spans="1:7" x14ac:dyDescent="0.2">
      <c r="A10829" t="s">
        <v>11181</v>
      </c>
      <c r="B10829" t="str">
        <f>"18775277872"</f>
        <v>18775277872</v>
      </c>
      <c r="C10829" t="str">
        <f>"452223198609235035"</f>
        <v>452223198609235035</v>
      </c>
      <c r="D10829" t="s">
        <v>1</v>
      </c>
      <c r="E10829" t="s">
        <v>1</v>
      </c>
      <c r="F10829" t="s">
        <v>0</v>
      </c>
      <c r="G10829" t="str">
        <f>"2018-10-14 13:11:58"</f>
        <v>2018-10-14 13:11:58</v>
      </c>
    </row>
    <row r="10830" spans="1:7" x14ac:dyDescent="0.2">
      <c r="A10830" t="s">
        <v>11182</v>
      </c>
      <c r="B10830" t="str">
        <f>"15210433802"</f>
        <v>15210433802</v>
      </c>
      <c r="C10830" t="str">
        <f>"620525199011131235"</f>
        <v>620525199011131235</v>
      </c>
      <c r="D10830" t="s">
        <v>1</v>
      </c>
      <c r="E10830" t="s">
        <v>1</v>
      </c>
      <c r="F10830" t="s">
        <v>0</v>
      </c>
      <c r="G10830" t="str">
        <f>"2018-10-14 13:11:49"</f>
        <v>2018-10-14 13:11:49</v>
      </c>
    </row>
    <row r="10831" spans="1:7" x14ac:dyDescent="0.2">
      <c r="A10831" t="s">
        <v>1</v>
      </c>
      <c r="B10831" t="str">
        <f>"13221691574"</f>
        <v>13221691574</v>
      </c>
      <c r="C10831" t="s">
        <v>1</v>
      </c>
      <c r="D10831" t="s">
        <v>1</v>
      </c>
      <c r="E10831" t="s">
        <v>1</v>
      </c>
      <c r="F10831" t="s">
        <v>0</v>
      </c>
      <c r="G10831" t="str">
        <f>"2018-10-14 13:09:51"</f>
        <v>2018-10-14 13:09:51</v>
      </c>
    </row>
    <row r="10832" spans="1:7" x14ac:dyDescent="0.2">
      <c r="A10832" t="s">
        <v>1</v>
      </c>
      <c r="B10832" t="str">
        <f>"17074975799"</f>
        <v>17074975799</v>
      </c>
      <c r="C10832" t="s">
        <v>1</v>
      </c>
      <c r="D10832" t="s">
        <v>1</v>
      </c>
      <c r="E10832" t="s">
        <v>1</v>
      </c>
      <c r="F10832" t="s">
        <v>0</v>
      </c>
      <c r="G10832" t="str">
        <f>"2018-10-14 13:09:47"</f>
        <v>2018-10-14 13:09:47</v>
      </c>
    </row>
    <row r="10833" spans="1:7" x14ac:dyDescent="0.2">
      <c r="A10833" t="s">
        <v>11183</v>
      </c>
      <c r="B10833" t="str">
        <f>"15879583776"</f>
        <v>15879583776</v>
      </c>
      <c r="C10833" t="str">
        <f>"36222819810810001X"</f>
        <v>36222819810810001X</v>
      </c>
      <c r="D10833" t="s">
        <v>11184</v>
      </c>
      <c r="E10833" t="s">
        <v>11185</v>
      </c>
      <c r="F10833" t="s">
        <v>0</v>
      </c>
      <c r="G10833" t="str">
        <f>"2018-10-14 14:01:27"</f>
        <v>2018-10-14 14:01:27</v>
      </c>
    </row>
    <row r="10834" spans="1:7" x14ac:dyDescent="0.2">
      <c r="A10834" t="s">
        <v>11186</v>
      </c>
      <c r="B10834" t="str">
        <f>"13898989753"</f>
        <v>13898989753</v>
      </c>
      <c r="C10834" t="str">
        <f>"211422199604044110"</f>
        <v>211422199604044110</v>
      </c>
      <c r="D10834" t="s">
        <v>1</v>
      </c>
      <c r="E10834" t="s">
        <v>1</v>
      </c>
      <c r="F10834" t="s">
        <v>0</v>
      </c>
      <c r="G10834" t="str">
        <f>"2018-10-14 13:13:54"</f>
        <v>2018-10-14 13:13:54</v>
      </c>
    </row>
    <row r="10835" spans="1:7" x14ac:dyDescent="0.2">
      <c r="A10835" t="s">
        <v>11187</v>
      </c>
      <c r="B10835" t="str">
        <f>"13289859797"</f>
        <v>13289859797</v>
      </c>
      <c r="C10835" t="str">
        <f>"610111199802033031"</f>
        <v>610111199802033031</v>
      </c>
      <c r="D10835" t="s">
        <v>1</v>
      </c>
      <c r="E10835" t="s">
        <v>1</v>
      </c>
      <c r="F10835" t="s">
        <v>0</v>
      </c>
      <c r="G10835" t="str">
        <f>"2018-10-14 13:10:41"</f>
        <v>2018-10-14 13:10:41</v>
      </c>
    </row>
    <row r="10836" spans="1:7" x14ac:dyDescent="0.2">
      <c r="A10836" t="s">
        <v>1</v>
      </c>
      <c r="B10836" t="str">
        <f>"13132773843"</f>
        <v>13132773843</v>
      </c>
      <c r="C10836" t="s">
        <v>1</v>
      </c>
      <c r="D10836" t="s">
        <v>1</v>
      </c>
      <c r="E10836" t="s">
        <v>1</v>
      </c>
      <c r="F10836" t="s">
        <v>0</v>
      </c>
      <c r="G10836" t="str">
        <f>"2018-10-14 13:09:15"</f>
        <v>2018-10-14 13:09:15</v>
      </c>
    </row>
    <row r="10837" spans="1:7" x14ac:dyDescent="0.2">
      <c r="A10837" t="s">
        <v>146</v>
      </c>
      <c r="B10837" t="str">
        <f>"15353508204"</f>
        <v>15353508204</v>
      </c>
      <c r="C10837" t="str">
        <f>"610523198908180032"</f>
        <v>610523198908180032</v>
      </c>
      <c r="D10837" t="s">
        <v>1</v>
      </c>
      <c r="E10837" t="s">
        <v>1</v>
      </c>
      <c r="F10837" t="s">
        <v>0</v>
      </c>
      <c r="G10837" t="str">
        <f>"2018-10-14 13:10:34"</f>
        <v>2018-10-14 13:10:34</v>
      </c>
    </row>
    <row r="10838" spans="1:7" x14ac:dyDescent="0.2">
      <c r="A10838" t="s">
        <v>1</v>
      </c>
      <c r="B10838" t="str">
        <f>"15516715321"</f>
        <v>15516715321</v>
      </c>
      <c r="C10838" t="s">
        <v>1</v>
      </c>
      <c r="D10838" t="s">
        <v>1</v>
      </c>
      <c r="E10838" t="s">
        <v>1</v>
      </c>
      <c r="F10838" t="s">
        <v>0</v>
      </c>
      <c r="G10838" t="str">
        <f>"2018-10-14 13:08:38"</f>
        <v>2018-10-14 13:08:38</v>
      </c>
    </row>
    <row r="10839" spans="1:7" x14ac:dyDescent="0.2">
      <c r="A10839" t="s">
        <v>24</v>
      </c>
      <c r="B10839" t="str">
        <f>"18866465088"</f>
        <v>18866465088</v>
      </c>
      <c r="C10839" t="str">
        <f>"370782198511110037"</f>
        <v>370782198511110037</v>
      </c>
      <c r="D10839" t="s">
        <v>1</v>
      </c>
      <c r="E10839" t="s">
        <v>1</v>
      </c>
      <c r="F10839" t="s">
        <v>0</v>
      </c>
      <c r="G10839" t="str">
        <f>"2018-10-14 13:08:01"</f>
        <v>2018-10-14 13:08:01</v>
      </c>
    </row>
    <row r="10840" spans="1:7" x14ac:dyDescent="0.2">
      <c r="A10840" t="s">
        <v>11188</v>
      </c>
      <c r="B10840" t="str">
        <f>"13839554895"</f>
        <v>13839554895</v>
      </c>
      <c r="C10840" t="str">
        <f>"411123198302026542"</f>
        <v>411123198302026542</v>
      </c>
      <c r="D10840" t="s">
        <v>1</v>
      </c>
      <c r="E10840" t="s">
        <v>1</v>
      </c>
      <c r="F10840" t="s">
        <v>0</v>
      </c>
      <c r="G10840" t="str">
        <f>"2018-10-14 13:06:34"</f>
        <v>2018-10-14 13:06:34</v>
      </c>
    </row>
    <row r="10841" spans="1:7" x14ac:dyDescent="0.2">
      <c r="A10841" t="s">
        <v>1</v>
      </c>
      <c r="B10841" t="str">
        <f>"18024166513"</f>
        <v>18024166513</v>
      </c>
      <c r="C10841" t="s">
        <v>1</v>
      </c>
      <c r="D10841" t="s">
        <v>1</v>
      </c>
      <c r="E10841" t="s">
        <v>1</v>
      </c>
      <c r="F10841" t="s">
        <v>0</v>
      </c>
      <c r="G10841" t="str">
        <f>"2018-10-14 13:09:19"</f>
        <v>2018-10-14 13:09:19</v>
      </c>
    </row>
    <row r="10842" spans="1:7" x14ac:dyDescent="0.2">
      <c r="A10842" t="s">
        <v>11189</v>
      </c>
      <c r="B10842" t="str">
        <f>"18538515211"</f>
        <v>18538515211</v>
      </c>
      <c r="C10842" t="str">
        <f>"41282519890503763X"</f>
        <v>41282519890503763X</v>
      </c>
      <c r="D10842" t="s">
        <v>1</v>
      </c>
      <c r="E10842" t="s">
        <v>1</v>
      </c>
      <c r="F10842" t="s">
        <v>0</v>
      </c>
      <c r="G10842" t="str">
        <f>"2018-10-14 13:13:27"</f>
        <v>2018-10-14 13:13:27</v>
      </c>
    </row>
    <row r="10843" spans="1:7" x14ac:dyDescent="0.2">
      <c r="A10843" t="s">
        <v>11190</v>
      </c>
      <c r="B10843" t="str">
        <f>"18071623111"</f>
        <v>18071623111</v>
      </c>
      <c r="C10843" t="str">
        <f>"32068319910106285X"</f>
        <v>32068319910106285X</v>
      </c>
      <c r="D10843" t="s">
        <v>1</v>
      </c>
      <c r="E10843" t="s">
        <v>1</v>
      </c>
      <c r="F10843" t="s">
        <v>0</v>
      </c>
      <c r="G10843" t="str">
        <f>"2018-10-21 00:24:18"</f>
        <v>2018-10-21 00:24:18</v>
      </c>
    </row>
    <row r="10844" spans="1:7" x14ac:dyDescent="0.2">
      <c r="A10844" t="s">
        <v>11191</v>
      </c>
      <c r="B10844" t="str">
        <f>"13750286070"</f>
        <v>13750286070</v>
      </c>
      <c r="C10844" t="str">
        <f>"441624199107073515"</f>
        <v>441624199107073515</v>
      </c>
      <c r="D10844" t="s">
        <v>1</v>
      </c>
      <c r="E10844" t="s">
        <v>1</v>
      </c>
      <c r="F10844" t="s">
        <v>0</v>
      </c>
      <c r="G10844" t="str">
        <f>"2018-10-14 13:15:59"</f>
        <v>2018-10-14 13:15:59</v>
      </c>
    </row>
    <row r="10845" spans="1:7" x14ac:dyDescent="0.2">
      <c r="A10845" t="s">
        <v>11192</v>
      </c>
      <c r="B10845" t="str">
        <f>"13592936944"</f>
        <v>13592936944</v>
      </c>
      <c r="C10845" t="str">
        <f>"445281198110151259"</f>
        <v>445281198110151259</v>
      </c>
      <c r="D10845" t="s">
        <v>1</v>
      </c>
      <c r="E10845" t="s">
        <v>1</v>
      </c>
      <c r="F10845" t="s">
        <v>0</v>
      </c>
      <c r="G10845" t="str">
        <f>"2018-10-14 13:02:39"</f>
        <v>2018-10-14 13:02:39</v>
      </c>
    </row>
    <row r="10846" spans="1:7" x14ac:dyDescent="0.2">
      <c r="A10846" t="s">
        <v>1</v>
      </c>
      <c r="B10846" t="str">
        <f>"13263724138"</f>
        <v>13263724138</v>
      </c>
      <c r="C10846" t="s">
        <v>1</v>
      </c>
      <c r="D10846" t="s">
        <v>1</v>
      </c>
      <c r="E10846" t="s">
        <v>1</v>
      </c>
      <c r="F10846" t="s">
        <v>0</v>
      </c>
      <c r="G10846" t="str">
        <f>"2018-10-14 13:04:18"</f>
        <v>2018-10-14 13:04:18</v>
      </c>
    </row>
    <row r="10847" spans="1:7" x14ac:dyDescent="0.2">
      <c r="A10847" t="s">
        <v>11193</v>
      </c>
      <c r="B10847" t="str">
        <f>"15595933533"</f>
        <v>15595933533</v>
      </c>
      <c r="C10847" t="str">
        <f>"460025199106180024"</f>
        <v>460025199106180024</v>
      </c>
      <c r="D10847" t="s">
        <v>11194</v>
      </c>
      <c r="E10847" t="s">
        <v>11195</v>
      </c>
      <c r="F10847" t="s">
        <v>0</v>
      </c>
      <c r="G10847" t="str">
        <f>"2018-10-14 13:03:40"</f>
        <v>2018-10-14 13:03:40</v>
      </c>
    </row>
    <row r="10848" spans="1:7" x14ac:dyDescent="0.2">
      <c r="A10848" t="s">
        <v>823</v>
      </c>
      <c r="B10848" t="str">
        <f>"15213821400"</f>
        <v>15213821400</v>
      </c>
      <c r="C10848" t="str">
        <f>"62282719840804091X"</f>
        <v>62282719840804091X</v>
      </c>
      <c r="D10848" t="s">
        <v>11196</v>
      </c>
      <c r="E10848" t="s">
        <v>11197</v>
      </c>
      <c r="F10848" t="s">
        <v>0</v>
      </c>
      <c r="G10848" t="str">
        <f>"2018-10-28 15:19:12"</f>
        <v>2018-10-28 15:19:12</v>
      </c>
    </row>
    <row r="10849" spans="1:7" x14ac:dyDescent="0.2">
      <c r="A10849" t="s">
        <v>11198</v>
      </c>
      <c r="B10849" t="str">
        <f>"17604529231"</f>
        <v>17604529231</v>
      </c>
      <c r="C10849" t="str">
        <f>"23112119900411063X"</f>
        <v>23112119900411063X</v>
      </c>
      <c r="D10849" t="s">
        <v>1</v>
      </c>
      <c r="E10849" t="s">
        <v>1</v>
      </c>
      <c r="F10849" t="s">
        <v>0</v>
      </c>
      <c r="G10849" t="str">
        <f>"2018-10-14 13:01:06"</f>
        <v>2018-10-14 13:01:06</v>
      </c>
    </row>
    <row r="10850" spans="1:7" x14ac:dyDescent="0.2">
      <c r="A10850" t="s">
        <v>515</v>
      </c>
      <c r="B10850" t="str">
        <f>"15047967558"</f>
        <v>15047967558</v>
      </c>
      <c r="C10850" t="str">
        <f>"152502198901050728"</f>
        <v>152502198901050728</v>
      </c>
      <c r="D10850" t="s">
        <v>1</v>
      </c>
      <c r="E10850" t="s">
        <v>1</v>
      </c>
      <c r="F10850" t="s">
        <v>0</v>
      </c>
      <c r="G10850" t="str">
        <f>"2018-10-14 13:03:32"</f>
        <v>2018-10-14 13:03:32</v>
      </c>
    </row>
    <row r="10851" spans="1:7" x14ac:dyDescent="0.2">
      <c r="A10851" t="s">
        <v>11199</v>
      </c>
      <c r="B10851" t="str">
        <f>"13879898283"</f>
        <v>13879898283</v>
      </c>
      <c r="C10851" t="str">
        <f>"360281198203283619"</f>
        <v>360281198203283619</v>
      </c>
      <c r="D10851" t="s">
        <v>1</v>
      </c>
      <c r="E10851" t="s">
        <v>1</v>
      </c>
      <c r="F10851" t="s">
        <v>0</v>
      </c>
      <c r="G10851" t="str">
        <f>"2018-10-14 13:00:32"</f>
        <v>2018-10-14 13:00:32</v>
      </c>
    </row>
    <row r="10852" spans="1:7" x14ac:dyDescent="0.2">
      <c r="A10852" t="s">
        <v>11200</v>
      </c>
      <c r="B10852" t="str">
        <f>"18796276211"</f>
        <v>18796276211</v>
      </c>
      <c r="C10852" t="str">
        <f>"320323199503200618"</f>
        <v>320323199503200618</v>
      </c>
      <c r="D10852" t="s">
        <v>1</v>
      </c>
      <c r="E10852" t="s">
        <v>1</v>
      </c>
      <c r="F10852" t="s">
        <v>0</v>
      </c>
      <c r="G10852" t="str">
        <f>"2018-10-14 13:17:45"</f>
        <v>2018-10-14 13:17:45</v>
      </c>
    </row>
    <row r="10853" spans="1:7" x14ac:dyDescent="0.2">
      <c r="A10853" t="s">
        <v>11201</v>
      </c>
      <c r="B10853" t="str">
        <f>"18003756120"</f>
        <v>18003756120</v>
      </c>
      <c r="C10853" t="str">
        <f>"410402197002262032"</f>
        <v>410402197002262032</v>
      </c>
      <c r="D10853" t="s">
        <v>1</v>
      </c>
      <c r="E10853" t="s">
        <v>1</v>
      </c>
      <c r="F10853" t="s">
        <v>0</v>
      </c>
      <c r="G10853" t="str">
        <f>"2018-10-23 13:48:07"</f>
        <v>2018-10-23 13:48:07</v>
      </c>
    </row>
    <row r="10854" spans="1:7" x14ac:dyDescent="0.2">
      <c r="A10854" t="s">
        <v>11202</v>
      </c>
      <c r="B10854" t="str">
        <f>"13301789280"</f>
        <v>13301789280</v>
      </c>
      <c r="C10854" t="str">
        <f>"310226197401313913"</f>
        <v>310226197401313913</v>
      </c>
      <c r="D10854" t="s">
        <v>1</v>
      </c>
      <c r="E10854" t="s">
        <v>1</v>
      </c>
      <c r="F10854" t="s">
        <v>0</v>
      </c>
      <c r="G10854" t="str">
        <f>"2018-10-14 13:00:37"</f>
        <v>2018-10-14 13:00:37</v>
      </c>
    </row>
    <row r="10855" spans="1:7" x14ac:dyDescent="0.2">
      <c r="A10855" t="s">
        <v>1</v>
      </c>
      <c r="B10855" t="str">
        <f>"13333815559"</f>
        <v>13333815559</v>
      </c>
      <c r="C10855" t="s">
        <v>1</v>
      </c>
      <c r="D10855" t="s">
        <v>1</v>
      </c>
      <c r="E10855" t="s">
        <v>1</v>
      </c>
      <c r="F10855" t="s">
        <v>0</v>
      </c>
      <c r="G10855" t="str">
        <f>"2018-10-14 13:05:36"</f>
        <v>2018-10-14 13:05:36</v>
      </c>
    </row>
    <row r="10856" spans="1:7" x14ac:dyDescent="0.2">
      <c r="A10856" t="s">
        <v>11203</v>
      </c>
      <c r="B10856" t="str">
        <f>"18791327254"</f>
        <v>18791327254</v>
      </c>
      <c r="C10856" t="str">
        <f>"610526199603153133"</f>
        <v>610526199603153133</v>
      </c>
      <c r="D10856" t="s">
        <v>1</v>
      </c>
      <c r="E10856" t="s">
        <v>1</v>
      </c>
      <c r="F10856" t="s">
        <v>0</v>
      </c>
      <c r="G10856" t="str">
        <f>"2018-10-15 13:42:50"</f>
        <v>2018-10-15 13:42:50</v>
      </c>
    </row>
    <row r="10857" spans="1:7" x14ac:dyDescent="0.2">
      <c r="A10857" t="s">
        <v>1</v>
      </c>
      <c r="B10857" t="str">
        <f>"15710003996"</f>
        <v>15710003996</v>
      </c>
      <c r="C10857" t="s">
        <v>1</v>
      </c>
      <c r="D10857" t="s">
        <v>1</v>
      </c>
      <c r="E10857" t="s">
        <v>1</v>
      </c>
      <c r="F10857" t="s">
        <v>0</v>
      </c>
      <c r="G10857" t="str">
        <f>"2018-10-14 12:56:44"</f>
        <v>2018-10-14 12:56:44</v>
      </c>
    </row>
    <row r="10858" spans="1:7" x14ac:dyDescent="0.2">
      <c r="A10858" t="s">
        <v>1</v>
      </c>
      <c r="B10858" t="str">
        <f>"13779932871"</f>
        <v>13779932871</v>
      </c>
      <c r="C10858" t="s">
        <v>1</v>
      </c>
      <c r="D10858" t="s">
        <v>1</v>
      </c>
      <c r="E10858" t="s">
        <v>1</v>
      </c>
      <c r="F10858" t="s">
        <v>0</v>
      </c>
      <c r="G10858" t="str">
        <f>"2018-10-14 12:58:17"</f>
        <v>2018-10-14 12:58:17</v>
      </c>
    </row>
    <row r="10859" spans="1:7" x14ac:dyDescent="0.2">
      <c r="A10859" t="s">
        <v>7207</v>
      </c>
      <c r="B10859" t="str">
        <f>"17712805271"</f>
        <v>17712805271</v>
      </c>
      <c r="C10859" t="str">
        <f>"320882199110282015"</f>
        <v>320882199110282015</v>
      </c>
      <c r="D10859" t="s">
        <v>1</v>
      </c>
      <c r="E10859" t="s">
        <v>1</v>
      </c>
      <c r="F10859" t="s">
        <v>0</v>
      </c>
      <c r="G10859" t="str">
        <f>"2018-10-28 18:18:46"</f>
        <v>2018-10-28 18:18:46</v>
      </c>
    </row>
    <row r="10860" spans="1:7" x14ac:dyDescent="0.2">
      <c r="A10860" t="s">
        <v>11204</v>
      </c>
      <c r="B10860" t="str">
        <f>"15990602560"</f>
        <v>15990602560</v>
      </c>
      <c r="C10860" t="str">
        <f>"620421198610260420"</f>
        <v>620421198610260420</v>
      </c>
      <c r="D10860" t="s">
        <v>11205</v>
      </c>
      <c r="E10860" t="s">
        <v>11206</v>
      </c>
      <c r="F10860" t="s">
        <v>0</v>
      </c>
      <c r="G10860" t="str">
        <f>"2018-10-20 20:33:20"</f>
        <v>2018-10-20 20:33:20</v>
      </c>
    </row>
    <row r="10861" spans="1:7" x14ac:dyDescent="0.2">
      <c r="A10861" t="s">
        <v>11207</v>
      </c>
      <c r="B10861" t="str">
        <f>"15980309355"</f>
        <v>15980309355</v>
      </c>
      <c r="C10861" t="str">
        <f>"350521198408046025"</f>
        <v>350521198408046025</v>
      </c>
      <c r="D10861" t="s">
        <v>1</v>
      </c>
      <c r="E10861" t="s">
        <v>1</v>
      </c>
      <c r="F10861" t="s">
        <v>0</v>
      </c>
      <c r="G10861" t="str">
        <f>"2018-10-15 19:03:59"</f>
        <v>2018-10-15 19:03:59</v>
      </c>
    </row>
    <row r="10862" spans="1:7" x14ac:dyDescent="0.2">
      <c r="A10862" t="s">
        <v>1144</v>
      </c>
      <c r="B10862" t="str">
        <f>"13913509210"</f>
        <v>13913509210</v>
      </c>
      <c r="C10862" t="str">
        <f>"320381198510198519"</f>
        <v>320381198510198519</v>
      </c>
      <c r="D10862" t="s">
        <v>1</v>
      </c>
      <c r="E10862" t="s">
        <v>1</v>
      </c>
      <c r="F10862" t="s">
        <v>0</v>
      </c>
      <c r="G10862" t="str">
        <f>"2018-10-14 12:55:53"</f>
        <v>2018-10-14 12:55:53</v>
      </c>
    </row>
    <row r="10863" spans="1:7" x14ac:dyDescent="0.2">
      <c r="A10863" t="s">
        <v>11208</v>
      </c>
      <c r="B10863" t="str">
        <f>"13017580390"</f>
        <v>13017580390</v>
      </c>
      <c r="C10863" t="str">
        <f>"410204199408106057"</f>
        <v>410204199408106057</v>
      </c>
      <c r="D10863" t="s">
        <v>11209</v>
      </c>
      <c r="E10863" t="s">
        <v>11210</v>
      </c>
      <c r="F10863" t="s">
        <v>0</v>
      </c>
      <c r="G10863" t="str">
        <f>"2018-10-20 17:33:25"</f>
        <v>2018-10-20 17:33:25</v>
      </c>
    </row>
    <row r="10864" spans="1:7" x14ac:dyDescent="0.2">
      <c r="A10864" t="s">
        <v>11211</v>
      </c>
      <c r="B10864" t="str">
        <f>"18347516699"</f>
        <v>18347516699</v>
      </c>
      <c r="C10864" t="str">
        <f>"152323199908096417"</f>
        <v>152323199908096417</v>
      </c>
      <c r="D10864" t="s">
        <v>1</v>
      </c>
      <c r="E10864" t="s">
        <v>1</v>
      </c>
      <c r="F10864" t="s">
        <v>0</v>
      </c>
      <c r="G10864" t="str">
        <f>"2018-10-14 12:57:03"</f>
        <v>2018-10-14 12:57:03</v>
      </c>
    </row>
    <row r="10865" spans="1:7" x14ac:dyDescent="0.2">
      <c r="A10865" t="s">
        <v>727</v>
      </c>
      <c r="B10865" t="str">
        <f>"15681716969"</f>
        <v>15681716969</v>
      </c>
      <c r="C10865" t="str">
        <f>"511521198110250067"</f>
        <v>511521198110250067</v>
      </c>
      <c r="D10865" t="s">
        <v>1</v>
      </c>
      <c r="E10865" t="s">
        <v>1</v>
      </c>
      <c r="F10865" t="s">
        <v>0</v>
      </c>
      <c r="G10865" t="str">
        <f>"2018-10-17 10:16:32"</f>
        <v>2018-10-17 10:16:32</v>
      </c>
    </row>
    <row r="10866" spans="1:7" x14ac:dyDescent="0.2">
      <c r="A10866" t="s">
        <v>11212</v>
      </c>
      <c r="B10866" t="str">
        <f>"18153370180"</f>
        <v>18153370180</v>
      </c>
      <c r="C10866" t="str">
        <f>"430422199003081573"</f>
        <v>430422199003081573</v>
      </c>
      <c r="D10866" t="s">
        <v>1</v>
      </c>
      <c r="E10866" t="s">
        <v>1</v>
      </c>
      <c r="F10866" t="s">
        <v>0</v>
      </c>
      <c r="G10866" t="str">
        <f>"2018-10-14 12:52:52"</f>
        <v>2018-10-14 12:52:52</v>
      </c>
    </row>
    <row r="10867" spans="1:7" x14ac:dyDescent="0.2">
      <c r="A10867" t="s">
        <v>1664</v>
      </c>
      <c r="B10867" t="str">
        <f>"15854684298"</f>
        <v>15854684298</v>
      </c>
      <c r="C10867" t="str">
        <f>"370481199512072214"</f>
        <v>370481199512072214</v>
      </c>
      <c r="D10867" t="s">
        <v>1</v>
      </c>
      <c r="E10867" t="s">
        <v>1</v>
      </c>
      <c r="F10867" t="s">
        <v>0</v>
      </c>
      <c r="G10867" t="str">
        <f>"2018-10-14 13:13:29"</f>
        <v>2018-10-14 13:13:29</v>
      </c>
    </row>
    <row r="10868" spans="1:7" x14ac:dyDescent="0.2">
      <c r="A10868" t="s">
        <v>1</v>
      </c>
      <c r="B10868" t="str">
        <f>"15023718886"</f>
        <v>15023718886</v>
      </c>
      <c r="C10868" t="s">
        <v>1</v>
      </c>
      <c r="D10868" t="s">
        <v>1</v>
      </c>
      <c r="E10868" t="s">
        <v>1</v>
      </c>
      <c r="F10868" t="s">
        <v>0</v>
      </c>
      <c r="G10868" t="str">
        <f>"2018-10-14 12:49:45"</f>
        <v>2018-10-14 12:49:45</v>
      </c>
    </row>
    <row r="10869" spans="1:7" x14ac:dyDescent="0.2">
      <c r="A10869" t="s">
        <v>1096</v>
      </c>
      <c r="B10869" t="str">
        <f>"18733410928"</f>
        <v>18733410928</v>
      </c>
      <c r="C10869" t="str">
        <f>"130323198802091423"</f>
        <v>130323198802091423</v>
      </c>
      <c r="D10869" t="s">
        <v>1</v>
      </c>
      <c r="E10869" t="s">
        <v>1</v>
      </c>
      <c r="F10869" t="s">
        <v>0</v>
      </c>
      <c r="G10869" t="str">
        <f>"2018-10-14 14:06:11"</f>
        <v>2018-10-14 14:06:11</v>
      </c>
    </row>
    <row r="10870" spans="1:7" x14ac:dyDescent="0.2">
      <c r="A10870" t="s">
        <v>11213</v>
      </c>
      <c r="B10870" t="str">
        <f>"18303305313"</f>
        <v>18303305313</v>
      </c>
      <c r="C10870" t="str">
        <f>"130429198105030020"</f>
        <v>130429198105030020</v>
      </c>
      <c r="D10870" t="s">
        <v>1</v>
      </c>
      <c r="E10870" t="s">
        <v>1</v>
      </c>
      <c r="F10870" t="s">
        <v>0</v>
      </c>
      <c r="G10870" t="str">
        <f>"2018-10-27 20:42:51"</f>
        <v>2018-10-27 20:42:51</v>
      </c>
    </row>
    <row r="10871" spans="1:7" x14ac:dyDescent="0.2">
      <c r="A10871" t="s">
        <v>11214</v>
      </c>
      <c r="B10871" t="str">
        <f>"18992440003"</f>
        <v>18992440003</v>
      </c>
      <c r="C10871" t="str">
        <f>"612501199001020776"</f>
        <v>612501199001020776</v>
      </c>
      <c r="D10871" t="s">
        <v>1</v>
      </c>
      <c r="E10871" t="s">
        <v>1</v>
      </c>
      <c r="F10871" t="s">
        <v>0</v>
      </c>
      <c r="G10871" t="str">
        <f>"2018-10-14 13:01:19"</f>
        <v>2018-10-14 13:01:19</v>
      </c>
    </row>
    <row r="10872" spans="1:7" x14ac:dyDescent="0.2">
      <c r="A10872" t="s">
        <v>783</v>
      </c>
      <c r="B10872" t="str">
        <f>"15083519939"</f>
        <v>15083519939</v>
      </c>
      <c r="C10872" t="str">
        <f>"360312198112241512"</f>
        <v>360312198112241512</v>
      </c>
      <c r="D10872" t="s">
        <v>11215</v>
      </c>
      <c r="E10872" t="s">
        <v>11216</v>
      </c>
      <c r="F10872" t="s">
        <v>0</v>
      </c>
      <c r="G10872" t="str">
        <f>"2018-10-17 07:56:23"</f>
        <v>2018-10-17 07:56:23</v>
      </c>
    </row>
    <row r="10873" spans="1:7" x14ac:dyDescent="0.2">
      <c r="A10873" t="s">
        <v>11217</v>
      </c>
      <c r="B10873" t="str">
        <f>"18795933082"</f>
        <v>18795933082</v>
      </c>
      <c r="C10873" t="str">
        <f>"342501199009047038"</f>
        <v>342501199009047038</v>
      </c>
      <c r="D10873" t="s">
        <v>1</v>
      </c>
      <c r="E10873" t="s">
        <v>1</v>
      </c>
      <c r="F10873" t="s">
        <v>0</v>
      </c>
      <c r="G10873" t="str">
        <f>"2018-10-14 12:47:46"</f>
        <v>2018-10-14 12:47:46</v>
      </c>
    </row>
    <row r="10874" spans="1:7" x14ac:dyDescent="0.2">
      <c r="A10874" t="s">
        <v>1</v>
      </c>
      <c r="B10874" t="str">
        <f>"13588925553"</f>
        <v>13588925553</v>
      </c>
      <c r="C10874" t="s">
        <v>1</v>
      </c>
      <c r="D10874" t="s">
        <v>1</v>
      </c>
      <c r="E10874" t="s">
        <v>1</v>
      </c>
      <c r="F10874" t="s">
        <v>0</v>
      </c>
      <c r="G10874" t="str">
        <f>"2018-10-14 12:46:57"</f>
        <v>2018-10-14 12:46:57</v>
      </c>
    </row>
    <row r="10875" spans="1:7" x14ac:dyDescent="0.2">
      <c r="A10875" t="s">
        <v>11218</v>
      </c>
      <c r="B10875" t="str">
        <f>"15377099449"</f>
        <v>15377099449</v>
      </c>
      <c r="C10875" t="str">
        <f>"420115198801013237"</f>
        <v>420115198801013237</v>
      </c>
      <c r="D10875" t="s">
        <v>1</v>
      </c>
      <c r="E10875" t="s">
        <v>1</v>
      </c>
      <c r="F10875" t="s">
        <v>0</v>
      </c>
      <c r="G10875" t="str">
        <f>"2018-10-14 12:51:22"</f>
        <v>2018-10-14 12:51:22</v>
      </c>
    </row>
    <row r="10876" spans="1:7" x14ac:dyDescent="0.2">
      <c r="A10876" t="s">
        <v>11219</v>
      </c>
      <c r="B10876" t="str">
        <f>"17794840992"</f>
        <v>17794840992</v>
      </c>
      <c r="C10876" t="str">
        <f>"654221199105030061"</f>
        <v>654221199105030061</v>
      </c>
      <c r="D10876" t="s">
        <v>1</v>
      </c>
      <c r="E10876" t="s">
        <v>1</v>
      </c>
      <c r="F10876" t="s">
        <v>0</v>
      </c>
      <c r="G10876" t="str">
        <f>"2018-10-14 19:51:44"</f>
        <v>2018-10-14 19:51:44</v>
      </c>
    </row>
    <row r="10877" spans="1:7" x14ac:dyDescent="0.2">
      <c r="A10877" t="s">
        <v>1</v>
      </c>
      <c r="B10877" t="str">
        <f>"13757083851"</f>
        <v>13757083851</v>
      </c>
      <c r="C10877" t="s">
        <v>1</v>
      </c>
      <c r="D10877" t="s">
        <v>1</v>
      </c>
      <c r="E10877" t="s">
        <v>1</v>
      </c>
      <c r="F10877" t="s">
        <v>0</v>
      </c>
      <c r="G10877" t="str">
        <f>"2018-10-14 12:46:02"</f>
        <v>2018-10-14 12:46:02</v>
      </c>
    </row>
    <row r="10878" spans="1:7" x14ac:dyDescent="0.2">
      <c r="A10878" t="s">
        <v>11220</v>
      </c>
      <c r="B10878" t="str">
        <f>"15349129544"</f>
        <v>15349129544</v>
      </c>
      <c r="C10878" t="str">
        <f>"612726199206294816"</f>
        <v>612726199206294816</v>
      </c>
      <c r="D10878" t="s">
        <v>1</v>
      </c>
      <c r="E10878" t="s">
        <v>1</v>
      </c>
      <c r="F10878" t="s">
        <v>0</v>
      </c>
      <c r="G10878" t="str">
        <f>"2018-10-14 12:48:03"</f>
        <v>2018-10-14 12:48:03</v>
      </c>
    </row>
    <row r="10879" spans="1:7" x14ac:dyDescent="0.2">
      <c r="A10879" t="s">
        <v>1</v>
      </c>
      <c r="B10879" t="str">
        <f>"13220000571"</f>
        <v>13220000571</v>
      </c>
      <c r="C10879" t="s">
        <v>1</v>
      </c>
      <c r="D10879" t="s">
        <v>1</v>
      </c>
      <c r="E10879" t="s">
        <v>1</v>
      </c>
      <c r="F10879" t="s">
        <v>0</v>
      </c>
      <c r="G10879" t="str">
        <f>"2018-10-14 12:45:29"</f>
        <v>2018-10-14 12:45:29</v>
      </c>
    </row>
    <row r="10880" spans="1:7" x14ac:dyDescent="0.2">
      <c r="A10880" t="s">
        <v>11221</v>
      </c>
      <c r="B10880" t="str">
        <f>"15855595869"</f>
        <v>15855595869</v>
      </c>
      <c r="C10880" t="str">
        <f>"341002199203160016"</f>
        <v>341002199203160016</v>
      </c>
      <c r="D10880" t="s">
        <v>11222</v>
      </c>
      <c r="E10880" t="s">
        <v>11223</v>
      </c>
      <c r="F10880" t="s">
        <v>0</v>
      </c>
      <c r="G10880" t="str">
        <f>"2018-10-14 12:45:19"</f>
        <v>2018-10-14 12:45:19</v>
      </c>
    </row>
    <row r="10881" spans="1:7" x14ac:dyDescent="0.2">
      <c r="A10881" t="s">
        <v>11224</v>
      </c>
      <c r="B10881" t="str">
        <f>"18502602717"</f>
        <v>18502602717</v>
      </c>
      <c r="C10881" t="str">
        <f>"120102197702011458"</f>
        <v>120102197702011458</v>
      </c>
      <c r="D10881" t="s">
        <v>1</v>
      </c>
      <c r="E10881" t="s">
        <v>1</v>
      </c>
      <c r="F10881" t="s">
        <v>0</v>
      </c>
      <c r="G10881" t="str">
        <f>"2018-10-30 17:12:37"</f>
        <v>2018-10-30 17:12:37</v>
      </c>
    </row>
    <row r="10882" spans="1:7" x14ac:dyDescent="0.2">
      <c r="A10882" t="s">
        <v>11225</v>
      </c>
      <c r="B10882" t="str">
        <f>"18714447906"</f>
        <v>18714447906</v>
      </c>
      <c r="C10882" t="str">
        <f>"230281199707082314"</f>
        <v>230281199707082314</v>
      </c>
      <c r="D10882" t="s">
        <v>11226</v>
      </c>
      <c r="E10882" t="s">
        <v>11227</v>
      </c>
      <c r="F10882" t="s">
        <v>0</v>
      </c>
      <c r="G10882" t="str">
        <f>"2018-10-23 19:54:40"</f>
        <v>2018-10-23 19:54:40</v>
      </c>
    </row>
    <row r="10883" spans="1:7" x14ac:dyDescent="0.2">
      <c r="A10883" t="s">
        <v>11228</v>
      </c>
      <c r="B10883" t="str">
        <f>"13966568893"</f>
        <v>13966568893</v>
      </c>
      <c r="C10883" t="str">
        <f>"341226198107241593"</f>
        <v>341226198107241593</v>
      </c>
      <c r="D10883" t="s">
        <v>11229</v>
      </c>
      <c r="E10883" t="s">
        <v>11230</v>
      </c>
      <c r="F10883" t="s">
        <v>0</v>
      </c>
      <c r="G10883" t="str">
        <f>"2018-10-14 13:27:10"</f>
        <v>2018-10-14 13:27:10</v>
      </c>
    </row>
    <row r="10884" spans="1:7" x14ac:dyDescent="0.2">
      <c r="A10884" t="s">
        <v>1</v>
      </c>
      <c r="B10884" t="str">
        <f>"18860194929"</f>
        <v>18860194929</v>
      </c>
      <c r="C10884" t="s">
        <v>1</v>
      </c>
      <c r="D10884" t="s">
        <v>1</v>
      </c>
      <c r="E10884" t="s">
        <v>1</v>
      </c>
      <c r="F10884" t="s">
        <v>0</v>
      </c>
      <c r="G10884" t="str">
        <f>"2018-10-14 12:42:14"</f>
        <v>2018-10-14 12:42:14</v>
      </c>
    </row>
    <row r="10885" spans="1:7" x14ac:dyDescent="0.2">
      <c r="A10885" t="s">
        <v>11231</v>
      </c>
      <c r="B10885" t="str">
        <f>"17752526585"</f>
        <v>17752526585</v>
      </c>
      <c r="C10885" t="str">
        <f>"410526198510017376"</f>
        <v>410526198510017376</v>
      </c>
      <c r="D10885" t="s">
        <v>11232</v>
      </c>
      <c r="E10885" t="s">
        <v>11233</v>
      </c>
      <c r="F10885" t="s">
        <v>0</v>
      </c>
      <c r="G10885" t="str">
        <f>"2018-10-14 12:44:20"</f>
        <v>2018-10-14 12:44:20</v>
      </c>
    </row>
    <row r="10886" spans="1:7" x14ac:dyDescent="0.2">
      <c r="A10886" t="s">
        <v>11234</v>
      </c>
      <c r="B10886" t="str">
        <f>"17711899947"</f>
        <v>17711899947</v>
      </c>
      <c r="C10886" t="str">
        <f>"640122199709290038"</f>
        <v>640122199709290038</v>
      </c>
      <c r="D10886" t="s">
        <v>1</v>
      </c>
      <c r="E10886" t="s">
        <v>1</v>
      </c>
      <c r="F10886" t="s">
        <v>0</v>
      </c>
      <c r="G10886" t="str">
        <f>"2018-10-14 12:44:54"</f>
        <v>2018-10-14 12:44:54</v>
      </c>
    </row>
    <row r="10887" spans="1:7" x14ac:dyDescent="0.2">
      <c r="A10887" t="s">
        <v>997</v>
      </c>
      <c r="B10887" t="str">
        <f>"15954836727"</f>
        <v>15954836727</v>
      </c>
      <c r="C10887" t="str">
        <f>"230622198804046179"</f>
        <v>230622198804046179</v>
      </c>
      <c r="D10887" t="s">
        <v>11235</v>
      </c>
      <c r="E10887" t="s">
        <v>11236</v>
      </c>
      <c r="F10887" t="s">
        <v>0</v>
      </c>
      <c r="G10887" t="str">
        <f>"2018-10-14 12:42:22"</f>
        <v>2018-10-14 12:42:22</v>
      </c>
    </row>
    <row r="10888" spans="1:7" x14ac:dyDescent="0.2">
      <c r="A10888" t="s">
        <v>1</v>
      </c>
      <c r="B10888" t="str">
        <f>"13367873339"</f>
        <v>13367873339</v>
      </c>
      <c r="C10888" t="s">
        <v>1</v>
      </c>
      <c r="D10888" t="s">
        <v>1</v>
      </c>
      <c r="E10888" t="s">
        <v>1</v>
      </c>
      <c r="F10888" t="s">
        <v>0</v>
      </c>
      <c r="G10888" t="str">
        <f>"2018-10-14 12:42:39"</f>
        <v>2018-10-14 12:42:39</v>
      </c>
    </row>
    <row r="10889" spans="1:7" x14ac:dyDescent="0.2">
      <c r="A10889" t="s">
        <v>11237</v>
      </c>
      <c r="B10889" t="str">
        <f>"18730515331"</f>
        <v>18730515331</v>
      </c>
      <c r="C10889" t="str">
        <f>"130227198402256508"</f>
        <v>130227198402256508</v>
      </c>
      <c r="D10889" t="s">
        <v>1</v>
      </c>
      <c r="E10889" t="s">
        <v>1</v>
      </c>
      <c r="F10889" t="s">
        <v>0</v>
      </c>
      <c r="G10889" t="str">
        <f>"2018-10-14 12:42:14"</f>
        <v>2018-10-14 12:42:14</v>
      </c>
    </row>
    <row r="10890" spans="1:7" x14ac:dyDescent="0.2">
      <c r="A10890" t="s">
        <v>11238</v>
      </c>
      <c r="B10890" t="str">
        <f>"15503827618"</f>
        <v>15503827618</v>
      </c>
      <c r="C10890" t="str">
        <f>"411402199309098599"</f>
        <v>411402199309098599</v>
      </c>
      <c r="D10890" t="s">
        <v>11239</v>
      </c>
      <c r="E10890" t="s">
        <v>11240</v>
      </c>
      <c r="F10890" t="s">
        <v>0</v>
      </c>
      <c r="G10890" t="str">
        <f>"2018-10-14 12:46:31"</f>
        <v>2018-10-14 12:46:31</v>
      </c>
    </row>
    <row r="10891" spans="1:7" x14ac:dyDescent="0.2">
      <c r="A10891" t="s">
        <v>4253</v>
      </c>
      <c r="B10891" t="str">
        <f>"18642363555"</f>
        <v>18642363555</v>
      </c>
      <c r="C10891" t="str">
        <f>"210411199307312414"</f>
        <v>210411199307312414</v>
      </c>
      <c r="D10891" t="s">
        <v>1</v>
      </c>
      <c r="E10891" t="s">
        <v>1</v>
      </c>
      <c r="F10891" t="s">
        <v>0</v>
      </c>
      <c r="G10891" t="str">
        <f>"2018-10-14 12:41:31"</f>
        <v>2018-10-14 12:41:31</v>
      </c>
    </row>
    <row r="10892" spans="1:7" x14ac:dyDescent="0.2">
      <c r="A10892" t="s">
        <v>5768</v>
      </c>
      <c r="B10892" t="str">
        <f>"18505800128"</f>
        <v>18505800128</v>
      </c>
      <c r="C10892" t="str">
        <f>"142723198610162018"</f>
        <v>142723198610162018</v>
      </c>
      <c r="D10892" t="s">
        <v>11241</v>
      </c>
      <c r="E10892" t="s">
        <v>11242</v>
      </c>
      <c r="F10892" t="s">
        <v>0</v>
      </c>
      <c r="G10892" t="str">
        <f>"2018-10-14 12:38:21"</f>
        <v>2018-10-14 12:38:21</v>
      </c>
    </row>
    <row r="10893" spans="1:7" x14ac:dyDescent="0.2">
      <c r="A10893" t="s">
        <v>11243</v>
      </c>
      <c r="B10893" t="str">
        <f>"15027879345"</f>
        <v>15027879345</v>
      </c>
      <c r="C10893" t="str">
        <f>"130626199809276535"</f>
        <v>130626199809276535</v>
      </c>
      <c r="D10893" t="s">
        <v>1</v>
      </c>
      <c r="E10893" t="s">
        <v>1</v>
      </c>
      <c r="F10893" t="s">
        <v>0</v>
      </c>
      <c r="G10893" t="str">
        <f>"2018-10-14 12:41:49"</f>
        <v>2018-10-14 12:41:49</v>
      </c>
    </row>
    <row r="10894" spans="1:7" x14ac:dyDescent="0.2">
      <c r="A10894" t="s">
        <v>1</v>
      </c>
      <c r="B10894" t="str">
        <f>"13026992147"</f>
        <v>13026992147</v>
      </c>
      <c r="C10894" t="s">
        <v>1</v>
      </c>
      <c r="D10894" t="s">
        <v>1</v>
      </c>
      <c r="E10894" t="s">
        <v>1</v>
      </c>
      <c r="F10894" t="s">
        <v>0</v>
      </c>
      <c r="G10894" t="str">
        <f>"2018-10-14 12:35:59"</f>
        <v>2018-10-14 12:35:59</v>
      </c>
    </row>
    <row r="10895" spans="1:7" x14ac:dyDescent="0.2">
      <c r="A10895" t="s">
        <v>1</v>
      </c>
      <c r="B10895" t="str">
        <f>"15115263000"</f>
        <v>15115263000</v>
      </c>
      <c r="C10895" t="s">
        <v>1</v>
      </c>
      <c r="D10895" t="s">
        <v>1</v>
      </c>
      <c r="E10895" t="s">
        <v>1</v>
      </c>
      <c r="F10895" t="s">
        <v>0</v>
      </c>
      <c r="G10895" t="str">
        <f>"2018-10-14 12:35:47"</f>
        <v>2018-10-14 12:35:47</v>
      </c>
    </row>
    <row r="10896" spans="1:7" x14ac:dyDescent="0.2">
      <c r="A10896" t="s">
        <v>287</v>
      </c>
      <c r="B10896" t="str">
        <f>"18733047976"</f>
        <v>18733047976</v>
      </c>
      <c r="C10896" t="str">
        <f>"130983199009152431"</f>
        <v>130983199009152431</v>
      </c>
      <c r="D10896" t="s">
        <v>1</v>
      </c>
      <c r="E10896" t="s">
        <v>1</v>
      </c>
      <c r="F10896" t="s">
        <v>0</v>
      </c>
      <c r="G10896" t="str">
        <f>"2018-10-14 12:36:34"</f>
        <v>2018-10-14 12:36:34</v>
      </c>
    </row>
    <row r="10897" spans="1:7" x14ac:dyDescent="0.2">
      <c r="A10897" t="s">
        <v>11244</v>
      </c>
      <c r="B10897" t="str">
        <f>"15894496759"</f>
        <v>15894496759</v>
      </c>
      <c r="C10897" t="str">
        <f>"532724199601202413"</f>
        <v>532724199601202413</v>
      </c>
      <c r="D10897" t="s">
        <v>1</v>
      </c>
      <c r="E10897" t="s">
        <v>1</v>
      </c>
      <c r="F10897" t="s">
        <v>0</v>
      </c>
      <c r="G10897" t="str">
        <f>"2018-10-14 12:36:53"</f>
        <v>2018-10-14 12:36:53</v>
      </c>
    </row>
    <row r="10898" spans="1:7" x14ac:dyDescent="0.2">
      <c r="A10898" t="s">
        <v>532</v>
      </c>
      <c r="B10898" t="str">
        <f>"13599522686"</f>
        <v>13599522686</v>
      </c>
      <c r="C10898" t="str">
        <f>"350583198104072645"</f>
        <v>350583198104072645</v>
      </c>
      <c r="D10898" t="s">
        <v>1</v>
      </c>
      <c r="E10898" t="s">
        <v>1</v>
      </c>
      <c r="F10898" t="s">
        <v>0</v>
      </c>
      <c r="G10898" t="str">
        <f>"2018-10-14 14:05:00"</f>
        <v>2018-10-14 14:05:00</v>
      </c>
    </row>
    <row r="10899" spans="1:7" x14ac:dyDescent="0.2">
      <c r="A10899" t="s">
        <v>11245</v>
      </c>
      <c r="B10899" t="str">
        <f>"13859594532"</f>
        <v>13859594532</v>
      </c>
      <c r="C10899" t="str">
        <f>"350823198505061023"</f>
        <v>350823198505061023</v>
      </c>
      <c r="D10899" t="s">
        <v>1</v>
      </c>
      <c r="E10899" t="s">
        <v>1</v>
      </c>
      <c r="F10899" t="s">
        <v>0</v>
      </c>
      <c r="G10899" t="str">
        <f>"2018-10-14 12:46:11"</f>
        <v>2018-10-14 12:46:11</v>
      </c>
    </row>
    <row r="10900" spans="1:7" x14ac:dyDescent="0.2">
      <c r="A10900" t="s">
        <v>1</v>
      </c>
      <c r="B10900" t="str">
        <f>"15061799567"</f>
        <v>15061799567</v>
      </c>
      <c r="C10900" t="s">
        <v>1</v>
      </c>
      <c r="D10900" t="s">
        <v>1</v>
      </c>
      <c r="E10900" t="s">
        <v>1</v>
      </c>
      <c r="F10900" t="s">
        <v>0</v>
      </c>
      <c r="G10900" t="str">
        <f>"2018-10-14 12:33:47"</f>
        <v>2018-10-14 12:33:47</v>
      </c>
    </row>
    <row r="10901" spans="1:7" x14ac:dyDescent="0.2">
      <c r="A10901" t="s">
        <v>1</v>
      </c>
      <c r="B10901" t="str">
        <f>"15279043336"</f>
        <v>15279043336</v>
      </c>
      <c r="C10901" t="s">
        <v>1</v>
      </c>
      <c r="D10901" t="s">
        <v>1</v>
      </c>
      <c r="E10901" t="s">
        <v>1</v>
      </c>
      <c r="F10901" t="s">
        <v>0</v>
      </c>
      <c r="G10901" t="str">
        <f>"2018-10-14 12:33:28"</f>
        <v>2018-10-14 12:33:28</v>
      </c>
    </row>
    <row r="10902" spans="1:7" x14ac:dyDescent="0.2">
      <c r="A10902" t="s">
        <v>11246</v>
      </c>
      <c r="B10902" t="str">
        <f>"15333638908"</f>
        <v>15333638908</v>
      </c>
      <c r="C10902" t="str">
        <f>"14030319660126003X"</f>
        <v>14030319660126003X</v>
      </c>
      <c r="D10902" t="s">
        <v>1</v>
      </c>
      <c r="E10902" t="s">
        <v>1</v>
      </c>
      <c r="F10902" t="s">
        <v>0</v>
      </c>
      <c r="G10902" t="str">
        <f>"2018-10-14 12:34:34"</f>
        <v>2018-10-14 12:34:34</v>
      </c>
    </row>
    <row r="10903" spans="1:7" x14ac:dyDescent="0.2">
      <c r="A10903" t="s">
        <v>1225</v>
      </c>
      <c r="B10903" t="str">
        <f>"15961289335"</f>
        <v>15961289335</v>
      </c>
      <c r="C10903" t="str">
        <f>"610422199211032972"</f>
        <v>610422199211032972</v>
      </c>
      <c r="D10903" t="s">
        <v>1</v>
      </c>
      <c r="E10903" t="s">
        <v>1</v>
      </c>
      <c r="F10903" t="s">
        <v>0</v>
      </c>
      <c r="G10903" t="str">
        <f>"2018-10-14 12:43:03"</f>
        <v>2018-10-14 12:43:03</v>
      </c>
    </row>
    <row r="10904" spans="1:7" x14ac:dyDescent="0.2">
      <c r="A10904" t="s">
        <v>1</v>
      </c>
      <c r="B10904" t="str">
        <f>"15056811007"</f>
        <v>15056811007</v>
      </c>
      <c r="C10904" t="s">
        <v>1</v>
      </c>
      <c r="D10904" t="s">
        <v>1</v>
      </c>
      <c r="E10904" t="s">
        <v>1</v>
      </c>
      <c r="F10904" t="s">
        <v>0</v>
      </c>
      <c r="G10904" t="str">
        <f>"2018-10-14 15:27:22"</f>
        <v>2018-10-14 15:27:22</v>
      </c>
    </row>
    <row r="10905" spans="1:7" x14ac:dyDescent="0.2">
      <c r="A10905" t="s">
        <v>11247</v>
      </c>
      <c r="B10905" t="str">
        <f>"15928050173"</f>
        <v>15928050173</v>
      </c>
      <c r="C10905" t="str">
        <f>"510122199908166030"</f>
        <v>510122199908166030</v>
      </c>
      <c r="D10905" t="s">
        <v>1</v>
      </c>
      <c r="E10905" t="s">
        <v>1</v>
      </c>
      <c r="F10905" t="s">
        <v>0</v>
      </c>
      <c r="G10905" t="str">
        <f>"2018-10-14 12:34:06"</f>
        <v>2018-10-14 12:34:06</v>
      </c>
    </row>
    <row r="10906" spans="1:7" x14ac:dyDescent="0.2">
      <c r="A10906" t="s">
        <v>11248</v>
      </c>
      <c r="B10906" t="str">
        <f>"15073231373"</f>
        <v>15073231373</v>
      </c>
      <c r="C10906" t="str">
        <f>"430381198604238118"</f>
        <v>430381198604238118</v>
      </c>
      <c r="D10906" t="s">
        <v>11249</v>
      </c>
      <c r="E10906" t="s">
        <v>11250</v>
      </c>
      <c r="F10906" t="s">
        <v>0</v>
      </c>
      <c r="G10906" t="str">
        <f>"2018-10-14 12:32:06"</f>
        <v>2018-10-14 12:32:06</v>
      </c>
    </row>
    <row r="10907" spans="1:7" x14ac:dyDescent="0.2">
      <c r="A10907" t="s">
        <v>11251</v>
      </c>
      <c r="B10907" t="str">
        <f>"18769931851"</f>
        <v>18769931851</v>
      </c>
      <c r="C10907" t="str">
        <f>"371329198701093642"</f>
        <v>371329198701093642</v>
      </c>
      <c r="D10907" t="s">
        <v>1</v>
      </c>
      <c r="E10907" t="s">
        <v>1</v>
      </c>
      <c r="F10907" t="s">
        <v>0</v>
      </c>
      <c r="G10907" t="str">
        <f>"2018-10-14 12:32:54"</f>
        <v>2018-10-14 12:32:54</v>
      </c>
    </row>
    <row r="10908" spans="1:7" x14ac:dyDescent="0.2">
      <c r="A10908" t="s">
        <v>1</v>
      </c>
      <c r="B10908" t="str">
        <f>"15554257975"</f>
        <v>15554257975</v>
      </c>
      <c r="C10908" t="s">
        <v>1</v>
      </c>
      <c r="D10908" t="s">
        <v>1</v>
      </c>
      <c r="E10908" t="s">
        <v>1</v>
      </c>
      <c r="F10908" t="s">
        <v>0</v>
      </c>
      <c r="G10908" t="str">
        <f>"2018-10-14 12:31:54"</f>
        <v>2018-10-14 12:31:54</v>
      </c>
    </row>
    <row r="10909" spans="1:7" x14ac:dyDescent="0.2">
      <c r="A10909" t="s">
        <v>1</v>
      </c>
      <c r="B10909" t="str">
        <f>"15118793638"</f>
        <v>15118793638</v>
      </c>
      <c r="C10909" t="s">
        <v>1</v>
      </c>
      <c r="D10909" t="s">
        <v>1</v>
      </c>
      <c r="E10909" t="s">
        <v>1</v>
      </c>
      <c r="F10909" t="s">
        <v>0</v>
      </c>
      <c r="G10909" t="str">
        <f>"2018-10-14 12:31:38"</f>
        <v>2018-10-14 12:31:38</v>
      </c>
    </row>
    <row r="10910" spans="1:7" x14ac:dyDescent="0.2">
      <c r="A10910" t="s">
        <v>1</v>
      </c>
      <c r="B10910" t="str">
        <f>"13655089511"</f>
        <v>13655089511</v>
      </c>
      <c r="C10910" t="s">
        <v>1</v>
      </c>
      <c r="D10910" t="s">
        <v>1</v>
      </c>
      <c r="E10910" t="s">
        <v>1</v>
      </c>
      <c r="F10910" t="s">
        <v>0</v>
      </c>
      <c r="G10910" t="str">
        <f>"2018-10-14 12:30:59"</f>
        <v>2018-10-14 12:30:59</v>
      </c>
    </row>
    <row r="10911" spans="1:7" x14ac:dyDescent="0.2">
      <c r="A10911" t="s">
        <v>438</v>
      </c>
      <c r="B10911" t="str">
        <f>"13930221395"</f>
        <v>13930221395</v>
      </c>
      <c r="C10911" t="str">
        <f>"131022198601035933"</f>
        <v>131022198601035933</v>
      </c>
      <c r="D10911" t="s">
        <v>1</v>
      </c>
      <c r="E10911" t="s">
        <v>1</v>
      </c>
      <c r="F10911" t="s">
        <v>0</v>
      </c>
      <c r="G10911" t="str">
        <f>"2018-10-21 14:54:17"</f>
        <v>2018-10-21 14:54:17</v>
      </c>
    </row>
    <row r="10912" spans="1:7" x14ac:dyDescent="0.2">
      <c r="A10912" t="s">
        <v>10044</v>
      </c>
      <c r="B10912" t="str">
        <f>"18885172920"</f>
        <v>18885172920</v>
      </c>
      <c r="C10912" t="str">
        <f>"520102199011252010"</f>
        <v>520102199011252010</v>
      </c>
      <c r="D10912" t="s">
        <v>11252</v>
      </c>
      <c r="E10912" t="s">
        <v>11253</v>
      </c>
      <c r="F10912" t="s">
        <v>0</v>
      </c>
      <c r="G10912" t="str">
        <f>"2018-10-14 15:25:49"</f>
        <v>2018-10-14 15:25:49</v>
      </c>
    </row>
    <row r="10913" spans="1:7" x14ac:dyDescent="0.2">
      <c r="A10913" t="s">
        <v>260</v>
      </c>
      <c r="B10913" t="str">
        <f>"18047867788"</f>
        <v>18047867788</v>
      </c>
      <c r="C10913" t="str">
        <f>"152824198912283919"</f>
        <v>152824198912283919</v>
      </c>
      <c r="D10913" t="s">
        <v>11254</v>
      </c>
      <c r="E10913" t="s">
        <v>11255</v>
      </c>
      <c r="F10913" t="s">
        <v>0</v>
      </c>
      <c r="G10913" t="str">
        <f>"2018-10-14 12:30:48"</f>
        <v>2018-10-14 12:30:48</v>
      </c>
    </row>
    <row r="10914" spans="1:7" x14ac:dyDescent="0.2">
      <c r="A10914" t="s">
        <v>11256</v>
      </c>
      <c r="B10914" t="str">
        <f>"13666054920"</f>
        <v>13666054920</v>
      </c>
      <c r="C10914" t="str">
        <f>"53212819980122373X"</f>
        <v>53212819980122373X</v>
      </c>
      <c r="D10914" t="s">
        <v>11257</v>
      </c>
      <c r="E10914" t="s">
        <v>11258</v>
      </c>
      <c r="F10914" t="s">
        <v>0</v>
      </c>
      <c r="G10914" t="str">
        <f>"2018-10-14 12:47:24"</f>
        <v>2018-10-14 12:47:24</v>
      </c>
    </row>
    <row r="10915" spans="1:7" x14ac:dyDescent="0.2">
      <c r="A10915" t="s">
        <v>11259</v>
      </c>
      <c r="B10915" t="str">
        <f>"15290934131"</f>
        <v>15290934131</v>
      </c>
      <c r="C10915" t="str">
        <f>"411023199102032015"</f>
        <v>411023199102032015</v>
      </c>
      <c r="D10915" t="s">
        <v>1</v>
      </c>
      <c r="E10915" t="s">
        <v>1</v>
      </c>
      <c r="F10915" t="s">
        <v>0</v>
      </c>
      <c r="G10915" t="str">
        <f>"2018-10-14 14:27:43"</f>
        <v>2018-10-14 14:27:43</v>
      </c>
    </row>
    <row r="10916" spans="1:7" x14ac:dyDescent="0.2">
      <c r="A10916" t="s">
        <v>11260</v>
      </c>
      <c r="B10916" t="str">
        <f>"15369572622"</f>
        <v>15369572622</v>
      </c>
      <c r="C10916" t="str">
        <f>"130204198605100613"</f>
        <v>130204198605100613</v>
      </c>
      <c r="D10916" t="s">
        <v>1</v>
      </c>
      <c r="E10916" t="s">
        <v>1</v>
      </c>
      <c r="F10916" t="s">
        <v>0</v>
      </c>
      <c r="G10916" t="str">
        <f>"2018-10-14 12:30:34"</f>
        <v>2018-10-14 12:30:34</v>
      </c>
    </row>
    <row r="10917" spans="1:7" x14ac:dyDescent="0.2">
      <c r="A10917" t="s">
        <v>1875</v>
      </c>
      <c r="B10917" t="str">
        <f>"13865352047"</f>
        <v>13865352047</v>
      </c>
      <c r="C10917" t="str">
        <f>"342502198903256020"</f>
        <v>342502198903256020</v>
      </c>
      <c r="D10917" t="s">
        <v>1</v>
      </c>
      <c r="E10917" t="s">
        <v>1</v>
      </c>
      <c r="F10917" t="s">
        <v>0</v>
      </c>
      <c r="G10917" t="str">
        <f>"2018-10-14 12:33:33"</f>
        <v>2018-10-14 12:33:33</v>
      </c>
    </row>
    <row r="10918" spans="1:7" x14ac:dyDescent="0.2">
      <c r="A10918" t="s">
        <v>1</v>
      </c>
      <c r="B10918" t="str">
        <f>"13666073317"</f>
        <v>13666073317</v>
      </c>
      <c r="C10918" t="s">
        <v>1</v>
      </c>
      <c r="D10918" t="s">
        <v>1</v>
      </c>
      <c r="E10918" t="s">
        <v>1</v>
      </c>
      <c r="F10918" t="s">
        <v>0</v>
      </c>
      <c r="G10918" t="str">
        <f>"2018-10-14 12:28:14"</f>
        <v>2018-10-14 12:28:14</v>
      </c>
    </row>
    <row r="10919" spans="1:7" x14ac:dyDescent="0.2">
      <c r="A10919" t="s">
        <v>11261</v>
      </c>
      <c r="B10919" t="str">
        <f>"17878772962"</f>
        <v>17878772962</v>
      </c>
      <c r="C10919" t="str">
        <f>"352231199105292459"</f>
        <v>352231199105292459</v>
      </c>
      <c r="D10919" t="s">
        <v>11262</v>
      </c>
      <c r="E10919" t="s">
        <v>11263</v>
      </c>
      <c r="F10919" t="s">
        <v>0</v>
      </c>
      <c r="G10919" t="str">
        <f>"2018-10-14 12:29:58"</f>
        <v>2018-10-14 12:29:58</v>
      </c>
    </row>
    <row r="10920" spans="1:7" x14ac:dyDescent="0.2">
      <c r="A10920" t="s">
        <v>11264</v>
      </c>
      <c r="B10920" t="str">
        <f>"13824752762"</f>
        <v>13824752762</v>
      </c>
      <c r="C10920" t="str">
        <f>"510525198407033981"</f>
        <v>510525198407033981</v>
      </c>
      <c r="D10920" t="s">
        <v>1</v>
      </c>
      <c r="E10920" t="s">
        <v>1</v>
      </c>
      <c r="F10920" t="s">
        <v>0</v>
      </c>
      <c r="G10920" t="str">
        <f>"2018-10-14 12:40:04"</f>
        <v>2018-10-14 12:40:04</v>
      </c>
    </row>
    <row r="10921" spans="1:7" x14ac:dyDescent="0.2">
      <c r="A10921" t="s">
        <v>1</v>
      </c>
      <c r="B10921" t="str">
        <f>"13729128268"</f>
        <v>13729128268</v>
      </c>
      <c r="C10921" t="s">
        <v>1</v>
      </c>
      <c r="D10921" t="s">
        <v>1</v>
      </c>
      <c r="E10921" t="s">
        <v>1</v>
      </c>
      <c r="F10921" t="s">
        <v>0</v>
      </c>
      <c r="G10921" t="str">
        <f>"2018-10-14 12:27:04"</f>
        <v>2018-10-14 12:27:04</v>
      </c>
    </row>
    <row r="10922" spans="1:7" x14ac:dyDescent="0.2">
      <c r="A10922" t="s">
        <v>11265</v>
      </c>
      <c r="B10922" t="str">
        <f>"18600527214"</f>
        <v>18600527214</v>
      </c>
      <c r="C10922" t="str">
        <f>"11022119840723121X"</f>
        <v>11022119840723121X</v>
      </c>
      <c r="D10922" t="s">
        <v>1</v>
      </c>
      <c r="E10922" t="s">
        <v>1</v>
      </c>
      <c r="F10922" t="s">
        <v>0</v>
      </c>
      <c r="G10922" t="str">
        <f>"2018-10-14 16:23:15"</f>
        <v>2018-10-14 16:23:15</v>
      </c>
    </row>
    <row r="10923" spans="1:7" x14ac:dyDescent="0.2">
      <c r="A10923" t="s">
        <v>1</v>
      </c>
      <c r="B10923" t="str">
        <f>"17171049345"</f>
        <v>17171049345</v>
      </c>
      <c r="C10923" t="s">
        <v>1</v>
      </c>
      <c r="D10923" t="s">
        <v>1</v>
      </c>
      <c r="E10923" t="s">
        <v>1</v>
      </c>
      <c r="F10923" t="s">
        <v>0</v>
      </c>
      <c r="G10923" t="str">
        <f>"2018-10-14 12:25:34"</f>
        <v>2018-10-14 12:25:34</v>
      </c>
    </row>
    <row r="10924" spans="1:7" x14ac:dyDescent="0.2">
      <c r="A10924" t="s">
        <v>11266</v>
      </c>
      <c r="B10924" t="str">
        <f>"15159920277"</f>
        <v>15159920277</v>
      </c>
      <c r="C10924" t="str">
        <f>"350783198404114035"</f>
        <v>350783198404114035</v>
      </c>
      <c r="D10924" t="s">
        <v>1</v>
      </c>
      <c r="E10924" t="s">
        <v>1</v>
      </c>
      <c r="F10924" t="s">
        <v>0</v>
      </c>
      <c r="G10924" t="str">
        <f>"2018-10-14 12:26:33"</f>
        <v>2018-10-14 12:26:33</v>
      </c>
    </row>
    <row r="10925" spans="1:7" x14ac:dyDescent="0.2">
      <c r="A10925" t="s">
        <v>11267</v>
      </c>
      <c r="B10925" t="str">
        <f>"18608772526"</f>
        <v>18608772526</v>
      </c>
      <c r="C10925" t="str">
        <f>"530421199710151937"</f>
        <v>530421199710151937</v>
      </c>
      <c r="D10925" t="s">
        <v>1</v>
      </c>
      <c r="E10925" t="s">
        <v>1</v>
      </c>
      <c r="F10925" t="s">
        <v>0</v>
      </c>
      <c r="G10925" t="str">
        <f>"2018-10-14 12:26:33"</f>
        <v>2018-10-14 12:26:33</v>
      </c>
    </row>
    <row r="10926" spans="1:7" x14ac:dyDescent="0.2">
      <c r="A10926" t="s">
        <v>11268</v>
      </c>
      <c r="B10926" t="str">
        <f>"18011231682"</f>
        <v>18011231682</v>
      </c>
      <c r="C10926" t="str">
        <f>"513022198503266810"</f>
        <v>513022198503266810</v>
      </c>
      <c r="D10926" t="s">
        <v>1</v>
      </c>
      <c r="E10926" t="s">
        <v>1</v>
      </c>
      <c r="F10926" t="s">
        <v>0</v>
      </c>
      <c r="G10926" t="str">
        <f>"2018-10-14 12:26:34"</f>
        <v>2018-10-14 12:26:34</v>
      </c>
    </row>
    <row r="10927" spans="1:7" x14ac:dyDescent="0.2">
      <c r="A10927" t="s">
        <v>11269</v>
      </c>
      <c r="B10927" t="str">
        <f>"13836802257"</f>
        <v>13836802257</v>
      </c>
      <c r="C10927" t="str">
        <f>"230605199104112620"</f>
        <v>230605199104112620</v>
      </c>
      <c r="D10927" t="s">
        <v>1</v>
      </c>
      <c r="E10927" t="s">
        <v>1</v>
      </c>
      <c r="F10927" t="s">
        <v>0</v>
      </c>
      <c r="G10927" t="str">
        <f>"2018-10-14 12:25:23"</f>
        <v>2018-10-14 12:25:23</v>
      </c>
    </row>
    <row r="10928" spans="1:7" x14ac:dyDescent="0.2">
      <c r="A10928" t="s">
        <v>1</v>
      </c>
      <c r="B10928" t="str">
        <f>"13632096942"</f>
        <v>13632096942</v>
      </c>
      <c r="C10928" t="s">
        <v>1</v>
      </c>
      <c r="D10928" t="s">
        <v>1</v>
      </c>
      <c r="E10928" t="s">
        <v>1</v>
      </c>
      <c r="F10928" t="s">
        <v>0</v>
      </c>
      <c r="G10928" t="str">
        <f>"2018-10-14 12:23:47"</f>
        <v>2018-10-14 12:23:47</v>
      </c>
    </row>
    <row r="10929" spans="1:7" x14ac:dyDescent="0.2">
      <c r="A10929" t="s">
        <v>11270</v>
      </c>
      <c r="B10929" t="str">
        <f>"18921422582"</f>
        <v>18921422582</v>
      </c>
      <c r="C10929" t="str">
        <f>"420626197705174534"</f>
        <v>420626197705174534</v>
      </c>
      <c r="D10929" t="s">
        <v>1</v>
      </c>
      <c r="E10929" t="s">
        <v>1</v>
      </c>
      <c r="F10929" t="s">
        <v>0</v>
      </c>
      <c r="G10929" t="str">
        <f>"2018-10-14 12:25:32"</f>
        <v>2018-10-14 12:25:32</v>
      </c>
    </row>
    <row r="10930" spans="1:7" x14ac:dyDescent="0.2">
      <c r="A10930" t="s">
        <v>1</v>
      </c>
      <c r="B10930" t="str">
        <f>"13387766263"</f>
        <v>13387766263</v>
      </c>
      <c r="C10930" t="s">
        <v>1</v>
      </c>
      <c r="D10930" t="s">
        <v>1</v>
      </c>
      <c r="E10930" t="s">
        <v>1</v>
      </c>
      <c r="F10930" t="s">
        <v>0</v>
      </c>
      <c r="G10930" t="str">
        <f>"2018-10-14 12:23:07"</f>
        <v>2018-10-14 12:23:07</v>
      </c>
    </row>
    <row r="10931" spans="1:7" x14ac:dyDescent="0.2">
      <c r="A10931" t="s">
        <v>11271</v>
      </c>
      <c r="B10931" t="str">
        <f>"13546160641"</f>
        <v>13546160641</v>
      </c>
      <c r="C10931" t="str">
        <f>"14041119810104241X"</f>
        <v>14041119810104241X</v>
      </c>
      <c r="D10931" t="s">
        <v>11272</v>
      </c>
      <c r="E10931" t="s">
        <v>11273</v>
      </c>
      <c r="F10931" t="s">
        <v>0</v>
      </c>
      <c r="G10931" t="str">
        <f>"2018-10-14 16:41:13"</f>
        <v>2018-10-14 16:41:13</v>
      </c>
    </row>
    <row r="10932" spans="1:7" x14ac:dyDescent="0.2">
      <c r="A10932" t="s">
        <v>11274</v>
      </c>
      <c r="B10932" t="str">
        <f>"18929602293"</f>
        <v>18929602293</v>
      </c>
      <c r="C10932" t="str">
        <f>"440521197909071912"</f>
        <v>440521197909071912</v>
      </c>
      <c r="D10932" t="s">
        <v>11275</v>
      </c>
      <c r="E10932" t="s">
        <v>11275</v>
      </c>
      <c r="F10932" t="s">
        <v>0</v>
      </c>
      <c r="G10932" t="str">
        <f>"2018-10-14 12:24:58"</f>
        <v>2018-10-14 12:24:58</v>
      </c>
    </row>
    <row r="10933" spans="1:7" x14ac:dyDescent="0.2">
      <c r="A10933" t="s">
        <v>1</v>
      </c>
      <c r="B10933" t="str">
        <f>"13008864640"</f>
        <v>13008864640</v>
      </c>
      <c r="C10933" t="s">
        <v>1</v>
      </c>
      <c r="D10933" t="s">
        <v>1</v>
      </c>
      <c r="E10933" t="s">
        <v>1</v>
      </c>
      <c r="F10933" t="s">
        <v>0</v>
      </c>
      <c r="G10933" t="str">
        <f>"2018-10-14 12:21:25"</f>
        <v>2018-10-14 12:21:25</v>
      </c>
    </row>
    <row r="10934" spans="1:7" x14ac:dyDescent="0.2">
      <c r="A10934" t="s">
        <v>11276</v>
      </c>
      <c r="B10934" t="str">
        <f>"18234333474"</f>
        <v>18234333474</v>
      </c>
      <c r="C10934" t="str">
        <f>"220625198708081510"</f>
        <v>220625198708081510</v>
      </c>
      <c r="D10934" t="s">
        <v>1</v>
      </c>
      <c r="E10934" t="s">
        <v>1</v>
      </c>
      <c r="F10934" t="s">
        <v>0</v>
      </c>
      <c r="G10934" t="str">
        <f>"2018-10-14 12:24:17"</f>
        <v>2018-10-14 12:24:17</v>
      </c>
    </row>
    <row r="10935" spans="1:7" x14ac:dyDescent="0.2">
      <c r="A10935" t="s">
        <v>1</v>
      </c>
      <c r="B10935" t="str">
        <f>"17124126371"</f>
        <v>17124126371</v>
      </c>
      <c r="C10935" t="s">
        <v>1</v>
      </c>
      <c r="D10935" t="s">
        <v>1</v>
      </c>
      <c r="E10935" t="s">
        <v>1</v>
      </c>
      <c r="F10935" t="s">
        <v>0</v>
      </c>
      <c r="G10935" t="str">
        <f>"2018-10-14 12:20:29"</f>
        <v>2018-10-14 12:20:29</v>
      </c>
    </row>
    <row r="10936" spans="1:7" x14ac:dyDescent="0.2">
      <c r="A10936" t="s">
        <v>11277</v>
      </c>
      <c r="B10936" t="str">
        <f>"15120158768"</f>
        <v>15120158768</v>
      </c>
      <c r="C10936" t="str">
        <f>"522101198108082012"</f>
        <v>522101198108082012</v>
      </c>
      <c r="D10936" t="s">
        <v>1</v>
      </c>
      <c r="E10936" t="s">
        <v>1</v>
      </c>
      <c r="F10936" t="s">
        <v>0</v>
      </c>
      <c r="G10936" t="str">
        <f>"2018-10-14 12:21:09"</f>
        <v>2018-10-14 12:21:09</v>
      </c>
    </row>
    <row r="10937" spans="1:7" x14ac:dyDescent="0.2">
      <c r="A10937" t="s">
        <v>11278</v>
      </c>
      <c r="B10937" t="str">
        <f>"15928732785"</f>
        <v>15928732785</v>
      </c>
      <c r="C10937" t="str">
        <f>"522126198507080011"</f>
        <v>522126198507080011</v>
      </c>
      <c r="D10937" t="s">
        <v>1</v>
      </c>
      <c r="E10937" t="s">
        <v>1</v>
      </c>
      <c r="F10937" t="s">
        <v>0</v>
      </c>
      <c r="G10937" t="str">
        <f>"2018-10-14 12:22:00"</f>
        <v>2018-10-14 12:22:00</v>
      </c>
    </row>
    <row r="10938" spans="1:7" x14ac:dyDescent="0.2">
      <c r="A10938" t="s">
        <v>11279</v>
      </c>
      <c r="B10938" t="str">
        <f>"15337390007"</f>
        <v>15337390007</v>
      </c>
      <c r="C10938" t="str">
        <f>"420704198708280019"</f>
        <v>420704198708280019</v>
      </c>
      <c r="D10938" t="s">
        <v>11280</v>
      </c>
      <c r="E10938" t="s">
        <v>11281</v>
      </c>
      <c r="F10938" t="s">
        <v>0</v>
      </c>
      <c r="G10938" t="str">
        <f>"2018-10-14 12:21:08"</f>
        <v>2018-10-14 12:21:08</v>
      </c>
    </row>
    <row r="10939" spans="1:7" x14ac:dyDescent="0.2">
      <c r="A10939" t="s">
        <v>1</v>
      </c>
      <c r="B10939" t="str">
        <f>"18973305003"</f>
        <v>18973305003</v>
      </c>
      <c r="C10939" t="s">
        <v>1</v>
      </c>
      <c r="D10939" t="s">
        <v>1</v>
      </c>
      <c r="E10939" t="s">
        <v>1</v>
      </c>
      <c r="F10939" t="s">
        <v>0</v>
      </c>
      <c r="G10939" t="str">
        <f>"2018-10-14 12:20:13"</f>
        <v>2018-10-14 12:20:13</v>
      </c>
    </row>
    <row r="10940" spans="1:7" x14ac:dyDescent="0.2">
      <c r="A10940" t="s">
        <v>1</v>
      </c>
      <c r="B10940" t="str">
        <f>"18962208219"</f>
        <v>18962208219</v>
      </c>
      <c r="C10940" t="s">
        <v>1</v>
      </c>
      <c r="D10940" t="s">
        <v>1</v>
      </c>
      <c r="E10940" t="s">
        <v>1</v>
      </c>
      <c r="F10940" t="s">
        <v>0</v>
      </c>
      <c r="G10940" t="str">
        <f>"2018-10-14 12:19:07"</f>
        <v>2018-10-14 12:19:07</v>
      </c>
    </row>
    <row r="10941" spans="1:7" x14ac:dyDescent="0.2">
      <c r="A10941" t="s">
        <v>11282</v>
      </c>
      <c r="B10941" t="str">
        <f>"13488967002"</f>
        <v>13488967002</v>
      </c>
      <c r="C10941" t="str">
        <f>"510121198902276473"</f>
        <v>510121198902276473</v>
      </c>
      <c r="D10941" t="s">
        <v>1</v>
      </c>
      <c r="E10941" t="s">
        <v>1</v>
      </c>
      <c r="F10941" t="s">
        <v>0</v>
      </c>
      <c r="G10941" t="str">
        <f>"2018-10-14 12:21:18"</f>
        <v>2018-10-14 12:21:18</v>
      </c>
    </row>
    <row r="10942" spans="1:7" x14ac:dyDescent="0.2">
      <c r="A10942" t="s">
        <v>1</v>
      </c>
      <c r="B10942" t="str">
        <f>"13312338786"</f>
        <v>13312338786</v>
      </c>
      <c r="C10942" t="s">
        <v>1</v>
      </c>
      <c r="D10942" t="s">
        <v>1</v>
      </c>
      <c r="E10942" t="s">
        <v>1</v>
      </c>
      <c r="F10942" t="s">
        <v>0</v>
      </c>
      <c r="G10942" t="str">
        <f>"2018-10-14 12:18:08"</f>
        <v>2018-10-14 12:18:08</v>
      </c>
    </row>
    <row r="10943" spans="1:7" x14ac:dyDescent="0.2">
      <c r="A10943" t="s">
        <v>1</v>
      </c>
      <c r="B10943" t="str">
        <f>"13859052562"</f>
        <v>13859052562</v>
      </c>
      <c r="C10943" t="s">
        <v>1</v>
      </c>
      <c r="D10943" t="s">
        <v>1</v>
      </c>
      <c r="E10943" t="s">
        <v>1</v>
      </c>
      <c r="F10943" t="s">
        <v>0</v>
      </c>
      <c r="G10943" t="str">
        <f>"2018-10-14 12:18:08"</f>
        <v>2018-10-14 12:18:08</v>
      </c>
    </row>
    <row r="10944" spans="1:7" x14ac:dyDescent="0.2">
      <c r="A10944" t="s">
        <v>786</v>
      </c>
      <c r="B10944" t="str">
        <f>"18996238797"</f>
        <v>18996238797</v>
      </c>
      <c r="C10944" t="str">
        <f>"510214196911043412"</f>
        <v>510214196911043412</v>
      </c>
      <c r="D10944" t="s">
        <v>11283</v>
      </c>
      <c r="E10944" t="s">
        <v>11284</v>
      </c>
      <c r="F10944" t="s">
        <v>0</v>
      </c>
      <c r="G10944" t="str">
        <f>"2018-10-14 13:21:52"</f>
        <v>2018-10-14 13:21:52</v>
      </c>
    </row>
    <row r="10945" spans="1:7" x14ac:dyDescent="0.2">
      <c r="A10945" t="s">
        <v>11285</v>
      </c>
      <c r="B10945" t="str">
        <f>"18752020100"</f>
        <v>18752020100</v>
      </c>
      <c r="C10945" t="str">
        <f>"140622199508059808"</f>
        <v>140622199508059808</v>
      </c>
      <c r="D10945" t="s">
        <v>1</v>
      </c>
      <c r="E10945" t="s">
        <v>1</v>
      </c>
      <c r="F10945" t="s">
        <v>0</v>
      </c>
      <c r="G10945" t="str">
        <f>"2018-10-28 11:22:25"</f>
        <v>2018-10-28 11:22:25</v>
      </c>
    </row>
    <row r="10946" spans="1:7" x14ac:dyDescent="0.2">
      <c r="A10946" t="s">
        <v>119</v>
      </c>
      <c r="B10946" t="str">
        <f>"15261526234"</f>
        <v>15261526234</v>
      </c>
      <c r="C10946" t="str">
        <f>"513022198103044899"</f>
        <v>513022198103044899</v>
      </c>
      <c r="D10946" t="s">
        <v>1</v>
      </c>
      <c r="E10946" t="s">
        <v>1</v>
      </c>
      <c r="F10946" t="s">
        <v>0</v>
      </c>
      <c r="G10946" t="str">
        <f>"2018-10-14 12:18:51"</f>
        <v>2018-10-14 12:18:51</v>
      </c>
    </row>
    <row r="10947" spans="1:7" x14ac:dyDescent="0.2">
      <c r="A10947" t="s">
        <v>1</v>
      </c>
      <c r="B10947" t="str">
        <f>"18094446999"</f>
        <v>18094446999</v>
      </c>
      <c r="C10947" t="s">
        <v>1</v>
      </c>
      <c r="D10947" t="s">
        <v>1</v>
      </c>
      <c r="E10947" t="s">
        <v>1</v>
      </c>
      <c r="F10947" t="s">
        <v>0</v>
      </c>
      <c r="G10947" t="str">
        <f>"2018-10-14 12:16:49"</f>
        <v>2018-10-14 12:16:49</v>
      </c>
    </row>
    <row r="10948" spans="1:7" x14ac:dyDescent="0.2">
      <c r="A10948" t="s">
        <v>11286</v>
      </c>
      <c r="B10948" t="str">
        <f>"13671069894"</f>
        <v>13671069894</v>
      </c>
      <c r="C10948" t="str">
        <f>"130824199508116018"</f>
        <v>130824199508116018</v>
      </c>
      <c r="D10948" t="s">
        <v>11287</v>
      </c>
      <c r="E10948" t="s">
        <v>11288</v>
      </c>
      <c r="F10948" t="s">
        <v>0</v>
      </c>
      <c r="G10948" t="str">
        <f>"2018-10-14 12:19:35"</f>
        <v>2018-10-14 12:19:35</v>
      </c>
    </row>
    <row r="10949" spans="1:7" x14ac:dyDescent="0.2">
      <c r="A10949" t="s">
        <v>3830</v>
      </c>
      <c r="B10949" t="str">
        <f>"15982398120"</f>
        <v>15982398120</v>
      </c>
      <c r="C10949" t="str">
        <f>"513822199303151136"</f>
        <v>513822199303151136</v>
      </c>
      <c r="D10949" t="s">
        <v>11289</v>
      </c>
      <c r="E10949" t="s">
        <v>11290</v>
      </c>
      <c r="F10949" t="s">
        <v>0</v>
      </c>
      <c r="G10949" t="str">
        <f>"2018-10-14 12:18:56"</f>
        <v>2018-10-14 12:18:56</v>
      </c>
    </row>
    <row r="10950" spans="1:7" x14ac:dyDescent="0.2">
      <c r="A10950" t="s">
        <v>11291</v>
      </c>
      <c r="B10950" t="str">
        <f>"18286555143"</f>
        <v>18286555143</v>
      </c>
      <c r="C10950" t="str">
        <f>"522633199504245015"</f>
        <v>522633199504245015</v>
      </c>
      <c r="D10950" t="s">
        <v>11292</v>
      </c>
      <c r="E10950" t="s">
        <v>11293</v>
      </c>
      <c r="F10950" t="s">
        <v>0</v>
      </c>
      <c r="G10950" t="str">
        <f>"2018-10-14 12:18:59"</f>
        <v>2018-10-14 12:18:59</v>
      </c>
    </row>
    <row r="10951" spans="1:7" x14ac:dyDescent="0.2">
      <c r="A10951" t="s">
        <v>1</v>
      </c>
      <c r="B10951" t="str">
        <f>"13806018757"</f>
        <v>13806018757</v>
      </c>
      <c r="C10951" t="s">
        <v>1</v>
      </c>
      <c r="D10951" t="s">
        <v>1</v>
      </c>
      <c r="E10951" t="s">
        <v>1</v>
      </c>
      <c r="F10951" t="s">
        <v>0</v>
      </c>
      <c r="G10951" t="str">
        <f>"2018-10-14 12:15:19"</f>
        <v>2018-10-14 12:15:19</v>
      </c>
    </row>
    <row r="10952" spans="1:7" x14ac:dyDescent="0.2">
      <c r="A10952" t="s">
        <v>11294</v>
      </c>
      <c r="B10952" t="str">
        <f>"17689698640"</f>
        <v>17689698640</v>
      </c>
      <c r="C10952" t="str">
        <f>"350583199604287436"</f>
        <v>350583199604287436</v>
      </c>
      <c r="D10952" t="s">
        <v>11295</v>
      </c>
      <c r="E10952" t="s">
        <v>11295</v>
      </c>
      <c r="F10952" t="s">
        <v>0</v>
      </c>
      <c r="G10952" t="str">
        <f>"2018-10-14 12:15:20"</f>
        <v>2018-10-14 12:15:20</v>
      </c>
    </row>
    <row r="10953" spans="1:7" x14ac:dyDescent="0.2">
      <c r="A10953" t="s">
        <v>11296</v>
      </c>
      <c r="B10953" t="str">
        <f>"13119110220"</f>
        <v>13119110220</v>
      </c>
      <c r="C10953" t="str">
        <f>"350524199307023055"</f>
        <v>350524199307023055</v>
      </c>
      <c r="D10953" t="s">
        <v>1</v>
      </c>
      <c r="E10953" t="s">
        <v>1</v>
      </c>
      <c r="F10953" t="s">
        <v>0</v>
      </c>
      <c r="G10953" t="str">
        <f>"2018-10-14 12:48:54"</f>
        <v>2018-10-14 12:48:54</v>
      </c>
    </row>
    <row r="10954" spans="1:7" x14ac:dyDescent="0.2">
      <c r="A10954" t="s">
        <v>11297</v>
      </c>
      <c r="B10954" t="str">
        <f>"15001220578"</f>
        <v>15001220578</v>
      </c>
      <c r="C10954" t="str">
        <f>"211204199108152012"</f>
        <v>211204199108152012</v>
      </c>
      <c r="D10954" t="s">
        <v>1</v>
      </c>
      <c r="E10954" t="s">
        <v>1</v>
      </c>
      <c r="F10954" t="s">
        <v>0</v>
      </c>
      <c r="G10954" t="str">
        <f>"2018-10-14 12:19:39"</f>
        <v>2018-10-14 12:19:39</v>
      </c>
    </row>
    <row r="10955" spans="1:7" x14ac:dyDescent="0.2">
      <c r="A10955" t="s">
        <v>11298</v>
      </c>
      <c r="B10955" t="str">
        <f>"13766211777"</f>
        <v>13766211777</v>
      </c>
      <c r="C10955" t="str">
        <f>"362425197909300035"</f>
        <v>362425197909300035</v>
      </c>
      <c r="D10955" t="s">
        <v>1</v>
      </c>
      <c r="E10955" t="s">
        <v>1</v>
      </c>
      <c r="F10955" t="s">
        <v>0</v>
      </c>
      <c r="G10955" t="str">
        <f>"2018-10-14 12:20:24"</f>
        <v>2018-10-14 12:20:24</v>
      </c>
    </row>
    <row r="10956" spans="1:7" x14ac:dyDescent="0.2">
      <c r="A10956" t="s">
        <v>1</v>
      </c>
      <c r="B10956" t="str">
        <f>"15918263277"</f>
        <v>15918263277</v>
      </c>
      <c r="C10956" t="s">
        <v>1</v>
      </c>
      <c r="D10956" t="s">
        <v>1</v>
      </c>
      <c r="E10956" t="s">
        <v>1</v>
      </c>
      <c r="F10956" t="s">
        <v>0</v>
      </c>
      <c r="G10956" t="str">
        <f>"2018-10-14 12:11:32"</f>
        <v>2018-10-14 12:11:32</v>
      </c>
    </row>
    <row r="10957" spans="1:7" x14ac:dyDescent="0.2">
      <c r="A10957" t="s">
        <v>11299</v>
      </c>
      <c r="B10957" t="str">
        <f>"18772661234"</f>
        <v>18772661234</v>
      </c>
      <c r="C10957" t="str">
        <f>"421023198603120010"</f>
        <v>421023198603120010</v>
      </c>
      <c r="D10957" t="s">
        <v>11300</v>
      </c>
      <c r="E10957" t="s">
        <v>11301</v>
      </c>
      <c r="F10957" t="s">
        <v>0</v>
      </c>
      <c r="G10957" t="str">
        <f>"2018-10-14 12:12:32"</f>
        <v>2018-10-14 12:12:32</v>
      </c>
    </row>
    <row r="10958" spans="1:7" x14ac:dyDescent="0.2">
      <c r="A10958" t="s">
        <v>11302</v>
      </c>
      <c r="B10958" t="str">
        <f>"17621104181"</f>
        <v>17621104181</v>
      </c>
      <c r="C10958" t="str">
        <f>"37032119951104181X"</f>
        <v>37032119951104181X</v>
      </c>
      <c r="D10958" t="s">
        <v>11303</v>
      </c>
      <c r="E10958" t="s">
        <v>11304</v>
      </c>
      <c r="F10958" t="s">
        <v>0</v>
      </c>
      <c r="G10958" t="str">
        <f>"2018-10-14 12:12:59"</f>
        <v>2018-10-14 12:12:59</v>
      </c>
    </row>
    <row r="10959" spans="1:7" x14ac:dyDescent="0.2">
      <c r="A10959" t="s">
        <v>1</v>
      </c>
      <c r="B10959" t="str">
        <f>"17759616118"</f>
        <v>17759616118</v>
      </c>
      <c r="C10959" t="s">
        <v>1</v>
      </c>
      <c r="D10959" t="s">
        <v>1</v>
      </c>
      <c r="E10959" t="s">
        <v>1</v>
      </c>
      <c r="F10959" t="s">
        <v>0</v>
      </c>
      <c r="G10959" t="str">
        <f>"2018-10-14 12:10:47"</f>
        <v>2018-10-14 12:10:47</v>
      </c>
    </row>
    <row r="10960" spans="1:7" x14ac:dyDescent="0.2">
      <c r="A10960" t="s">
        <v>1</v>
      </c>
      <c r="B10960" t="str">
        <f>"18992299421"</f>
        <v>18992299421</v>
      </c>
      <c r="C10960" t="s">
        <v>1</v>
      </c>
      <c r="D10960" t="s">
        <v>1</v>
      </c>
      <c r="E10960" t="s">
        <v>1</v>
      </c>
      <c r="F10960" t="s">
        <v>0</v>
      </c>
      <c r="G10960" t="str">
        <f>"2018-10-14 12:10:02"</f>
        <v>2018-10-14 12:10:02</v>
      </c>
    </row>
    <row r="10961" spans="1:7" x14ac:dyDescent="0.2">
      <c r="A10961" t="s">
        <v>11305</v>
      </c>
      <c r="B10961" t="str">
        <f>"17373530141"</f>
        <v>17373530141</v>
      </c>
      <c r="C10961" t="str">
        <f>"431022198909190375"</f>
        <v>431022198909190375</v>
      </c>
      <c r="D10961" t="s">
        <v>1</v>
      </c>
      <c r="E10961" t="s">
        <v>1</v>
      </c>
      <c r="F10961" t="s">
        <v>0</v>
      </c>
      <c r="G10961" t="str">
        <f>"2018-11-01 11:35:55"</f>
        <v>2018-11-01 11:35:55</v>
      </c>
    </row>
    <row r="10962" spans="1:7" x14ac:dyDescent="0.2">
      <c r="A10962" t="s">
        <v>1</v>
      </c>
      <c r="B10962" t="str">
        <f>"15676454513"</f>
        <v>15676454513</v>
      </c>
      <c r="C10962" t="s">
        <v>1</v>
      </c>
      <c r="D10962" t="s">
        <v>1</v>
      </c>
      <c r="E10962" t="s">
        <v>1</v>
      </c>
      <c r="F10962" t="s">
        <v>0</v>
      </c>
      <c r="G10962" t="str">
        <f>"2018-10-14 12:08:27"</f>
        <v>2018-10-14 12:08:27</v>
      </c>
    </row>
    <row r="10963" spans="1:7" x14ac:dyDescent="0.2">
      <c r="A10963" t="s">
        <v>189</v>
      </c>
      <c r="B10963" t="str">
        <f>"15802856939"</f>
        <v>15802856939</v>
      </c>
      <c r="C10963" t="str">
        <f>"513823198905254820"</f>
        <v>513823198905254820</v>
      </c>
      <c r="D10963" t="s">
        <v>11306</v>
      </c>
      <c r="E10963" t="s">
        <v>11307</v>
      </c>
      <c r="F10963" t="s">
        <v>0</v>
      </c>
      <c r="G10963" t="str">
        <f>"2018-10-24 12:43:30"</f>
        <v>2018-10-24 12:43:30</v>
      </c>
    </row>
    <row r="10964" spans="1:7" x14ac:dyDescent="0.2">
      <c r="A10964" t="s">
        <v>5411</v>
      </c>
      <c r="B10964" t="str">
        <f>"18653559569"</f>
        <v>18653559569</v>
      </c>
      <c r="C10964" t="str">
        <f>"371323199705173419"</f>
        <v>371323199705173419</v>
      </c>
      <c r="D10964" t="s">
        <v>1</v>
      </c>
      <c r="E10964" t="s">
        <v>1</v>
      </c>
      <c r="F10964" t="s">
        <v>0</v>
      </c>
      <c r="G10964" t="str">
        <f>"2018-10-17 07:37:24"</f>
        <v>2018-10-17 07:37:24</v>
      </c>
    </row>
    <row r="10965" spans="1:7" x14ac:dyDescent="0.2">
      <c r="A10965" t="s">
        <v>1858</v>
      </c>
      <c r="B10965" t="str">
        <f>"18775178777"</f>
        <v>18775178777</v>
      </c>
      <c r="C10965" t="str">
        <f>"452227198608105015"</f>
        <v>452227198608105015</v>
      </c>
      <c r="D10965" t="s">
        <v>1</v>
      </c>
      <c r="E10965" t="s">
        <v>1</v>
      </c>
      <c r="F10965" t="s">
        <v>0</v>
      </c>
      <c r="G10965" t="str">
        <f>"2018-10-26 16:53:08"</f>
        <v>2018-10-26 16:53:08</v>
      </c>
    </row>
    <row r="10966" spans="1:7" x14ac:dyDescent="0.2">
      <c r="A10966" t="s">
        <v>1</v>
      </c>
      <c r="B10966" t="str">
        <f>"18134543298"</f>
        <v>18134543298</v>
      </c>
      <c r="C10966" t="s">
        <v>1</v>
      </c>
      <c r="D10966" t="s">
        <v>1</v>
      </c>
      <c r="E10966" t="s">
        <v>1</v>
      </c>
      <c r="F10966" t="s">
        <v>0</v>
      </c>
      <c r="G10966" t="str">
        <f>"2018-10-14 12:06:55"</f>
        <v>2018-10-14 12:06:55</v>
      </c>
    </row>
    <row r="10967" spans="1:7" x14ac:dyDescent="0.2">
      <c r="A10967" t="s">
        <v>11308</v>
      </c>
      <c r="B10967" t="str">
        <f>"15632842349"</f>
        <v>15632842349</v>
      </c>
      <c r="C10967" t="str">
        <f>"130229199107266815"</f>
        <v>130229199107266815</v>
      </c>
      <c r="D10967" t="s">
        <v>1</v>
      </c>
      <c r="E10967" t="s">
        <v>1</v>
      </c>
      <c r="F10967" t="s">
        <v>0</v>
      </c>
      <c r="G10967" t="str">
        <f>"2018-10-20 15:29:11"</f>
        <v>2018-10-20 15:29:11</v>
      </c>
    </row>
    <row r="10968" spans="1:7" x14ac:dyDescent="0.2">
      <c r="A10968" t="s">
        <v>1</v>
      </c>
      <c r="B10968" t="str">
        <f>"18909789444"</f>
        <v>18909789444</v>
      </c>
      <c r="C10968" t="s">
        <v>1</v>
      </c>
      <c r="D10968" t="s">
        <v>1</v>
      </c>
      <c r="E10968" t="s">
        <v>1</v>
      </c>
      <c r="F10968" t="s">
        <v>0</v>
      </c>
      <c r="G10968" t="str">
        <f>"2018-10-14 12:04:10"</f>
        <v>2018-10-14 12:04:10</v>
      </c>
    </row>
    <row r="10969" spans="1:7" x14ac:dyDescent="0.2">
      <c r="A10969" t="s">
        <v>1</v>
      </c>
      <c r="B10969" t="str">
        <f>"18077406713"</f>
        <v>18077406713</v>
      </c>
      <c r="C10969" t="s">
        <v>1</v>
      </c>
      <c r="D10969" t="s">
        <v>1</v>
      </c>
      <c r="E10969" t="s">
        <v>1</v>
      </c>
      <c r="F10969" t="s">
        <v>0</v>
      </c>
      <c r="G10969" t="str">
        <f>"2018-10-14 14:46:57"</f>
        <v>2018-10-14 14:46:57</v>
      </c>
    </row>
    <row r="10970" spans="1:7" x14ac:dyDescent="0.2">
      <c r="A10970" t="s">
        <v>11309</v>
      </c>
      <c r="B10970" t="str">
        <f>"18008541692"</f>
        <v>18008541692</v>
      </c>
      <c r="C10970" t="str">
        <f>"522724198106200019"</f>
        <v>522724198106200019</v>
      </c>
      <c r="D10970" t="s">
        <v>1</v>
      </c>
      <c r="E10970" t="s">
        <v>1</v>
      </c>
      <c r="F10970" t="s">
        <v>0</v>
      </c>
      <c r="G10970" t="str">
        <f>"2018-10-14 12:15:46"</f>
        <v>2018-10-14 12:15:46</v>
      </c>
    </row>
    <row r="10971" spans="1:7" x14ac:dyDescent="0.2">
      <c r="A10971" t="s">
        <v>1</v>
      </c>
      <c r="B10971" t="str">
        <f>"18155253022"</f>
        <v>18155253022</v>
      </c>
      <c r="C10971" t="s">
        <v>1</v>
      </c>
      <c r="D10971" t="s">
        <v>1</v>
      </c>
      <c r="E10971" t="s">
        <v>1</v>
      </c>
      <c r="F10971" t="s">
        <v>0</v>
      </c>
      <c r="G10971" t="str">
        <f>"2018-10-14 12:02:44"</f>
        <v>2018-10-14 12:02:44</v>
      </c>
    </row>
    <row r="10972" spans="1:7" x14ac:dyDescent="0.2">
      <c r="A10972" t="s">
        <v>11310</v>
      </c>
      <c r="B10972" t="str">
        <f>"18074706121"</f>
        <v>18074706121</v>
      </c>
      <c r="C10972" t="str">
        <f>"452127199504131218"</f>
        <v>452127199504131218</v>
      </c>
      <c r="D10972" t="s">
        <v>1</v>
      </c>
      <c r="E10972" t="s">
        <v>1</v>
      </c>
      <c r="F10972" t="s">
        <v>0</v>
      </c>
      <c r="G10972" t="str">
        <f>"2018-10-14 12:00:25"</f>
        <v>2018-10-14 12:00:25</v>
      </c>
    </row>
    <row r="10973" spans="1:7" x14ac:dyDescent="0.2">
      <c r="A10973" t="s">
        <v>11311</v>
      </c>
      <c r="B10973" t="str">
        <f>"15060912558"</f>
        <v>15060912558</v>
      </c>
      <c r="C10973" t="str">
        <f>"350425198902091614"</f>
        <v>350425198902091614</v>
      </c>
      <c r="D10973" t="s">
        <v>1</v>
      </c>
      <c r="E10973" t="s">
        <v>1</v>
      </c>
      <c r="F10973" t="s">
        <v>0</v>
      </c>
      <c r="G10973" t="str">
        <f>"2018-10-14 12:08:37"</f>
        <v>2018-10-14 12:08:37</v>
      </c>
    </row>
    <row r="10974" spans="1:7" x14ac:dyDescent="0.2">
      <c r="A10974" t="s">
        <v>11312</v>
      </c>
      <c r="B10974" t="str">
        <f>"18406575108"</f>
        <v>18406575108</v>
      </c>
      <c r="C10974" t="str">
        <f>"140430199806285618"</f>
        <v>140430199806285618</v>
      </c>
      <c r="D10974" t="s">
        <v>1</v>
      </c>
      <c r="E10974" t="s">
        <v>1</v>
      </c>
      <c r="F10974" t="s">
        <v>0</v>
      </c>
      <c r="G10974" t="str">
        <f>"2018-10-14 12:05:53"</f>
        <v>2018-10-14 12:05:53</v>
      </c>
    </row>
    <row r="10975" spans="1:7" x14ac:dyDescent="0.2">
      <c r="A10975" t="s">
        <v>11313</v>
      </c>
      <c r="B10975" t="str">
        <f>"18963713009"</f>
        <v>18963713009</v>
      </c>
      <c r="C10975" t="str">
        <f>"34260119890518121X"</f>
        <v>34260119890518121X</v>
      </c>
      <c r="D10975" t="s">
        <v>11314</v>
      </c>
      <c r="E10975" t="s">
        <v>11315</v>
      </c>
      <c r="F10975" t="s">
        <v>0</v>
      </c>
      <c r="G10975" t="str">
        <f>"2018-10-14 12:02:19"</f>
        <v>2018-10-14 12:02:19</v>
      </c>
    </row>
    <row r="10976" spans="1:7" x14ac:dyDescent="0.2">
      <c r="A10976" t="s">
        <v>11316</v>
      </c>
      <c r="B10976" t="str">
        <f>"17360869996"</f>
        <v>17360869996</v>
      </c>
      <c r="C10976" t="str">
        <f>"342224198807170931"</f>
        <v>342224198807170931</v>
      </c>
      <c r="D10976" t="s">
        <v>1</v>
      </c>
      <c r="E10976" t="s">
        <v>1</v>
      </c>
      <c r="F10976" t="s">
        <v>0</v>
      </c>
      <c r="G10976" t="str">
        <f>"2018-10-14 12:00:22"</f>
        <v>2018-10-14 12:00:22</v>
      </c>
    </row>
    <row r="10977" spans="1:7" x14ac:dyDescent="0.2">
      <c r="A10977" t="s">
        <v>1</v>
      </c>
      <c r="B10977" t="str">
        <f>"13585958717"</f>
        <v>13585958717</v>
      </c>
      <c r="C10977" t="s">
        <v>1</v>
      </c>
      <c r="D10977" t="s">
        <v>1</v>
      </c>
      <c r="E10977" t="s">
        <v>1</v>
      </c>
      <c r="F10977" t="s">
        <v>0</v>
      </c>
      <c r="G10977" t="str">
        <f>"2018-10-14 12:00:15"</f>
        <v>2018-10-14 12:00:15</v>
      </c>
    </row>
    <row r="10978" spans="1:7" x14ac:dyDescent="0.2">
      <c r="A10978" t="s">
        <v>1</v>
      </c>
      <c r="B10978" t="str">
        <f>"15804637880"</f>
        <v>15804637880</v>
      </c>
      <c r="C10978" t="s">
        <v>1</v>
      </c>
      <c r="D10978" t="s">
        <v>1</v>
      </c>
      <c r="E10978" t="s">
        <v>1</v>
      </c>
      <c r="F10978" t="s">
        <v>0</v>
      </c>
      <c r="G10978" t="str">
        <f>"2018-10-14 12:03:28"</f>
        <v>2018-10-14 12:03:28</v>
      </c>
    </row>
    <row r="10979" spans="1:7" x14ac:dyDescent="0.2">
      <c r="A10979" t="s">
        <v>11317</v>
      </c>
      <c r="B10979" t="str">
        <f>"18905387444"</f>
        <v>18905387444</v>
      </c>
      <c r="C10979" t="str">
        <f>"370923198608030659"</f>
        <v>370923198608030659</v>
      </c>
      <c r="D10979" t="s">
        <v>1</v>
      </c>
      <c r="E10979" t="s">
        <v>1</v>
      </c>
      <c r="F10979" t="s">
        <v>0</v>
      </c>
      <c r="G10979" t="str">
        <f>"2018-10-14 11:59:04"</f>
        <v>2018-10-14 11:59:04</v>
      </c>
    </row>
    <row r="10980" spans="1:7" x14ac:dyDescent="0.2">
      <c r="A10980" t="s">
        <v>11318</v>
      </c>
      <c r="B10980" t="str">
        <f>"18993985443"</f>
        <v>18993985443</v>
      </c>
      <c r="C10980" t="str">
        <f>"620423199005152314"</f>
        <v>620423199005152314</v>
      </c>
      <c r="D10980" t="s">
        <v>1</v>
      </c>
      <c r="E10980" t="s">
        <v>1</v>
      </c>
      <c r="F10980" t="s">
        <v>0</v>
      </c>
      <c r="G10980" t="str">
        <f>"2018-10-14 12:16:46"</f>
        <v>2018-10-14 12:16:46</v>
      </c>
    </row>
    <row r="10981" spans="1:7" x14ac:dyDescent="0.2">
      <c r="A10981" t="s">
        <v>1</v>
      </c>
      <c r="B10981" t="str">
        <f>"17171049247"</f>
        <v>17171049247</v>
      </c>
      <c r="C10981" t="s">
        <v>1</v>
      </c>
      <c r="D10981" t="s">
        <v>1</v>
      </c>
      <c r="E10981" t="s">
        <v>1</v>
      </c>
      <c r="F10981" t="s">
        <v>0</v>
      </c>
      <c r="G10981" t="str">
        <f>"2018-10-14 11:55:57"</f>
        <v>2018-10-14 11:55:57</v>
      </c>
    </row>
    <row r="10982" spans="1:7" x14ac:dyDescent="0.2">
      <c r="A10982" t="s">
        <v>11319</v>
      </c>
      <c r="B10982" t="str">
        <f>"13524356986"</f>
        <v>13524356986</v>
      </c>
      <c r="C10982" t="str">
        <f>"362524198901117512"</f>
        <v>362524198901117512</v>
      </c>
      <c r="D10982" t="s">
        <v>1</v>
      </c>
      <c r="E10982" t="s">
        <v>1</v>
      </c>
      <c r="F10982" t="s">
        <v>0</v>
      </c>
      <c r="G10982" t="str">
        <f>"2018-10-14 12:01:28"</f>
        <v>2018-10-14 12:01:28</v>
      </c>
    </row>
    <row r="10983" spans="1:7" x14ac:dyDescent="0.2">
      <c r="A10983" t="s">
        <v>1</v>
      </c>
      <c r="B10983" t="str">
        <f>"18135203777"</f>
        <v>18135203777</v>
      </c>
      <c r="C10983" t="s">
        <v>1</v>
      </c>
      <c r="D10983" t="s">
        <v>1</v>
      </c>
      <c r="E10983" t="s">
        <v>1</v>
      </c>
      <c r="F10983" t="s">
        <v>0</v>
      </c>
      <c r="G10983" t="str">
        <f>"2018-10-14 11:55:28"</f>
        <v>2018-10-14 11:55:28</v>
      </c>
    </row>
    <row r="10984" spans="1:7" x14ac:dyDescent="0.2">
      <c r="A10984" t="s">
        <v>414</v>
      </c>
      <c r="B10984" t="str">
        <f>"13389552329"</f>
        <v>13389552329</v>
      </c>
      <c r="C10984" t="str">
        <f>"640321199311091711"</f>
        <v>640321199311091711</v>
      </c>
      <c r="D10984" t="s">
        <v>1</v>
      </c>
      <c r="E10984" t="s">
        <v>1</v>
      </c>
      <c r="F10984" t="s">
        <v>0</v>
      </c>
      <c r="G10984" t="str">
        <f>"2018-10-14 11:57:17"</f>
        <v>2018-10-14 11:57:17</v>
      </c>
    </row>
    <row r="10985" spans="1:7" x14ac:dyDescent="0.2">
      <c r="A10985" t="s">
        <v>1</v>
      </c>
      <c r="B10985" t="str">
        <f>"17778910895"</f>
        <v>17778910895</v>
      </c>
      <c r="C10985" t="s">
        <v>1</v>
      </c>
      <c r="D10985" t="s">
        <v>1</v>
      </c>
      <c r="E10985" t="s">
        <v>1</v>
      </c>
      <c r="F10985" t="s">
        <v>0</v>
      </c>
      <c r="G10985" t="str">
        <f>"2018-10-14 11:53:56"</f>
        <v>2018-10-14 11:53:56</v>
      </c>
    </row>
    <row r="10986" spans="1:7" x14ac:dyDescent="0.2">
      <c r="A10986" t="s">
        <v>11320</v>
      </c>
      <c r="B10986" t="str">
        <f>"15158848648"</f>
        <v>15158848648</v>
      </c>
      <c r="C10986" t="str">
        <f>"321023198406193030"</f>
        <v>321023198406193030</v>
      </c>
      <c r="D10986" t="s">
        <v>11321</v>
      </c>
      <c r="E10986" t="s">
        <v>11322</v>
      </c>
      <c r="F10986" t="s">
        <v>0</v>
      </c>
      <c r="G10986" t="str">
        <f>"2018-10-14 11:55:15"</f>
        <v>2018-10-14 11:55:15</v>
      </c>
    </row>
    <row r="10987" spans="1:7" x14ac:dyDescent="0.2">
      <c r="A10987" t="s">
        <v>1</v>
      </c>
      <c r="B10987" t="str">
        <f>"13527018349"</f>
        <v>13527018349</v>
      </c>
      <c r="C10987" t="s">
        <v>1</v>
      </c>
      <c r="D10987" t="s">
        <v>1</v>
      </c>
      <c r="E10987" t="s">
        <v>1</v>
      </c>
      <c r="F10987" t="s">
        <v>0</v>
      </c>
      <c r="G10987" t="str">
        <f>"2018-10-14 11:52:17"</f>
        <v>2018-10-14 11:52:17</v>
      </c>
    </row>
    <row r="10988" spans="1:7" x14ac:dyDescent="0.2">
      <c r="A10988" t="s">
        <v>1</v>
      </c>
      <c r="B10988" t="str">
        <f>"13862072431"</f>
        <v>13862072431</v>
      </c>
      <c r="C10988" t="s">
        <v>1</v>
      </c>
      <c r="D10988" t="s">
        <v>1</v>
      </c>
      <c r="E10988" t="s">
        <v>1</v>
      </c>
      <c r="F10988" t="s">
        <v>0</v>
      </c>
      <c r="G10988" t="str">
        <f>"2018-10-28 16:07:58"</f>
        <v>2018-10-28 16:07:58</v>
      </c>
    </row>
    <row r="10989" spans="1:7" x14ac:dyDescent="0.2">
      <c r="A10989" t="s">
        <v>11323</v>
      </c>
      <c r="B10989" t="str">
        <f>"18825181353"</f>
        <v>18825181353</v>
      </c>
      <c r="C10989" t="str">
        <f>"360722199308012139"</f>
        <v>360722199308012139</v>
      </c>
      <c r="D10989" t="s">
        <v>1</v>
      </c>
      <c r="E10989" t="s">
        <v>1</v>
      </c>
      <c r="F10989" t="s">
        <v>0</v>
      </c>
      <c r="G10989" t="str">
        <f>"2018-10-14 11:58:13"</f>
        <v>2018-10-14 11:58:13</v>
      </c>
    </row>
    <row r="10990" spans="1:7" x14ac:dyDescent="0.2">
      <c r="A10990" t="s">
        <v>11324</v>
      </c>
      <c r="B10990" t="str">
        <f>"15629213935"</f>
        <v>15629213935</v>
      </c>
      <c r="C10990" t="str">
        <f>"422822198709084546"</f>
        <v>422822198709084546</v>
      </c>
      <c r="D10990" t="s">
        <v>1</v>
      </c>
      <c r="E10990" t="s">
        <v>1</v>
      </c>
      <c r="F10990" t="s">
        <v>0</v>
      </c>
      <c r="G10990" t="str">
        <f>"2018-10-14 13:00:00"</f>
        <v>2018-10-14 13:00:00</v>
      </c>
    </row>
    <row r="10991" spans="1:7" x14ac:dyDescent="0.2">
      <c r="A10991" t="s">
        <v>1</v>
      </c>
      <c r="B10991" t="str">
        <f>"18789937762"</f>
        <v>18789937762</v>
      </c>
      <c r="C10991" t="s">
        <v>1</v>
      </c>
      <c r="D10991" t="s">
        <v>1</v>
      </c>
      <c r="E10991" t="s">
        <v>1</v>
      </c>
      <c r="F10991" t="s">
        <v>0</v>
      </c>
      <c r="G10991" t="str">
        <f>"2018-10-14 11:50:33"</f>
        <v>2018-10-14 11:50:33</v>
      </c>
    </row>
    <row r="10992" spans="1:7" x14ac:dyDescent="0.2">
      <c r="A10992" t="s">
        <v>1</v>
      </c>
      <c r="B10992" t="str">
        <f>"18220646697"</f>
        <v>18220646697</v>
      </c>
      <c r="C10992" t="s">
        <v>1</v>
      </c>
      <c r="D10992" t="s">
        <v>1</v>
      </c>
      <c r="E10992" t="s">
        <v>1</v>
      </c>
      <c r="F10992" t="s">
        <v>0</v>
      </c>
      <c r="G10992" t="str">
        <f>"2018-10-14 11:50:07"</f>
        <v>2018-10-14 11:50:07</v>
      </c>
    </row>
    <row r="10993" spans="1:7" x14ac:dyDescent="0.2">
      <c r="A10993" t="s">
        <v>1751</v>
      </c>
      <c r="B10993" t="str">
        <f>"13359396833"</f>
        <v>13359396833</v>
      </c>
      <c r="C10993" t="str">
        <f>"622102198307097911"</f>
        <v>622102198307097911</v>
      </c>
      <c r="D10993" t="s">
        <v>1</v>
      </c>
      <c r="E10993" t="s">
        <v>1</v>
      </c>
      <c r="F10993" t="s">
        <v>0</v>
      </c>
      <c r="G10993" t="str">
        <f>"2018-10-14 11:52:56"</f>
        <v>2018-10-14 11:52:56</v>
      </c>
    </row>
    <row r="10994" spans="1:7" x14ac:dyDescent="0.2">
      <c r="A10994" t="s">
        <v>11325</v>
      </c>
      <c r="B10994" t="str">
        <f>"18665122238"</f>
        <v>18665122238</v>
      </c>
      <c r="C10994" t="str">
        <f>"445224197807245720"</f>
        <v>445224197807245720</v>
      </c>
      <c r="D10994" t="s">
        <v>1</v>
      </c>
      <c r="E10994" t="s">
        <v>1</v>
      </c>
      <c r="F10994" t="s">
        <v>0</v>
      </c>
      <c r="G10994" t="str">
        <f>"2018-10-27 09:47:41"</f>
        <v>2018-10-27 09:47:41</v>
      </c>
    </row>
    <row r="10995" spans="1:7" x14ac:dyDescent="0.2">
      <c r="A10995" t="s">
        <v>11326</v>
      </c>
      <c r="B10995" t="str">
        <f>"18293500223"</f>
        <v>18293500223</v>
      </c>
      <c r="C10995" t="str">
        <f>"622301199109106732"</f>
        <v>622301199109106732</v>
      </c>
      <c r="D10995" t="s">
        <v>1</v>
      </c>
      <c r="E10995" t="s">
        <v>1</v>
      </c>
      <c r="F10995" t="s">
        <v>0</v>
      </c>
      <c r="G10995" t="str">
        <f>"2018-10-14 12:01:33"</f>
        <v>2018-10-14 12:01:33</v>
      </c>
    </row>
    <row r="10996" spans="1:7" x14ac:dyDescent="0.2">
      <c r="A10996" t="s">
        <v>11327</v>
      </c>
      <c r="B10996" t="str">
        <f>"15365519637"</f>
        <v>15365519637</v>
      </c>
      <c r="C10996" t="str">
        <f>"320682197812015771"</f>
        <v>320682197812015771</v>
      </c>
      <c r="D10996" t="s">
        <v>1</v>
      </c>
      <c r="E10996" t="s">
        <v>1</v>
      </c>
      <c r="F10996" t="s">
        <v>0</v>
      </c>
      <c r="G10996" t="str">
        <f>"2018-10-27 20:24:44"</f>
        <v>2018-10-27 20:24:44</v>
      </c>
    </row>
    <row r="10997" spans="1:7" x14ac:dyDescent="0.2">
      <c r="A10997" t="s">
        <v>11328</v>
      </c>
      <c r="B10997" t="str">
        <f>"13330896308"</f>
        <v>13330896308</v>
      </c>
      <c r="C10997" t="str">
        <f>"510724199005136119"</f>
        <v>510724199005136119</v>
      </c>
      <c r="D10997" t="s">
        <v>11329</v>
      </c>
      <c r="E10997" t="s">
        <v>11330</v>
      </c>
      <c r="F10997" t="s">
        <v>0</v>
      </c>
      <c r="G10997" t="str">
        <f>"2018-10-14 11:49:56"</f>
        <v>2018-10-14 11:49:56</v>
      </c>
    </row>
    <row r="10998" spans="1:7" x14ac:dyDescent="0.2">
      <c r="A10998" t="s">
        <v>11331</v>
      </c>
      <c r="B10998" t="str">
        <f>"13888909041"</f>
        <v>13888909041</v>
      </c>
      <c r="C10998" t="str">
        <f>"530126198012010652"</f>
        <v>530126198012010652</v>
      </c>
      <c r="D10998" t="s">
        <v>1</v>
      </c>
      <c r="E10998" t="s">
        <v>1</v>
      </c>
      <c r="F10998" t="s">
        <v>0</v>
      </c>
      <c r="G10998" t="str">
        <f>"2018-10-14 11:55:30"</f>
        <v>2018-10-14 11:55:30</v>
      </c>
    </row>
    <row r="10999" spans="1:7" x14ac:dyDescent="0.2">
      <c r="A10999" t="s">
        <v>11332</v>
      </c>
      <c r="B10999" t="str">
        <f>"18961575323"</f>
        <v>18961575323</v>
      </c>
      <c r="C10999" t="str">
        <f>"320282199312201129"</f>
        <v>320282199312201129</v>
      </c>
      <c r="D10999" t="s">
        <v>1</v>
      </c>
      <c r="E10999" t="s">
        <v>1</v>
      </c>
      <c r="F10999" t="s">
        <v>0</v>
      </c>
      <c r="G10999" t="str">
        <f>"2018-10-14 11:48:49"</f>
        <v>2018-10-14 11:48:49</v>
      </c>
    </row>
    <row r="11000" spans="1:7" x14ac:dyDescent="0.2">
      <c r="A11000" t="s">
        <v>1</v>
      </c>
      <c r="B11000" t="str">
        <f>"13469632675"</f>
        <v>13469632675</v>
      </c>
      <c r="C11000" t="s">
        <v>1</v>
      </c>
      <c r="D11000" t="s">
        <v>1</v>
      </c>
      <c r="E11000" t="s">
        <v>1</v>
      </c>
      <c r="F11000" t="s">
        <v>0</v>
      </c>
      <c r="G11000" t="str">
        <f>"2018-10-14 11:48:21"</f>
        <v>2018-10-14 11:48:21</v>
      </c>
    </row>
    <row r="11001" spans="1:7" x14ac:dyDescent="0.2">
      <c r="A11001" t="s">
        <v>11333</v>
      </c>
      <c r="B11001" t="str">
        <f>"15089671646"</f>
        <v>15089671646</v>
      </c>
      <c r="C11001" t="str">
        <f>"511324198901043038"</f>
        <v>511324198901043038</v>
      </c>
      <c r="D11001" t="s">
        <v>11334</v>
      </c>
      <c r="E11001" t="s">
        <v>11335</v>
      </c>
      <c r="F11001" t="s">
        <v>0</v>
      </c>
      <c r="G11001" t="str">
        <f>"2018-10-14 11:49:45"</f>
        <v>2018-10-14 11:49:45</v>
      </c>
    </row>
    <row r="11002" spans="1:7" x14ac:dyDescent="0.2">
      <c r="A11002" t="s">
        <v>11336</v>
      </c>
      <c r="B11002" t="str">
        <f>"15085939821"</f>
        <v>15085939821</v>
      </c>
      <c r="C11002" t="str">
        <f>"520122198709141815"</f>
        <v>520122198709141815</v>
      </c>
      <c r="D11002" t="s">
        <v>1</v>
      </c>
      <c r="E11002" t="s">
        <v>1</v>
      </c>
      <c r="F11002" t="s">
        <v>0</v>
      </c>
      <c r="G11002" t="str">
        <f>"2018-10-14 11:57:15"</f>
        <v>2018-10-14 11:57:15</v>
      </c>
    </row>
    <row r="11003" spans="1:7" x14ac:dyDescent="0.2">
      <c r="A11003" t="s">
        <v>11337</v>
      </c>
      <c r="B11003" t="str">
        <f>"15315115985"</f>
        <v>15315115985</v>
      </c>
      <c r="C11003" t="str">
        <f>"370687199803250913"</f>
        <v>370687199803250913</v>
      </c>
      <c r="D11003" t="s">
        <v>1</v>
      </c>
      <c r="E11003" t="s">
        <v>1</v>
      </c>
      <c r="F11003" t="s">
        <v>0</v>
      </c>
      <c r="G11003" t="str">
        <f>"2018-10-14 11:56:36"</f>
        <v>2018-10-14 11:56:36</v>
      </c>
    </row>
    <row r="11004" spans="1:7" x14ac:dyDescent="0.2">
      <c r="A11004" t="s">
        <v>1639</v>
      </c>
      <c r="B11004" t="str">
        <f>"18077889757"</f>
        <v>18077889757</v>
      </c>
      <c r="C11004" t="str">
        <f>"452701198804152218"</f>
        <v>452701198804152218</v>
      </c>
      <c r="D11004" t="s">
        <v>11338</v>
      </c>
      <c r="E11004" t="s">
        <v>11339</v>
      </c>
      <c r="F11004" t="s">
        <v>0</v>
      </c>
      <c r="G11004" t="str">
        <f>"2018-10-14 11:47:38"</f>
        <v>2018-10-14 11:47:38</v>
      </c>
    </row>
    <row r="11005" spans="1:7" x14ac:dyDescent="0.2">
      <c r="A11005" t="s">
        <v>1</v>
      </c>
      <c r="B11005" t="str">
        <f>"18056697655"</f>
        <v>18056697655</v>
      </c>
      <c r="C11005" t="s">
        <v>1</v>
      </c>
      <c r="D11005" t="s">
        <v>1</v>
      </c>
      <c r="E11005" t="s">
        <v>1</v>
      </c>
      <c r="F11005" t="s">
        <v>0</v>
      </c>
      <c r="G11005" t="str">
        <f>"2018-10-14 11:45:54"</f>
        <v>2018-10-14 11:45:54</v>
      </c>
    </row>
    <row r="11006" spans="1:7" x14ac:dyDescent="0.2">
      <c r="A11006" t="s">
        <v>1</v>
      </c>
      <c r="B11006" t="str">
        <f>"18163587666"</f>
        <v>18163587666</v>
      </c>
      <c r="C11006" t="s">
        <v>1</v>
      </c>
      <c r="D11006" t="s">
        <v>1</v>
      </c>
      <c r="E11006" t="s">
        <v>1</v>
      </c>
      <c r="F11006" t="s">
        <v>0</v>
      </c>
      <c r="G11006" t="str">
        <f>"2018-10-14 11:46:51"</f>
        <v>2018-10-14 11:46:51</v>
      </c>
    </row>
    <row r="11007" spans="1:7" x14ac:dyDescent="0.2">
      <c r="A11007" t="s">
        <v>11340</v>
      </c>
      <c r="B11007" t="str">
        <f>"13099010280"</f>
        <v>13099010280</v>
      </c>
      <c r="C11007" t="str">
        <f>"142703198801031517"</f>
        <v>142703198801031517</v>
      </c>
      <c r="D11007" t="s">
        <v>1</v>
      </c>
      <c r="E11007" t="s">
        <v>1</v>
      </c>
      <c r="F11007" t="s">
        <v>0</v>
      </c>
      <c r="G11007" t="str">
        <f>"2018-10-18 16:03:37"</f>
        <v>2018-10-18 16:03:37</v>
      </c>
    </row>
    <row r="11008" spans="1:7" x14ac:dyDescent="0.2">
      <c r="A11008" t="s">
        <v>11341</v>
      </c>
      <c r="B11008" t="str">
        <f>"18954545550"</f>
        <v>18954545550</v>
      </c>
      <c r="C11008" t="str">
        <f>"370883199808214423"</f>
        <v>370883199808214423</v>
      </c>
      <c r="D11008" t="s">
        <v>1</v>
      </c>
      <c r="E11008" t="s">
        <v>1</v>
      </c>
      <c r="F11008" t="s">
        <v>0</v>
      </c>
      <c r="G11008" t="str">
        <f>"2018-10-14 12:28:28"</f>
        <v>2018-10-14 12:28:28</v>
      </c>
    </row>
    <row r="11009" spans="1:7" x14ac:dyDescent="0.2">
      <c r="A11009" t="s">
        <v>1789</v>
      </c>
      <c r="B11009" t="str">
        <f>"17371878747"</f>
        <v>17371878747</v>
      </c>
      <c r="C11009" t="str">
        <f>"421083198807316417"</f>
        <v>421083198807316417</v>
      </c>
      <c r="D11009" t="s">
        <v>11342</v>
      </c>
      <c r="E11009" t="s">
        <v>11343</v>
      </c>
      <c r="F11009" t="s">
        <v>0</v>
      </c>
      <c r="G11009" t="str">
        <f>"2018-10-14 16:54:18"</f>
        <v>2018-10-14 16:54:18</v>
      </c>
    </row>
    <row r="11010" spans="1:7" x14ac:dyDescent="0.2">
      <c r="A11010" t="s">
        <v>1</v>
      </c>
      <c r="B11010" t="str">
        <f>"15290936873"</f>
        <v>15290936873</v>
      </c>
      <c r="C11010" t="s">
        <v>1</v>
      </c>
      <c r="D11010" t="s">
        <v>1</v>
      </c>
      <c r="E11010" t="s">
        <v>1</v>
      </c>
      <c r="F11010" t="s">
        <v>0</v>
      </c>
      <c r="G11010" t="str">
        <f>"2018-10-14 11:42:57"</f>
        <v>2018-10-14 11:42:57</v>
      </c>
    </row>
    <row r="11011" spans="1:7" x14ac:dyDescent="0.2">
      <c r="A11011" t="s">
        <v>1</v>
      </c>
      <c r="B11011" t="str">
        <f>"18991786199"</f>
        <v>18991786199</v>
      </c>
      <c r="C11011" t="s">
        <v>1</v>
      </c>
      <c r="D11011" t="s">
        <v>1</v>
      </c>
      <c r="E11011" t="s">
        <v>1</v>
      </c>
      <c r="F11011" t="s">
        <v>0</v>
      </c>
      <c r="G11011" t="str">
        <f>"2018-10-14 11:42:45"</f>
        <v>2018-10-14 11:42:45</v>
      </c>
    </row>
    <row r="11012" spans="1:7" x14ac:dyDescent="0.2">
      <c r="A11012" t="s">
        <v>11344</v>
      </c>
      <c r="B11012" t="str">
        <f>"13959713390"</f>
        <v>13959713390</v>
      </c>
      <c r="C11012" t="str">
        <f>"360428197710222030"</f>
        <v>360428197710222030</v>
      </c>
      <c r="D11012" t="s">
        <v>1</v>
      </c>
      <c r="E11012" t="s">
        <v>1</v>
      </c>
      <c r="F11012" t="s">
        <v>0</v>
      </c>
      <c r="G11012" t="str">
        <f>"2018-10-14 11:49:43"</f>
        <v>2018-10-14 11:49:43</v>
      </c>
    </row>
    <row r="11013" spans="1:7" x14ac:dyDescent="0.2">
      <c r="A11013" t="s">
        <v>11345</v>
      </c>
      <c r="B11013" t="str">
        <f>"18854150070"</f>
        <v>18854150070</v>
      </c>
      <c r="C11013" t="str">
        <f>"341221199503166081"</f>
        <v>341221199503166081</v>
      </c>
      <c r="D11013" t="s">
        <v>1</v>
      </c>
      <c r="E11013" t="s">
        <v>1</v>
      </c>
      <c r="F11013" t="s">
        <v>0</v>
      </c>
      <c r="G11013" t="str">
        <f>"2018-10-14 11:42:12"</f>
        <v>2018-10-14 11:42:12</v>
      </c>
    </row>
    <row r="11014" spans="1:7" x14ac:dyDescent="0.2">
      <c r="A11014" t="s">
        <v>11346</v>
      </c>
      <c r="B11014" t="str">
        <f>"15065486606"</f>
        <v>15065486606</v>
      </c>
      <c r="C11014" t="str">
        <f>"370983198507156910"</f>
        <v>370983198507156910</v>
      </c>
      <c r="D11014" t="s">
        <v>11347</v>
      </c>
      <c r="E11014" t="s">
        <v>11348</v>
      </c>
      <c r="F11014" t="s">
        <v>0</v>
      </c>
      <c r="G11014" t="str">
        <f>"2018-10-14 11:42:29"</f>
        <v>2018-10-14 11:42:29</v>
      </c>
    </row>
    <row r="11015" spans="1:7" x14ac:dyDescent="0.2">
      <c r="A11015" t="s">
        <v>1</v>
      </c>
      <c r="B11015" t="str">
        <f>"17882705707"</f>
        <v>17882705707</v>
      </c>
      <c r="C11015" t="s">
        <v>1</v>
      </c>
      <c r="D11015" t="s">
        <v>1</v>
      </c>
      <c r="E11015" t="s">
        <v>1</v>
      </c>
      <c r="F11015" t="s">
        <v>0</v>
      </c>
      <c r="G11015" t="str">
        <f>"2018-10-14 11:41:10"</f>
        <v>2018-10-14 11:41:10</v>
      </c>
    </row>
    <row r="11016" spans="1:7" x14ac:dyDescent="0.2">
      <c r="A11016" t="s">
        <v>11349</v>
      </c>
      <c r="B11016" t="str">
        <f>"15657914606"</f>
        <v>15657914606</v>
      </c>
      <c r="C11016" t="str">
        <f>"622827199710300617"</f>
        <v>622827199710300617</v>
      </c>
      <c r="D11016" t="s">
        <v>1</v>
      </c>
      <c r="E11016" t="s">
        <v>1</v>
      </c>
      <c r="F11016" t="s">
        <v>0</v>
      </c>
      <c r="G11016" t="str">
        <f>"2018-10-14 11:45:18"</f>
        <v>2018-10-14 11:45:18</v>
      </c>
    </row>
    <row r="11017" spans="1:7" x14ac:dyDescent="0.2">
      <c r="A11017" t="s">
        <v>668</v>
      </c>
      <c r="B11017" t="str">
        <f>"18113945008"</f>
        <v>18113945008</v>
      </c>
      <c r="C11017" t="str">
        <f>"511181199201155339"</f>
        <v>511181199201155339</v>
      </c>
      <c r="D11017" t="s">
        <v>1</v>
      </c>
      <c r="E11017" t="s">
        <v>1</v>
      </c>
      <c r="F11017" t="s">
        <v>0</v>
      </c>
      <c r="G11017" t="str">
        <f>"2018-10-14 11:40:57"</f>
        <v>2018-10-14 11:40:57</v>
      </c>
    </row>
    <row r="11018" spans="1:7" x14ac:dyDescent="0.2">
      <c r="A11018" t="s">
        <v>1</v>
      </c>
      <c r="B11018" t="str">
        <f>"18052239618"</f>
        <v>18052239618</v>
      </c>
      <c r="C11018" t="s">
        <v>1</v>
      </c>
      <c r="D11018" t="s">
        <v>1</v>
      </c>
      <c r="E11018" t="s">
        <v>1</v>
      </c>
      <c r="F11018" t="s">
        <v>0</v>
      </c>
      <c r="G11018" t="str">
        <f>"2018-10-14 11:43:30"</f>
        <v>2018-10-14 11:43:30</v>
      </c>
    </row>
    <row r="11019" spans="1:7" x14ac:dyDescent="0.2">
      <c r="A11019" t="s">
        <v>8633</v>
      </c>
      <c r="B11019" t="str">
        <f>"18934672388"</f>
        <v>18934672388</v>
      </c>
      <c r="C11019" t="str">
        <f>"42022219830913671X"</f>
        <v>42022219830913671X</v>
      </c>
      <c r="D11019" t="s">
        <v>1</v>
      </c>
      <c r="E11019" t="s">
        <v>1</v>
      </c>
      <c r="F11019" t="s">
        <v>0</v>
      </c>
      <c r="G11019" t="str">
        <f>"2018-10-14 11:52:35"</f>
        <v>2018-10-14 11:52:35</v>
      </c>
    </row>
    <row r="11020" spans="1:7" x14ac:dyDescent="0.2">
      <c r="A11020" t="s">
        <v>11350</v>
      </c>
      <c r="B11020" t="str">
        <f>"18996649588"</f>
        <v>18996649588</v>
      </c>
      <c r="C11020" t="str">
        <f>"512227197008190019"</f>
        <v>512227197008190019</v>
      </c>
      <c r="D11020" t="s">
        <v>1</v>
      </c>
      <c r="E11020" t="s">
        <v>1</v>
      </c>
      <c r="F11020" t="s">
        <v>0</v>
      </c>
      <c r="G11020" t="str">
        <f>"2018-10-14 11:40:32"</f>
        <v>2018-10-14 11:40:32</v>
      </c>
    </row>
    <row r="11021" spans="1:7" x14ac:dyDescent="0.2">
      <c r="A11021" t="s">
        <v>1</v>
      </c>
      <c r="B11021" t="str">
        <f>"17736131253"</f>
        <v>17736131253</v>
      </c>
      <c r="C11021" t="s">
        <v>1</v>
      </c>
      <c r="D11021" t="s">
        <v>1</v>
      </c>
      <c r="E11021" t="s">
        <v>1</v>
      </c>
      <c r="F11021" t="s">
        <v>0</v>
      </c>
      <c r="G11021" t="str">
        <f>"2018-10-14 11:40:27"</f>
        <v>2018-10-14 11:40:27</v>
      </c>
    </row>
    <row r="11022" spans="1:7" x14ac:dyDescent="0.2">
      <c r="A11022" t="s">
        <v>1</v>
      </c>
      <c r="B11022" t="str">
        <f>"15577018682"</f>
        <v>15577018682</v>
      </c>
      <c r="C11022" t="s">
        <v>1</v>
      </c>
      <c r="D11022" t="s">
        <v>1</v>
      </c>
      <c r="E11022" t="s">
        <v>1</v>
      </c>
      <c r="F11022" t="s">
        <v>0</v>
      </c>
      <c r="G11022" t="str">
        <f>"2018-10-14 11:39:34"</f>
        <v>2018-10-14 11:39:34</v>
      </c>
    </row>
    <row r="11023" spans="1:7" x14ac:dyDescent="0.2">
      <c r="A11023" t="s">
        <v>11351</v>
      </c>
      <c r="B11023" t="str">
        <f>"13636246343"</f>
        <v>13636246343</v>
      </c>
      <c r="C11023" t="str">
        <f>"420303198209232540"</f>
        <v>420303198209232540</v>
      </c>
      <c r="D11023" t="s">
        <v>1</v>
      </c>
      <c r="E11023" t="s">
        <v>1</v>
      </c>
      <c r="F11023" t="s">
        <v>0</v>
      </c>
      <c r="G11023" t="str">
        <f>"2018-10-14 11:45:36"</f>
        <v>2018-10-14 11:45:36</v>
      </c>
    </row>
    <row r="11024" spans="1:7" x14ac:dyDescent="0.2">
      <c r="A11024" t="s">
        <v>1</v>
      </c>
      <c r="B11024" t="str">
        <f>"13552212353"</f>
        <v>13552212353</v>
      </c>
      <c r="C11024" t="s">
        <v>1</v>
      </c>
      <c r="D11024" t="s">
        <v>1</v>
      </c>
      <c r="E11024" t="s">
        <v>1</v>
      </c>
      <c r="F11024" t="s">
        <v>0</v>
      </c>
      <c r="G11024" t="str">
        <f>"2018-10-14 11:38:40"</f>
        <v>2018-10-14 11:38:40</v>
      </c>
    </row>
    <row r="11025" spans="1:7" x14ac:dyDescent="0.2">
      <c r="A11025" t="s">
        <v>1</v>
      </c>
      <c r="B11025" t="str">
        <f>"13563831977"</f>
        <v>13563831977</v>
      </c>
      <c r="C11025" t="s">
        <v>1</v>
      </c>
      <c r="D11025" t="s">
        <v>1</v>
      </c>
      <c r="E11025" t="s">
        <v>1</v>
      </c>
      <c r="F11025" t="s">
        <v>0</v>
      </c>
      <c r="G11025" t="str">
        <f>"2018-10-14 11:38:37"</f>
        <v>2018-10-14 11:38:37</v>
      </c>
    </row>
    <row r="11026" spans="1:7" x14ac:dyDescent="0.2">
      <c r="A11026" t="s">
        <v>11352</v>
      </c>
      <c r="B11026" t="str">
        <f>"13944803188"</f>
        <v>13944803188</v>
      </c>
      <c r="C11026" t="str">
        <f>"220102198803303116"</f>
        <v>220102198803303116</v>
      </c>
      <c r="D11026" t="s">
        <v>1</v>
      </c>
      <c r="E11026" t="s">
        <v>1</v>
      </c>
      <c r="F11026" t="s">
        <v>0</v>
      </c>
      <c r="G11026" t="str">
        <f>"2018-10-17 16:27:12"</f>
        <v>2018-10-17 16:27:12</v>
      </c>
    </row>
    <row r="11027" spans="1:7" x14ac:dyDescent="0.2">
      <c r="A11027" t="s">
        <v>11353</v>
      </c>
      <c r="B11027" t="str">
        <f>"15350604777"</f>
        <v>15350604777</v>
      </c>
      <c r="C11027" t="str">
        <f>"132525197007191012"</f>
        <v>132525197007191012</v>
      </c>
      <c r="D11027" t="s">
        <v>1</v>
      </c>
      <c r="E11027" t="s">
        <v>1</v>
      </c>
      <c r="F11027" t="s">
        <v>0</v>
      </c>
      <c r="G11027" t="str">
        <f>"2018-10-14 11:38:58"</f>
        <v>2018-10-14 11:38:58</v>
      </c>
    </row>
    <row r="11028" spans="1:7" x14ac:dyDescent="0.2">
      <c r="A11028" t="s">
        <v>11354</v>
      </c>
      <c r="B11028" t="str">
        <f>"15329590202"</f>
        <v>15329590202</v>
      </c>
      <c r="C11028" t="str">
        <f>"522324198306090027"</f>
        <v>522324198306090027</v>
      </c>
      <c r="D11028" t="s">
        <v>1</v>
      </c>
      <c r="E11028" t="s">
        <v>1</v>
      </c>
      <c r="F11028" t="s">
        <v>0</v>
      </c>
      <c r="G11028" t="str">
        <f>"2018-10-14 11:42:13"</f>
        <v>2018-10-14 11:42:13</v>
      </c>
    </row>
    <row r="11029" spans="1:7" x14ac:dyDescent="0.2">
      <c r="A11029" t="s">
        <v>11355</v>
      </c>
      <c r="B11029" t="str">
        <f>"13390520765"</f>
        <v>13390520765</v>
      </c>
      <c r="C11029" t="str">
        <f>"211282199309186031"</f>
        <v>211282199309186031</v>
      </c>
      <c r="D11029" t="s">
        <v>1</v>
      </c>
      <c r="E11029" t="s">
        <v>1</v>
      </c>
      <c r="F11029" t="s">
        <v>0</v>
      </c>
      <c r="G11029" t="str">
        <f>"2018-10-14 11:37:36"</f>
        <v>2018-10-14 11:37:36</v>
      </c>
    </row>
    <row r="11030" spans="1:7" x14ac:dyDescent="0.2">
      <c r="A11030" t="s">
        <v>11356</v>
      </c>
      <c r="B11030" t="str">
        <f>"15114089198"</f>
        <v>15114089198</v>
      </c>
      <c r="C11030" t="str">
        <f>"510104198604200271"</f>
        <v>510104198604200271</v>
      </c>
      <c r="D11030" t="s">
        <v>1</v>
      </c>
      <c r="E11030" t="s">
        <v>1</v>
      </c>
      <c r="F11030" t="s">
        <v>0</v>
      </c>
      <c r="G11030" t="str">
        <f>"2018-10-15 12:43:00"</f>
        <v>2018-10-15 12:43:00</v>
      </c>
    </row>
    <row r="11031" spans="1:7" x14ac:dyDescent="0.2">
      <c r="A11031" t="s">
        <v>11357</v>
      </c>
      <c r="B11031" t="str">
        <f>"15843431987"</f>
        <v>15843431987</v>
      </c>
      <c r="C11031" t="str">
        <f>"22030219911212021X"</f>
        <v>22030219911212021X</v>
      </c>
      <c r="D11031" t="s">
        <v>1</v>
      </c>
      <c r="E11031" t="s">
        <v>1</v>
      </c>
      <c r="F11031" t="s">
        <v>0</v>
      </c>
      <c r="G11031" t="str">
        <f>"2018-10-14 11:46:41"</f>
        <v>2018-10-14 11:46:41</v>
      </c>
    </row>
    <row r="11032" spans="1:7" x14ac:dyDescent="0.2">
      <c r="A11032" t="s">
        <v>11358</v>
      </c>
      <c r="B11032" t="str">
        <f>"18332033048"</f>
        <v>18332033048</v>
      </c>
      <c r="C11032" t="str">
        <f>"130182199303024457"</f>
        <v>130182199303024457</v>
      </c>
      <c r="D11032" t="s">
        <v>1</v>
      </c>
      <c r="E11032" t="s">
        <v>1</v>
      </c>
      <c r="F11032" t="s">
        <v>0</v>
      </c>
      <c r="G11032" t="str">
        <f>"2018-11-02 10:04:21"</f>
        <v>2018-11-02 10:04:21</v>
      </c>
    </row>
    <row r="11033" spans="1:7" x14ac:dyDescent="0.2">
      <c r="A11033" t="s">
        <v>11359</v>
      </c>
      <c r="B11033" t="str">
        <f>"18842581381"</f>
        <v>18842581381</v>
      </c>
      <c r="C11033" t="str">
        <f>"210623199110303238"</f>
        <v>210623199110303238</v>
      </c>
      <c r="D11033" t="s">
        <v>1</v>
      </c>
      <c r="E11033" t="s">
        <v>1</v>
      </c>
      <c r="F11033" t="s">
        <v>0</v>
      </c>
      <c r="G11033" t="str">
        <f>"2018-10-14 11:36:59"</f>
        <v>2018-10-14 11:36:59</v>
      </c>
    </row>
    <row r="11034" spans="1:7" x14ac:dyDescent="0.2">
      <c r="A11034" t="s">
        <v>11360</v>
      </c>
      <c r="B11034" t="str">
        <f>"13209787780"</f>
        <v>13209787780</v>
      </c>
      <c r="C11034" t="str">
        <f>"630105197010112054"</f>
        <v>630105197010112054</v>
      </c>
      <c r="D11034" t="s">
        <v>1</v>
      </c>
      <c r="E11034" t="s">
        <v>1</v>
      </c>
      <c r="F11034" t="s">
        <v>0</v>
      </c>
      <c r="G11034" t="str">
        <f>"2018-10-14 11:34:10"</f>
        <v>2018-10-14 11:34:10</v>
      </c>
    </row>
    <row r="11035" spans="1:7" x14ac:dyDescent="0.2">
      <c r="A11035" t="s">
        <v>11361</v>
      </c>
      <c r="B11035" t="str">
        <f>"18673883376"</f>
        <v>18673883376</v>
      </c>
      <c r="C11035" t="str">
        <f>"432502199404073816"</f>
        <v>432502199404073816</v>
      </c>
      <c r="D11035" t="s">
        <v>1</v>
      </c>
      <c r="E11035" t="s">
        <v>1</v>
      </c>
      <c r="F11035" t="s">
        <v>0</v>
      </c>
      <c r="G11035" t="str">
        <f>"2018-10-14 12:02:54"</f>
        <v>2018-10-14 12:02:54</v>
      </c>
    </row>
    <row r="11036" spans="1:7" x14ac:dyDescent="0.2">
      <c r="A11036" t="s">
        <v>11362</v>
      </c>
      <c r="B11036" t="str">
        <f>"13050341316"</f>
        <v>13050341316</v>
      </c>
      <c r="C11036" t="str">
        <f>"231121199604130925"</f>
        <v>231121199604130925</v>
      </c>
      <c r="D11036" t="s">
        <v>1</v>
      </c>
      <c r="E11036" t="s">
        <v>1</v>
      </c>
      <c r="F11036" t="s">
        <v>0</v>
      </c>
      <c r="G11036" t="str">
        <f>"2018-10-14 11:33:01"</f>
        <v>2018-10-14 11:33:01</v>
      </c>
    </row>
    <row r="11037" spans="1:7" x14ac:dyDescent="0.2">
      <c r="A11037" t="s">
        <v>263</v>
      </c>
      <c r="B11037" t="str">
        <f>"17766553343"</f>
        <v>17766553343</v>
      </c>
      <c r="C11037" t="str">
        <f>"230126199809282915"</f>
        <v>230126199809282915</v>
      </c>
      <c r="D11037" t="s">
        <v>11363</v>
      </c>
      <c r="E11037" t="s">
        <v>11364</v>
      </c>
      <c r="F11037" t="s">
        <v>0</v>
      </c>
      <c r="G11037" t="str">
        <f>"2018-10-14 11:44:43"</f>
        <v>2018-10-14 11:44:43</v>
      </c>
    </row>
    <row r="11038" spans="1:7" x14ac:dyDescent="0.2">
      <c r="A11038" t="s">
        <v>11365</v>
      </c>
      <c r="B11038" t="str">
        <f>"13947396630"</f>
        <v>13947396630</v>
      </c>
      <c r="C11038" t="str">
        <f>"152502197410300214"</f>
        <v>152502197410300214</v>
      </c>
      <c r="D11038" t="s">
        <v>1</v>
      </c>
      <c r="E11038" t="s">
        <v>1</v>
      </c>
      <c r="F11038" t="s">
        <v>0</v>
      </c>
      <c r="G11038" t="str">
        <f>"2018-10-14 11:34:13"</f>
        <v>2018-10-14 11:34:13</v>
      </c>
    </row>
    <row r="11039" spans="1:7" x14ac:dyDescent="0.2">
      <c r="A11039" t="s">
        <v>1</v>
      </c>
      <c r="B11039" t="str">
        <f>"18657509188"</f>
        <v>18657509188</v>
      </c>
      <c r="C11039" t="s">
        <v>1</v>
      </c>
      <c r="D11039" t="s">
        <v>1</v>
      </c>
      <c r="E11039" t="s">
        <v>1</v>
      </c>
      <c r="F11039" t="s">
        <v>0</v>
      </c>
      <c r="G11039" t="str">
        <f>"2018-10-14 11:32:44"</f>
        <v>2018-10-14 11:32:44</v>
      </c>
    </row>
    <row r="11040" spans="1:7" x14ac:dyDescent="0.2">
      <c r="A11040" t="s">
        <v>1</v>
      </c>
      <c r="B11040" t="str">
        <f>"17171049847"</f>
        <v>17171049847</v>
      </c>
      <c r="C11040" t="s">
        <v>1</v>
      </c>
      <c r="D11040" t="s">
        <v>1</v>
      </c>
      <c r="E11040" t="s">
        <v>1</v>
      </c>
      <c r="F11040" t="s">
        <v>0</v>
      </c>
      <c r="G11040" t="str">
        <f>"2018-10-14 11:32:39"</f>
        <v>2018-10-14 11:32:39</v>
      </c>
    </row>
    <row r="11041" spans="1:7" x14ac:dyDescent="0.2">
      <c r="A11041" t="s">
        <v>1</v>
      </c>
      <c r="B11041" t="str">
        <f>"17791096668"</f>
        <v>17791096668</v>
      </c>
      <c r="C11041" t="s">
        <v>1</v>
      </c>
      <c r="D11041" t="s">
        <v>1</v>
      </c>
      <c r="E11041" t="s">
        <v>1</v>
      </c>
      <c r="F11041" t="s">
        <v>0</v>
      </c>
      <c r="G11041" t="str">
        <f>"2018-10-14 11:32:21"</f>
        <v>2018-10-14 11:32:21</v>
      </c>
    </row>
    <row r="11042" spans="1:7" x14ac:dyDescent="0.2">
      <c r="A11042" t="s">
        <v>11366</v>
      </c>
      <c r="B11042" t="str">
        <f>"18625797952"</f>
        <v>18625797952</v>
      </c>
      <c r="C11042" t="str">
        <f>"410327198308235615"</f>
        <v>410327198308235615</v>
      </c>
      <c r="D11042" t="s">
        <v>1</v>
      </c>
      <c r="E11042" t="s">
        <v>1</v>
      </c>
      <c r="F11042" t="s">
        <v>0</v>
      </c>
      <c r="G11042" t="str">
        <f>"2018-10-14 11:33:34"</f>
        <v>2018-10-14 11:33:34</v>
      </c>
    </row>
    <row r="11043" spans="1:7" x14ac:dyDescent="0.2">
      <c r="A11043" t="s">
        <v>11367</v>
      </c>
      <c r="B11043" t="str">
        <f>"18599017592"</f>
        <v>18599017592</v>
      </c>
      <c r="C11043" t="str">
        <f>"370685199503232227"</f>
        <v>370685199503232227</v>
      </c>
      <c r="D11043" t="s">
        <v>1</v>
      </c>
      <c r="E11043" t="s">
        <v>1</v>
      </c>
      <c r="F11043" t="s">
        <v>0</v>
      </c>
      <c r="G11043" t="str">
        <f>"2018-10-14 12:30:27"</f>
        <v>2018-10-14 12:30:27</v>
      </c>
    </row>
    <row r="11044" spans="1:7" x14ac:dyDescent="0.2">
      <c r="A11044" t="s">
        <v>11368</v>
      </c>
      <c r="B11044" t="str">
        <f>"13850619128"</f>
        <v>13850619128</v>
      </c>
      <c r="C11044" t="str">
        <f>"350822198707102616"</f>
        <v>350822198707102616</v>
      </c>
      <c r="D11044" t="s">
        <v>1</v>
      </c>
      <c r="E11044" t="s">
        <v>1</v>
      </c>
      <c r="F11044" t="s">
        <v>0</v>
      </c>
      <c r="G11044" t="str">
        <f>"2018-10-14 11:33:01"</f>
        <v>2018-10-14 11:33:01</v>
      </c>
    </row>
    <row r="11045" spans="1:7" x14ac:dyDescent="0.2">
      <c r="A11045" t="s">
        <v>1</v>
      </c>
      <c r="B11045" t="str">
        <f>"15117124624"</f>
        <v>15117124624</v>
      </c>
      <c r="C11045" t="s">
        <v>1</v>
      </c>
      <c r="D11045" t="s">
        <v>1</v>
      </c>
      <c r="E11045" t="s">
        <v>1</v>
      </c>
      <c r="F11045" t="s">
        <v>0</v>
      </c>
      <c r="G11045" t="str">
        <f>"2018-10-14 17:01:09"</f>
        <v>2018-10-14 17:01:09</v>
      </c>
    </row>
    <row r="11046" spans="1:7" x14ac:dyDescent="0.2">
      <c r="A11046" t="s">
        <v>1704</v>
      </c>
      <c r="B11046" t="str">
        <f>"15020220793"</f>
        <v>15020220793</v>
      </c>
      <c r="C11046" t="str">
        <f>"372928199403040114"</f>
        <v>372928199403040114</v>
      </c>
      <c r="D11046" t="s">
        <v>11369</v>
      </c>
      <c r="E11046" t="s">
        <v>11370</v>
      </c>
      <c r="F11046" t="s">
        <v>0</v>
      </c>
      <c r="G11046" t="str">
        <f>"2018-10-23 17:09:35"</f>
        <v>2018-10-23 17:09:35</v>
      </c>
    </row>
    <row r="11047" spans="1:7" x14ac:dyDescent="0.2">
      <c r="A11047" t="s">
        <v>1</v>
      </c>
      <c r="B11047" t="str">
        <f>"15393415184"</f>
        <v>15393415184</v>
      </c>
      <c r="C11047" t="s">
        <v>1</v>
      </c>
      <c r="D11047" t="s">
        <v>1</v>
      </c>
      <c r="E11047" t="s">
        <v>1</v>
      </c>
      <c r="F11047" t="s">
        <v>0</v>
      </c>
      <c r="G11047" t="str">
        <f>"2018-10-14 11:30:29"</f>
        <v>2018-10-14 11:30:29</v>
      </c>
    </row>
    <row r="11048" spans="1:7" x14ac:dyDescent="0.2">
      <c r="A11048" t="s">
        <v>1</v>
      </c>
      <c r="B11048" t="str">
        <f>"13663134151"</f>
        <v>13663134151</v>
      </c>
      <c r="C11048" t="s">
        <v>1</v>
      </c>
      <c r="D11048" t="s">
        <v>1</v>
      </c>
      <c r="E11048" t="s">
        <v>1</v>
      </c>
      <c r="F11048" t="s">
        <v>0</v>
      </c>
      <c r="G11048" t="str">
        <f>"2018-10-14 11:30:12"</f>
        <v>2018-10-14 11:30:12</v>
      </c>
    </row>
    <row r="11049" spans="1:7" x14ac:dyDescent="0.2">
      <c r="A11049" t="s">
        <v>11371</v>
      </c>
      <c r="B11049" t="str">
        <f>"18725708416"</f>
        <v>18725708416</v>
      </c>
      <c r="C11049" t="str">
        <f>"500233199602150813"</f>
        <v>500233199602150813</v>
      </c>
      <c r="D11049" t="s">
        <v>1</v>
      </c>
      <c r="E11049" t="s">
        <v>1</v>
      </c>
      <c r="F11049" t="s">
        <v>0</v>
      </c>
      <c r="G11049" t="str">
        <f>"2018-10-14 11:29:50"</f>
        <v>2018-10-14 11:29:50</v>
      </c>
    </row>
    <row r="11050" spans="1:7" x14ac:dyDescent="0.2">
      <c r="A11050" t="s">
        <v>1108</v>
      </c>
      <c r="B11050" t="str">
        <f>"15146006563"</f>
        <v>15146006563</v>
      </c>
      <c r="C11050" t="str">
        <f>"230106198712202026"</f>
        <v>230106198712202026</v>
      </c>
      <c r="D11050" t="s">
        <v>1</v>
      </c>
      <c r="E11050" t="s">
        <v>1</v>
      </c>
      <c r="F11050" t="s">
        <v>0</v>
      </c>
      <c r="G11050" t="str">
        <f>"2018-11-02 14:11:52"</f>
        <v>2018-11-02 14:11:52</v>
      </c>
    </row>
    <row r="11051" spans="1:7" x14ac:dyDescent="0.2">
      <c r="A11051" t="s">
        <v>332</v>
      </c>
      <c r="B11051" t="str">
        <f>"15241552117"</f>
        <v>15241552117</v>
      </c>
      <c r="C11051" t="str">
        <f>"231025198503264612"</f>
        <v>231025198503264612</v>
      </c>
      <c r="D11051" t="s">
        <v>1</v>
      </c>
      <c r="E11051" t="s">
        <v>1</v>
      </c>
      <c r="F11051" t="s">
        <v>0</v>
      </c>
      <c r="G11051" t="str">
        <f>"2018-10-19 11:07:13"</f>
        <v>2018-10-19 11:07:13</v>
      </c>
    </row>
    <row r="11052" spans="1:7" x14ac:dyDescent="0.2">
      <c r="A11052" t="s">
        <v>11372</v>
      </c>
      <c r="B11052" t="str">
        <f>"18842927225"</f>
        <v>18842927225</v>
      </c>
      <c r="C11052" t="str">
        <f>"210121197803201219"</f>
        <v>210121197803201219</v>
      </c>
      <c r="D11052" t="s">
        <v>1</v>
      </c>
      <c r="E11052" t="s">
        <v>1</v>
      </c>
      <c r="F11052" t="s">
        <v>0</v>
      </c>
      <c r="G11052" t="str">
        <f>"2018-10-14 12:00:23"</f>
        <v>2018-10-14 12:00:23</v>
      </c>
    </row>
    <row r="11053" spans="1:7" x14ac:dyDescent="0.2">
      <c r="A11053" t="s">
        <v>1</v>
      </c>
      <c r="B11053" t="str">
        <f>"13333850650"</f>
        <v>13333850650</v>
      </c>
      <c r="C11053" t="s">
        <v>1</v>
      </c>
      <c r="D11053" t="s">
        <v>1</v>
      </c>
      <c r="E11053" t="s">
        <v>1</v>
      </c>
      <c r="F11053" t="s">
        <v>0</v>
      </c>
      <c r="G11053" t="str">
        <f>"2018-10-14 11:28:19"</f>
        <v>2018-10-14 11:28:19</v>
      </c>
    </row>
    <row r="11054" spans="1:7" x14ac:dyDescent="0.2">
      <c r="A11054" t="s">
        <v>1360</v>
      </c>
      <c r="B11054" t="str">
        <f>"13328002555"</f>
        <v>13328002555</v>
      </c>
      <c r="C11054" t="str">
        <f>"420104197904190419"</f>
        <v>420104197904190419</v>
      </c>
      <c r="D11054" t="s">
        <v>1</v>
      </c>
      <c r="E11054" t="s">
        <v>1</v>
      </c>
      <c r="F11054" t="s">
        <v>0</v>
      </c>
      <c r="G11054" t="str">
        <f>"2018-10-14 12:06:29"</f>
        <v>2018-10-14 12:06:29</v>
      </c>
    </row>
    <row r="11055" spans="1:7" x14ac:dyDescent="0.2">
      <c r="A11055" t="s">
        <v>11373</v>
      </c>
      <c r="B11055" t="str">
        <f>"17733296892"</f>
        <v>17733296892</v>
      </c>
      <c r="C11055" t="str">
        <f>"130131198002036919"</f>
        <v>130131198002036919</v>
      </c>
      <c r="D11055" t="s">
        <v>1</v>
      </c>
      <c r="E11055" t="s">
        <v>1</v>
      </c>
      <c r="F11055" t="s">
        <v>0</v>
      </c>
      <c r="G11055" t="str">
        <f>"2018-10-14 11:27:58"</f>
        <v>2018-10-14 11:27:58</v>
      </c>
    </row>
    <row r="11056" spans="1:7" x14ac:dyDescent="0.2">
      <c r="A11056" t="s">
        <v>147</v>
      </c>
      <c r="B11056" t="str">
        <f>"18728111123"</f>
        <v>18728111123</v>
      </c>
      <c r="C11056" t="str">
        <f>"51102519921229635X"</f>
        <v>51102519921229635X</v>
      </c>
      <c r="D11056" t="s">
        <v>11374</v>
      </c>
      <c r="E11056" t="s">
        <v>11375</v>
      </c>
      <c r="F11056" t="s">
        <v>0</v>
      </c>
      <c r="G11056" t="str">
        <f>"2018-10-23 11:29:14"</f>
        <v>2018-10-23 11:29:14</v>
      </c>
    </row>
    <row r="11057" spans="1:7" x14ac:dyDescent="0.2">
      <c r="A11057" t="s">
        <v>11376</v>
      </c>
      <c r="B11057" t="str">
        <f>"15007696570"</f>
        <v>15007696570</v>
      </c>
      <c r="C11057" t="str">
        <f>"431126199303088419"</f>
        <v>431126199303088419</v>
      </c>
      <c r="D11057" t="s">
        <v>1</v>
      </c>
      <c r="E11057" t="s">
        <v>1</v>
      </c>
      <c r="F11057" t="s">
        <v>0</v>
      </c>
      <c r="G11057" t="str">
        <f>"2018-10-16 15:00:10"</f>
        <v>2018-10-16 15:00:10</v>
      </c>
    </row>
    <row r="11058" spans="1:7" x14ac:dyDescent="0.2">
      <c r="A11058" t="s">
        <v>11377</v>
      </c>
      <c r="B11058" t="str">
        <f>"18179030650"</f>
        <v>18179030650</v>
      </c>
      <c r="C11058" t="str">
        <f>"362123198010091218"</f>
        <v>362123198010091218</v>
      </c>
      <c r="D11058" t="s">
        <v>1</v>
      </c>
      <c r="E11058" t="s">
        <v>1</v>
      </c>
      <c r="F11058" t="s">
        <v>0</v>
      </c>
      <c r="G11058" t="str">
        <f>"2018-10-14 11:26:19"</f>
        <v>2018-10-14 11:26:19</v>
      </c>
    </row>
    <row r="11059" spans="1:7" x14ac:dyDescent="0.2">
      <c r="A11059" t="s">
        <v>11378</v>
      </c>
      <c r="B11059" t="str">
        <f>"18959457188"</f>
        <v>18959457188</v>
      </c>
      <c r="C11059" t="str">
        <f>"433029196909082814"</f>
        <v>433029196909082814</v>
      </c>
      <c r="D11059" t="s">
        <v>1</v>
      </c>
      <c r="E11059" t="s">
        <v>1</v>
      </c>
      <c r="F11059" t="s">
        <v>0</v>
      </c>
      <c r="G11059" t="str">
        <f>"2018-10-14 11:26:19"</f>
        <v>2018-10-14 11:26:19</v>
      </c>
    </row>
    <row r="11060" spans="1:7" x14ac:dyDescent="0.2">
      <c r="A11060" t="s">
        <v>842</v>
      </c>
      <c r="B11060" t="str">
        <f>"15334178188"</f>
        <v>15334178188</v>
      </c>
      <c r="C11060" t="str">
        <f>"421081197701072971"</f>
        <v>421081197701072971</v>
      </c>
      <c r="D11060" t="s">
        <v>1</v>
      </c>
      <c r="E11060" t="s">
        <v>1</v>
      </c>
      <c r="F11060" t="s">
        <v>0</v>
      </c>
      <c r="G11060" t="str">
        <f>"2018-10-14 11:25:28"</f>
        <v>2018-10-14 11:25:28</v>
      </c>
    </row>
    <row r="11061" spans="1:7" x14ac:dyDescent="0.2">
      <c r="A11061" t="s">
        <v>11379</v>
      </c>
      <c r="B11061" t="str">
        <f>"13943662530"</f>
        <v>13943662530</v>
      </c>
      <c r="C11061" t="str">
        <f>"220881199008083925"</f>
        <v>220881199008083925</v>
      </c>
      <c r="D11061" t="s">
        <v>1</v>
      </c>
      <c r="E11061" t="s">
        <v>1</v>
      </c>
      <c r="F11061" t="s">
        <v>0</v>
      </c>
      <c r="G11061" t="str">
        <f>"2018-10-14 11:24:58"</f>
        <v>2018-10-14 11:24:58</v>
      </c>
    </row>
    <row r="11062" spans="1:7" x14ac:dyDescent="0.2">
      <c r="A11062" t="s">
        <v>11380</v>
      </c>
      <c r="B11062" t="str">
        <f>"13701844173"</f>
        <v>13701844173</v>
      </c>
      <c r="C11062" t="str">
        <f>"310103199011135049"</f>
        <v>310103199011135049</v>
      </c>
      <c r="D11062" t="s">
        <v>1</v>
      </c>
      <c r="E11062" t="s">
        <v>1</v>
      </c>
      <c r="F11062" t="s">
        <v>0</v>
      </c>
      <c r="G11062" t="str">
        <f>"2018-10-14 11:25:03"</f>
        <v>2018-10-14 11:25:03</v>
      </c>
    </row>
    <row r="11063" spans="1:7" x14ac:dyDescent="0.2">
      <c r="A11063" t="s">
        <v>1863</v>
      </c>
      <c r="B11063" t="str">
        <f>"13996083584"</f>
        <v>13996083584</v>
      </c>
      <c r="C11063" t="str">
        <f>"510132198205150014"</f>
        <v>510132198205150014</v>
      </c>
      <c r="D11063" t="s">
        <v>1</v>
      </c>
      <c r="E11063" t="s">
        <v>1</v>
      </c>
      <c r="F11063" t="s">
        <v>0</v>
      </c>
      <c r="G11063" t="str">
        <f>"2018-10-28 15:40:23"</f>
        <v>2018-10-28 15:40:23</v>
      </c>
    </row>
    <row r="11064" spans="1:7" x14ac:dyDescent="0.2">
      <c r="A11064" t="s">
        <v>11381</v>
      </c>
      <c r="B11064" t="str">
        <f>"15868490665"</f>
        <v>15868490665</v>
      </c>
      <c r="C11064" t="str">
        <f>"332525199009070317"</f>
        <v>332525199009070317</v>
      </c>
      <c r="D11064" t="s">
        <v>1</v>
      </c>
      <c r="E11064" t="s">
        <v>1</v>
      </c>
      <c r="F11064" t="s">
        <v>0</v>
      </c>
      <c r="G11064" t="str">
        <f>"2018-10-22 14:38:44"</f>
        <v>2018-10-22 14:38:44</v>
      </c>
    </row>
    <row r="11065" spans="1:7" x14ac:dyDescent="0.2">
      <c r="A11065" t="s">
        <v>1</v>
      </c>
      <c r="B11065" t="str">
        <f>"18212896232"</f>
        <v>18212896232</v>
      </c>
      <c r="C11065" t="s">
        <v>1</v>
      </c>
      <c r="D11065" t="s">
        <v>1</v>
      </c>
      <c r="E11065" t="s">
        <v>1</v>
      </c>
      <c r="F11065" t="s">
        <v>0</v>
      </c>
      <c r="G11065" t="str">
        <f>"2018-10-14 11:22:21"</f>
        <v>2018-10-14 11:22:21</v>
      </c>
    </row>
    <row r="11066" spans="1:7" x14ac:dyDescent="0.2">
      <c r="A11066" t="s">
        <v>11382</v>
      </c>
      <c r="B11066" t="str">
        <f>"13999760105"</f>
        <v>13999760105</v>
      </c>
      <c r="C11066" t="str">
        <f>"652722199704281016"</f>
        <v>652722199704281016</v>
      </c>
      <c r="D11066" t="s">
        <v>1</v>
      </c>
      <c r="E11066" t="s">
        <v>1</v>
      </c>
      <c r="F11066" t="s">
        <v>0</v>
      </c>
      <c r="G11066" t="str">
        <f>"2018-10-14 11:26:17"</f>
        <v>2018-10-14 11:26:17</v>
      </c>
    </row>
    <row r="11067" spans="1:7" x14ac:dyDescent="0.2">
      <c r="A11067" t="s">
        <v>1</v>
      </c>
      <c r="B11067" t="str">
        <f>"13613655677"</f>
        <v>13613655677</v>
      </c>
      <c r="C11067" t="s">
        <v>1</v>
      </c>
      <c r="D11067" t="s">
        <v>1</v>
      </c>
      <c r="E11067" t="s">
        <v>1</v>
      </c>
      <c r="F11067" t="s">
        <v>0</v>
      </c>
      <c r="G11067" t="str">
        <f>"2018-10-14 11:28:02"</f>
        <v>2018-10-14 11:28:02</v>
      </c>
    </row>
    <row r="11068" spans="1:7" x14ac:dyDescent="0.2">
      <c r="A11068" t="s">
        <v>11383</v>
      </c>
      <c r="B11068" t="str">
        <f>"15371046089"</f>
        <v>15371046089</v>
      </c>
      <c r="C11068" t="str">
        <f>"320106196911072431"</f>
        <v>320106196911072431</v>
      </c>
      <c r="D11068" t="s">
        <v>1</v>
      </c>
      <c r="E11068" t="s">
        <v>1</v>
      </c>
      <c r="F11068" t="s">
        <v>0</v>
      </c>
      <c r="G11068" t="str">
        <f>"2018-10-14 11:23:02"</f>
        <v>2018-10-14 11:23:02</v>
      </c>
    </row>
    <row r="11069" spans="1:7" x14ac:dyDescent="0.2">
      <c r="A11069" t="s">
        <v>11384</v>
      </c>
      <c r="B11069" t="str">
        <f>"18119883268"</f>
        <v>18119883268</v>
      </c>
      <c r="C11069" t="str">
        <f>"340221199504306858"</f>
        <v>340221199504306858</v>
      </c>
      <c r="D11069" t="s">
        <v>11385</v>
      </c>
      <c r="E11069" t="s">
        <v>11386</v>
      </c>
      <c r="F11069" t="s">
        <v>0</v>
      </c>
      <c r="G11069" t="str">
        <f>"2018-11-01 18:08:29"</f>
        <v>2018-11-01 18:08:29</v>
      </c>
    </row>
    <row r="11070" spans="1:7" x14ac:dyDescent="0.2">
      <c r="A11070" t="s">
        <v>1</v>
      </c>
      <c r="B11070" t="str">
        <f>"13786699725"</f>
        <v>13786699725</v>
      </c>
      <c r="C11070" t="s">
        <v>1</v>
      </c>
      <c r="D11070" t="s">
        <v>1</v>
      </c>
      <c r="E11070" t="s">
        <v>1</v>
      </c>
      <c r="F11070" t="s">
        <v>0</v>
      </c>
      <c r="G11070" t="str">
        <f>"2018-10-14 11:21:25"</f>
        <v>2018-10-14 11:21:25</v>
      </c>
    </row>
    <row r="11071" spans="1:7" x14ac:dyDescent="0.2">
      <c r="A11071" t="s">
        <v>1</v>
      </c>
      <c r="B11071" t="str">
        <f>"15902928101"</f>
        <v>15902928101</v>
      </c>
      <c r="C11071" t="s">
        <v>1</v>
      </c>
      <c r="D11071" t="s">
        <v>1</v>
      </c>
      <c r="E11071" t="s">
        <v>1</v>
      </c>
      <c r="F11071" t="s">
        <v>0</v>
      </c>
      <c r="G11071" t="str">
        <f>"2018-10-14 11:21:14"</f>
        <v>2018-10-14 11:21:14</v>
      </c>
    </row>
    <row r="11072" spans="1:7" x14ac:dyDescent="0.2">
      <c r="A11072" t="s">
        <v>1</v>
      </c>
      <c r="B11072" t="str">
        <f>"13968572791"</f>
        <v>13968572791</v>
      </c>
      <c r="C11072" t="s">
        <v>1</v>
      </c>
      <c r="D11072" t="s">
        <v>1</v>
      </c>
      <c r="E11072" t="s">
        <v>1</v>
      </c>
      <c r="F11072" t="s">
        <v>0</v>
      </c>
      <c r="G11072" t="str">
        <f>"2018-10-14 11:20:58"</f>
        <v>2018-10-14 11:20:58</v>
      </c>
    </row>
    <row r="11073" spans="1:7" x14ac:dyDescent="0.2">
      <c r="A11073" t="s">
        <v>1</v>
      </c>
      <c r="B11073" t="str">
        <f>"13545559088"</f>
        <v>13545559088</v>
      </c>
      <c r="C11073" t="s">
        <v>1</v>
      </c>
      <c r="D11073" t="s">
        <v>1</v>
      </c>
      <c r="E11073" t="s">
        <v>1</v>
      </c>
      <c r="F11073" t="s">
        <v>0</v>
      </c>
      <c r="G11073" t="str">
        <f>"2018-10-14 11:20:46"</f>
        <v>2018-10-14 11:20:46</v>
      </c>
    </row>
    <row r="11074" spans="1:7" x14ac:dyDescent="0.2">
      <c r="A11074" t="s">
        <v>11387</v>
      </c>
      <c r="B11074" t="str">
        <f>"18976216552"</f>
        <v>18976216552</v>
      </c>
      <c r="C11074" t="str">
        <f>"350824198709101839"</f>
        <v>350824198709101839</v>
      </c>
      <c r="D11074" t="s">
        <v>1</v>
      </c>
      <c r="E11074" t="s">
        <v>1</v>
      </c>
      <c r="F11074" t="s">
        <v>0</v>
      </c>
      <c r="G11074" t="str">
        <f>"2018-10-14 11:26:41"</f>
        <v>2018-10-14 11:26:41</v>
      </c>
    </row>
    <row r="11075" spans="1:7" x14ac:dyDescent="0.2">
      <c r="A11075" t="s">
        <v>1</v>
      </c>
      <c r="B11075" t="str">
        <f>"18936310409"</f>
        <v>18936310409</v>
      </c>
      <c r="C11075" t="s">
        <v>1</v>
      </c>
      <c r="D11075" t="s">
        <v>1</v>
      </c>
      <c r="E11075" t="s">
        <v>1</v>
      </c>
      <c r="F11075" t="s">
        <v>0</v>
      </c>
      <c r="G11075" t="str">
        <f>"2018-10-14 11:20:25"</f>
        <v>2018-10-14 11:20:25</v>
      </c>
    </row>
    <row r="11076" spans="1:7" x14ac:dyDescent="0.2">
      <c r="A11076" t="s">
        <v>1</v>
      </c>
      <c r="B11076" t="str">
        <f>"13645832640"</f>
        <v>13645832640</v>
      </c>
      <c r="C11076" t="s">
        <v>1</v>
      </c>
      <c r="D11076" t="s">
        <v>1</v>
      </c>
      <c r="E11076" t="s">
        <v>1</v>
      </c>
      <c r="F11076" t="s">
        <v>0</v>
      </c>
      <c r="G11076" t="str">
        <f>"2018-10-14 11:19:49"</f>
        <v>2018-10-14 11:19:49</v>
      </c>
    </row>
    <row r="11077" spans="1:7" x14ac:dyDescent="0.2">
      <c r="A11077" t="s">
        <v>4567</v>
      </c>
      <c r="B11077" t="str">
        <f>"18388236526"</f>
        <v>18388236526</v>
      </c>
      <c r="C11077" t="str">
        <f>"530128199211021220"</f>
        <v>530128199211021220</v>
      </c>
      <c r="D11077" t="s">
        <v>1</v>
      </c>
      <c r="E11077" t="s">
        <v>1</v>
      </c>
      <c r="F11077" t="s">
        <v>0</v>
      </c>
      <c r="G11077" t="str">
        <f>"2018-10-14 11:23:45"</f>
        <v>2018-10-14 11:23:45</v>
      </c>
    </row>
    <row r="11078" spans="1:7" x14ac:dyDescent="0.2">
      <c r="A11078" t="s">
        <v>942</v>
      </c>
      <c r="B11078" t="str">
        <f>"18797897399"</f>
        <v>18797897399</v>
      </c>
      <c r="C11078" t="str">
        <f>"360311199104102510"</f>
        <v>360311199104102510</v>
      </c>
      <c r="D11078" t="s">
        <v>11388</v>
      </c>
      <c r="E11078" t="s">
        <v>11389</v>
      </c>
      <c r="F11078" t="s">
        <v>0</v>
      </c>
      <c r="G11078" t="str">
        <f>"2018-10-14 11:20:32"</f>
        <v>2018-10-14 11:20:32</v>
      </c>
    </row>
    <row r="11079" spans="1:7" x14ac:dyDescent="0.2">
      <c r="A11079" t="s">
        <v>11390</v>
      </c>
      <c r="B11079" t="str">
        <f>"15397071980"</f>
        <v>15397071980</v>
      </c>
      <c r="C11079" t="str">
        <f>"341227198906204816"</f>
        <v>341227198906204816</v>
      </c>
      <c r="D11079" t="s">
        <v>1</v>
      </c>
      <c r="E11079" t="s">
        <v>1</v>
      </c>
      <c r="F11079" t="s">
        <v>0</v>
      </c>
      <c r="G11079" t="str">
        <f>"2018-10-14 11:30:33"</f>
        <v>2018-10-14 11:30:33</v>
      </c>
    </row>
    <row r="11080" spans="1:7" x14ac:dyDescent="0.2">
      <c r="A11080" t="s">
        <v>1974</v>
      </c>
      <c r="B11080" t="str">
        <f>"15927537524"</f>
        <v>15927537524</v>
      </c>
      <c r="C11080" t="str">
        <f>"420111198505246321"</f>
        <v>420111198505246321</v>
      </c>
      <c r="D11080" t="s">
        <v>11391</v>
      </c>
      <c r="E11080" t="s">
        <v>11392</v>
      </c>
      <c r="F11080" t="s">
        <v>0</v>
      </c>
      <c r="G11080" t="str">
        <f>"2018-10-14 11:21:18"</f>
        <v>2018-10-14 11:21:18</v>
      </c>
    </row>
    <row r="11081" spans="1:7" x14ac:dyDescent="0.2">
      <c r="A11081" t="s">
        <v>1</v>
      </c>
      <c r="B11081" t="str">
        <f>"18975111466"</f>
        <v>18975111466</v>
      </c>
      <c r="C11081" t="s">
        <v>1</v>
      </c>
      <c r="D11081" t="s">
        <v>1</v>
      </c>
      <c r="E11081" t="s">
        <v>1</v>
      </c>
      <c r="F11081" t="s">
        <v>0</v>
      </c>
      <c r="G11081" t="str">
        <f>"2018-10-14 11:18:55"</f>
        <v>2018-10-14 11:18:55</v>
      </c>
    </row>
    <row r="11082" spans="1:7" x14ac:dyDescent="0.2">
      <c r="A11082" t="s">
        <v>11393</v>
      </c>
      <c r="B11082" t="str">
        <f>"15524308401"</f>
        <v>15524308401</v>
      </c>
      <c r="C11082" t="str">
        <f>"211224199311158917"</f>
        <v>211224199311158917</v>
      </c>
      <c r="D11082" t="s">
        <v>1</v>
      </c>
      <c r="E11082" t="s">
        <v>1</v>
      </c>
      <c r="F11082" t="s">
        <v>0</v>
      </c>
      <c r="G11082" t="str">
        <f>"2018-10-14 11:21:17"</f>
        <v>2018-10-14 11:21:17</v>
      </c>
    </row>
    <row r="11083" spans="1:7" x14ac:dyDescent="0.2">
      <c r="A11083" t="s">
        <v>1</v>
      </c>
      <c r="B11083" t="str">
        <f>"17171049945"</f>
        <v>17171049945</v>
      </c>
      <c r="C11083" t="s">
        <v>1</v>
      </c>
      <c r="D11083" t="s">
        <v>1</v>
      </c>
      <c r="E11083" t="s">
        <v>1</v>
      </c>
      <c r="F11083" t="s">
        <v>0</v>
      </c>
      <c r="G11083" t="str">
        <f>"2018-10-14 11:17:32"</f>
        <v>2018-10-14 11:17:32</v>
      </c>
    </row>
    <row r="11084" spans="1:7" x14ac:dyDescent="0.2">
      <c r="A11084" t="s">
        <v>11394</v>
      </c>
      <c r="B11084" t="str">
        <f>"18130258636"</f>
        <v>18130258636</v>
      </c>
      <c r="C11084" t="str">
        <f>"342529198208226217"</f>
        <v>342529198208226217</v>
      </c>
      <c r="D11084" t="s">
        <v>1</v>
      </c>
      <c r="E11084" t="s">
        <v>1</v>
      </c>
      <c r="F11084" t="s">
        <v>0</v>
      </c>
      <c r="G11084" t="str">
        <f>"2018-10-17 09:09:13"</f>
        <v>2018-10-17 09:09:13</v>
      </c>
    </row>
    <row r="11085" spans="1:7" x14ac:dyDescent="0.2">
      <c r="A11085" t="s">
        <v>11395</v>
      </c>
      <c r="B11085" t="str">
        <f>"18609933506"</f>
        <v>18609933506</v>
      </c>
      <c r="C11085" t="str">
        <f>"412726198810281630"</f>
        <v>412726198810281630</v>
      </c>
      <c r="D11085" t="s">
        <v>1</v>
      </c>
      <c r="E11085" t="s">
        <v>1</v>
      </c>
      <c r="F11085" t="s">
        <v>0</v>
      </c>
      <c r="G11085" t="str">
        <f>"2018-10-14 12:01:20"</f>
        <v>2018-10-14 12:01:20</v>
      </c>
    </row>
    <row r="11086" spans="1:7" x14ac:dyDescent="0.2">
      <c r="A11086" t="s">
        <v>11396</v>
      </c>
      <c r="B11086" t="str">
        <f>"18777147792"</f>
        <v>18777147792</v>
      </c>
      <c r="C11086" t="str">
        <f>"452623199702203376"</f>
        <v>452623199702203376</v>
      </c>
      <c r="D11086" t="s">
        <v>1</v>
      </c>
      <c r="E11086" t="s">
        <v>1</v>
      </c>
      <c r="F11086" t="s">
        <v>0</v>
      </c>
      <c r="G11086" t="str">
        <f>"2018-10-14 11:17:24"</f>
        <v>2018-10-14 11:17:24</v>
      </c>
    </row>
    <row r="11087" spans="1:7" x14ac:dyDescent="0.2">
      <c r="A11087" t="s">
        <v>11397</v>
      </c>
      <c r="B11087" t="str">
        <f>"13629910779"</f>
        <v>13629910779</v>
      </c>
      <c r="C11087" t="str">
        <f>"650121198910101711"</f>
        <v>650121198910101711</v>
      </c>
      <c r="D11087" t="s">
        <v>1</v>
      </c>
      <c r="E11087" t="s">
        <v>1</v>
      </c>
      <c r="F11087" t="s">
        <v>0</v>
      </c>
      <c r="G11087" t="str">
        <f>"2018-10-14 11:17:00"</f>
        <v>2018-10-14 11:17:00</v>
      </c>
    </row>
    <row r="11088" spans="1:7" x14ac:dyDescent="0.2">
      <c r="A11088" t="s">
        <v>11398</v>
      </c>
      <c r="B11088" t="str">
        <f>"18790205529"</f>
        <v>18790205529</v>
      </c>
      <c r="C11088" t="str">
        <f>"410822199206040024"</f>
        <v>410822199206040024</v>
      </c>
      <c r="D11088" t="s">
        <v>1</v>
      </c>
      <c r="E11088" t="s">
        <v>1</v>
      </c>
      <c r="F11088" t="s">
        <v>0</v>
      </c>
      <c r="G11088" t="str">
        <f>"2018-10-14 11:30:53"</f>
        <v>2018-10-14 11:30:53</v>
      </c>
    </row>
    <row r="11089" spans="1:7" x14ac:dyDescent="0.2">
      <c r="A11089" t="s">
        <v>1</v>
      </c>
      <c r="B11089" t="str">
        <f>"13303774888"</f>
        <v>13303774888</v>
      </c>
      <c r="C11089" t="s">
        <v>1</v>
      </c>
      <c r="D11089" t="s">
        <v>1</v>
      </c>
      <c r="E11089" t="s">
        <v>1</v>
      </c>
      <c r="F11089" t="s">
        <v>0</v>
      </c>
      <c r="G11089" t="str">
        <f>"2018-10-14 11:14:54"</f>
        <v>2018-10-14 11:14:54</v>
      </c>
    </row>
    <row r="11090" spans="1:7" x14ac:dyDescent="0.2">
      <c r="A11090" t="s">
        <v>1</v>
      </c>
      <c r="B11090" t="str">
        <f>"15247114224"</f>
        <v>15247114224</v>
      </c>
      <c r="C11090" t="s">
        <v>1</v>
      </c>
      <c r="D11090" t="s">
        <v>1</v>
      </c>
      <c r="E11090" t="s">
        <v>1</v>
      </c>
      <c r="F11090" t="s">
        <v>0</v>
      </c>
      <c r="G11090" t="str">
        <f>"2018-10-14 11:14:51"</f>
        <v>2018-10-14 11:14:51</v>
      </c>
    </row>
    <row r="11091" spans="1:7" x14ac:dyDescent="0.2">
      <c r="A11091" t="s">
        <v>11399</v>
      </c>
      <c r="B11091" t="str">
        <f>"13079885777"</f>
        <v>13079885777</v>
      </c>
      <c r="C11091" t="str">
        <f>"21021319831202051X"</f>
        <v>21021319831202051X</v>
      </c>
      <c r="D11091" t="s">
        <v>1</v>
      </c>
      <c r="E11091" t="s">
        <v>1</v>
      </c>
      <c r="F11091" t="s">
        <v>0</v>
      </c>
      <c r="G11091" t="str">
        <f>"2018-10-14 11:13:58"</f>
        <v>2018-10-14 11:13:58</v>
      </c>
    </row>
    <row r="11092" spans="1:7" x14ac:dyDescent="0.2">
      <c r="A11092" t="s">
        <v>11400</v>
      </c>
      <c r="B11092" t="str">
        <f>"17787925304"</f>
        <v>17787925304</v>
      </c>
      <c r="C11092" t="str">
        <f>"530423198512070915"</f>
        <v>530423198512070915</v>
      </c>
      <c r="D11092" t="s">
        <v>1</v>
      </c>
      <c r="E11092" t="s">
        <v>1</v>
      </c>
      <c r="F11092" t="s">
        <v>0</v>
      </c>
      <c r="G11092" t="str">
        <f>"2018-10-14 11:18:17"</f>
        <v>2018-10-14 11:18:17</v>
      </c>
    </row>
    <row r="11093" spans="1:7" x14ac:dyDescent="0.2">
      <c r="A11093" t="s">
        <v>11401</v>
      </c>
      <c r="B11093" t="str">
        <f>"17782353007"</f>
        <v>17782353007</v>
      </c>
      <c r="C11093" t="str">
        <f>"500382199009080052"</f>
        <v>500382199009080052</v>
      </c>
      <c r="D11093" t="s">
        <v>1</v>
      </c>
      <c r="E11093" t="s">
        <v>1</v>
      </c>
      <c r="F11093" t="s">
        <v>0</v>
      </c>
      <c r="G11093" t="str">
        <f>"2018-10-31 23:20:04"</f>
        <v>2018-10-31 23:20:04</v>
      </c>
    </row>
    <row r="11094" spans="1:7" x14ac:dyDescent="0.2">
      <c r="A11094" t="s">
        <v>1</v>
      </c>
      <c r="B11094" t="str">
        <f>"15330947463"</f>
        <v>15330947463</v>
      </c>
      <c r="C11094" t="s">
        <v>1</v>
      </c>
      <c r="D11094" t="s">
        <v>1</v>
      </c>
      <c r="E11094" t="s">
        <v>1</v>
      </c>
      <c r="F11094" t="s">
        <v>0</v>
      </c>
      <c r="G11094" t="str">
        <f>"2018-10-14 11:11:24"</f>
        <v>2018-10-14 11:11:24</v>
      </c>
    </row>
    <row r="11095" spans="1:7" x14ac:dyDescent="0.2">
      <c r="A11095" t="s">
        <v>11402</v>
      </c>
      <c r="B11095" t="str">
        <f>"13355032809"</f>
        <v>13355032809</v>
      </c>
      <c r="C11095" t="str">
        <f>"371321199401255615"</f>
        <v>371321199401255615</v>
      </c>
      <c r="D11095" t="s">
        <v>1</v>
      </c>
      <c r="E11095" t="s">
        <v>1</v>
      </c>
      <c r="F11095" t="s">
        <v>0</v>
      </c>
      <c r="G11095" t="str">
        <f>"2018-10-14 11:10:30"</f>
        <v>2018-10-14 11:10:30</v>
      </c>
    </row>
    <row r="11096" spans="1:7" x14ac:dyDescent="0.2">
      <c r="A11096" t="s">
        <v>1</v>
      </c>
      <c r="B11096" t="str">
        <f>"15553776088"</f>
        <v>15553776088</v>
      </c>
      <c r="C11096" t="s">
        <v>1</v>
      </c>
      <c r="D11096" t="s">
        <v>1</v>
      </c>
      <c r="E11096" t="s">
        <v>1</v>
      </c>
      <c r="F11096" t="s">
        <v>0</v>
      </c>
      <c r="G11096" t="str">
        <f>"2018-10-14 12:04:51"</f>
        <v>2018-10-14 12:04:51</v>
      </c>
    </row>
    <row r="11097" spans="1:7" x14ac:dyDescent="0.2">
      <c r="A11097" t="s">
        <v>11403</v>
      </c>
      <c r="B11097" t="str">
        <f>"13769958523"</f>
        <v>13769958523</v>
      </c>
      <c r="C11097" t="str">
        <f>"532730198805252415"</f>
        <v>532730198805252415</v>
      </c>
      <c r="D11097" t="s">
        <v>1</v>
      </c>
      <c r="E11097" t="s">
        <v>1</v>
      </c>
      <c r="F11097" t="s">
        <v>0</v>
      </c>
      <c r="G11097" t="str">
        <f>"2018-10-14 13:06:51"</f>
        <v>2018-10-14 13:06:51</v>
      </c>
    </row>
    <row r="11098" spans="1:7" x14ac:dyDescent="0.2">
      <c r="A11098" t="s">
        <v>11404</v>
      </c>
      <c r="B11098" t="str">
        <f>"18316590104"</f>
        <v>18316590104</v>
      </c>
      <c r="C11098" t="str">
        <f>"511322199610085934"</f>
        <v>511322199610085934</v>
      </c>
      <c r="D11098" t="s">
        <v>1</v>
      </c>
      <c r="E11098" t="s">
        <v>1</v>
      </c>
      <c r="F11098" t="s">
        <v>0</v>
      </c>
      <c r="G11098" t="str">
        <f>"2018-10-14 11:13:09"</f>
        <v>2018-10-14 11:13:09</v>
      </c>
    </row>
    <row r="11099" spans="1:7" x14ac:dyDescent="0.2">
      <c r="A11099" t="s">
        <v>848</v>
      </c>
      <c r="B11099" t="str">
        <f>"17762417137"</f>
        <v>17762417137</v>
      </c>
      <c r="C11099" t="str">
        <f>"421121199807140010"</f>
        <v>421121199807140010</v>
      </c>
      <c r="D11099" t="s">
        <v>1</v>
      </c>
      <c r="E11099" t="s">
        <v>1</v>
      </c>
      <c r="F11099" t="s">
        <v>0</v>
      </c>
      <c r="G11099" t="str">
        <f>"2018-10-14 12:16:24"</f>
        <v>2018-10-14 12:16:24</v>
      </c>
    </row>
    <row r="11100" spans="1:7" x14ac:dyDescent="0.2">
      <c r="A11100" t="s">
        <v>1302</v>
      </c>
      <c r="B11100" t="str">
        <f>"18661888811"</f>
        <v>18661888811</v>
      </c>
      <c r="C11100" t="str">
        <f>"230105199011020543"</f>
        <v>230105199011020543</v>
      </c>
      <c r="D11100" t="s">
        <v>1</v>
      </c>
      <c r="E11100" t="s">
        <v>1</v>
      </c>
      <c r="F11100" t="s">
        <v>0</v>
      </c>
      <c r="G11100" t="str">
        <f>"2018-10-14 11:11:48"</f>
        <v>2018-10-14 11:11:48</v>
      </c>
    </row>
    <row r="11101" spans="1:7" x14ac:dyDescent="0.2">
      <c r="A11101" t="s">
        <v>636</v>
      </c>
      <c r="B11101" t="str">
        <f>"15942716282"</f>
        <v>15942716282</v>
      </c>
      <c r="C11101" t="str">
        <f>"211202198806060513"</f>
        <v>211202198806060513</v>
      </c>
      <c r="D11101" t="s">
        <v>11405</v>
      </c>
      <c r="E11101" t="s">
        <v>11405</v>
      </c>
      <c r="F11101" t="s">
        <v>0</v>
      </c>
      <c r="G11101" t="str">
        <f>"2018-10-14 11:24:22"</f>
        <v>2018-10-14 11:24:22</v>
      </c>
    </row>
    <row r="11102" spans="1:7" x14ac:dyDescent="0.2">
      <c r="A11102" t="s">
        <v>11406</v>
      </c>
      <c r="B11102" t="str">
        <f>"13697427931"</f>
        <v>13697427931</v>
      </c>
      <c r="C11102" t="str">
        <f>"360423198103230816"</f>
        <v>360423198103230816</v>
      </c>
      <c r="D11102" t="s">
        <v>1</v>
      </c>
      <c r="E11102" t="s">
        <v>1</v>
      </c>
      <c r="F11102" t="s">
        <v>0</v>
      </c>
      <c r="G11102" t="str">
        <f>"2018-10-14 11:09:50"</f>
        <v>2018-10-14 11:09:50</v>
      </c>
    </row>
    <row r="11103" spans="1:7" x14ac:dyDescent="0.2">
      <c r="A11103" t="s">
        <v>11407</v>
      </c>
      <c r="B11103" t="str">
        <f>"13468540392"</f>
        <v>13468540392</v>
      </c>
      <c r="C11103" t="str">
        <f>"610625199703251039"</f>
        <v>610625199703251039</v>
      </c>
      <c r="D11103" t="s">
        <v>1</v>
      </c>
      <c r="E11103" t="s">
        <v>1</v>
      </c>
      <c r="F11103" t="s">
        <v>0</v>
      </c>
      <c r="G11103" t="str">
        <f>"2018-10-14 11:24:26"</f>
        <v>2018-10-14 11:24:26</v>
      </c>
    </row>
    <row r="11104" spans="1:7" x14ac:dyDescent="0.2">
      <c r="A11104" t="s">
        <v>11408</v>
      </c>
      <c r="B11104" t="str">
        <f>"18824633142"</f>
        <v>18824633142</v>
      </c>
      <c r="C11104" t="str">
        <f>"511325199904111834"</f>
        <v>511325199904111834</v>
      </c>
      <c r="D11104" t="s">
        <v>1</v>
      </c>
      <c r="E11104" t="s">
        <v>1</v>
      </c>
      <c r="F11104" t="s">
        <v>0</v>
      </c>
      <c r="G11104" t="str">
        <f>"2018-10-14 11:07:07"</f>
        <v>2018-10-14 11:07:07</v>
      </c>
    </row>
    <row r="11105" spans="1:7" x14ac:dyDescent="0.2">
      <c r="A11105" t="s">
        <v>1</v>
      </c>
      <c r="B11105" t="str">
        <f>"13841961836"</f>
        <v>13841961836</v>
      </c>
      <c r="C11105" t="s">
        <v>1</v>
      </c>
      <c r="D11105" t="s">
        <v>1</v>
      </c>
      <c r="E11105" t="s">
        <v>1</v>
      </c>
      <c r="F11105" t="s">
        <v>0</v>
      </c>
      <c r="G11105" t="str">
        <f>"2018-10-14 11:06:52"</f>
        <v>2018-10-14 11:06:52</v>
      </c>
    </row>
    <row r="11106" spans="1:7" x14ac:dyDescent="0.2">
      <c r="A11106" t="s">
        <v>1</v>
      </c>
      <c r="B11106" t="str">
        <f>"18250872232"</f>
        <v>18250872232</v>
      </c>
      <c r="C11106" t="s">
        <v>1</v>
      </c>
      <c r="D11106" t="s">
        <v>1</v>
      </c>
      <c r="E11106" t="s">
        <v>1</v>
      </c>
      <c r="F11106" t="s">
        <v>0</v>
      </c>
      <c r="G11106" t="str">
        <f>"2018-10-14 13:16:05"</f>
        <v>2018-10-14 13:16:05</v>
      </c>
    </row>
    <row r="11107" spans="1:7" x14ac:dyDescent="0.2">
      <c r="A11107" t="s">
        <v>1</v>
      </c>
      <c r="B11107" t="str">
        <f>"18962680589"</f>
        <v>18962680589</v>
      </c>
      <c r="C11107" t="s">
        <v>1</v>
      </c>
      <c r="D11107" t="s">
        <v>1</v>
      </c>
      <c r="E11107" t="s">
        <v>1</v>
      </c>
      <c r="F11107" t="s">
        <v>0</v>
      </c>
      <c r="G11107" t="str">
        <f>"2018-10-14 11:05:15"</f>
        <v>2018-10-14 11:05:15</v>
      </c>
    </row>
    <row r="11108" spans="1:7" x14ac:dyDescent="0.2">
      <c r="A11108" t="s">
        <v>11409</v>
      </c>
      <c r="B11108" t="str">
        <f>"15137553103"</f>
        <v>15137553103</v>
      </c>
      <c r="C11108" t="str">
        <f>"410425199304036050"</f>
        <v>410425199304036050</v>
      </c>
      <c r="D11108" t="s">
        <v>1</v>
      </c>
      <c r="E11108" t="s">
        <v>1</v>
      </c>
      <c r="F11108" t="s">
        <v>0</v>
      </c>
      <c r="G11108" t="str">
        <f>"2018-10-14 11:06:49"</f>
        <v>2018-10-14 11:06:49</v>
      </c>
    </row>
    <row r="11109" spans="1:7" x14ac:dyDescent="0.2">
      <c r="A11109" t="s">
        <v>11410</v>
      </c>
      <c r="B11109" t="str">
        <f>"18613925969"</f>
        <v>18613925969</v>
      </c>
      <c r="C11109" t="str">
        <f>"433122199406131017"</f>
        <v>433122199406131017</v>
      </c>
      <c r="D11109" t="s">
        <v>1</v>
      </c>
      <c r="E11109" t="s">
        <v>1</v>
      </c>
      <c r="F11109" t="s">
        <v>0</v>
      </c>
      <c r="G11109" t="str">
        <f>"2018-10-14 11:05:32"</f>
        <v>2018-10-14 11:05:32</v>
      </c>
    </row>
    <row r="11110" spans="1:7" x14ac:dyDescent="0.2">
      <c r="A11110" t="s">
        <v>11411</v>
      </c>
      <c r="B11110" t="str">
        <f>"17612129407"</f>
        <v>17612129407</v>
      </c>
      <c r="C11110" t="str">
        <f>"410927199104112012"</f>
        <v>410927199104112012</v>
      </c>
      <c r="D11110" t="s">
        <v>1</v>
      </c>
      <c r="E11110" t="s">
        <v>1</v>
      </c>
      <c r="F11110" t="s">
        <v>0</v>
      </c>
      <c r="G11110" t="str">
        <f>"2018-10-14 11:05:18"</f>
        <v>2018-10-14 11:05:18</v>
      </c>
    </row>
    <row r="11111" spans="1:7" x14ac:dyDescent="0.2">
      <c r="A11111" t="s">
        <v>11412</v>
      </c>
      <c r="B11111" t="str">
        <f>"18385303771"</f>
        <v>18385303771</v>
      </c>
      <c r="C11111" t="str">
        <f>"522126199406271016"</f>
        <v>522126199406271016</v>
      </c>
      <c r="D11111" t="s">
        <v>1</v>
      </c>
      <c r="E11111" t="s">
        <v>1</v>
      </c>
      <c r="F11111" t="s">
        <v>0</v>
      </c>
      <c r="G11111" t="str">
        <f>"2018-10-14 11:05:11"</f>
        <v>2018-10-14 11:05:11</v>
      </c>
    </row>
    <row r="11112" spans="1:7" x14ac:dyDescent="0.2">
      <c r="A11112" t="s">
        <v>1</v>
      </c>
      <c r="B11112" t="str">
        <f>"18398550085"</f>
        <v>18398550085</v>
      </c>
      <c r="C11112" t="s">
        <v>1</v>
      </c>
      <c r="D11112" t="s">
        <v>1</v>
      </c>
      <c r="E11112" t="s">
        <v>1</v>
      </c>
      <c r="F11112" t="s">
        <v>0</v>
      </c>
      <c r="G11112" t="str">
        <f>"2018-10-14 11:03:39"</f>
        <v>2018-10-14 11:03:39</v>
      </c>
    </row>
    <row r="11113" spans="1:7" x14ac:dyDescent="0.2">
      <c r="A11113" t="s">
        <v>11413</v>
      </c>
      <c r="B11113" t="str">
        <f>"13876267407"</f>
        <v>13876267407</v>
      </c>
      <c r="C11113" t="str">
        <f>"46002119911122441X"</f>
        <v>46002119911122441X</v>
      </c>
      <c r="D11113" t="s">
        <v>1</v>
      </c>
      <c r="E11113" t="s">
        <v>1</v>
      </c>
      <c r="F11113" t="s">
        <v>0</v>
      </c>
      <c r="G11113" t="str">
        <f>"2018-10-21 09:27:01"</f>
        <v>2018-10-21 09:27:01</v>
      </c>
    </row>
    <row r="11114" spans="1:7" x14ac:dyDescent="0.2">
      <c r="A11114" t="s">
        <v>11414</v>
      </c>
      <c r="B11114" t="str">
        <f>"13560616629"</f>
        <v>13560616629</v>
      </c>
      <c r="C11114" t="str">
        <f>"441481198705134420"</f>
        <v>441481198705134420</v>
      </c>
      <c r="D11114" t="s">
        <v>1</v>
      </c>
      <c r="E11114" t="s">
        <v>1</v>
      </c>
      <c r="F11114" t="s">
        <v>0</v>
      </c>
      <c r="G11114" t="str">
        <f>"2018-10-14 11:05:46"</f>
        <v>2018-10-14 11:05:46</v>
      </c>
    </row>
    <row r="11115" spans="1:7" x14ac:dyDescent="0.2">
      <c r="A11115" t="s">
        <v>11415</v>
      </c>
      <c r="B11115" t="str">
        <f>"18187629436"</f>
        <v>18187629436</v>
      </c>
      <c r="C11115" t="str">
        <f>"532621198606174029"</f>
        <v>532621198606174029</v>
      </c>
      <c r="D11115" t="s">
        <v>1</v>
      </c>
      <c r="E11115" t="s">
        <v>1</v>
      </c>
      <c r="F11115" t="s">
        <v>0</v>
      </c>
      <c r="G11115" t="str">
        <f>"2018-10-14 11:41:32"</f>
        <v>2018-10-14 11:41:32</v>
      </c>
    </row>
    <row r="11116" spans="1:7" x14ac:dyDescent="0.2">
      <c r="A11116" t="s">
        <v>1</v>
      </c>
      <c r="B11116" t="str">
        <f>"13675977971"</f>
        <v>13675977971</v>
      </c>
      <c r="C11116" t="s">
        <v>1</v>
      </c>
      <c r="D11116" t="s">
        <v>1</v>
      </c>
      <c r="E11116" t="s">
        <v>1</v>
      </c>
      <c r="F11116" t="s">
        <v>0</v>
      </c>
      <c r="G11116" t="str">
        <f>"2018-10-14 10:59:22"</f>
        <v>2018-10-14 10:59:22</v>
      </c>
    </row>
    <row r="11117" spans="1:7" x14ac:dyDescent="0.2">
      <c r="A11117" t="s">
        <v>1</v>
      </c>
      <c r="B11117" t="str">
        <f>"18657739923"</f>
        <v>18657739923</v>
      </c>
      <c r="C11117" t="s">
        <v>1</v>
      </c>
      <c r="D11117" t="s">
        <v>1</v>
      </c>
      <c r="E11117" t="s">
        <v>1</v>
      </c>
      <c r="F11117" t="s">
        <v>0</v>
      </c>
      <c r="G11117" t="str">
        <f>"2018-10-14 11:04:54"</f>
        <v>2018-10-14 11:04:54</v>
      </c>
    </row>
    <row r="11118" spans="1:7" x14ac:dyDescent="0.2">
      <c r="A11118" t="s">
        <v>406</v>
      </c>
      <c r="B11118" t="str">
        <f>"18095720997"</f>
        <v>18095720997</v>
      </c>
      <c r="C11118" t="str">
        <f>"632122199005280018"</f>
        <v>632122199005280018</v>
      </c>
      <c r="D11118" t="s">
        <v>1</v>
      </c>
      <c r="E11118" t="s">
        <v>1</v>
      </c>
      <c r="F11118" t="s">
        <v>0</v>
      </c>
      <c r="G11118" t="str">
        <f>"2018-10-14 11:13:14"</f>
        <v>2018-10-14 11:13:14</v>
      </c>
    </row>
    <row r="11119" spans="1:7" x14ac:dyDescent="0.2">
      <c r="A11119" t="s">
        <v>560</v>
      </c>
      <c r="B11119" t="str">
        <f>"18204059989"</f>
        <v>18204059989</v>
      </c>
      <c r="C11119" t="str">
        <f>"210181199107220323"</f>
        <v>210181199107220323</v>
      </c>
      <c r="D11119" t="s">
        <v>1</v>
      </c>
      <c r="E11119" t="s">
        <v>1</v>
      </c>
      <c r="F11119" t="s">
        <v>0</v>
      </c>
      <c r="G11119" t="str">
        <f>"2018-10-14 11:01:21"</f>
        <v>2018-10-14 11:01:21</v>
      </c>
    </row>
    <row r="11120" spans="1:7" x14ac:dyDescent="0.2">
      <c r="A11120" t="s">
        <v>1</v>
      </c>
      <c r="B11120" t="str">
        <f>"17313439983"</f>
        <v>17313439983</v>
      </c>
      <c r="C11120" t="s">
        <v>1</v>
      </c>
      <c r="D11120" t="s">
        <v>1</v>
      </c>
      <c r="E11120" t="s">
        <v>1</v>
      </c>
      <c r="F11120" t="s">
        <v>0</v>
      </c>
      <c r="G11120" t="str">
        <f>"2018-10-14 10:56:48"</f>
        <v>2018-10-14 10:56:48</v>
      </c>
    </row>
    <row r="11121" spans="1:7" x14ac:dyDescent="0.2">
      <c r="A11121" t="s">
        <v>1</v>
      </c>
      <c r="B11121" t="str">
        <f>"17171049842"</f>
        <v>17171049842</v>
      </c>
      <c r="C11121" t="s">
        <v>1</v>
      </c>
      <c r="D11121" t="s">
        <v>1</v>
      </c>
      <c r="E11121" t="s">
        <v>1</v>
      </c>
      <c r="F11121" t="s">
        <v>0</v>
      </c>
      <c r="G11121" t="str">
        <f>"2018-10-14 10:56:27"</f>
        <v>2018-10-14 10:56:27</v>
      </c>
    </row>
    <row r="11122" spans="1:7" x14ac:dyDescent="0.2">
      <c r="A11122" t="s">
        <v>11416</v>
      </c>
      <c r="B11122" t="str">
        <f>"13542431763"</f>
        <v>13542431763</v>
      </c>
      <c r="C11122" t="str">
        <f>"445302199005283377"</f>
        <v>445302199005283377</v>
      </c>
      <c r="D11122" t="s">
        <v>1</v>
      </c>
      <c r="E11122" t="s">
        <v>1</v>
      </c>
      <c r="F11122" t="s">
        <v>0</v>
      </c>
      <c r="G11122" t="str">
        <f>"2018-10-14 10:57:59"</f>
        <v>2018-10-14 10:57:59</v>
      </c>
    </row>
    <row r="11123" spans="1:7" x14ac:dyDescent="0.2">
      <c r="A11123" t="s">
        <v>11417</v>
      </c>
      <c r="B11123" t="str">
        <f>"15629796123"</f>
        <v>15629796123</v>
      </c>
      <c r="C11123" t="str">
        <f>"420802198704160928"</f>
        <v>420802198704160928</v>
      </c>
      <c r="D11123" t="s">
        <v>1</v>
      </c>
      <c r="E11123" t="s">
        <v>1</v>
      </c>
      <c r="F11123" t="s">
        <v>0</v>
      </c>
      <c r="G11123" t="str">
        <f>"2018-10-14 11:01:05"</f>
        <v>2018-10-14 11:01:05</v>
      </c>
    </row>
    <row r="11124" spans="1:7" x14ac:dyDescent="0.2">
      <c r="A11124" t="s">
        <v>945</v>
      </c>
      <c r="B11124" t="str">
        <f>"18788174203"</f>
        <v>18788174203</v>
      </c>
      <c r="C11124" t="str">
        <f>"530103198211281813"</f>
        <v>530103198211281813</v>
      </c>
      <c r="D11124" t="s">
        <v>1</v>
      </c>
      <c r="E11124" t="s">
        <v>1</v>
      </c>
      <c r="F11124" t="s">
        <v>0</v>
      </c>
      <c r="G11124" t="str">
        <f>"2018-10-25 14:31:09"</f>
        <v>2018-10-25 14:31:09</v>
      </c>
    </row>
    <row r="11125" spans="1:7" x14ac:dyDescent="0.2">
      <c r="A11125" t="s">
        <v>1810</v>
      </c>
      <c r="B11125" t="str">
        <f>"13333141615"</f>
        <v>13333141615</v>
      </c>
      <c r="C11125" t="str">
        <f>"13080319780308082X"</f>
        <v>13080319780308082X</v>
      </c>
      <c r="D11125" t="s">
        <v>1</v>
      </c>
      <c r="E11125" t="s">
        <v>1</v>
      </c>
      <c r="F11125" t="s">
        <v>0</v>
      </c>
      <c r="G11125" t="str">
        <f>"2018-10-14 14:28:13"</f>
        <v>2018-10-14 14:28:13</v>
      </c>
    </row>
    <row r="11126" spans="1:7" x14ac:dyDescent="0.2">
      <c r="A11126" t="s">
        <v>1</v>
      </c>
      <c r="B11126" t="str">
        <f>"13754048689"</f>
        <v>13754048689</v>
      </c>
      <c r="C11126" t="s">
        <v>1</v>
      </c>
      <c r="D11126" t="s">
        <v>1</v>
      </c>
      <c r="E11126" t="s">
        <v>1</v>
      </c>
      <c r="F11126" t="s">
        <v>0</v>
      </c>
      <c r="G11126" t="str">
        <f>"2018-10-14 10:55:11"</f>
        <v>2018-10-14 10:55:11</v>
      </c>
    </row>
    <row r="11127" spans="1:7" x14ac:dyDescent="0.2">
      <c r="A11127" t="s">
        <v>1</v>
      </c>
      <c r="B11127" t="str">
        <f>"15270388273"</f>
        <v>15270388273</v>
      </c>
      <c r="C11127" t="s">
        <v>1</v>
      </c>
      <c r="D11127" t="s">
        <v>1</v>
      </c>
      <c r="E11127" t="s">
        <v>1</v>
      </c>
      <c r="F11127" t="s">
        <v>0</v>
      </c>
      <c r="G11127" t="str">
        <f>"2018-10-14 10:55:09"</f>
        <v>2018-10-14 10:55:09</v>
      </c>
    </row>
    <row r="11128" spans="1:7" x14ac:dyDescent="0.2">
      <c r="A11128" t="s">
        <v>1</v>
      </c>
      <c r="B11128" t="str">
        <f>"13966838384"</f>
        <v>13966838384</v>
      </c>
      <c r="C11128" t="s">
        <v>1</v>
      </c>
      <c r="D11128" t="s">
        <v>1</v>
      </c>
      <c r="E11128" t="s">
        <v>1</v>
      </c>
      <c r="F11128" t="s">
        <v>0</v>
      </c>
      <c r="G11128" t="str">
        <f>"2018-10-14 10:56:15"</f>
        <v>2018-10-14 10:56:15</v>
      </c>
    </row>
    <row r="11129" spans="1:7" x14ac:dyDescent="0.2">
      <c r="A11129" t="s">
        <v>11418</v>
      </c>
      <c r="B11129" t="str">
        <f>"13320998886"</f>
        <v>13320998886</v>
      </c>
      <c r="C11129" t="str">
        <f>"510125198206254110"</f>
        <v>510125198206254110</v>
      </c>
      <c r="D11129" t="s">
        <v>1</v>
      </c>
      <c r="E11129" t="s">
        <v>1</v>
      </c>
      <c r="F11129" t="s">
        <v>0</v>
      </c>
      <c r="G11129" t="str">
        <f>"2018-10-14 10:55:05"</f>
        <v>2018-10-14 10:55:05</v>
      </c>
    </row>
    <row r="11130" spans="1:7" x14ac:dyDescent="0.2">
      <c r="A11130" t="s">
        <v>11419</v>
      </c>
      <c r="B11130" t="str">
        <f>"18690107020"</f>
        <v>18690107020</v>
      </c>
      <c r="C11130" t="str">
        <f>"654221199703070418"</f>
        <v>654221199703070418</v>
      </c>
      <c r="D11130" t="s">
        <v>11420</v>
      </c>
      <c r="E11130" t="s">
        <v>11421</v>
      </c>
      <c r="F11130" t="s">
        <v>0</v>
      </c>
      <c r="G11130" t="str">
        <f>"2018-10-14 10:55:17"</f>
        <v>2018-10-14 10:55:17</v>
      </c>
    </row>
    <row r="11131" spans="1:7" x14ac:dyDescent="0.2">
      <c r="A11131" t="s">
        <v>11422</v>
      </c>
      <c r="B11131" t="str">
        <f>"13837472883"</f>
        <v>13837472883</v>
      </c>
      <c r="C11131" t="str">
        <f>"411022197005114216"</f>
        <v>411022197005114216</v>
      </c>
      <c r="D11131" t="s">
        <v>1</v>
      </c>
      <c r="E11131" t="s">
        <v>1</v>
      </c>
      <c r="F11131" t="s">
        <v>0</v>
      </c>
      <c r="G11131" t="str">
        <f>"2018-10-14 10:54:23"</f>
        <v>2018-10-14 10:54:23</v>
      </c>
    </row>
    <row r="11132" spans="1:7" x14ac:dyDescent="0.2">
      <c r="A11132" t="s">
        <v>1</v>
      </c>
      <c r="B11132" t="str">
        <f>"18198225479"</f>
        <v>18198225479</v>
      </c>
      <c r="C11132" t="s">
        <v>1</v>
      </c>
      <c r="D11132" t="s">
        <v>1</v>
      </c>
      <c r="E11132" t="s">
        <v>1</v>
      </c>
      <c r="F11132" t="s">
        <v>0</v>
      </c>
      <c r="G11132" t="str">
        <f>"2018-10-14 10:51:50"</f>
        <v>2018-10-14 10:51:50</v>
      </c>
    </row>
    <row r="11133" spans="1:7" x14ac:dyDescent="0.2">
      <c r="A11133" t="s">
        <v>1</v>
      </c>
      <c r="B11133" t="str">
        <f>"17798513366"</f>
        <v>17798513366</v>
      </c>
      <c r="C11133" t="s">
        <v>1</v>
      </c>
      <c r="D11133" t="s">
        <v>1</v>
      </c>
      <c r="E11133" t="s">
        <v>1</v>
      </c>
      <c r="F11133" t="s">
        <v>0</v>
      </c>
      <c r="G11133" t="str">
        <f>"2018-10-14 10:51:40"</f>
        <v>2018-10-14 10:51:40</v>
      </c>
    </row>
    <row r="11134" spans="1:7" x14ac:dyDescent="0.2">
      <c r="A11134" t="s">
        <v>1</v>
      </c>
      <c r="B11134" t="str">
        <f>"13303968275"</f>
        <v>13303968275</v>
      </c>
      <c r="C11134" t="s">
        <v>1</v>
      </c>
      <c r="D11134" t="s">
        <v>1</v>
      </c>
      <c r="E11134" t="s">
        <v>1</v>
      </c>
      <c r="F11134" t="s">
        <v>0</v>
      </c>
      <c r="G11134" t="str">
        <f>"2018-10-14 10:52:01"</f>
        <v>2018-10-14 10:52:01</v>
      </c>
    </row>
    <row r="11135" spans="1:7" x14ac:dyDescent="0.2">
      <c r="A11135" t="s">
        <v>11423</v>
      </c>
      <c r="B11135" t="str">
        <f>"18941999890"</f>
        <v>18941999890</v>
      </c>
      <c r="C11135" t="str">
        <f>"211003199205022212"</f>
        <v>211003199205022212</v>
      </c>
      <c r="D11135" t="s">
        <v>1</v>
      </c>
      <c r="E11135" t="s">
        <v>1</v>
      </c>
      <c r="F11135" t="s">
        <v>0</v>
      </c>
      <c r="G11135" t="str">
        <f>"2018-10-14 11:02:01"</f>
        <v>2018-10-14 11:02:01</v>
      </c>
    </row>
    <row r="11136" spans="1:7" x14ac:dyDescent="0.2">
      <c r="A11136" t="s">
        <v>14</v>
      </c>
      <c r="B11136" t="str">
        <f>"13632227910"</f>
        <v>13632227910</v>
      </c>
      <c r="C11136" t="str">
        <f>"440182198907280951"</f>
        <v>440182198907280951</v>
      </c>
      <c r="D11136" t="s">
        <v>1</v>
      </c>
      <c r="E11136" t="s">
        <v>1</v>
      </c>
      <c r="F11136" t="s">
        <v>0</v>
      </c>
      <c r="G11136" t="str">
        <f>"2018-10-14 10:56:28"</f>
        <v>2018-10-14 10:56:28</v>
      </c>
    </row>
    <row r="11137" spans="1:7" x14ac:dyDescent="0.2">
      <c r="A11137" t="s">
        <v>222</v>
      </c>
      <c r="B11137" t="str">
        <f>"15328029733"</f>
        <v>15328029733</v>
      </c>
      <c r="C11137" t="str">
        <f>"510129198406270014"</f>
        <v>510129198406270014</v>
      </c>
      <c r="D11137" t="s">
        <v>1</v>
      </c>
      <c r="E11137" t="s">
        <v>1</v>
      </c>
      <c r="F11137" t="s">
        <v>0</v>
      </c>
      <c r="G11137" t="str">
        <f>"2018-10-14 13:06:28"</f>
        <v>2018-10-14 13:06:28</v>
      </c>
    </row>
    <row r="11138" spans="1:7" x14ac:dyDescent="0.2">
      <c r="A11138" t="s">
        <v>11424</v>
      </c>
      <c r="B11138" t="str">
        <f>"18171235987"</f>
        <v>18171235987</v>
      </c>
      <c r="C11138" t="str">
        <f>"420106198103250810"</f>
        <v>420106198103250810</v>
      </c>
      <c r="D11138" t="s">
        <v>1</v>
      </c>
      <c r="E11138" t="s">
        <v>1</v>
      </c>
      <c r="F11138" t="s">
        <v>0</v>
      </c>
      <c r="G11138" t="str">
        <f>"2018-10-14 10:50:36"</f>
        <v>2018-10-14 10:50:36</v>
      </c>
    </row>
    <row r="11139" spans="1:7" x14ac:dyDescent="0.2">
      <c r="A11139" t="s">
        <v>11425</v>
      </c>
      <c r="B11139" t="str">
        <f>"13379392991"</f>
        <v>13379392991</v>
      </c>
      <c r="C11139" t="str">
        <f>"612724199401120536"</f>
        <v>612724199401120536</v>
      </c>
      <c r="D11139" t="s">
        <v>1</v>
      </c>
      <c r="E11139" t="s">
        <v>1</v>
      </c>
      <c r="F11139" t="s">
        <v>0</v>
      </c>
      <c r="G11139" t="str">
        <f>"2018-10-14 11:20:53"</f>
        <v>2018-10-14 11:20:53</v>
      </c>
    </row>
    <row r="11140" spans="1:7" x14ac:dyDescent="0.2">
      <c r="A11140" t="s">
        <v>1</v>
      </c>
      <c r="B11140" t="str">
        <f>"18961003330"</f>
        <v>18961003330</v>
      </c>
      <c r="C11140" t="s">
        <v>1</v>
      </c>
      <c r="D11140" t="s">
        <v>1</v>
      </c>
      <c r="E11140" t="s">
        <v>1</v>
      </c>
      <c r="F11140" t="s">
        <v>0</v>
      </c>
      <c r="G11140" t="str">
        <f>"2018-10-14 10:49:09"</f>
        <v>2018-10-14 10:49:09</v>
      </c>
    </row>
    <row r="11141" spans="1:7" x14ac:dyDescent="0.2">
      <c r="A11141" t="s">
        <v>11426</v>
      </c>
      <c r="B11141" t="str">
        <f>"18065891375"</f>
        <v>18065891375</v>
      </c>
      <c r="C11141" t="str">
        <f>"350426197710232525"</f>
        <v>350426197710232525</v>
      </c>
      <c r="D11141" t="s">
        <v>1</v>
      </c>
      <c r="E11141" t="s">
        <v>1</v>
      </c>
      <c r="F11141" t="s">
        <v>0</v>
      </c>
      <c r="G11141" t="str">
        <f>"2018-10-14 10:50:41"</f>
        <v>2018-10-14 10:50:41</v>
      </c>
    </row>
    <row r="11142" spans="1:7" x14ac:dyDescent="0.2">
      <c r="A11142" t="s">
        <v>1</v>
      </c>
      <c r="B11142" t="str">
        <f>"18971880087"</f>
        <v>18971880087</v>
      </c>
      <c r="C11142" t="s">
        <v>1</v>
      </c>
      <c r="D11142" t="s">
        <v>1</v>
      </c>
      <c r="E11142" t="s">
        <v>1</v>
      </c>
      <c r="F11142" t="s">
        <v>0</v>
      </c>
      <c r="G11142" t="str">
        <f>"2018-10-14 11:31:25"</f>
        <v>2018-10-14 11:31:25</v>
      </c>
    </row>
    <row r="11143" spans="1:7" x14ac:dyDescent="0.2">
      <c r="A11143" t="s">
        <v>1</v>
      </c>
      <c r="B11143" t="str">
        <f>"15080329267"</f>
        <v>15080329267</v>
      </c>
      <c r="C11143" t="s">
        <v>1</v>
      </c>
      <c r="D11143" t="s">
        <v>1</v>
      </c>
      <c r="E11143" t="s">
        <v>1</v>
      </c>
      <c r="F11143" t="s">
        <v>0</v>
      </c>
      <c r="G11143" t="str">
        <f>"2018-10-14 10:48:51"</f>
        <v>2018-10-14 10:48:51</v>
      </c>
    </row>
    <row r="11144" spans="1:7" x14ac:dyDescent="0.2">
      <c r="A11144" t="s">
        <v>11427</v>
      </c>
      <c r="B11144" t="str">
        <f>"15005299363"</f>
        <v>15005299363</v>
      </c>
      <c r="C11144" t="str">
        <f>"321181198202112816"</f>
        <v>321181198202112816</v>
      </c>
      <c r="D11144" t="s">
        <v>1</v>
      </c>
      <c r="E11144" t="s">
        <v>1</v>
      </c>
      <c r="F11144" t="s">
        <v>0</v>
      </c>
      <c r="G11144" t="str">
        <f>"2018-10-14 10:50:24"</f>
        <v>2018-10-14 10:50:24</v>
      </c>
    </row>
    <row r="11145" spans="1:7" x14ac:dyDescent="0.2">
      <c r="A11145" t="s">
        <v>11428</v>
      </c>
      <c r="B11145" t="str">
        <f>"18942815669"</f>
        <v>18942815669</v>
      </c>
      <c r="C11145" t="str">
        <f>"510303198709181016"</f>
        <v>510303198709181016</v>
      </c>
      <c r="D11145" t="s">
        <v>1</v>
      </c>
      <c r="E11145" t="s">
        <v>1</v>
      </c>
      <c r="F11145" t="s">
        <v>0</v>
      </c>
      <c r="G11145" t="str">
        <f>"2018-10-14 10:49:11"</f>
        <v>2018-10-14 10:49:11</v>
      </c>
    </row>
    <row r="11146" spans="1:7" x14ac:dyDescent="0.2">
      <c r="A11146" t="s">
        <v>1</v>
      </c>
      <c r="B11146" t="str">
        <f>"13988079587"</f>
        <v>13988079587</v>
      </c>
      <c r="C11146" t="s">
        <v>1</v>
      </c>
      <c r="D11146" t="s">
        <v>1</v>
      </c>
      <c r="E11146" t="s">
        <v>1</v>
      </c>
      <c r="F11146" t="s">
        <v>0</v>
      </c>
      <c r="G11146" t="str">
        <f>"2018-10-14 12:20:34"</f>
        <v>2018-10-14 12:20:34</v>
      </c>
    </row>
    <row r="11147" spans="1:7" x14ac:dyDescent="0.2">
      <c r="A11147" t="s">
        <v>1</v>
      </c>
      <c r="B11147" t="str">
        <f>"15677184294"</f>
        <v>15677184294</v>
      </c>
      <c r="C11147" t="s">
        <v>1</v>
      </c>
      <c r="D11147" t="s">
        <v>1</v>
      </c>
      <c r="E11147" t="s">
        <v>1</v>
      </c>
      <c r="F11147" t="s">
        <v>0</v>
      </c>
      <c r="G11147" t="str">
        <f>"2018-10-14 10:46:31"</f>
        <v>2018-10-14 10:46:31</v>
      </c>
    </row>
    <row r="11148" spans="1:7" x14ac:dyDescent="0.2">
      <c r="A11148" t="s">
        <v>11429</v>
      </c>
      <c r="B11148" t="str">
        <f>"18115479573"</f>
        <v>18115479573</v>
      </c>
      <c r="C11148" t="str">
        <f>"622427199007100793"</f>
        <v>622427199007100793</v>
      </c>
      <c r="D11148" t="s">
        <v>1</v>
      </c>
      <c r="E11148" t="s">
        <v>1</v>
      </c>
      <c r="F11148" t="s">
        <v>0</v>
      </c>
      <c r="G11148" t="str">
        <f>"2018-10-14 11:26:47"</f>
        <v>2018-10-14 11:26:47</v>
      </c>
    </row>
    <row r="11149" spans="1:7" x14ac:dyDescent="0.2">
      <c r="A11149" t="s">
        <v>1</v>
      </c>
      <c r="B11149" t="str">
        <f>"15399851328"</f>
        <v>15399851328</v>
      </c>
      <c r="C11149" t="s">
        <v>1</v>
      </c>
      <c r="D11149" t="s">
        <v>1</v>
      </c>
      <c r="E11149" t="s">
        <v>1</v>
      </c>
      <c r="F11149" t="s">
        <v>0</v>
      </c>
      <c r="G11149" t="str">
        <f>"2018-10-14 10:45:51"</f>
        <v>2018-10-14 10:45:51</v>
      </c>
    </row>
    <row r="11150" spans="1:7" x14ac:dyDescent="0.2">
      <c r="A11150" t="s">
        <v>1</v>
      </c>
      <c r="B11150" t="str">
        <f>"13024798938"</f>
        <v>13024798938</v>
      </c>
      <c r="C11150" t="s">
        <v>1</v>
      </c>
      <c r="D11150" t="s">
        <v>1</v>
      </c>
      <c r="E11150" t="s">
        <v>1</v>
      </c>
      <c r="F11150" t="s">
        <v>0</v>
      </c>
      <c r="G11150" t="str">
        <f>"2018-10-14 10:44:42"</f>
        <v>2018-10-14 10:44:42</v>
      </c>
    </row>
    <row r="11151" spans="1:7" x14ac:dyDescent="0.2">
      <c r="A11151" t="s">
        <v>11430</v>
      </c>
      <c r="B11151" t="str">
        <f>"15334127318"</f>
        <v>15334127318</v>
      </c>
      <c r="C11151" t="str">
        <f>"421182199112011733"</f>
        <v>421182199112011733</v>
      </c>
      <c r="D11151" t="s">
        <v>1</v>
      </c>
      <c r="E11151" t="s">
        <v>1</v>
      </c>
      <c r="F11151" t="s">
        <v>0</v>
      </c>
      <c r="G11151" t="str">
        <f>"2018-10-14 10:46:31"</f>
        <v>2018-10-14 10:46:31</v>
      </c>
    </row>
    <row r="11152" spans="1:7" x14ac:dyDescent="0.2">
      <c r="A11152" t="s">
        <v>11431</v>
      </c>
      <c r="B11152" t="str">
        <f>"18604605272"</f>
        <v>18604605272</v>
      </c>
      <c r="C11152" t="str">
        <f>"230381198707026364"</f>
        <v>230381198707026364</v>
      </c>
      <c r="D11152" t="s">
        <v>11432</v>
      </c>
      <c r="E11152" t="s">
        <v>11433</v>
      </c>
      <c r="F11152" t="s">
        <v>0</v>
      </c>
      <c r="G11152" t="str">
        <f>"2018-10-14 10:45:18"</f>
        <v>2018-10-14 10:45:18</v>
      </c>
    </row>
    <row r="11153" spans="1:7" x14ac:dyDescent="0.2">
      <c r="A11153" t="s">
        <v>11434</v>
      </c>
      <c r="B11153" t="str">
        <f>"18926296109"</f>
        <v>18926296109</v>
      </c>
      <c r="C11153" t="str">
        <f>"44162419841005112X"</f>
        <v>44162419841005112X</v>
      </c>
      <c r="D11153" t="s">
        <v>1</v>
      </c>
      <c r="E11153" t="s">
        <v>1</v>
      </c>
      <c r="F11153" t="s">
        <v>0</v>
      </c>
      <c r="G11153" t="str">
        <f>"2018-10-24 18:38:10"</f>
        <v>2018-10-24 18:38:10</v>
      </c>
    </row>
    <row r="11154" spans="1:7" x14ac:dyDescent="0.2">
      <c r="A11154" t="s">
        <v>11435</v>
      </c>
      <c r="B11154" t="str">
        <f>"15192116532"</f>
        <v>15192116532</v>
      </c>
      <c r="C11154" t="str">
        <f>"370406199201204574"</f>
        <v>370406199201204574</v>
      </c>
      <c r="D11154" t="s">
        <v>1</v>
      </c>
      <c r="E11154" t="s">
        <v>1</v>
      </c>
      <c r="F11154" t="s">
        <v>0</v>
      </c>
      <c r="G11154" t="str">
        <f>"2018-10-14 10:46:07"</f>
        <v>2018-10-14 10:46:07</v>
      </c>
    </row>
    <row r="11155" spans="1:7" x14ac:dyDescent="0.2">
      <c r="A11155" t="s">
        <v>1</v>
      </c>
      <c r="B11155" t="str">
        <f>"17171049846"</f>
        <v>17171049846</v>
      </c>
      <c r="C11155" t="s">
        <v>1</v>
      </c>
      <c r="D11155" t="s">
        <v>1</v>
      </c>
      <c r="E11155" t="s">
        <v>1</v>
      </c>
      <c r="F11155" t="s">
        <v>0</v>
      </c>
      <c r="G11155" t="str">
        <f>"2018-10-14 10:42:41"</f>
        <v>2018-10-14 10:42:41</v>
      </c>
    </row>
    <row r="11156" spans="1:7" x14ac:dyDescent="0.2">
      <c r="A11156" t="s">
        <v>11436</v>
      </c>
      <c r="B11156" t="str">
        <f>"18994848778"</f>
        <v>18994848778</v>
      </c>
      <c r="C11156" t="str">
        <f>"320921197203213311"</f>
        <v>320921197203213311</v>
      </c>
      <c r="D11156" t="s">
        <v>11437</v>
      </c>
      <c r="E11156" t="s">
        <v>11438</v>
      </c>
      <c r="F11156" t="s">
        <v>0</v>
      </c>
      <c r="G11156" t="str">
        <f>"2018-10-14 10:43:05"</f>
        <v>2018-10-14 10:43:05</v>
      </c>
    </row>
    <row r="11157" spans="1:7" x14ac:dyDescent="0.2">
      <c r="A11157" t="s">
        <v>479</v>
      </c>
      <c r="B11157" t="str">
        <f>"13347975000"</f>
        <v>13347975000</v>
      </c>
      <c r="C11157" t="str">
        <f>"320882198212090028"</f>
        <v>320882198212090028</v>
      </c>
      <c r="D11157" t="s">
        <v>1</v>
      </c>
      <c r="E11157" t="s">
        <v>1</v>
      </c>
      <c r="F11157" t="s">
        <v>0</v>
      </c>
      <c r="G11157" t="str">
        <f>"2018-10-14 10:44:18"</f>
        <v>2018-10-14 10:44:18</v>
      </c>
    </row>
    <row r="11158" spans="1:7" x14ac:dyDescent="0.2">
      <c r="A11158" t="s">
        <v>11439</v>
      </c>
      <c r="B11158" t="str">
        <f>"15329559996"</f>
        <v>15329559996</v>
      </c>
      <c r="C11158" t="str">
        <f>"522634198911124036"</f>
        <v>522634198911124036</v>
      </c>
      <c r="D11158" t="s">
        <v>1</v>
      </c>
      <c r="E11158" t="s">
        <v>1</v>
      </c>
      <c r="F11158" t="s">
        <v>0</v>
      </c>
      <c r="G11158" t="str">
        <f>"2018-10-14 10:42:54"</f>
        <v>2018-10-14 10:42:54</v>
      </c>
    </row>
    <row r="11159" spans="1:7" x14ac:dyDescent="0.2">
      <c r="A11159" t="s">
        <v>1</v>
      </c>
      <c r="B11159" t="str">
        <f>"17340239449"</f>
        <v>17340239449</v>
      </c>
      <c r="C11159" t="s">
        <v>1</v>
      </c>
      <c r="D11159" t="s">
        <v>1</v>
      </c>
      <c r="E11159" t="s">
        <v>1</v>
      </c>
      <c r="F11159" t="s">
        <v>0</v>
      </c>
      <c r="G11159" t="str">
        <f>"2018-10-14 10:41:04"</f>
        <v>2018-10-14 10:41:04</v>
      </c>
    </row>
    <row r="11160" spans="1:7" x14ac:dyDescent="0.2">
      <c r="A11160" t="s">
        <v>1</v>
      </c>
      <c r="B11160" t="str">
        <f>"18071901161"</f>
        <v>18071901161</v>
      </c>
      <c r="C11160" t="s">
        <v>1</v>
      </c>
      <c r="D11160" t="s">
        <v>1</v>
      </c>
      <c r="E11160" t="s">
        <v>1</v>
      </c>
      <c r="F11160" t="s">
        <v>0</v>
      </c>
      <c r="G11160" t="str">
        <f>"2018-10-14 10:40:34"</f>
        <v>2018-10-14 10:40:34</v>
      </c>
    </row>
    <row r="11161" spans="1:7" x14ac:dyDescent="0.2">
      <c r="A11161" t="s">
        <v>1</v>
      </c>
      <c r="B11161" t="str">
        <f>"13388062731"</f>
        <v>13388062731</v>
      </c>
      <c r="C11161" t="s">
        <v>1</v>
      </c>
      <c r="D11161" t="s">
        <v>1</v>
      </c>
      <c r="E11161" t="s">
        <v>1</v>
      </c>
      <c r="F11161" t="s">
        <v>0</v>
      </c>
      <c r="G11161" t="str">
        <f>"2018-10-14 10:41:16"</f>
        <v>2018-10-14 10:41:16</v>
      </c>
    </row>
    <row r="11162" spans="1:7" x14ac:dyDescent="0.2">
      <c r="A11162" t="s">
        <v>11440</v>
      </c>
      <c r="B11162" t="str">
        <f>"15121987554"</f>
        <v>15121987554</v>
      </c>
      <c r="C11162" t="str">
        <f>"622821198405141012"</f>
        <v>622821198405141012</v>
      </c>
      <c r="D11162" t="s">
        <v>1</v>
      </c>
      <c r="E11162" t="s">
        <v>1</v>
      </c>
      <c r="F11162" t="s">
        <v>0</v>
      </c>
      <c r="G11162" t="str">
        <f>"2018-10-14 10:41:03"</f>
        <v>2018-10-14 10:41:03</v>
      </c>
    </row>
    <row r="11163" spans="1:7" x14ac:dyDescent="0.2">
      <c r="A11163" t="s">
        <v>11441</v>
      </c>
      <c r="B11163" t="str">
        <f>"15126907969"</f>
        <v>15126907969</v>
      </c>
      <c r="C11163" t="str">
        <f>"532626197812170915"</f>
        <v>532626197812170915</v>
      </c>
      <c r="D11163" t="s">
        <v>1</v>
      </c>
      <c r="E11163" t="s">
        <v>1</v>
      </c>
      <c r="F11163" t="s">
        <v>0</v>
      </c>
      <c r="G11163" t="str">
        <f>"2018-10-14 10:40:52"</f>
        <v>2018-10-14 10:40:52</v>
      </c>
    </row>
    <row r="11164" spans="1:7" x14ac:dyDescent="0.2">
      <c r="A11164" t="s">
        <v>11442</v>
      </c>
      <c r="B11164" t="str">
        <f>"18144255943"</f>
        <v>18144255943</v>
      </c>
      <c r="C11164" t="str">
        <f>"510722198007177355"</f>
        <v>510722198007177355</v>
      </c>
      <c r="D11164" t="s">
        <v>11443</v>
      </c>
      <c r="E11164" t="s">
        <v>11444</v>
      </c>
      <c r="F11164" t="s">
        <v>0</v>
      </c>
      <c r="G11164" t="str">
        <f>"2018-10-25 15:20:34"</f>
        <v>2018-10-25 15:20:34</v>
      </c>
    </row>
    <row r="11165" spans="1:7" x14ac:dyDescent="0.2">
      <c r="A11165" t="s">
        <v>1</v>
      </c>
      <c r="B11165" t="str">
        <f>"18061200980"</f>
        <v>18061200980</v>
      </c>
      <c r="C11165" t="s">
        <v>1</v>
      </c>
      <c r="D11165" t="s">
        <v>1</v>
      </c>
      <c r="E11165" t="s">
        <v>1</v>
      </c>
      <c r="F11165" t="s">
        <v>0</v>
      </c>
      <c r="G11165" t="str">
        <f>"2018-10-14 10:38:33"</f>
        <v>2018-10-14 10:38:33</v>
      </c>
    </row>
    <row r="11166" spans="1:7" x14ac:dyDescent="0.2">
      <c r="A11166" t="s">
        <v>11445</v>
      </c>
      <c r="B11166" t="str">
        <f>"15103912322"</f>
        <v>15103912322</v>
      </c>
      <c r="C11166" t="str">
        <f>"622201198809014812"</f>
        <v>622201198809014812</v>
      </c>
      <c r="D11166" t="s">
        <v>11446</v>
      </c>
      <c r="E11166" t="s">
        <v>11447</v>
      </c>
      <c r="F11166" t="s">
        <v>0</v>
      </c>
      <c r="G11166" t="str">
        <f>"2018-11-01 10:14:03"</f>
        <v>2018-11-01 10:14:03</v>
      </c>
    </row>
    <row r="11167" spans="1:7" x14ac:dyDescent="0.2">
      <c r="A11167" t="s">
        <v>1</v>
      </c>
      <c r="B11167" t="str">
        <f>"13365998781"</f>
        <v>13365998781</v>
      </c>
      <c r="C11167" t="s">
        <v>1</v>
      </c>
      <c r="D11167" t="s">
        <v>1</v>
      </c>
      <c r="E11167" t="s">
        <v>1</v>
      </c>
      <c r="F11167" t="s">
        <v>0</v>
      </c>
      <c r="G11167" t="str">
        <f>"2018-10-14 10:38:12"</f>
        <v>2018-10-14 10:38:12</v>
      </c>
    </row>
    <row r="11168" spans="1:7" x14ac:dyDescent="0.2">
      <c r="A11168" t="s">
        <v>1</v>
      </c>
      <c r="B11168" t="str">
        <f>"15360913900"</f>
        <v>15360913900</v>
      </c>
      <c r="C11168" t="s">
        <v>1</v>
      </c>
      <c r="D11168" t="s">
        <v>1</v>
      </c>
      <c r="E11168" t="s">
        <v>1</v>
      </c>
      <c r="F11168" t="s">
        <v>0</v>
      </c>
      <c r="G11168" t="str">
        <f>"2018-10-14 10:37:23"</f>
        <v>2018-10-14 10:37:23</v>
      </c>
    </row>
    <row r="11169" spans="1:7" x14ac:dyDescent="0.2">
      <c r="A11169" t="s">
        <v>1302</v>
      </c>
      <c r="B11169" t="str">
        <f>"13354017206"</f>
        <v>13354017206</v>
      </c>
      <c r="C11169" t="str">
        <f>"210282198511265926"</f>
        <v>210282198511265926</v>
      </c>
      <c r="D11169" t="s">
        <v>1</v>
      </c>
      <c r="E11169" t="s">
        <v>1</v>
      </c>
      <c r="F11169" t="s">
        <v>0</v>
      </c>
      <c r="G11169" t="str">
        <f>"2018-10-14 10:38:30"</f>
        <v>2018-10-14 10:38:30</v>
      </c>
    </row>
    <row r="11170" spans="1:7" x14ac:dyDescent="0.2">
      <c r="A11170" t="s">
        <v>11448</v>
      </c>
      <c r="B11170" t="str">
        <f>"18030772206"</f>
        <v>18030772206</v>
      </c>
      <c r="C11170" t="str">
        <f>"510104198009134871"</f>
        <v>510104198009134871</v>
      </c>
      <c r="D11170" t="s">
        <v>1</v>
      </c>
      <c r="E11170" t="s">
        <v>1</v>
      </c>
      <c r="F11170" t="s">
        <v>0</v>
      </c>
      <c r="G11170" t="str">
        <f>"2018-10-14 10:38:20"</f>
        <v>2018-10-14 10:38:20</v>
      </c>
    </row>
    <row r="11171" spans="1:7" x14ac:dyDescent="0.2">
      <c r="A11171" t="s">
        <v>1</v>
      </c>
      <c r="B11171" t="str">
        <f>"18589943036"</f>
        <v>18589943036</v>
      </c>
      <c r="C11171" t="s">
        <v>1</v>
      </c>
      <c r="D11171" t="s">
        <v>1</v>
      </c>
      <c r="E11171" t="s">
        <v>1</v>
      </c>
      <c r="F11171" t="s">
        <v>0</v>
      </c>
      <c r="G11171" t="str">
        <f>"2018-11-04 05:24:50"</f>
        <v>2018-11-04 05:24:50</v>
      </c>
    </row>
    <row r="11172" spans="1:7" x14ac:dyDescent="0.2">
      <c r="A11172" t="s">
        <v>855</v>
      </c>
      <c r="B11172" t="str">
        <f>"15148333034"</f>
        <v>15148333034</v>
      </c>
      <c r="C11172" t="str">
        <f>"150402199302020321"</f>
        <v>150402199302020321</v>
      </c>
      <c r="D11172" t="s">
        <v>1</v>
      </c>
      <c r="E11172" t="s">
        <v>1</v>
      </c>
      <c r="F11172" t="s">
        <v>0</v>
      </c>
      <c r="G11172" t="str">
        <f>"2018-10-14 10:39:36"</f>
        <v>2018-10-14 10:39:36</v>
      </c>
    </row>
    <row r="11173" spans="1:7" x14ac:dyDescent="0.2">
      <c r="A11173" t="s">
        <v>11449</v>
      </c>
      <c r="B11173" t="str">
        <f>"13734513305"</f>
        <v>13734513305</v>
      </c>
      <c r="C11173" t="str">
        <f>"230503197102080437"</f>
        <v>230503197102080437</v>
      </c>
      <c r="D11173" t="s">
        <v>1</v>
      </c>
      <c r="E11173" t="s">
        <v>1</v>
      </c>
      <c r="F11173" t="s">
        <v>0</v>
      </c>
      <c r="G11173" t="str">
        <f>"2018-10-14 10:37:23"</f>
        <v>2018-10-14 10:37:23</v>
      </c>
    </row>
    <row r="11174" spans="1:7" x14ac:dyDescent="0.2">
      <c r="A11174" t="s">
        <v>1</v>
      </c>
      <c r="B11174" t="str">
        <f>"18097836196"</f>
        <v>18097836196</v>
      </c>
      <c r="C11174" t="s">
        <v>1</v>
      </c>
      <c r="D11174" t="s">
        <v>1</v>
      </c>
      <c r="E11174" t="s">
        <v>1</v>
      </c>
      <c r="F11174" t="s">
        <v>0</v>
      </c>
      <c r="G11174" t="str">
        <f>"2018-10-14 10:35:43"</f>
        <v>2018-10-14 10:35:43</v>
      </c>
    </row>
    <row r="11175" spans="1:7" x14ac:dyDescent="0.2">
      <c r="A11175" t="s">
        <v>11450</v>
      </c>
      <c r="B11175" t="str">
        <f>"18990495229"</f>
        <v>18990495229</v>
      </c>
      <c r="C11175" t="str">
        <f>"513328197607171760"</f>
        <v>513328197607171760</v>
      </c>
      <c r="D11175" t="s">
        <v>1</v>
      </c>
      <c r="E11175" t="s">
        <v>1</v>
      </c>
      <c r="F11175" t="s">
        <v>0</v>
      </c>
      <c r="G11175" t="str">
        <f>"2018-10-14 10:37:06"</f>
        <v>2018-10-14 10:37:06</v>
      </c>
    </row>
    <row r="11176" spans="1:7" x14ac:dyDescent="0.2">
      <c r="A11176" t="s">
        <v>1</v>
      </c>
      <c r="B11176" t="str">
        <f>"13305077131"</f>
        <v>13305077131</v>
      </c>
      <c r="C11176" t="s">
        <v>1</v>
      </c>
      <c r="D11176" t="s">
        <v>1</v>
      </c>
      <c r="E11176" t="s">
        <v>1</v>
      </c>
      <c r="F11176" t="s">
        <v>0</v>
      </c>
      <c r="G11176" t="str">
        <f>"2018-10-14 10:37:27"</f>
        <v>2018-10-14 10:37:27</v>
      </c>
    </row>
    <row r="11177" spans="1:7" x14ac:dyDescent="0.2">
      <c r="A11177" t="s">
        <v>11451</v>
      </c>
      <c r="B11177" t="str">
        <f>"18099630224"</f>
        <v>18099630224</v>
      </c>
      <c r="C11177" t="str">
        <f>"654128198302240919"</f>
        <v>654128198302240919</v>
      </c>
      <c r="D11177" t="s">
        <v>1</v>
      </c>
      <c r="E11177" t="s">
        <v>1</v>
      </c>
      <c r="F11177" t="s">
        <v>0</v>
      </c>
      <c r="G11177" t="str">
        <f>"2018-10-14 10:37:08"</f>
        <v>2018-10-14 10:37:08</v>
      </c>
    </row>
    <row r="11178" spans="1:7" x14ac:dyDescent="0.2">
      <c r="A11178" t="s">
        <v>11452</v>
      </c>
      <c r="B11178" t="str">
        <f>"18704051706"</f>
        <v>18704051706</v>
      </c>
      <c r="C11178" t="str">
        <f>"35072519931031001X"</f>
        <v>35072519931031001X</v>
      </c>
      <c r="D11178" t="s">
        <v>1</v>
      </c>
      <c r="E11178" t="s">
        <v>1</v>
      </c>
      <c r="F11178" t="s">
        <v>0</v>
      </c>
      <c r="G11178" t="str">
        <f>"2018-10-14 20:28:41"</f>
        <v>2018-10-14 20:28:41</v>
      </c>
    </row>
    <row r="11179" spans="1:7" x14ac:dyDescent="0.2">
      <c r="A11179" t="s">
        <v>11453</v>
      </c>
      <c r="B11179" t="str">
        <f>"17723632723"</f>
        <v>17723632723</v>
      </c>
      <c r="C11179" t="str">
        <f>"500234198508260065"</f>
        <v>500234198508260065</v>
      </c>
      <c r="D11179" t="s">
        <v>1</v>
      </c>
      <c r="E11179" t="s">
        <v>1</v>
      </c>
      <c r="F11179" t="s">
        <v>0</v>
      </c>
      <c r="G11179" t="str">
        <f>"2018-10-14 10:35:55"</f>
        <v>2018-10-14 10:35:55</v>
      </c>
    </row>
    <row r="11180" spans="1:7" x14ac:dyDescent="0.2">
      <c r="A11180" t="s">
        <v>1504</v>
      </c>
      <c r="B11180" t="str">
        <f>"13708266157"</f>
        <v>13708266157</v>
      </c>
      <c r="C11180" t="str">
        <f>"513901198705055357"</f>
        <v>513901198705055357</v>
      </c>
      <c r="D11180" t="s">
        <v>1</v>
      </c>
      <c r="E11180" t="s">
        <v>1</v>
      </c>
      <c r="F11180" t="s">
        <v>0</v>
      </c>
      <c r="G11180" t="str">
        <f>"2018-10-17 09:48:23"</f>
        <v>2018-10-17 09:48:23</v>
      </c>
    </row>
    <row r="11181" spans="1:7" x14ac:dyDescent="0.2">
      <c r="A11181" t="s">
        <v>11454</v>
      </c>
      <c r="B11181" t="str">
        <f>"13795193981"</f>
        <v>13795193981</v>
      </c>
      <c r="C11181" t="str">
        <f>"210225198311210499"</f>
        <v>210225198311210499</v>
      </c>
      <c r="D11181" t="s">
        <v>1</v>
      </c>
      <c r="E11181" t="s">
        <v>1</v>
      </c>
      <c r="F11181" t="s">
        <v>0</v>
      </c>
      <c r="G11181" t="str">
        <f>"2018-10-14 10:42:52"</f>
        <v>2018-10-14 10:42:52</v>
      </c>
    </row>
    <row r="11182" spans="1:7" x14ac:dyDescent="0.2">
      <c r="A11182" t="s">
        <v>11455</v>
      </c>
      <c r="B11182" t="str">
        <f>"17326793189"</f>
        <v>17326793189</v>
      </c>
      <c r="C11182" t="str">
        <f>"330382199103100919"</f>
        <v>330382199103100919</v>
      </c>
      <c r="D11182" t="s">
        <v>1</v>
      </c>
      <c r="E11182" t="s">
        <v>1</v>
      </c>
      <c r="F11182" t="s">
        <v>0</v>
      </c>
      <c r="G11182" t="str">
        <f>"2018-10-14 10:37:35"</f>
        <v>2018-10-14 10:37:35</v>
      </c>
    </row>
    <row r="11183" spans="1:7" x14ac:dyDescent="0.2">
      <c r="A11183" t="s">
        <v>11456</v>
      </c>
      <c r="B11183" t="str">
        <f>"18091613561"</f>
        <v>18091613561</v>
      </c>
      <c r="C11183" t="str">
        <f>"612325197201152416"</f>
        <v>612325197201152416</v>
      </c>
      <c r="D11183" t="s">
        <v>1</v>
      </c>
      <c r="E11183" t="s">
        <v>1</v>
      </c>
      <c r="F11183" t="s">
        <v>0</v>
      </c>
      <c r="G11183" t="str">
        <f>"2018-10-14 10:35:09"</f>
        <v>2018-10-14 10:35:09</v>
      </c>
    </row>
    <row r="11184" spans="1:7" x14ac:dyDescent="0.2">
      <c r="A11184" t="s">
        <v>11457</v>
      </c>
      <c r="B11184" t="str">
        <f>"18000160210"</f>
        <v>18000160210</v>
      </c>
      <c r="C11184" t="str">
        <f>"320705199501281011"</f>
        <v>320705199501281011</v>
      </c>
      <c r="D11184" t="s">
        <v>1</v>
      </c>
      <c r="E11184" t="s">
        <v>1</v>
      </c>
      <c r="F11184" t="s">
        <v>0</v>
      </c>
      <c r="G11184" t="str">
        <f>"2018-10-14 10:34:10"</f>
        <v>2018-10-14 10:34:10</v>
      </c>
    </row>
    <row r="11185" spans="1:7" x14ac:dyDescent="0.2">
      <c r="A11185" t="s">
        <v>1</v>
      </c>
      <c r="B11185" t="str">
        <f>"18728117215"</f>
        <v>18728117215</v>
      </c>
      <c r="C11185" t="s">
        <v>1</v>
      </c>
      <c r="D11185" t="s">
        <v>1</v>
      </c>
      <c r="E11185" t="s">
        <v>1</v>
      </c>
      <c r="F11185" t="s">
        <v>0</v>
      </c>
      <c r="G11185" t="str">
        <f>"2018-10-14 10:34:36"</f>
        <v>2018-10-14 10:34:36</v>
      </c>
    </row>
    <row r="11186" spans="1:7" x14ac:dyDescent="0.2">
      <c r="A11186" t="s">
        <v>11458</v>
      </c>
      <c r="B11186" t="str">
        <f>"18587690629"</f>
        <v>18587690629</v>
      </c>
      <c r="C11186" t="str">
        <f>"450722199908255160"</f>
        <v>450722199908255160</v>
      </c>
      <c r="D11186" t="s">
        <v>1</v>
      </c>
      <c r="E11186" t="s">
        <v>1</v>
      </c>
      <c r="F11186" t="s">
        <v>0</v>
      </c>
      <c r="G11186" t="str">
        <f>"2018-10-17 14:03:16"</f>
        <v>2018-10-17 14:03:16</v>
      </c>
    </row>
    <row r="11187" spans="1:7" x14ac:dyDescent="0.2">
      <c r="A11187" t="s">
        <v>1</v>
      </c>
      <c r="B11187" t="str">
        <f>"18049557391"</f>
        <v>18049557391</v>
      </c>
      <c r="C11187" t="s">
        <v>1</v>
      </c>
      <c r="D11187" t="s">
        <v>1</v>
      </c>
      <c r="E11187" t="s">
        <v>1</v>
      </c>
      <c r="F11187" t="s">
        <v>0</v>
      </c>
      <c r="G11187" t="str">
        <f>"2018-10-14 10:32:47"</f>
        <v>2018-10-14 10:32:47</v>
      </c>
    </row>
    <row r="11188" spans="1:7" x14ac:dyDescent="0.2">
      <c r="A11188" t="s">
        <v>1</v>
      </c>
      <c r="B11188" t="str">
        <f>"15398067830"</f>
        <v>15398067830</v>
      </c>
      <c r="C11188" t="s">
        <v>1</v>
      </c>
      <c r="D11188" t="s">
        <v>1</v>
      </c>
      <c r="E11188" t="s">
        <v>1</v>
      </c>
      <c r="F11188" t="s">
        <v>0</v>
      </c>
      <c r="G11188" t="str">
        <f>"2018-10-14 10:32:38"</f>
        <v>2018-10-14 10:32:38</v>
      </c>
    </row>
    <row r="11189" spans="1:7" x14ac:dyDescent="0.2">
      <c r="A11189" t="s">
        <v>11459</v>
      </c>
      <c r="B11189" t="str">
        <f>"13283586040"</f>
        <v>13283586040</v>
      </c>
      <c r="C11189" t="str">
        <f>"142327198603261003"</f>
        <v>142327198603261003</v>
      </c>
      <c r="D11189" t="s">
        <v>1</v>
      </c>
      <c r="E11189" t="s">
        <v>1</v>
      </c>
      <c r="F11189" t="s">
        <v>0</v>
      </c>
      <c r="G11189" t="str">
        <f>"2018-10-14 10:33:34"</f>
        <v>2018-10-14 10:33:34</v>
      </c>
    </row>
    <row r="11190" spans="1:7" x14ac:dyDescent="0.2">
      <c r="A11190" t="s">
        <v>11460</v>
      </c>
      <c r="B11190" t="str">
        <f>"13695016021"</f>
        <v>13695016021</v>
      </c>
      <c r="C11190" t="str">
        <f>"410825198507094012"</f>
        <v>410825198507094012</v>
      </c>
      <c r="D11190" t="s">
        <v>1</v>
      </c>
      <c r="E11190" t="s">
        <v>1</v>
      </c>
      <c r="F11190" t="s">
        <v>0</v>
      </c>
      <c r="G11190" t="str">
        <f>"2018-10-21 17:04:59"</f>
        <v>2018-10-21 17:04:59</v>
      </c>
    </row>
    <row r="11191" spans="1:7" x14ac:dyDescent="0.2">
      <c r="A11191" t="s">
        <v>7698</v>
      </c>
      <c r="B11191" t="str">
        <f>"13307519801"</f>
        <v>13307519801</v>
      </c>
      <c r="C11191" t="str">
        <f>"460102197911061257"</f>
        <v>460102197911061257</v>
      </c>
      <c r="D11191" t="s">
        <v>1</v>
      </c>
      <c r="E11191" t="s">
        <v>1</v>
      </c>
      <c r="F11191" t="s">
        <v>0</v>
      </c>
      <c r="G11191" t="str">
        <f>"2018-10-14 10:32:39"</f>
        <v>2018-10-14 10:32:39</v>
      </c>
    </row>
    <row r="11192" spans="1:7" x14ac:dyDescent="0.2">
      <c r="A11192" t="s">
        <v>11461</v>
      </c>
      <c r="B11192" t="str">
        <f>"13307967142"</f>
        <v>13307967142</v>
      </c>
      <c r="C11192" t="str">
        <f>"362427197402180815"</f>
        <v>362427197402180815</v>
      </c>
      <c r="D11192" t="s">
        <v>1</v>
      </c>
      <c r="E11192" t="s">
        <v>1</v>
      </c>
      <c r="F11192" t="s">
        <v>0</v>
      </c>
      <c r="G11192" t="str">
        <f>"2018-10-14 10:34:29"</f>
        <v>2018-10-14 10:34:29</v>
      </c>
    </row>
    <row r="11193" spans="1:7" x14ac:dyDescent="0.2">
      <c r="A11193" t="s">
        <v>1</v>
      </c>
      <c r="B11193" t="str">
        <f>"15339951516"</f>
        <v>15339951516</v>
      </c>
      <c r="C11193" t="s">
        <v>1</v>
      </c>
      <c r="D11193" t="s">
        <v>1</v>
      </c>
      <c r="E11193" t="s">
        <v>1</v>
      </c>
      <c r="F11193" t="s">
        <v>0</v>
      </c>
      <c r="G11193" t="str">
        <f>"2018-10-15 06:32:14"</f>
        <v>2018-10-15 06:32:14</v>
      </c>
    </row>
    <row r="11194" spans="1:7" x14ac:dyDescent="0.2">
      <c r="A11194" t="s">
        <v>414</v>
      </c>
      <c r="B11194" t="str">
        <f>"15615161114"</f>
        <v>15615161114</v>
      </c>
      <c r="C11194" t="str">
        <f>"371424198811250315"</f>
        <v>371424198811250315</v>
      </c>
      <c r="D11194" t="s">
        <v>11462</v>
      </c>
      <c r="E11194" t="s">
        <v>11463</v>
      </c>
      <c r="F11194" t="s">
        <v>0</v>
      </c>
      <c r="G11194" t="str">
        <f>"2018-10-14 10:32:30"</f>
        <v>2018-10-14 10:32:30</v>
      </c>
    </row>
    <row r="11195" spans="1:7" x14ac:dyDescent="0.2">
      <c r="A11195" t="s">
        <v>11464</v>
      </c>
      <c r="B11195" t="str">
        <f>"18012756765"</f>
        <v>18012756765</v>
      </c>
      <c r="C11195" t="str">
        <f>"321084198702034416"</f>
        <v>321084198702034416</v>
      </c>
      <c r="D11195" t="s">
        <v>1</v>
      </c>
      <c r="E11195" t="s">
        <v>1</v>
      </c>
      <c r="F11195" t="s">
        <v>0</v>
      </c>
      <c r="G11195" t="str">
        <f>"2018-10-20 17:15:24"</f>
        <v>2018-10-20 17:15:24</v>
      </c>
    </row>
    <row r="11196" spans="1:7" x14ac:dyDescent="0.2">
      <c r="A11196" t="s">
        <v>1779</v>
      </c>
      <c r="B11196" t="str">
        <f>"15763242022"</f>
        <v>15763242022</v>
      </c>
      <c r="C11196" t="str">
        <f>"370405199704043024"</f>
        <v>370405199704043024</v>
      </c>
      <c r="D11196" t="s">
        <v>1</v>
      </c>
      <c r="E11196" t="s">
        <v>1</v>
      </c>
      <c r="F11196" t="s">
        <v>0</v>
      </c>
      <c r="G11196" t="str">
        <f>"2018-10-14 10:31:56"</f>
        <v>2018-10-14 10:31:56</v>
      </c>
    </row>
    <row r="11197" spans="1:7" x14ac:dyDescent="0.2">
      <c r="A11197" t="s">
        <v>11465</v>
      </c>
      <c r="B11197" t="str">
        <f>"15228810528"</f>
        <v>15228810528</v>
      </c>
      <c r="C11197" t="str">
        <f>"51070219761212004X"</f>
        <v>51070219761212004X</v>
      </c>
      <c r="D11197" t="s">
        <v>11466</v>
      </c>
      <c r="E11197" t="s">
        <v>11467</v>
      </c>
      <c r="F11197" t="s">
        <v>0</v>
      </c>
      <c r="G11197" t="str">
        <f>"2018-10-18 16:43:22"</f>
        <v>2018-10-18 16:43:22</v>
      </c>
    </row>
    <row r="11198" spans="1:7" x14ac:dyDescent="0.2">
      <c r="A11198" t="s">
        <v>1</v>
      </c>
      <c r="B11198" t="str">
        <f>"13314038299"</f>
        <v>13314038299</v>
      </c>
      <c r="C11198" t="s">
        <v>1</v>
      </c>
      <c r="D11198" t="s">
        <v>1</v>
      </c>
      <c r="E11198" t="s">
        <v>1</v>
      </c>
      <c r="F11198" t="s">
        <v>0</v>
      </c>
      <c r="G11198" t="str">
        <f>"2018-10-14 10:29:49"</f>
        <v>2018-10-14 10:29:49</v>
      </c>
    </row>
    <row r="11199" spans="1:7" x14ac:dyDescent="0.2">
      <c r="A11199" t="s">
        <v>11468</v>
      </c>
      <c r="B11199" t="str">
        <f>"13775308561"</f>
        <v>13775308561</v>
      </c>
      <c r="C11199" t="str">
        <f>"321182198701224018"</f>
        <v>321182198701224018</v>
      </c>
      <c r="D11199" t="s">
        <v>1</v>
      </c>
      <c r="E11199" t="s">
        <v>1</v>
      </c>
      <c r="F11199" t="s">
        <v>0</v>
      </c>
      <c r="G11199" t="str">
        <f>"2018-10-30 16:38:52"</f>
        <v>2018-10-30 16:38:52</v>
      </c>
    </row>
    <row r="11200" spans="1:7" x14ac:dyDescent="0.2">
      <c r="A11200" t="s">
        <v>1</v>
      </c>
      <c r="B11200" t="str">
        <f>"15344250021"</f>
        <v>15344250021</v>
      </c>
      <c r="C11200" t="s">
        <v>1</v>
      </c>
      <c r="D11200" t="s">
        <v>1</v>
      </c>
      <c r="E11200" t="s">
        <v>1</v>
      </c>
      <c r="F11200" t="s">
        <v>0</v>
      </c>
      <c r="G11200" t="str">
        <f>"2018-10-14 10:29:31"</f>
        <v>2018-10-14 10:29:31</v>
      </c>
    </row>
    <row r="11201" spans="1:7" x14ac:dyDescent="0.2">
      <c r="A11201" t="s">
        <v>1559</v>
      </c>
      <c r="B11201" t="str">
        <f>"17755740263"</f>
        <v>17755740263</v>
      </c>
      <c r="C11201" t="str">
        <f>"340111199505225015"</f>
        <v>340111199505225015</v>
      </c>
      <c r="D11201" t="s">
        <v>1</v>
      </c>
      <c r="E11201" t="s">
        <v>1</v>
      </c>
      <c r="F11201" t="s">
        <v>0</v>
      </c>
      <c r="G11201" t="str">
        <f>"2018-10-14 10:32:13"</f>
        <v>2018-10-14 10:32:13</v>
      </c>
    </row>
    <row r="11202" spans="1:7" x14ac:dyDescent="0.2">
      <c r="A11202" t="s">
        <v>11469</v>
      </c>
      <c r="B11202" t="str">
        <f>"18093893245"</f>
        <v>18093893245</v>
      </c>
      <c r="C11202" t="str">
        <f>"620522199003111518"</f>
        <v>620522199003111518</v>
      </c>
      <c r="D11202" t="s">
        <v>11470</v>
      </c>
      <c r="E11202" t="s">
        <v>11471</v>
      </c>
      <c r="F11202" t="s">
        <v>0</v>
      </c>
      <c r="G11202" t="str">
        <f>"2018-10-20 15:18:54"</f>
        <v>2018-10-20 15:18:54</v>
      </c>
    </row>
    <row r="11203" spans="1:7" x14ac:dyDescent="0.2">
      <c r="A11203" t="s">
        <v>11472</v>
      </c>
      <c r="B11203" t="str">
        <f>"18361117839"</f>
        <v>18361117839</v>
      </c>
      <c r="C11203" t="str">
        <f>"320902198811176038"</f>
        <v>320902198811176038</v>
      </c>
      <c r="D11203" t="s">
        <v>11473</v>
      </c>
      <c r="E11203" t="s">
        <v>11474</v>
      </c>
      <c r="F11203" t="s">
        <v>0</v>
      </c>
      <c r="G11203" t="str">
        <f>"2018-10-14 10:32:27"</f>
        <v>2018-10-14 10:32:27</v>
      </c>
    </row>
    <row r="11204" spans="1:7" x14ac:dyDescent="0.2">
      <c r="A11204" t="s">
        <v>1</v>
      </c>
      <c r="B11204" t="str">
        <f>"18166054259"</f>
        <v>18166054259</v>
      </c>
      <c r="C11204" t="s">
        <v>1</v>
      </c>
      <c r="D11204" t="s">
        <v>1</v>
      </c>
      <c r="E11204" t="s">
        <v>1</v>
      </c>
      <c r="F11204" t="s">
        <v>0</v>
      </c>
      <c r="G11204" t="str">
        <f>"2018-10-14 10:30:09"</f>
        <v>2018-10-14 10:30:09</v>
      </c>
    </row>
    <row r="11205" spans="1:7" x14ac:dyDescent="0.2">
      <c r="A11205" t="s">
        <v>1</v>
      </c>
      <c r="B11205" t="str">
        <f>"18134723144"</f>
        <v>18134723144</v>
      </c>
      <c r="C11205" t="s">
        <v>1</v>
      </c>
      <c r="D11205" t="s">
        <v>1</v>
      </c>
      <c r="E11205" t="s">
        <v>1</v>
      </c>
      <c r="F11205" t="s">
        <v>0</v>
      </c>
      <c r="G11205" t="str">
        <f>"2018-10-14 10:28:58"</f>
        <v>2018-10-14 10:28:58</v>
      </c>
    </row>
    <row r="11206" spans="1:7" x14ac:dyDescent="0.2">
      <c r="A11206" t="s">
        <v>1</v>
      </c>
      <c r="B11206" t="str">
        <f>"18920633596"</f>
        <v>18920633596</v>
      </c>
      <c r="C11206" t="s">
        <v>1</v>
      </c>
      <c r="D11206" t="s">
        <v>1</v>
      </c>
      <c r="E11206" t="s">
        <v>1</v>
      </c>
      <c r="F11206" t="s">
        <v>0</v>
      </c>
      <c r="G11206" t="str">
        <f>"2018-10-14 10:28:58"</f>
        <v>2018-10-14 10:28:58</v>
      </c>
    </row>
    <row r="11207" spans="1:7" x14ac:dyDescent="0.2">
      <c r="A11207" t="s">
        <v>11475</v>
      </c>
      <c r="B11207" t="str">
        <f>"18103443101"</f>
        <v>18103443101</v>
      </c>
      <c r="C11207" t="str">
        <f>"142701199201286614"</f>
        <v>142701199201286614</v>
      </c>
      <c r="D11207" t="s">
        <v>1</v>
      </c>
      <c r="E11207" t="s">
        <v>1</v>
      </c>
      <c r="F11207" t="s">
        <v>0</v>
      </c>
      <c r="G11207" t="str">
        <f>"2018-10-14 10:30:14"</f>
        <v>2018-10-14 10:30:14</v>
      </c>
    </row>
    <row r="11208" spans="1:7" x14ac:dyDescent="0.2">
      <c r="A11208" t="s">
        <v>11476</v>
      </c>
      <c r="B11208" t="str">
        <f>"17789405556"</f>
        <v>17789405556</v>
      </c>
      <c r="C11208" t="str">
        <f>"620525198705220019"</f>
        <v>620525198705220019</v>
      </c>
      <c r="D11208" t="s">
        <v>11477</v>
      </c>
      <c r="E11208" t="s">
        <v>11478</v>
      </c>
      <c r="F11208" t="s">
        <v>0</v>
      </c>
      <c r="G11208" t="str">
        <f>"2018-10-14 10:29:41"</f>
        <v>2018-10-14 10:29:41</v>
      </c>
    </row>
    <row r="11209" spans="1:7" x14ac:dyDescent="0.2">
      <c r="A11209" t="s">
        <v>1</v>
      </c>
      <c r="B11209" t="str">
        <f>"17759579444"</f>
        <v>17759579444</v>
      </c>
      <c r="C11209" t="s">
        <v>1</v>
      </c>
      <c r="D11209" t="s">
        <v>1</v>
      </c>
      <c r="E11209" t="s">
        <v>1</v>
      </c>
      <c r="F11209" t="s">
        <v>0</v>
      </c>
      <c r="G11209" t="str">
        <f>"2018-10-14 10:28:48"</f>
        <v>2018-10-14 10:28:48</v>
      </c>
    </row>
    <row r="11210" spans="1:7" x14ac:dyDescent="0.2">
      <c r="A11210" t="s">
        <v>653</v>
      </c>
      <c r="B11210" t="str">
        <f>"17771845727"</f>
        <v>17771845727</v>
      </c>
      <c r="C11210" t="str">
        <f>"420116199312303074"</f>
        <v>420116199312303074</v>
      </c>
      <c r="D11210" t="s">
        <v>1</v>
      </c>
      <c r="E11210" t="s">
        <v>1</v>
      </c>
      <c r="F11210" t="s">
        <v>0</v>
      </c>
      <c r="G11210" t="str">
        <f>"2018-10-14 10:29:10"</f>
        <v>2018-10-14 10:29:10</v>
      </c>
    </row>
    <row r="11211" spans="1:7" x14ac:dyDescent="0.2">
      <c r="A11211" t="s">
        <v>1</v>
      </c>
      <c r="B11211" t="str">
        <f>"18163521846"</f>
        <v>18163521846</v>
      </c>
      <c r="C11211" t="s">
        <v>1</v>
      </c>
      <c r="D11211" t="s">
        <v>1</v>
      </c>
      <c r="E11211" t="s">
        <v>1</v>
      </c>
      <c r="F11211" t="s">
        <v>0</v>
      </c>
      <c r="G11211" t="str">
        <f>"2018-10-22 19:44:51"</f>
        <v>2018-10-22 19:44:51</v>
      </c>
    </row>
    <row r="11212" spans="1:7" x14ac:dyDescent="0.2">
      <c r="A11212" t="s">
        <v>11479</v>
      </c>
      <c r="B11212" t="str">
        <f>"13384325311"</f>
        <v>13384325311</v>
      </c>
      <c r="C11212" t="str">
        <f>"220284198602241553"</f>
        <v>220284198602241553</v>
      </c>
      <c r="D11212" t="s">
        <v>1</v>
      </c>
      <c r="E11212" t="s">
        <v>1</v>
      </c>
      <c r="F11212" t="s">
        <v>0</v>
      </c>
      <c r="G11212" t="str">
        <f>"2018-10-14 10:30:28"</f>
        <v>2018-10-14 10:30:28</v>
      </c>
    </row>
    <row r="11213" spans="1:7" x14ac:dyDescent="0.2">
      <c r="A11213" t="s">
        <v>1</v>
      </c>
      <c r="B11213" t="str">
        <f>"18906319051"</f>
        <v>18906319051</v>
      </c>
      <c r="C11213" t="s">
        <v>1</v>
      </c>
      <c r="D11213" t="s">
        <v>1</v>
      </c>
      <c r="E11213" t="s">
        <v>1</v>
      </c>
      <c r="F11213" t="s">
        <v>0</v>
      </c>
      <c r="G11213" t="str">
        <f>"2018-10-14 10:27:32"</f>
        <v>2018-10-14 10:27:32</v>
      </c>
    </row>
    <row r="11214" spans="1:7" x14ac:dyDescent="0.2">
      <c r="A11214" t="s">
        <v>11480</v>
      </c>
      <c r="B11214" t="str">
        <f>"18152242598"</f>
        <v>18152242598</v>
      </c>
      <c r="C11214" t="str">
        <f>"622727199012208033"</f>
        <v>622727199012208033</v>
      </c>
      <c r="D11214" t="s">
        <v>1</v>
      </c>
      <c r="E11214" t="s">
        <v>1</v>
      </c>
      <c r="F11214" t="s">
        <v>0</v>
      </c>
      <c r="G11214" t="str">
        <f>"2018-10-27 13:45:50"</f>
        <v>2018-10-27 13:45:50</v>
      </c>
    </row>
    <row r="11215" spans="1:7" x14ac:dyDescent="0.2">
      <c r="A11215" t="s">
        <v>11481</v>
      </c>
      <c r="B11215" t="str">
        <f>"18367585882"</f>
        <v>18367585882</v>
      </c>
      <c r="C11215" t="str">
        <f>"522424199502151050"</f>
        <v>522424199502151050</v>
      </c>
      <c r="D11215" t="s">
        <v>11482</v>
      </c>
      <c r="E11215" t="s">
        <v>11483</v>
      </c>
      <c r="F11215" t="s">
        <v>0</v>
      </c>
      <c r="G11215" t="str">
        <f>"2018-10-14 11:06:46"</f>
        <v>2018-10-14 11:06:46</v>
      </c>
    </row>
    <row r="11216" spans="1:7" x14ac:dyDescent="0.2">
      <c r="A11216" t="s">
        <v>11484</v>
      </c>
      <c r="B11216" t="str">
        <f>"15347257565"</f>
        <v>15347257565</v>
      </c>
      <c r="C11216" t="str">
        <f>"421023198511010754"</f>
        <v>421023198511010754</v>
      </c>
      <c r="D11216" t="s">
        <v>1</v>
      </c>
      <c r="E11216" t="s">
        <v>1</v>
      </c>
      <c r="F11216" t="s">
        <v>0</v>
      </c>
      <c r="G11216" t="str">
        <f>"2018-10-14 10:29:11"</f>
        <v>2018-10-14 10:29:11</v>
      </c>
    </row>
    <row r="11217" spans="1:7" x14ac:dyDescent="0.2">
      <c r="A11217" t="s">
        <v>11485</v>
      </c>
      <c r="B11217" t="str">
        <f>"18091616528"</f>
        <v>18091616528</v>
      </c>
      <c r="C11217" t="str">
        <f>"612325199402060023"</f>
        <v>612325199402060023</v>
      </c>
      <c r="D11217" t="s">
        <v>1</v>
      </c>
      <c r="E11217" t="s">
        <v>1</v>
      </c>
      <c r="F11217" t="s">
        <v>0</v>
      </c>
      <c r="G11217" t="str">
        <f>"2018-10-14 10:32:08"</f>
        <v>2018-10-14 10:32:08</v>
      </c>
    </row>
    <row r="11218" spans="1:7" x14ac:dyDescent="0.2">
      <c r="A11218" t="s">
        <v>11486</v>
      </c>
      <c r="B11218" t="str">
        <f>"18062650276"</f>
        <v>18062650276</v>
      </c>
      <c r="C11218" t="str">
        <f>"420104198705132018"</f>
        <v>420104198705132018</v>
      </c>
      <c r="D11218" t="s">
        <v>11487</v>
      </c>
      <c r="E11218" t="s">
        <v>11488</v>
      </c>
      <c r="F11218" t="s">
        <v>0</v>
      </c>
      <c r="G11218" t="str">
        <f>"2018-10-14 10:33:32"</f>
        <v>2018-10-14 10:33:32</v>
      </c>
    </row>
    <row r="11219" spans="1:7" x14ac:dyDescent="0.2">
      <c r="A11219" t="s">
        <v>11489</v>
      </c>
      <c r="B11219" t="str">
        <f>"18035092444"</f>
        <v>18035092444</v>
      </c>
      <c r="C11219" t="str">
        <f>"14220119830224143X"</f>
        <v>14220119830224143X</v>
      </c>
      <c r="D11219" t="s">
        <v>1</v>
      </c>
      <c r="E11219" t="s">
        <v>1</v>
      </c>
      <c r="F11219" t="s">
        <v>0</v>
      </c>
      <c r="G11219" t="str">
        <f>"2018-10-14 10:28:20"</f>
        <v>2018-10-14 10:28:20</v>
      </c>
    </row>
    <row r="11220" spans="1:7" x14ac:dyDescent="0.2">
      <c r="A11220" t="s">
        <v>1</v>
      </c>
      <c r="B11220" t="str">
        <f>"13310686892"</f>
        <v>13310686892</v>
      </c>
      <c r="C11220" t="s">
        <v>1</v>
      </c>
      <c r="D11220" t="s">
        <v>1</v>
      </c>
      <c r="E11220" t="s">
        <v>1</v>
      </c>
      <c r="F11220" t="s">
        <v>0</v>
      </c>
      <c r="G11220" t="str">
        <f>"2018-10-14 10:26:44"</f>
        <v>2018-10-14 10:26:44</v>
      </c>
    </row>
    <row r="11221" spans="1:7" x14ac:dyDescent="0.2">
      <c r="A11221" t="s">
        <v>11490</v>
      </c>
      <c r="B11221" t="str">
        <f>"18973915738"</f>
        <v>18973915738</v>
      </c>
      <c r="C11221" t="str">
        <f>"522727196908150017"</f>
        <v>522727196908150017</v>
      </c>
      <c r="D11221" t="s">
        <v>1</v>
      </c>
      <c r="E11221" t="s">
        <v>1</v>
      </c>
      <c r="F11221" t="s">
        <v>0</v>
      </c>
      <c r="G11221" t="str">
        <f>"2018-10-14 10:29:35"</f>
        <v>2018-10-14 10:29:35</v>
      </c>
    </row>
    <row r="11222" spans="1:7" x14ac:dyDescent="0.2">
      <c r="A11222" t="s">
        <v>1</v>
      </c>
      <c r="B11222" t="str">
        <f>"17319525582"</f>
        <v>17319525582</v>
      </c>
      <c r="C11222" t="s">
        <v>1</v>
      </c>
      <c r="D11222" t="s">
        <v>1</v>
      </c>
      <c r="E11222" t="s">
        <v>1</v>
      </c>
      <c r="F11222" t="s">
        <v>0</v>
      </c>
      <c r="G11222" t="str">
        <f>"2018-10-14 10:26:36"</f>
        <v>2018-10-14 10:26:36</v>
      </c>
    </row>
    <row r="11223" spans="1:7" x14ac:dyDescent="0.2">
      <c r="A11223" t="s">
        <v>11491</v>
      </c>
      <c r="B11223" t="str">
        <f>"18032188520"</f>
        <v>18032188520</v>
      </c>
      <c r="C11223" t="str">
        <f>"130128199406120048"</f>
        <v>130128199406120048</v>
      </c>
      <c r="D11223" t="s">
        <v>1</v>
      </c>
      <c r="E11223" t="s">
        <v>1</v>
      </c>
      <c r="F11223" t="s">
        <v>0</v>
      </c>
      <c r="G11223" t="str">
        <f>"2018-10-14 10:29:00"</f>
        <v>2018-10-14 10:29:00</v>
      </c>
    </row>
    <row r="11224" spans="1:7" x14ac:dyDescent="0.2">
      <c r="A11224" t="s">
        <v>1</v>
      </c>
      <c r="B11224" t="str">
        <f>"17304279992"</f>
        <v>17304279992</v>
      </c>
      <c r="C11224" t="s">
        <v>1</v>
      </c>
      <c r="D11224" t="s">
        <v>1</v>
      </c>
      <c r="E11224" t="s">
        <v>1</v>
      </c>
      <c r="F11224" t="s">
        <v>0</v>
      </c>
      <c r="G11224" t="str">
        <f>"2018-10-14 10:26:19"</f>
        <v>2018-10-14 10:26:19</v>
      </c>
    </row>
    <row r="11225" spans="1:7" x14ac:dyDescent="0.2">
      <c r="A11225" t="s">
        <v>11492</v>
      </c>
      <c r="B11225" t="str">
        <f>"15357917608"</f>
        <v>15357917608</v>
      </c>
      <c r="C11225" t="str">
        <f>"342422198707128056"</f>
        <v>342422198707128056</v>
      </c>
      <c r="D11225" t="s">
        <v>1</v>
      </c>
      <c r="E11225" t="s">
        <v>1</v>
      </c>
      <c r="F11225" t="s">
        <v>0</v>
      </c>
      <c r="G11225" t="str">
        <f>"2018-10-19 07:45:05"</f>
        <v>2018-10-19 07:45:05</v>
      </c>
    </row>
    <row r="11226" spans="1:7" x14ac:dyDescent="0.2">
      <c r="A11226" t="s">
        <v>1</v>
      </c>
      <c r="B11226" t="str">
        <f>"18977769292"</f>
        <v>18977769292</v>
      </c>
      <c r="C11226" t="s">
        <v>1</v>
      </c>
      <c r="D11226" t="s">
        <v>1</v>
      </c>
      <c r="E11226" t="s">
        <v>1</v>
      </c>
      <c r="F11226" t="s">
        <v>0</v>
      </c>
      <c r="G11226" t="str">
        <f>"2018-10-14 10:30:43"</f>
        <v>2018-10-14 10:30:43</v>
      </c>
    </row>
    <row r="11227" spans="1:7" x14ac:dyDescent="0.2">
      <c r="A11227" t="s">
        <v>11493</v>
      </c>
      <c r="B11227" t="str">
        <f>"18673857432"</f>
        <v>18673857432</v>
      </c>
      <c r="C11227" t="str">
        <f>"43250319740427237X"</f>
        <v>43250319740427237X</v>
      </c>
      <c r="D11227" t="s">
        <v>1</v>
      </c>
      <c r="E11227" t="s">
        <v>1</v>
      </c>
      <c r="F11227" t="s">
        <v>0</v>
      </c>
      <c r="G11227" t="str">
        <f>"2018-10-15 16:49:30"</f>
        <v>2018-10-15 16:49:30</v>
      </c>
    </row>
    <row r="11228" spans="1:7" x14ac:dyDescent="0.2">
      <c r="A11228" t="s">
        <v>1</v>
      </c>
      <c r="B11228" t="str">
        <f>"17171049124"</f>
        <v>17171049124</v>
      </c>
      <c r="C11228" t="s">
        <v>1</v>
      </c>
      <c r="D11228" t="s">
        <v>1</v>
      </c>
      <c r="E11228" t="s">
        <v>1</v>
      </c>
      <c r="F11228" t="s">
        <v>0</v>
      </c>
      <c r="G11228" t="str">
        <f>"2018-10-14 10:26:01"</f>
        <v>2018-10-14 10:26:01</v>
      </c>
    </row>
    <row r="11229" spans="1:7" x14ac:dyDescent="0.2">
      <c r="A11229" t="s">
        <v>11494</v>
      </c>
      <c r="B11229" t="str">
        <f>"18204955332"</f>
        <v>18204955332</v>
      </c>
      <c r="C11229" t="str">
        <f>"150430199307102858"</f>
        <v>150430199307102858</v>
      </c>
      <c r="D11229" t="s">
        <v>11495</v>
      </c>
      <c r="E11229" t="s">
        <v>11496</v>
      </c>
      <c r="F11229" t="s">
        <v>0</v>
      </c>
      <c r="G11229" t="str">
        <f>"2018-10-14 10:25:58"</f>
        <v>2018-10-14 10:25:58</v>
      </c>
    </row>
    <row r="11230" spans="1:7" x14ac:dyDescent="0.2">
      <c r="A11230" t="s">
        <v>1</v>
      </c>
      <c r="B11230" t="str">
        <f>"18163655895"</f>
        <v>18163655895</v>
      </c>
      <c r="C11230" t="s">
        <v>1</v>
      </c>
      <c r="D11230" t="s">
        <v>1</v>
      </c>
      <c r="E11230" t="s">
        <v>1</v>
      </c>
      <c r="F11230" t="s">
        <v>0</v>
      </c>
      <c r="G11230" t="str">
        <f>"2018-10-14 10:28:39"</f>
        <v>2018-10-14 10:28:39</v>
      </c>
    </row>
    <row r="11231" spans="1:7" x14ac:dyDescent="0.2">
      <c r="A11231" t="s">
        <v>11497</v>
      </c>
      <c r="B11231" t="str">
        <f>"18999770639"</f>
        <v>18999770639</v>
      </c>
      <c r="C11231" t="str">
        <f>"652701196904055122"</f>
        <v>652701196904055122</v>
      </c>
      <c r="D11231" t="s">
        <v>1</v>
      </c>
      <c r="E11231" t="s">
        <v>1</v>
      </c>
      <c r="F11231" t="s">
        <v>0</v>
      </c>
      <c r="G11231" t="str">
        <f>"2018-10-14 10:25:47"</f>
        <v>2018-10-14 10:25:47</v>
      </c>
    </row>
    <row r="11232" spans="1:7" x14ac:dyDescent="0.2">
      <c r="A11232" t="s">
        <v>1</v>
      </c>
      <c r="B11232" t="str">
        <f>"18984463380"</f>
        <v>18984463380</v>
      </c>
      <c r="C11232" t="s">
        <v>1</v>
      </c>
      <c r="D11232" t="s">
        <v>1</v>
      </c>
      <c r="E11232" t="s">
        <v>1</v>
      </c>
      <c r="F11232" t="s">
        <v>0</v>
      </c>
      <c r="G11232" t="str">
        <f>"2018-10-14 10:25:36"</f>
        <v>2018-10-14 10:25:36</v>
      </c>
    </row>
    <row r="11233" spans="1:7" x14ac:dyDescent="0.2">
      <c r="A11233" t="s">
        <v>1</v>
      </c>
      <c r="B11233" t="str">
        <f>"13193307471"</f>
        <v>13193307471</v>
      </c>
      <c r="C11233" t="s">
        <v>1</v>
      </c>
      <c r="D11233" t="s">
        <v>1</v>
      </c>
      <c r="E11233" t="s">
        <v>1</v>
      </c>
      <c r="F11233" t="s">
        <v>0</v>
      </c>
      <c r="G11233" t="str">
        <f>"2018-10-14 10:25:35"</f>
        <v>2018-10-14 10:25:35</v>
      </c>
    </row>
    <row r="11234" spans="1:7" x14ac:dyDescent="0.2">
      <c r="A11234" t="s">
        <v>11498</v>
      </c>
      <c r="B11234" t="str">
        <f>"15829936019"</f>
        <v>15829936019</v>
      </c>
      <c r="C11234" t="str">
        <f>"610121198912285801"</f>
        <v>610121198912285801</v>
      </c>
      <c r="D11234" t="s">
        <v>1</v>
      </c>
      <c r="E11234" t="s">
        <v>1</v>
      </c>
      <c r="F11234" t="s">
        <v>0</v>
      </c>
      <c r="G11234" t="str">
        <f>"2018-10-14 10:31:36"</f>
        <v>2018-10-14 10:31:36</v>
      </c>
    </row>
    <row r="11235" spans="1:7" x14ac:dyDescent="0.2">
      <c r="A11235" t="s">
        <v>1</v>
      </c>
      <c r="B11235" t="str">
        <f>"17323469432"</f>
        <v>17323469432</v>
      </c>
      <c r="C11235" t="s">
        <v>1</v>
      </c>
      <c r="D11235" t="s">
        <v>1</v>
      </c>
      <c r="E11235" t="s">
        <v>1</v>
      </c>
      <c r="F11235" t="s">
        <v>0</v>
      </c>
      <c r="G11235" t="str">
        <f>"2018-10-14 10:26:39"</f>
        <v>2018-10-14 10:26:39</v>
      </c>
    </row>
    <row r="11236" spans="1:7" x14ac:dyDescent="0.2">
      <c r="A11236" t="s">
        <v>1</v>
      </c>
      <c r="B11236" t="str">
        <f>"15309008259"</f>
        <v>15309008259</v>
      </c>
      <c r="C11236" t="s">
        <v>1</v>
      </c>
      <c r="D11236" t="s">
        <v>1</v>
      </c>
      <c r="E11236" t="s">
        <v>1</v>
      </c>
      <c r="F11236" t="s">
        <v>0</v>
      </c>
      <c r="G11236" t="str">
        <f>"2018-10-14 10:28:15"</f>
        <v>2018-10-14 10:28:15</v>
      </c>
    </row>
    <row r="11237" spans="1:7" x14ac:dyDescent="0.2">
      <c r="A11237" t="s">
        <v>1</v>
      </c>
      <c r="B11237" t="str">
        <f>"18980153393"</f>
        <v>18980153393</v>
      </c>
      <c r="C11237" t="s">
        <v>1</v>
      </c>
      <c r="D11237" t="s">
        <v>1</v>
      </c>
      <c r="E11237" t="s">
        <v>1</v>
      </c>
      <c r="F11237" t="s">
        <v>0</v>
      </c>
      <c r="G11237" t="str">
        <f>"2018-10-14 10:25:03"</f>
        <v>2018-10-14 10:25:03</v>
      </c>
    </row>
    <row r="11238" spans="1:7" x14ac:dyDescent="0.2">
      <c r="A11238" t="s">
        <v>719</v>
      </c>
      <c r="B11238" t="str">
        <f>"18956922237"</f>
        <v>18956922237</v>
      </c>
      <c r="C11238" t="str">
        <f>"340803195710162017"</f>
        <v>340803195710162017</v>
      </c>
      <c r="D11238" t="s">
        <v>1</v>
      </c>
      <c r="E11238" t="s">
        <v>1</v>
      </c>
      <c r="F11238" t="s">
        <v>0</v>
      </c>
      <c r="G11238" t="str">
        <f>"2018-10-14 10:26:53"</f>
        <v>2018-10-14 10:26:53</v>
      </c>
    </row>
    <row r="11239" spans="1:7" x14ac:dyDescent="0.2">
      <c r="A11239" t="s">
        <v>11499</v>
      </c>
      <c r="B11239" t="str">
        <f>"18181832583"</f>
        <v>18181832583</v>
      </c>
      <c r="C11239" t="str">
        <f>"512926197210090021"</f>
        <v>512926197210090021</v>
      </c>
      <c r="D11239" t="s">
        <v>11500</v>
      </c>
      <c r="E11239" t="s">
        <v>11501</v>
      </c>
      <c r="F11239" t="s">
        <v>0</v>
      </c>
      <c r="G11239" t="str">
        <f>"2018-10-14 11:45:46"</f>
        <v>2018-10-14 11:45:46</v>
      </c>
    </row>
    <row r="11240" spans="1:7" x14ac:dyDescent="0.2">
      <c r="A11240" t="s">
        <v>11502</v>
      </c>
      <c r="B11240" t="str">
        <f>"13359082855"</f>
        <v>13359082855</v>
      </c>
      <c r="C11240" t="str">
        <f>"340204195610302610"</f>
        <v>340204195610302610</v>
      </c>
      <c r="D11240" t="s">
        <v>1</v>
      </c>
      <c r="E11240" t="s">
        <v>1</v>
      </c>
      <c r="F11240" t="s">
        <v>0</v>
      </c>
      <c r="G11240" t="str">
        <f>"2018-10-14 10:26:01"</f>
        <v>2018-10-14 10:26:01</v>
      </c>
    </row>
    <row r="11241" spans="1:7" x14ac:dyDescent="0.2">
      <c r="A11241" t="s">
        <v>11503</v>
      </c>
      <c r="B11241" t="str">
        <f>"18123033255"</f>
        <v>18123033255</v>
      </c>
      <c r="C11241" t="str">
        <f>"513823199009245218"</f>
        <v>513823199009245218</v>
      </c>
      <c r="D11241" t="s">
        <v>1</v>
      </c>
      <c r="E11241" t="s">
        <v>1</v>
      </c>
      <c r="F11241" t="s">
        <v>0</v>
      </c>
      <c r="G11241" t="str">
        <f>"2018-10-14 10:27:11"</f>
        <v>2018-10-14 10:27:11</v>
      </c>
    </row>
    <row r="11242" spans="1:7" x14ac:dyDescent="0.2">
      <c r="A11242" t="s">
        <v>1</v>
      </c>
      <c r="B11242" t="str">
        <f>"18968153699"</f>
        <v>18968153699</v>
      </c>
      <c r="C11242" t="s">
        <v>1</v>
      </c>
      <c r="D11242" t="s">
        <v>1</v>
      </c>
      <c r="E11242" t="s">
        <v>1</v>
      </c>
      <c r="F11242" t="s">
        <v>0</v>
      </c>
      <c r="G11242" t="str">
        <f>"2018-10-14 10:24:52"</f>
        <v>2018-10-14 10:24:52</v>
      </c>
    </row>
    <row r="11243" spans="1:7" x14ac:dyDescent="0.2">
      <c r="A11243" t="s">
        <v>1</v>
      </c>
      <c r="B11243" t="str">
        <f>"18015769062"</f>
        <v>18015769062</v>
      </c>
      <c r="C11243" t="s">
        <v>1</v>
      </c>
      <c r="D11243" t="s">
        <v>1</v>
      </c>
      <c r="E11243" t="s">
        <v>1</v>
      </c>
      <c r="F11243" t="s">
        <v>0</v>
      </c>
      <c r="G11243" t="str">
        <f>"2018-10-14 10:24:49"</f>
        <v>2018-10-14 10:24:49</v>
      </c>
    </row>
    <row r="11244" spans="1:7" x14ac:dyDescent="0.2">
      <c r="A11244" t="s">
        <v>11504</v>
      </c>
      <c r="B11244" t="str">
        <f>"18137672030"</f>
        <v>18137672030</v>
      </c>
      <c r="C11244" t="str">
        <f>"411326199303014011"</f>
        <v>411326199303014011</v>
      </c>
      <c r="D11244" t="s">
        <v>1</v>
      </c>
      <c r="E11244" t="s">
        <v>1</v>
      </c>
      <c r="F11244" t="s">
        <v>0</v>
      </c>
      <c r="G11244" t="str">
        <f>"2018-10-14 10:26:27"</f>
        <v>2018-10-14 10:26:27</v>
      </c>
    </row>
    <row r="11245" spans="1:7" x14ac:dyDescent="0.2">
      <c r="A11245" t="s">
        <v>11505</v>
      </c>
      <c r="B11245" t="str">
        <f>"13317756854"</f>
        <v>13317756854</v>
      </c>
      <c r="C11245" t="str">
        <f>"450924199611133211"</f>
        <v>450924199611133211</v>
      </c>
      <c r="D11245" t="s">
        <v>1</v>
      </c>
      <c r="E11245" t="s">
        <v>1</v>
      </c>
      <c r="F11245" t="s">
        <v>0</v>
      </c>
      <c r="G11245" t="str">
        <f>"2018-10-14 10:26:27"</f>
        <v>2018-10-14 10:26:27</v>
      </c>
    </row>
    <row r="11246" spans="1:7" x14ac:dyDescent="0.2">
      <c r="A11246" t="s">
        <v>748</v>
      </c>
      <c r="B11246" t="str">
        <f>"18090473568"</f>
        <v>18090473568</v>
      </c>
      <c r="C11246" t="str">
        <f>"51382219940319001X"</f>
        <v>51382219940319001X</v>
      </c>
      <c r="D11246" t="s">
        <v>1</v>
      </c>
      <c r="E11246" t="s">
        <v>1</v>
      </c>
      <c r="F11246" t="s">
        <v>0</v>
      </c>
      <c r="G11246" t="str">
        <f>"2018-10-14 10:30:19"</f>
        <v>2018-10-14 10:30:19</v>
      </c>
    </row>
    <row r="11247" spans="1:7" x14ac:dyDescent="0.2">
      <c r="A11247" t="s">
        <v>11506</v>
      </c>
      <c r="B11247" t="str">
        <f>"18011599666"</f>
        <v>18011599666</v>
      </c>
      <c r="C11247" t="str">
        <f>"510122197407059019"</f>
        <v>510122197407059019</v>
      </c>
      <c r="D11247" t="s">
        <v>1</v>
      </c>
      <c r="E11247" t="s">
        <v>1</v>
      </c>
      <c r="F11247" t="s">
        <v>0</v>
      </c>
      <c r="G11247" t="str">
        <f>"2018-10-14 10:25:36"</f>
        <v>2018-10-14 10:25:36</v>
      </c>
    </row>
    <row r="11248" spans="1:7" x14ac:dyDescent="0.2">
      <c r="A11248" t="s">
        <v>1</v>
      </c>
      <c r="B11248" t="str">
        <f>"15368514114"</f>
        <v>15368514114</v>
      </c>
      <c r="C11248" t="s">
        <v>1</v>
      </c>
      <c r="D11248" t="s">
        <v>1</v>
      </c>
      <c r="E11248" t="s">
        <v>1</v>
      </c>
      <c r="F11248" t="s">
        <v>0</v>
      </c>
      <c r="G11248" t="str">
        <f>"2018-10-14 10:24:27"</f>
        <v>2018-10-14 10:24:27</v>
      </c>
    </row>
    <row r="11249" spans="1:7" x14ac:dyDescent="0.2">
      <c r="A11249" t="s">
        <v>1</v>
      </c>
      <c r="B11249" t="str">
        <f>"18184166819"</f>
        <v>18184166819</v>
      </c>
      <c r="C11249" t="s">
        <v>1</v>
      </c>
      <c r="D11249" t="s">
        <v>1</v>
      </c>
      <c r="E11249" t="s">
        <v>1</v>
      </c>
      <c r="F11249" t="s">
        <v>0</v>
      </c>
      <c r="G11249" t="str">
        <f>"2018-10-14 10:24:26"</f>
        <v>2018-10-14 10:24:26</v>
      </c>
    </row>
    <row r="11250" spans="1:7" x14ac:dyDescent="0.2">
      <c r="A11250" t="s">
        <v>1</v>
      </c>
      <c r="B11250" t="str">
        <f>"18132966699"</f>
        <v>18132966699</v>
      </c>
      <c r="C11250" t="s">
        <v>1</v>
      </c>
      <c r="D11250" t="s">
        <v>1</v>
      </c>
      <c r="E11250" t="s">
        <v>1</v>
      </c>
      <c r="F11250" t="s">
        <v>0</v>
      </c>
      <c r="G11250" t="str">
        <f>"2018-10-14 10:24:20"</f>
        <v>2018-10-14 10:24:20</v>
      </c>
    </row>
    <row r="11251" spans="1:7" x14ac:dyDescent="0.2">
      <c r="A11251" t="s">
        <v>823</v>
      </c>
      <c r="B11251" t="str">
        <f>"18040383405"</f>
        <v>18040383405</v>
      </c>
      <c r="C11251" t="str">
        <f>"510311197712150013"</f>
        <v>510311197712150013</v>
      </c>
      <c r="D11251" t="s">
        <v>1</v>
      </c>
      <c r="E11251" t="s">
        <v>1</v>
      </c>
      <c r="F11251" t="s">
        <v>0</v>
      </c>
      <c r="G11251" t="str">
        <f>"2018-10-14 10:25:30"</f>
        <v>2018-10-14 10:25:30</v>
      </c>
    </row>
    <row r="11252" spans="1:7" x14ac:dyDescent="0.2">
      <c r="A11252" t="s">
        <v>11507</v>
      </c>
      <c r="B11252" t="str">
        <f>"13341425853"</f>
        <v>13341425853</v>
      </c>
      <c r="C11252" t="str">
        <f>"220104197305244123"</f>
        <v>220104197305244123</v>
      </c>
      <c r="D11252" t="s">
        <v>11508</v>
      </c>
      <c r="E11252" t="s">
        <v>11509</v>
      </c>
      <c r="F11252" t="s">
        <v>0</v>
      </c>
      <c r="G11252" t="str">
        <f>"2018-10-14 10:25:12"</f>
        <v>2018-10-14 10:25:12</v>
      </c>
    </row>
    <row r="11253" spans="1:7" x14ac:dyDescent="0.2">
      <c r="A11253" t="s">
        <v>11510</v>
      </c>
      <c r="B11253" t="str">
        <f>"18179313772"</f>
        <v>18179313772</v>
      </c>
      <c r="C11253" t="str">
        <f>"362301197710153553"</f>
        <v>362301197710153553</v>
      </c>
      <c r="D11253" t="s">
        <v>1</v>
      </c>
      <c r="E11253" t="s">
        <v>1</v>
      </c>
      <c r="F11253" t="s">
        <v>0</v>
      </c>
      <c r="G11253" t="str">
        <f>"2018-10-15 14:52:10"</f>
        <v>2018-10-15 14:52:10</v>
      </c>
    </row>
    <row r="11254" spans="1:7" x14ac:dyDescent="0.2">
      <c r="A11254" t="s">
        <v>11511</v>
      </c>
      <c r="B11254" t="str">
        <f>"18955409977"</f>
        <v>18955409977</v>
      </c>
      <c r="C11254" t="str">
        <f>"340404198209180949"</f>
        <v>340404198209180949</v>
      </c>
      <c r="D11254" t="s">
        <v>1</v>
      </c>
      <c r="E11254" t="s">
        <v>1</v>
      </c>
      <c r="F11254" t="s">
        <v>0</v>
      </c>
      <c r="G11254" t="str">
        <f>"2018-10-21 13:54:01"</f>
        <v>2018-10-21 13:54:01</v>
      </c>
    </row>
    <row r="11255" spans="1:7" x14ac:dyDescent="0.2">
      <c r="A11255" t="s">
        <v>1</v>
      </c>
      <c r="B11255" t="str">
        <f>"15354541963"</f>
        <v>15354541963</v>
      </c>
      <c r="C11255" t="s">
        <v>1</v>
      </c>
      <c r="D11255" t="s">
        <v>1</v>
      </c>
      <c r="E11255" t="s">
        <v>1</v>
      </c>
      <c r="F11255" t="s">
        <v>0</v>
      </c>
      <c r="G11255" t="str">
        <f>"2018-10-14 10:23:36"</f>
        <v>2018-10-14 10:23:36</v>
      </c>
    </row>
    <row r="11256" spans="1:7" x14ac:dyDescent="0.2">
      <c r="A11256" t="s">
        <v>1</v>
      </c>
      <c r="B11256" t="str">
        <f>"18932928188"</f>
        <v>18932928188</v>
      </c>
      <c r="C11256" t="s">
        <v>1</v>
      </c>
      <c r="D11256" t="s">
        <v>1</v>
      </c>
      <c r="E11256" t="s">
        <v>1</v>
      </c>
      <c r="F11256" t="s">
        <v>0</v>
      </c>
      <c r="G11256" t="str">
        <f>"2018-10-14 10:24:27"</f>
        <v>2018-10-14 10:24:27</v>
      </c>
    </row>
    <row r="11257" spans="1:7" x14ac:dyDescent="0.2">
      <c r="A11257" t="s">
        <v>1</v>
      </c>
      <c r="B11257" t="str">
        <f>"15214258111"</f>
        <v>15214258111</v>
      </c>
      <c r="C11257" t="s">
        <v>1</v>
      </c>
      <c r="D11257" t="s">
        <v>1</v>
      </c>
      <c r="E11257" t="s">
        <v>1</v>
      </c>
      <c r="F11257" t="s">
        <v>0</v>
      </c>
      <c r="G11257" t="str">
        <f>"2018-10-14 10:23:11"</f>
        <v>2018-10-14 10:23:11</v>
      </c>
    </row>
    <row r="11258" spans="1:7" x14ac:dyDescent="0.2">
      <c r="A11258" t="s">
        <v>1674</v>
      </c>
      <c r="B11258" t="str">
        <f>"18111581225"</f>
        <v>18111581225</v>
      </c>
      <c r="C11258" t="str">
        <f>"510225197405190210"</f>
        <v>510225197405190210</v>
      </c>
      <c r="D11258" t="s">
        <v>1</v>
      </c>
      <c r="E11258" t="s">
        <v>1</v>
      </c>
      <c r="F11258" t="s">
        <v>0</v>
      </c>
      <c r="G11258" t="str">
        <f>"2018-10-14 10:25:20"</f>
        <v>2018-10-14 10:25:20</v>
      </c>
    </row>
    <row r="11259" spans="1:7" x14ac:dyDescent="0.2">
      <c r="A11259" t="s">
        <v>1</v>
      </c>
      <c r="B11259" t="str">
        <f>"15312626162"</f>
        <v>15312626162</v>
      </c>
      <c r="C11259" t="s">
        <v>1</v>
      </c>
      <c r="D11259" t="s">
        <v>1</v>
      </c>
      <c r="E11259" t="s">
        <v>1</v>
      </c>
      <c r="F11259" t="s">
        <v>0</v>
      </c>
      <c r="G11259" t="str">
        <f>"2018-10-14 10:23:04"</f>
        <v>2018-10-14 10:23:04</v>
      </c>
    </row>
    <row r="11260" spans="1:7" x14ac:dyDescent="0.2">
      <c r="A11260" t="s">
        <v>1</v>
      </c>
      <c r="B11260" t="str">
        <f>"18114049986"</f>
        <v>18114049986</v>
      </c>
      <c r="C11260" t="s">
        <v>1</v>
      </c>
      <c r="D11260" t="s">
        <v>1</v>
      </c>
      <c r="E11260" t="s">
        <v>1</v>
      </c>
      <c r="F11260" t="s">
        <v>0</v>
      </c>
      <c r="G11260" t="str">
        <f>"2018-10-14 10:23:03"</f>
        <v>2018-10-14 10:23:03</v>
      </c>
    </row>
    <row r="11261" spans="1:7" x14ac:dyDescent="0.2">
      <c r="A11261" t="s">
        <v>11512</v>
      </c>
      <c r="B11261" t="str">
        <f>"18359376025"</f>
        <v>18359376025</v>
      </c>
      <c r="C11261" t="str">
        <f>"360733198501154918"</f>
        <v>360733198501154918</v>
      </c>
      <c r="D11261" t="s">
        <v>1</v>
      </c>
      <c r="E11261" t="s">
        <v>1</v>
      </c>
      <c r="F11261" t="s">
        <v>0</v>
      </c>
      <c r="G11261" t="str">
        <f>"2018-10-14 10:26:42"</f>
        <v>2018-10-14 10:26:42</v>
      </c>
    </row>
    <row r="11262" spans="1:7" x14ac:dyDescent="0.2">
      <c r="A11262" t="s">
        <v>11513</v>
      </c>
      <c r="B11262" t="str">
        <f>"17776308130"</f>
        <v>17776308130</v>
      </c>
      <c r="C11262" t="str">
        <f>"450204196906271024"</f>
        <v>450204196906271024</v>
      </c>
      <c r="D11262" t="s">
        <v>1</v>
      </c>
      <c r="E11262" t="s">
        <v>1</v>
      </c>
      <c r="F11262" t="s">
        <v>0</v>
      </c>
      <c r="G11262" t="str">
        <f>"2018-10-15 16:59:39"</f>
        <v>2018-10-15 16:59:39</v>
      </c>
    </row>
    <row r="11263" spans="1:7" x14ac:dyDescent="0.2">
      <c r="A11263" t="s">
        <v>884</v>
      </c>
      <c r="B11263" t="str">
        <f>"13389937707"</f>
        <v>13389937707</v>
      </c>
      <c r="C11263" t="str">
        <f>"120223198111230191"</f>
        <v>120223198111230191</v>
      </c>
      <c r="D11263" t="s">
        <v>1</v>
      </c>
      <c r="E11263" t="s">
        <v>1</v>
      </c>
      <c r="F11263" t="s">
        <v>0</v>
      </c>
      <c r="G11263" t="str">
        <f>"2018-10-14 10:25:16"</f>
        <v>2018-10-14 10:25:16</v>
      </c>
    </row>
    <row r="11264" spans="1:7" x14ac:dyDescent="0.2">
      <c r="A11264" t="s">
        <v>7656</v>
      </c>
      <c r="B11264" t="str">
        <f>"15310051906"</f>
        <v>15310051906</v>
      </c>
      <c r="C11264" t="str">
        <f>"500236198606246673"</f>
        <v>500236198606246673</v>
      </c>
      <c r="D11264" t="s">
        <v>1</v>
      </c>
      <c r="E11264" t="s">
        <v>1</v>
      </c>
      <c r="F11264" t="s">
        <v>0</v>
      </c>
      <c r="G11264" t="str">
        <f>"2018-10-14 10:27:58"</f>
        <v>2018-10-14 10:27:58</v>
      </c>
    </row>
    <row r="11265" spans="1:7" x14ac:dyDescent="0.2">
      <c r="A11265" t="s">
        <v>11514</v>
      </c>
      <c r="B11265" t="str">
        <f>"18920366975"</f>
        <v>18920366975</v>
      </c>
      <c r="C11265" t="str">
        <f>"231026199206010326"</f>
        <v>231026199206010326</v>
      </c>
      <c r="D11265" t="s">
        <v>1</v>
      </c>
      <c r="E11265" t="s">
        <v>1</v>
      </c>
      <c r="F11265" t="s">
        <v>0</v>
      </c>
      <c r="G11265" t="str">
        <f>"2018-10-14 13:37:01"</f>
        <v>2018-10-14 13:37:01</v>
      </c>
    </row>
    <row r="11266" spans="1:7" x14ac:dyDescent="0.2">
      <c r="A11266" t="s">
        <v>10044</v>
      </c>
      <c r="B11266" t="str">
        <f>"15376959017"</f>
        <v>15376959017</v>
      </c>
      <c r="C11266" t="str">
        <f>"371102198501170518"</f>
        <v>371102198501170518</v>
      </c>
      <c r="D11266" t="s">
        <v>1</v>
      </c>
      <c r="E11266" t="s">
        <v>1</v>
      </c>
      <c r="F11266" t="s">
        <v>0</v>
      </c>
      <c r="G11266" t="str">
        <f>"2018-10-14 10:24:39"</f>
        <v>2018-10-14 10:24:39</v>
      </c>
    </row>
    <row r="11267" spans="1:7" x14ac:dyDescent="0.2">
      <c r="A11267" t="s">
        <v>1</v>
      </c>
      <c r="B11267" t="str">
        <f>"17773449087"</f>
        <v>17773449087</v>
      </c>
      <c r="C11267" t="s">
        <v>1</v>
      </c>
      <c r="D11267" t="s">
        <v>1</v>
      </c>
      <c r="E11267" t="s">
        <v>1</v>
      </c>
      <c r="F11267" t="s">
        <v>0</v>
      </c>
      <c r="G11267" t="str">
        <f>"2018-10-14 10:22:17"</f>
        <v>2018-10-14 10:22:17</v>
      </c>
    </row>
    <row r="11268" spans="1:7" x14ac:dyDescent="0.2">
      <c r="A11268" t="s">
        <v>11515</v>
      </c>
      <c r="B11268" t="str">
        <f>"18078391320"</f>
        <v>18078391320</v>
      </c>
      <c r="C11268" t="str">
        <f>"450321198709122071"</f>
        <v>450321198709122071</v>
      </c>
      <c r="D11268" t="s">
        <v>1</v>
      </c>
      <c r="E11268" t="s">
        <v>1</v>
      </c>
      <c r="F11268" t="s">
        <v>0</v>
      </c>
      <c r="G11268" t="str">
        <f>"2018-10-14 10:23:35"</f>
        <v>2018-10-14 10:23:35</v>
      </c>
    </row>
    <row r="11269" spans="1:7" x14ac:dyDescent="0.2">
      <c r="A11269" t="s">
        <v>11516</v>
      </c>
      <c r="B11269" t="str">
        <f>"18085030446"</f>
        <v>18085030446</v>
      </c>
      <c r="C11269" t="str">
        <f>"510213197809086529"</f>
        <v>510213197809086529</v>
      </c>
      <c r="D11269" t="s">
        <v>1</v>
      </c>
      <c r="E11269" t="s">
        <v>1</v>
      </c>
      <c r="F11269" t="s">
        <v>0</v>
      </c>
      <c r="G11269" t="str">
        <f>"2018-10-14 10:24:29"</f>
        <v>2018-10-14 10:24:29</v>
      </c>
    </row>
    <row r="11270" spans="1:7" x14ac:dyDescent="0.2">
      <c r="A11270" t="s">
        <v>1</v>
      </c>
      <c r="B11270" t="str">
        <f>"17786233552"</f>
        <v>17786233552</v>
      </c>
      <c r="C11270" t="s">
        <v>1</v>
      </c>
      <c r="D11270" t="s">
        <v>1</v>
      </c>
      <c r="E11270" t="s">
        <v>1</v>
      </c>
      <c r="F11270" t="s">
        <v>0</v>
      </c>
      <c r="G11270" t="str">
        <f>"2018-11-03 23:03:27"</f>
        <v>2018-11-03 23:03:27</v>
      </c>
    </row>
    <row r="11271" spans="1:7" x14ac:dyDescent="0.2">
      <c r="A11271" t="s">
        <v>11517</v>
      </c>
      <c r="B11271" t="str">
        <f>"13315994446"</f>
        <v>13315994446</v>
      </c>
      <c r="C11271" t="str">
        <f>"130731199003265817"</f>
        <v>130731199003265817</v>
      </c>
      <c r="D11271" t="s">
        <v>1</v>
      </c>
      <c r="E11271" t="s">
        <v>1</v>
      </c>
      <c r="F11271" t="s">
        <v>0</v>
      </c>
      <c r="G11271" t="str">
        <f>"2018-10-18 15:51:47"</f>
        <v>2018-10-18 15:51:47</v>
      </c>
    </row>
    <row r="11272" spans="1:7" x14ac:dyDescent="0.2">
      <c r="A11272" t="s">
        <v>11518</v>
      </c>
      <c r="B11272" t="str">
        <f>"15307293002"</f>
        <v>15307293002</v>
      </c>
      <c r="C11272" t="str">
        <f>"42220219710426471X"</f>
        <v>42220219710426471X</v>
      </c>
      <c r="D11272" t="s">
        <v>1</v>
      </c>
      <c r="E11272" t="s">
        <v>1</v>
      </c>
      <c r="F11272" t="s">
        <v>0</v>
      </c>
      <c r="G11272" t="str">
        <f>"2018-10-14 10:22:41"</f>
        <v>2018-10-14 10:22:41</v>
      </c>
    </row>
    <row r="11273" spans="1:7" x14ac:dyDescent="0.2">
      <c r="A11273" t="s">
        <v>11519</v>
      </c>
      <c r="B11273" t="str">
        <f>"17375077627"</f>
        <v>17375077627</v>
      </c>
      <c r="C11273" t="str">
        <f>"340505199707221439"</f>
        <v>340505199707221439</v>
      </c>
      <c r="D11273" t="s">
        <v>1</v>
      </c>
      <c r="E11273" t="s">
        <v>1</v>
      </c>
      <c r="F11273" t="s">
        <v>0</v>
      </c>
      <c r="G11273" t="str">
        <f>"2018-10-14 10:23:40"</f>
        <v>2018-10-14 10:23:40</v>
      </c>
    </row>
    <row r="11274" spans="1:7" x14ac:dyDescent="0.2">
      <c r="A11274" t="s">
        <v>11520</v>
      </c>
      <c r="B11274" t="str">
        <f>"15348152039"</f>
        <v>15348152039</v>
      </c>
      <c r="C11274" t="str">
        <f>"511521198708256316"</f>
        <v>511521198708256316</v>
      </c>
      <c r="D11274" t="s">
        <v>11521</v>
      </c>
      <c r="E11274" t="s">
        <v>11522</v>
      </c>
      <c r="F11274" t="s">
        <v>0</v>
      </c>
      <c r="G11274" t="str">
        <f>"2018-10-14 10:49:28"</f>
        <v>2018-10-14 10:49:28</v>
      </c>
    </row>
    <row r="11275" spans="1:7" x14ac:dyDescent="0.2">
      <c r="A11275" t="s">
        <v>1</v>
      </c>
      <c r="B11275" t="str">
        <f>"17719545230"</f>
        <v>17719545230</v>
      </c>
      <c r="C11275" t="s">
        <v>1</v>
      </c>
      <c r="D11275" t="s">
        <v>1</v>
      </c>
      <c r="E11275" t="s">
        <v>1</v>
      </c>
      <c r="F11275" t="s">
        <v>0</v>
      </c>
      <c r="G11275" t="str">
        <f>"2018-10-14 10:21:31"</f>
        <v>2018-10-14 10:21:31</v>
      </c>
    </row>
    <row r="11276" spans="1:7" x14ac:dyDescent="0.2">
      <c r="A11276" t="s">
        <v>1</v>
      </c>
      <c r="B11276" t="str">
        <f>"18801187661"</f>
        <v>18801187661</v>
      </c>
      <c r="C11276" t="s">
        <v>1</v>
      </c>
      <c r="D11276" t="s">
        <v>1</v>
      </c>
      <c r="E11276" t="s">
        <v>1</v>
      </c>
      <c r="F11276" t="s">
        <v>0</v>
      </c>
      <c r="G11276" t="str">
        <f>"2018-10-14 10:21:05"</f>
        <v>2018-10-14 10:21:05</v>
      </c>
    </row>
    <row r="11277" spans="1:7" x14ac:dyDescent="0.2">
      <c r="A11277" t="s">
        <v>1</v>
      </c>
      <c r="B11277" t="str">
        <f>"18136612323"</f>
        <v>18136612323</v>
      </c>
      <c r="C11277" t="s">
        <v>1</v>
      </c>
      <c r="D11277" t="s">
        <v>1</v>
      </c>
      <c r="E11277" t="s">
        <v>1</v>
      </c>
      <c r="F11277" t="s">
        <v>0</v>
      </c>
      <c r="G11277" t="str">
        <f>"2018-10-14 10:20:57"</f>
        <v>2018-10-14 10:20:57</v>
      </c>
    </row>
    <row r="11278" spans="1:7" x14ac:dyDescent="0.2">
      <c r="A11278" t="s">
        <v>1</v>
      </c>
      <c r="B11278" t="str">
        <f>"18112923359"</f>
        <v>18112923359</v>
      </c>
      <c r="C11278" t="s">
        <v>1</v>
      </c>
      <c r="D11278" t="s">
        <v>1</v>
      </c>
      <c r="E11278" t="s">
        <v>1</v>
      </c>
      <c r="F11278" t="s">
        <v>0</v>
      </c>
      <c r="G11278" t="str">
        <f>"2018-10-14 10:20:55"</f>
        <v>2018-10-14 10:20:55</v>
      </c>
    </row>
    <row r="11279" spans="1:7" x14ac:dyDescent="0.2">
      <c r="A11279" t="s">
        <v>11523</v>
      </c>
      <c r="B11279" t="str">
        <f>"18967156767"</f>
        <v>18967156767</v>
      </c>
      <c r="C11279" t="str">
        <f>"339005197911296614"</f>
        <v>339005197911296614</v>
      </c>
      <c r="D11279" t="s">
        <v>1</v>
      </c>
      <c r="E11279" t="s">
        <v>1</v>
      </c>
      <c r="F11279" t="s">
        <v>0</v>
      </c>
      <c r="G11279" t="str">
        <f>"2018-10-14 10:24:50"</f>
        <v>2018-10-14 10:24:50</v>
      </c>
    </row>
    <row r="11280" spans="1:7" x14ac:dyDescent="0.2">
      <c r="A11280" t="s">
        <v>11524</v>
      </c>
      <c r="B11280" t="str">
        <f>"15256209982"</f>
        <v>15256209982</v>
      </c>
      <c r="C11280" t="str">
        <f>"342601199303082112"</f>
        <v>342601199303082112</v>
      </c>
      <c r="D11280" t="s">
        <v>1</v>
      </c>
      <c r="E11280" t="s">
        <v>1</v>
      </c>
      <c r="F11280" t="s">
        <v>0</v>
      </c>
      <c r="G11280" t="str">
        <f>"2018-10-14 10:22:20"</f>
        <v>2018-10-14 10:22:20</v>
      </c>
    </row>
    <row r="11281" spans="1:7" x14ac:dyDescent="0.2">
      <c r="A11281" t="s">
        <v>11525</v>
      </c>
      <c r="B11281" t="str">
        <f>"15257607931"</f>
        <v>15257607931</v>
      </c>
      <c r="C11281" t="str">
        <f>"331003199310132998"</f>
        <v>331003199310132998</v>
      </c>
      <c r="D11281" t="s">
        <v>1</v>
      </c>
      <c r="E11281" t="s">
        <v>1</v>
      </c>
      <c r="F11281" t="s">
        <v>0</v>
      </c>
      <c r="G11281" t="str">
        <f>"2018-10-27 10:09:33"</f>
        <v>2018-10-27 10:09:33</v>
      </c>
    </row>
    <row r="11282" spans="1:7" x14ac:dyDescent="0.2">
      <c r="A11282" t="s">
        <v>1</v>
      </c>
      <c r="B11282" t="str">
        <f>"18005943979"</f>
        <v>18005943979</v>
      </c>
      <c r="C11282" t="s">
        <v>1</v>
      </c>
      <c r="D11282" t="s">
        <v>1</v>
      </c>
      <c r="E11282" t="s">
        <v>1</v>
      </c>
      <c r="F11282" t="s">
        <v>0</v>
      </c>
      <c r="G11282" t="str">
        <f>"2018-10-14 10:20:18"</f>
        <v>2018-10-14 10:20:18</v>
      </c>
    </row>
    <row r="11283" spans="1:7" x14ac:dyDescent="0.2">
      <c r="A11283" t="s">
        <v>1</v>
      </c>
      <c r="B11283" t="str">
        <f>"13387761071"</f>
        <v>13387761071</v>
      </c>
      <c r="C11283" t="s">
        <v>1</v>
      </c>
      <c r="D11283" t="s">
        <v>1</v>
      </c>
      <c r="E11283" t="s">
        <v>1</v>
      </c>
      <c r="F11283" t="s">
        <v>0</v>
      </c>
      <c r="G11283" t="str">
        <f>"2018-10-14 10:20:12"</f>
        <v>2018-10-14 10:20:12</v>
      </c>
    </row>
    <row r="11284" spans="1:7" x14ac:dyDescent="0.2">
      <c r="A11284" t="s">
        <v>11526</v>
      </c>
      <c r="B11284" t="str">
        <f>"18016121975"</f>
        <v>18016121975</v>
      </c>
      <c r="C11284" t="str">
        <f>"520221198312054544"</f>
        <v>520221198312054544</v>
      </c>
      <c r="D11284" t="s">
        <v>1</v>
      </c>
      <c r="E11284" t="s">
        <v>1</v>
      </c>
      <c r="F11284" t="s">
        <v>0</v>
      </c>
      <c r="G11284" t="str">
        <f>"2018-10-14 10:19:55"</f>
        <v>2018-10-14 10:19:55</v>
      </c>
    </row>
    <row r="11285" spans="1:7" x14ac:dyDescent="0.2">
      <c r="A11285" t="s">
        <v>216</v>
      </c>
      <c r="B11285" t="str">
        <f>"13305440304"</f>
        <v>13305440304</v>
      </c>
      <c r="C11285" t="str">
        <f>"371402198901311216"</f>
        <v>371402198901311216</v>
      </c>
      <c r="D11285" t="s">
        <v>1</v>
      </c>
      <c r="E11285" t="s">
        <v>1</v>
      </c>
      <c r="F11285" t="s">
        <v>0</v>
      </c>
      <c r="G11285" t="str">
        <f>"2018-10-27 14:14:06"</f>
        <v>2018-10-27 14:14:06</v>
      </c>
    </row>
    <row r="11286" spans="1:7" x14ac:dyDescent="0.2">
      <c r="A11286" t="s">
        <v>1</v>
      </c>
      <c r="B11286" t="str">
        <f>"18950000219"</f>
        <v>18950000219</v>
      </c>
      <c r="C11286" t="s">
        <v>1</v>
      </c>
      <c r="D11286" t="s">
        <v>1</v>
      </c>
      <c r="E11286" t="s">
        <v>1</v>
      </c>
      <c r="F11286" t="s">
        <v>0</v>
      </c>
      <c r="G11286" t="str">
        <f>"2018-10-14 10:19:46"</f>
        <v>2018-10-14 10:19:46</v>
      </c>
    </row>
    <row r="11287" spans="1:7" x14ac:dyDescent="0.2">
      <c r="A11287" t="s">
        <v>11527</v>
      </c>
      <c r="B11287" t="str">
        <f>"18075852282"</f>
        <v>18075852282</v>
      </c>
      <c r="C11287" t="str">
        <f>"430321198210035573"</f>
        <v>430321198210035573</v>
      </c>
      <c r="D11287" t="s">
        <v>11528</v>
      </c>
      <c r="E11287" t="s">
        <v>11529</v>
      </c>
      <c r="F11287" t="s">
        <v>0</v>
      </c>
      <c r="G11287" t="str">
        <f>"2018-10-18 19:07:32"</f>
        <v>2018-10-18 19:07:32</v>
      </c>
    </row>
    <row r="11288" spans="1:7" x14ac:dyDescent="0.2">
      <c r="A11288" t="s">
        <v>11530</v>
      </c>
      <c r="B11288" t="str">
        <f>"17634807360"</f>
        <v>17634807360</v>
      </c>
      <c r="C11288" t="str">
        <f>"420682200005245018"</f>
        <v>420682200005245018</v>
      </c>
      <c r="D11288" t="s">
        <v>1</v>
      </c>
      <c r="E11288" t="s">
        <v>1</v>
      </c>
      <c r="F11288" t="s">
        <v>0</v>
      </c>
      <c r="G11288" t="str">
        <f>"2018-10-14 10:33:49"</f>
        <v>2018-10-14 10:33:49</v>
      </c>
    </row>
    <row r="11289" spans="1:7" x14ac:dyDescent="0.2">
      <c r="A11289" t="s">
        <v>11531</v>
      </c>
      <c r="B11289" t="str">
        <f>"15315377522"</f>
        <v>15315377522</v>
      </c>
      <c r="C11289" t="str">
        <f>"370829198507066639"</f>
        <v>370829198507066639</v>
      </c>
      <c r="D11289" t="s">
        <v>1</v>
      </c>
      <c r="E11289" t="s">
        <v>1</v>
      </c>
      <c r="F11289" t="s">
        <v>0</v>
      </c>
      <c r="G11289" t="str">
        <f>"2018-10-14 10:26:57"</f>
        <v>2018-10-14 10:26:57</v>
      </c>
    </row>
    <row r="11290" spans="1:7" x14ac:dyDescent="0.2">
      <c r="A11290" t="s">
        <v>1</v>
      </c>
      <c r="B11290" t="str">
        <f>"18946659666"</f>
        <v>18946659666</v>
      </c>
      <c r="C11290" t="s">
        <v>1</v>
      </c>
      <c r="D11290" t="s">
        <v>1</v>
      </c>
      <c r="E11290" t="s">
        <v>1</v>
      </c>
      <c r="F11290" t="s">
        <v>0</v>
      </c>
      <c r="G11290" t="str">
        <f>"2018-10-14 10:34:11"</f>
        <v>2018-10-14 10:34:11</v>
      </c>
    </row>
    <row r="11291" spans="1:7" x14ac:dyDescent="0.2">
      <c r="A11291" t="s">
        <v>11532</v>
      </c>
      <c r="B11291" t="str">
        <f>"18099948552"</f>
        <v>18099948552</v>
      </c>
      <c r="C11291" t="str">
        <f>"412721198906232612"</f>
        <v>412721198906232612</v>
      </c>
      <c r="D11291" t="s">
        <v>1</v>
      </c>
      <c r="E11291" t="s">
        <v>1</v>
      </c>
      <c r="F11291" t="s">
        <v>0</v>
      </c>
      <c r="G11291" t="str">
        <f>"2018-10-14 10:24:51"</f>
        <v>2018-10-14 10:24:51</v>
      </c>
    </row>
    <row r="11292" spans="1:7" x14ac:dyDescent="0.2">
      <c r="A11292" t="s">
        <v>1</v>
      </c>
      <c r="B11292" t="str">
        <f>"18979817791"</f>
        <v>18979817791</v>
      </c>
      <c r="C11292" t="s">
        <v>1</v>
      </c>
      <c r="D11292" t="s">
        <v>1</v>
      </c>
      <c r="E11292" t="s">
        <v>1</v>
      </c>
      <c r="F11292" t="s">
        <v>0</v>
      </c>
      <c r="G11292" t="str">
        <f>"2018-10-14 10:20:18"</f>
        <v>2018-10-14 10:20:18</v>
      </c>
    </row>
    <row r="11293" spans="1:7" x14ac:dyDescent="0.2">
      <c r="A11293" t="s">
        <v>11533</v>
      </c>
      <c r="B11293" t="str">
        <f>"18994316030"</f>
        <v>18994316030</v>
      </c>
      <c r="C11293" t="str">
        <f>"32052419760421809X"</f>
        <v>32052419760421809X</v>
      </c>
      <c r="D11293" t="s">
        <v>1</v>
      </c>
      <c r="E11293" t="s">
        <v>1</v>
      </c>
      <c r="F11293" t="s">
        <v>0</v>
      </c>
      <c r="G11293" t="str">
        <f>"2018-10-14 10:20:04"</f>
        <v>2018-10-14 10:20:04</v>
      </c>
    </row>
    <row r="11294" spans="1:7" x14ac:dyDescent="0.2">
      <c r="A11294" t="s">
        <v>11534</v>
      </c>
      <c r="B11294" t="str">
        <f>"15312677611"</f>
        <v>15312677611</v>
      </c>
      <c r="C11294" t="str">
        <f>"320322197703296532"</f>
        <v>320322197703296532</v>
      </c>
      <c r="D11294" t="s">
        <v>1</v>
      </c>
      <c r="E11294" t="s">
        <v>1</v>
      </c>
      <c r="F11294" t="s">
        <v>0</v>
      </c>
      <c r="G11294" t="str">
        <f>"2018-10-14 10:20:38"</f>
        <v>2018-10-14 10:20:38</v>
      </c>
    </row>
    <row r="11295" spans="1:7" x14ac:dyDescent="0.2">
      <c r="A11295" t="s">
        <v>11535</v>
      </c>
      <c r="B11295" t="str">
        <f>"15302091101"</f>
        <v>15302091101</v>
      </c>
      <c r="C11295" t="str">
        <f>"120103199408250015"</f>
        <v>120103199408250015</v>
      </c>
      <c r="D11295" t="s">
        <v>11536</v>
      </c>
      <c r="E11295" t="s">
        <v>11537</v>
      </c>
      <c r="F11295" t="s">
        <v>0</v>
      </c>
      <c r="G11295" t="str">
        <f>"2018-10-14 11:24:23"</f>
        <v>2018-10-14 11:24:23</v>
      </c>
    </row>
    <row r="11296" spans="1:7" x14ac:dyDescent="0.2">
      <c r="A11296" t="s">
        <v>11538</v>
      </c>
      <c r="B11296" t="str">
        <f>"13949127502"</f>
        <v>13949127502</v>
      </c>
      <c r="C11296" t="str">
        <f>"411421199012122833"</f>
        <v>411421199012122833</v>
      </c>
      <c r="D11296" t="s">
        <v>1</v>
      </c>
      <c r="E11296" t="s">
        <v>1</v>
      </c>
      <c r="F11296" t="s">
        <v>0</v>
      </c>
      <c r="G11296" t="str">
        <f>"2018-10-14 10:19:01"</f>
        <v>2018-10-14 10:19:01</v>
      </c>
    </row>
    <row r="11297" spans="1:7" x14ac:dyDescent="0.2">
      <c r="A11297" t="s">
        <v>1548</v>
      </c>
      <c r="B11297" t="str">
        <f>"18099709916"</f>
        <v>18099709916</v>
      </c>
      <c r="C11297" t="str">
        <f>"532125198509161523"</f>
        <v>532125198509161523</v>
      </c>
      <c r="D11297" t="s">
        <v>1</v>
      </c>
      <c r="E11297" t="s">
        <v>1</v>
      </c>
      <c r="F11297" t="s">
        <v>0</v>
      </c>
      <c r="G11297" t="str">
        <f>"2018-10-14 12:35:51"</f>
        <v>2018-10-14 12:35:51</v>
      </c>
    </row>
    <row r="11298" spans="1:7" x14ac:dyDescent="0.2">
      <c r="A11298" t="s">
        <v>1</v>
      </c>
      <c r="B11298" t="str">
        <f>"18950563519"</f>
        <v>18950563519</v>
      </c>
      <c r="C11298" t="s">
        <v>1</v>
      </c>
      <c r="D11298" t="s">
        <v>1</v>
      </c>
      <c r="E11298" t="s">
        <v>1</v>
      </c>
      <c r="F11298" t="s">
        <v>0</v>
      </c>
      <c r="G11298" t="str">
        <f>"2018-10-14 10:25:02"</f>
        <v>2018-10-14 10:25:02</v>
      </c>
    </row>
    <row r="11299" spans="1:7" x14ac:dyDescent="0.2">
      <c r="A11299" t="s">
        <v>11539</v>
      </c>
      <c r="B11299" t="str">
        <f>"15597192190"</f>
        <v>15597192190</v>
      </c>
      <c r="C11299" t="str">
        <f>"61273219991228222X"</f>
        <v>61273219991228222X</v>
      </c>
      <c r="D11299" t="s">
        <v>1</v>
      </c>
      <c r="E11299" t="s">
        <v>1</v>
      </c>
      <c r="F11299" t="s">
        <v>0</v>
      </c>
      <c r="G11299" t="str">
        <f>"2018-10-14 11:48:23"</f>
        <v>2018-10-14 11:48:23</v>
      </c>
    </row>
    <row r="11300" spans="1:7" x14ac:dyDescent="0.2">
      <c r="A11300" t="s">
        <v>11540</v>
      </c>
      <c r="B11300" t="str">
        <f>"18149001882"</f>
        <v>18149001882</v>
      </c>
      <c r="C11300" t="str">
        <f>"610111198601122033"</f>
        <v>610111198601122033</v>
      </c>
      <c r="D11300" t="s">
        <v>1</v>
      </c>
      <c r="E11300" t="s">
        <v>1</v>
      </c>
      <c r="F11300" t="s">
        <v>0</v>
      </c>
      <c r="G11300" t="str">
        <f>"2018-10-15 18:39:42"</f>
        <v>2018-10-15 18:39:42</v>
      </c>
    </row>
    <row r="11301" spans="1:7" x14ac:dyDescent="0.2">
      <c r="A11301" t="s">
        <v>11541</v>
      </c>
      <c r="B11301" t="str">
        <f>"18329372867"</f>
        <v>18329372867</v>
      </c>
      <c r="C11301" t="str">
        <f>"610424199406150015"</f>
        <v>610424199406150015</v>
      </c>
      <c r="D11301" t="s">
        <v>1</v>
      </c>
      <c r="E11301" t="s">
        <v>1</v>
      </c>
      <c r="F11301" t="s">
        <v>0</v>
      </c>
      <c r="G11301" t="str">
        <f>"2018-10-14 10:19:39"</f>
        <v>2018-10-14 10:19:39</v>
      </c>
    </row>
    <row r="11302" spans="1:7" x14ac:dyDescent="0.2">
      <c r="A11302" t="s">
        <v>11542</v>
      </c>
      <c r="B11302" t="str">
        <f>"18946037130"</f>
        <v>18946037130</v>
      </c>
      <c r="C11302" t="str">
        <f>"230106197401150025"</f>
        <v>230106197401150025</v>
      </c>
      <c r="D11302" t="s">
        <v>11543</v>
      </c>
      <c r="E11302" t="s">
        <v>11544</v>
      </c>
      <c r="F11302" t="s">
        <v>0</v>
      </c>
      <c r="G11302" t="str">
        <f>"2018-10-14 10:18:47"</f>
        <v>2018-10-14 10:18:47</v>
      </c>
    </row>
    <row r="11303" spans="1:7" x14ac:dyDescent="0.2">
      <c r="A11303" t="s">
        <v>1</v>
      </c>
      <c r="B11303" t="str">
        <f>"18168653919"</f>
        <v>18168653919</v>
      </c>
      <c r="C11303" t="s">
        <v>1</v>
      </c>
      <c r="D11303" t="s">
        <v>1</v>
      </c>
      <c r="E11303" t="s">
        <v>1</v>
      </c>
      <c r="F11303" t="s">
        <v>0</v>
      </c>
      <c r="G11303" t="str">
        <f>"2018-10-14 10:17:26"</f>
        <v>2018-10-14 10:17:26</v>
      </c>
    </row>
    <row r="11304" spans="1:7" x14ac:dyDescent="0.2">
      <c r="A11304" t="s">
        <v>1</v>
      </c>
      <c r="B11304" t="str">
        <f>"18986247523"</f>
        <v>18986247523</v>
      </c>
      <c r="C11304" t="s">
        <v>1</v>
      </c>
      <c r="D11304" t="s">
        <v>1</v>
      </c>
      <c r="E11304" t="s">
        <v>1</v>
      </c>
      <c r="F11304" t="s">
        <v>0</v>
      </c>
      <c r="G11304" t="str">
        <f>"2018-10-14 10:17:25"</f>
        <v>2018-10-14 10:17:25</v>
      </c>
    </row>
    <row r="11305" spans="1:7" x14ac:dyDescent="0.2">
      <c r="A11305" t="s">
        <v>1</v>
      </c>
      <c r="B11305" t="str">
        <f>"15395972678"</f>
        <v>15395972678</v>
      </c>
      <c r="C11305" t="s">
        <v>1</v>
      </c>
      <c r="D11305" t="s">
        <v>1</v>
      </c>
      <c r="E11305" t="s">
        <v>1</v>
      </c>
      <c r="F11305" t="s">
        <v>0</v>
      </c>
      <c r="G11305" t="str">
        <f>"2018-10-14 10:59:37"</f>
        <v>2018-10-14 10:59:37</v>
      </c>
    </row>
    <row r="11306" spans="1:7" x14ac:dyDescent="0.2">
      <c r="A11306" t="s">
        <v>11545</v>
      </c>
      <c r="B11306" t="str">
        <f>"18988401559"</f>
        <v>18988401559</v>
      </c>
      <c r="C11306" t="str">
        <f>"530127199412280011"</f>
        <v>530127199412280011</v>
      </c>
      <c r="D11306" t="s">
        <v>11546</v>
      </c>
      <c r="E11306" t="s">
        <v>11547</v>
      </c>
      <c r="F11306" t="s">
        <v>0</v>
      </c>
      <c r="G11306" t="str">
        <f>"2018-10-14 10:18:35"</f>
        <v>2018-10-14 10:18:35</v>
      </c>
    </row>
    <row r="11307" spans="1:7" x14ac:dyDescent="0.2">
      <c r="A11307" t="s">
        <v>11548</v>
      </c>
      <c r="B11307" t="str">
        <f>"13911260697"</f>
        <v>13911260697</v>
      </c>
      <c r="C11307" t="str">
        <f>"110228198902071529"</f>
        <v>110228198902071529</v>
      </c>
      <c r="D11307" t="s">
        <v>1</v>
      </c>
      <c r="E11307" t="s">
        <v>1</v>
      </c>
      <c r="F11307" t="s">
        <v>0</v>
      </c>
      <c r="G11307" t="str">
        <f>"2018-10-14 11:23:05"</f>
        <v>2018-10-14 11:23:05</v>
      </c>
    </row>
    <row r="11308" spans="1:7" x14ac:dyDescent="0.2">
      <c r="A11308" t="s">
        <v>1</v>
      </c>
      <c r="B11308" t="str">
        <f>"18180910658"</f>
        <v>18180910658</v>
      </c>
      <c r="C11308" t="s">
        <v>1</v>
      </c>
      <c r="D11308" t="s">
        <v>1</v>
      </c>
      <c r="E11308" t="s">
        <v>1</v>
      </c>
      <c r="F11308" t="s">
        <v>0</v>
      </c>
      <c r="G11308" t="str">
        <f>"2018-10-14 10:16:19"</f>
        <v>2018-10-14 10:16:19</v>
      </c>
    </row>
    <row r="11309" spans="1:7" x14ac:dyDescent="0.2">
      <c r="A11309" t="s">
        <v>1</v>
      </c>
      <c r="B11309" t="str">
        <f>"18673044644"</f>
        <v>18673044644</v>
      </c>
      <c r="C11309" t="s">
        <v>1</v>
      </c>
      <c r="D11309" t="s">
        <v>1</v>
      </c>
      <c r="E11309" t="s">
        <v>1</v>
      </c>
      <c r="F11309" t="s">
        <v>0</v>
      </c>
      <c r="G11309" t="str">
        <f>"2018-10-14 10:16:11"</f>
        <v>2018-10-14 10:16:11</v>
      </c>
    </row>
    <row r="11310" spans="1:7" x14ac:dyDescent="0.2">
      <c r="A11310" t="s">
        <v>11549</v>
      </c>
      <c r="B11310" t="str">
        <f>"13337344662"</f>
        <v>13337344662</v>
      </c>
      <c r="C11310" t="str">
        <f>"43040619920722103X"</f>
        <v>43040619920722103X</v>
      </c>
      <c r="D11310" t="s">
        <v>1</v>
      </c>
      <c r="E11310" t="s">
        <v>1</v>
      </c>
      <c r="F11310" t="s">
        <v>0</v>
      </c>
      <c r="G11310" t="str">
        <f>"2018-10-27 11:48:41"</f>
        <v>2018-10-27 11:48:41</v>
      </c>
    </row>
    <row r="11311" spans="1:7" x14ac:dyDescent="0.2">
      <c r="A11311" t="s">
        <v>1</v>
      </c>
      <c r="B11311" t="str">
        <f>"17376038875"</f>
        <v>17376038875</v>
      </c>
      <c r="C11311" t="s">
        <v>1</v>
      </c>
      <c r="D11311" t="s">
        <v>1</v>
      </c>
      <c r="E11311" t="s">
        <v>1</v>
      </c>
      <c r="F11311" t="s">
        <v>0</v>
      </c>
      <c r="G11311" t="str">
        <f>"2018-10-14 10:15:30"</f>
        <v>2018-10-14 10:15:30</v>
      </c>
    </row>
    <row r="11312" spans="1:7" x14ac:dyDescent="0.2">
      <c r="A11312" t="s">
        <v>11550</v>
      </c>
      <c r="B11312" t="str">
        <f>"17742159881"</f>
        <v>17742159881</v>
      </c>
      <c r="C11312" t="str">
        <f>"210219197604086813"</f>
        <v>210219197604086813</v>
      </c>
      <c r="D11312" t="s">
        <v>1</v>
      </c>
      <c r="E11312" t="s">
        <v>1</v>
      </c>
      <c r="F11312" t="s">
        <v>0</v>
      </c>
      <c r="G11312" t="str">
        <f>"2018-10-14 10:17:05"</f>
        <v>2018-10-14 10:17:05</v>
      </c>
    </row>
    <row r="11313" spans="1:7" x14ac:dyDescent="0.2">
      <c r="A11313" t="s">
        <v>1</v>
      </c>
      <c r="B11313" t="str">
        <f>"18905216094"</f>
        <v>18905216094</v>
      </c>
      <c r="C11313" t="s">
        <v>1</v>
      </c>
      <c r="D11313" t="s">
        <v>1</v>
      </c>
      <c r="E11313" t="s">
        <v>1</v>
      </c>
      <c r="F11313" t="s">
        <v>0</v>
      </c>
      <c r="G11313" t="str">
        <f>"2018-10-14 10:15:18"</f>
        <v>2018-10-14 10:15:18</v>
      </c>
    </row>
    <row r="11314" spans="1:7" x14ac:dyDescent="0.2">
      <c r="A11314" t="s">
        <v>11551</v>
      </c>
      <c r="B11314" t="str">
        <f>"15277361915"</f>
        <v>15277361915</v>
      </c>
      <c r="C11314" t="str">
        <f>"452223199204100022"</f>
        <v>452223199204100022</v>
      </c>
      <c r="D11314" t="s">
        <v>1</v>
      </c>
      <c r="E11314" t="s">
        <v>1</v>
      </c>
      <c r="F11314" t="s">
        <v>0</v>
      </c>
      <c r="G11314" t="str">
        <f>"2018-10-14 10:19:31"</f>
        <v>2018-10-14 10:19:31</v>
      </c>
    </row>
    <row r="11315" spans="1:7" x14ac:dyDescent="0.2">
      <c r="A11315" t="s">
        <v>11552</v>
      </c>
      <c r="B11315" t="str">
        <f>"18965799321"</f>
        <v>18965799321</v>
      </c>
      <c r="C11315" t="str">
        <f>"350581199004041237"</f>
        <v>350581199004041237</v>
      </c>
      <c r="D11315" t="s">
        <v>1</v>
      </c>
      <c r="E11315" t="s">
        <v>1</v>
      </c>
      <c r="F11315" t="s">
        <v>0</v>
      </c>
      <c r="G11315" t="str">
        <f>"2018-10-14 10:17:16"</f>
        <v>2018-10-14 10:17:16</v>
      </c>
    </row>
    <row r="11316" spans="1:7" x14ac:dyDescent="0.2">
      <c r="A11316" t="s">
        <v>11553</v>
      </c>
      <c r="B11316" t="str">
        <f>"17770043425"</f>
        <v>17770043425</v>
      </c>
      <c r="C11316" t="str">
        <f>"342623199510210912"</f>
        <v>342623199510210912</v>
      </c>
      <c r="D11316" t="s">
        <v>1</v>
      </c>
      <c r="E11316" t="s">
        <v>1</v>
      </c>
      <c r="F11316" t="s">
        <v>0</v>
      </c>
      <c r="G11316" t="str">
        <f>"2018-10-26 10:05:30"</f>
        <v>2018-10-26 10:05:30</v>
      </c>
    </row>
    <row r="11317" spans="1:7" x14ac:dyDescent="0.2">
      <c r="A11317" t="s">
        <v>1</v>
      </c>
      <c r="B11317" t="str">
        <f>"15325964679"</f>
        <v>15325964679</v>
      </c>
      <c r="C11317" t="s">
        <v>1</v>
      </c>
      <c r="D11317" t="s">
        <v>1</v>
      </c>
      <c r="E11317" t="s">
        <v>1</v>
      </c>
      <c r="F11317" t="s">
        <v>0</v>
      </c>
      <c r="G11317" t="str">
        <f>"2018-10-14 10:14:55"</f>
        <v>2018-10-14 10:14:55</v>
      </c>
    </row>
    <row r="11318" spans="1:7" x14ac:dyDescent="0.2">
      <c r="A11318" t="s">
        <v>1</v>
      </c>
      <c r="B11318" t="str">
        <f>"17171049134"</f>
        <v>17171049134</v>
      </c>
      <c r="C11318" t="s">
        <v>1</v>
      </c>
      <c r="D11318" t="s">
        <v>1</v>
      </c>
      <c r="E11318" t="s">
        <v>1</v>
      </c>
      <c r="F11318" t="s">
        <v>0</v>
      </c>
      <c r="G11318" t="str">
        <f>"2018-10-14 10:14:54"</f>
        <v>2018-10-14 10:14:54</v>
      </c>
    </row>
    <row r="11319" spans="1:7" x14ac:dyDescent="0.2">
      <c r="A11319" t="s">
        <v>1358</v>
      </c>
      <c r="B11319" t="str">
        <f>"13656838577"</f>
        <v>13656838577</v>
      </c>
      <c r="C11319" t="str">
        <f>"431226199008226028"</f>
        <v>431226199008226028</v>
      </c>
      <c r="D11319" t="s">
        <v>1</v>
      </c>
      <c r="E11319" t="s">
        <v>1</v>
      </c>
      <c r="F11319" t="s">
        <v>0</v>
      </c>
      <c r="G11319" t="str">
        <f>"2018-10-14 15:56:25"</f>
        <v>2018-10-14 15:56:25</v>
      </c>
    </row>
    <row r="11320" spans="1:7" x14ac:dyDescent="0.2">
      <c r="A11320" t="s">
        <v>11554</v>
      </c>
      <c r="B11320" t="str">
        <f>"15372953238"</f>
        <v>15372953238</v>
      </c>
      <c r="C11320" t="str">
        <f>"330726199211220310"</f>
        <v>330726199211220310</v>
      </c>
      <c r="D11320" t="s">
        <v>1</v>
      </c>
      <c r="E11320" t="s">
        <v>1</v>
      </c>
      <c r="F11320" t="s">
        <v>0</v>
      </c>
      <c r="G11320" t="str">
        <f>"2018-10-14 10:16:32"</f>
        <v>2018-10-14 10:16:32</v>
      </c>
    </row>
    <row r="11321" spans="1:7" x14ac:dyDescent="0.2">
      <c r="A11321" t="s">
        <v>11555</v>
      </c>
      <c r="B11321" t="str">
        <f>"13836151011"</f>
        <v>13836151011</v>
      </c>
      <c r="C11321" t="str">
        <f>"230221198606063818"</f>
        <v>230221198606063818</v>
      </c>
      <c r="D11321" t="s">
        <v>11556</v>
      </c>
      <c r="E11321" t="s">
        <v>11557</v>
      </c>
      <c r="F11321" t="s">
        <v>0</v>
      </c>
      <c r="G11321" t="str">
        <f>"2018-10-14 10:20:14"</f>
        <v>2018-10-14 10:20:14</v>
      </c>
    </row>
    <row r="11322" spans="1:7" x14ac:dyDescent="0.2">
      <c r="A11322" t="s">
        <v>1</v>
      </c>
      <c r="B11322" t="str">
        <f>"17385051244"</f>
        <v>17385051244</v>
      </c>
      <c r="C11322" t="s">
        <v>1</v>
      </c>
      <c r="D11322" t="s">
        <v>1</v>
      </c>
      <c r="E11322" t="s">
        <v>1</v>
      </c>
      <c r="F11322" t="s">
        <v>0</v>
      </c>
      <c r="G11322" t="str">
        <f>"2018-10-14 10:15:18"</f>
        <v>2018-10-14 10:15:18</v>
      </c>
    </row>
    <row r="11323" spans="1:7" x14ac:dyDescent="0.2">
      <c r="A11323" t="s">
        <v>1</v>
      </c>
      <c r="B11323" t="str">
        <f>"18965480061"</f>
        <v>18965480061</v>
      </c>
      <c r="C11323" t="s">
        <v>1</v>
      </c>
      <c r="D11323" t="s">
        <v>1</v>
      </c>
      <c r="E11323" t="s">
        <v>1</v>
      </c>
      <c r="F11323" t="s">
        <v>0</v>
      </c>
      <c r="G11323" t="str">
        <f>"2018-10-14 10:14:10"</f>
        <v>2018-10-14 10:14:10</v>
      </c>
    </row>
    <row r="11324" spans="1:7" x14ac:dyDescent="0.2">
      <c r="A11324" t="s">
        <v>1</v>
      </c>
      <c r="B11324" t="str">
        <f>"18175658394"</f>
        <v>18175658394</v>
      </c>
      <c r="C11324" t="s">
        <v>1</v>
      </c>
      <c r="D11324" t="s">
        <v>1</v>
      </c>
      <c r="E11324" t="s">
        <v>1</v>
      </c>
      <c r="F11324" t="s">
        <v>0</v>
      </c>
      <c r="G11324" t="str">
        <f>"2018-10-14 10:15:48"</f>
        <v>2018-10-14 10:15:48</v>
      </c>
    </row>
    <row r="11325" spans="1:7" x14ac:dyDescent="0.2">
      <c r="A11325" t="s">
        <v>1</v>
      </c>
      <c r="B11325" t="str">
        <f>"13507205629"</f>
        <v>13507205629</v>
      </c>
      <c r="C11325" t="s">
        <v>1</v>
      </c>
      <c r="D11325" t="s">
        <v>1</v>
      </c>
      <c r="E11325" t="s">
        <v>1</v>
      </c>
      <c r="F11325" t="s">
        <v>0</v>
      </c>
      <c r="G11325" t="str">
        <f>"2018-10-14 10:16:36"</f>
        <v>2018-10-14 10:16:36</v>
      </c>
    </row>
    <row r="11326" spans="1:7" x14ac:dyDescent="0.2">
      <c r="A11326" t="s">
        <v>11558</v>
      </c>
      <c r="B11326" t="str">
        <f>"17717751523"</f>
        <v>17717751523</v>
      </c>
      <c r="C11326" t="str">
        <f>"130281199603080038"</f>
        <v>130281199603080038</v>
      </c>
      <c r="D11326" t="s">
        <v>1</v>
      </c>
      <c r="E11326" t="s">
        <v>1</v>
      </c>
      <c r="F11326" t="s">
        <v>0</v>
      </c>
      <c r="G11326" t="str">
        <f>"2018-10-14 10:15:00"</f>
        <v>2018-10-14 10:15:00</v>
      </c>
    </row>
    <row r="11327" spans="1:7" x14ac:dyDescent="0.2">
      <c r="A11327" t="s">
        <v>11559</v>
      </c>
      <c r="B11327" t="str">
        <f>"18193209558"</f>
        <v>18193209558</v>
      </c>
      <c r="C11327" t="str">
        <f>"622421198906011310"</f>
        <v>622421198906011310</v>
      </c>
      <c r="D11327" t="s">
        <v>11560</v>
      </c>
      <c r="E11327" t="s">
        <v>11561</v>
      </c>
      <c r="F11327" t="s">
        <v>0</v>
      </c>
      <c r="G11327" t="str">
        <f>"2018-10-14 10:14:59"</f>
        <v>2018-10-14 10:14:59</v>
      </c>
    </row>
    <row r="11328" spans="1:7" x14ac:dyDescent="0.2">
      <c r="A11328" t="s">
        <v>11562</v>
      </c>
      <c r="B11328" t="str">
        <f>"17507438608"</f>
        <v>17507438608</v>
      </c>
      <c r="C11328" t="str">
        <f>"431226198909066012"</f>
        <v>431226198909066012</v>
      </c>
      <c r="D11328" t="s">
        <v>1</v>
      </c>
      <c r="E11328" t="s">
        <v>1</v>
      </c>
      <c r="F11328" t="s">
        <v>0</v>
      </c>
      <c r="G11328" t="str">
        <f>"2018-10-14 10:28:42"</f>
        <v>2018-10-14 10:28:42</v>
      </c>
    </row>
    <row r="11329" spans="1:7" x14ac:dyDescent="0.2">
      <c r="A11329" t="s">
        <v>11563</v>
      </c>
      <c r="B11329" t="str">
        <f>"18942909330"</f>
        <v>18942909330</v>
      </c>
      <c r="C11329" t="str">
        <f>"420683198803302511"</f>
        <v>420683198803302511</v>
      </c>
      <c r="D11329" t="s">
        <v>1</v>
      </c>
      <c r="E11329" t="s">
        <v>1</v>
      </c>
      <c r="F11329" t="s">
        <v>0</v>
      </c>
      <c r="G11329" t="str">
        <f>"2018-10-14 10:14:46"</f>
        <v>2018-10-14 10:14:46</v>
      </c>
    </row>
    <row r="11330" spans="1:7" x14ac:dyDescent="0.2">
      <c r="A11330" t="s">
        <v>1</v>
      </c>
      <c r="B11330" t="str">
        <f>"18987524600"</f>
        <v>18987524600</v>
      </c>
      <c r="C11330" t="s">
        <v>1</v>
      </c>
      <c r="D11330" t="s">
        <v>1</v>
      </c>
      <c r="E11330" t="s">
        <v>1</v>
      </c>
      <c r="F11330" t="s">
        <v>0</v>
      </c>
      <c r="G11330" t="str">
        <f>"2018-10-14 10:51:59"</f>
        <v>2018-10-14 10:51:59</v>
      </c>
    </row>
    <row r="11331" spans="1:7" x14ac:dyDescent="0.2">
      <c r="A11331" t="s">
        <v>11564</v>
      </c>
      <c r="B11331" t="str">
        <f>"17362855202"</f>
        <v>17362855202</v>
      </c>
      <c r="C11331" t="str">
        <f>"421125199209060032"</f>
        <v>421125199209060032</v>
      </c>
      <c r="D11331" t="s">
        <v>1</v>
      </c>
      <c r="E11331" t="s">
        <v>1</v>
      </c>
      <c r="F11331" t="s">
        <v>0</v>
      </c>
      <c r="G11331" t="str">
        <f>"2018-10-14 10:14:55"</f>
        <v>2018-10-14 10:14:55</v>
      </c>
    </row>
    <row r="11332" spans="1:7" x14ac:dyDescent="0.2">
      <c r="A11332" t="s">
        <v>1</v>
      </c>
      <c r="B11332" t="str">
        <f>"13717887651"</f>
        <v>13717887651</v>
      </c>
      <c r="C11332" t="s">
        <v>1</v>
      </c>
      <c r="D11332" t="s">
        <v>1</v>
      </c>
      <c r="E11332" t="s">
        <v>1</v>
      </c>
      <c r="F11332" t="s">
        <v>0</v>
      </c>
      <c r="G11332" t="str">
        <f>"2018-10-14 10:11:39"</f>
        <v>2018-10-14 10:11:39</v>
      </c>
    </row>
    <row r="11333" spans="1:7" x14ac:dyDescent="0.2">
      <c r="A11333" t="s">
        <v>1</v>
      </c>
      <c r="B11333" t="str">
        <f>"15762211179"</f>
        <v>15762211179</v>
      </c>
      <c r="C11333" t="s">
        <v>1</v>
      </c>
      <c r="D11333" t="s">
        <v>1</v>
      </c>
      <c r="E11333" t="s">
        <v>1</v>
      </c>
      <c r="F11333" t="s">
        <v>0</v>
      </c>
      <c r="G11333" t="str">
        <f>"2018-10-14 10:11:20"</f>
        <v>2018-10-14 10:11:20</v>
      </c>
    </row>
    <row r="11334" spans="1:7" x14ac:dyDescent="0.2">
      <c r="A11334" t="s">
        <v>1</v>
      </c>
      <c r="B11334" t="str">
        <f>"18058944889"</f>
        <v>18058944889</v>
      </c>
      <c r="C11334" t="s">
        <v>1</v>
      </c>
      <c r="D11334" t="s">
        <v>1</v>
      </c>
      <c r="E11334" t="s">
        <v>1</v>
      </c>
      <c r="F11334" t="s">
        <v>0</v>
      </c>
      <c r="G11334" t="str">
        <f>"2018-10-14 10:12:25"</f>
        <v>2018-10-14 10:12:25</v>
      </c>
    </row>
    <row r="11335" spans="1:7" x14ac:dyDescent="0.2">
      <c r="A11335" t="s">
        <v>11565</v>
      </c>
      <c r="B11335" t="str">
        <f>"18172536579"</f>
        <v>18172536579</v>
      </c>
      <c r="C11335" t="str">
        <f>"450881198305145019"</f>
        <v>450881198305145019</v>
      </c>
      <c r="D11335" t="s">
        <v>11566</v>
      </c>
      <c r="E11335" t="s">
        <v>11567</v>
      </c>
      <c r="F11335" t="s">
        <v>0</v>
      </c>
      <c r="G11335" t="str">
        <f>"2018-10-22 18:31:31"</f>
        <v>2018-10-22 18:31:31</v>
      </c>
    </row>
    <row r="11336" spans="1:7" x14ac:dyDescent="0.2">
      <c r="A11336" t="s">
        <v>11568</v>
      </c>
      <c r="B11336" t="str">
        <f>"18968192993"</f>
        <v>18968192993</v>
      </c>
      <c r="C11336" t="str">
        <f>"330127199402165311"</f>
        <v>330127199402165311</v>
      </c>
      <c r="D11336" t="s">
        <v>1</v>
      </c>
      <c r="E11336" t="s">
        <v>1</v>
      </c>
      <c r="F11336" t="s">
        <v>0</v>
      </c>
      <c r="G11336" t="str">
        <f>"2018-10-14 10:10:50"</f>
        <v>2018-10-14 10:10:50</v>
      </c>
    </row>
    <row r="11337" spans="1:7" x14ac:dyDescent="0.2">
      <c r="A11337" t="s">
        <v>11569</v>
      </c>
      <c r="B11337" t="str">
        <f>"18070659928"</f>
        <v>18070659928</v>
      </c>
      <c r="C11337" t="str">
        <f>"452426197506140936"</f>
        <v>452426197506140936</v>
      </c>
      <c r="D11337" t="s">
        <v>1</v>
      </c>
      <c r="E11337" t="s">
        <v>1</v>
      </c>
      <c r="F11337" t="s">
        <v>0</v>
      </c>
      <c r="G11337" t="str">
        <f>"2018-10-14 10:26:53"</f>
        <v>2018-10-14 10:26:53</v>
      </c>
    </row>
    <row r="11338" spans="1:7" x14ac:dyDescent="0.2">
      <c r="A11338" t="s">
        <v>1</v>
      </c>
      <c r="B11338" t="str">
        <f>"15319902222"</f>
        <v>15319902222</v>
      </c>
      <c r="C11338" t="s">
        <v>1</v>
      </c>
      <c r="D11338" t="s">
        <v>1</v>
      </c>
      <c r="E11338" t="s">
        <v>1</v>
      </c>
      <c r="F11338" t="s">
        <v>0</v>
      </c>
      <c r="G11338" t="str">
        <f>"2018-10-14 10:10:48"</f>
        <v>2018-10-14 10:10:48</v>
      </c>
    </row>
    <row r="11339" spans="1:7" x14ac:dyDescent="0.2">
      <c r="A11339" t="s">
        <v>1</v>
      </c>
      <c r="B11339" t="str">
        <f>"13337171523"</f>
        <v>13337171523</v>
      </c>
      <c r="C11339" t="s">
        <v>1</v>
      </c>
      <c r="D11339" t="s">
        <v>1</v>
      </c>
      <c r="E11339" t="s">
        <v>1</v>
      </c>
      <c r="F11339" t="s">
        <v>0</v>
      </c>
      <c r="G11339" t="str">
        <f>"2018-10-14 10:10:28"</f>
        <v>2018-10-14 10:10:28</v>
      </c>
    </row>
    <row r="11340" spans="1:7" x14ac:dyDescent="0.2">
      <c r="A11340" t="s">
        <v>707</v>
      </c>
      <c r="B11340" t="str">
        <f>"18353295512"</f>
        <v>18353295512</v>
      </c>
      <c r="C11340" t="str">
        <f>"370281199506301841"</f>
        <v>370281199506301841</v>
      </c>
      <c r="D11340" t="s">
        <v>1</v>
      </c>
      <c r="E11340" t="s">
        <v>1</v>
      </c>
      <c r="F11340" t="s">
        <v>0</v>
      </c>
      <c r="G11340" t="str">
        <f>"2018-10-14 10:10:10"</f>
        <v>2018-10-14 10:10:10</v>
      </c>
    </row>
    <row r="11341" spans="1:7" x14ac:dyDescent="0.2">
      <c r="A11341" t="s">
        <v>11570</v>
      </c>
      <c r="B11341" t="str">
        <f>"15991647243"</f>
        <v>15991647243</v>
      </c>
      <c r="C11341" t="str">
        <f>"610525198706240036"</f>
        <v>610525198706240036</v>
      </c>
      <c r="D11341" t="s">
        <v>1</v>
      </c>
      <c r="E11341" t="s">
        <v>1</v>
      </c>
      <c r="F11341" t="s">
        <v>0</v>
      </c>
      <c r="G11341" t="str">
        <f>"2018-10-14 10:15:04"</f>
        <v>2018-10-14 10:15:04</v>
      </c>
    </row>
    <row r="11342" spans="1:7" x14ac:dyDescent="0.2">
      <c r="A11342" t="s">
        <v>11571</v>
      </c>
      <c r="B11342" t="str">
        <f>"18905301818"</f>
        <v>18905301818</v>
      </c>
      <c r="C11342" t="str">
        <f>"372901197406182012"</f>
        <v>372901197406182012</v>
      </c>
      <c r="D11342" t="s">
        <v>1</v>
      </c>
      <c r="E11342" t="s">
        <v>1</v>
      </c>
      <c r="F11342" t="s">
        <v>0</v>
      </c>
      <c r="G11342" t="str">
        <f>"2018-10-14 10:16:05"</f>
        <v>2018-10-14 10:16:05</v>
      </c>
    </row>
    <row r="11343" spans="1:7" x14ac:dyDescent="0.2">
      <c r="A11343" t="s">
        <v>11572</v>
      </c>
      <c r="B11343" t="str">
        <f>"15096756664"</f>
        <v>15096756664</v>
      </c>
      <c r="C11343" t="str">
        <f>"530402199012100631"</f>
        <v>530402199012100631</v>
      </c>
      <c r="D11343" t="s">
        <v>1</v>
      </c>
      <c r="E11343" t="s">
        <v>1</v>
      </c>
      <c r="F11343" t="s">
        <v>0</v>
      </c>
      <c r="G11343" t="str">
        <f>"2018-10-15 11:59:39"</f>
        <v>2018-10-15 11:59:39</v>
      </c>
    </row>
    <row r="11344" spans="1:7" x14ac:dyDescent="0.2">
      <c r="A11344" t="s">
        <v>11573</v>
      </c>
      <c r="B11344" t="str">
        <f>"18075266101"</f>
        <v>18075266101</v>
      </c>
      <c r="C11344" t="str">
        <f>"34112219680105021X"</f>
        <v>34112219680105021X</v>
      </c>
      <c r="D11344" t="s">
        <v>1</v>
      </c>
      <c r="E11344" t="s">
        <v>1</v>
      </c>
      <c r="F11344" t="s">
        <v>0</v>
      </c>
      <c r="G11344" t="str">
        <f>"2018-10-14 10:10:59"</f>
        <v>2018-10-14 10:10:59</v>
      </c>
    </row>
    <row r="11345" spans="1:7" x14ac:dyDescent="0.2">
      <c r="A11345" t="s">
        <v>1</v>
      </c>
      <c r="B11345" t="str">
        <f>"13307381038"</f>
        <v>13307381038</v>
      </c>
      <c r="C11345" t="s">
        <v>1</v>
      </c>
      <c r="D11345" t="s">
        <v>1</v>
      </c>
      <c r="E11345" t="s">
        <v>1</v>
      </c>
      <c r="F11345" t="s">
        <v>0</v>
      </c>
      <c r="G11345" t="str">
        <f>"2018-10-14 13:58:21"</f>
        <v>2018-10-14 13:58:21</v>
      </c>
    </row>
    <row r="11346" spans="1:7" x14ac:dyDescent="0.2">
      <c r="A11346" t="s">
        <v>11574</v>
      </c>
      <c r="B11346" t="str">
        <f>"17371561777"</f>
        <v>17371561777</v>
      </c>
      <c r="C11346" t="str">
        <f>"421125199009084638"</f>
        <v>421125199009084638</v>
      </c>
      <c r="D11346" t="s">
        <v>1</v>
      </c>
      <c r="E11346" t="s">
        <v>1</v>
      </c>
      <c r="F11346" t="s">
        <v>0</v>
      </c>
      <c r="G11346" t="str">
        <f>"2018-10-14 10:13:08"</f>
        <v>2018-10-14 10:13:08</v>
      </c>
    </row>
    <row r="11347" spans="1:7" x14ac:dyDescent="0.2">
      <c r="A11347" t="s">
        <v>1</v>
      </c>
      <c r="B11347" t="str">
        <f>"15383610576"</f>
        <v>15383610576</v>
      </c>
      <c r="C11347" t="s">
        <v>1</v>
      </c>
      <c r="D11347" t="s">
        <v>1</v>
      </c>
      <c r="E11347" t="s">
        <v>1</v>
      </c>
      <c r="F11347" t="s">
        <v>0</v>
      </c>
      <c r="G11347" t="str">
        <f>"2018-10-14 10:11:23"</f>
        <v>2018-10-14 10:11:23</v>
      </c>
    </row>
    <row r="11348" spans="1:7" x14ac:dyDescent="0.2">
      <c r="A11348" t="s">
        <v>11575</v>
      </c>
      <c r="B11348" t="str">
        <f>"13953930726"</f>
        <v>13953930726</v>
      </c>
      <c r="C11348" t="str">
        <f>"37132719821230352X"</f>
        <v>37132719821230352X</v>
      </c>
      <c r="D11348" t="s">
        <v>1</v>
      </c>
      <c r="E11348" t="s">
        <v>1</v>
      </c>
      <c r="F11348" t="s">
        <v>0</v>
      </c>
      <c r="G11348" t="str">
        <f>"2018-10-14 10:10:42"</f>
        <v>2018-10-14 10:10:42</v>
      </c>
    </row>
    <row r="11349" spans="1:7" x14ac:dyDescent="0.2">
      <c r="A11349" t="s">
        <v>1</v>
      </c>
      <c r="B11349" t="str">
        <f>"18163637345"</f>
        <v>18163637345</v>
      </c>
      <c r="C11349" t="s">
        <v>1</v>
      </c>
      <c r="D11349" t="s">
        <v>1</v>
      </c>
      <c r="E11349" t="s">
        <v>1</v>
      </c>
      <c r="F11349" t="s">
        <v>0</v>
      </c>
      <c r="G11349" t="str">
        <f>"2018-10-14 10:09:01"</f>
        <v>2018-10-14 10:09:01</v>
      </c>
    </row>
    <row r="11350" spans="1:7" x14ac:dyDescent="0.2">
      <c r="A11350" t="s">
        <v>1</v>
      </c>
      <c r="B11350" t="str">
        <f>"15325964626"</f>
        <v>15325964626</v>
      </c>
      <c r="C11350" t="s">
        <v>1</v>
      </c>
      <c r="D11350" t="s">
        <v>1</v>
      </c>
      <c r="E11350" t="s">
        <v>1</v>
      </c>
      <c r="F11350" t="s">
        <v>0</v>
      </c>
      <c r="G11350" t="str">
        <f>"2018-10-14 10:08:58"</f>
        <v>2018-10-14 10:08:58</v>
      </c>
    </row>
    <row r="11351" spans="1:7" x14ac:dyDescent="0.2">
      <c r="A11351" t="s">
        <v>1</v>
      </c>
      <c r="B11351" t="str">
        <f>"18069658866"</f>
        <v>18069658866</v>
      </c>
      <c r="C11351" t="s">
        <v>1</v>
      </c>
      <c r="D11351" t="s">
        <v>1</v>
      </c>
      <c r="E11351" t="s">
        <v>1</v>
      </c>
      <c r="F11351" t="s">
        <v>0</v>
      </c>
      <c r="G11351" t="str">
        <f>"2018-10-14 10:09:39"</f>
        <v>2018-10-14 10:09:39</v>
      </c>
    </row>
    <row r="11352" spans="1:7" x14ac:dyDescent="0.2">
      <c r="A11352" t="s">
        <v>11576</v>
      </c>
      <c r="B11352" t="str">
        <f>"13394872136"</f>
        <v>13394872136</v>
      </c>
      <c r="C11352" t="str">
        <f>"152825197907295415"</f>
        <v>152825197907295415</v>
      </c>
      <c r="D11352" t="s">
        <v>1</v>
      </c>
      <c r="E11352" t="s">
        <v>1</v>
      </c>
      <c r="F11352" t="s">
        <v>0</v>
      </c>
      <c r="G11352" t="str">
        <f>"2018-10-15 10:43:49"</f>
        <v>2018-10-15 10:43:49</v>
      </c>
    </row>
    <row r="11353" spans="1:7" x14ac:dyDescent="0.2">
      <c r="A11353" t="s">
        <v>1</v>
      </c>
      <c r="B11353" t="str">
        <f>"17314595669"</f>
        <v>17314595669</v>
      </c>
      <c r="C11353" t="s">
        <v>1</v>
      </c>
      <c r="D11353" t="s">
        <v>1</v>
      </c>
      <c r="E11353" t="s">
        <v>1</v>
      </c>
      <c r="F11353" t="s">
        <v>0</v>
      </c>
      <c r="G11353" t="str">
        <f>"2018-10-14 10:08:37"</f>
        <v>2018-10-14 10:08:37</v>
      </c>
    </row>
    <row r="11354" spans="1:7" x14ac:dyDescent="0.2">
      <c r="A11354" t="s">
        <v>11577</v>
      </c>
      <c r="B11354" t="str">
        <f>"18810957225"</f>
        <v>18810957225</v>
      </c>
      <c r="C11354" t="str">
        <f>"62050219890105683X"</f>
        <v>62050219890105683X</v>
      </c>
      <c r="D11354" t="s">
        <v>1</v>
      </c>
      <c r="E11354" t="s">
        <v>1</v>
      </c>
      <c r="F11354" t="s">
        <v>0</v>
      </c>
      <c r="G11354" t="str">
        <f>"2018-10-14 13:29:33"</f>
        <v>2018-10-14 13:29:33</v>
      </c>
    </row>
    <row r="11355" spans="1:7" x14ac:dyDescent="0.2">
      <c r="A11355" t="s">
        <v>10044</v>
      </c>
      <c r="B11355" t="str">
        <f>"18161685774"</f>
        <v>18161685774</v>
      </c>
      <c r="C11355" t="str">
        <f>"640382198710311636"</f>
        <v>640382198710311636</v>
      </c>
      <c r="D11355" t="s">
        <v>1</v>
      </c>
      <c r="E11355" t="s">
        <v>1</v>
      </c>
      <c r="F11355" t="s">
        <v>0</v>
      </c>
      <c r="G11355" t="str">
        <f>"2018-10-17 11:12:42"</f>
        <v>2018-10-17 11:12:42</v>
      </c>
    </row>
    <row r="11356" spans="1:7" x14ac:dyDescent="0.2">
      <c r="A11356" t="s">
        <v>868</v>
      </c>
      <c r="B11356" t="str">
        <f>"18500467000"</f>
        <v>18500467000</v>
      </c>
      <c r="C11356" t="str">
        <f>"230921199004140022"</f>
        <v>230921199004140022</v>
      </c>
      <c r="D11356" t="s">
        <v>1</v>
      </c>
      <c r="E11356" t="s">
        <v>1</v>
      </c>
      <c r="F11356" t="s">
        <v>0</v>
      </c>
      <c r="G11356" t="str">
        <f>"2018-10-14 10:08:07"</f>
        <v>2018-10-14 10:08:07</v>
      </c>
    </row>
    <row r="11357" spans="1:7" x14ac:dyDescent="0.2">
      <c r="A11357" t="s">
        <v>11578</v>
      </c>
      <c r="B11357" t="str">
        <f>"18975270022"</f>
        <v>18975270022</v>
      </c>
      <c r="C11357" t="str">
        <f>"430321198806072711"</f>
        <v>430321198806072711</v>
      </c>
      <c r="D11357" t="s">
        <v>1</v>
      </c>
      <c r="E11357" t="s">
        <v>1</v>
      </c>
      <c r="F11357" t="s">
        <v>0</v>
      </c>
      <c r="G11357" t="str">
        <f>"2018-10-26 13:58:46"</f>
        <v>2018-10-26 13:58:46</v>
      </c>
    </row>
    <row r="11358" spans="1:7" x14ac:dyDescent="0.2">
      <c r="A11358" t="s">
        <v>10044</v>
      </c>
      <c r="B11358" t="str">
        <f>"18350030080"</f>
        <v>18350030080</v>
      </c>
      <c r="C11358" t="str">
        <f>"35222719891008213X"</f>
        <v>35222719891008213X</v>
      </c>
      <c r="D11358" t="s">
        <v>1</v>
      </c>
      <c r="E11358" t="s">
        <v>1</v>
      </c>
      <c r="F11358" t="s">
        <v>0</v>
      </c>
      <c r="G11358" t="str">
        <f>"2018-10-14 10:44:31"</f>
        <v>2018-10-14 10:44:31</v>
      </c>
    </row>
    <row r="11359" spans="1:7" x14ac:dyDescent="0.2">
      <c r="A11359" t="s">
        <v>11579</v>
      </c>
      <c r="B11359" t="str">
        <f>"18838209936"</f>
        <v>18838209936</v>
      </c>
      <c r="C11359" t="str">
        <f>"410182198201222519"</f>
        <v>410182198201222519</v>
      </c>
      <c r="D11359" t="s">
        <v>11580</v>
      </c>
      <c r="E11359" t="s">
        <v>11581</v>
      </c>
      <c r="F11359" t="s">
        <v>0</v>
      </c>
      <c r="G11359" t="str">
        <f>"2018-10-14 10:07:14"</f>
        <v>2018-10-14 10:07:14</v>
      </c>
    </row>
    <row r="11360" spans="1:7" x14ac:dyDescent="0.2">
      <c r="A11360" t="s">
        <v>11582</v>
      </c>
      <c r="B11360" t="str">
        <f>"17773836345"</f>
        <v>17773836345</v>
      </c>
      <c r="C11360" t="str">
        <f>"432522198906075775"</f>
        <v>432522198906075775</v>
      </c>
      <c r="D11360" t="s">
        <v>11583</v>
      </c>
      <c r="E11360" t="s">
        <v>11584</v>
      </c>
      <c r="F11360" t="s">
        <v>0</v>
      </c>
      <c r="G11360" t="str">
        <f>"2018-10-14 10:08:24"</f>
        <v>2018-10-14 10:08:24</v>
      </c>
    </row>
    <row r="11361" spans="1:7" x14ac:dyDescent="0.2">
      <c r="A11361" t="s">
        <v>11585</v>
      </c>
      <c r="B11361" t="str">
        <f>"18676626607"</f>
        <v>18676626607</v>
      </c>
      <c r="C11361" t="str">
        <f>"421181199406041325"</f>
        <v>421181199406041325</v>
      </c>
      <c r="D11361" t="s">
        <v>1</v>
      </c>
      <c r="E11361" t="s">
        <v>1</v>
      </c>
      <c r="F11361" t="s">
        <v>0</v>
      </c>
      <c r="G11361" t="str">
        <f>"2018-10-14 10:22:15"</f>
        <v>2018-10-14 10:22:15</v>
      </c>
    </row>
    <row r="11362" spans="1:7" x14ac:dyDescent="0.2">
      <c r="A11362" t="s">
        <v>8922</v>
      </c>
      <c r="B11362" t="str">
        <f>"13162417925"</f>
        <v>13162417925</v>
      </c>
      <c r="C11362" t="str">
        <f>"310230198408281052"</f>
        <v>310230198408281052</v>
      </c>
      <c r="D11362" t="s">
        <v>1</v>
      </c>
      <c r="E11362" t="s">
        <v>1</v>
      </c>
      <c r="F11362" t="s">
        <v>0</v>
      </c>
      <c r="G11362" t="str">
        <f>"2018-10-14 10:08:21"</f>
        <v>2018-10-14 10:08:21</v>
      </c>
    </row>
    <row r="11363" spans="1:7" x14ac:dyDescent="0.2">
      <c r="A11363" t="s">
        <v>1019</v>
      </c>
      <c r="B11363" t="str">
        <f>"13332222452"</f>
        <v>13332222452</v>
      </c>
      <c r="C11363" t="str">
        <f>"210202199308113217"</f>
        <v>210202199308113217</v>
      </c>
      <c r="D11363" t="s">
        <v>1</v>
      </c>
      <c r="E11363" t="s">
        <v>1</v>
      </c>
      <c r="F11363" t="s">
        <v>0</v>
      </c>
      <c r="G11363" t="str">
        <f>"2018-10-14 10:06:36"</f>
        <v>2018-10-14 10:06:36</v>
      </c>
    </row>
    <row r="11364" spans="1:7" x14ac:dyDescent="0.2">
      <c r="A11364" t="s">
        <v>1</v>
      </c>
      <c r="B11364" t="str">
        <f>"15917808011"</f>
        <v>15917808011</v>
      </c>
      <c r="C11364" t="s">
        <v>1</v>
      </c>
      <c r="D11364" t="s">
        <v>1</v>
      </c>
      <c r="E11364" t="s">
        <v>1</v>
      </c>
      <c r="F11364" t="s">
        <v>0</v>
      </c>
      <c r="G11364" t="str">
        <f>"2018-10-14 10:04:28"</f>
        <v>2018-10-14 10:04:28</v>
      </c>
    </row>
    <row r="11365" spans="1:7" x14ac:dyDescent="0.2">
      <c r="A11365" t="s">
        <v>11586</v>
      </c>
      <c r="B11365" t="str">
        <f>"13899862376"</f>
        <v>13899862376</v>
      </c>
      <c r="C11365" t="str">
        <f>"650104197006061634"</f>
        <v>650104197006061634</v>
      </c>
      <c r="D11365" t="s">
        <v>1</v>
      </c>
      <c r="E11365" t="s">
        <v>1</v>
      </c>
      <c r="F11365" t="s">
        <v>0</v>
      </c>
      <c r="G11365" t="str">
        <f>"2018-10-14 10:08:15"</f>
        <v>2018-10-14 10:08:15</v>
      </c>
    </row>
    <row r="11366" spans="1:7" x14ac:dyDescent="0.2">
      <c r="A11366" t="s">
        <v>11587</v>
      </c>
      <c r="B11366" t="str">
        <f>"13823151611"</f>
        <v>13823151611</v>
      </c>
      <c r="C11366" t="str">
        <f>"421281198711205710"</f>
        <v>421281198711205710</v>
      </c>
      <c r="D11366" t="s">
        <v>1</v>
      </c>
      <c r="E11366" t="s">
        <v>1</v>
      </c>
      <c r="F11366" t="s">
        <v>0</v>
      </c>
      <c r="G11366" t="str">
        <f>"2018-10-14 11:31:48"</f>
        <v>2018-10-14 11:31:48</v>
      </c>
    </row>
    <row r="11367" spans="1:7" x14ac:dyDescent="0.2">
      <c r="A11367" t="s">
        <v>1</v>
      </c>
      <c r="B11367" t="str">
        <f>"13885379853"</f>
        <v>13885379853</v>
      </c>
      <c r="C11367" t="s">
        <v>1</v>
      </c>
      <c r="D11367" t="s">
        <v>1</v>
      </c>
      <c r="E11367" t="s">
        <v>1</v>
      </c>
      <c r="F11367" t="s">
        <v>0</v>
      </c>
      <c r="G11367" t="str">
        <f>"2018-10-14 10:02:01"</f>
        <v>2018-10-14 10:02:01</v>
      </c>
    </row>
    <row r="11368" spans="1:7" x14ac:dyDescent="0.2">
      <c r="A11368" t="s">
        <v>1</v>
      </c>
      <c r="B11368" t="str">
        <f>"17171049946"</f>
        <v>17171049946</v>
      </c>
      <c r="C11368" t="s">
        <v>1</v>
      </c>
      <c r="D11368" t="s">
        <v>1</v>
      </c>
      <c r="E11368" t="s">
        <v>1</v>
      </c>
      <c r="F11368" t="s">
        <v>0</v>
      </c>
      <c r="G11368" t="str">
        <f>"2018-10-14 10:01:19"</f>
        <v>2018-10-14 10:01:19</v>
      </c>
    </row>
    <row r="11369" spans="1:7" x14ac:dyDescent="0.2">
      <c r="A11369" t="s">
        <v>11588</v>
      </c>
      <c r="B11369" t="str">
        <f>"18502947980"</f>
        <v>18502947980</v>
      </c>
      <c r="C11369" t="str">
        <f>"210112199010063023"</f>
        <v>210112199010063023</v>
      </c>
      <c r="D11369" t="s">
        <v>11589</v>
      </c>
      <c r="E11369" t="s">
        <v>11590</v>
      </c>
      <c r="F11369" t="s">
        <v>0</v>
      </c>
      <c r="G11369" t="str">
        <f>"2018-10-14 10:12:34"</f>
        <v>2018-10-14 10:12:34</v>
      </c>
    </row>
    <row r="11370" spans="1:7" x14ac:dyDescent="0.2">
      <c r="A11370" t="s">
        <v>11591</v>
      </c>
      <c r="B11370" t="str">
        <f>"18086876581"</f>
        <v>18086876581</v>
      </c>
      <c r="C11370" t="str">
        <f>"511112199201141719"</f>
        <v>511112199201141719</v>
      </c>
      <c r="D11370" t="s">
        <v>1</v>
      </c>
      <c r="E11370" t="s">
        <v>1</v>
      </c>
      <c r="F11370" t="s">
        <v>0</v>
      </c>
      <c r="G11370" t="str">
        <f>"2018-10-14 10:04:00"</f>
        <v>2018-10-14 10:04:00</v>
      </c>
    </row>
    <row r="11371" spans="1:7" x14ac:dyDescent="0.2">
      <c r="A11371" t="s">
        <v>11592</v>
      </c>
      <c r="B11371" t="str">
        <f>"13868966680"</f>
        <v>13868966680</v>
      </c>
      <c r="C11371" t="str">
        <f>"330782198510060616"</f>
        <v>330782198510060616</v>
      </c>
      <c r="D11371" t="s">
        <v>1</v>
      </c>
      <c r="E11371" t="s">
        <v>1</v>
      </c>
      <c r="F11371" t="s">
        <v>0</v>
      </c>
      <c r="G11371" t="str">
        <f>"2018-10-14 10:36:20"</f>
        <v>2018-10-14 10:36:20</v>
      </c>
    </row>
    <row r="11372" spans="1:7" x14ac:dyDescent="0.2">
      <c r="A11372" t="s">
        <v>11593</v>
      </c>
      <c r="B11372" t="str">
        <f>"18831798198"</f>
        <v>18831798198</v>
      </c>
      <c r="C11372" t="str">
        <f>"130903199408291533"</f>
        <v>130903199408291533</v>
      </c>
      <c r="D11372" t="s">
        <v>11594</v>
      </c>
      <c r="E11372" t="s">
        <v>11595</v>
      </c>
      <c r="F11372" t="s">
        <v>0</v>
      </c>
      <c r="G11372" t="str">
        <f>"2018-10-14 10:00:00"</f>
        <v>2018-10-14 10:00:00</v>
      </c>
    </row>
    <row r="11373" spans="1:7" x14ac:dyDescent="0.2">
      <c r="A11373" t="s">
        <v>1249</v>
      </c>
      <c r="B11373" t="str">
        <f>"13782864046"</f>
        <v>13782864046</v>
      </c>
      <c r="C11373" t="str">
        <f>"410882198909062547"</f>
        <v>410882198909062547</v>
      </c>
      <c r="D11373" t="s">
        <v>1</v>
      </c>
      <c r="E11373" t="s">
        <v>1</v>
      </c>
      <c r="F11373" t="s">
        <v>0</v>
      </c>
      <c r="G11373" t="str">
        <f>"2018-10-23 13:17:53"</f>
        <v>2018-10-23 13:17:53</v>
      </c>
    </row>
    <row r="11374" spans="1:7" x14ac:dyDescent="0.2">
      <c r="A11374" t="s">
        <v>11596</v>
      </c>
      <c r="B11374" t="str">
        <f>"18262665290"</f>
        <v>18262665290</v>
      </c>
      <c r="C11374" t="str">
        <f>"622628199204242173"</f>
        <v>622628199204242173</v>
      </c>
      <c r="D11374" t="s">
        <v>1</v>
      </c>
      <c r="E11374" t="s">
        <v>1</v>
      </c>
      <c r="F11374" t="s">
        <v>0</v>
      </c>
      <c r="G11374" t="str">
        <f>"2018-10-17 14:36:35"</f>
        <v>2018-10-17 14:36:35</v>
      </c>
    </row>
    <row r="11375" spans="1:7" x14ac:dyDescent="0.2">
      <c r="A11375" t="s">
        <v>1</v>
      </c>
      <c r="B11375" t="str">
        <f>"15678363224"</f>
        <v>15678363224</v>
      </c>
      <c r="C11375" t="s">
        <v>1</v>
      </c>
      <c r="D11375" t="s">
        <v>1</v>
      </c>
      <c r="E11375" t="s">
        <v>1</v>
      </c>
      <c r="F11375" t="s">
        <v>0</v>
      </c>
      <c r="G11375" t="str">
        <f>"2018-10-14 09:56:11"</f>
        <v>2018-10-14 09:56:11</v>
      </c>
    </row>
    <row r="11376" spans="1:7" x14ac:dyDescent="0.2">
      <c r="A11376" t="s">
        <v>1</v>
      </c>
      <c r="B11376" t="str">
        <f>"18886949718"</f>
        <v>18886949718</v>
      </c>
      <c r="C11376" t="s">
        <v>1</v>
      </c>
      <c r="D11376" t="s">
        <v>1</v>
      </c>
      <c r="E11376" t="s">
        <v>1</v>
      </c>
      <c r="F11376" t="s">
        <v>0</v>
      </c>
      <c r="G11376" t="str">
        <f>"2018-10-14 09:54:53"</f>
        <v>2018-10-14 09:54:53</v>
      </c>
    </row>
    <row r="11377" spans="1:7" x14ac:dyDescent="0.2">
      <c r="A11377" t="s">
        <v>11597</v>
      </c>
      <c r="B11377" t="str">
        <f>"13903220149"</f>
        <v>13903220149</v>
      </c>
      <c r="C11377" t="str">
        <f>"130622199212163620"</f>
        <v>130622199212163620</v>
      </c>
      <c r="D11377" t="s">
        <v>1</v>
      </c>
      <c r="E11377" t="s">
        <v>1</v>
      </c>
      <c r="F11377" t="s">
        <v>0</v>
      </c>
      <c r="G11377" t="str">
        <f>"2018-10-14 09:55:16"</f>
        <v>2018-10-14 09:55:16</v>
      </c>
    </row>
    <row r="11378" spans="1:7" x14ac:dyDescent="0.2">
      <c r="A11378" t="s">
        <v>1</v>
      </c>
      <c r="B11378" t="str">
        <f>"13065442557"</f>
        <v>13065442557</v>
      </c>
      <c r="C11378" t="s">
        <v>1</v>
      </c>
      <c r="D11378" t="s">
        <v>1</v>
      </c>
      <c r="E11378" t="s">
        <v>1</v>
      </c>
      <c r="F11378" t="s">
        <v>0</v>
      </c>
      <c r="G11378" t="str">
        <f>"2018-10-14 09:53:24"</f>
        <v>2018-10-14 09:53:24</v>
      </c>
    </row>
    <row r="11379" spans="1:7" x14ac:dyDescent="0.2">
      <c r="A11379" t="s">
        <v>11598</v>
      </c>
      <c r="B11379" t="str">
        <f>"13818543258"</f>
        <v>13818543258</v>
      </c>
      <c r="C11379" t="str">
        <f>"310109198205212018"</f>
        <v>310109198205212018</v>
      </c>
      <c r="D11379" t="s">
        <v>11599</v>
      </c>
      <c r="E11379" t="s">
        <v>11600</v>
      </c>
      <c r="F11379" t="s">
        <v>0</v>
      </c>
      <c r="G11379" t="str">
        <f>"2018-10-14 09:54:22"</f>
        <v>2018-10-14 09:54:22</v>
      </c>
    </row>
    <row r="11380" spans="1:7" x14ac:dyDescent="0.2">
      <c r="A11380" t="s">
        <v>317</v>
      </c>
      <c r="B11380" t="str">
        <f>"13791037779"</f>
        <v>13791037779</v>
      </c>
      <c r="C11380" t="str">
        <f>"370830198303010014"</f>
        <v>370830198303010014</v>
      </c>
      <c r="D11380" t="s">
        <v>11601</v>
      </c>
      <c r="E11380" t="s">
        <v>11602</v>
      </c>
      <c r="F11380" t="s">
        <v>0</v>
      </c>
      <c r="G11380" t="str">
        <f>"2018-10-14 10:01:46"</f>
        <v>2018-10-14 10:01:46</v>
      </c>
    </row>
    <row r="11381" spans="1:7" x14ac:dyDescent="0.2">
      <c r="A11381" t="s">
        <v>11603</v>
      </c>
      <c r="B11381" t="str">
        <f>"18525719803"</f>
        <v>18525719803</v>
      </c>
      <c r="C11381" t="str">
        <f>"211422199505175035"</f>
        <v>211422199505175035</v>
      </c>
      <c r="D11381" t="s">
        <v>1</v>
      </c>
      <c r="E11381" t="s">
        <v>1</v>
      </c>
      <c r="F11381" t="s">
        <v>0</v>
      </c>
      <c r="G11381" t="str">
        <f>"2018-10-14 09:56:39"</f>
        <v>2018-10-14 09:56:39</v>
      </c>
    </row>
    <row r="11382" spans="1:7" x14ac:dyDescent="0.2">
      <c r="A11382" t="s">
        <v>11604</v>
      </c>
      <c r="B11382" t="str">
        <f>"13573661102"</f>
        <v>13573661102</v>
      </c>
      <c r="C11382" t="str">
        <f>"370782199111021427"</f>
        <v>370782199111021427</v>
      </c>
      <c r="D11382" t="s">
        <v>1</v>
      </c>
      <c r="E11382" t="s">
        <v>1</v>
      </c>
      <c r="F11382" t="s">
        <v>0</v>
      </c>
      <c r="G11382" t="str">
        <f>"2018-10-14 09:52:50"</f>
        <v>2018-10-14 09:52:50</v>
      </c>
    </row>
    <row r="11383" spans="1:7" x14ac:dyDescent="0.2">
      <c r="A11383" t="s">
        <v>11605</v>
      </c>
      <c r="B11383" t="str">
        <f>"13717966118"</f>
        <v>13717966118</v>
      </c>
      <c r="C11383" t="str">
        <f>"140322199704060316"</f>
        <v>140322199704060316</v>
      </c>
      <c r="D11383" t="s">
        <v>1</v>
      </c>
      <c r="E11383" t="s">
        <v>1</v>
      </c>
      <c r="F11383" t="s">
        <v>0</v>
      </c>
      <c r="G11383" t="str">
        <f>"2018-10-17 18:22:47"</f>
        <v>2018-10-17 18:22:47</v>
      </c>
    </row>
    <row r="11384" spans="1:7" x14ac:dyDescent="0.2">
      <c r="A11384" t="s">
        <v>11606</v>
      </c>
      <c r="B11384" t="str">
        <f>"13252525726"</f>
        <v>13252525726</v>
      </c>
      <c r="C11384" t="str">
        <f>"220203199609085924"</f>
        <v>220203199609085924</v>
      </c>
      <c r="D11384" t="s">
        <v>1</v>
      </c>
      <c r="E11384" t="s">
        <v>1</v>
      </c>
      <c r="F11384" t="s">
        <v>0</v>
      </c>
      <c r="G11384" t="str">
        <f>"2018-10-14 09:54:52"</f>
        <v>2018-10-14 09:54:52</v>
      </c>
    </row>
    <row r="11385" spans="1:7" x14ac:dyDescent="0.2">
      <c r="A11385" t="s">
        <v>1</v>
      </c>
      <c r="B11385" t="str">
        <f>"13176011148"</f>
        <v>13176011148</v>
      </c>
      <c r="C11385" t="s">
        <v>1</v>
      </c>
      <c r="D11385" t="s">
        <v>1</v>
      </c>
      <c r="E11385" t="s">
        <v>1</v>
      </c>
      <c r="F11385" t="s">
        <v>0</v>
      </c>
      <c r="G11385" t="str">
        <f>"2018-10-14 09:48:50"</f>
        <v>2018-10-14 09:48:50</v>
      </c>
    </row>
    <row r="11386" spans="1:7" x14ac:dyDescent="0.2">
      <c r="A11386" t="s">
        <v>11607</v>
      </c>
      <c r="B11386" t="str">
        <f>"18730678145"</f>
        <v>18730678145</v>
      </c>
      <c r="C11386" t="str">
        <f>"131025198502134513"</f>
        <v>131025198502134513</v>
      </c>
      <c r="D11386" t="s">
        <v>1</v>
      </c>
      <c r="E11386" t="s">
        <v>1</v>
      </c>
      <c r="F11386" t="s">
        <v>0</v>
      </c>
      <c r="G11386" t="str">
        <f>"2018-10-14 12:22:11"</f>
        <v>2018-10-14 12:22:11</v>
      </c>
    </row>
    <row r="11387" spans="1:7" x14ac:dyDescent="0.2">
      <c r="A11387" t="s">
        <v>11608</v>
      </c>
      <c r="B11387" t="str">
        <f>"18789304661"</f>
        <v>18789304661</v>
      </c>
      <c r="C11387" t="str">
        <f>"412723197907221219"</f>
        <v>412723197907221219</v>
      </c>
      <c r="D11387" t="s">
        <v>1</v>
      </c>
      <c r="E11387" t="s">
        <v>1</v>
      </c>
      <c r="F11387" t="s">
        <v>0</v>
      </c>
      <c r="G11387" t="str">
        <f>"2018-10-14 11:29:41"</f>
        <v>2018-10-14 11:29:41</v>
      </c>
    </row>
    <row r="11388" spans="1:7" x14ac:dyDescent="0.2">
      <c r="A11388" t="s">
        <v>11609</v>
      </c>
      <c r="B11388" t="str">
        <f>"17731029791"</f>
        <v>17731029791</v>
      </c>
      <c r="C11388" t="str">
        <f>"130426198508242336"</f>
        <v>130426198508242336</v>
      </c>
      <c r="D11388" t="s">
        <v>1</v>
      </c>
      <c r="E11388" t="s">
        <v>1</v>
      </c>
      <c r="F11388" t="s">
        <v>0</v>
      </c>
      <c r="G11388" t="str">
        <f>"2018-10-14 09:45:59"</f>
        <v>2018-10-14 09:45:59</v>
      </c>
    </row>
    <row r="11389" spans="1:7" x14ac:dyDescent="0.2">
      <c r="A11389" t="s">
        <v>11610</v>
      </c>
      <c r="B11389" t="str">
        <f>"15192203222"</f>
        <v>15192203222</v>
      </c>
      <c r="C11389" t="str">
        <f>"370684199404151011"</f>
        <v>370684199404151011</v>
      </c>
      <c r="D11389" t="s">
        <v>1</v>
      </c>
      <c r="E11389" t="s">
        <v>1</v>
      </c>
      <c r="F11389" t="s">
        <v>0</v>
      </c>
      <c r="G11389" t="str">
        <f>"2018-10-14 09:48:00"</f>
        <v>2018-10-14 09:48:00</v>
      </c>
    </row>
    <row r="11390" spans="1:7" x14ac:dyDescent="0.2">
      <c r="A11390" t="s">
        <v>11611</v>
      </c>
      <c r="B11390" t="str">
        <f>"13946988289"</f>
        <v>13946988289</v>
      </c>
      <c r="C11390" t="str">
        <f>"230603196904041131"</f>
        <v>230603196904041131</v>
      </c>
      <c r="D11390" t="s">
        <v>11612</v>
      </c>
      <c r="E11390" t="s">
        <v>11613</v>
      </c>
      <c r="F11390" t="s">
        <v>0</v>
      </c>
      <c r="G11390" t="str">
        <f>"2018-10-14 12:40:49"</f>
        <v>2018-10-14 12:40:49</v>
      </c>
    </row>
    <row r="11391" spans="1:7" x14ac:dyDescent="0.2">
      <c r="A11391" t="s">
        <v>1</v>
      </c>
      <c r="B11391" t="str">
        <f>"15641058765"</f>
        <v>15641058765</v>
      </c>
      <c r="C11391" t="s">
        <v>1</v>
      </c>
      <c r="D11391" t="s">
        <v>1</v>
      </c>
      <c r="E11391" t="s">
        <v>1</v>
      </c>
      <c r="F11391" t="s">
        <v>0</v>
      </c>
      <c r="G11391" t="str">
        <f>"2018-10-14 09:40:45"</f>
        <v>2018-10-14 09:40:45</v>
      </c>
    </row>
    <row r="11392" spans="1:7" x14ac:dyDescent="0.2">
      <c r="A11392" t="s">
        <v>1</v>
      </c>
      <c r="B11392" t="str">
        <f>"15018015550"</f>
        <v>15018015550</v>
      </c>
      <c r="C11392" t="s">
        <v>1</v>
      </c>
      <c r="D11392" t="s">
        <v>1</v>
      </c>
      <c r="E11392" t="s">
        <v>1</v>
      </c>
      <c r="F11392" t="s">
        <v>0</v>
      </c>
      <c r="G11392" t="str">
        <f>"2018-10-14 09:40:35"</f>
        <v>2018-10-14 09:40:35</v>
      </c>
    </row>
    <row r="11393" spans="1:7" x14ac:dyDescent="0.2">
      <c r="A11393" t="s">
        <v>1</v>
      </c>
      <c r="B11393" t="str">
        <f>"15999926672"</f>
        <v>15999926672</v>
      </c>
      <c r="C11393" t="s">
        <v>1</v>
      </c>
      <c r="D11393" t="s">
        <v>1</v>
      </c>
      <c r="E11393" t="s">
        <v>1</v>
      </c>
      <c r="F11393" t="s">
        <v>0</v>
      </c>
      <c r="G11393" t="str">
        <f>"2018-10-14 09:38:18"</f>
        <v>2018-10-14 09:38:18</v>
      </c>
    </row>
    <row r="11394" spans="1:7" x14ac:dyDescent="0.2">
      <c r="A11394" t="s">
        <v>1</v>
      </c>
      <c r="B11394" t="str">
        <f>"15597853687"</f>
        <v>15597853687</v>
      </c>
      <c r="C11394" t="s">
        <v>1</v>
      </c>
      <c r="D11394" t="s">
        <v>1</v>
      </c>
      <c r="E11394" t="s">
        <v>1</v>
      </c>
      <c r="F11394" t="s">
        <v>0</v>
      </c>
      <c r="G11394" t="str">
        <f>"2018-10-14 09:38:01"</f>
        <v>2018-10-14 09:38:01</v>
      </c>
    </row>
    <row r="11395" spans="1:7" x14ac:dyDescent="0.2">
      <c r="A11395" t="s">
        <v>792</v>
      </c>
      <c r="B11395" t="str">
        <f>"15084202248"</f>
        <v>15084202248</v>
      </c>
      <c r="C11395" t="str">
        <f>"211322197904077016"</f>
        <v>211322197904077016</v>
      </c>
      <c r="D11395" t="s">
        <v>1</v>
      </c>
      <c r="E11395" t="s">
        <v>1</v>
      </c>
      <c r="F11395" t="s">
        <v>0</v>
      </c>
      <c r="G11395" t="str">
        <f>"2018-10-14 09:42:58"</f>
        <v>2018-10-14 09:42:58</v>
      </c>
    </row>
    <row r="11396" spans="1:7" x14ac:dyDescent="0.2">
      <c r="A11396" t="s">
        <v>11614</v>
      </c>
      <c r="B11396" t="str">
        <f>"13807468761"</f>
        <v>13807468761</v>
      </c>
      <c r="C11396" t="str">
        <f>"431124198805125913"</f>
        <v>431124198805125913</v>
      </c>
      <c r="D11396" t="s">
        <v>1</v>
      </c>
      <c r="E11396" t="s">
        <v>1</v>
      </c>
      <c r="F11396" t="s">
        <v>0</v>
      </c>
      <c r="G11396" t="str">
        <f>"2018-10-21 14:06:10"</f>
        <v>2018-10-21 14:06:10</v>
      </c>
    </row>
    <row r="11397" spans="1:7" x14ac:dyDescent="0.2">
      <c r="A11397" t="s">
        <v>11615</v>
      </c>
      <c r="B11397" t="str">
        <f>"17605026652"</f>
        <v>17605026652</v>
      </c>
      <c r="C11397" t="str">
        <f>"511621199805041536"</f>
        <v>511621199805041536</v>
      </c>
      <c r="D11397" t="s">
        <v>1</v>
      </c>
      <c r="E11397" t="s">
        <v>1</v>
      </c>
      <c r="F11397" t="s">
        <v>0</v>
      </c>
      <c r="G11397" t="str">
        <f>"2018-10-14 09:36:52"</f>
        <v>2018-10-14 09:36:52</v>
      </c>
    </row>
    <row r="11398" spans="1:7" x14ac:dyDescent="0.2">
      <c r="A11398" t="s">
        <v>11616</v>
      </c>
      <c r="B11398" t="str">
        <f>"15976343400"</f>
        <v>15976343400</v>
      </c>
      <c r="C11398" t="str">
        <f>"445122199910303715"</f>
        <v>445122199910303715</v>
      </c>
      <c r="D11398" t="s">
        <v>1</v>
      </c>
      <c r="E11398" t="s">
        <v>1</v>
      </c>
      <c r="F11398" t="s">
        <v>0</v>
      </c>
      <c r="G11398" t="str">
        <f>"2018-10-14 09:43:03"</f>
        <v>2018-10-14 09:43:03</v>
      </c>
    </row>
    <row r="11399" spans="1:7" x14ac:dyDescent="0.2">
      <c r="A11399" t="s">
        <v>11617</v>
      </c>
      <c r="B11399" t="str">
        <f>"15905819977"</f>
        <v>15905819977</v>
      </c>
      <c r="C11399" t="str">
        <f>"330124198307231217"</f>
        <v>330124198307231217</v>
      </c>
      <c r="D11399" t="s">
        <v>1</v>
      </c>
      <c r="E11399" t="s">
        <v>1</v>
      </c>
      <c r="F11399" t="s">
        <v>0</v>
      </c>
      <c r="G11399" t="str">
        <f>"2018-10-14 10:23:49"</f>
        <v>2018-10-14 10:23:49</v>
      </c>
    </row>
    <row r="11400" spans="1:7" x14ac:dyDescent="0.2">
      <c r="A11400" t="s">
        <v>11618</v>
      </c>
      <c r="B11400" t="str">
        <f>"13545526811"</f>
        <v>13545526811</v>
      </c>
      <c r="C11400" t="str">
        <f>"420203199502044118"</f>
        <v>420203199502044118</v>
      </c>
      <c r="D11400" t="s">
        <v>11619</v>
      </c>
      <c r="E11400" t="s">
        <v>11620</v>
      </c>
      <c r="F11400" t="s">
        <v>0</v>
      </c>
      <c r="G11400" t="str">
        <f>"2018-10-14 11:28:07"</f>
        <v>2018-10-14 11:28:07</v>
      </c>
    </row>
    <row r="11401" spans="1:7" x14ac:dyDescent="0.2">
      <c r="A11401" t="s">
        <v>1</v>
      </c>
      <c r="B11401" t="str">
        <f>"15917166583"</f>
        <v>15917166583</v>
      </c>
      <c r="C11401" t="s">
        <v>1</v>
      </c>
      <c r="D11401" t="s">
        <v>1</v>
      </c>
      <c r="E11401" t="s">
        <v>1</v>
      </c>
      <c r="F11401" t="s">
        <v>0</v>
      </c>
      <c r="G11401" t="str">
        <f>"2018-10-14 09:38:10"</f>
        <v>2018-10-14 09:38:10</v>
      </c>
    </row>
    <row r="11402" spans="1:7" x14ac:dyDescent="0.2">
      <c r="A11402" t="s">
        <v>11621</v>
      </c>
      <c r="B11402" t="str">
        <f>"15085488085"</f>
        <v>15085488085</v>
      </c>
      <c r="C11402" t="str">
        <f>"522126198406047036"</f>
        <v>522126198406047036</v>
      </c>
      <c r="D11402" t="s">
        <v>11622</v>
      </c>
      <c r="E11402" t="s">
        <v>11623</v>
      </c>
      <c r="F11402" t="s">
        <v>0</v>
      </c>
      <c r="G11402" t="str">
        <f>"2018-11-03 13:52:43"</f>
        <v>2018-11-03 13:52:43</v>
      </c>
    </row>
    <row r="11403" spans="1:7" x14ac:dyDescent="0.2">
      <c r="A11403" t="s">
        <v>11624</v>
      </c>
      <c r="B11403" t="str">
        <f>"17733401216"</f>
        <v>17733401216</v>
      </c>
      <c r="C11403" t="str">
        <f>"130324198905110013"</f>
        <v>130324198905110013</v>
      </c>
      <c r="D11403" t="s">
        <v>1</v>
      </c>
      <c r="E11403" t="s">
        <v>1</v>
      </c>
      <c r="F11403" t="s">
        <v>0</v>
      </c>
      <c r="G11403" t="str">
        <f>"2018-10-14 09:33:50"</f>
        <v>2018-10-14 09:33:50</v>
      </c>
    </row>
    <row r="11404" spans="1:7" x14ac:dyDescent="0.2">
      <c r="A11404" t="s">
        <v>11625</v>
      </c>
      <c r="B11404" t="str">
        <f>"18855107129"</f>
        <v>18855107129</v>
      </c>
      <c r="C11404" t="str">
        <f>"34011119780916753X"</f>
        <v>34011119780916753X</v>
      </c>
      <c r="D11404" t="s">
        <v>1</v>
      </c>
      <c r="E11404" t="s">
        <v>1</v>
      </c>
      <c r="F11404" t="s">
        <v>0</v>
      </c>
      <c r="G11404" t="str">
        <f>"2018-10-14 09:35:39"</f>
        <v>2018-10-14 09:35:39</v>
      </c>
    </row>
    <row r="11405" spans="1:7" x14ac:dyDescent="0.2">
      <c r="A11405" t="s">
        <v>11626</v>
      </c>
      <c r="B11405" t="str">
        <f>"13180354385"</f>
        <v>13180354385</v>
      </c>
      <c r="C11405" t="str">
        <f>"220881198911250529"</f>
        <v>220881198911250529</v>
      </c>
      <c r="D11405" t="s">
        <v>1</v>
      </c>
      <c r="E11405" t="s">
        <v>1</v>
      </c>
      <c r="F11405" t="s">
        <v>0</v>
      </c>
      <c r="G11405" t="str">
        <f>"2018-10-14 09:32:20"</f>
        <v>2018-10-14 09:32:20</v>
      </c>
    </row>
    <row r="11406" spans="1:7" x14ac:dyDescent="0.2">
      <c r="A11406" t="s">
        <v>1</v>
      </c>
      <c r="B11406" t="str">
        <f>"15577845414"</f>
        <v>15577845414</v>
      </c>
      <c r="C11406" t="s">
        <v>1</v>
      </c>
      <c r="D11406" t="s">
        <v>1</v>
      </c>
      <c r="E11406" t="s">
        <v>1</v>
      </c>
      <c r="F11406" t="s">
        <v>0</v>
      </c>
      <c r="G11406" t="str">
        <f>"2018-10-14 09:31:14"</f>
        <v>2018-10-14 09:31:14</v>
      </c>
    </row>
    <row r="11407" spans="1:7" x14ac:dyDescent="0.2">
      <c r="A11407" t="s">
        <v>1</v>
      </c>
      <c r="B11407" t="str">
        <f>"15720055805"</f>
        <v>15720055805</v>
      </c>
      <c r="C11407" t="s">
        <v>1</v>
      </c>
      <c r="D11407" t="s">
        <v>1</v>
      </c>
      <c r="E11407" t="s">
        <v>1</v>
      </c>
      <c r="F11407" t="s">
        <v>0</v>
      </c>
      <c r="G11407" t="str">
        <f>"2018-10-14 09:30:42"</f>
        <v>2018-10-14 09:30:42</v>
      </c>
    </row>
    <row r="11408" spans="1:7" x14ac:dyDescent="0.2">
      <c r="A11408" t="s">
        <v>1</v>
      </c>
      <c r="B11408" t="str">
        <f>"17585484889"</f>
        <v>17585484889</v>
      </c>
      <c r="C11408" t="s">
        <v>1</v>
      </c>
      <c r="D11408" t="s">
        <v>1</v>
      </c>
      <c r="E11408" t="s">
        <v>1</v>
      </c>
      <c r="F11408" t="s">
        <v>0</v>
      </c>
      <c r="G11408" t="str">
        <f>"2018-10-14 09:30:40"</f>
        <v>2018-10-14 09:30:40</v>
      </c>
    </row>
    <row r="11409" spans="1:7" x14ac:dyDescent="0.2">
      <c r="A11409" t="s">
        <v>11627</v>
      </c>
      <c r="B11409" t="str">
        <f>"18983397990"</f>
        <v>18983397990</v>
      </c>
      <c r="C11409" t="str">
        <f>"510224197910155233"</f>
        <v>510224197910155233</v>
      </c>
      <c r="D11409" t="s">
        <v>1</v>
      </c>
      <c r="E11409" t="s">
        <v>1</v>
      </c>
      <c r="F11409" t="s">
        <v>0</v>
      </c>
      <c r="G11409" t="str">
        <f>"2018-10-14 09:38:54"</f>
        <v>2018-10-14 09:38:54</v>
      </c>
    </row>
    <row r="11410" spans="1:7" x14ac:dyDescent="0.2">
      <c r="A11410" t="s">
        <v>11628</v>
      </c>
      <c r="B11410" t="str">
        <f>"15941906261"</f>
        <v>15941906261</v>
      </c>
      <c r="C11410" t="str">
        <f>"211022198110123410"</f>
        <v>211022198110123410</v>
      </c>
      <c r="D11410" t="s">
        <v>11629</v>
      </c>
      <c r="E11410" t="s">
        <v>11630</v>
      </c>
      <c r="F11410" t="s">
        <v>0</v>
      </c>
      <c r="G11410" t="str">
        <f>"2018-10-14 14:04:50"</f>
        <v>2018-10-14 14:04:50</v>
      </c>
    </row>
    <row r="11411" spans="1:7" x14ac:dyDescent="0.2">
      <c r="A11411" t="s">
        <v>11631</v>
      </c>
      <c r="B11411" t="str">
        <f>"15063377233"</f>
        <v>15063377233</v>
      </c>
      <c r="C11411" t="str">
        <f>"370983198912301317"</f>
        <v>370983198912301317</v>
      </c>
      <c r="D11411" t="s">
        <v>1</v>
      </c>
      <c r="E11411" t="s">
        <v>1</v>
      </c>
      <c r="F11411" t="s">
        <v>0</v>
      </c>
      <c r="G11411" t="str">
        <f>"2018-10-14 09:29:12"</f>
        <v>2018-10-14 09:29:12</v>
      </c>
    </row>
    <row r="11412" spans="1:7" x14ac:dyDescent="0.2">
      <c r="A11412" t="s">
        <v>11632</v>
      </c>
      <c r="B11412" t="str">
        <f>"13778688460"</f>
        <v>13778688460</v>
      </c>
      <c r="C11412" t="str">
        <f>"513427198705170415"</f>
        <v>513427198705170415</v>
      </c>
      <c r="D11412" t="s">
        <v>1</v>
      </c>
      <c r="E11412" t="s">
        <v>1</v>
      </c>
      <c r="F11412" t="s">
        <v>0</v>
      </c>
      <c r="G11412" t="str">
        <f>"2018-10-14 09:56:51"</f>
        <v>2018-10-14 09:56:51</v>
      </c>
    </row>
    <row r="11413" spans="1:7" x14ac:dyDescent="0.2">
      <c r="A11413" t="s">
        <v>11633</v>
      </c>
      <c r="B11413" t="str">
        <f>"17702369499"</f>
        <v>17702369499</v>
      </c>
      <c r="C11413" t="str">
        <f>"500235198707097658"</f>
        <v>500235198707097658</v>
      </c>
      <c r="D11413" t="s">
        <v>1</v>
      </c>
      <c r="E11413" t="s">
        <v>1</v>
      </c>
      <c r="F11413" t="s">
        <v>0</v>
      </c>
      <c r="G11413" t="str">
        <f>"2018-10-22 08:52:27"</f>
        <v>2018-10-22 08:52:27</v>
      </c>
    </row>
    <row r="11414" spans="1:7" x14ac:dyDescent="0.2">
      <c r="A11414" t="s">
        <v>1774</v>
      </c>
      <c r="B11414" t="str">
        <f>"13511782592"</f>
        <v>13511782592</v>
      </c>
      <c r="C11414" t="str">
        <f>"32132319930406591X"</f>
        <v>32132319930406591X</v>
      </c>
      <c r="D11414" t="s">
        <v>1</v>
      </c>
      <c r="E11414" t="s">
        <v>1</v>
      </c>
      <c r="F11414" t="s">
        <v>0</v>
      </c>
      <c r="G11414" t="str">
        <f>"2018-10-14 09:27:21"</f>
        <v>2018-10-14 09:27:21</v>
      </c>
    </row>
    <row r="11415" spans="1:7" x14ac:dyDescent="0.2">
      <c r="A11415" t="s">
        <v>5805</v>
      </c>
      <c r="B11415" t="str">
        <f>"13102440059"</f>
        <v>13102440059</v>
      </c>
      <c r="C11415" t="str">
        <f>"140221199301046817"</f>
        <v>140221199301046817</v>
      </c>
      <c r="D11415" t="s">
        <v>1</v>
      </c>
      <c r="E11415" t="s">
        <v>1</v>
      </c>
      <c r="F11415" t="s">
        <v>0</v>
      </c>
      <c r="G11415" t="str">
        <f>"2018-10-14 09:25:34"</f>
        <v>2018-10-14 09:25:34</v>
      </c>
    </row>
    <row r="11416" spans="1:7" x14ac:dyDescent="0.2">
      <c r="A11416" t="s">
        <v>11634</v>
      </c>
      <c r="B11416" t="str">
        <f>"17802661254"</f>
        <v>17802661254</v>
      </c>
      <c r="C11416" t="str">
        <f>"320922198503191119"</f>
        <v>320922198503191119</v>
      </c>
      <c r="D11416" t="s">
        <v>11635</v>
      </c>
      <c r="E11416" t="s">
        <v>11636</v>
      </c>
      <c r="F11416" t="s">
        <v>0</v>
      </c>
      <c r="G11416" t="str">
        <f>"2018-10-14 09:25:01"</f>
        <v>2018-10-14 09:25:01</v>
      </c>
    </row>
    <row r="11417" spans="1:7" x14ac:dyDescent="0.2">
      <c r="A11417" t="s">
        <v>1</v>
      </c>
      <c r="B11417" t="str">
        <f>"13564309708"</f>
        <v>13564309708</v>
      </c>
      <c r="C11417" t="s">
        <v>1</v>
      </c>
      <c r="D11417" t="s">
        <v>1</v>
      </c>
      <c r="E11417" t="s">
        <v>1</v>
      </c>
      <c r="F11417" t="s">
        <v>0</v>
      </c>
      <c r="G11417" t="str">
        <f>"2018-10-14 09:22:24"</f>
        <v>2018-10-14 09:22:24</v>
      </c>
    </row>
    <row r="11418" spans="1:7" x14ac:dyDescent="0.2">
      <c r="A11418" t="s">
        <v>11637</v>
      </c>
      <c r="B11418" t="str">
        <f>"13569733789"</f>
        <v>13569733789</v>
      </c>
      <c r="C11418" t="str">
        <f>"411522198405056010"</f>
        <v>411522198405056010</v>
      </c>
      <c r="D11418" t="s">
        <v>11638</v>
      </c>
      <c r="E11418" t="s">
        <v>11639</v>
      </c>
      <c r="F11418" t="s">
        <v>0</v>
      </c>
      <c r="G11418" t="str">
        <f>"2018-10-14 09:27:00"</f>
        <v>2018-10-14 09:27:00</v>
      </c>
    </row>
    <row r="11419" spans="1:7" x14ac:dyDescent="0.2">
      <c r="A11419" t="s">
        <v>1</v>
      </c>
      <c r="B11419" t="str">
        <f>"18210633796"</f>
        <v>18210633796</v>
      </c>
      <c r="C11419" t="s">
        <v>1</v>
      </c>
      <c r="D11419" t="s">
        <v>1</v>
      </c>
      <c r="E11419" t="s">
        <v>1</v>
      </c>
      <c r="F11419" t="s">
        <v>0</v>
      </c>
      <c r="G11419" t="str">
        <f>"2018-10-14 09:42:57"</f>
        <v>2018-10-14 09:42:57</v>
      </c>
    </row>
    <row r="11420" spans="1:7" x14ac:dyDescent="0.2">
      <c r="A11420" t="s">
        <v>11640</v>
      </c>
      <c r="B11420" t="str">
        <f>"18666198799"</f>
        <v>18666198799</v>
      </c>
      <c r="C11420" t="str">
        <f>"360521198709120016"</f>
        <v>360521198709120016</v>
      </c>
      <c r="D11420" t="s">
        <v>1</v>
      </c>
      <c r="E11420" t="s">
        <v>1</v>
      </c>
      <c r="F11420" t="s">
        <v>0</v>
      </c>
      <c r="G11420" t="str">
        <f>"2018-10-14 09:41:22"</f>
        <v>2018-10-14 09:41:22</v>
      </c>
    </row>
    <row r="11421" spans="1:7" x14ac:dyDescent="0.2">
      <c r="A11421" t="s">
        <v>11641</v>
      </c>
      <c r="B11421" t="str">
        <f>"18070264935"</f>
        <v>18070264935</v>
      </c>
      <c r="C11421" t="str">
        <f>"360725198410301812"</f>
        <v>360725198410301812</v>
      </c>
      <c r="D11421" t="s">
        <v>11642</v>
      </c>
      <c r="E11421" t="s">
        <v>11643</v>
      </c>
      <c r="F11421" t="s">
        <v>0</v>
      </c>
      <c r="G11421" t="str">
        <f>"2018-10-14 09:17:43"</f>
        <v>2018-10-14 09:17:43</v>
      </c>
    </row>
    <row r="11422" spans="1:7" x14ac:dyDescent="0.2">
      <c r="A11422" t="s">
        <v>11644</v>
      </c>
      <c r="B11422" t="str">
        <f>"18261807506"</f>
        <v>18261807506</v>
      </c>
      <c r="C11422" t="str">
        <f>"342626199611113264"</f>
        <v>342626199611113264</v>
      </c>
      <c r="D11422" t="s">
        <v>1</v>
      </c>
      <c r="E11422" t="s">
        <v>1</v>
      </c>
      <c r="F11422" t="s">
        <v>0</v>
      </c>
      <c r="G11422" t="str">
        <f>"2018-10-28 16:28:40"</f>
        <v>2018-10-28 16:28:40</v>
      </c>
    </row>
    <row r="11423" spans="1:7" x14ac:dyDescent="0.2">
      <c r="A11423" t="s">
        <v>1</v>
      </c>
      <c r="B11423" t="str">
        <f>"18469366743"</f>
        <v>18469366743</v>
      </c>
      <c r="C11423" t="s">
        <v>1</v>
      </c>
      <c r="D11423" t="s">
        <v>1</v>
      </c>
      <c r="E11423" t="s">
        <v>1</v>
      </c>
      <c r="F11423" t="s">
        <v>0</v>
      </c>
      <c r="G11423" t="str">
        <f>"2018-10-14 09:16:26"</f>
        <v>2018-10-14 09:16:26</v>
      </c>
    </row>
    <row r="11424" spans="1:7" x14ac:dyDescent="0.2">
      <c r="A11424" t="s">
        <v>11645</v>
      </c>
      <c r="B11424" t="str">
        <f>"18833268647"</f>
        <v>18833268647</v>
      </c>
      <c r="C11424" t="str">
        <f>"34122119910821133X"</f>
        <v>34122119910821133X</v>
      </c>
      <c r="D11424" t="s">
        <v>1</v>
      </c>
      <c r="E11424" t="s">
        <v>1</v>
      </c>
      <c r="F11424" t="s">
        <v>0</v>
      </c>
      <c r="G11424" t="str">
        <f>"2018-10-14 09:15:18"</f>
        <v>2018-10-14 09:15:18</v>
      </c>
    </row>
    <row r="11425" spans="1:7" x14ac:dyDescent="0.2">
      <c r="A11425" t="s">
        <v>11646</v>
      </c>
      <c r="B11425" t="str">
        <f>"18740204013"</f>
        <v>18740204013</v>
      </c>
      <c r="C11425" t="str">
        <f>"21102219950420391X"</f>
        <v>21102219950420391X</v>
      </c>
      <c r="D11425" t="s">
        <v>1</v>
      </c>
      <c r="E11425" t="s">
        <v>1</v>
      </c>
      <c r="F11425" t="s">
        <v>0</v>
      </c>
      <c r="G11425" t="str">
        <f>"2018-10-14 09:16:05"</f>
        <v>2018-10-14 09:16:05</v>
      </c>
    </row>
    <row r="11426" spans="1:7" x14ac:dyDescent="0.2">
      <c r="A11426" t="s">
        <v>208</v>
      </c>
      <c r="B11426" t="str">
        <f>"13981784973"</f>
        <v>13981784973</v>
      </c>
      <c r="C11426" t="str">
        <f>"511381198209102043"</f>
        <v>511381198209102043</v>
      </c>
      <c r="D11426" t="s">
        <v>1</v>
      </c>
      <c r="E11426" t="s">
        <v>1</v>
      </c>
      <c r="F11426" t="s">
        <v>0</v>
      </c>
      <c r="G11426" t="str">
        <f>"2018-10-14 09:14:25"</f>
        <v>2018-10-14 09:14:25</v>
      </c>
    </row>
    <row r="11427" spans="1:7" x14ac:dyDescent="0.2">
      <c r="A11427" t="s">
        <v>11647</v>
      </c>
      <c r="B11427" t="str">
        <f>"13815530328"</f>
        <v>13815530328</v>
      </c>
      <c r="C11427" t="str">
        <f>"320923198708152144"</f>
        <v>320923198708152144</v>
      </c>
      <c r="D11427" t="s">
        <v>11648</v>
      </c>
      <c r="E11427" t="s">
        <v>11649</v>
      </c>
      <c r="F11427" t="s">
        <v>0</v>
      </c>
      <c r="G11427" t="str">
        <f>"2018-10-14 09:14:11"</f>
        <v>2018-10-14 09:14:11</v>
      </c>
    </row>
    <row r="11428" spans="1:7" x14ac:dyDescent="0.2">
      <c r="A11428" t="s">
        <v>11650</v>
      </c>
      <c r="B11428" t="str">
        <f>"13229455669"</f>
        <v>13229455669</v>
      </c>
      <c r="C11428" t="str">
        <f>"43110219880817777X"</f>
        <v>43110219880817777X</v>
      </c>
      <c r="D11428" t="s">
        <v>1</v>
      </c>
      <c r="E11428" t="s">
        <v>1</v>
      </c>
      <c r="F11428" t="s">
        <v>0</v>
      </c>
      <c r="G11428" t="str">
        <f>"2018-10-14 09:14:43"</f>
        <v>2018-10-14 09:14:43</v>
      </c>
    </row>
    <row r="11429" spans="1:7" x14ac:dyDescent="0.2">
      <c r="A11429" t="s">
        <v>1</v>
      </c>
      <c r="B11429" t="str">
        <f>"18322998117"</f>
        <v>18322998117</v>
      </c>
      <c r="C11429" t="s">
        <v>1</v>
      </c>
      <c r="D11429" t="s">
        <v>1</v>
      </c>
      <c r="E11429" t="s">
        <v>1</v>
      </c>
      <c r="F11429" t="s">
        <v>0</v>
      </c>
      <c r="G11429" t="str">
        <f>"2018-10-14 09:10:13"</f>
        <v>2018-10-14 09:10:13</v>
      </c>
    </row>
    <row r="11430" spans="1:7" x14ac:dyDescent="0.2">
      <c r="A11430" t="s">
        <v>11651</v>
      </c>
      <c r="B11430" t="str">
        <f>"13632678519"</f>
        <v>13632678519</v>
      </c>
      <c r="C11430" t="str">
        <f>"452122198302160938"</f>
        <v>452122198302160938</v>
      </c>
      <c r="D11430" t="s">
        <v>11652</v>
      </c>
      <c r="E11430" t="s">
        <v>11653</v>
      </c>
      <c r="F11430" t="s">
        <v>0</v>
      </c>
      <c r="G11430" t="str">
        <f>"2018-10-28 18:36:21"</f>
        <v>2018-10-28 18:36:21</v>
      </c>
    </row>
    <row r="11431" spans="1:7" x14ac:dyDescent="0.2">
      <c r="A11431" t="s">
        <v>11654</v>
      </c>
      <c r="B11431" t="str">
        <f>"15949621556"</f>
        <v>15949621556</v>
      </c>
      <c r="C11431" t="str">
        <f>"362426198501035515"</f>
        <v>362426198501035515</v>
      </c>
      <c r="D11431" t="s">
        <v>1</v>
      </c>
      <c r="E11431" t="s">
        <v>1</v>
      </c>
      <c r="F11431" t="s">
        <v>0</v>
      </c>
      <c r="G11431" t="str">
        <f>"2018-10-14 09:12:40"</f>
        <v>2018-10-14 09:12:40</v>
      </c>
    </row>
    <row r="11432" spans="1:7" x14ac:dyDescent="0.2">
      <c r="A11432" t="s">
        <v>1</v>
      </c>
      <c r="B11432" t="str">
        <f>"18762354849"</f>
        <v>18762354849</v>
      </c>
      <c r="C11432" t="s">
        <v>1</v>
      </c>
      <c r="D11432" t="s">
        <v>1</v>
      </c>
      <c r="E11432" t="s">
        <v>1</v>
      </c>
      <c r="F11432" t="s">
        <v>0</v>
      </c>
      <c r="G11432" t="str">
        <f>"2018-10-20 11:36:45"</f>
        <v>2018-10-20 11:36:45</v>
      </c>
    </row>
    <row r="11433" spans="1:7" x14ac:dyDescent="0.2">
      <c r="A11433" t="s">
        <v>11655</v>
      </c>
      <c r="B11433" t="str">
        <f>"18227735756"</f>
        <v>18227735756</v>
      </c>
      <c r="C11433" t="str">
        <f>"510311199710135847"</f>
        <v>510311199710135847</v>
      </c>
      <c r="D11433" t="s">
        <v>1</v>
      </c>
      <c r="E11433" t="s">
        <v>1</v>
      </c>
      <c r="F11433" t="s">
        <v>0</v>
      </c>
      <c r="G11433" t="str">
        <f>"2018-10-14 09:14:54"</f>
        <v>2018-10-14 09:14:54</v>
      </c>
    </row>
    <row r="11434" spans="1:7" x14ac:dyDescent="0.2">
      <c r="A11434" t="s">
        <v>11656</v>
      </c>
      <c r="B11434" t="str">
        <f>"15223096405"</f>
        <v>15223096405</v>
      </c>
      <c r="C11434" t="str">
        <f>"500226198705045292"</f>
        <v>500226198705045292</v>
      </c>
      <c r="D11434" t="s">
        <v>1</v>
      </c>
      <c r="E11434" t="s">
        <v>1</v>
      </c>
      <c r="F11434" t="s">
        <v>0</v>
      </c>
      <c r="G11434" t="str">
        <f>"2018-10-14 09:08:36"</f>
        <v>2018-10-14 09:08:36</v>
      </c>
    </row>
    <row r="11435" spans="1:7" x14ac:dyDescent="0.2">
      <c r="A11435" t="s">
        <v>11657</v>
      </c>
      <c r="B11435" t="str">
        <f>"15034012718"</f>
        <v>15034012718</v>
      </c>
      <c r="C11435" t="str">
        <f>"130427197805053314"</f>
        <v>130427197805053314</v>
      </c>
      <c r="D11435" t="s">
        <v>1</v>
      </c>
      <c r="E11435" t="s">
        <v>1</v>
      </c>
      <c r="F11435" t="s">
        <v>0</v>
      </c>
      <c r="G11435" t="str">
        <f>"2018-10-14 09:07:26"</f>
        <v>2018-10-14 09:07:26</v>
      </c>
    </row>
    <row r="11436" spans="1:7" x14ac:dyDescent="0.2">
      <c r="A11436" t="s">
        <v>11658</v>
      </c>
      <c r="B11436" t="str">
        <f>"13654904250"</f>
        <v>13654904250</v>
      </c>
      <c r="C11436" t="str">
        <f>"210122198903164217"</f>
        <v>210122198903164217</v>
      </c>
      <c r="D11436" t="s">
        <v>1</v>
      </c>
      <c r="E11436" t="s">
        <v>1</v>
      </c>
      <c r="F11436" t="s">
        <v>0</v>
      </c>
      <c r="G11436" t="str">
        <f>"2018-10-14 09:06:36"</f>
        <v>2018-10-14 09:06:36</v>
      </c>
    </row>
    <row r="11437" spans="1:7" x14ac:dyDescent="0.2">
      <c r="A11437" t="s">
        <v>1576</v>
      </c>
      <c r="B11437" t="str">
        <f>"15390885630"</f>
        <v>15390885630</v>
      </c>
      <c r="C11437" t="str">
        <f>"360481199007274825"</f>
        <v>360481199007274825</v>
      </c>
      <c r="D11437" t="s">
        <v>1</v>
      </c>
      <c r="E11437" t="s">
        <v>1</v>
      </c>
      <c r="F11437" t="s">
        <v>0</v>
      </c>
      <c r="G11437" t="str">
        <f>"2018-10-29 10:20:38"</f>
        <v>2018-10-29 10:20:38</v>
      </c>
    </row>
    <row r="11438" spans="1:7" x14ac:dyDescent="0.2">
      <c r="A11438" t="s">
        <v>1</v>
      </c>
      <c r="B11438" t="str">
        <f>"15398507266"</f>
        <v>15398507266</v>
      </c>
      <c r="C11438" t="s">
        <v>1</v>
      </c>
      <c r="D11438" t="s">
        <v>1</v>
      </c>
      <c r="E11438" t="s">
        <v>1</v>
      </c>
      <c r="F11438" t="s">
        <v>0</v>
      </c>
      <c r="G11438" t="str">
        <f>"2018-10-15 11:59:37"</f>
        <v>2018-10-15 11:59:37</v>
      </c>
    </row>
    <row r="11439" spans="1:7" x14ac:dyDescent="0.2">
      <c r="A11439" t="s">
        <v>11659</v>
      </c>
      <c r="B11439" t="str">
        <f>"18452567665"</f>
        <v>18452567665</v>
      </c>
      <c r="C11439" t="str">
        <f>"320982199603144011"</f>
        <v>320982199603144011</v>
      </c>
      <c r="D11439" t="s">
        <v>1</v>
      </c>
      <c r="E11439" t="s">
        <v>1</v>
      </c>
      <c r="F11439" t="s">
        <v>0</v>
      </c>
      <c r="G11439" t="str">
        <f>"2018-10-14 09:24:44"</f>
        <v>2018-10-14 09:24:44</v>
      </c>
    </row>
    <row r="11440" spans="1:7" x14ac:dyDescent="0.2">
      <c r="A11440" t="s">
        <v>232</v>
      </c>
      <c r="B11440" t="str">
        <f>"15798068685"</f>
        <v>15798068685</v>
      </c>
      <c r="C11440" t="str">
        <f>"360313199507180014"</f>
        <v>360313199507180014</v>
      </c>
      <c r="D11440" t="s">
        <v>11660</v>
      </c>
      <c r="E11440" t="s">
        <v>11661</v>
      </c>
      <c r="F11440" t="s">
        <v>0</v>
      </c>
      <c r="G11440" t="str">
        <f>"2018-10-14 09:06:30"</f>
        <v>2018-10-14 09:06:30</v>
      </c>
    </row>
    <row r="11441" spans="1:7" x14ac:dyDescent="0.2">
      <c r="A11441" t="s">
        <v>11662</v>
      </c>
      <c r="B11441" t="str">
        <f>"13969548185"</f>
        <v>13969548185</v>
      </c>
      <c r="C11441" t="str">
        <f>"372501197309304514"</f>
        <v>372501197309304514</v>
      </c>
      <c r="D11441" t="s">
        <v>11663</v>
      </c>
      <c r="E11441" t="s">
        <v>11664</v>
      </c>
      <c r="F11441" t="s">
        <v>0</v>
      </c>
      <c r="G11441" t="str">
        <f>"2018-10-14 09:19:40"</f>
        <v>2018-10-14 09:19:40</v>
      </c>
    </row>
    <row r="11442" spans="1:7" x14ac:dyDescent="0.2">
      <c r="A11442" t="s">
        <v>11665</v>
      </c>
      <c r="B11442" t="str">
        <f>"18713779621"</f>
        <v>18713779621</v>
      </c>
      <c r="C11442" t="str">
        <f>"130981198707246614"</f>
        <v>130981198707246614</v>
      </c>
      <c r="D11442" t="s">
        <v>1</v>
      </c>
      <c r="E11442" t="s">
        <v>1</v>
      </c>
      <c r="F11442" t="s">
        <v>0</v>
      </c>
      <c r="G11442" t="str">
        <f>"2018-10-14 09:02:24"</f>
        <v>2018-10-14 09:02:24</v>
      </c>
    </row>
    <row r="11443" spans="1:7" x14ac:dyDescent="0.2">
      <c r="A11443" t="s">
        <v>11666</v>
      </c>
      <c r="B11443" t="str">
        <f>"15152731826"</f>
        <v>15152731826</v>
      </c>
      <c r="C11443" t="str">
        <f>"320826198702070432"</f>
        <v>320826198702070432</v>
      </c>
      <c r="D11443" t="s">
        <v>1</v>
      </c>
      <c r="E11443" t="s">
        <v>1</v>
      </c>
      <c r="F11443" t="s">
        <v>0</v>
      </c>
      <c r="G11443" t="str">
        <f>"2018-10-14 09:02:53"</f>
        <v>2018-10-14 09:02:53</v>
      </c>
    </row>
    <row r="11444" spans="1:7" x14ac:dyDescent="0.2">
      <c r="A11444" t="s">
        <v>11667</v>
      </c>
      <c r="B11444" t="str">
        <f>"13624309778"</f>
        <v>13624309778</v>
      </c>
      <c r="C11444" t="str">
        <f>"220123196504155574"</f>
        <v>220123196504155574</v>
      </c>
      <c r="D11444" t="s">
        <v>1</v>
      </c>
      <c r="E11444" t="s">
        <v>1</v>
      </c>
      <c r="F11444" t="s">
        <v>0</v>
      </c>
      <c r="G11444" t="str">
        <f>"2018-10-14 09:00:19"</f>
        <v>2018-10-14 09:00:19</v>
      </c>
    </row>
    <row r="11445" spans="1:7" x14ac:dyDescent="0.2">
      <c r="A11445" t="s">
        <v>11668</v>
      </c>
      <c r="B11445" t="str">
        <f>"18078426702"</f>
        <v>18078426702</v>
      </c>
      <c r="C11445" t="str">
        <f>"450325198809210330"</f>
        <v>450325198809210330</v>
      </c>
      <c r="D11445" t="s">
        <v>11669</v>
      </c>
      <c r="E11445" t="s">
        <v>11670</v>
      </c>
      <c r="F11445" t="s">
        <v>0</v>
      </c>
      <c r="G11445" t="str">
        <f>"2018-10-14 08:56:31"</f>
        <v>2018-10-14 08:56:31</v>
      </c>
    </row>
    <row r="11446" spans="1:7" x14ac:dyDescent="0.2">
      <c r="A11446" t="s">
        <v>10705</v>
      </c>
      <c r="B11446" t="str">
        <f>"15812005172"</f>
        <v>15812005172</v>
      </c>
      <c r="C11446" t="str">
        <f>"530326199311274928"</f>
        <v>530326199311274928</v>
      </c>
      <c r="D11446" t="s">
        <v>1</v>
      </c>
      <c r="E11446" t="s">
        <v>1</v>
      </c>
      <c r="F11446" t="s">
        <v>0</v>
      </c>
      <c r="G11446" t="str">
        <f>"2018-10-21 11:23:57"</f>
        <v>2018-10-21 11:23:57</v>
      </c>
    </row>
    <row r="11447" spans="1:7" x14ac:dyDescent="0.2">
      <c r="A11447" t="s">
        <v>11671</v>
      </c>
      <c r="B11447" t="str">
        <f>"13670860874"</f>
        <v>13670860874</v>
      </c>
      <c r="C11447" t="str">
        <f>"441424198708250075"</f>
        <v>441424198708250075</v>
      </c>
      <c r="D11447" t="s">
        <v>1</v>
      </c>
      <c r="E11447" t="s">
        <v>1</v>
      </c>
      <c r="F11447" t="s">
        <v>0</v>
      </c>
      <c r="G11447" t="str">
        <f>"2018-10-14 08:58:27"</f>
        <v>2018-10-14 08:58:27</v>
      </c>
    </row>
    <row r="11448" spans="1:7" x14ac:dyDescent="0.2">
      <c r="A11448" t="s">
        <v>1</v>
      </c>
      <c r="B11448" t="str">
        <f>"13666692335"</f>
        <v>13666692335</v>
      </c>
      <c r="C11448" t="s">
        <v>1</v>
      </c>
      <c r="D11448" t="s">
        <v>1</v>
      </c>
      <c r="E11448" t="s">
        <v>1</v>
      </c>
      <c r="F11448" t="s">
        <v>0</v>
      </c>
      <c r="G11448" t="str">
        <f>"2018-10-14 08:50:25"</f>
        <v>2018-10-14 08:50:25</v>
      </c>
    </row>
    <row r="11449" spans="1:7" x14ac:dyDescent="0.2">
      <c r="A11449" t="s">
        <v>11672</v>
      </c>
      <c r="B11449" t="str">
        <f>"18322930900"</f>
        <v>18322930900</v>
      </c>
      <c r="C11449" t="str">
        <f>"362201199505305216"</f>
        <v>362201199505305216</v>
      </c>
      <c r="D11449" t="s">
        <v>1</v>
      </c>
      <c r="E11449" t="s">
        <v>1</v>
      </c>
      <c r="F11449" t="s">
        <v>0</v>
      </c>
      <c r="G11449" t="str">
        <f>"2018-10-14 08:44:37"</f>
        <v>2018-10-14 08:44:37</v>
      </c>
    </row>
    <row r="11450" spans="1:7" x14ac:dyDescent="0.2">
      <c r="A11450" t="s">
        <v>11673</v>
      </c>
      <c r="B11450" t="str">
        <f>"15843626959"</f>
        <v>15843626959</v>
      </c>
      <c r="C11450" t="str">
        <f>"220821198306230312"</f>
        <v>220821198306230312</v>
      </c>
      <c r="D11450" t="s">
        <v>1</v>
      </c>
      <c r="E11450" t="s">
        <v>1</v>
      </c>
      <c r="F11450" t="s">
        <v>0</v>
      </c>
      <c r="G11450" t="str">
        <f>"2018-10-14 09:07:03"</f>
        <v>2018-10-14 09:07:03</v>
      </c>
    </row>
    <row r="11451" spans="1:7" x14ac:dyDescent="0.2">
      <c r="A11451" t="s">
        <v>11674</v>
      </c>
      <c r="B11451" t="str">
        <f>"15256327446"</f>
        <v>15256327446</v>
      </c>
      <c r="C11451" t="str">
        <f>"342529198411164453"</f>
        <v>342529198411164453</v>
      </c>
      <c r="D11451" t="s">
        <v>1</v>
      </c>
      <c r="E11451" t="s">
        <v>1</v>
      </c>
      <c r="F11451" t="s">
        <v>0</v>
      </c>
      <c r="G11451" t="str">
        <f>"2018-10-22 13:06:57"</f>
        <v>2018-10-22 13:06:57</v>
      </c>
    </row>
    <row r="11452" spans="1:7" x14ac:dyDescent="0.2">
      <c r="A11452" t="s">
        <v>11675</v>
      </c>
      <c r="B11452" t="str">
        <f>"15533709546"</f>
        <v>15533709546</v>
      </c>
      <c r="C11452" t="str">
        <f>"130982198708219016"</f>
        <v>130982198708219016</v>
      </c>
      <c r="D11452" t="s">
        <v>1</v>
      </c>
      <c r="E11452" t="s">
        <v>1</v>
      </c>
      <c r="F11452" t="s">
        <v>0</v>
      </c>
      <c r="G11452" t="str">
        <f>"2018-10-14 08:46:09"</f>
        <v>2018-10-14 08:46:09</v>
      </c>
    </row>
    <row r="11453" spans="1:7" x14ac:dyDescent="0.2">
      <c r="A11453" t="s">
        <v>11676</v>
      </c>
      <c r="B11453" t="str">
        <f>"13566662930"</f>
        <v>13566662930</v>
      </c>
      <c r="C11453" t="str">
        <f>"331081198810123558"</f>
        <v>331081198810123558</v>
      </c>
      <c r="D11453" t="s">
        <v>1</v>
      </c>
      <c r="E11453" t="s">
        <v>1</v>
      </c>
      <c r="F11453" t="s">
        <v>0</v>
      </c>
      <c r="G11453" t="str">
        <f>"2018-10-14 08:44:36"</f>
        <v>2018-10-14 08:44:36</v>
      </c>
    </row>
    <row r="11454" spans="1:7" x14ac:dyDescent="0.2">
      <c r="A11454" t="s">
        <v>11677</v>
      </c>
      <c r="B11454" t="str">
        <f>"15775857912"</f>
        <v>15775857912</v>
      </c>
      <c r="C11454" t="str">
        <f>"511381199902019138"</f>
        <v>511381199902019138</v>
      </c>
      <c r="D11454" t="s">
        <v>1</v>
      </c>
      <c r="E11454" t="s">
        <v>1</v>
      </c>
      <c r="F11454" t="s">
        <v>0</v>
      </c>
      <c r="G11454" t="str">
        <f>"2018-10-14 08:44:50"</f>
        <v>2018-10-14 08:44:50</v>
      </c>
    </row>
    <row r="11455" spans="1:7" x14ac:dyDescent="0.2">
      <c r="A11455" t="s">
        <v>11678</v>
      </c>
      <c r="B11455" t="str">
        <f>"13973989996"</f>
        <v>13973989996</v>
      </c>
      <c r="C11455" t="str">
        <f>"430502198310224015"</f>
        <v>430502198310224015</v>
      </c>
      <c r="D11455" t="s">
        <v>11679</v>
      </c>
      <c r="E11455" t="s">
        <v>11680</v>
      </c>
      <c r="F11455" t="s">
        <v>0</v>
      </c>
      <c r="G11455" t="str">
        <f>"2018-10-14 08:44:58"</f>
        <v>2018-10-14 08:44:58</v>
      </c>
    </row>
    <row r="11456" spans="1:7" x14ac:dyDescent="0.2">
      <c r="A11456" t="s">
        <v>1</v>
      </c>
      <c r="B11456" t="str">
        <f>"18285149305"</f>
        <v>18285149305</v>
      </c>
      <c r="C11456" t="s">
        <v>1</v>
      </c>
      <c r="D11456" t="s">
        <v>1</v>
      </c>
      <c r="E11456" t="s">
        <v>1</v>
      </c>
      <c r="F11456" t="s">
        <v>0</v>
      </c>
      <c r="G11456" t="str">
        <f>"2018-10-14 08:41:56"</f>
        <v>2018-10-14 08:41:56</v>
      </c>
    </row>
    <row r="11457" spans="1:7" x14ac:dyDescent="0.2">
      <c r="A11457" t="s">
        <v>1</v>
      </c>
      <c r="B11457" t="str">
        <f>"18343898466"</f>
        <v>18343898466</v>
      </c>
      <c r="C11457" t="s">
        <v>1</v>
      </c>
      <c r="D11457" t="s">
        <v>1</v>
      </c>
      <c r="E11457" t="s">
        <v>1</v>
      </c>
      <c r="F11457" t="s">
        <v>0</v>
      </c>
      <c r="G11457" t="str">
        <f>"2018-10-14 08:40:50"</f>
        <v>2018-10-14 08:40:50</v>
      </c>
    </row>
    <row r="11458" spans="1:7" x14ac:dyDescent="0.2">
      <c r="A11458" t="s">
        <v>1</v>
      </c>
      <c r="B11458" t="str">
        <f>"17853571822"</f>
        <v>17853571822</v>
      </c>
      <c r="C11458" t="s">
        <v>1</v>
      </c>
      <c r="D11458" t="s">
        <v>1</v>
      </c>
      <c r="E11458" t="s">
        <v>1</v>
      </c>
      <c r="F11458" t="s">
        <v>0</v>
      </c>
      <c r="G11458" t="str">
        <f>"2018-10-31 10:58:24"</f>
        <v>2018-10-31 10:58:24</v>
      </c>
    </row>
    <row r="11459" spans="1:7" x14ac:dyDescent="0.2">
      <c r="A11459" t="s">
        <v>1</v>
      </c>
      <c r="B11459" t="str">
        <f>"15739895173"</f>
        <v>15739895173</v>
      </c>
      <c r="C11459" t="s">
        <v>1</v>
      </c>
      <c r="D11459" t="s">
        <v>1</v>
      </c>
      <c r="E11459" t="s">
        <v>1</v>
      </c>
      <c r="F11459" t="s">
        <v>0</v>
      </c>
      <c r="G11459" t="str">
        <f>"2018-10-14 08:36:31"</f>
        <v>2018-10-14 08:36:31</v>
      </c>
    </row>
    <row r="11460" spans="1:7" x14ac:dyDescent="0.2">
      <c r="A11460" t="s">
        <v>1</v>
      </c>
      <c r="B11460" t="str">
        <f>"13798882717"</f>
        <v>13798882717</v>
      </c>
      <c r="C11460" t="s">
        <v>1</v>
      </c>
      <c r="D11460" t="s">
        <v>1</v>
      </c>
      <c r="E11460" t="s">
        <v>1</v>
      </c>
      <c r="F11460" t="s">
        <v>0</v>
      </c>
      <c r="G11460" t="str">
        <f>"2018-10-14 08:38:43"</f>
        <v>2018-10-14 08:38:43</v>
      </c>
    </row>
    <row r="11461" spans="1:7" x14ac:dyDescent="0.2">
      <c r="A11461" t="s">
        <v>11681</v>
      </c>
      <c r="B11461" t="str">
        <f>"18531943201"</f>
        <v>18531943201</v>
      </c>
      <c r="C11461" t="str">
        <f>"130521200112056290"</f>
        <v>130521200112056290</v>
      </c>
      <c r="D11461" t="s">
        <v>11682</v>
      </c>
      <c r="E11461" t="s">
        <v>11683</v>
      </c>
      <c r="F11461" t="s">
        <v>0</v>
      </c>
      <c r="G11461" t="str">
        <f>"2018-10-14 08:35:28"</f>
        <v>2018-10-14 08:35:28</v>
      </c>
    </row>
    <row r="11462" spans="1:7" x14ac:dyDescent="0.2">
      <c r="A11462" t="s">
        <v>456</v>
      </c>
      <c r="B11462" t="str">
        <f>"18708777714"</f>
        <v>18708777714</v>
      </c>
      <c r="C11462" t="str">
        <f>"530427199003060022"</f>
        <v>530427199003060022</v>
      </c>
      <c r="D11462" t="s">
        <v>1</v>
      </c>
      <c r="E11462" t="s">
        <v>1</v>
      </c>
      <c r="F11462" t="s">
        <v>0</v>
      </c>
      <c r="G11462" t="str">
        <f>"2018-10-14 08:54:38"</f>
        <v>2018-10-14 08:54:38</v>
      </c>
    </row>
    <row r="11463" spans="1:7" x14ac:dyDescent="0.2">
      <c r="A11463" t="s">
        <v>11684</v>
      </c>
      <c r="B11463" t="str">
        <f>"18741351015"</f>
        <v>18741351015</v>
      </c>
      <c r="C11463" t="str">
        <f>"210402198207232942"</f>
        <v>210402198207232942</v>
      </c>
      <c r="D11463" t="s">
        <v>1</v>
      </c>
      <c r="E11463" t="s">
        <v>1</v>
      </c>
      <c r="F11463" t="s">
        <v>0</v>
      </c>
      <c r="G11463" t="str">
        <f>"2018-10-18 16:50:42"</f>
        <v>2018-10-18 16:50:42</v>
      </c>
    </row>
    <row r="11464" spans="1:7" x14ac:dyDescent="0.2">
      <c r="A11464" t="s">
        <v>11685</v>
      </c>
      <c r="B11464" t="str">
        <f>"18739915557"</f>
        <v>18739915557</v>
      </c>
      <c r="C11464" t="str">
        <f>"410926199201051251"</f>
        <v>410926199201051251</v>
      </c>
      <c r="D11464" t="s">
        <v>1</v>
      </c>
      <c r="E11464" t="s">
        <v>1</v>
      </c>
      <c r="F11464" t="s">
        <v>0</v>
      </c>
      <c r="G11464" t="str">
        <f>"2018-10-14 11:29:36"</f>
        <v>2018-10-14 11:29:36</v>
      </c>
    </row>
    <row r="11465" spans="1:7" x14ac:dyDescent="0.2">
      <c r="A11465" t="s">
        <v>11686</v>
      </c>
      <c r="B11465" t="str">
        <f>"18391737089"</f>
        <v>18391737089</v>
      </c>
      <c r="C11465" t="str">
        <f>"61032219830617421X"</f>
        <v>61032219830617421X</v>
      </c>
      <c r="D11465" t="s">
        <v>1</v>
      </c>
      <c r="E11465" t="s">
        <v>1</v>
      </c>
      <c r="F11465" t="s">
        <v>0</v>
      </c>
      <c r="G11465" t="str">
        <f>"2018-10-14 13:42:32"</f>
        <v>2018-10-14 13:42:32</v>
      </c>
    </row>
    <row r="11466" spans="1:7" x14ac:dyDescent="0.2">
      <c r="A11466" t="s">
        <v>11687</v>
      </c>
      <c r="B11466" t="str">
        <f>"13365564618"</f>
        <v>13365564618</v>
      </c>
      <c r="C11466" t="str">
        <f>"340827199602205226"</f>
        <v>340827199602205226</v>
      </c>
      <c r="D11466" t="s">
        <v>1</v>
      </c>
      <c r="E11466" t="s">
        <v>1</v>
      </c>
      <c r="F11466" t="s">
        <v>0</v>
      </c>
      <c r="G11466" t="str">
        <f>"2018-10-14 08:26:59"</f>
        <v>2018-10-14 08:26:59</v>
      </c>
    </row>
    <row r="11467" spans="1:7" x14ac:dyDescent="0.2">
      <c r="A11467" t="s">
        <v>11688</v>
      </c>
      <c r="B11467" t="str">
        <f>"15986921406"</f>
        <v>15986921406</v>
      </c>
      <c r="C11467" t="str">
        <f>"441283199211262031"</f>
        <v>441283199211262031</v>
      </c>
      <c r="D11467" t="s">
        <v>1</v>
      </c>
      <c r="E11467" t="s">
        <v>1</v>
      </c>
      <c r="F11467" t="s">
        <v>0</v>
      </c>
      <c r="G11467" t="str">
        <f>"2018-10-31 16:11:15"</f>
        <v>2018-10-31 16:11:15</v>
      </c>
    </row>
    <row r="11468" spans="1:7" x14ac:dyDescent="0.2">
      <c r="A11468" t="s">
        <v>1</v>
      </c>
      <c r="B11468" t="str">
        <f>"13119161449"</f>
        <v>13119161449</v>
      </c>
      <c r="C11468" t="s">
        <v>1</v>
      </c>
      <c r="D11468" t="s">
        <v>1</v>
      </c>
      <c r="E11468" t="s">
        <v>1</v>
      </c>
      <c r="F11468" t="s">
        <v>0</v>
      </c>
      <c r="G11468" t="str">
        <f>"2018-10-14 08:20:14"</f>
        <v>2018-10-14 08:20:14</v>
      </c>
    </row>
    <row r="11469" spans="1:7" x14ac:dyDescent="0.2">
      <c r="A11469" t="s">
        <v>11689</v>
      </c>
      <c r="B11469" t="str">
        <f>"15017393955"</f>
        <v>15017393955</v>
      </c>
      <c r="C11469" t="str">
        <f>"440804199008231199"</f>
        <v>440804199008231199</v>
      </c>
      <c r="D11469" t="s">
        <v>1</v>
      </c>
      <c r="E11469" t="s">
        <v>1</v>
      </c>
      <c r="F11469" t="s">
        <v>0</v>
      </c>
      <c r="G11469" t="str">
        <f>"2018-10-14 12:13:02"</f>
        <v>2018-10-14 12:13:02</v>
      </c>
    </row>
    <row r="11470" spans="1:7" x14ac:dyDescent="0.2">
      <c r="A11470" t="s">
        <v>11690</v>
      </c>
      <c r="B11470" t="str">
        <f>"13586065520"</f>
        <v>13586065520</v>
      </c>
      <c r="C11470" t="str">
        <f>"331004198309151819"</f>
        <v>331004198309151819</v>
      </c>
      <c r="D11470" t="s">
        <v>1</v>
      </c>
      <c r="E11470" t="s">
        <v>1</v>
      </c>
      <c r="F11470" t="s">
        <v>0</v>
      </c>
      <c r="G11470" t="str">
        <f>"2018-10-20 14:05:41"</f>
        <v>2018-10-20 14:05:41</v>
      </c>
    </row>
    <row r="11471" spans="1:7" x14ac:dyDescent="0.2">
      <c r="A11471" t="s">
        <v>769</v>
      </c>
      <c r="B11471" t="str">
        <f>"18352942056"</f>
        <v>18352942056</v>
      </c>
      <c r="C11471" t="str">
        <f>"410221199207106516"</f>
        <v>410221199207106516</v>
      </c>
      <c r="D11471" t="s">
        <v>11691</v>
      </c>
      <c r="E11471" t="s">
        <v>11692</v>
      </c>
      <c r="F11471" t="s">
        <v>0</v>
      </c>
      <c r="G11471" t="str">
        <f>"2018-10-14 08:17:30"</f>
        <v>2018-10-14 08:17:30</v>
      </c>
    </row>
    <row r="11472" spans="1:7" x14ac:dyDescent="0.2">
      <c r="A11472" t="s">
        <v>1</v>
      </c>
      <c r="B11472" t="str">
        <f>"17625337149"</f>
        <v>17625337149</v>
      </c>
      <c r="C11472" t="s">
        <v>1</v>
      </c>
      <c r="D11472" t="s">
        <v>1</v>
      </c>
      <c r="E11472" t="s">
        <v>1</v>
      </c>
      <c r="F11472" t="s">
        <v>0</v>
      </c>
      <c r="G11472" t="str">
        <f>"2018-10-14 08:13:23"</f>
        <v>2018-10-14 08:13:23</v>
      </c>
    </row>
    <row r="11473" spans="1:7" x14ac:dyDescent="0.2">
      <c r="A11473" t="s">
        <v>11693</v>
      </c>
      <c r="B11473" t="str">
        <f>"13013753905"</f>
        <v>13013753905</v>
      </c>
      <c r="C11473" t="str">
        <f>"14273019870215035X"</f>
        <v>14273019870215035X</v>
      </c>
      <c r="D11473" t="s">
        <v>1</v>
      </c>
      <c r="E11473" t="s">
        <v>1</v>
      </c>
      <c r="F11473" t="s">
        <v>0</v>
      </c>
      <c r="G11473" t="str">
        <f>"2018-10-14 08:14:39"</f>
        <v>2018-10-14 08:14:39</v>
      </c>
    </row>
    <row r="11474" spans="1:7" x14ac:dyDescent="0.2">
      <c r="A11474" t="s">
        <v>1</v>
      </c>
      <c r="B11474" t="str">
        <f>"13620901275"</f>
        <v>13620901275</v>
      </c>
      <c r="C11474" t="s">
        <v>1</v>
      </c>
      <c r="D11474" t="s">
        <v>1</v>
      </c>
      <c r="E11474" t="s">
        <v>1</v>
      </c>
      <c r="F11474" t="s">
        <v>0</v>
      </c>
      <c r="G11474" t="str">
        <f>"2018-10-14 08:13:03"</f>
        <v>2018-10-14 08:13:03</v>
      </c>
    </row>
    <row r="11475" spans="1:7" x14ac:dyDescent="0.2">
      <c r="A11475" t="s">
        <v>1</v>
      </c>
      <c r="B11475" t="str">
        <f>"13087953063"</f>
        <v>13087953063</v>
      </c>
      <c r="C11475" t="s">
        <v>1</v>
      </c>
      <c r="D11475" t="s">
        <v>1</v>
      </c>
      <c r="E11475" t="s">
        <v>1</v>
      </c>
      <c r="F11475" t="s">
        <v>0</v>
      </c>
      <c r="G11475" t="str">
        <f>"2018-10-14 08:10:30"</f>
        <v>2018-10-14 08:10:30</v>
      </c>
    </row>
    <row r="11476" spans="1:7" x14ac:dyDescent="0.2">
      <c r="A11476" t="s">
        <v>11694</v>
      </c>
      <c r="B11476" t="str">
        <f>"18360926314"</f>
        <v>18360926314</v>
      </c>
      <c r="C11476" t="str">
        <f>"320821199802212920"</f>
        <v>320821199802212920</v>
      </c>
      <c r="D11476" t="s">
        <v>1</v>
      </c>
      <c r="E11476" t="s">
        <v>1</v>
      </c>
      <c r="F11476" t="s">
        <v>0</v>
      </c>
      <c r="G11476" t="str">
        <f>"2018-11-03 10:02:06"</f>
        <v>2018-11-03 10:02:06</v>
      </c>
    </row>
    <row r="11477" spans="1:7" x14ac:dyDescent="0.2">
      <c r="A11477" t="s">
        <v>11695</v>
      </c>
      <c r="B11477" t="str">
        <f>"18730203337"</f>
        <v>18730203337</v>
      </c>
      <c r="C11477" t="str">
        <f>"220282198204035065"</f>
        <v>220282198204035065</v>
      </c>
      <c r="D11477" t="s">
        <v>11696</v>
      </c>
      <c r="E11477" t="s">
        <v>11697</v>
      </c>
      <c r="F11477" t="s">
        <v>0</v>
      </c>
      <c r="G11477" t="str">
        <f>"2018-10-14 08:03:49"</f>
        <v>2018-10-14 08:03:49</v>
      </c>
    </row>
    <row r="11478" spans="1:7" x14ac:dyDescent="0.2">
      <c r="A11478" t="s">
        <v>1</v>
      </c>
      <c r="B11478" t="str">
        <f>"18729620211"</f>
        <v>18729620211</v>
      </c>
      <c r="C11478" t="s">
        <v>1</v>
      </c>
      <c r="D11478" t="s">
        <v>1</v>
      </c>
      <c r="E11478" t="s">
        <v>1</v>
      </c>
      <c r="F11478" t="s">
        <v>0</v>
      </c>
      <c r="G11478" t="str">
        <f>"2018-10-14 08:00:15"</f>
        <v>2018-10-14 08:00:15</v>
      </c>
    </row>
    <row r="11479" spans="1:7" x14ac:dyDescent="0.2">
      <c r="A11479" t="s">
        <v>11698</v>
      </c>
      <c r="B11479" t="str">
        <f>"13512953774"</f>
        <v>13512953774</v>
      </c>
      <c r="C11479" t="str">
        <f>"120223199006042716"</f>
        <v>120223199006042716</v>
      </c>
      <c r="D11479" t="s">
        <v>11699</v>
      </c>
      <c r="E11479" t="s">
        <v>11700</v>
      </c>
      <c r="F11479" t="s">
        <v>0</v>
      </c>
      <c r="G11479" t="str">
        <f>"2018-10-14 08:03:53"</f>
        <v>2018-10-14 08:03:53</v>
      </c>
    </row>
    <row r="11480" spans="1:7" x14ac:dyDescent="0.2">
      <c r="A11480" t="s">
        <v>11701</v>
      </c>
      <c r="B11480" t="str">
        <f>"18234893031"</f>
        <v>18234893031</v>
      </c>
      <c r="C11480" t="str">
        <f>"142324197107200531"</f>
        <v>142324197107200531</v>
      </c>
      <c r="D11480" t="s">
        <v>1</v>
      </c>
      <c r="E11480" t="s">
        <v>1</v>
      </c>
      <c r="F11480" t="s">
        <v>0</v>
      </c>
      <c r="G11480" t="str">
        <f>"2018-10-14 07:53:11"</f>
        <v>2018-10-14 07:53:11</v>
      </c>
    </row>
    <row r="11481" spans="1:7" x14ac:dyDescent="0.2">
      <c r="A11481" t="s">
        <v>11702</v>
      </c>
      <c r="B11481" t="str">
        <f>"18759750986"</f>
        <v>18759750986</v>
      </c>
      <c r="C11481" t="str">
        <f>"350627199006112040"</f>
        <v>350627199006112040</v>
      </c>
      <c r="D11481" t="s">
        <v>1</v>
      </c>
      <c r="E11481" t="s">
        <v>1</v>
      </c>
      <c r="F11481" t="s">
        <v>0</v>
      </c>
      <c r="G11481" t="str">
        <f>"2018-10-14 07:52:06"</f>
        <v>2018-10-14 07:52:06</v>
      </c>
    </row>
    <row r="11482" spans="1:7" x14ac:dyDescent="0.2">
      <c r="A11482" t="s">
        <v>11703</v>
      </c>
      <c r="B11482" t="str">
        <f>"13563571033"</f>
        <v>13563571033</v>
      </c>
      <c r="C11482" t="str">
        <f>"371581199010051153"</f>
        <v>371581199010051153</v>
      </c>
      <c r="D11482" t="s">
        <v>11704</v>
      </c>
      <c r="E11482" t="s">
        <v>11705</v>
      </c>
      <c r="F11482" t="s">
        <v>0</v>
      </c>
      <c r="G11482" t="str">
        <f>"2018-10-14 07:57:15"</f>
        <v>2018-10-14 07:57:15</v>
      </c>
    </row>
    <row r="11483" spans="1:7" x14ac:dyDescent="0.2">
      <c r="A11483" t="s">
        <v>234</v>
      </c>
      <c r="B11483" t="str">
        <f>"15832121379"</f>
        <v>15832121379</v>
      </c>
      <c r="C11483" t="str">
        <f>"130182199603022445"</f>
        <v>130182199603022445</v>
      </c>
      <c r="D11483" t="s">
        <v>11706</v>
      </c>
      <c r="E11483" t="s">
        <v>11707</v>
      </c>
      <c r="F11483" t="s">
        <v>0</v>
      </c>
      <c r="G11483" t="str">
        <f>"2018-10-14 07:46:39"</f>
        <v>2018-10-14 07:46:39</v>
      </c>
    </row>
    <row r="11484" spans="1:7" x14ac:dyDescent="0.2">
      <c r="A11484" t="s">
        <v>11708</v>
      </c>
      <c r="B11484" t="str">
        <f>"15812026683"</f>
        <v>15812026683</v>
      </c>
      <c r="C11484" t="str">
        <f>"530102198804023311"</f>
        <v>530102198804023311</v>
      </c>
      <c r="D11484" t="s">
        <v>1</v>
      </c>
      <c r="E11484" t="s">
        <v>1</v>
      </c>
      <c r="F11484" t="s">
        <v>0</v>
      </c>
      <c r="G11484" t="str">
        <f>"2018-10-14 16:00:07"</f>
        <v>2018-10-14 16:00:07</v>
      </c>
    </row>
    <row r="11485" spans="1:7" x14ac:dyDescent="0.2">
      <c r="A11485" t="s">
        <v>11709</v>
      </c>
      <c r="B11485" t="str">
        <f>"18814868989"</f>
        <v>18814868989</v>
      </c>
      <c r="C11485" t="str">
        <f>"110108197603032276"</f>
        <v>110108197603032276</v>
      </c>
      <c r="D11485" t="s">
        <v>11710</v>
      </c>
      <c r="E11485" t="s">
        <v>11711</v>
      </c>
      <c r="F11485" t="s">
        <v>0</v>
      </c>
      <c r="G11485" t="str">
        <f>"2018-10-30 10:14:25"</f>
        <v>2018-10-30 10:14:25</v>
      </c>
    </row>
    <row r="11486" spans="1:7" x14ac:dyDescent="0.2">
      <c r="A11486" t="s">
        <v>11712</v>
      </c>
      <c r="B11486" t="str">
        <f>"18352948411"</f>
        <v>18352948411</v>
      </c>
      <c r="C11486" t="str">
        <f>"341226198905041019"</f>
        <v>341226198905041019</v>
      </c>
      <c r="D11486" t="s">
        <v>1</v>
      </c>
      <c r="E11486" t="s">
        <v>1</v>
      </c>
      <c r="F11486" t="s">
        <v>0</v>
      </c>
      <c r="G11486" t="str">
        <f>"2018-10-14 07:39:41"</f>
        <v>2018-10-14 07:39:41</v>
      </c>
    </row>
    <row r="11487" spans="1:7" x14ac:dyDescent="0.2">
      <c r="A11487" t="s">
        <v>11713</v>
      </c>
      <c r="B11487" t="str">
        <f>"15125261157"</f>
        <v>15125261157</v>
      </c>
      <c r="C11487" t="str">
        <f>"340822199404204351"</f>
        <v>340822199404204351</v>
      </c>
      <c r="D11487" t="s">
        <v>1</v>
      </c>
      <c r="E11487" t="s">
        <v>1</v>
      </c>
      <c r="F11487" t="s">
        <v>0</v>
      </c>
      <c r="G11487" t="str">
        <f>"2018-10-14 07:49:28"</f>
        <v>2018-10-14 07:49:28</v>
      </c>
    </row>
    <row r="11488" spans="1:7" x14ac:dyDescent="0.2">
      <c r="A11488" t="s">
        <v>146</v>
      </c>
      <c r="B11488" t="str">
        <f>"15298232167"</f>
        <v>15298232167</v>
      </c>
      <c r="C11488" t="str">
        <f>"511324199407015298"</f>
        <v>511324199407015298</v>
      </c>
      <c r="D11488" t="s">
        <v>1</v>
      </c>
      <c r="E11488" t="s">
        <v>1</v>
      </c>
      <c r="F11488" t="s">
        <v>0</v>
      </c>
      <c r="G11488" t="str">
        <f>"2018-10-14 11:08:44"</f>
        <v>2018-10-14 11:08:44</v>
      </c>
    </row>
    <row r="11489" spans="1:7" x14ac:dyDescent="0.2">
      <c r="A11489" t="s">
        <v>11714</v>
      </c>
      <c r="B11489" t="str">
        <f>"15898603387"</f>
        <v>15898603387</v>
      </c>
      <c r="C11489" t="str">
        <f>"370828198501085621"</f>
        <v>370828198501085621</v>
      </c>
      <c r="D11489" t="s">
        <v>1</v>
      </c>
      <c r="E11489" t="s">
        <v>1</v>
      </c>
      <c r="F11489" t="s">
        <v>0</v>
      </c>
      <c r="G11489" t="str">
        <f>"2018-10-14 07:32:16"</f>
        <v>2018-10-14 07:32:16</v>
      </c>
    </row>
    <row r="11490" spans="1:7" x14ac:dyDescent="0.2">
      <c r="A11490" t="s">
        <v>536</v>
      </c>
      <c r="B11490" t="str">
        <f>"13984106061"</f>
        <v>13984106061</v>
      </c>
      <c r="C11490" t="str">
        <f>"522401198606016452"</f>
        <v>522401198606016452</v>
      </c>
      <c r="D11490" t="s">
        <v>1</v>
      </c>
      <c r="E11490" t="s">
        <v>1</v>
      </c>
      <c r="F11490" t="s">
        <v>0</v>
      </c>
      <c r="G11490" t="str">
        <f>"2018-10-14 07:31:09"</f>
        <v>2018-10-14 07:31:09</v>
      </c>
    </row>
    <row r="11491" spans="1:7" x14ac:dyDescent="0.2">
      <c r="A11491" t="s">
        <v>11715</v>
      </c>
      <c r="B11491" t="str">
        <f>"18683104888"</f>
        <v>18683104888</v>
      </c>
      <c r="C11491" t="str">
        <f>"511522198302225110"</f>
        <v>511522198302225110</v>
      </c>
      <c r="D11491" t="s">
        <v>1</v>
      </c>
      <c r="E11491" t="s">
        <v>1</v>
      </c>
      <c r="F11491" t="s">
        <v>0</v>
      </c>
      <c r="G11491" t="str">
        <f>"2018-10-14 08:30:02"</f>
        <v>2018-10-14 08:30:02</v>
      </c>
    </row>
    <row r="11492" spans="1:7" x14ac:dyDescent="0.2">
      <c r="A11492" t="s">
        <v>11716</v>
      </c>
      <c r="B11492" t="str">
        <f>"15169075163"</f>
        <v>15169075163</v>
      </c>
      <c r="C11492" t="str">
        <f>"370111196910141028"</f>
        <v>370111196910141028</v>
      </c>
      <c r="D11492" t="s">
        <v>1</v>
      </c>
      <c r="E11492" t="s">
        <v>1</v>
      </c>
      <c r="F11492" t="s">
        <v>0</v>
      </c>
      <c r="G11492" t="str">
        <f>"2018-10-14 07:23:19"</f>
        <v>2018-10-14 07:23:19</v>
      </c>
    </row>
    <row r="11493" spans="1:7" x14ac:dyDescent="0.2">
      <c r="A11493" t="s">
        <v>11717</v>
      </c>
      <c r="B11493" t="str">
        <f>"15940622337"</f>
        <v>15940622337</v>
      </c>
      <c r="C11493" t="str">
        <f>"210521199303214380"</f>
        <v>210521199303214380</v>
      </c>
      <c r="D11493" t="s">
        <v>1</v>
      </c>
      <c r="E11493" t="s">
        <v>1</v>
      </c>
      <c r="F11493" t="s">
        <v>0</v>
      </c>
      <c r="G11493" t="str">
        <f>"2018-10-14 07:21:31"</f>
        <v>2018-10-14 07:21:31</v>
      </c>
    </row>
    <row r="11494" spans="1:7" x14ac:dyDescent="0.2">
      <c r="A11494" t="s">
        <v>11718</v>
      </c>
      <c r="B11494" t="str">
        <f>"15952526638"</f>
        <v>15952526638</v>
      </c>
      <c r="C11494" t="str">
        <f>"321023199012106410"</f>
        <v>321023199012106410</v>
      </c>
      <c r="D11494" t="s">
        <v>1</v>
      </c>
      <c r="E11494" t="s">
        <v>1</v>
      </c>
      <c r="F11494" t="s">
        <v>0</v>
      </c>
      <c r="G11494" t="str">
        <f>"2018-10-14 07:19:16"</f>
        <v>2018-10-14 07:19:16</v>
      </c>
    </row>
    <row r="11495" spans="1:7" x14ac:dyDescent="0.2">
      <c r="A11495" t="s">
        <v>1087</v>
      </c>
      <c r="B11495" t="str">
        <f>"15927999545"</f>
        <v>15927999545</v>
      </c>
      <c r="C11495" t="str">
        <f>"421083199704250413"</f>
        <v>421083199704250413</v>
      </c>
      <c r="D11495" t="s">
        <v>11719</v>
      </c>
      <c r="E11495" t="s">
        <v>11720</v>
      </c>
      <c r="F11495" t="s">
        <v>0</v>
      </c>
      <c r="G11495" t="str">
        <f>"2018-10-14 13:14:17"</f>
        <v>2018-10-14 13:14:17</v>
      </c>
    </row>
    <row r="11496" spans="1:7" x14ac:dyDescent="0.2">
      <c r="A11496" t="s">
        <v>11721</v>
      </c>
      <c r="B11496" t="str">
        <f>"13600386285"</f>
        <v>13600386285</v>
      </c>
      <c r="C11496" t="str">
        <f>"440711198106034272"</f>
        <v>440711198106034272</v>
      </c>
      <c r="D11496" t="s">
        <v>11722</v>
      </c>
      <c r="E11496" t="s">
        <v>11723</v>
      </c>
      <c r="F11496" t="s">
        <v>0</v>
      </c>
      <c r="G11496" t="str">
        <f>"2018-10-14 07:13:07"</f>
        <v>2018-10-14 07:13:07</v>
      </c>
    </row>
    <row r="11497" spans="1:7" x14ac:dyDescent="0.2">
      <c r="A11497" t="s">
        <v>1</v>
      </c>
      <c r="B11497" t="str">
        <f>"13501635211"</f>
        <v>13501635211</v>
      </c>
      <c r="C11497" t="s">
        <v>1</v>
      </c>
      <c r="D11497" t="s">
        <v>1</v>
      </c>
      <c r="E11497" t="s">
        <v>1</v>
      </c>
      <c r="F11497" t="s">
        <v>0</v>
      </c>
      <c r="G11497" t="str">
        <f>"2018-10-14 07:04:46"</f>
        <v>2018-10-14 07:04:46</v>
      </c>
    </row>
    <row r="11498" spans="1:7" x14ac:dyDescent="0.2">
      <c r="A11498" t="s">
        <v>11724</v>
      </c>
      <c r="B11498" t="str">
        <f>"15090880545"</f>
        <v>15090880545</v>
      </c>
      <c r="C11498" t="str">
        <f>"420528198607051022"</f>
        <v>420528198607051022</v>
      </c>
      <c r="D11498" t="s">
        <v>1</v>
      </c>
      <c r="E11498" t="s">
        <v>1</v>
      </c>
      <c r="F11498" t="s">
        <v>0</v>
      </c>
      <c r="G11498" t="str">
        <f>"2018-10-14 07:01:30"</f>
        <v>2018-10-14 07:01:30</v>
      </c>
    </row>
    <row r="11499" spans="1:7" x14ac:dyDescent="0.2">
      <c r="A11499" t="s">
        <v>11725</v>
      </c>
      <c r="B11499" t="str">
        <f>"13895167199"</f>
        <v>13895167199</v>
      </c>
      <c r="C11499" t="str">
        <f>"372925199007076722"</f>
        <v>372925199007076722</v>
      </c>
      <c r="D11499" t="s">
        <v>1</v>
      </c>
      <c r="E11499" t="s">
        <v>1</v>
      </c>
      <c r="F11499" t="s">
        <v>0</v>
      </c>
      <c r="G11499" t="str">
        <f>"2018-10-14 06:54:27"</f>
        <v>2018-10-14 06:54:27</v>
      </c>
    </row>
    <row r="11500" spans="1:7" x14ac:dyDescent="0.2">
      <c r="A11500" t="s">
        <v>372</v>
      </c>
      <c r="B11500" t="str">
        <f>"13519262092"</f>
        <v>13519262092</v>
      </c>
      <c r="C11500" t="str">
        <f>"640203198908110011"</f>
        <v>640203198908110011</v>
      </c>
      <c r="D11500" t="s">
        <v>1</v>
      </c>
      <c r="E11500" t="s">
        <v>1</v>
      </c>
      <c r="F11500" t="s">
        <v>0</v>
      </c>
      <c r="G11500" t="str">
        <f>"2018-10-27 19:13:13"</f>
        <v>2018-10-27 19:13:13</v>
      </c>
    </row>
    <row r="11501" spans="1:7" x14ac:dyDescent="0.2">
      <c r="A11501" t="s">
        <v>3853</v>
      </c>
      <c r="B11501" t="str">
        <f>"15040386288"</f>
        <v>15040386288</v>
      </c>
      <c r="C11501" t="str">
        <f>"211382199412145428"</f>
        <v>211382199412145428</v>
      </c>
      <c r="D11501" t="s">
        <v>1</v>
      </c>
      <c r="E11501" t="s">
        <v>1</v>
      </c>
      <c r="F11501" t="s">
        <v>0</v>
      </c>
      <c r="G11501" t="str">
        <f>"2018-10-14 06:52:15"</f>
        <v>2018-10-14 06:52:15</v>
      </c>
    </row>
    <row r="11502" spans="1:7" x14ac:dyDescent="0.2">
      <c r="A11502" t="s">
        <v>11726</v>
      </c>
      <c r="B11502" t="str">
        <f>"15387256655"</f>
        <v>15387256655</v>
      </c>
      <c r="C11502" t="str">
        <f>"420302199006190342"</f>
        <v>420302199006190342</v>
      </c>
      <c r="D11502" t="s">
        <v>1</v>
      </c>
      <c r="E11502" t="s">
        <v>1</v>
      </c>
      <c r="F11502" t="s">
        <v>0</v>
      </c>
      <c r="G11502" t="str">
        <f>"2018-10-14 06:51:48"</f>
        <v>2018-10-14 06:51:48</v>
      </c>
    </row>
    <row r="11503" spans="1:7" x14ac:dyDescent="0.2">
      <c r="A11503" t="s">
        <v>1</v>
      </c>
      <c r="B11503" t="str">
        <f>"15136537222"</f>
        <v>15136537222</v>
      </c>
      <c r="C11503" t="s">
        <v>1</v>
      </c>
      <c r="D11503" t="s">
        <v>1</v>
      </c>
      <c r="E11503" t="s">
        <v>1</v>
      </c>
      <c r="F11503" t="s">
        <v>0</v>
      </c>
      <c r="G11503" t="str">
        <f>"2018-10-14 06:50:14"</f>
        <v>2018-10-14 06:50:14</v>
      </c>
    </row>
    <row r="11504" spans="1:7" x14ac:dyDescent="0.2">
      <c r="A11504" t="s">
        <v>1</v>
      </c>
      <c r="B11504" t="str">
        <f>"15854520860"</f>
        <v>15854520860</v>
      </c>
      <c r="C11504" t="s">
        <v>1</v>
      </c>
      <c r="D11504" t="s">
        <v>1</v>
      </c>
      <c r="E11504" t="s">
        <v>1</v>
      </c>
      <c r="F11504" t="s">
        <v>0</v>
      </c>
      <c r="G11504" t="str">
        <f>"2018-10-14 06:39:09"</f>
        <v>2018-10-14 06:39:09</v>
      </c>
    </row>
    <row r="11505" spans="1:7" x14ac:dyDescent="0.2">
      <c r="A11505" t="s">
        <v>11727</v>
      </c>
      <c r="B11505" t="str">
        <f>"15071111847"</f>
        <v>15071111847</v>
      </c>
      <c r="C11505" t="str">
        <f>"422202199401056131"</f>
        <v>422202199401056131</v>
      </c>
      <c r="D11505" t="s">
        <v>11728</v>
      </c>
      <c r="E11505" t="s">
        <v>11729</v>
      </c>
      <c r="F11505" t="s">
        <v>0</v>
      </c>
      <c r="G11505" t="str">
        <f>"2018-10-14 06:37:03"</f>
        <v>2018-10-14 06:37:03</v>
      </c>
    </row>
    <row r="11506" spans="1:7" x14ac:dyDescent="0.2">
      <c r="A11506" t="s">
        <v>256</v>
      </c>
      <c r="B11506" t="str">
        <f>"13997485111"</f>
        <v>13997485111</v>
      </c>
      <c r="C11506" t="str">
        <f>"632123197909011838"</f>
        <v>632123197909011838</v>
      </c>
      <c r="D11506" t="s">
        <v>11730</v>
      </c>
      <c r="E11506" t="s">
        <v>11731</v>
      </c>
      <c r="F11506" t="s">
        <v>0</v>
      </c>
      <c r="G11506" t="str">
        <f>"2018-10-14 07:39:19"</f>
        <v>2018-10-14 07:39:19</v>
      </c>
    </row>
    <row r="11507" spans="1:7" x14ac:dyDescent="0.2">
      <c r="A11507" t="s">
        <v>112</v>
      </c>
      <c r="B11507" t="str">
        <f>"15554708585"</f>
        <v>15554708585</v>
      </c>
      <c r="C11507" t="str">
        <f>"210402197909080520"</f>
        <v>210402197909080520</v>
      </c>
      <c r="D11507" t="s">
        <v>1</v>
      </c>
      <c r="E11507" t="s">
        <v>1</v>
      </c>
      <c r="F11507" t="s">
        <v>0</v>
      </c>
      <c r="G11507" t="str">
        <f>"2018-10-14 06:10:08"</f>
        <v>2018-10-14 06:10:08</v>
      </c>
    </row>
    <row r="11508" spans="1:7" x14ac:dyDescent="0.2">
      <c r="A11508" t="s">
        <v>1</v>
      </c>
      <c r="B11508" t="str">
        <f>"13750389261"</f>
        <v>13750389261</v>
      </c>
      <c r="C11508" t="s">
        <v>1</v>
      </c>
      <c r="D11508" t="s">
        <v>1</v>
      </c>
      <c r="E11508" t="s">
        <v>1</v>
      </c>
      <c r="F11508" t="s">
        <v>0</v>
      </c>
      <c r="G11508" t="str">
        <f>"2018-10-14 06:08:48"</f>
        <v>2018-10-14 06:08:48</v>
      </c>
    </row>
    <row r="11509" spans="1:7" x14ac:dyDescent="0.2">
      <c r="A11509" t="s">
        <v>11732</v>
      </c>
      <c r="B11509" t="str">
        <f>"13617889214"</f>
        <v>13617889214</v>
      </c>
      <c r="C11509" t="str">
        <f>"45273119940702002X"</f>
        <v>45273119940702002X</v>
      </c>
      <c r="D11509" t="s">
        <v>1</v>
      </c>
      <c r="E11509" t="s">
        <v>1</v>
      </c>
      <c r="F11509" t="s">
        <v>0</v>
      </c>
      <c r="G11509" t="str">
        <f>"2018-10-19 13:44:33"</f>
        <v>2018-10-19 13:44:33</v>
      </c>
    </row>
    <row r="11510" spans="1:7" x14ac:dyDescent="0.2">
      <c r="A11510" t="s">
        <v>291</v>
      </c>
      <c r="B11510" t="str">
        <f>"13840911180"</f>
        <v>13840911180</v>
      </c>
      <c r="C11510" t="str">
        <f>"370983197909185859"</f>
        <v>370983197909185859</v>
      </c>
      <c r="D11510" t="s">
        <v>1</v>
      </c>
      <c r="E11510" t="s">
        <v>1</v>
      </c>
      <c r="F11510" t="s">
        <v>0</v>
      </c>
      <c r="G11510" t="str">
        <f>"2018-10-14 06:08:22"</f>
        <v>2018-10-14 06:08:22</v>
      </c>
    </row>
    <row r="11511" spans="1:7" x14ac:dyDescent="0.2">
      <c r="A11511" t="s">
        <v>11733</v>
      </c>
      <c r="B11511" t="str">
        <f>"15717834749"</f>
        <v>15717834749</v>
      </c>
      <c r="C11511" t="str">
        <f>"421022199008280018"</f>
        <v>421022199008280018</v>
      </c>
      <c r="D11511" t="s">
        <v>1</v>
      </c>
      <c r="E11511" t="s">
        <v>1</v>
      </c>
      <c r="F11511" t="s">
        <v>0</v>
      </c>
      <c r="G11511" t="str">
        <f>"2018-10-14 05:56:18"</f>
        <v>2018-10-14 05:56:18</v>
      </c>
    </row>
    <row r="11512" spans="1:7" x14ac:dyDescent="0.2">
      <c r="A11512" t="s">
        <v>1</v>
      </c>
      <c r="B11512" t="str">
        <f>"13687933067"</f>
        <v>13687933067</v>
      </c>
      <c r="C11512" t="s">
        <v>1</v>
      </c>
      <c r="D11512" t="s">
        <v>1</v>
      </c>
      <c r="E11512" t="s">
        <v>1</v>
      </c>
      <c r="F11512" t="s">
        <v>0</v>
      </c>
      <c r="G11512" t="str">
        <f>"2018-10-14 05:52:26"</f>
        <v>2018-10-14 05:52:26</v>
      </c>
    </row>
    <row r="11513" spans="1:7" x14ac:dyDescent="0.2">
      <c r="A11513" t="s">
        <v>11734</v>
      </c>
      <c r="B11513" t="str">
        <f>"15858222128"</f>
        <v>15858222128</v>
      </c>
      <c r="C11513" t="str">
        <f>"330127198410104717"</f>
        <v>330127198410104717</v>
      </c>
      <c r="D11513" t="s">
        <v>1</v>
      </c>
      <c r="E11513" t="s">
        <v>1</v>
      </c>
      <c r="F11513" t="s">
        <v>0</v>
      </c>
      <c r="G11513" t="str">
        <f>"2018-10-17 16:00:51"</f>
        <v>2018-10-17 16:00:51</v>
      </c>
    </row>
    <row r="11514" spans="1:7" x14ac:dyDescent="0.2">
      <c r="A11514" t="s">
        <v>11735</v>
      </c>
      <c r="B11514" t="str">
        <f>"18312075333"</f>
        <v>18312075333</v>
      </c>
      <c r="C11514" t="str">
        <f>"44162519890710473X"</f>
        <v>44162519890710473X</v>
      </c>
      <c r="D11514" t="s">
        <v>1</v>
      </c>
      <c r="E11514" t="s">
        <v>1</v>
      </c>
      <c r="F11514" t="s">
        <v>0</v>
      </c>
      <c r="G11514" t="str">
        <f>"2018-10-18 12:49:16"</f>
        <v>2018-10-18 12:49:16</v>
      </c>
    </row>
    <row r="11515" spans="1:7" x14ac:dyDescent="0.2">
      <c r="A11515" t="s">
        <v>1</v>
      </c>
      <c r="B11515" t="str">
        <f>"17838537995"</f>
        <v>17838537995</v>
      </c>
      <c r="C11515" t="s">
        <v>1</v>
      </c>
      <c r="D11515" t="s">
        <v>1</v>
      </c>
      <c r="E11515" t="s">
        <v>1</v>
      </c>
      <c r="F11515" t="s">
        <v>0</v>
      </c>
      <c r="G11515" t="str">
        <f>"2018-10-14 05:47:46"</f>
        <v>2018-10-14 05:47:46</v>
      </c>
    </row>
    <row r="11516" spans="1:7" x14ac:dyDescent="0.2">
      <c r="A11516" t="s">
        <v>11736</v>
      </c>
      <c r="B11516" t="str">
        <f>"15091919368"</f>
        <v>15091919368</v>
      </c>
      <c r="C11516" t="str">
        <f>"460005199601062310"</f>
        <v>460005199601062310</v>
      </c>
      <c r="D11516" t="s">
        <v>11737</v>
      </c>
      <c r="E11516" t="s">
        <v>11738</v>
      </c>
      <c r="F11516" t="s">
        <v>0</v>
      </c>
      <c r="G11516" t="str">
        <f>"2018-10-14 05:27:05"</f>
        <v>2018-10-14 05:27:05</v>
      </c>
    </row>
    <row r="11517" spans="1:7" x14ac:dyDescent="0.2">
      <c r="A11517" t="s">
        <v>1</v>
      </c>
      <c r="B11517" t="str">
        <f>"13978988972"</f>
        <v>13978988972</v>
      </c>
      <c r="C11517" t="s">
        <v>1</v>
      </c>
      <c r="D11517" t="s">
        <v>1</v>
      </c>
      <c r="E11517" t="s">
        <v>1</v>
      </c>
      <c r="F11517" t="s">
        <v>0</v>
      </c>
      <c r="G11517" t="str">
        <f>"2018-10-14 05:24:18"</f>
        <v>2018-10-14 05:24:18</v>
      </c>
    </row>
    <row r="11518" spans="1:7" x14ac:dyDescent="0.2">
      <c r="A11518" t="s">
        <v>1583</v>
      </c>
      <c r="B11518" t="str">
        <f>"17614379635"</f>
        <v>17614379635</v>
      </c>
      <c r="C11518" t="str">
        <f>"220403198902280012"</f>
        <v>220403198902280012</v>
      </c>
      <c r="D11518" t="s">
        <v>1</v>
      </c>
      <c r="E11518" t="s">
        <v>1</v>
      </c>
      <c r="F11518" t="s">
        <v>0</v>
      </c>
      <c r="G11518" t="str">
        <f>"2018-10-14 05:52:33"</f>
        <v>2018-10-14 05:52:33</v>
      </c>
    </row>
    <row r="11519" spans="1:7" x14ac:dyDescent="0.2">
      <c r="A11519" t="s">
        <v>1</v>
      </c>
      <c r="B11519" t="str">
        <f>"13857699140"</f>
        <v>13857699140</v>
      </c>
      <c r="C11519" t="s">
        <v>1</v>
      </c>
      <c r="D11519" t="s">
        <v>1</v>
      </c>
      <c r="E11519" t="s">
        <v>1</v>
      </c>
      <c r="F11519" t="s">
        <v>0</v>
      </c>
      <c r="G11519" t="str">
        <f>"2018-10-14 05:10:17"</f>
        <v>2018-10-14 05:10:17</v>
      </c>
    </row>
    <row r="11520" spans="1:7" x14ac:dyDescent="0.2">
      <c r="A11520" t="s">
        <v>11739</v>
      </c>
      <c r="B11520" t="str">
        <f>"14788085919"</f>
        <v>14788085919</v>
      </c>
      <c r="C11520" t="str">
        <f>"532725198712031815"</f>
        <v>532725198712031815</v>
      </c>
      <c r="D11520" t="s">
        <v>1</v>
      </c>
      <c r="E11520" t="s">
        <v>1</v>
      </c>
      <c r="F11520" t="s">
        <v>0</v>
      </c>
      <c r="G11520" t="str">
        <f>"2018-10-14 11:41:50"</f>
        <v>2018-10-14 11:41:50</v>
      </c>
    </row>
    <row r="11521" spans="1:7" x14ac:dyDescent="0.2">
      <c r="A11521" t="s">
        <v>1</v>
      </c>
      <c r="B11521" t="str">
        <f>"18237473729"</f>
        <v>18237473729</v>
      </c>
      <c r="C11521" t="s">
        <v>1</v>
      </c>
      <c r="D11521" t="s">
        <v>1</v>
      </c>
      <c r="E11521" t="s">
        <v>1</v>
      </c>
      <c r="F11521" t="s">
        <v>0</v>
      </c>
      <c r="G11521" t="str">
        <f>"2018-10-14 05:00:20"</f>
        <v>2018-10-14 05:00:20</v>
      </c>
    </row>
    <row r="11522" spans="1:7" x14ac:dyDescent="0.2">
      <c r="A11522" t="s">
        <v>636</v>
      </c>
      <c r="B11522" t="str">
        <f>"13843171374"</f>
        <v>13843171374</v>
      </c>
      <c r="C11522" t="str">
        <f>"220381198803087237"</f>
        <v>220381198803087237</v>
      </c>
      <c r="D11522" t="s">
        <v>1</v>
      </c>
      <c r="E11522" t="s">
        <v>1</v>
      </c>
      <c r="F11522" t="s">
        <v>0</v>
      </c>
      <c r="G11522" t="str">
        <f>"2018-10-14 04:58:17"</f>
        <v>2018-10-14 04:58:17</v>
      </c>
    </row>
    <row r="11523" spans="1:7" x14ac:dyDescent="0.2">
      <c r="A11523" t="s">
        <v>1</v>
      </c>
      <c r="B11523" t="str">
        <f>"18622861356"</f>
        <v>18622861356</v>
      </c>
      <c r="C11523" t="s">
        <v>1</v>
      </c>
      <c r="D11523" t="s">
        <v>1</v>
      </c>
      <c r="E11523" t="s">
        <v>1</v>
      </c>
      <c r="F11523" t="s">
        <v>0</v>
      </c>
      <c r="G11523" t="str">
        <f>"2018-10-14 04:40:35"</f>
        <v>2018-10-14 04:40:35</v>
      </c>
    </row>
    <row r="11524" spans="1:7" x14ac:dyDescent="0.2">
      <c r="A11524" t="s">
        <v>11740</v>
      </c>
      <c r="B11524" t="str">
        <f>"18267259802"</f>
        <v>18267259802</v>
      </c>
      <c r="C11524" t="str">
        <f>"510723198409273039"</f>
        <v>510723198409273039</v>
      </c>
      <c r="D11524" t="s">
        <v>1</v>
      </c>
      <c r="E11524" t="s">
        <v>1</v>
      </c>
      <c r="F11524" t="s">
        <v>0</v>
      </c>
      <c r="G11524" t="str">
        <f>"2018-10-14 04:15:04"</f>
        <v>2018-10-14 04:15:04</v>
      </c>
    </row>
    <row r="11525" spans="1:7" x14ac:dyDescent="0.2">
      <c r="A11525" t="s">
        <v>89</v>
      </c>
      <c r="B11525" t="str">
        <f>"15271452260"</f>
        <v>15271452260</v>
      </c>
      <c r="C11525" t="str">
        <f>"420583198510010050"</f>
        <v>420583198510010050</v>
      </c>
      <c r="D11525" t="s">
        <v>11741</v>
      </c>
      <c r="E11525" t="s">
        <v>11742</v>
      </c>
      <c r="F11525" t="s">
        <v>0</v>
      </c>
      <c r="G11525" t="str">
        <f>"2018-10-16 11:07:25"</f>
        <v>2018-10-16 11:07:25</v>
      </c>
    </row>
    <row r="11526" spans="1:7" x14ac:dyDescent="0.2">
      <c r="A11526" t="s">
        <v>11743</v>
      </c>
      <c r="B11526" t="str">
        <f>"15043020807"</f>
        <v>15043020807</v>
      </c>
      <c r="C11526" t="str">
        <f>"220182199612250919"</f>
        <v>220182199612250919</v>
      </c>
      <c r="D11526" t="s">
        <v>1</v>
      </c>
      <c r="E11526" t="s">
        <v>1</v>
      </c>
      <c r="F11526" t="s">
        <v>0</v>
      </c>
      <c r="G11526" t="str">
        <f>"2018-10-14 04:08:17"</f>
        <v>2018-10-14 04:08:17</v>
      </c>
    </row>
    <row r="11527" spans="1:7" x14ac:dyDescent="0.2">
      <c r="A11527" t="s">
        <v>11744</v>
      </c>
      <c r="B11527" t="str">
        <f>"18948808527"</f>
        <v>18948808527</v>
      </c>
      <c r="C11527" t="str">
        <f>"441424199404102334"</f>
        <v>441424199404102334</v>
      </c>
      <c r="D11527" t="s">
        <v>1</v>
      </c>
      <c r="E11527" t="s">
        <v>1</v>
      </c>
      <c r="F11527" t="s">
        <v>0</v>
      </c>
      <c r="G11527" t="str">
        <f>"2018-10-14 04:05:58"</f>
        <v>2018-10-14 04:05:58</v>
      </c>
    </row>
    <row r="11528" spans="1:7" x14ac:dyDescent="0.2">
      <c r="A11528" t="s">
        <v>11745</v>
      </c>
      <c r="B11528" t="str">
        <f>"18679951021"</f>
        <v>18679951021</v>
      </c>
      <c r="C11528" t="str">
        <f>"500230199103273254"</f>
        <v>500230199103273254</v>
      </c>
      <c r="D11528" t="s">
        <v>11746</v>
      </c>
      <c r="E11528" t="s">
        <v>11747</v>
      </c>
      <c r="F11528" t="s">
        <v>0</v>
      </c>
      <c r="G11528" t="str">
        <f>"2018-10-14 03:54:46"</f>
        <v>2018-10-14 03:54:46</v>
      </c>
    </row>
    <row r="11529" spans="1:7" x14ac:dyDescent="0.2">
      <c r="A11529" t="s">
        <v>11748</v>
      </c>
      <c r="B11529" t="str">
        <f>"18117953708"</f>
        <v>18117953708</v>
      </c>
      <c r="C11529" t="str">
        <f>"510503199106070910"</f>
        <v>510503199106070910</v>
      </c>
      <c r="D11529" t="s">
        <v>1</v>
      </c>
      <c r="E11529" t="s">
        <v>1</v>
      </c>
      <c r="F11529" t="s">
        <v>0</v>
      </c>
      <c r="G11529" t="str">
        <f>"2018-10-14 03:42:17"</f>
        <v>2018-10-14 03:42:17</v>
      </c>
    </row>
    <row r="11530" spans="1:7" x14ac:dyDescent="0.2">
      <c r="A11530" t="s">
        <v>804</v>
      </c>
      <c r="B11530" t="str">
        <f>"15862895090"</f>
        <v>15862895090</v>
      </c>
      <c r="C11530" t="str">
        <f>"321084198707232817"</f>
        <v>321084198707232817</v>
      </c>
      <c r="D11530" t="s">
        <v>11749</v>
      </c>
      <c r="E11530" t="s">
        <v>11750</v>
      </c>
      <c r="F11530" t="s">
        <v>0</v>
      </c>
      <c r="G11530" t="str">
        <f>"2018-10-14 03:40:34"</f>
        <v>2018-10-14 03:40:34</v>
      </c>
    </row>
    <row r="11531" spans="1:7" x14ac:dyDescent="0.2">
      <c r="A11531" t="s">
        <v>1</v>
      </c>
      <c r="B11531" t="str">
        <f>"13986988282"</f>
        <v>13986988282</v>
      </c>
      <c r="C11531" t="s">
        <v>1</v>
      </c>
      <c r="D11531" t="s">
        <v>1</v>
      </c>
      <c r="E11531" t="s">
        <v>1</v>
      </c>
      <c r="F11531" t="s">
        <v>0</v>
      </c>
      <c r="G11531" t="str">
        <f>"2018-10-14 03:28:30"</f>
        <v>2018-10-14 03:28:30</v>
      </c>
    </row>
    <row r="11532" spans="1:7" x14ac:dyDescent="0.2">
      <c r="A11532" t="s">
        <v>11751</v>
      </c>
      <c r="B11532" t="str">
        <f>"13995929472"</f>
        <v>13995929472</v>
      </c>
      <c r="C11532" t="str">
        <f>"421182199409100278"</f>
        <v>421182199409100278</v>
      </c>
      <c r="D11532" t="s">
        <v>1</v>
      </c>
      <c r="E11532" t="s">
        <v>1</v>
      </c>
      <c r="F11532" t="s">
        <v>0</v>
      </c>
      <c r="G11532" t="str">
        <f>"2018-10-14 03:33:27"</f>
        <v>2018-10-14 03:33:27</v>
      </c>
    </row>
    <row r="11533" spans="1:7" x14ac:dyDescent="0.2">
      <c r="A11533" t="s">
        <v>11752</v>
      </c>
      <c r="B11533" t="str">
        <f>"15296141142"</f>
        <v>15296141142</v>
      </c>
      <c r="C11533" t="str">
        <f>"450603198211136322"</f>
        <v>450603198211136322</v>
      </c>
      <c r="D11533" t="s">
        <v>11753</v>
      </c>
      <c r="E11533" t="s">
        <v>11754</v>
      </c>
      <c r="F11533" t="s">
        <v>0</v>
      </c>
      <c r="G11533" t="str">
        <f>"2018-10-14 03:38:38"</f>
        <v>2018-10-14 03:38:38</v>
      </c>
    </row>
    <row r="11534" spans="1:7" x14ac:dyDescent="0.2">
      <c r="A11534" t="s">
        <v>1</v>
      </c>
      <c r="B11534" t="str">
        <f>"18307373708"</f>
        <v>18307373708</v>
      </c>
      <c r="C11534" t="s">
        <v>1</v>
      </c>
      <c r="D11534" t="s">
        <v>1</v>
      </c>
      <c r="E11534" t="s">
        <v>1</v>
      </c>
      <c r="F11534" t="s">
        <v>0</v>
      </c>
      <c r="G11534" t="str">
        <f>"2018-10-14 03:16:35"</f>
        <v>2018-10-14 03:16:35</v>
      </c>
    </row>
    <row r="11535" spans="1:7" x14ac:dyDescent="0.2">
      <c r="A11535" t="s">
        <v>11755</v>
      </c>
      <c r="B11535" t="str">
        <f>"13557629929"</f>
        <v>13557629929</v>
      </c>
      <c r="C11535" t="str">
        <f>"45020519820209001X"</f>
        <v>45020519820209001X</v>
      </c>
      <c r="D11535" t="s">
        <v>11756</v>
      </c>
      <c r="E11535" t="s">
        <v>11757</v>
      </c>
      <c r="F11535" t="s">
        <v>0</v>
      </c>
      <c r="G11535" t="str">
        <f>"2018-10-14 03:10:23"</f>
        <v>2018-10-14 03:10:23</v>
      </c>
    </row>
    <row r="11536" spans="1:7" x14ac:dyDescent="0.2">
      <c r="A11536" t="s">
        <v>11758</v>
      </c>
      <c r="B11536" t="str">
        <f>"15828647885"</f>
        <v>15828647885</v>
      </c>
      <c r="C11536" t="str">
        <f>"500381199602048612"</f>
        <v>500381199602048612</v>
      </c>
      <c r="D11536" t="s">
        <v>1</v>
      </c>
      <c r="E11536" t="s">
        <v>1</v>
      </c>
      <c r="F11536" t="s">
        <v>0</v>
      </c>
      <c r="G11536" t="str">
        <f>"2018-10-14 03:11:07"</f>
        <v>2018-10-14 03:11:07</v>
      </c>
    </row>
    <row r="11537" spans="1:7" x14ac:dyDescent="0.2">
      <c r="A11537" t="s">
        <v>1</v>
      </c>
      <c r="B11537" t="str">
        <f>"15807160540"</f>
        <v>15807160540</v>
      </c>
      <c r="C11537" t="s">
        <v>1</v>
      </c>
      <c r="D11537" t="s">
        <v>1</v>
      </c>
      <c r="E11537" t="s">
        <v>1</v>
      </c>
      <c r="F11537" t="s">
        <v>0</v>
      </c>
      <c r="G11537" t="str">
        <f>"2018-10-14 03:09:15"</f>
        <v>2018-10-14 03:09:15</v>
      </c>
    </row>
    <row r="11538" spans="1:7" x14ac:dyDescent="0.2">
      <c r="A11538" t="s">
        <v>11759</v>
      </c>
      <c r="B11538" t="str">
        <f>"18887979989"</f>
        <v>18887979989</v>
      </c>
      <c r="C11538" t="str">
        <f>"532722199310131317"</f>
        <v>532722199310131317</v>
      </c>
      <c r="D11538" t="s">
        <v>11760</v>
      </c>
      <c r="E11538" t="s">
        <v>11761</v>
      </c>
      <c r="F11538" t="s">
        <v>0</v>
      </c>
      <c r="G11538" t="str">
        <f>"2018-10-14 03:04:38"</f>
        <v>2018-10-14 03:04:38</v>
      </c>
    </row>
    <row r="11539" spans="1:7" x14ac:dyDescent="0.2">
      <c r="A11539" t="s">
        <v>983</v>
      </c>
      <c r="B11539" t="str">
        <f>"17508540772"</f>
        <v>17508540772</v>
      </c>
      <c r="C11539" t="str">
        <f>"622123198507190354"</f>
        <v>622123198507190354</v>
      </c>
      <c r="D11539" t="s">
        <v>11762</v>
      </c>
      <c r="E11539" t="s">
        <v>11763</v>
      </c>
      <c r="F11539" t="s">
        <v>0</v>
      </c>
      <c r="G11539" t="str">
        <f>"2018-10-17 13:09:33"</f>
        <v>2018-10-17 13:09:33</v>
      </c>
    </row>
    <row r="11540" spans="1:7" x14ac:dyDescent="0.2">
      <c r="A11540" t="s">
        <v>11764</v>
      </c>
      <c r="B11540" t="str">
        <f>"15940568216"</f>
        <v>15940568216</v>
      </c>
      <c r="C11540" t="str">
        <f>"370883198512092338"</f>
        <v>370883198512092338</v>
      </c>
      <c r="D11540" t="s">
        <v>1</v>
      </c>
      <c r="E11540" t="s">
        <v>1</v>
      </c>
      <c r="F11540" t="s">
        <v>0</v>
      </c>
      <c r="G11540" t="str">
        <f>"2018-10-14 13:11:50"</f>
        <v>2018-10-14 13:11:50</v>
      </c>
    </row>
    <row r="11541" spans="1:7" x14ac:dyDescent="0.2">
      <c r="A11541" t="s">
        <v>11765</v>
      </c>
      <c r="B11541" t="str">
        <f>"13585003869"</f>
        <v>13585003869</v>
      </c>
      <c r="C11541" t="str">
        <f>"320211197904180013"</f>
        <v>320211197904180013</v>
      </c>
      <c r="D11541" t="s">
        <v>1</v>
      </c>
      <c r="E11541" t="s">
        <v>1</v>
      </c>
      <c r="F11541" t="s">
        <v>0</v>
      </c>
      <c r="G11541" t="str">
        <f>"2018-10-14 19:59:02"</f>
        <v>2018-10-14 19:59:02</v>
      </c>
    </row>
    <row r="11542" spans="1:7" x14ac:dyDescent="0.2">
      <c r="A11542" t="s">
        <v>1</v>
      </c>
      <c r="B11542" t="str">
        <f>"18640710195"</f>
        <v>18640710195</v>
      </c>
      <c r="C11542" t="s">
        <v>1</v>
      </c>
      <c r="D11542" t="s">
        <v>1</v>
      </c>
      <c r="E11542" t="s">
        <v>1</v>
      </c>
      <c r="F11542" t="s">
        <v>0</v>
      </c>
      <c r="G11542" t="str">
        <f>"2018-10-14 02:35:23"</f>
        <v>2018-10-14 02:35:23</v>
      </c>
    </row>
    <row r="11543" spans="1:7" x14ac:dyDescent="0.2">
      <c r="A11543" t="s">
        <v>1</v>
      </c>
      <c r="B11543" t="str">
        <f>"18826519909"</f>
        <v>18826519909</v>
      </c>
      <c r="C11543" t="s">
        <v>1</v>
      </c>
      <c r="D11543" t="s">
        <v>1</v>
      </c>
      <c r="E11543" t="s">
        <v>1</v>
      </c>
      <c r="F11543" t="s">
        <v>0</v>
      </c>
      <c r="G11543" t="str">
        <f>"2018-10-14 02:34:20"</f>
        <v>2018-10-14 02:34:20</v>
      </c>
    </row>
    <row r="11544" spans="1:7" x14ac:dyDescent="0.2">
      <c r="A11544" t="s">
        <v>11766</v>
      </c>
      <c r="B11544" t="str">
        <f>"15812139169"</f>
        <v>15812139169</v>
      </c>
      <c r="C11544" t="str">
        <f>"530125198310202410"</f>
        <v>530125198310202410</v>
      </c>
      <c r="D11544" t="s">
        <v>1</v>
      </c>
      <c r="E11544" t="s">
        <v>1</v>
      </c>
      <c r="F11544" t="s">
        <v>0</v>
      </c>
      <c r="G11544" t="str">
        <f>"2018-10-14 03:10:39"</f>
        <v>2018-10-14 03:10:39</v>
      </c>
    </row>
    <row r="11545" spans="1:7" x14ac:dyDescent="0.2">
      <c r="A11545" t="s">
        <v>11767</v>
      </c>
      <c r="B11545" t="str">
        <f>"15265946629"</f>
        <v>15265946629</v>
      </c>
      <c r="C11545" t="str">
        <f>"37132319980614721X"</f>
        <v>37132319980614721X</v>
      </c>
      <c r="D11545" t="s">
        <v>11768</v>
      </c>
      <c r="E11545" t="s">
        <v>11769</v>
      </c>
      <c r="F11545" t="s">
        <v>0</v>
      </c>
      <c r="G11545" t="str">
        <f>"2018-10-14 11:20:39"</f>
        <v>2018-10-14 11:20:39</v>
      </c>
    </row>
    <row r="11546" spans="1:7" x14ac:dyDescent="0.2">
      <c r="A11546" t="s">
        <v>1</v>
      </c>
      <c r="B11546" t="str">
        <f>"15081108227"</f>
        <v>15081108227</v>
      </c>
      <c r="C11546" t="s">
        <v>1</v>
      </c>
      <c r="D11546" t="s">
        <v>1</v>
      </c>
      <c r="E11546" t="s">
        <v>1</v>
      </c>
      <c r="F11546" t="s">
        <v>0</v>
      </c>
      <c r="G11546" t="str">
        <f>"2018-10-14 02:22:22"</f>
        <v>2018-10-14 02:22:22</v>
      </c>
    </row>
    <row r="11547" spans="1:7" x14ac:dyDescent="0.2">
      <c r="A11547" t="s">
        <v>11770</v>
      </c>
      <c r="B11547" t="str">
        <f>"18046140534"</f>
        <v>18046140534</v>
      </c>
      <c r="C11547" t="str">
        <f>"350625199301152018"</f>
        <v>350625199301152018</v>
      </c>
      <c r="D11547" t="s">
        <v>1</v>
      </c>
      <c r="E11547" t="s">
        <v>1</v>
      </c>
      <c r="F11547" t="s">
        <v>0</v>
      </c>
      <c r="G11547" t="str">
        <f>"2018-10-14 02:15:56"</f>
        <v>2018-10-14 02:15:56</v>
      </c>
    </row>
    <row r="11548" spans="1:7" x14ac:dyDescent="0.2">
      <c r="A11548" t="s">
        <v>11771</v>
      </c>
      <c r="B11548" t="str">
        <f>"17693137769"</f>
        <v>17693137769</v>
      </c>
      <c r="C11548" t="str">
        <f>"622821199409111237"</f>
        <v>622821199409111237</v>
      </c>
      <c r="D11548" t="s">
        <v>11772</v>
      </c>
      <c r="E11548" t="s">
        <v>11773</v>
      </c>
      <c r="F11548" t="s">
        <v>0</v>
      </c>
      <c r="G11548" t="str">
        <f>"2018-10-20 14:27:50"</f>
        <v>2018-10-20 14:27:50</v>
      </c>
    </row>
    <row r="11549" spans="1:7" x14ac:dyDescent="0.2">
      <c r="A11549" t="s">
        <v>1</v>
      </c>
      <c r="B11549" t="str">
        <f>"18514746555"</f>
        <v>18514746555</v>
      </c>
      <c r="C11549" t="s">
        <v>1</v>
      </c>
      <c r="D11549" t="s">
        <v>1</v>
      </c>
      <c r="E11549" t="s">
        <v>1</v>
      </c>
      <c r="F11549" t="s">
        <v>0</v>
      </c>
      <c r="G11549" t="str">
        <f>"2018-10-20 17:32:59"</f>
        <v>2018-10-20 17:32:59</v>
      </c>
    </row>
    <row r="11550" spans="1:7" x14ac:dyDescent="0.2">
      <c r="A11550" t="s">
        <v>11774</v>
      </c>
      <c r="B11550" t="str">
        <f>"13925977374"</f>
        <v>13925977374</v>
      </c>
      <c r="C11550" t="str">
        <f>"512527197711153814"</f>
        <v>512527197711153814</v>
      </c>
      <c r="D11550" t="s">
        <v>11775</v>
      </c>
      <c r="E11550" t="s">
        <v>11775</v>
      </c>
      <c r="F11550" t="s">
        <v>0</v>
      </c>
      <c r="G11550" t="str">
        <f>"2018-10-14 01:57:43"</f>
        <v>2018-10-14 01:57:43</v>
      </c>
    </row>
    <row r="11551" spans="1:7" x14ac:dyDescent="0.2">
      <c r="A11551" t="s">
        <v>11776</v>
      </c>
      <c r="B11551" t="str">
        <f>"13831339394"</f>
        <v>13831339394</v>
      </c>
      <c r="C11551" t="str">
        <f>"130726199307032210"</f>
        <v>130726199307032210</v>
      </c>
      <c r="D11551" t="s">
        <v>1</v>
      </c>
      <c r="E11551" t="s">
        <v>1</v>
      </c>
      <c r="F11551" t="s">
        <v>0</v>
      </c>
      <c r="G11551" t="str">
        <f>"2018-10-14 01:59:20"</f>
        <v>2018-10-14 01:59:20</v>
      </c>
    </row>
    <row r="11552" spans="1:7" x14ac:dyDescent="0.2">
      <c r="A11552" t="s">
        <v>812</v>
      </c>
      <c r="B11552" t="str">
        <f>"18180057020"</f>
        <v>18180057020</v>
      </c>
      <c r="C11552" t="str">
        <f>"513823199207134818"</f>
        <v>513823199207134818</v>
      </c>
      <c r="D11552" t="s">
        <v>1</v>
      </c>
      <c r="E11552" t="s">
        <v>1</v>
      </c>
      <c r="F11552" t="s">
        <v>0</v>
      </c>
      <c r="G11552" t="str">
        <f>"2018-10-29 10:40:07"</f>
        <v>2018-10-29 10:40:07</v>
      </c>
    </row>
    <row r="11553" spans="1:7" x14ac:dyDescent="0.2">
      <c r="A11553" t="s">
        <v>11777</v>
      </c>
      <c r="B11553" t="str">
        <f>"15927500717"</f>
        <v>15927500717</v>
      </c>
      <c r="C11553" t="str">
        <f>"420102199011150029"</f>
        <v>420102199011150029</v>
      </c>
      <c r="D11553" t="s">
        <v>1</v>
      </c>
      <c r="E11553" t="s">
        <v>1</v>
      </c>
      <c r="F11553" t="s">
        <v>0</v>
      </c>
      <c r="G11553" t="str">
        <f>"2018-10-22 21:40:50"</f>
        <v>2018-10-22 21:40:50</v>
      </c>
    </row>
    <row r="11554" spans="1:7" x14ac:dyDescent="0.2">
      <c r="A11554" t="s">
        <v>1</v>
      </c>
      <c r="B11554" t="str">
        <f>"15561557187"</f>
        <v>15561557187</v>
      </c>
      <c r="C11554" t="s">
        <v>1</v>
      </c>
      <c r="D11554" t="s">
        <v>1</v>
      </c>
      <c r="E11554" t="s">
        <v>1</v>
      </c>
      <c r="F11554" t="s">
        <v>0</v>
      </c>
      <c r="G11554" t="str">
        <f>"2018-10-14 01:47:30"</f>
        <v>2018-10-14 01:47:30</v>
      </c>
    </row>
    <row r="11555" spans="1:7" x14ac:dyDescent="0.2">
      <c r="A11555" t="s">
        <v>11778</v>
      </c>
      <c r="B11555" t="str">
        <f>"17696700445"</f>
        <v>17696700445</v>
      </c>
      <c r="C11555" t="str">
        <f>"320831199310210219"</f>
        <v>320831199310210219</v>
      </c>
      <c r="D11555" t="s">
        <v>1</v>
      </c>
      <c r="E11555" t="s">
        <v>1</v>
      </c>
      <c r="F11555" t="s">
        <v>0</v>
      </c>
      <c r="G11555" t="str">
        <f>"2018-10-14 23:37:12"</f>
        <v>2018-10-14 23:37:12</v>
      </c>
    </row>
    <row r="11556" spans="1:7" x14ac:dyDescent="0.2">
      <c r="A11556" t="s">
        <v>11779</v>
      </c>
      <c r="B11556" t="str">
        <f>"15597038262"</f>
        <v>15597038262</v>
      </c>
      <c r="C11556" t="str">
        <f>"632126199009152916"</f>
        <v>632126199009152916</v>
      </c>
      <c r="D11556" t="s">
        <v>1</v>
      </c>
      <c r="E11556" t="s">
        <v>1</v>
      </c>
      <c r="F11556" t="s">
        <v>0</v>
      </c>
      <c r="G11556" t="str">
        <f>"2018-10-14 07:49:31"</f>
        <v>2018-10-14 07:49:31</v>
      </c>
    </row>
    <row r="11557" spans="1:7" x14ac:dyDescent="0.2">
      <c r="A11557" t="s">
        <v>1</v>
      </c>
      <c r="B11557" t="str">
        <f>"18721818126"</f>
        <v>18721818126</v>
      </c>
      <c r="C11557" t="s">
        <v>1</v>
      </c>
      <c r="D11557" t="s">
        <v>1</v>
      </c>
      <c r="E11557" t="s">
        <v>1</v>
      </c>
      <c r="F11557" t="s">
        <v>0</v>
      </c>
      <c r="G11557" t="str">
        <f>"2018-10-14 01:40:50"</f>
        <v>2018-10-14 01:40:50</v>
      </c>
    </row>
    <row r="11558" spans="1:7" x14ac:dyDescent="0.2">
      <c r="A11558" t="s">
        <v>1</v>
      </c>
      <c r="B11558" t="str">
        <f>"18988259905"</f>
        <v>18988259905</v>
      </c>
      <c r="C11558" t="s">
        <v>1</v>
      </c>
      <c r="D11558" t="s">
        <v>1</v>
      </c>
      <c r="E11558" t="s">
        <v>1</v>
      </c>
      <c r="F11558" t="s">
        <v>0</v>
      </c>
      <c r="G11558" t="str">
        <f>"2018-10-14 01:30:07"</f>
        <v>2018-10-14 01:30:07</v>
      </c>
    </row>
    <row r="11559" spans="1:7" x14ac:dyDescent="0.2">
      <c r="A11559" t="s">
        <v>1</v>
      </c>
      <c r="B11559" t="str">
        <f>"15672224555"</f>
        <v>15672224555</v>
      </c>
      <c r="C11559" t="s">
        <v>1</v>
      </c>
      <c r="D11559" t="s">
        <v>1</v>
      </c>
      <c r="E11559" t="s">
        <v>1</v>
      </c>
      <c r="F11559" t="s">
        <v>0</v>
      </c>
      <c r="G11559" t="str">
        <f>"2018-10-14 01:28:22"</f>
        <v>2018-10-14 01:28:22</v>
      </c>
    </row>
    <row r="11560" spans="1:7" x14ac:dyDescent="0.2">
      <c r="A11560" t="s">
        <v>601</v>
      </c>
      <c r="B11560" t="str">
        <f>"18256035592"</f>
        <v>18256035592</v>
      </c>
      <c r="C11560" t="str">
        <f>"340122198512071290"</f>
        <v>340122198512071290</v>
      </c>
      <c r="D11560" t="s">
        <v>1</v>
      </c>
      <c r="E11560" t="s">
        <v>1</v>
      </c>
      <c r="F11560" t="s">
        <v>0</v>
      </c>
      <c r="G11560" t="str">
        <f>"2018-10-16 10:27:39"</f>
        <v>2018-10-16 10:27:39</v>
      </c>
    </row>
    <row r="11561" spans="1:7" x14ac:dyDescent="0.2">
      <c r="A11561" t="s">
        <v>1497</v>
      </c>
      <c r="B11561" t="str">
        <f>"13778229678"</f>
        <v>13778229678</v>
      </c>
      <c r="C11561" t="str">
        <f>"510622198312092117"</f>
        <v>510622198312092117</v>
      </c>
      <c r="D11561" t="s">
        <v>1</v>
      </c>
      <c r="E11561" t="s">
        <v>1</v>
      </c>
      <c r="F11561" t="s">
        <v>0</v>
      </c>
      <c r="G11561" t="str">
        <f>"2018-10-14 20:49:24"</f>
        <v>2018-10-14 20:49:24</v>
      </c>
    </row>
    <row r="11562" spans="1:7" x14ac:dyDescent="0.2">
      <c r="A11562" t="s">
        <v>11780</v>
      </c>
      <c r="B11562" t="str">
        <f>"15371876357"</f>
        <v>15371876357</v>
      </c>
      <c r="C11562" t="str">
        <f>"372926199104038118"</f>
        <v>372926199104038118</v>
      </c>
      <c r="D11562" t="s">
        <v>1</v>
      </c>
      <c r="E11562" t="s">
        <v>1</v>
      </c>
      <c r="F11562" t="s">
        <v>0</v>
      </c>
      <c r="G11562" t="str">
        <f>"2018-10-14 01:18:54"</f>
        <v>2018-10-14 01:18:54</v>
      </c>
    </row>
    <row r="11563" spans="1:7" x14ac:dyDescent="0.2">
      <c r="A11563" t="s">
        <v>587</v>
      </c>
      <c r="B11563" t="str">
        <f>"15853637630"</f>
        <v>15853637630</v>
      </c>
      <c r="C11563" t="str">
        <f>"37142719941216101X"</f>
        <v>37142719941216101X</v>
      </c>
      <c r="D11563" t="s">
        <v>1</v>
      </c>
      <c r="E11563" t="s">
        <v>1</v>
      </c>
      <c r="F11563" t="s">
        <v>0</v>
      </c>
      <c r="G11563" t="str">
        <f>"2018-10-14 01:18:46"</f>
        <v>2018-10-14 01:18:46</v>
      </c>
    </row>
    <row r="11564" spans="1:7" x14ac:dyDescent="0.2">
      <c r="A11564" t="s">
        <v>11781</v>
      </c>
      <c r="B11564" t="str">
        <f>"17639628111"</f>
        <v>17639628111</v>
      </c>
      <c r="C11564" t="str">
        <f>"412823198410032519"</f>
        <v>412823198410032519</v>
      </c>
      <c r="D11564" t="s">
        <v>1</v>
      </c>
      <c r="E11564" t="s">
        <v>1</v>
      </c>
      <c r="F11564" t="s">
        <v>0</v>
      </c>
      <c r="G11564" t="str">
        <f>"2018-10-14 12:39:48"</f>
        <v>2018-10-14 12:39:48</v>
      </c>
    </row>
    <row r="11565" spans="1:7" x14ac:dyDescent="0.2">
      <c r="A11565" t="s">
        <v>11782</v>
      </c>
      <c r="B11565" t="str">
        <f>"14787895349"</f>
        <v>14787895349</v>
      </c>
      <c r="C11565" t="str">
        <f>"612524199107200972"</f>
        <v>612524199107200972</v>
      </c>
      <c r="D11565" t="s">
        <v>1</v>
      </c>
      <c r="E11565" t="s">
        <v>1</v>
      </c>
      <c r="F11565" t="s">
        <v>0</v>
      </c>
      <c r="G11565" t="str">
        <f>"2018-10-14 01:37:48"</f>
        <v>2018-10-14 01:37:48</v>
      </c>
    </row>
    <row r="11566" spans="1:7" x14ac:dyDescent="0.2">
      <c r="A11566" t="s">
        <v>11783</v>
      </c>
      <c r="B11566" t="str">
        <f>"15956952981"</f>
        <v>15956952981</v>
      </c>
      <c r="C11566" t="str">
        <f>"340123199005077699"</f>
        <v>340123199005077699</v>
      </c>
      <c r="D11566" t="s">
        <v>1</v>
      </c>
      <c r="E11566" t="s">
        <v>1</v>
      </c>
      <c r="F11566" t="s">
        <v>0</v>
      </c>
      <c r="G11566" t="str">
        <f>"2018-10-14 01:10:09"</f>
        <v>2018-10-14 01:10:09</v>
      </c>
    </row>
    <row r="11567" spans="1:7" x14ac:dyDescent="0.2">
      <c r="A11567" t="s">
        <v>138</v>
      </c>
      <c r="B11567" t="str">
        <f>"15690666690"</f>
        <v>15690666690</v>
      </c>
      <c r="C11567" t="str">
        <f>"410327199407130098"</f>
        <v>410327199407130098</v>
      </c>
      <c r="D11567" t="s">
        <v>1</v>
      </c>
      <c r="E11567" t="s">
        <v>1</v>
      </c>
      <c r="F11567" t="s">
        <v>0</v>
      </c>
      <c r="G11567" t="str">
        <f>"2018-10-30 14:41:32"</f>
        <v>2018-10-30 14:41:32</v>
      </c>
    </row>
    <row r="11568" spans="1:7" x14ac:dyDescent="0.2">
      <c r="A11568" t="s">
        <v>1</v>
      </c>
      <c r="B11568" t="str">
        <f>"13028920374"</f>
        <v>13028920374</v>
      </c>
      <c r="C11568" t="s">
        <v>1</v>
      </c>
      <c r="D11568" t="s">
        <v>1</v>
      </c>
      <c r="E11568" t="s">
        <v>1</v>
      </c>
      <c r="F11568" t="s">
        <v>0</v>
      </c>
      <c r="G11568" t="str">
        <f>"2018-10-14 01:01:30"</f>
        <v>2018-10-14 01:01:30</v>
      </c>
    </row>
    <row r="11569" spans="1:7" x14ac:dyDescent="0.2">
      <c r="A11569" t="s">
        <v>1</v>
      </c>
      <c r="B11569" t="str">
        <f>"15972117031"</f>
        <v>15972117031</v>
      </c>
      <c r="C11569" t="s">
        <v>1</v>
      </c>
      <c r="D11569" t="s">
        <v>1</v>
      </c>
      <c r="E11569" t="s">
        <v>1</v>
      </c>
      <c r="F11569" t="s">
        <v>0</v>
      </c>
      <c r="G11569" t="str">
        <f>"2018-10-14 01:12:13"</f>
        <v>2018-10-14 01:12:13</v>
      </c>
    </row>
    <row r="11570" spans="1:7" x14ac:dyDescent="0.2">
      <c r="A11570" t="s">
        <v>1</v>
      </c>
      <c r="B11570" t="str">
        <f>"18037019982"</f>
        <v>18037019982</v>
      </c>
      <c r="C11570" t="s">
        <v>1</v>
      </c>
      <c r="D11570" t="s">
        <v>1</v>
      </c>
      <c r="E11570" t="s">
        <v>1</v>
      </c>
      <c r="F11570" t="s">
        <v>0</v>
      </c>
      <c r="G11570" t="str">
        <f>"2018-10-14 01:02:03"</f>
        <v>2018-10-14 01:02:03</v>
      </c>
    </row>
    <row r="11571" spans="1:7" x14ac:dyDescent="0.2">
      <c r="A11571" t="s">
        <v>1</v>
      </c>
      <c r="B11571" t="str">
        <f>"17335979549"</f>
        <v>17335979549</v>
      </c>
      <c r="C11571" t="s">
        <v>1</v>
      </c>
      <c r="D11571" t="s">
        <v>1</v>
      </c>
      <c r="E11571" t="s">
        <v>1</v>
      </c>
      <c r="F11571" t="s">
        <v>0</v>
      </c>
      <c r="G11571" t="str">
        <f>"2018-10-14 01:01:41"</f>
        <v>2018-10-14 01:01:41</v>
      </c>
    </row>
    <row r="11572" spans="1:7" x14ac:dyDescent="0.2">
      <c r="A11572" t="s">
        <v>187</v>
      </c>
      <c r="B11572" t="str">
        <f>"13147702227"</f>
        <v>13147702227</v>
      </c>
      <c r="C11572" t="str">
        <f>"220104197207022033"</f>
        <v>220104197207022033</v>
      </c>
      <c r="D11572" t="s">
        <v>1</v>
      </c>
      <c r="E11572" t="s">
        <v>1</v>
      </c>
      <c r="F11572" t="s">
        <v>0</v>
      </c>
      <c r="G11572" t="str">
        <f>"2018-10-14 01:07:03"</f>
        <v>2018-10-14 01:07:03</v>
      </c>
    </row>
    <row r="11573" spans="1:7" x14ac:dyDescent="0.2">
      <c r="A11573" t="s">
        <v>11784</v>
      </c>
      <c r="B11573" t="str">
        <f>"13537065431"</f>
        <v>13537065431</v>
      </c>
      <c r="C11573" t="str">
        <f>"360725198806291817"</f>
        <v>360725198806291817</v>
      </c>
      <c r="D11573" t="s">
        <v>1</v>
      </c>
      <c r="E11573" t="s">
        <v>1</v>
      </c>
      <c r="F11573" t="s">
        <v>0</v>
      </c>
      <c r="G11573" t="str">
        <f>"2018-10-14 01:04:00"</f>
        <v>2018-10-14 01:04:00</v>
      </c>
    </row>
    <row r="11574" spans="1:7" x14ac:dyDescent="0.2">
      <c r="A11574" t="s">
        <v>1</v>
      </c>
      <c r="B11574" t="str">
        <f>"13452946976"</f>
        <v>13452946976</v>
      </c>
      <c r="C11574" t="s">
        <v>1</v>
      </c>
      <c r="D11574" t="s">
        <v>1</v>
      </c>
      <c r="E11574" t="s">
        <v>1</v>
      </c>
      <c r="F11574" t="s">
        <v>0</v>
      </c>
      <c r="G11574" t="str">
        <f>"2018-10-14 00:54:49"</f>
        <v>2018-10-14 00:54:49</v>
      </c>
    </row>
    <row r="11575" spans="1:7" x14ac:dyDescent="0.2">
      <c r="A11575" t="s">
        <v>11785</v>
      </c>
      <c r="B11575" t="str">
        <f>"15813564831"</f>
        <v>15813564831</v>
      </c>
      <c r="C11575" t="str">
        <f>"445222199501232712"</f>
        <v>445222199501232712</v>
      </c>
      <c r="D11575" t="s">
        <v>11786</v>
      </c>
      <c r="E11575" t="s">
        <v>11787</v>
      </c>
      <c r="F11575" t="s">
        <v>0</v>
      </c>
      <c r="G11575" t="str">
        <f>"2018-10-14 01:12:44"</f>
        <v>2018-10-14 01:12:44</v>
      </c>
    </row>
    <row r="11576" spans="1:7" x14ac:dyDescent="0.2">
      <c r="A11576" t="s">
        <v>11788</v>
      </c>
      <c r="B11576" t="str">
        <f>"13349495151"</f>
        <v>13349495151</v>
      </c>
      <c r="C11576" t="str">
        <f>"232301197906070013"</f>
        <v>232301197906070013</v>
      </c>
      <c r="D11576" t="s">
        <v>1</v>
      </c>
      <c r="E11576" t="s">
        <v>1</v>
      </c>
      <c r="F11576" t="s">
        <v>0</v>
      </c>
      <c r="G11576" t="str">
        <f>"2018-10-14 00:51:57"</f>
        <v>2018-10-14 00:51:57</v>
      </c>
    </row>
    <row r="11577" spans="1:7" x14ac:dyDescent="0.2">
      <c r="A11577" t="s">
        <v>11789</v>
      </c>
      <c r="B11577" t="str">
        <f>"13769704398"</f>
        <v>13769704398</v>
      </c>
      <c r="C11577" t="str">
        <f>"530381198609295537"</f>
        <v>530381198609295537</v>
      </c>
      <c r="D11577" t="s">
        <v>1</v>
      </c>
      <c r="E11577" t="s">
        <v>1</v>
      </c>
      <c r="F11577" t="s">
        <v>0</v>
      </c>
      <c r="G11577" t="str">
        <f>"2018-10-14 00:49:03"</f>
        <v>2018-10-14 00:49:03</v>
      </c>
    </row>
    <row r="11578" spans="1:7" x14ac:dyDescent="0.2">
      <c r="A11578" t="s">
        <v>11790</v>
      </c>
      <c r="B11578" t="str">
        <f>"15881622785"</f>
        <v>15881622785</v>
      </c>
      <c r="C11578" t="str">
        <f>"510722198710038808"</f>
        <v>510722198710038808</v>
      </c>
      <c r="D11578" t="s">
        <v>1</v>
      </c>
      <c r="E11578" t="s">
        <v>1</v>
      </c>
      <c r="F11578" t="s">
        <v>0</v>
      </c>
      <c r="G11578" t="str">
        <f>"2018-10-14 00:49:39"</f>
        <v>2018-10-14 00:49:39</v>
      </c>
    </row>
    <row r="11579" spans="1:7" x14ac:dyDescent="0.2">
      <c r="A11579" t="s">
        <v>11791</v>
      </c>
      <c r="B11579" t="str">
        <f>"18757646529"</f>
        <v>18757646529</v>
      </c>
      <c r="C11579" t="str">
        <f>"362334197602103433"</f>
        <v>362334197602103433</v>
      </c>
      <c r="D11579" t="s">
        <v>11792</v>
      </c>
      <c r="E11579" t="s">
        <v>11793</v>
      </c>
      <c r="F11579" t="s">
        <v>0</v>
      </c>
      <c r="G11579" t="str">
        <f>"2018-10-14 00:51:02"</f>
        <v>2018-10-14 00:51:02</v>
      </c>
    </row>
    <row r="11580" spans="1:7" x14ac:dyDescent="0.2">
      <c r="A11580" t="s">
        <v>494</v>
      </c>
      <c r="B11580" t="str">
        <f>"15152515014"</f>
        <v>15152515014</v>
      </c>
      <c r="C11580" t="str">
        <f>"320324199610091599"</f>
        <v>320324199610091599</v>
      </c>
      <c r="D11580" t="s">
        <v>11794</v>
      </c>
      <c r="E11580" t="s">
        <v>11795</v>
      </c>
      <c r="F11580" t="s">
        <v>0</v>
      </c>
      <c r="G11580" t="str">
        <f>"2018-10-14 00:44:21"</f>
        <v>2018-10-14 00:44:21</v>
      </c>
    </row>
    <row r="11581" spans="1:7" x14ac:dyDescent="0.2">
      <c r="A11581" t="s">
        <v>11796</v>
      </c>
      <c r="B11581" t="str">
        <f>"15187404643"</f>
        <v>15187404643</v>
      </c>
      <c r="C11581" t="str">
        <f>"530322199409260836"</f>
        <v>530322199409260836</v>
      </c>
      <c r="D11581" t="s">
        <v>1</v>
      </c>
      <c r="E11581" t="s">
        <v>1</v>
      </c>
      <c r="F11581" t="s">
        <v>0</v>
      </c>
      <c r="G11581" t="str">
        <f>"2018-10-14 00:42:10"</f>
        <v>2018-10-14 00:42:10</v>
      </c>
    </row>
    <row r="11582" spans="1:7" x14ac:dyDescent="0.2">
      <c r="A11582" t="s">
        <v>11797</v>
      </c>
      <c r="B11582" t="str">
        <f>"18789568892"</f>
        <v>18789568892</v>
      </c>
      <c r="C11582" t="str">
        <f>"460006199411087812"</f>
        <v>460006199411087812</v>
      </c>
      <c r="D11582" t="s">
        <v>1</v>
      </c>
      <c r="E11582" t="s">
        <v>1</v>
      </c>
      <c r="F11582" t="s">
        <v>0</v>
      </c>
      <c r="G11582" t="str">
        <f>"2018-10-14 00:40:47"</f>
        <v>2018-10-14 00:40:47</v>
      </c>
    </row>
    <row r="11583" spans="1:7" x14ac:dyDescent="0.2">
      <c r="A11583" t="s">
        <v>11798</v>
      </c>
      <c r="B11583" t="str">
        <f>"13519051827"</f>
        <v>13519051827</v>
      </c>
      <c r="C11583" t="str">
        <f>"622301198603100542"</f>
        <v>622301198603100542</v>
      </c>
      <c r="D11583" t="s">
        <v>11799</v>
      </c>
      <c r="E11583" t="s">
        <v>11800</v>
      </c>
      <c r="F11583" t="s">
        <v>0</v>
      </c>
      <c r="G11583" t="str">
        <f>"2018-10-14 11:45:19"</f>
        <v>2018-10-14 11:45:19</v>
      </c>
    </row>
    <row r="11584" spans="1:7" x14ac:dyDescent="0.2">
      <c r="A11584" t="s">
        <v>11801</v>
      </c>
      <c r="B11584" t="str">
        <f>"18162060640"</f>
        <v>18162060640</v>
      </c>
      <c r="C11584" t="str">
        <f>"410923199211260031"</f>
        <v>410923199211260031</v>
      </c>
      <c r="D11584" t="s">
        <v>1</v>
      </c>
      <c r="E11584" t="s">
        <v>1</v>
      </c>
      <c r="F11584" t="s">
        <v>0</v>
      </c>
      <c r="G11584" t="str">
        <f>"2018-10-14 00:26:47"</f>
        <v>2018-10-14 00:26:47</v>
      </c>
    </row>
    <row r="11585" spans="1:7" x14ac:dyDescent="0.2">
      <c r="A11585" t="s">
        <v>11802</v>
      </c>
      <c r="B11585" t="str">
        <f>"15131657767"</f>
        <v>15131657767</v>
      </c>
      <c r="C11585" t="str">
        <f>"372321199809169412"</f>
        <v>372321199809169412</v>
      </c>
      <c r="D11585" t="s">
        <v>11803</v>
      </c>
      <c r="E11585" t="s">
        <v>11804</v>
      </c>
      <c r="F11585" t="s">
        <v>0</v>
      </c>
      <c r="G11585" t="str">
        <f>"2018-10-14 00:24:15"</f>
        <v>2018-10-14 00:24:15</v>
      </c>
    </row>
    <row r="11586" spans="1:7" x14ac:dyDescent="0.2">
      <c r="A11586" t="s">
        <v>408</v>
      </c>
      <c r="B11586" t="str">
        <f>"15960421478"</f>
        <v>15960421478</v>
      </c>
      <c r="C11586" t="str">
        <f>"512322197908094333"</f>
        <v>512322197908094333</v>
      </c>
      <c r="D11586" t="s">
        <v>1</v>
      </c>
      <c r="E11586" t="s">
        <v>1</v>
      </c>
      <c r="F11586" t="s">
        <v>0</v>
      </c>
      <c r="G11586" t="str">
        <f>"2018-10-14 00:25:12"</f>
        <v>2018-10-14 00:25:12</v>
      </c>
    </row>
    <row r="11587" spans="1:7" x14ac:dyDescent="0.2">
      <c r="A11587" t="s">
        <v>11805</v>
      </c>
      <c r="B11587" t="str">
        <f>"13632042930"</f>
        <v>13632042930</v>
      </c>
      <c r="C11587" t="str">
        <f>"44512219930323595X"</f>
        <v>44512219930323595X</v>
      </c>
      <c r="D11587" t="s">
        <v>11806</v>
      </c>
      <c r="E11587" t="s">
        <v>11807</v>
      </c>
      <c r="F11587" t="s">
        <v>0</v>
      </c>
      <c r="G11587" t="str">
        <f>"2018-10-14 00:30:39"</f>
        <v>2018-10-14 00:30:39</v>
      </c>
    </row>
    <row r="11588" spans="1:7" x14ac:dyDescent="0.2">
      <c r="A11588" t="s">
        <v>1</v>
      </c>
      <c r="B11588" t="str">
        <f>"18785473445"</f>
        <v>18785473445</v>
      </c>
      <c r="C11588" t="s">
        <v>1</v>
      </c>
      <c r="D11588" t="s">
        <v>1</v>
      </c>
      <c r="E11588" t="s">
        <v>1</v>
      </c>
      <c r="F11588" t="s">
        <v>0</v>
      </c>
      <c r="G11588" t="str">
        <f>"2018-10-14 00:21:03"</f>
        <v>2018-10-14 00:21:03</v>
      </c>
    </row>
    <row r="11589" spans="1:7" x14ac:dyDescent="0.2">
      <c r="A11589" t="s">
        <v>301</v>
      </c>
      <c r="B11589" t="str">
        <f>"13125436182"</f>
        <v>13125436182</v>
      </c>
      <c r="C11589" t="str">
        <f>"211021197808179140"</f>
        <v>211021197808179140</v>
      </c>
      <c r="D11589" t="s">
        <v>1</v>
      </c>
      <c r="E11589" t="s">
        <v>1</v>
      </c>
      <c r="F11589" t="s">
        <v>0</v>
      </c>
      <c r="G11589" t="str">
        <f>"2018-10-14 00:18:24"</f>
        <v>2018-10-14 00:18:24</v>
      </c>
    </row>
    <row r="11590" spans="1:7" x14ac:dyDescent="0.2">
      <c r="A11590" t="s">
        <v>11808</v>
      </c>
      <c r="B11590" t="str">
        <f>"13381989705"</f>
        <v>13381989705</v>
      </c>
      <c r="C11590" t="str">
        <f>"310115198401070114"</f>
        <v>310115198401070114</v>
      </c>
      <c r="D11590" t="s">
        <v>1</v>
      </c>
      <c r="E11590" t="s">
        <v>1</v>
      </c>
      <c r="F11590" t="s">
        <v>0</v>
      </c>
      <c r="G11590" t="str">
        <f>"2018-10-25 16:18:07"</f>
        <v>2018-10-25 16:18:07</v>
      </c>
    </row>
    <row r="11591" spans="1:7" x14ac:dyDescent="0.2">
      <c r="A11591" t="s">
        <v>1</v>
      </c>
      <c r="B11591" t="str">
        <f>"15171767613"</f>
        <v>15171767613</v>
      </c>
      <c r="C11591" t="s">
        <v>1</v>
      </c>
      <c r="D11591" t="s">
        <v>1</v>
      </c>
      <c r="E11591" t="s">
        <v>1</v>
      </c>
      <c r="F11591" t="s">
        <v>0</v>
      </c>
      <c r="G11591" t="str">
        <f>"2018-10-14 00:10:20"</f>
        <v>2018-10-14 00:10:20</v>
      </c>
    </row>
    <row r="11592" spans="1:7" x14ac:dyDescent="0.2">
      <c r="A11592" t="s">
        <v>11809</v>
      </c>
      <c r="B11592" t="str">
        <f>"18577404420"</f>
        <v>18577404420</v>
      </c>
      <c r="C11592" t="str">
        <f>"450404198301040020"</f>
        <v>450404198301040020</v>
      </c>
      <c r="D11592" t="s">
        <v>1</v>
      </c>
      <c r="E11592" t="s">
        <v>1</v>
      </c>
      <c r="F11592" t="s">
        <v>0</v>
      </c>
      <c r="G11592" t="str">
        <f>"2018-10-21 22:33:26"</f>
        <v>2018-10-21 22:33:26</v>
      </c>
    </row>
    <row r="11593" spans="1:7" x14ac:dyDescent="0.2">
      <c r="A11593" t="s">
        <v>11810</v>
      </c>
      <c r="B11593" t="str">
        <f>"13969194668"</f>
        <v>13969194668</v>
      </c>
      <c r="C11593" t="str">
        <f>"370104198502083725"</f>
        <v>370104198502083725</v>
      </c>
      <c r="D11593" t="s">
        <v>1</v>
      </c>
      <c r="E11593" t="s">
        <v>1</v>
      </c>
      <c r="F11593" t="s">
        <v>0</v>
      </c>
      <c r="G11593" t="str">
        <f>"2018-11-02 09:44:46"</f>
        <v>2018-11-02 09:44:46</v>
      </c>
    </row>
    <row r="11594" spans="1:7" x14ac:dyDescent="0.2">
      <c r="A11594" t="s">
        <v>1</v>
      </c>
      <c r="B11594" t="str">
        <f>"13535783266"</f>
        <v>13535783266</v>
      </c>
      <c r="C11594" t="s">
        <v>1</v>
      </c>
      <c r="D11594" t="s">
        <v>1</v>
      </c>
      <c r="E11594" t="s">
        <v>1</v>
      </c>
      <c r="F11594" t="s">
        <v>0</v>
      </c>
      <c r="G11594" t="str">
        <f>"2018-10-13 23:56:05"</f>
        <v>2018-10-13 23:56:05</v>
      </c>
    </row>
    <row r="11595" spans="1:7" x14ac:dyDescent="0.2">
      <c r="A11595" t="s">
        <v>11811</v>
      </c>
      <c r="B11595" t="str">
        <f>"13901403923"</f>
        <v>13901403923</v>
      </c>
      <c r="C11595" t="str">
        <f>"320831198509200216"</f>
        <v>320831198509200216</v>
      </c>
      <c r="D11595" t="s">
        <v>1</v>
      </c>
      <c r="E11595" t="s">
        <v>1</v>
      </c>
      <c r="F11595" t="s">
        <v>0</v>
      </c>
      <c r="G11595" t="str">
        <f>"2018-10-14 13:24:45"</f>
        <v>2018-10-14 13:24:45</v>
      </c>
    </row>
    <row r="11596" spans="1:7" x14ac:dyDescent="0.2">
      <c r="A11596" t="s">
        <v>11812</v>
      </c>
      <c r="B11596" t="str">
        <f>"15262765545"</f>
        <v>15262765545</v>
      </c>
      <c r="C11596" t="str">
        <f>"320681198706270224"</f>
        <v>320681198706270224</v>
      </c>
      <c r="D11596" t="s">
        <v>1</v>
      </c>
      <c r="E11596" t="s">
        <v>1</v>
      </c>
      <c r="F11596" t="s">
        <v>0</v>
      </c>
      <c r="G11596" t="str">
        <f>"2018-10-13 23:56:51"</f>
        <v>2018-10-13 23:56:51</v>
      </c>
    </row>
    <row r="11597" spans="1:7" x14ac:dyDescent="0.2">
      <c r="A11597" t="s">
        <v>11813</v>
      </c>
      <c r="B11597" t="str">
        <f>"18307287878"</f>
        <v>18307287878</v>
      </c>
      <c r="C11597" t="str">
        <f>"429004199308131078"</f>
        <v>429004199308131078</v>
      </c>
      <c r="D11597" t="s">
        <v>1</v>
      </c>
      <c r="E11597" t="s">
        <v>1</v>
      </c>
      <c r="F11597" t="s">
        <v>0</v>
      </c>
      <c r="G11597" t="str">
        <f>"2018-10-13 23:49:10"</f>
        <v>2018-10-13 23:49:10</v>
      </c>
    </row>
    <row r="11598" spans="1:7" x14ac:dyDescent="0.2">
      <c r="A11598" t="s">
        <v>11814</v>
      </c>
      <c r="B11598" t="str">
        <f>"15877685247"</f>
        <v>15877685247</v>
      </c>
      <c r="C11598" t="str">
        <f>"610581199004154438"</f>
        <v>610581199004154438</v>
      </c>
      <c r="D11598" t="s">
        <v>1</v>
      </c>
      <c r="E11598" t="s">
        <v>1</v>
      </c>
      <c r="F11598" t="s">
        <v>0</v>
      </c>
      <c r="G11598" t="str">
        <f>"2018-10-13 23:50:01"</f>
        <v>2018-10-13 23:50:01</v>
      </c>
    </row>
    <row r="11599" spans="1:7" x14ac:dyDescent="0.2">
      <c r="A11599" t="s">
        <v>11815</v>
      </c>
      <c r="B11599" t="str">
        <f>"15260377291"</f>
        <v>15260377291</v>
      </c>
      <c r="C11599" t="str">
        <f>"362331199607074627"</f>
        <v>362331199607074627</v>
      </c>
      <c r="D11599" t="s">
        <v>1</v>
      </c>
      <c r="E11599" t="s">
        <v>1</v>
      </c>
      <c r="F11599" t="s">
        <v>0</v>
      </c>
      <c r="G11599" t="str">
        <f>"2018-10-13 23:45:42"</f>
        <v>2018-10-13 23:45:42</v>
      </c>
    </row>
    <row r="11600" spans="1:7" x14ac:dyDescent="0.2">
      <c r="A11600" t="s">
        <v>11816</v>
      </c>
      <c r="B11600" t="str">
        <f>"15379996420"</f>
        <v>15379996420</v>
      </c>
      <c r="C11600" t="str">
        <f>"620421198411162510"</f>
        <v>620421198411162510</v>
      </c>
      <c r="D11600" t="s">
        <v>1</v>
      </c>
      <c r="E11600" t="s">
        <v>1</v>
      </c>
      <c r="F11600" t="s">
        <v>0</v>
      </c>
      <c r="G11600" t="str">
        <f>"2018-10-13 23:45:31"</f>
        <v>2018-10-13 23:45:31</v>
      </c>
    </row>
    <row r="11601" spans="1:7" x14ac:dyDescent="0.2">
      <c r="A11601" t="s">
        <v>11817</v>
      </c>
      <c r="B11601" t="str">
        <f>"15934944600"</f>
        <v>15934944600</v>
      </c>
      <c r="C11601" t="str">
        <f>"152301199204015035"</f>
        <v>152301199204015035</v>
      </c>
      <c r="D11601" t="s">
        <v>1</v>
      </c>
      <c r="E11601" t="s">
        <v>1</v>
      </c>
      <c r="F11601" t="s">
        <v>0</v>
      </c>
      <c r="G11601" t="str">
        <f>"2018-10-13 23:44:15"</f>
        <v>2018-10-13 23:44:15</v>
      </c>
    </row>
    <row r="11602" spans="1:7" x14ac:dyDescent="0.2">
      <c r="A11602" t="s">
        <v>11818</v>
      </c>
      <c r="B11602" t="str">
        <f>"13962298705"</f>
        <v>13962298705</v>
      </c>
      <c r="C11602" t="str">
        <f>"320582198704148816"</f>
        <v>320582198704148816</v>
      </c>
      <c r="D11602" t="s">
        <v>11819</v>
      </c>
      <c r="E11602" t="s">
        <v>11820</v>
      </c>
      <c r="F11602" t="s">
        <v>0</v>
      </c>
      <c r="G11602" t="str">
        <f>"2018-10-13 23:41:56"</f>
        <v>2018-10-13 23:41:56</v>
      </c>
    </row>
    <row r="11603" spans="1:7" x14ac:dyDescent="0.2">
      <c r="A11603" t="s">
        <v>11821</v>
      </c>
      <c r="B11603" t="str">
        <f>"18024411063"</f>
        <v>18024411063</v>
      </c>
      <c r="C11603" t="str">
        <f>"43250319871019567X"</f>
        <v>43250319871019567X</v>
      </c>
      <c r="D11603" t="s">
        <v>1</v>
      </c>
      <c r="E11603" t="s">
        <v>1</v>
      </c>
      <c r="F11603" t="s">
        <v>0</v>
      </c>
      <c r="G11603" t="str">
        <f>"2018-10-13 23:58:00"</f>
        <v>2018-10-13 23:58:00</v>
      </c>
    </row>
    <row r="11604" spans="1:7" x14ac:dyDescent="0.2">
      <c r="A11604" t="s">
        <v>11822</v>
      </c>
      <c r="B11604" t="str">
        <f>"15242830613"</f>
        <v>15242830613</v>
      </c>
      <c r="C11604" t="str">
        <f>"210311199304300914"</f>
        <v>210311199304300914</v>
      </c>
      <c r="D11604" t="s">
        <v>1</v>
      </c>
      <c r="E11604" t="s">
        <v>1</v>
      </c>
      <c r="F11604" t="s">
        <v>0</v>
      </c>
      <c r="G11604" t="str">
        <f>"2018-10-13 23:40:09"</f>
        <v>2018-10-13 23:40:09</v>
      </c>
    </row>
    <row r="11605" spans="1:7" x14ac:dyDescent="0.2">
      <c r="A11605" t="s">
        <v>1</v>
      </c>
      <c r="B11605" t="str">
        <f>"13671421820"</f>
        <v>13671421820</v>
      </c>
      <c r="C11605" t="s">
        <v>1</v>
      </c>
      <c r="D11605" t="s">
        <v>1</v>
      </c>
      <c r="E11605" t="s">
        <v>1</v>
      </c>
      <c r="F11605" t="s">
        <v>0</v>
      </c>
      <c r="G11605" t="str">
        <f>"2018-10-13 23:39:16"</f>
        <v>2018-10-13 23:39:16</v>
      </c>
    </row>
    <row r="11606" spans="1:7" x14ac:dyDescent="0.2">
      <c r="A11606" t="s">
        <v>1</v>
      </c>
      <c r="B11606" t="str">
        <f>"13307718473"</f>
        <v>13307718473</v>
      </c>
      <c r="C11606" t="s">
        <v>1</v>
      </c>
      <c r="D11606" t="s">
        <v>1</v>
      </c>
      <c r="E11606" t="s">
        <v>1</v>
      </c>
      <c r="F11606" t="s">
        <v>0</v>
      </c>
      <c r="G11606" t="str">
        <f>"2018-10-13 23:38:08"</f>
        <v>2018-10-13 23:38:08</v>
      </c>
    </row>
    <row r="11607" spans="1:7" x14ac:dyDescent="0.2">
      <c r="A11607" t="s">
        <v>11823</v>
      </c>
      <c r="B11607" t="str">
        <f>"17707890878"</f>
        <v>17707890878</v>
      </c>
      <c r="C11607" t="str">
        <f>"450521199310090050"</f>
        <v>450521199310090050</v>
      </c>
      <c r="D11607" t="s">
        <v>1</v>
      </c>
      <c r="E11607" t="s">
        <v>1</v>
      </c>
      <c r="F11607" t="s">
        <v>0</v>
      </c>
      <c r="G11607" t="str">
        <f>"2018-10-13 23:54:22"</f>
        <v>2018-10-13 23:54:22</v>
      </c>
    </row>
    <row r="11608" spans="1:7" x14ac:dyDescent="0.2">
      <c r="A11608" t="s">
        <v>11824</v>
      </c>
      <c r="B11608" t="str">
        <f>"18758604920"</f>
        <v>18758604920</v>
      </c>
      <c r="C11608" t="str">
        <f>"142601199304135119"</f>
        <v>142601199304135119</v>
      </c>
      <c r="D11608" t="s">
        <v>1</v>
      </c>
      <c r="E11608" t="s">
        <v>1</v>
      </c>
      <c r="F11608" t="s">
        <v>0</v>
      </c>
      <c r="G11608" t="str">
        <f>"2018-10-13 23:36:01"</f>
        <v>2018-10-13 23:36:01</v>
      </c>
    </row>
    <row r="11609" spans="1:7" x14ac:dyDescent="0.2">
      <c r="A11609" t="s">
        <v>11825</v>
      </c>
      <c r="B11609" t="str">
        <f>"13819721948"</f>
        <v>13819721948</v>
      </c>
      <c r="C11609" t="str">
        <f>"432402197307056219"</f>
        <v>432402197307056219</v>
      </c>
      <c r="D11609" t="s">
        <v>1</v>
      </c>
      <c r="E11609" t="s">
        <v>1</v>
      </c>
      <c r="F11609" t="s">
        <v>0</v>
      </c>
      <c r="G11609" t="str">
        <f>"2018-10-20 16:31:45"</f>
        <v>2018-10-20 16:31:45</v>
      </c>
    </row>
    <row r="11610" spans="1:7" x14ac:dyDescent="0.2">
      <c r="A11610" t="s">
        <v>11826</v>
      </c>
      <c r="B11610" t="str">
        <f>"15261336662"</f>
        <v>15261336662</v>
      </c>
      <c r="C11610" t="str">
        <f>"320722198610210513"</f>
        <v>320722198610210513</v>
      </c>
      <c r="D11610" t="s">
        <v>760</v>
      </c>
      <c r="E11610" t="s">
        <v>761</v>
      </c>
      <c r="F11610" t="s">
        <v>0</v>
      </c>
      <c r="G11610" t="str">
        <f>"2018-10-14 16:47:21"</f>
        <v>2018-10-14 16:47:21</v>
      </c>
    </row>
    <row r="11611" spans="1:7" x14ac:dyDescent="0.2">
      <c r="A11611" t="s">
        <v>11827</v>
      </c>
      <c r="B11611" t="str">
        <f>"13127131072"</f>
        <v>13127131072</v>
      </c>
      <c r="C11611" t="str">
        <f>"370181199504200312"</f>
        <v>370181199504200312</v>
      </c>
      <c r="D11611" t="s">
        <v>1</v>
      </c>
      <c r="E11611" t="s">
        <v>1</v>
      </c>
      <c r="F11611" t="s">
        <v>0</v>
      </c>
      <c r="G11611" t="str">
        <f>"2018-10-23 12:38:42"</f>
        <v>2018-10-23 12:38:42</v>
      </c>
    </row>
    <row r="11612" spans="1:7" x14ac:dyDescent="0.2">
      <c r="A11612" t="s">
        <v>11828</v>
      </c>
      <c r="B11612" t="str">
        <f>"18320475597"</f>
        <v>18320475597</v>
      </c>
      <c r="C11612" t="str">
        <f>"441427198108231910"</f>
        <v>441427198108231910</v>
      </c>
      <c r="D11612" t="s">
        <v>11829</v>
      </c>
      <c r="E11612" t="s">
        <v>11830</v>
      </c>
      <c r="F11612" t="s">
        <v>0</v>
      </c>
      <c r="G11612" t="str">
        <f>"2018-10-14 11:50:06"</f>
        <v>2018-10-14 11:50:06</v>
      </c>
    </row>
    <row r="11613" spans="1:7" x14ac:dyDescent="0.2">
      <c r="A11613" t="s">
        <v>11831</v>
      </c>
      <c r="B11613" t="str">
        <f>"13510571166"</f>
        <v>13510571166</v>
      </c>
      <c r="C11613" t="str">
        <f>"342623197505134231"</f>
        <v>342623197505134231</v>
      </c>
      <c r="D11613" t="s">
        <v>11832</v>
      </c>
      <c r="E11613" t="s">
        <v>11833</v>
      </c>
      <c r="F11613" t="s">
        <v>0</v>
      </c>
      <c r="G11613" t="str">
        <f>"2018-11-04 20:35:46"</f>
        <v>2018-11-04 20:35:46</v>
      </c>
    </row>
    <row r="11614" spans="1:7" x14ac:dyDescent="0.2">
      <c r="A11614" t="s">
        <v>11834</v>
      </c>
      <c r="B11614" t="str">
        <f>"18571522580"</f>
        <v>18571522580</v>
      </c>
      <c r="C11614" t="str">
        <f>"420116199608104517"</f>
        <v>420116199608104517</v>
      </c>
      <c r="D11614" t="s">
        <v>1</v>
      </c>
      <c r="E11614" t="s">
        <v>1</v>
      </c>
      <c r="F11614" t="s">
        <v>0</v>
      </c>
      <c r="G11614" t="str">
        <f>"2018-10-13 23:47:01"</f>
        <v>2018-10-13 23:47:01</v>
      </c>
    </row>
    <row r="11615" spans="1:7" x14ac:dyDescent="0.2">
      <c r="A11615" t="s">
        <v>11835</v>
      </c>
      <c r="B11615" t="str">
        <f>"13798791086"</f>
        <v>13798791086</v>
      </c>
      <c r="C11615" t="str">
        <f>"441229198211043418"</f>
        <v>441229198211043418</v>
      </c>
      <c r="D11615" t="s">
        <v>1</v>
      </c>
      <c r="E11615" t="s">
        <v>1</v>
      </c>
      <c r="F11615" t="s">
        <v>0</v>
      </c>
      <c r="G11615" t="str">
        <f>"2018-10-13 23:30:16"</f>
        <v>2018-10-13 23:30:16</v>
      </c>
    </row>
    <row r="11616" spans="1:7" x14ac:dyDescent="0.2">
      <c r="A11616" t="s">
        <v>1</v>
      </c>
      <c r="B11616" t="str">
        <f>"15578064585"</f>
        <v>15578064585</v>
      </c>
      <c r="C11616" t="s">
        <v>1</v>
      </c>
      <c r="D11616" t="s">
        <v>1</v>
      </c>
      <c r="E11616" t="s">
        <v>1</v>
      </c>
      <c r="F11616" t="s">
        <v>0</v>
      </c>
      <c r="G11616" t="str">
        <f>"2018-10-13 23:25:39"</f>
        <v>2018-10-13 23:25:39</v>
      </c>
    </row>
    <row r="11617" spans="1:7" x14ac:dyDescent="0.2">
      <c r="A11617" t="s">
        <v>1</v>
      </c>
      <c r="B11617" t="str">
        <f>"13294566279"</f>
        <v>13294566279</v>
      </c>
      <c r="C11617" t="s">
        <v>1</v>
      </c>
      <c r="D11617" t="s">
        <v>1</v>
      </c>
      <c r="E11617" t="s">
        <v>1</v>
      </c>
      <c r="F11617" t="s">
        <v>0</v>
      </c>
      <c r="G11617" t="str">
        <f>"2018-10-13 23:25:21"</f>
        <v>2018-10-13 23:25:21</v>
      </c>
    </row>
    <row r="11618" spans="1:7" x14ac:dyDescent="0.2">
      <c r="A11618" t="s">
        <v>642</v>
      </c>
      <c r="B11618" t="str">
        <f>"13839114400"</f>
        <v>13839114400</v>
      </c>
      <c r="C11618" t="str">
        <f>"41080219900910007X"</f>
        <v>41080219900910007X</v>
      </c>
      <c r="D11618" t="s">
        <v>1</v>
      </c>
      <c r="E11618" t="s">
        <v>1</v>
      </c>
      <c r="F11618" t="s">
        <v>0</v>
      </c>
      <c r="G11618" t="str">
        <f>"2018-10-14 10:34:27"</f>
        <v>2018-10-14 10:34:27</v>
      </c>
    </row>
    <row r="11619" spans="1:7" x14ac:dyDescent="0.2">
      <c r="A11619" t="s">
        <v>1</v>
      </c>
      <c r="B11619" t="str">
        <f>"15139521622"</f>
        <v>15139521622</v>
      </c>
      <c r="C11619" t="s">
        <v>1</v>
      </c>
      <c r="D11619" t="s">
        <v>1</v>
      </c>
      <c r="E11619" t="s">
        <v>1</v>
      </c>
      <c r="F11619" t="s">
        <v>0</v>
      </c>
      <c r="G11619" t="str">
        <f>"2018-10-13 23:20:42"</f>
        <v>2018-10-13 23:20:42</v>
      </c>
    </row>
    <row r="11620" spans="1:7" x14ac:dyDescent="0.2">
      <c r="A11620" t="s">
        <v>11836</v>
      </c>
      <c r="B11620" t="str">
        <f>"13950059368"</f>
        <v>13950059368</v>
      </c>
      <c r="C11620" t="str">
        <f>"350212199310010018"</f>
        <v>350212199310010018</v>
      </c>
      <c r="D11620" t="s">
        <v>11837</v>
      </c>
      <c r="E11620" t="s">
        <v>11838</v>
      </c>
      <c r="F11620" t="s">
        <v>0</v>
      </c>
      <c r="G11620" t="str">
        <f>"2018-10-27 19:10:08"</f>
        <v>2018-10-27 19:10:08</v>
      </c>
    </row>
    <row r="11621" spans="1:7" x14ac:dyDescent="0.2">
      <c r="A11621" t="s">
        <v>1</v>
      </c>
      <c r="B11621" t="str">
        <f>"18576691203"</f>
        <v>18576691203</v>
      </c>
      <c r="C11621" t="s">
        <v>1</v>
      </c>
      <c r="D11621" t="s">
        <v>1</v>
      </c>
      <c r="E11621" t="s">
        <v>1</v>
      </c>
      <c r="F11621" t="s">
        <v>0</v>
      </c>
      <c r="G11621" t="str">
        <f>"2018-10-13 23:21:23"</f>
        <v>2018-10-13 23:21:23</v>
      </c>
    </row>
    <row r="11622" spans="1:7" x14ac:dyDescent="0.2">
      <c r="A11622" t="s">
        <v>1736</v>
      </c>
      <c r="B11622" t="str">
        <f>"18808661076"</f>
        <v>18808661076</v>
      </c>
      <c r="C11622" t="str">
        <f>"429001198406251635"</f>
        <v>429001198406251635</v>
      </c>
      <c r="D11622" t="s">
        <v>1</v>
      </c>
      <c r="E11622" t="s">
        <v>1</v>
      </c>
      <c r="F11622" t="s">
        <v>0</v>
      </c>
      <c r="G11622" t="str">
        <f>"2018-10-17 21:11:55"</f>
        <v>2018-10-17 21:11:55</v>
      </c>
    </row>
    <row r="11623" spans="1:7" x14ac:dyDescent="0.2">
      <c r="A11623" t="s">
        <v>1</v>
      </c>
      <c r="B11623" t="str">
        <f>"17820774656"</f>
        <v>17820774656</v>
      </c>
      <c r="C11623" t="s">
        <v>1</v>
      </c>
      <c r="D11623" t="s">
        <v>1</v>
      </c>
      <c r="E11623" t="s">
        <v>1</v>
      </c>
      <c r="F11623" t="s">
        <v>0</v>
      </c>
      <c r="G11623" t="str">
        <f>"2018-10-13 23:19:56"</f>
        <v>2018-10-13 23:19:56</v>
      </c>
    </row>
    <row r="11624" spans="1:7" x14ac:dyDescent="0.2">
      <c r="A11624" t="s">
        <v>1</v>
      </c>
      <c r="B11624" t="str">
        <f>"13566574469"</f>
        <v>13566574469</v>
      </c>
      <c r="C11624" t="s">
        <v>1</v>
      </c>
      <c r="D11624" t="s">
        <v>1</v>
      </c>
      <c r="E11624" t="s">
        <v>1</v>
      </c>
      <c r="F11624" t="s">
        <v>0</v>
      </c>
      <c r="G11624" t="str">
        <f>"2018-10-13 23:19:46"</f>
        <v>2018-10-13 23:19:46</v>
      </c>
    </row>
    <row r="11625" spans="1:7" x14ac:dyDescent="0.2">
      <c r="A11625" t="s">
        <v>11839</v>
      </c>
      <c r="B11625" t="str">
        <f>"18271945613"</f>
        <v>18271945613</v>
      </c>
      <c r="C11625" t="str">
        <f>"420105199311172835"</f>
        <v>420105199311172835</v>
      </c>
      <c r="D11625" t="s">
        <v>1</v>
      </c>
      <c r="E11625" t="s">
        <v>1</v>
      </c>
      <c r="F11625" t="s">
        <v>0</v>
      </c>
      <c r="G11625" t="str">
        <f>"2018-10-17 15:06:21"</f>
        <v>2018-10-17 15:06:21</v>
      </c>
    </row>
    <row r="11626" spans="1:7" x14ac:dyDescent="0.2">
      <c r="A11626" t="s">
        <v>1</v>
      </c>
      <c r="B11626" t="str">
        <f>"18818903241"</f>
        <v>18818903241</v>
      </c>
      <c r="C11626" t="s">
        <v>1</v>
      </c>
      <c r="D11626" t="s">
        <v>1</v>
      </c>
      <c r="E11626" t="s">
        <v>1</v>
      </c>
      <c r="F11626" t="s">
        <v>0</v>
      </c>
      <c r="G11626" t="str">
        <f>"2018-10-13 23:15:56"</f>
        <v>2018-10-13 23:15:56</v>
      </c>
    </row>
    <row r="11627" spans="1:7" x14ac:dyDescent="0.2">
      <c r="A11627" t="s">
        <v>1</v>
      </c>
      <c r="B11627" t="str">
        <f>"18475296319"</f>
        <v>18475296319</v>
      </c>
      <c r="C11627" t="s">
        <v>1</v>
      </c>
      <c r="D11627" t="s">
        <v>1</v>
      </c>
      <c r="E11627" t="s">
        <v>1</v>
      </c>
      <c r="F11627" t="s">
        <v>0</v>
      </c>
      <c r="G11627" t="str">
        <f>"2018-10-13 23:14:43"</f>
        <v>2018-10-13 23:14:43</v>
      </c>
    </row>
    <row r="11628" spans="1:7" x14ac:dyDescent="0.2">
      <c r="A11628" t="s">
        <v>11840</v>
      </c>
      <c r="B11628" t="str">
        <f>"15163505272"</f>
        <v>15163505272</v>
      </c>
      <c r="C11628" t="str">
        <f>"371525199712286941"</f>
        <v>371525199712286941</v>
      </c>
      <c r="D11628" t="s">
        <v>11841</v>
      </c>
      <c r="E11628" t="s">
        <v>11842</v>
      </c>
      <c r="F11628" t="s">
        <v>0</v>
      </c>
      <c r="G11628" t="str">
        <f>"2018-10-13 23:18:17"</f>
        <v>2018-10-13 23:18:17</v>
      </c>
    </row>
    <row r="11629" spans="1:7" x14ac:dyDescent="0.2">
      <c r="A11629" t="s">
        <v>9564</v>
      </c>
      <c r="B11629" t="str">
        <f>"18271111107"</f>
        <v>18271111107</v>
      </c>
      <c r="C11629" t="str">
        <f>"421202198910310913"</f>
        <v>421202198910310913</v>
      </c>
      <c r="D11629" t="s">
        <v>1</v>
      </c>
      <c r="E11629" t="s">
        <v>1</v>
      </c>
      <c r="F11629" t="s">
        <v>0</v>
      </c>
      <c r="G11629" t="str">
        <f>"2018-10-13 23:14:31"</f>
        <v>2018-10-13 23:14:31</v>
      </c>
    </row>
    <row r="11630" spans="1:7" x14ac:dyDescent="0.2">
      <c r="A11630" t="s">
        <v>11843</v>
      </c>
      <c r="B11630" t="str">
        <f>"18782989125"</f>
        <v>18782989125</v>
      </c>
      <c r="C11630" t="str">
        <f>"513123199506040055"</f>
        <v>513123199506040055</v>
      </c>
      <c r="D11630" t="s">
        <v>1</v>
      </c>
      <c r="E11630" t="s">
        <v>1</v>
      </c>
      <c r="F11630" t="s">
        <v>0</v>
      </c>
      <c r="G11630" t="str">
        <f>"2018-10-13 23:15:26"</f>
        <v>2018-10-13 23:15:26</v>
      </c>
    </row>
    <row r="11631" spans="1:7" x14ac:dyDescent="0.2">
      <c r="A11631" t="s">
        <v>11844</v>
      </c>
      <c r="B11631" t="str">
        <f>"13537539604"</f>
        <v>13537539604</v>
      </c>
      <c r="C11631" t="str">
        <f>"441622198404057194"</f>
        <v>441622198404057194</v>
      </c>
      <c r="D11631" t="s">
        <v>11845</v>
      </c>
      <c r="E11631" t="s">
        <v>11846</v>
      </c>
      <c r="F11631" t="s">
        <v>0</v>
      </c>
      <c r="G11631" t="str">
        <f>"2018-10-30 18:52:07"</f>
        <v>2018-10-30 18:52:07</v>
      </c>
    </row>
    <row r="11632" spans="1:7" x14ac:dyDescent="0.2">
      <c r="A11632" t="s">
        <v>11847</v>
      </c>
      <c r="B11632" t="str">
        <f>"17610918123"</f>
        <v>17610918123</v>
      </c>
      <c r="C11632" t="str">
        <f>"140322199403207556"</f>
        <v>140322199403207556</v>
      </c>
      <c r="D11632" t="s">
        <v>1</v>
      </c>
      <c r="E11632" t="s">
        <v>1</v>
      </c>
      <c r="F11632" t="s">
        <v>0</v>
      </c>
      <c r="G11632" t="str">
        <f>"2018-10-13 23:09:07"</f>
        <v>2018-10-13 23:09:07</v>
      </c>
    </row>
    <row r="11633" spans="1:7" x14ac:dyDescent="0.2">
      <c r="A11633" t="s">
        <v>1719</v>
      </c>
      <c r="B11633" t="str">
        <f>"18702374413"</f>
        <v>18702374413</v>
      </c>
      <c r="C11633" t="str">
        <f>"500223198907091773"</f>
        <v>500223198907091773</v>
      </c>
      <c r="D11633" t="s">
        <v>1</v>
      </c>
      <c r="E11633" t="s">
        <v>1</v>
      </c>
      <c r="F11633" t="s">
        <v>0</v>
      </c>
      <c r="G11633" t="str">
        <f>"2018-10-13 23:06:25"</f>
        <v>2018-10-13 23:06:25</v>
      </c>
    </row>
    <row r="11634" spans="1:7" x14ac:dyDescent="0.2">
      <c r="A11634" t="s">
        <v>11848</v>
      </c>
      <c r="B11634" t="str">
        <f>"13967679170"</f>
        <v>13967679170</v>
      </c>
      <c r="C11634" t="str">
        <f>"33020519720216489X"</f>
        <v>33020519720216489X</v>
      </c>
      <c r="D11634" t="s">
        <v>1</v>
      </c>
      <c r="E11634" t="s">
        <v>1</v>
      </c>
      <c r="F11634" t="s">
        <v>0</v>
      </c>
      <c r="G11634" t="str">
        <f>"2018-10-14 12:04:16"</f>
        <v>2018-10-14 12:04:16</v>
      </c>
    </row>
    <row r="11635" spans="1:7" x14ac:dyDescent="0.2">
      <c r="A11635" t="s">
        <v>11849</v>
      </c>
      <c r="B11635" t="str">
        <f>"17374512233"</f>
        <v>17374512233</v>
      </c>
      <c r="C11635" t="str">
        <f>"431224198911120062"</f>
        <v>431224198911120062</v>
      </c>
      <c r="D11635" t="s">
        <v>1</v>
      </c>
      <c r="E11635" t="s">
        <v>1</v>
      </c>
      <c r="F11635" t="s">
        <v>0</v>
      </c>
      <c r="G11635" t="str">
        <f>"2018-10-16 21:43:35"</f>
        <v>2018-10-16 21:43:35</v>
      </c>
    </row>
    <row r="11636" spans="1:7" x14ac:dyDescent="0.2">
      <c r="A11636" t="s">
        <v>1</v>
      </c>
      <c r="B11636" t="str">
        <f>"15008734221"</f>
        <v>15008734221</v>
      </c>
      <c r="C11636" t="s">
        <v>1</v>
      </c>
      <c r="D11636" t="s">
        <v>1</v>
      </c>
      <c r="E11636" t="s">
        <v>1</v>
      </c>
      <c r="F11636" t="s">
        <v>0</v>
      </c>
      <c r="G11636" t="str">
        <f>"2018-10-13 23:03:23"</f>
        <v>2018-10-13 23:03:23</v>
      </c>
    </row>
    <row r="11637" spans="1:7" x14ac:dyDescent="0.2">
      <c r="A11637" t="s">
        <v>1</v>
      </c>
      <c r="B11637" t="str">
        <f>"13577230730"</f>
        <v>13577230730</v>
      </c>
      <c r="C11637" t="s">
        <v>1</v>
      </c>
      <c r="D11637" t="s">
        <v>1</v>
      </c>
      <c r="E11637" t="s">
        <v>1</v>
      </c>
      <c r="F11637" t="s">
        <v>0</v>
      </c>
      <c r="G11637" t="str">
        <f>"2018-10-13 22:59:34"</f>
        <v>2018-10-13 22:59:34</v>
      </c>
    </row>
    <row r="11638" spans="1:7" x14ac:dyDescent="0.2">
      <c r="A11638" t="s">
        <v>1</v>
      </c>
      <c r="B11638" t="str">
        <f>"15016884984"</f>
        <v>15016884984</v>
      </c>
      <c r="C11638" t="s">
        <v>1</v>
      </c>
      <c r="D11638" t="s">
        <v>1</v>
      </c>
      <c r="E11638" t="s">
        <v>1</v>
      </c>
      <c r="F11638" t="s">
        <v>0</v>
      </c>
      <c r="G11638" t="str">
        <f>"2018-10-13 22:59:03"</f>
        <v>2018-10-13 22:59:03</v>
      </c>
    </row>
    <row r="11639" spans="1:7" x14ac:dyDescent="0.2">
      <c r="A11639" t="s">
        <v>11850</v>
      </c>
      <c r="B11639" t="str">
        <f>"18079934141"</f>
        <v>18079934141</v>
      </c>
      <c r="C11639" t="str">
        <f>"43070219870804252X"</f>
        <v>43070219870804252X</v>
      </c>
      <c r="D11639" t="s">
        <v>11851</v>
      </c>
      <c r="E11639" t="s">
        <v>11852</v>
      </c>
      <c r="F11639" t="s">
        <v>0</v>
      </c>
      <c r="G11639" t="str">
        <f>"2018-10-13 22:54:25"</f>
        <v>2018-10-13 22:54:25</v>
      </c>
    </row>
    <row r="11640" spans="1:7" x14ac:dyDescent="0.2">
      <c r="A11640" t="s">
        <v>11853</v>
      </c>
      <c r="B11640" t="str">
        <f>"13037574848"</f>
        <v>13037574848</v>
      </c>
      <c r="C11640" t="str">
        <f>"412324197809092534"</f>
        <v>412324197809092534</v>
      </c>
      <c r="D11640" t="s">
        <v>1</v>
      </c>
      <c r="E11640" t="s">
        <v>1</v>
      </c>
      <c r="F11640" t="s">
        <v>0</v>
      </c>
      <c r="G11640" t="str">
        <f>"2018-10-14 11:08:42"</f>
        <v>2018-10-14 11:08:42</v>
      </c>
    </row>
    <row r="11641" spans="1:7" x14ac:dyDescent="0.2">
      <c r="A11641" t="s">
        <v>1</v>
      </c>
      <c r="B11641" t="str">
        <f>"18085577069"</f>
        <v>18085577069</v>
      </c>
      <c r="C11641" t="s">
        <v>1</v>
      </c>
      <c r="D11641" t="s">
        <v>1</v>
      </c>
      <c r="E11641" t="s">
        <v>1</v>
      </c>
      <c r="F11641" t="s">
        <v>0</v>
      </c>
      <c r="G11641" t="str">
        <f>"2018-10-13 22:52:41"</f>
        <v>2018-10-13 22:52:41</v>
      </c>
    </row>
    <row r="11642" spans="1:7" x14ac:dyDescent="0.2">
      <c r="A11642" t="s">
        <v>1</v>
      </c>
      <c r="B11642" t="str">
        <f>"13168427397"</f>
        <v>13168427397</v>
      </c>
      <c r="C11642" t="s">
        <v>1</v>
      </c>
      <c r="D11642" t="s">
        <v>1</v>
      </c>
      <c r="E11642" t="s">
        <v>1</v>
      </c>
      <c r="F11642" t="s">
        <v>0</v>
      </c>
      <c r="G11642" t="str">
        <f>"2018-10-13 22:47:50"</f>
        <v>2018-10-13 22:47:50</v>
      </c>
    </row>
    <row r="11643" spans="1:7" x14ac:dyDescent="0.2">
      <c r="A11643" t="s">
        <v>11854</v>
      </c>
      <c r="B11643" t="str">
        <f>"17372699227"</f>
        <v>17372699227</v>
      </c>
      <c r="C11643" t="str">
        <f>"412723199904160894"</f>
        <v>412723199904160894</v>
      </c>
      <c r="D11643" t="s">
        <v>1</v>
      </c>
      <c r="E11643" t="s">
        <v>1</v>
      </c>
      <c r="F11643" t="s">
        <v>0</v>
      </c>
      <c r="G11643" t="str">
        <f>"2018-10-13 22:49:16"</f>
        <v>2018-10-13 22:49:16</v>
      </c>
    </row>
    <row r="11644" spans="1:7" x14ac:dyDescent="0.2">
      <c r="A11644" t="s">
        <v>1676</v>
      </c>
      <c r="B11644" t="str">
        <f>"15377544417"</f>
        <v>15377544417</v>
      </c>
      <c r="C11644" t="str">
        <f>"420114198708230070"</f>
        <v>420114198708230070</v>
      </c>
      <c r="D11644" t="s">
        <v>1</v>
      </c>
      <c r="E11644" t="s">
        <v>1</v>
      </c>
      <c r="F11644" t="s">
        <v>0</v>
      </c>
      <c r="G11644" t="str">
        <f>"2018-10-13 22:48:08"</f>
        <v>2018-10-13 22:48:08</v>
      </c>
    </row>
    <row r="11645" spans="1:7" x14ac:dyDescent="0.2">
      <c r="A11645" t="s">
        <v>11855</v>
      </c>
      <c r="B11645" t="str">
        <f>"13030869930"</f>
        <v>13030869930</v>
      </c>
      <c r="C11645" t="str">
        <f>"35018119970226177X"</f>
        <v>35018119970226177X</v>
      </c>
      <c r="D11645" t="s">
        <v>1</v>
      </c>
      <c r="E11645" t="s">
        <v>1</v>
      </c>
      <c r="F11645" t="s">
        <v>0</v>
      </c>
      <c r="G11645" t="str">
        <f>"2018-10-13 22:56:19"</f>
        <v>2018-10-13 22:56:19</v>
      </c>
    </row>
    <row r="11646" spans="1:7" x14ac:dyDescent="0.2">
      <c r="A11646" t="s">
        <v>1</v>
      </c>
      <c r="B11646" t="str">
        <f>"13854596279"</f>
        <v>13854596279</v>
      </c>
      <c r="C11646" t="s">
        <v>1</v>
      </c>
      <c r="D11646" t="s">
        <v>1</v>
      </c>
      <c r="E11646" t="s">
        <v>1</v>
      </c>
      <c r="F11646" t="s">
        <v>0</v>
      </c>
      <c r="G11646" t="str">
        <f>"2018-10-13 22:47:24"</f>
        <v>2018-10-13 22:47:24</v>
      </c>
    </row>
    <row r="11647" spans="1:7" x14ac:dyDescent="0.2">
      <c r="A11647" t="s">
        <v>11856</v>
      </c>
      <c r="B11647" t="str">
        <f>"15774827416"</f>
        <v>15774827416</v>
      </c>
      <c r="C11647" t="str">
        <f>"152222199711036312"</f>
        <v>152222199711036312</v>
      </c>
      <c r="D11647" t="s">
        <v>1</v>
      </c>
      <c r="E11647" t="s">
        <v>1</v>
      </c>
      <c r="F11647" t="s">
        <v>0</v>
      </c>
      <c r="G11647" t="str">
        <f>"2018-10-13 22:46:51"</f>
        <v>2018-10-13 22:46:51</v>
      </c>
    </row>
    <row r="11648" spans="1:7" x14ac:dyDescent="0.2">
      <c r="A11648" t="s">
        <v>1</v>
      </c>
      <c r="B11648" t="str">
        <f>"18052244648"</f>
        <v>18052244648</v>
      </c>
      <c r="C11648" t="s">
        <v>1</v>
      </c>
      <c r="D11648" t="s">
        <v>1</v>
      </c>
      <c r="E11648" t="s">
        <v>1</v>
      </c>
      <c r="F11648" t="s">
        <v>0</v>
      </c>
      <c r="G11648" t="str">
        <f>"2018-10-13 22:44:34"</f>
        <v>2018-10-13 22:44:34</v>
      </c>
    </row>
    <row r="11649" spans="1:7" x14ac:dyDescent="0.2">
      <c r="A11649" t="s">
        <v>11857</v>
      </c>
      <c r="B11649" t="str">
        <f>"15607173015"</f>
        <v>15607173015</v>
      </c>
      <c r="C11649" t="str">
        <f>"421222199708193215"</f>
        <v>421222199708193215</v>
      </c>
      <c r="D11649" t="s">
        <v>1</v>
      </c>
      <c r="E11649" t="s">
        <v>1</v>
      </c>
      <c r="F11649" t="s">
        <v>0</v>
      </c>
      <c r="G11649" t="str">
        <f>"2018-10-13 23:06:31"</f>
        <v>2018-10-13 23:06:31</v>
      </c>
    </row>
    <row r="11650" spans="1:7" x14ac:dyDescent="0.2">
      <c r="A11650" t="s">
        <v>1332</v>
      </c>
      <c r="B11650" t="str">
        <f>"15529036603"</f>
        <v>15529036603</v>
      </c>
      <c r="C11650" t="str">
        <f>"61011519910713352X"</f>
        <v>61011519910713352X</v>
      </c>
      <c r="D11650" t="s">
        <v>1</v>
      </c>
      <c r="E11650" t="s">
        <v>1</v>
      </c>
      <c r="F11650" t="s">
        <v>0</v>
      </c>
      <c r="G11650" t="str">
        <f>"2018-10-14 08:21:49"</f>
        <v>2018-10-14 08:21:49</v>
      </c>
    </row>
    <row r="11651" spans="1:7" x14ac:dyDescent="0.2">
      <c r="A11651" t="s">
        <v>11858</v>
      </c>
      <c r="B11651" t="str">
        <f>"15718057255"</f>
        <v>15718057255</v>
      </c>
      <c r="C11651" t="str">
        <f>"51041119930922083X"</f>
        <v>51041119930922083X</v>
      </c>
      <c r="D11651" t="s">
        <v>1</v>
      </c>
      <c r="E11651" t="s">
        <v>1</v>
      </c>
      <c r="F11651" t="s">
        <v>0</v>
      </c>
      <c r="G11651" t="str">
        <f>"2018-10-13 22:44:54"</f>
        <v>2018-10-13 22:44:54</v>
      </c>
    </row>
    <row r="11652" spans="1:7" x14ac:dyDescent="0.2">
      <c r="A11652" t="s">
        <v>1</v>
      </c>
      <c r="B11652" t="str">
        <f>"15253702851"</f>
        <v>15253702851</v>
      </c>
      <c r="C11652" t="s">
        <v>1</v>
      </c>
      <c r="D11652" t="s">
        <v>1</v>
      </c>
      <c r="E11652" t="s">
        <v>1</v>
      </c>
      <c r="F11652" t="s">
        <v>0</v>
      </c>
      <c r="G11652" t="str">
        <f>"2018-10-13 22:42:23"</f>
        <v>2018-10-13 22:42:23</v>
      </c>
    </row>
    <row r="11653" spans="1:7" x14ac:dyDescent="0.2">
      <c r="A11653" t="s">
        <v>11859</v>
      </c>
      <c r="B11653" t="str">
        <f>"13915231747"</f>
        <v>13915231747</v>
      </c>
      <c r="C11653" t="str">
        <f>"320222198109290575"</f>
        <v>320222198109290575</v>
      </c>
      <c r="D11653" t="s">
        <v>1</v>
      </c>
      <c r="E11653" t="s">
        <v>1</v>
      </c>
      <c r="F11653" t="s">
        <v>0</v>
      </c>
      <c r="G11653" t="str">
        <f>"2018-10-13 22:44:20"</f>
        <v>2018-10-13 22:44:20</v>
      </c>
    </row>
    <row r="11654" spans="1:7" x14ac:dyDescent="0.2">
      <c r="A11654" t="s">
        <v>11860</v>
      </c>
      <c r="B11654" t="str">
        <f>"18719679275"</f>
        <v>18719679275</v>
      </c>
      <c r="C11654" t="str">
        <f>"622429199509125432"</f>
        <v>622429199509125432</v>
      </c>
      <c r="D11654" t="s">
        <v>1</v>
      </c>
      <c r="E11654" t="s">
        <v>1</v>
      </c>
      <c r="F11654" t="s">
        <v>0</v>
      </c>
      <c r="G11654" t="str">
        <f>"2018-10-13 22:44:49"</f>
        <v>2018-10-13 22:44:49</v>
      </c>
    </row>
    <row r="11655" spans="1:7" x14ac:dyDescent="0.2">
      <c r="A11655" t="s">
        <v>11861</v>
      </c>
      <c r="B11655" t="str">
        <f>"13771447947"</f>
        <v>13771447947</v>
      </c>
      <c r="C11655" t="str">
        <f>"320923198611246910"</f>
        <v>320923198611246910</v>
      </c>
      <c r="D11655" t="s">
        <v>11862</v>
      </c>
      <c r="E11655" t="s">
        <v>11863</v>
      </c>
      <c r="F11655" t="s">
        <v>0</v>
      </c>
      <c r="G11655" t="str">
        <f>"2018-10-18 21:19:31"</f>
        <v>2018-10-18 21:19:31</v>
      </c>
    </row>
    <row r="11656" spans="1:7" x14ac:dyDescent="0.2">
      <c r="A11656" t="s">
        <v>11864</v>
      </c>
      <c r="B11656" t="str">
        <f>"13987800221"</f>
        <v>13987800221</v>
      </c>
      <c r="C11656" t="str">
        <f>"532301198110200033"</f>
        <v>532301198110200033</v>
      </c>
      <c r="D11656" t="s">
        <v>1</v>
      </c>
      <c r="E11656" t="s">
        <v>1</v>
      </c>
      <c r="F11656" t="s">
        <v>0</v>
      </c>
      <c r="G11656" t="str">
        <f>"2018-10-13 22:37:07"</f>
        <v>2018-10-13 22:37:07</v>
      </c>
    </row>
    <row r="11657" spans="1:7" x14ac:dyDescent="0.2">
      <c r="A11657" t="s">
        <v>1</v>
      </c>
      <c r="B11657" t="str">
        <f>"13123491430"</f>
        <v>13123491430</v>
      </c>
      <c r="C11657" t="s">
        <v>1</v>
      </c>
      <c r="D11657" t="s">
        <v>1</v>
      </c>
      <c r="E11657" t="s">
        <v>1</v>
      </c>
      <c r="F11657" t="s">
        <v>0</v>
      </c>
      <c r="G11657" t="str">
        <f>"2018-10-13 22:33:56"</f>
        <v>2018-10-13 22:33:56</v>
      </c>
    </row>
    <row r="11658" spans="1:7" x14ac:dyDescent="0.2">
      <c r="A11658" t="s">
        <v>6</v>
      </c>
      <c r="B11658" t="str">
        <f>"15502992589"</f>
        <v>15502992589</v>
      </c>
      <c r="C11658" t="str">
        <f>"610103199809161669"</f>
        <v>610103199809161669</v>
      </c>
      <c r="D11658" t="s">
        <v>1</v>
      </c>
      <c r="E11658" t="s">
        <v>1</v>
      </c>
      <c r="F11658" t="s">
        <v>0</v>
      </c>
      <c r="G11658" t="str">
        <f>"2018-10-13 22:35:43"</f>
        <v>2018-10-13 22:35:43</v>
      </c>
    </row>
    <row r="11659" spans="1:7" x14ac:dyDescent="0.2">
      <c r="A11659" t="s">
        <v>505</v>
      </c>
      <c r="B11659" t="str">
        <f>"18687307773"</f>
        <v>18687307773</v>
      </c>
      <c r="C11659" t="str">
        <f>"532525197910101751"</f>
        <v>532525197910101751</v>
      </c>
      <c r="D11659" t="s">
        <v>1</v>
      </c>
      <c r="E11659" t="s">
        <v>1</v>
      </c>
      <c r="F11659" t="s">
        <v>0</v>
      </c>
      <c r="G11659" t="str">
        <f>"2018-10-13 22:30:15"</f>
        <v>2018-10-13 22:30:15</v>
      </c>
    </row>
    <row r="11660" spans="1:7" x14ac:dyDescent="0.2">
      <c r="A11660" t="s">
        <v>11865</v>
      </c>
      <c r="B11660" t="str">
        <f>"15885609537"</f>
        <v>15885609537</v>
      </c>
      <c r="C11660" t="str">
        <f>"522123197012200022"</f>
        <v>522123197012200022</v>
      </c>
      <c r="D11660" t="s">
        <v>1</v>
      </c>
      <c r="E11660" t="s">
        <v>1</v>
      </c>
      <c r="F11660" t="s">
        <v>0</v>
      </c>
      <c r="G11660" t="str">
        <f>"2018-10-13 22:30:31"</f>
        <v>2018-10-13 22:30:31</v>
      </c>
    </row>
    <row r="11661" spans="1:7" x14ac:dyDescent="0.2">
      <c r="A11661" t="s">
        <v>1</v>
      </c>
      <c r="B11661" t="str">
        <f>"15117688744"</f>
        <v>15117688744</v>
      </c>
      <c r="C11661" t="s">
        <v>1</v>
      </c>
      <c r="D11661" t="s">
        <v>1</v>
      </c>
      <c r="E11661" t="s">
        <v>1</v>
      </c>
      <c r="F11661" t="s">
        <v>0</v>
      </c>
      <c r="G11661" t="str">
        <f>"2018-10-13 22:28:14"</f>
        <v>2018-10-13 22:28:14</v>
      </c>
    </row>
    <row r="11662" spans="1:7" x14ac:dyDescent="0.2">
      <c r="A11662" t="s">
        <v>1</v>
      </c>
      <c r="B11662" t="str">
        <f>"13248643341"</f>
        <v>13248643341</v>
      </c>
      <c r="C11662" t="s">
        <v>1</v>
      </c>
      <c r="D11662" t="s">
        <v>1</v>
      </c>
      <c r="E11662" t="s">
        <v>1</v>
      </c>
      <c r="F11662" t="s">
        <v>0</v>
      </c>
      <c r="G11662" t="str">
        <f>"2018-10-13 22:28:07"</f>
        <v>2018-10-13 22:28:07</v>
      </c>
    </row>
    <row r="11663" spans="1:7" x14ac:dyDescent="0.2">
      <c r="A11663" t="s">
        <v>1</v>
      </c>
      <c r="B11663" t="str">
        <f>"13824145064"</f>
        <v>13824145064</v>
      </c>
      <c r="C11663" t="s">
        <v>1</v>
      </c>
      <c r="D11663" t="s">
        <v>1</v>
      </c>
      <c r="E11663" t="s">
        <v>1</v>
      </c>
      <c r="F11663" t="s">
        <v>0</v>
      </c>
      <c r="G11663" t="str">
        <f>"2018-10-13 22:26:09"</f>
        <v>2018-10-13 22:26:09</v>
      </c>
    </row>
    <row r="11664" spans="1:7" x14ac:dyDescent="0.2">
      <c r="A11664" t="s">
        <v>11866</v>
      </c>
      <c r="B11664" t="str">
        <f>"15818238028"</f>
        <v>15818238028</v>
      </c>
      <c r="C11664" t="str">
        <f>"450621199412062910"</f>
        <v>450621199412062910</v>
      </c>
      <c r="D11664" t="s">
        <v>1</v>
      </c>
      <c r="E11664" t="s">
        <v>1</v>
      </c>
      <c r="F11664" t="s">
        <v>0</v>
      </c>
      <c r="G11664" t="str">
        <f>"2018-10-13 22:27:40"</f>
        <v>2018-10-13 22:27:40</v>
      </c>
    </row>
    <row r="11665" spans="1:7" x14ac:dyDescent="0.2">
      <c r="A11665" t="s">
        <v>11867</v>
      </c>
      <c r="B11665" t="str">
        <f>"13825431697"</f>
        <v>13825431697</v>
      </c>
      <c r="C11665" t="str">
        <f>"452627198705160317"</f>
        <v>452627198705160317</v>
      </c>
      <c r="D11665" t="s">
        <v>1</v>
      </c>
      <c r="E11665" t="s">
        <v>1</v>
      </c>
      <c r="F11665" t="s">
        <v>0</v>
      </c>
      <c r="G11665" t="str">
        <f>"2018-10-13 22:27:23"</f>
        <v>2018-10-13 22:27:23</v>
      </c>
    </row>
    <row r="11666" spans="1:7" x14ac:dyDescent="0.2">
      <c r="A11666" t="s">
        <v>11868</v>
      </c>
      <c r="B11666" t="str">
        <f>"15349891743"</f>
        <v>15349891743</v>
      </c>
      <c r="C11666" t="str">
        <f>"320482198906184211"</f>
        <v>320482198906184211</v>
      </c>
      <c r="D11666" t="s">
        <v>1</v>
      </c>
      <c r="E11666" t="s">
        <v>1</v>
      </c>
      <c r="F11666" t="s">
        <v>0</v>
      </c>
      <c r="G11666" t="str">
        <f>"2018-10-13 22:28:35"</f>
        <v>2018-10-13 22:28:35</v>
      </c>
    </row>
    <row r="11667" spans="1:7" x14ac:dyDescent="0.2">
      <c r="A11667" t="s">
        <v>1</v>
      </c>
      <c r="B11667" t="str">
        <f>"18386461126"</f>
        <v>18386461126</v>
      </c>
      <c r="C11667" t="s">
        <v>1</v>
      </c>
      <c r="D11667" t="s">
        <v>1</v>
      </c>
      <c r="E11667" t="s">
        <v>1</v>
      </c>
      <c r="F11667" t="s">
        <v>0</v>
      </c>
      <c r="G11667" t="str">
        <f>"2018-10-13 22:22:11"</f>
        <v>2018-10-13 22:22:11</v>
      </c>
    </row>
    <row r="11668" spans="1:7" x14ac:dyDescent="0.2">
      <c r="A11668" t="s">
        <v>11869</v>
      </c>
      <c r="B11668" t="str">
        <f>"18604267068"</f>
        <v>18604267068</v>
      </c>
      <c r="C11668" t="str">
        <f>"210624199708210040"</f>
        <v>210624199708210040</v>
      </c>
      <c r="D11668" t="s">
        <v>1</v>
      </c>
      <c r="E11668" t="s">
        <v>1</v>
      </c>
      <c r="F11668" t="s">
        <v>0</v>
      </c>
      <c r="G11668" t="str">
        <f>"2018-10-13 22:22:16"</f>
        <v>2018-10-13 22:22:16</v>
      </c>
    </row>
    <row r="11669" spans="1:7" x14ac:dyDescent="0.2">
      <c r="A11669" t="s">
        <v>11870</v>
      </c>
      <c r="B11669" t="str">
        <f>"15548378606"</f>
        <v>15548378606</v>
      </c>
      <c r="C11669" t="str">
        <f>"152525199304212425"</f>
        <v>152525199304212425</v>
      </c>
      <c r="D11669" t="s">
        <v>1</v>
      </c>
      <c r="E11669" t="s">
        <v>1</v>
      </c>
      <c r="F11669" t="s">
        <v>0</v>
      </c>
      <c r="G11669" t="str">
        <f>"2018-11-01 12:22:09"</f>
        <v>2018-11-01 12:22:09</v>
      </c>
    </row>
    <row r="11670" spans="1:7" x14ac:dyDescent="0.2">
      <c r="A11670" t="s">
        <v>11871</v>
      </c>
      <c r="B11670" t="str">
        <f>"13539717712"</f>
        <v>13539717712</v>
      </c>
      <c r="C11670" t="str">
        <f>"440923199310021736"</f>
        <v>440923199310021736</v>
      </c>
      <c r="D11670" t="s">
        <v>1</v>
      </c>
      <c r="E11670" t="s">
        <v>1</v>
      </c>
      <c r="F11670" t="s">
        <v>0</v>
      </c>
      <c r="G11670" t="str">
        <f>"2018-10-13 22:17:17"</f>
        <v>2018-10-13 22:17:17</v>
      </c>
    </row>
    <row r="11671" spans="1:7" x14ac:dyDescent="0.2">
      <c r="A11671" t="s">
        <v>1821</v>
      </c>
      <c r="B11671" t="str">
        <f>"13463107953"</f>
        <v>13463107953</v>
      </c>
      <c r="C11671" t="str">
        <f>"130404198205310313"</f>
        <v>130404198205310313</v>
      </c>
      <c r="D11671" t="s">
        <v>1</v>
      </c>
      <c r="E11671" t="s">
        <v>1</v>
      </c>
      <c r="F11671" t="s">
        <v>0</v>
      </c>
      <c r="G11671" t="str">
        <f>"2018-10-23 12:48:08"</f>
        <v>2018-10-23 12:48:08</v>
      </c>
    </row>
    <row r="11672" spans="1:7" x14ac:dyDescent="0.2">
      <c r="A11672" t="s">
        <v>1</v>
      </c>
      <c r="B11672" t="str">
        <f>"13072433586"</f>
        <v>13072433586</v>
      </c>
      <c r="C11672" t="s">
        <v>1</v>
      </c>
      <c r="D11672" t="s">
        <v>1</v>
      </c>
      <c r="E11672" t="s">
        <v>1</v>
      </c>
      <c r="F11672" t="s">
        <v>0</v>
      </c>
      <c r="G11672" t="str">
        <f>"2018-10-13 22:17:25"</f>
        <v>2018-10-13 22:17:25</v>
      </c>
    </row>
    <row r="11673" spans="1:7" x14ac:dyDescent="0.2">
      <c r="A11673" t="s">
        <v>11872</v>
      </c>
      <c r="B11673" t="str">
        <f>"15161303527"</f>
        <v>15161303527</v>
      </c>
      <c r="C11673" t="str">
        <f>"45240219960726424X"</f>
        <v>45240219960726424X</v>
      </c>
      <c r="D11673" t="s">
        <v>1</v>
      </c>
      <c r="E11673" t="s">
        <v>1</v>
      </c>
      <c r="F11673" t="s">
        <v>0</v>
      </c>
      <c r="G11673" t="str">
        <f>"2018-10-13 22:17:24"</f>
        <v>2018-10-13 22:17:24</v>
      </c>
    </row>
    <row r="11674" spans="1:7" x14ac:dyDescent="0.2">
      <c r="A11674" t="s">
        <v>11873</v>
      </c>
      <c r="B11674" t="str">
        <f>"15034855297"</f>
        <v>15034855297</v>
      </c>
      <c r="C11674" t="str">
        <f>"152224199609130014"</f>
        <v>152224199609130014</v>
      </c>
      <c r="D11674" t="s">
        <v>1</v>
      </c>
      <c r="E11674" t="s">
        <v>1</v>
      </c>
      <c r="F11674" t="s">
        <v>0</v>
      </c>
      <c r="G11674" t="str">
        <f>"2018-10-14 15:20:42"</f>
        <v>2018-10-14 15:20:42</v>
      </c>
    </row>
    <row r="11675" spans="1:7" x14ac:dyDescent="0.2">
      <c r="A11675" t="s">
        <v>11874</v>
      </c>
      <c r="B11675" t="str">
        <f>"15228943724"</f>
        <v>15228943724</v>
      </c>
      <c r="C11675" t="str">
        <f>"511528199501193812"</f>
        <v>511528199501193812</v>
      </c>
      <c r="D11675" t="s">
        <v>1</v>
      </c>
      <c r="E11675" t="s">
        <v>1</v>
      </c>
      <c r="F11675" t="s">
        <v>0</v>
      </c>
      <c r="G11675" t="str">
        <f>"2018-10-14 00:52:33"</f>
        <v>2018-10-14 00:52:33</v>
      </c>
    </row>
    <row r="11676" spans="1:7" x14ac:dyDescent="0.2">
      <c r="A11676" t="s">
        <v>11875</v>
      </c>
      <c r="B11676" t="str">
        <f>"13081192201"</f>
        <v>13081192201</v>
      </c>
      <c r="C11676" t="str">
        <f>"130804199310200032"</f>
        <v>130804199310200032</v>
      </c>
      <c r="D11676" t="s">
        <v>1</v>
      </c>
      <c r="E11676" t="s">
        <v>1</v>
      </c>
      <c r="F11676" t="s">
        <v>0</v>
      </c>
      <c r="G11676" t="str">
        <f>"2018-10-13 22:58:00"</f>
        <v>2018-10-13 22:58:00</v>
      </c>
    </row>
    <row r="11677" spans="1:7" x14ac:dyDescent="0.2">
      <c r="A11677" t="s">
        <v>540</v>
      </c>
      <c r="B11677" t="str">
        <f>"13872096202"</f>
        <v>13872096202</v>
      </c>
      <c r="C11677" t="str">
        <f>"420281198205017214"</f>
        <v>420281198205017214</v>
      </c>
      <c r="D11677" t="s">
        <v>1</v>
      </c>
      <c r="E11677" t="s">
        <v>1</v>
      </c>
      <c r="F11677" t="s">
        <v>0</v>
      </c>
      <c r="G11677" t="str">
        <f>"2018-10-13 22:12:40"</f>
        <v>2018-10-13 22:12:40</v>
      </c>
    </row>
    <row r="11678" spans="1:7" x14ac:dyDescent="0.2">
      <c r="A11678" t="s">
        <v>11876</v>
      </c>
      <c r="B11678" t="str">
        <f>"15098686051"</f>
        <v>15098686051</v>
      </c>
      <c r="C11678" t="str">
        <f>"370687197601110059"</f>
        <v>370687197601110059</v>
      </c>
      <c r="D11678" t="s">
        <v>11877</v>
      </c>
      <c r="E11678" t="s">
        <v>11878</v>
      </c>
      <c r="F11678" t="s">
        <v>0</v>
      </c>
      <c r="G11678" t="str">
        <f>"2018-10-13 22:11:13"</f>
        <v>2018-10-13 22:11:13</v>
      </c>
    </row>
    <row r="11679" spans="1:7" x14ac:dyDescent="0.2">
      <c r="A11679" t="s">
        <v>1</v>
      </c>
      <c r="B11679" t="str">
        <f>"15263333762"</f>
        <v>15263333762</v>
      </c>
      <c r="C11679" t="s">
        <v>1</v>
      </c>
      <c r="D11679" t="s">
        <v>1</v>
      </c>
      <c r="E11679" t="s">
        <v>1</v>
      </c>
      <c r="F11679" t="s">
        <v>0</v>
      </c>
      <c r="G11679" t="str">
        <f>"2018-10-13 22:04:05"</f>
        <v>2018-10-13 22:04:05</v>
      </c>
    </row>
    <row r="11680" spans="1:7" x14ac:dyDescent="0.2">
      <c r="A11680" t="s">
        <v>1</v>
      </c>
      <c r="B11680" t="str">
        <f>"13115817045"</f>
        <v>13115817045</v>
      </c>
      <c r="C11680" t="s">
        <v>1</v>
      </c>
      <c r="D11680" t="s">
        <v>1</v>
      </c>
      <c r="E11680" t="s">
        <v>1</v>
      </c>
      <c r="F11680" t="s">
        <v>0</v>
      </c>
      <c r="G11680" t="str">
        <f>"2018-10-13 22:02:50"</f>
        <v>2018-10-13 22:02:50</v>
      </c>
    </row>
    <row r="11681" spans="1:7" x14ac:dyDescent="0.2">
      <c r="A11681" t="s">
        <v>11879</v>
      </c>
      <c r="B11681" t="str">
        <f>"13577084282"</f>
        <v>13577084282</v>
      </c>
      <c r="C11681" t="str">
        <f>"622627198405200016"</f>
        <v>622627198405200016</v>
      </c>
      <c r="D11681" t="s">
        <v>1</v>
      </c>
      <c r="E11681" t="s">
        <v>1</v>
      </c>
      <c r="F11681" t="s">
        <v>0</v>
      </c>
      <c r="G11681" t="str">
        <f>"2018-11-03 16:09:12"</f>
        <v>2018-11-03 16:09:12</v>
      </c>
    </row>
    <row r="11682" spans="1:7" x14ac:dyDescent="0.2">
      <c r="A11682" t="s">
        <v>11880</v>
      </c>
      <c r="B11682" t="str">
        <f>"18673312667"</f>
        <v>18673312667</v>
      </c>
      <c r="C11682" t="str">
        <f>"430203198402161517"</f>
        <v>430203198402161517</v>
      </c>
      <c r="D11682" t="s">
        <v>1</v>
      </c>
      <c r="E11682" t="s">
        <v>1</v>
      </c>
      <c r="F11682" t="s">
        <v>0</v>
      </c>
      <c r="G11682" t="str">
        <f>"2018-10-16 04:47:27"</f>
        <v>2018-10-16 04:47:27</v>
      </c>
    </row>
    <row r="11683" spans="1:7" x14ac:dyDescent="0.2">
      <c r="A11683" t="s">
        <v>11881</v>
      </c>
      <c r="B11683" t="str">
        <f>"17623340740"</f>
        <v>17623340740</v>
      </c>
      <c r="C11683" t="str">
        <f>"500240199408150530"</f>
        <v>500240199408150530</v>
      </c>
      <c r="D11683" t="s">
        <v>1</v>
      </c>
      <c r="E11683" t="s">
        <v>1</v>
      </c>
      <c r="F11683" t="s">
        <v>0</v>
      </c>
      <c r="G11683" t="str">
        <f>"2018-10-13 21:57:46"</f>
        <v>2018-10-13 21:57:46</v>
      </c>
    </row>
    <row r="11684" spans="1:7" x14ac:dyDescent="0.2">
      <c r="A11684" t="s">
        <v>1</v>
      </c>
      <c r="B11684" t="str">
        <f>"17074975817"</f>
        <v>17074975817</v>
      </c>
      <c r="C11684" t="s">
        <v>1</v>
      </c>
      <c r="D11684" t="s">
        <v>1</v>
      </c>
      <c r="E11684" t="s">
        <v>1</v>
      </c>
      <c r="F11684" t="s">
        <v>0</v>
      </c>
      <c r="G11684" t="str">
        <f>"2018-10-13 21:53:57"</f>
        <v>2018-10-13 21:53:57</v>
      </c>
    </row>
    <row r="11685" spans="1:7" x14ac:dyDescent="0.2">
      <c r="A11685" t="s">
        <v>1</v>
      </c>
      <c r="B11685" t="str">
        <f>"15678033734"</f>
        <v>15678033734</v>
      </c>
      <c r="C11685" t="s">
        <v>1</v>
      </c>
      <c r="D11685" t="s">
        <v>1</v>
      </c>
      <c r="E11685" t="s">
        <v>1</v>
      </c>
      <c r="F11685" t="s">
        <v>0</v>
      </c>
      <c r="G11685" t="str">
        <f>"2018-10-13 21:53:35"</f>
        <v>2018-10-13 21:53:35</v>
      </c>
    </row>
    <row r="11686" spans="1:7" x14ac:dyDescent="0.2">
      <c r="A11686" t="s">
        <v>11882</v>
      </c>
      <c r="B11686" t="str">
        <f>"18155205577"</f>
        <v>18155205577</v>
      </c>
      <c r="C11686" t="str">
        <f>"340102197912221526"</f>
        <v>340102197912221526</v>
      </c>
      <c r="D11686" t="s">
        <v>1</v>
      </c>
      <c r="E11686" t="s">
        <v>1</v>
      </c>
      <c r="F11686" t="s">
        <v>0</v>
      </c>
      <c r="G11686" t="str">
        <f>"2018-10-23 17:53:46"</f>
        <v>2018-10-23 17:53:46</v>
      </c>
    </row>
    <row r="11687" spans="1:7" x14ac:dyDescent="0.2">
      <c r="A11687" t="s">
        <v>11883</v>
      </c>
      <c r="B11687" t="str">
        <f>"13642914719"</f>
        <v>13642914719</v>
      </c>
      <c r="C11687" t="str">
        <f>"513029199610062599"</f>
        <v>513029199610062599</v>
      </c>
      <c r="D11687" t="s">
        <v>1</v>
      </c>
      <c r="E11687" t="s">
        <v>1</v>
      </c>
      <c r="F11687" t="s">
        <v>0</v>
      </c>
      <c r="G11687" t="str">
        <f>"2018-10-13 21:54:16"</f>
        <v>2018-10-13 21:54:16</v>
      </c>
    </row>
    <row r="11688" spans="1:7" x14ac:dyDescent="0.2">
      <c r="A11688" t="s">
        <v>161</v>
      </c>
      <c r="B11688" t="str">
        <f>"13235834677"</f>
        <v>13235834677</v>
      </c>
      <c r="C11688" t="str">
        <f>"330481198312284640"</f>
        <v>330481198312284640</v>
      </c>
      <c r="D11688" t="s">
        <v>1</v>
      </c>
      <c r="E11688" t="s">
        <v>1</v>
      </c>
      <c r="F11688" t="s">
        <v>0</v>
      </c>
      <c r="G11688" t="str">
        <f>"2018-10-13 22:09:44"</f>
        <v>2018-10-13 22:09:44</v>
      </c>
    </row>
    <row r="11689" spans="1:7" x14ac:dyDescent="0.2">
      <c r="A11689" t="s">
        <v>11884</v>
      </c>
      <c r="B11689" t="str">
        <f>"15326374158"</f>
        <v>15326374158</v>
      </c>
      <c r="C11689" t="str">
        <f>"231083197208186411"</f>
        <v>231083197208186411</v>
      </c>
      <c r="D11689" t="s">
        <v>1</v>
      </c>
      <c r="E11689" t="s">
        <v>1</v>
      </c>
      <c r="F11689" t="s">
        <v>0</v>
      </c>
      <c r="G11689" t="str">
        <f>"2018-10-14 18:39:38"</f>
        <v>2018-10-14 18:39:38</v>
      </c>
    </row>
    <row r="11690" spans="1:7" x14ac:dyDescent="0.2">
      <c r="A11690" t="s">
        <v>1</v>
      </c>
      <c r="B11690" t="str">
        <f>"18868770587"</f>
        <v>18868770587</v>
      </c>
      <c r="C11690" t="s">
        <v>1</v>
      </c>
      <c r="D11690" t="s">
        <v>1</v>
      </c>
      <c r="E11690" t="s">
        <v>1</v>
      </c>
      <c r="F11690" t="s">
        <v>0</v>
      </c>
      <c r="G11690" t="str">
        <f>"2018-10-13 21:50:49"</f>
        <v>2018-10-13 21:50:49</v>
      </c>
    </row>
    <row r="11691" spans="1:7" x14ac:dyDescent="0.2">
      <c r="A11691" t="s">
        <v>11885</v>
      </c>
      <c r="B11691" t="str">
        <f>"18175521798"</f>
        <v>18175521798</v>
      </c>
      <c r="C11691" t="str">
        <f>"431026198208011616"</f>
        <v>431026198208011616</v>
      </c>
      <c r="D11691" t="s">
        <v>1</v>
      </c>
      <c r="E11691" t="s">
        <v>1</v>
      </c>
      <c r="F11691" t="s">
        <v>0</v>
      </c>
      <c r="G11691" t="str">
        <f>"2018-10-13 21:53:42"</f>
        <v>2018-10-13 21:53:42</v>
      </c>
    </row>
    <row r="11692" spans="1:7" x14ac:dyDescent="0.2">
      <c r="A11692" t="s">
        <v>11886</v>
      </c>
      <c r="B11692" t="str">
        <f>"13935260992"</f>
        <v>13935260992</v>
      </c>
      <c r="C11692" t="str">
        <f>"140202198806216013"</f>
        <v>140202198806216013</v>
      </c>
      <c r="D11692" t="s">
        <v>1</v>
      </c>
      <c r="E11692" t="s">
        <v>1</v>
      </c>
      <c r="F11692" t="s">
        <v>0</v>
      </c>
      <c r="G11692" t="str">
        <f>"2018-10-13 22:09:41"</f>
        <v>2018-10-13 22:09:41</v>
      </c>
    </row>
    <row r="11693" spans="1:7" x14ac:dyDescent="0.2">
      <c r="A11693" t="s">
        <v>11887</v>
      </c>
      <c r="B11693" t="str">
        <f>"17692178587"</f>
        <v>17692178587</v>
      </c>
      <c r="C11693" t="str">
        <f>"130126199506261814"</f>
        <v>130126199506261814</v>
      </c>
      <c r="D11693" t="s">
        <v>1</v>
      </c>
      <c r="E11693" t="s">
        <v>1</v>
      </c>
      <c r="F11693" t="s">
        <v>0</v>
      </c>
      <c r="G11693" t="str">
        <f>"2018-11-03 20:12:17"</f>
        <v>2018-11-03 20:12:17</v>
      </c>
    </row>
    <row r="11694" spans="1:7" x14ac:dyDescent="0.2">
      <c r="A11694" t="s">
        <v>11888</v>
      </c>
      <c r="B11694" t="str">
        <f>"13520831979"</f>
        <v>13520831979</v>
      </c>
      <c r="C11694" t="str">
        <f>"110106197905140026"</f>
        <v>110106197905140026</v>
      </c>
      <c r="D11694" t="s">
        <v>1</v>
      </c>
      <c r="E11694" t="s">
        <v>1</v>
      </c>
      <c r="F11694" t="s">
        <v>0</v>
      </c>
      <c r="G11694" t="str">
        <f>"2018-10-13 21:47:13"</f>
        <v>2018-10-13 21:47:13</v>
      </c>
    </row>
    <row r="11695" spans="1:7" x14ac:dyDescent="0.2">
      <c r="A11695" t="s">
        <v>11889</v>
      </c>
      <c r="B11695" t="str">
        <f>"17708053509"</f>
        <v>17708053509</v>
      </c>
      <c r="C11695" t="str">
        <f>"511123199210091820"</f>
        <v>511123199210091820</v>
      </c>
      <c r="D11695" t="s">
        <v>1</v>
      </c>
      <c r="E11695" t="s">
        <v>1</v>
      </c>
      <c r="F11695" t="s">
        <v>0</v>
      </c>
      <c r="G11695" t="str">
        <f>"2018-10-13 21:49:11"</f>
        <v>2018-10-13 21:49:11</v>
      </c>
    </row>
    <row r="11696" spans="1:7" x14ac:dyDescent="0.2">
      <c r="A11696" t="s">
        <v>1</v>
      </c>
      <c r="B11696" t="str">
        <f>"13629403672"</f>
        <v>13629403672</v>
      </c>
      <c r="C11696" t="s">
        <v>1</v>
      </c>
      <c r="D11696" t="s">
        <v>1</v>
      </c>
      <c r="E11696" t="s">
        <v>1</v>
      </c>
      <c r="F11696" t="s">
        <v>0</v>
      </c>
      <c r="G11696" t="str">
        <f>"2018-10-13 21:43:50"</f>
        <v>2018-10-13 21:43:50</v>
      </c>
    </row>
    <row r="11697" spans="1:7" x14ac:dyDescent="0.2">
      <c r="A11697" t="s">
        <v>1</v>
      </c>
      <c r="B11697" t="str">
        <f>"13887633775"</f>
        <v>13887633775</v>
      </c>
      <c r="C11697" t="s">
        <v>1</v>
      </c>
      <c r="D11697" t="s">
        <v>1</v>
      </c>
      <c r="E11697" t="s">
        <v>1</v>
      </c>
      <c r="F11697" t="s">
        <v>0</v>
      </c>
      <c r="G11697" t="str">
        <f>"2018-10-13 21:42:43"</f>
        <v>2018-10-13 21:42:43</v>
      </c>
    </row>
    <row r="11698" spans="1:7" x14ac:dyDescent="0.2">
      <c r="A11698" t="s">
        <v>11890</v>
      </c>
      <c r="B11698" t="str">
        <f>"15092268029"</f>
        <v>15092268029</v>
      </c>
      <c r="C11698" t="str">
        <f>"37020219940715182X"</f>
        <v>37020219940715182X</v>
      </c>
      <c r="D11698" t="s">
        <v>1</v>
      </c>
      <c r="E11698" t="s">
        <v>1</v>
      </c>
      <c r="F11698" t="s">
        <v>0</v>
      </c>
      <c r="G11698" t="str">
        <f>"2018-10-13 21:40:52"</f>
        <v>2018-10-13 21:40:52</v>
      </c>
    </row>
    <row r="11699" spans="1:7" x14ac:dyDescent="0.2">
      <c r="A11699" t="s">
        <v>11891</v>
      </c>
      <c r="B11699" t="str">
        <f>"13479460576"</f>
        <v>13479460576</v>
      </c>
      <c r="C11699" t="str">
        <f>"360733199009052332"</f>
        <v>360733199009052332</v>
      </c>
      <c r="D11699" t="s">
        <v>1</v>
      </c>
      <c r="E11699" t="s">
        <v>1</v>
      </c>
      <c r="F11699" t="s">
        <v>0</v>
      </c>
      <c r="G11699" t="str">
        <f>"2018-10-14 10:59:59"</f>
        <v>2018-10-14 10:59:59</v>
      </c>
    </row>
    <row r="11700" spans="1:7" x14ac:dyDescent="0.2">
      <c r="A11700" t="s">
        <v>11892</v>
      </c>
      <c r="B11700" t="str">
        <f>"18207776715"</f>
        <v>18207776715</v>
      </c>
      <c r="C11700" t="str">
        <f>"450721198805200035"</f>
        <v>450721198805200035</v>
      </c>
      <c r="D11700" t="s">
        <v>1</v>
      </c>
      <c r="E11700" t="s">
        <v>1</v>
      </c>
      <c r="F11700" t="s">
        <v>0</v>
      </c>
      <c r="G11700" t="str">
        <f>"2018-10-13 21:38:54"</f>
        <v>2018-10-13 21:38:54</v>
      </c>
    </row>
    <row r="11701" spans="1:7" x14ac:dyDescent="0.2">
      <c r="A11701" t="s">
        <v>11893</v>
      </c>
      <c r="B11701" t="str">
        <f>"13247366724"</f>
        <v>13247366724</v>
      </c>
      <c r="C11701" t="str">
        <f>"440582199510280415"</f>
        <v>440582199510280415</v>
      </c>
      <c r="D11701" t="s">
        <v>1</v>
      </c>
      <c r="E11701" t="s">
        <v>1</v>
      </c>
      <c r="F11701" t="s">
        <v>0</v>
      </c>
      <c r="G11701" t="str">
        <f>"2018-10-14 00:17:00"</f>
        <v>2018-10-14 00:17:00</v>
      </c>
    </row>
    <row r="11702" spans="1:7" x14ac:dyDescent="0.2">
      <c r="A11702" t="s">
        <v>11894</v>
      </c>
      <c r="B11702" t="str">
        <f>"13629466248"</f>
        <v>13629466248</v>
      </c>
      <c r="C11702" t="str">
        <f>"530302199304280632"</f>
        <v>530302199304280632</v>
      </c>
      <c r="D11702" t="s">
        <v>1</v>
      </c>
      <c r="E11702" t="s">
        <v>1</v>
      </c>
      <c r="F11702" t="s">
        <v>0</v>
      </c>
      <c r="G11702" t="str">
        <f>"2018-10-13 21:38:34"</f>
        <v>2018-10-13 21:38:34</v>
      </c>
    </row>
    <row r="11703" spans="1:7" x14ac:dyDescent="0.2">
      <c r="A11703" t="s">
        <v>11895</v>
      </c>
      <c r="B11703" t="str">
        <f>"15517761668"</f>
        <v>15517761668</v>
      </c>
      <c r="C11703" t="str">
        <f>"41088319910508301X"</f>
        <v>41088319910508301X</v>
      </c>
      <c r="D11703" t="s">
        <v>1</v>
      </c>
      <c r="E11703" t="s">
        <v>1</v>
      </c>
      <c r="F11703" t="s">
        <v>0</v>
      </c>
      <c r="G11703" t="str">
        <f>"2018-10-14 12:04:36"</f>
        <v>2018-10-14 12:04:36</v>
      </c>
    </row>
    <row r="11704" spans="1:7" x14ac:dyDescent="0.2">
      <c r="A11704" t="s">
        <v>1</v>
      </c>
      <c r="B11704" t="str">
        <f>"18841714069"</f>
        <v>18841714069</v>
      </c>
      <c r="C11704" t="s">
        <v>1</v>
      </c>
      <c r="D11704" t="s">
        <v>1</v>
      </c>
      <c r="E11704" t="s">
        <v>1</v>
      </c>
      <c r="F11704" t="s">
        <v>0</v>
      </c>
      <c r="G11704" t="str">
        <f>"2018-10-13 21:34:06"</f>
        <v>2018-10-13 21:34:06</v>
      </c>
    </row>
    <row r="11705" spans="1:7" x14ac:dyDescent="0.2">
      <c r="A11705" t="s">
        <v>11896</v>
      </c>
      <c r="B11705" t="str">
        <f>"18608320126"</f>
        <v>18608320126</v>
      </c>
      <c r="C11705" t="str">
        <f>"511028199104089512"</f>
        <v>511028199104089512</v>
      </c>
      <c r="D11705" t="s">
        <v>1</v>
      </c>
      <c r="E11705" t="s">
        <v>1</v>
      </c>
      <c r="F11705" t="s">
        <v>0</v>
      </c>
      <c r="G11705" t="str">
        <f>"2018-10-28 12:54:41"</f>
        <v>2018-10-28 12:54:41</v>
      </c>
    </row>
    <row r="11706" spans="1:7" x14ac:dyDescent="0.2">
      <c r="A11706" t="s">
        <v>11897</v>
      </c>
      <c r="B11706" t="str">
        <f>"18334460461"</f>
        <v>18334460461</v>
      </c>
      <c r="C11706" t="str">
        <f>"510623199209201910"</f>
        <v>510623199209201910</v>
      </c>
      <c r="D11706" t="s">
        <v>1</v>
      </c>
      <c r="E11706" t="s">
        <v>1</v>
      </c>
      <c r="F11706" t="s">
        <v>0</v>
      </c>
      <c r="G11706" t="str">
        <f>"2018-10-13 21:34:16"</f>
        <v>2018-10-13 21:34:16</v>
      </c>
    </row>
    <row r="11707" spans="1:7" x14ac:dyDescent="0.2">
      <c r="A11707" t="s">
        <v>59</v>
      </c>
      <c r="B11707" t="str">
        <f>"13818900268"</f>
        <v>13818900268</v>
      </c>
      <c r="C11707" t="str">
        <f>"34022219900629263X"</f>
        <v>34022219900629263X</v>
      </c>
      <c r="D11707" t="s">
        <v>11898</v>
      </c>
      <c r="E11707" t="s">
        <v>11899</v>
      </c>
      <c r="F11707" t="s">
        <v>0</v>
      </c>
      <c r="G11707" t="str">
        <f>"2018-10-13 21:33:14"</f>
        <v>2018-10-13 21:33:14</v>
      </c>
    </row>
    <row r="11708" spans="1:7" x14ac:dyDescent="0.2">
      <c r="A11708" t="s">
        <v>11900</v>
      </c>
      <c r="B11708" t="str">
        <f>"17776637948"</f>
        <v>17776637948</v>
      </c>
      <c r="C11708" t="str">
        <f>"452127199708111235"</f>
        <v>452127199708111235</v>
      </c>
      <c r="D11708" t="s">
        <v>1</v>
      </c>
      <c r="E11708" t="s">
        <v>1</v>
      </c>
      <c r="F11708" t="s">
        <v>0</v>
      </c>
      <c r="G11708" t="str">
        <f>"2018-10-14 16:51:00"</f>
        <v>2018-10-14 16:51:00</v>
      </c>
    </row>
    <row r="11709" spans="1:7" x14ac:dyDescent="0.2">
      <c r="A11709" t="s">
        <v>11901</v>
      </c>
      <c r="B11709" t="str">
        <f>"13531664592"</f>
        <v>13531664592</v>
      </c>
      <c r="C11709" t="str">
        <f>"445281199201145182"</f>
        <v>445281199201145182</v>
      </c>
      <c r="D11709" t="s">
        <v>1</v>
      </c>
      <c r="E11709" t="s">
        <v>1</v>
      </c>
      <c r="F11709" t="s">
        <v>0</v>
      </c>
      <c r="G11709" t="str">
        <f>"2018-10-13 21:42:54"</f>
        <v>2018-10-13 21:42:54</v>
      </c>
    </row>
    <row r="11710" spans="1:7" x14ac:dyDescent="0.2">
      <c r="A11710" t="s">
        <v>11902</v>
      </c>
      <c r="B11710" t="str">
        <f>"13378636809"</f>
        <v>13378636809</v>
      </c>
      <c r="C11710" t="str">
        <f>"440622196811281716"</f>
        <v>440622196811281716</v>
      </c>
      <c r="D11710" t="s">
        <v>1</v>
      </c>
      <c r="E11710" t="s">
        <v>1</v>
      </c>
      <c r="F11710" t="s">
        <v>0</v>
      </c>
      <c r="G11710" t="str">
        <f>"2018-10-29 15:30:33"</f>
        <v>2018-10-29 15:30:33</v>
      </c>
    </row>
    <row r="11711" spans="1:7" x14ac:dyDescent="0.2">
      <c r="A11711" t="s">
        <v>11903</v>
      </c>
      <c r="B11711" t="str">
        <f>"17685672921"</f>
        <v>17685672921</v>
      </c>
      <c r="C11711" t="str">
        <f>"37232119920918941X"</f>
        <v>37232119920918941X</v>
      </c>
      <c r="D11711" t="s">
        <v>11904</v>
      </c>
      <c r="E11711" t="s">
        <v>11905</v>
      </c>
      <c r="F11711" t="s">
        <v>0</v>
      </c>
      <c r="G11711" t="str">
        <f>"2018-10-29 00:46:10"</f>
        <v>2018-10-29 00:46:10</v>
      </c>
    </row>
    <row r="11712" spans="1:7" x14ac:dyDescent="0.2">
      <c r="A11712" t="s">
        <v>11906</v>
      </c>
      <c r="B11712" t="str">
        <f>"15095838188"</f>
        <v>15095838188</v>
      </c>
      <c r="C11712" t="str">
        <f>"500384199303073016"</f>
        <v>500384199303073016</v>
      </c>
      <c r="D11712" t="s">
        <v>1</v>
      </c>
      <c r="E11712" t="s">
        <v>1</v>
      </c>
      <c r="F11712" t="s">
        <v>0</v>
      </c>
      <c r="G11712" t="str">
        <f>"2018-10-13 21:32:38"</f>
        <v>2018-10-13 21:32:38</v>
      </c>
    </row>
    <row r="11713" spans="1:7" x14ac:dyDescent="0.2">
      <c r="A11713" t="s">
        <v>4525</v>
      </c>
      <c r="B11713" t="str">
        <f>"18877203358"</f>
        <v>18877203358</v>
      </c>
      <c r="C11713" t="str">
        <f>"450204198108251028"</f>
        <v>450204198108251028</v>
      </c>
      <c r="D11713" t="s">
        <v>1</v>
      </c>
      <c r="E11713" t="s">
        <v>1</v>
      </c>
      <c r="F11713" t="s">
        <v>0</v>
      </c>
      <c r="G11713" t="str">
        <f>"2018-10-13 21:26:50"</f>
        <v>2018-10-13 21:26:50</v>
      </c>
    </row>
    <row r="11714" spans="1:7" x14ac:dyDescent="0.2">
      <c r="A11714" t="s">
        <v>11907</v>
      </c>
      <c r="B11714" t="str">
        <f>"15198998273"</f>
        <v>15198998273</v>
      </c>
      <c r="C11714" t="str">
        <f>"532932198703080724"</f>
        <v>532932198703080724</v>
      </c>
      <c r="D11714" t="s">
        <v>11908</v>
      </c>
      <c r="E11714" t="s">
        <v>11909</v>
      </c>
      <c r="F11714" t="s">
        <v>0</v>
      </c>
      <c r="G11714" t="str">
        <f>"2018-10-13 21:26:21"</f>
        <v>2018-10-13 21:26:21</v>
      </c>
    </row>
    <row r="11715" spans="1:7" x14ac:dyDescent="0.2">
      <c r="A11715" t="s">
        <v>11910</v>
      </c>
      <c r="B11715" t="str">
        <f>"18685902362"</f>
        <v>18685902362</v>
      </c>
      <c r="C11715" t="str">
        <f>"52232419831115323X"</f>
        <v>52232419831115323X</v>
      </c>
      <c r="D11715" t="s">
        <v>1</v>
      </c>
      <c r="E11715" t="s">
        <v>1</v>
      </c>
      <c r="F11715" t="s">
        <v>0</v>
      </c>
      <c r="G11715" t="str">
        <f>"2018-10-13 21:26:11"</f>
        <v>2018-10-13 21:26:11</v>
      </c>
    </row>
    <row r="11716" spans="1:7" x14ac:dyDescent="0.2">
      <c r="A11716" t="s">
        <v>1</v>
      </c>
      <c r="B11716" t="str">
        <f>"18948246176"</f>
        <v>18948246176</v>
      </c>
      <c r="C11716" t="s">
        <v>1</v>
      </c>
      <c r="D11716" t="s">
        <v>1</v>
      </c>
      <c r="E11716" t="s">
        <v>1</v>
      </c>
      <c r="F11716" t="s">
        <v>0</v>
      </c>
      <c r="G11716" t="str">
        <f>"2018-10-13 21:22:42"</f>
        <v>2018-10-13 21:22:42</v>
      </c>
    </row>
    <row r="11717" spans="1:7" x14ac:dyDescent="0.2">
      <c r="A11717" t="s">
        <v>11911</v>
      </c>
      <c r="B11717" t="str">
        <f>"15137272603"</f>
        <v>15137272603</v>
      </c>
      <c r="C11717" t="str">
        <f>"410526199706026420"</f>
        <v>410526199706026420</v>
      </c>
      <c r="D11717" t="s">
        <v>1</v>
      </c>
      <c r="E11717" t="s">
        <v>1</v>
      </c>
      <c r="F11717" t="s">
        <v>0</v>
      </c>
      <c r="G11717" t="str">
        <f>"2018-10-13 21:24:30"</f>
        <v>2018-10-13 21:24:30</v>
      </c>
    </row>
    <row r="11718" spans="1:7" x14ac:dyDescent="0.2">
      <c r="A11718" t="s">
        <v>11912</v>
      </c>
      <c r="B11718" t="str">
        <f>"18280219618"</f>
        <v>18280219618</v>
      </c>
      <c r="C11718" t="str">
        <f>"513022198107297172"</f>
        <v>513022198107297172</v>
      </c>
      <c r="D11718" t="s">
        <v>1</v>
      </c>
      <c r="E11718" t="s">
        <v>1</v>
      </c>
      <c r="F11718" t="s">
        <v>0</v>
      </c>
      <c r="G11718" t="str">
        <f>"2018-10-13 21:20:59"</f>
        <v>2018-10-13 21:20:59</v>
      </c>
    </row>
    <row r="11719" spans="1:7" x14ac:dyDescent="0.2">
      <c r="A11719" t="s">
        <v>11913</v>
      </c>
      <c r="B11719" t="str">
        <f>"18810840331"</f>
        <v>18810840331</v>
      </c>
      <c r="C11719" t="str">
        <f>"140421199206101217"</f>
        <v>140421199206101217</v>
      </c>
      <c r="D11719" t="s">
        <v>11914</v>
      </c>
      <c r="E11719" t="s">
        <v>11915</v>
      </c>
      <c r="F11719" t="s">
        <v>0</v>
      </c>
      <c r="G11719" t="str">
        <f>"2018-10-13 21:26:32"</f>
        <v>2018-10-13 21:26:32</v>
      </c>
    </row>
    <row r="11720" spans="1:7" x14ac:dyDescent="0.2">
      <c r="A11720" t="s">
        <v>11916</v>
      </c>
      <c r="B11720" t="str">
        <f>"13663677785"</f>
        <v>13663677785</v>
      </c>
      <c r="C11720" t="str">
        <f>"142601198805296311"</f>
        <v>142601198805296311</v>
      </c>
      <c r="D11720" t="s">
        <v>1</v>
      </c>
      <c r="E11720" t="s">
        <v>1</v>
      </c>
      <c r="F11720" t="s">
        <v>0</v>
      </c>
      <c r="G11720" t="str">
        <f>"2018-10-22 01:24:23"</f>
        <v>2018-10-22 01:24:23</v>
      </c>
    </row>
    <row r="11721" spans="1:7" x14ac:dyDescent="0.2">
      <c r="A11721" t="s">
        <v>11917</v>
      </c>
      <c r="B11721" t="str">
        <f>"13702509657"</f>
        <v>13702509657</v>
      </c>
      <c r="C11721" t="str">
        <f>"452523198101251196"</f>
        <v>452523198101251196</v>
      </c>
      <c r="D11721" t="s">
        <v>1</v>
      </c>
      <c r="E11721" t="s">
        <v>1</v>
      </c>
      <c r="F11721" t="s">
        <v>0</v>
      </c>
      <c r="G11721" t="str">
        <f>"2018-10-13 21:23:05"</f>
        <v>2018-10-13 21:23:05</v>
      </c>
    </row>
    <row r="11722" spans="1:7" x14ac:dyDescent="0.2">
      <c r="A11722" t="s">
        <v>11918</v>
      </c>
      <c r="B11722" t="str">
        <f>"15066950754"</f>
        <v>15066950754</v>
      </c>
      <c r="C11722" t="str">
        <f>"371481198910103019"</f>
        <v>371481198910103019</v>
      </c>
      <c r="D11722" t="s">
        <v>1</v>
      </c>
      <c r="E11722" t="s">
        <v>1</v>
      </c>
      <c r="F11722" t="s">
        <v>0</v>
      </c>
      <c r="G11722" t="str">
        <f>"2018-10-13 21:22:28"</f>
        <v>2018-10-13 21:22:28</v>
      </c>
    </row>
    <row r="11723" spans="1:7" x14ac:dyDescent="0.2">
      <c r="A11723" t="s">
        <v>11919</v>
      </c>
      <c r="B11723" t="str">
        <f>"17311387864"</f>
        <v>17311387864</v>
      </c>
      <c r="C11723" t="str">
        <f>"511723199808146112"</f>
        <v>511723199808146112</v>
      </c>
      <c r="D11723" t="s">
        <v>1</v>
      </c>
      <c r="E11723" t="s">
        <v>1</v>
      </c>
      <c r="F11723" t="s">
        <v>0</v>
      </c>
      <c r="G11723" t="str">
        <f>"2018-10-26 00:07:05"</f>
        <v>2018-10-26 00:07:05</v>
      </c>
    </row>
    <row r="11724" spans="1:7" x14ac:dyDescent="0.2">
      <c r="A11724" t="s">
        <v>1436</v>
      </c>
      <c r="B11724" t="str">
        <f>"15242589855"</f>
        <v>15242589855</v>
      </c>
      <c r="C11724" t="str">
        <f>"21012319920608241X"</f>
        <v>21012319920608241X</v>
      </c>
      <c r="D11724" t="s">
        <v>1</v>
      </c>
      <c r="E11724" t="s">
        <v>1</v>
      </c>
      <c r="F11724" t="s">
        <v>0</v>
      </c>
      <c r="G11724" t="str">
        <f>"2018-10-13 21:18:16"</f>
        <v>2018-10-13 21:18:16</v>
      </c>
    </row>
    <row r="11725" spans="1:7" x14ac:dyDescent="0.2">
      <c r="A11725" t="s">
        <v>11920</v>
      </c>
      <c r="B11725" t="str">
        <f>"13091551272"</f>
        <v>13091551272</v>
      </c>
      <c r="C11725" t="str">
        <f>"232332198601310636"</f>
        <v>232332198601310636</v>
      </c>
      <c r="D11725" t="s">
        <v>1</v>
      </c>
      <c r="E11725" t="s">
        <v>1</v>
      </c>
      <c r="F11725" t="s">
        <v>0</v>
      </c>
      <c r="G11725" t="str">
        <f>"2018-10-13 21:40:15"</f>
        <v>2018-10-13 21:40:15</v>
      </c>
    </row>
    <row r="11726" spans="1:7" x14ac:dyDescent="0.2">
      <c r="A11726" t="s">
        <v>11921</v>
      </c>
      <c r="B11726" t="str">
        <f>"13717255032"</f>
        <v>13717255032</v>
      </c>
      <c r="C11726" t="str">
        <f>"440781199006246255"</f>
        <v>440781199006246255</v>
      </c>
      <c r="D11726" t="s">
        <v>1</v>
      </c>
      <c r="E11726" t="s">
        <v>1</v>
      </c>
      <c r="F11726" t="s">
        <v>0</v>
      </c>
      <c r="G11726" t="str">
        <f>"2018-10-14 08:01:53"</f>
        <v>2018-10-14 08:01:53</v>
      </c>
    </row>
    <row r="11727" spans="1:7" x14ac:dyDescent="0.2">
      <c r="A11727" t="s">
        <v>1</v>
      </c>
      <c r="B11727" t="str">
        <f>"17172447991"</f>
        <v>17172447991</v>
      </c>
      <c r="C11727" t="s">
        <v>1</v>
      </c>
      <c r="D11727" t="s">
        <v>1</v>
      </c>
      <c r="E11727" t="s">
        <v>1</v>
      </c>
      <c r="F11727" t="s">
        <v>0</v>
      </c>
      <c r="G11727" t="str">
        <f>"2018-10-13 21:12:58"</f>
        <v>2018-10-13 21:12:58</v>
      </c>
    </row>
    <row r="11728" spans="1:7" x14ac:dyDescent="0.2">
      <c r="A11728" t="s">
        <v>11922</v>
      </c>
      <c r="B11728" t="str">
        <f>"13754671197"</f>
        <v>13754671197</v>
      </c>
      <c r="C11728" t="str">
        <f>"37233019980816726X"</f>
        <v>37233019980816726X</v>
      </c>
      <c r="D11728" t="s">
        <v>1</v>
      </c>
      <c r="E11728" t="s">
        <v>1</v>
      </c>
      <c r="F11728" t="s">
        <v>0</v>
      </c>
      <c r="G11728" t="str">
        <f>"2018-10-13 21:17:51"</f>
        <v>2018-10-13 21:17:51</v>
      </c>
    </row>
    <row r="11729" spans="1:7" x14ac:dyDescent="0.2">
      <c r="A11729" t="s">
        <v>11923</v>
      </c>
      <c r="B11729" t="str">
        <f>"13373086215"</f>
        <v>13373086215</v>
      </c>
      <c r="C11729" t="str">
        <f>"131124198806301412"</f>
        <v>131124198806301412</v>
      </c>
      <c r="D11729" t="s">
        <v>1</v>
      </c>
      <c r="E11729" t="s">
        <v>1</v>
      </c>
      <c r="F11729" t="s">
        <v>0</v>
      </c>
      <c r="G11729" t="str">
        <f>"2018-10-13 21:14:17"</f>
        <v>2018-10-13 21:14:17</v>
      </c>
    </row>
    <row r="11730" spans="1:7" x14ac:dyDescent="0.2">
      <c r="A11730" t="s">
        <v>8345</v>
      </c>
      <c r="B11730" t="str">
        <f>"15044686599"</f>
        <v>15044686599</v>
      </c>
      <c r="C11730" t="str">
        <f>"220203199212215428"</f>
        <v>220203199212215428</v>
      </c>
      <c r="D11730" t="s">
        <v>1</v>
      </c>
      <c r="E11730" t="s">
        <v>1</v>
      </c>
      <c r="F11730" t="s">
        <v>0</v>
      </c>
      <c r="G11730" t="str">
        <f>"2018-10-14 07:34:03"</f>
        <v>2018-10-14 07:34:03</v>
      </c>
    </row>
    <row r="11731" spans="1:7" x14ac:dyDescent="0.2">
      <c r="A11731" t="s">
        <v>11924</v>
      </c>
      <c r="B11731" t="str">
        <f>"13844191870"</f>
        <v>13844191870</v>
      </c>
      <c r="C11731" t="str">
        <f>"220183199205276616"</f>
        <v>220183199205276616</v>
      </c>
      <c r="D11731" t="s">
        <v>1</v>
      </c>
      <c r="E11731" t="s">
        <v>1</v>
      </c>
      <c r="F11731" t="s">
        <v>0</v>
      </c>
      <c r="G11731" t="str">
        <f>"2018-10-13 21:06:06"</f>
        <v>2018-10-13 21:06:06</v>
      </c>
    </row>
    <row r="11732" spans="1:7" x14ac:dyDescent="0.2">
      <c r="A11732" t="s">
        <v>11925</v>
      </c>
      <c r="B11732" t="str">
        <f>"15085929615"</f>
        <v>15085929615</v>
      </c>
      <c r="C11732" t="str">
        <f>"520103198608224815"</f>
        <v>520103198608224815</v>
      </c>
      <c r="D11732" t="s">
        <v>1</v>
      </c>
      <c r="E11732" t="s">
        <v>1</v>
      </c>
      <c r="F11732" t="s">
        <v>0</v>
      </c>
      <c r="G11732" t="str">
        <f>"2018-10-13 21:04:54"</f>
        <v>2018-10-13 21:04:54</v>
      </c>
    </row>
    <row r="11733" spans="1:7" x14ac:dyDescent="0.2">
      <c r="A11733" t="s">
        <v>11926</v>
      </c>
      <c r="B11733" t="str">
        <f>"18624120601"</f>
        <v>18624120601</v>
      </c>
      <c r="C11733" t="str">
        <f>"210381199106015011"</f>
        <v>210381199106015011</v>
      </c>
      <c r="D11733" t="s">
        <v>1</v>
      </c>
      <c r="E11733" t="s">
        <v>1</v>
      </c>
      <c r="F11733" t="s">
        <v>0</v>
      </c>
      <c r="G11733" t="str">
        <f>"2018-10-13 21:03:53"</f>
        <v>2018-10-13 21:03:53</v>
      </c>
    </row>
    <row r="11734" spans="1:7" x14ac:dyDescent="0.2">
      <c r="A11734" t="s">
        <v>11927</v>
      </c>
      <c r="B11734" t="str">
        <f>"13636194555"</f>
        <v>13636194555</v>
      </c>
      <c r="C11734" t="str">
        <f>"430682197112103610"</f>
        <v>430682197112103610</v>
      </c>
      <c r="D11734" t="s">
        <v>1</v>
      </c>
      <c r="E11734" t="s">
        <v>1</v>
      </c>
      <c r="F11734" t="s">
        <v>0</v>
      </c>
      <c r="G11734" t="str">
        <f>"2018-10-13 21:02:33"</f>
        <v>2018-10-13 21:02:33</v>
      </c>
    </row>
    <row r="11735" spans="1:7" x14ac:dyDescent="0.2">
      <c r="A11735" t="s">
        <v>11928</v>
      </c>
      <c r="B11735" t="str">
        <f>"15113737372"</f>
        <v>15113737372</v>
      </c>
      <c r="C11735" t="str">
        <f>"441827199502286895"</f>
        <v>441827199502286895</v>
      </c>
      <c r="D11735" t="s">
        <v>1</v>
      </c>
      <c r="E11735" t="s">
        <v>1</v>
      </c>
      <c r="F11735" t="s">
        <v>0</v>
      </c>
      <c r="G11735" t="str">
        <f>"2018-10-13 21:03:35"</f>
        <v>2018-10-13 21:03:35</v>
      </c>
    </row>
    <row r="11736" spans="1:7" x14ac:dyDescent="0.2">
      <c r="A11736" t="s">
        <v>1</v>
      </c>
      <c r="B11736" t="str">
        <f>"13876563595"</f>
        <v>13876563595</v>
      </c>
      <c r="C11736" t="s">
        <v>1</v>
      </c>
      <c r="D11736" t="s">
        <v>1</v>
      </c>
      <c r="E11736" t="s">
        <v>1</v>
      </c>
      <c r="F11736" t="s">
        <v>0</v>
      </c>
      <c r="G11736" t="str">
        <f>"2018-10-13 21:00:36"</f>
        <v>2018-10-13 21:00:36</v>
      </c>
    </row>
    <row r="11737" spans="1:7" x14ac:dyDescent="0.2">
      <c r="A11737" t="s">
        <v>11929</v>
      </c>
      <c r="B11737" t="str">
        <f>"13434777479"</f>
        <v>13434777479</v>
      </c>
      <c r="C11737" t="str">
        <f>"441422199408215317"</f>
        <v>441422199408215317</v>
      </c>
      <c r="D11737" t="s">
        <v>1</v>
      </c>
      <c r="E11737" t="s">
        <v>1</v>
      </c>
      <c r="F11737" t="s">
        <v>0</v>
      </c>
      <c r="G11737" t="str">
        <f>"2018-10-13 21:18:29"</f>
        <v>2018-10-13 21:18:29</v>
      </c>
    </row>
    <row r="11738" spans="1:7" x14ac:dyDescent="0.2">
      <c r="A11738" t="s">
        <v>255</v>
      </c>
      <c r="B11738" t="str">
        <f>"15182918887"</f>
        <v>15182918887</v>
      </c>
      <c r="C11738" t="str">
        <f>"511321199303174690"</f>
        <v>511321199303174690</v>
      </c>
      <c r="D11738" t="s">
        <v>11930</v>
      </c>
      <c r="E11738" t="s">
        <v>11931</v>
      </c>
      <c r="F11738" t="s">
        <v>0</v>
      </c>
      <c r="G11738" t="str">
        <f>"2018-10-14 10:52:32"</f>
        <v>2018-10-14 10:52:32</v>
      </c>
    </row>
    <row r="11739" spans="1:7" x14ac:dyDescent="0.2">
      <c r="A11739" t="s">
        <v>514</v>
      </c>
      <c r="B11739" t="str">
        <f>"13665072456"</f>
        <v>13665072456</v>
      </c>
      <c r="C11739" t="str">
        <f>"350104198106225425"</f>
        <v>350104198106225425</v>
      </c>
      <c r="D11739" t="s">
        <v>1</v>
      </c>
      <c r="E11739" t="s">
        <v>1</v>
      </c>
      <c r="F11739" t="s">
        <v>0</v>
      </c>
      <c r="G11739" t="str">
        <f>"2018-10-13 20:58:17"</f>
        <v>2018-10-13 20:58:17</v>
      </c>
    </row>
    <row r="11740" spans="1:7" x14ac:dyDescent="0.2">
      <c r="A11740" t="s">
        <v>11932</v>
      </c>
      <c r="B11740" t="str">
        <f>"18218669983"</f>
        <v>18218669983</v>
      </c>
      <c r="C11740" t="str">
        <f>"441224199604241119"</f>
        <v>441224199604241119</v>
      </c>
      <c r="D11740" t="s">
        <v>1</v>
      </c>
      <c r="E11740" t="s">
        <v>1</v>
      </c>
      <c r="F11740" t="s">
        <v>0</v>
      </c>
      <c r="G11740" t="str">
        <f>"2018-10-13 20:58:06"</f>
        <v>2018-10-13 20:58:06</v>
      </c>
    </row>
    <row r="11741" spans="1:7" x14ac:dyDescent="0.2">
      <c r="A11741" t="s">
        <v>11933</v>
      </c>
      <c r="B11741" t="str">
        <f>"18663106155"</f>
        <v>18663106155</v>
      </c>
      <c r="C11741" t="str">
        <f>"371083198707095018"</f>
        <v>371083198707095018</v>
      </c>
      <c r="D11741" t="s">
        <v>1</v>
      </c>
      <c r="E11741" t="s">
        <v>1</v>
      </c>
      <c r="F11741" t="s">
        <v>0</v>
      </c>
      <c r="G11741" t="str">
        <f>"2018-10-18 13:26:33"</f>
        <v>2018-10-18 13:26:33</v>
      </c>
    </row>
    <row r="11742" spans="1:7" x14ac:dyDescent="0.2">
      <c r="A11742" t="s">
        <v>1</v>
      </c>
      <c r="B11742" t="str">
        <f>"15923619366"</f>
        <v>15923619366</v>
      </c>
      <c r="C11742" t="s">
        <v>1</v>
      </c>
      <c r="D11742" t="s">
        <v>1</v>
      </c>
      <c r="E11742" t="s">
        <v>1</v>
      </c>
      <c r="F11742" t="s">
        <v>0</v>
      </c>
      <c r="G11742" t="str">
        <f>"2018-10-13 20:57:19"</f>
        <v>2018-10-13 20:57:19</v>
      </c>
    </row>
    <row r="11743" spans="1:7" x14ac:dyDescent="0.2">
      <c r="A11743" t="s">
        <v>11934</v>
      </c>
      <c r="B11743" t="str">
        <f>"15211283719"</f>
        <v>15211283719</v>
      </c>
      <c r="C11743" t="str">
        <f>"432401197012024010"</f>
        <v>432401197012024010</v>
      </c>
      <c r="D11743" t="s">
        <v>1</v>
      </c>
      <c r="E11743" t="s">
        <v>1</v>
      </c>
      <c r="F11743" t="s">
        <v>0</v>
      </c>
      <c r="G11743" t="str">
        <f>"2018-10-13 20:58:40"</f>
        <v>2018-10-13 20:58:40</v>
      </c>
    </row>
    <row r="11744" spans="1:7" x14ac:dyDescent="0.2">
      <c r="A11744" t="s">
        <v>11935</v>
      </c>
      <c r="B11744" t="str">
        <f>"13546341186"</f>
        <v>13546341186</v>
      </c>
      <c r="C11744" t="str">
        <f>"140108199005043615"</f>
        <v>140108199005043615</v>
      </c>
      <c r="D11744" t="s">
        <v>11936</v>
      </c>
      <c r="E11744" t="s">
        <v>11937</v>
      </c>
      <c r="F11744" t="s">
        <v>0</v>
      </c>
      <c r="G11744" t="str">
        <f>"2018-10-13 20:56:16"</f>
        <v>2018-10-13 20:56:16</v>
      </c>
    </row>
    <row r="11745" spans="1:7" x14ac:dyDescent="0.2">
      <c r="A11745" t="s">
        <v>11938</v>
      </c>
      <c r="B11745" t="str">
        <f>"15031817019"</f>
        <v>15031817019</v>
      </c>
      <c r="C11745" t="str">
        <f>"131182199309100618"</f>
        <v>131182199309100618</v>
      </c>
      <c r="D11745" t="s">
        <v>1</v>
      </c>
      <c r="E11745" t="s">
        <v>1</v>
      </c>
      <c r="F11745" t="s">
        <v>0</v>
      </c>
      <c r="G11745" t="str">
        <f>"2018-10-13 21:00:04"</f>
        <v>2018-10-13 21:00:04</v>
      </c>
    </row>
    <row r="11746" spans="1:7" x14ac:dyDescent="0.2">
      <c r="A11746" t="s">
        <v>11939</v>
      </c>
      <c r="B11746" t="str">
        <f>"13799376035"</f>
        <v>13799376035</v>
      </c>
      <c r="C11746" t="str">
        <f>"350121197812184511"</f>
        <v>350121197812184511</v>
      </c>
      <c r="D11746" t="s">
        <v>1</v>
      </c>
      <c r="E11746" t="s">
        <v>1</v>
      </c>
      <c r="F11746" t="s">
        <v>0</v>
      </c>
      <c r="G11746" t="str">
        <f>"2018-10-13 21:00:03"</f>
        <v>2018-10-13 21:00:03</v>
      </c>
    </row>
    <row r="11747" spans="1:7" x14ac:dyDescent="0.2">
      <c r="A11747" t="s">
        <v>1</v>
      </c>
      <c r="B11747" t="str">
        <f>"13989025194"</f>
        <v>13989025194</v>
      </c>
      <c r="C11747" t="s">
        <v>1</v>
      </c>
      <c r="D11747" t="s">
        <v>1</v>
      </c>
      <c r="E11747" t="s">
        <v>1</v>
      </c>
      <c r="F11747" t="s">
        <v>0</v>
      </c>
      <c r="G11747" t="str">
        <f>"2018-10-13 20:55:56"</f>
        <v>2018-10-13 20:55:56</v>
      </c>
    </row>
    <row r="11748" spans="1:7" x14ac:dyDescent="0.2">
      <c r="A11748" t="s">
        <v>11940</v>
      </c>
      <c r="B11748" t="str">
        <f>"13694373542"</f>
        <v>13694373542</v>
      </c>
      <c r="C11748" t="str">
        <f>"220422198709196221"</f>
        <v>220422198709196221</v>
      </c>
      <c r="D11748" t="s">
        <v>1</v>
      </c>
      <c r="E11748" t="s">
        <v>1</v>
      </c>
      <c r="F11748" t="s">
        <v>0</v>
      </c>
      <c r="G11748" t="str">
        <f>"2018-10-13 20:52:59"</f>
        <v>2018-10-13 20:52:59</v>
      </c>
    </row>
    <row r="11749" spans="1:7" x14ac:dyDescent="0.2">
      <c r="A11749" t="s">
        <v>11941</v>
      </c>
      <c r="B11749" t="str">
        <f>"15286816461"</f>
        <v>15286816461</v>
      </c>
      <c r="C11749" t="str">
        <f>"410181199209024013"</f>
        <v>410181199209024013</v>
      </c>
      <c r="D11749" t="s">
        <v>11942</v>
      </c>
      <c r="E11749" t="s">
        <v>11943</v>
      </c>
      <c r="F11749" t="s">
        <v>0</v>
      </c>
      <c r="G11749" t="str">
        <f>"2018-10-13 20:54:31"</f>
        <v>2018-10-13 20:54:31</v>
      </c>
    </row>
    <row r="11750" spans="1:7" x14ac:dyDescent="0.2">
      <c r="A11750" t="s">
        <v>11944</v>
      </c>
      <c r="B11750" t="str">
        <f>"13266015540"</f>
        <v>13266015540</v>
      </c>
      <c r="C11750" t="str">
        <f>"522601199509064490"</f>
        <v>522601199509064490</v>
      </c>
      <c r="D11750" t="s">
        <v>1</v>
      </c>
      <c r="E11750" t="s">
        <v>1</v>
      </c>
      <c r="F11750" t="s">
        <v>0</v>
      </c>
      <c r="G11750" t="str">
        <f>"2018-10-13 20:53:21"</f>
        <v>2018-10-13 20:53:21</v>
      </c>
    </row>
    <row r="11751" spans="1:7" x14ac:dyDescent="0.2">
      <c r="A11751" t="s">
        <v>1</v>
      </c>
      <c r="B11751" t="str">
        <f>"13078054044"</f>
        <v>13078054044</v>
      </c>
      <c r="C11751" t="s">
        <v>1</v>
      </c>
      <c r="D11751" t="s">
        <v>1</v>
      </c>
      <c r="E11751" t="s">
        <v>1</v>
      </c>
      <c r="F11751" t="s">
        <v>0</v>
      </c>
      <c r="G11751" t="str">
        <f>"2018-10-13 20:51:25"</f>
        <v>2018-10-13 20:51:25</v>
      </c>
    </row>
    <row r="11752" spans="1:7" x14ac:dyDescent="0.2">
      <c r="A11752" t="s">
        <v>11945</v>
      </c>
      <c r="B11752" t="str">
        <f>"18278807352"</f>
        <v>18278807352</v>
      </c>
      <c r="C11752" t="str">
        <f>"45273019880708593X"</f>
        <v>45273019880708593X</v>
      </c>
      <c r="D11752" t="s">
        <v>1</v>
      </c>
      <c r="E11752" t="s">
        <v>1</v>
      </c>
      <c r="F11752" t="s">
        <v>0</v>
      </c>
      <c r="G11752" t="str">
        <f>"2018-10-14 08:57:47"</f>
        <v>2018-10-14 08:57:47</v>
      </c>
    </row>
    <row r="11753" spans="1:7" x14ac:dyDescent="0.2">
      <c r="A11753" t="s">
        <v>1</v>
      </c>
      <c r="B11753" t="str">
        <f>"15840742345"</f>
        <v>15840742345</v>
      </c>
      <c r="C11753" t="s">
        <v>1</v>
      </c>
      <c r="D11753" t="s">
        <v>1</v>
      </c>
      <c r="E11753" t="s">
        <v>1</v>
      </c>
      <c r="F11753" t="s">
        <v>0</v>
      </c>
      <c r="G11753" t="str">
        <f>"2018-10-13 20:49:44"</f>
        <v>2018-10-13 20:49:44</v>
      </c>
    </row>
    <row r="11754" spans="1:7" x14ac:dyDescent="0.2">
      <c r="A11754" t="s">
        <v>11946</v>
      </c>
      <c r="B11754" t="str">
        <f>"13377091099"</f>
        <v>13377091099</v>
      </c>
      <c r="C11754" t="str">
        <f>"45212819680225602X"</f>
        <v>45212819680225602X</v>
      </c>
      <c r="D11754" t="s">
        <v>1</v>
      </c>
      <c r="E11754" t="s">
        <v>1</v>
      </c>
      <c r="F11754" t="s">
        <v>0</v>
      </c>
      <c r="G11754" t="str">
        <f>"2018-10-23 16:55:34"</f>
        <v>2018-10-23 16:55:34</v>
      </c>
    </row>
    <row r="11755" spans="1:7" x14ac:dyDescent="0.2">
      <c r="A11755" t="s">
        <v>11947</v>
      </c>
      <c r="B11755" t="str">
        <f>"13948143434"</f>
        <v>13948143434</v>
      </c>
      <c r="C11755" t="str">
        <f>"152324199306176811"</f>
        <v>152324199306176811</v>
      </c>
      <c r="D11755" t="s">
        <v>1</v>
      </c>
      <c r="E11755" t="s">
        <v>1</v>
      </c>
      <c r="F11755" t="s">
        <v>0</v>
      </c>
      <c r="G11755" t="str">
        <f>"2018-10-13 20:56:30"</f>
        <v>2018-10-13 20:56:30</v>
      </c>
    </row>
    <row r="11756" spans="1:7" x14ac:dyDescent="0.2">
      <c r="A11756" t="s">
        <v>11948</v>
      </c>
      <c r="B11756" t="str">
        <f>"13452523002"</f>
        <v>13452523002</v>
      </c>
      <c r="C11756" t="str">
        <f>"500243199602086148"</f>
        <v>500243199602086148</v>
      </c>
      <c r="D11756" t="s">
        <v>1</v>
      </c>
      <c r="E11756" t="s">
        <v>1</v>
      </c>
      <c r="F11756" t="s">
        <v>0</v>
      </c>
      <c r="G11756" t="str">
        <f>"2018-10-13 20:48:51"</f>
        <v>2018-10-13 20:48:51</v>
      </c>
    </row>
    <row r="11757" spans="1:7" x14ac:dyDescent="0.2">
      <c r="A11757" t="s">
        <v>11949</v>
      </c>
      <c r="B11757" t="str">
        <f>"15871282751"</f>
        <v>15871282751</v>
      </c>
      <c r="C11757" t="str">
        <f>"420984198501191724"</f>
        <v>420984198501191724</v>
      </c>
      <c r="D11757" t="s">
        <v>11950</v>
      </c>
      <c r="E11757" t="s">
        <v>11951</v>
      </c>
      <c r="F11757" t="s">
        <v>0</v>
      </c>
      <c r="G11757" t="str">
        <f>"2018-10-15 07:32:55"</f>
        <v>2018-10-15 07:32:55</v>
      </c>
    </row>
    <row r="11758" spans="1:7" x14ac:dyDescent="0.2">
      <c r="A11758" t="s">
        <v>1</v>
      </c>
      <c r="B11758" t="str">
        <f>"13040774409"</f>
        <v>13040774409</v>
      </c>
      <c r="C11758" t="s">
        <v>1</v>
      </c>
      <c r="D11758" t="s">
        <v>1</v>
      </c>
      <c r="E11758" t="s">
        <v>1</v>
      </c>
      <c r="F11758" t="s">
        <v>0</v>
      </c>
      <c r="G11758" t="str">
        <f>"2018-10-13 20:46:38"</f>
        <v>2018-10-13 20:46:38</v>
      </c>
    </row>
    <row r="11759" spans="1:7" x14ac:dyDescent="0.2">
      <c r="A11759" t="s">
        <v>11952</v>
      </c>
      <c r="B11759" t="str">
        <f>"15246548187"</f>
        <v>15246548187</v>
      </c>
      <c r="C11759" t="str">
        <f>"231022197007074429"</f>
        <v>231022197007074429</v>
      </c>
      <c r="D11759" t="s">
        <v>1</v>
      </c>
      <c r="E11759" t="s">
        <v>1</v>
      </c>
      <c r="F11759" t="s">
        <v>0</v>
      </c>
      <c r="G11759" t="str">
        <f>"2018-10-13 20:48:27"</f>
        <v>2018-10-13 20:48:27</v>
      </c>
    </row>
    <row r="11760" spans="1:7" x14ac:dyDescent="0.2">
      <c r="A11760" t="s">
        <v>353</v>
      </c>
      <c r="B11760" t="str">
        <f>"13365388232"</f>
        <v>13365388232</v>
      </c>
      <c r="C11760" t="str">
        <f>"370911198804204817"</f>
        <v>370911198804204817</v>
      </c>
      <c r="D11760" t="s">
        <v>1</v>
      </c>
      <c r="E11760" t="s">
        <v>1</v>
      </c>
      <c r="F11760" t="s">
        <v>0</v>
      </c>
      <c r="G11760" t="str">
        <f>"2018-10-13 20:57:22"</f>
        <v>2018-10-13 20:57:22</v>
      </c>
    </row>
    <row r="11761" spans="1:7" x14ac:dyDescent="0.2">
      <c r="A11761" t="s">
        <v>11953</v>
      </c>
      <c r="B11761" t="str">
        <f>"13694997668"</f>
        <v>13694997668</v>
      </c>
      <c r="C11761" t="str">
        <f>"452127197704052750"</f>
        <v>452127197704052750</v>
      </c>
      <c r="D11761" t="s">
        <v>1</v>
      </c>
      <c r="E11761" t="s">
        <v>1</v>
      </c>
      <c r="F11761" t="s">
        <v>0</v>
      </c>
      <c r="G11761" t="str">
        <f>"2018-10-13 20:46:13"</f>
        <v>2018-10-13 20:46:13</v>
      </c>
    </row>
    <row r="11762" spans="1:7" x14ac:dyDescent="0.2">
      <c r="A11762" t="s">
        <v>11954</v>
      </c>
      <c r="B11762" t="str">
        <f>"13414708386"</f>
        <v>13414708386</v>
      </c>
      <c r="C11762" t="str">
        <f>"441381199005206648"</f>
        <v>441381199005206648</v>
      </c>
      <c r="D11762" t="s">
        <v>1</v>
      </c>
      <c r="E11762" t="s">
        <v>1</v>
      </c>
      <c r="F11762" t="s">
        <v>0</v>
      </c>
      <c r="G11762" t="str">
        <f>"2018-10-13 20:43:19"</f>
        <v>2018-10-13 20:43:19</v>
      </c>
    </row>
    <row r="11763" spans="1:7" x14ac:dyDescent="0.2">
      <c r="A11763" t="s">
        <v>11955</v>
      </c>
      <c r="B11763" t="str">
        <f>"13431642252"</f>
        <v>13431642252</v>
      </c>
      <c r="C11763" t="str">
        <f>"532128199303162794"</f>
        <v>532128199303162794</v>
      </c>
      <c r="D11763" t="s">
        <v>11956</v>
      </c>
      <c r="E11763" t="s">
        <v>11957</v>
      </c>
      <c r="F11763" t="s">
        <v>0</v>
      </c>
      <c r="G11763" t="str">
        <f>"2018-10-13 20:39:12"</f>
        <v>2018-10-13 20:39:12</v>
      </c>
    </row>
    <row r="11764" spans="1:7" x14ac:dyDescent="0.2">
      <c r="A11764" t="s">
        <v>11958</v>
      </c>
      <c r="B11764" t="str">
        <f>"13788953336"</f>
        <v>13788953336</v>
      </c>
      <c r="C11764" t="str">
        <f>"31022819820305003X"</f>
        <v>31022819820305003X</v>
      </c>
      <c r="D11764" t="s">
        <v>1</v>
      </c>
      <c r="E11764" t="s">
        <v>1</v>
      </c>
      <c r="F11764" t="s">
        <v>0</v>
      </c>
      <c r="G11764" t="str">
        <f>"2018-10-13 20:39:48"</f>
        <v>2018-10-13 20:39:48</v>
      </c>
    </row>
    <row r="11765" spans="1:7" x14ac:dyDescent="0.2">
      <c r="A11765" t="s">
        <v>11959</v>
      </c>
      <c r="B11765" t="str">
        <f>"15892091431"</f>
        <v>15892091431</v>
      </c>
      <c r="C11765" t="str">
        <f>"350322199705284353"</f>
        <v>350322199705284353</v>
      </c>
      <c r="D11765" t="s">
        <v>11960</v>
      </c>
      <c r="E11765" t="s">
        <v>11961</v>
      </c>
      <c r="F11765" t="s">
        <v>0</v>
      </c>
      <c r="G11765" t="str">
        <f>"2018-10-13 20:41:06"</f>
        <v>2018-10-13 20:41:06</v>
      </c>
    </row>
    <row r="11766" spans="1:7" x14ac:dyDescent="0.2">
      <c r="A11766" t="s">
        <v>228</v>
      </c>
      <c r="B11766" t="str">
        <f>"13638892106"</f>
        <v>13638892106</v>
      </c>
      <c r="C11766" t="str">
        <f>"532101198907150335"</f>
        <v>532101198907150335</v>
      </c>
      <c r="D11766" t="s">
        <v>11962</v>
      </c>
      <c r="E11766" t="s">
        <v>11963</v>
      </c>
      <c r="F11766" t="s">
        <v>0</v>
      </c>
      <c r="G11766" t="str">
        <f>"2018-10-13 20:56:08"</f>
        <v>2018-10-13 20:56:08</v>
      </c>
    </row>
    <row r="11767" spans="1:7" x14ac:dyDescent="0.2">
      <c r="A11767" t="s">
        <v>844</v>
      </c>
      <c r="B11767" t="str">
        <f>"18684955962"</f>
        <v>18684955962</v>
      </c>
      <c r="C11767" t="str">
        <f>"430422199801020513"</f>
        <v>430422199801020513</v>
      </c>
      <c r="D11767" t="s">
        <v>1</v>
      </c>
      <c r="E11767" t="s">
        <v>1</v>
      </c>
      <c r="F11767" t="s">
        <v>0</v>
      </c>
      <c r="G11767" t="str">
        <f>"2018-10-13 21:58:39"</f>
        <v>2018-10-13 21:58:39</v>
      </c>
    </row>
    <row r="11768" spans="1:7" x14ac:dyDescent="0.2">
      <c r="A11768" t="s">
        <v>11964</v>
      </c>
      <c r="B11768" t="str">
        <f>"13644993555"</f>
        <v>13644993555</v>
      </c>
      <c r="C11768" t="str">
        <f>"232131198405101610"</f>
        <v>232131198405101610</v>
      </c>
      <c r="D11768" t="s">
        <v>1</v>
      </c>
      <c r="E11768" t="s">
        <v>1</v>
      </c>
      <c r="F11768" t="s">
        <v>0</v>
      </c>
      <c r="G11768" t="str">
        <f>"2018-10-14 07:32:53"</f>
        <v>2018-10-14 07:32:53</v>
      </c>
    </row>
    <row r="11769" spans="1:7" x14ac:dyDescent="0.2">
      <c r="A11769" t="s">
        <v>1</v>
      </c>
      <c r="B11769" t="str">
        <f>"18686063805"</f>
        <v>18686063805</v>
      </c>
      <c r="C11769" t="s">
        <v>1</v>
      </c>
      <c r="D11769" t="s">
        <v>1</v>
      </c>
      <c r="E11769" t="s">
        <v>1</v>
      </c>
      <c r="F11769" t="s">
        <v>0</v>
      </c>
      <c r="G11769" t="str">
        <f>"2018-10-13 20:33:34"</f>
        <v>2018-10-13 20:33:34</v>
      </c>
    </row>
    <row r="11770" spans="1:7" x14ac:dyDescent="0.2">
      <c r="A11770" t="s">
        <v>945</v>
      </c>
      <c r="B11770" t="str">
        <f>"13127637958"</f>
        <v>13127637958</v>
      </c>
      <c r="C11770" t="str">
        <f>"320882199610023212"</f>
        <v>320882199610023212</v>
      </c>
      <c r="D11770" t="s">
        <v>1</v>
      </c>
      <c r="E11770" t="s">
        <v>1</v>
      </c>
      <c r="F11770" t="s">
        <v>0</v>
      </c>
      <c r="G11770" t="str">
        <f>"2018-10-13 20:40:15"</f>
        <v>2018-10-13 20:40:15</v>
      </c>
    </row>
    <row r="11771" spans="1:7" x14ac:dyDescent="0.2">
      <c r="A11771" t="s">
        <v>11965</v>
      </c>
      <c r="B11771" t="str">
        <f>"13600953734"</f>
        <v>13600953734</v>
      </c>
      <c r="C11771" t="str">
        <f>"350428198808024553"</f>
        <v>350428198808024553</v>
      </c>
      <c r="D11771" t="s">
        <v>1</v>
      </c>
      <c r="E11771" t="s">
        <v>1</v>
      </c>
      <c r="F11771" t="s">
        <v>0</v>
      </c>
      <c r="G11771" t="str">
        <f>"2018-10-22 01:15:46"</f>
        <v>2018-10-22 01:15:46</v>
      </c>
    </row>
    <row r="11772" spans="1:7" x14ac:dyDescent="0.2">
      <c r="A11772" t="s">
        <v>11966</v>
      </c>
      <c r="B11772" t="str">
        <f>"18662999995"</f>
        <v>18662999995</v>
      </c>
      <c r="C11772" t="str">
        <f>"321027198801286013"</f>
        <v>321027198801286013</v>
      </c>
      <c r="D11772" t="s">
        <v>1</v>
      </c>
      <c r="E11772" t="s">
        <v>1</v>
      </c>
      <c r="F11772" t="s">
        <v>0</v>
      </c>
      <c r="G11772" t="str">
        <f>"2018-10-13 20:34:08"</f>
        <v>2018-10-13 20:34:08</v>
      </c>
    </row>
    <row r="11773" spans="1:7" x14ac:dyDescent="0.2">
      <c r="A11773" t="s">
        <v>11967</v>
      </c>
      <c r="B11773" t="str">
        <f>"13706944721"</f>
        <v>13706944721</v>
      </c>
      <c r="C11773" t="str">
        <f>"362321199504102135"</f>
        <v>362321199504102135</v>
      </c>
      <c r="D11773" t="s">
        <v>1</v>
      </c>
      <c r="E11773" t="s">
        <v>1</v>
      </c>
      <c r="F11773" t="s">
        <v>0</v>
      </c>
      <c r="G11773" t="str">
        <f>"2018-10-28 09:54:08"</f>
        <v>2018-10-28 09:54:08</v>
      </c>
    </row>
    <row r="11774" spans="1:7" x14ac:dyDescent="0.2">
      <c r="A11774" t="s">
        <v>1220</v>
      </c>
      <c r="B11774" t="str">
        <f>"13886846077"</f>
        <v>13886846077</v>
      </c>
      <c r="C11774" t="str">
        <f>"420325198812121536"</f>
        <v>420325198812121536</v>
      </c>
      <c r="D11774" t="s">
        <v>1</v>
      </c>
      <c r="E11774" t="s">
        <v>1</v>
      </c>
      <c r="F11774" t="s">
        <v>0</v>
      </c>
      <c r="G11774" t="str">
        <f>"2018-10-15 10:42:46"</f>
        <v>2018-10-15 10:42:46</v>
      </c>
    </row>
    <row r="11775" spans="1:7" x14ac:dyDescent="0.2">
      <c r="A11775" t="s">
        <v>11968</v>
      </c>
      <c r="B11775" t="str">
        <f>"13189289386"</f>
        <v>13189289386</v>
      </c>
      <c r="C11775" t="str">
        <f>"430426199201285011"</f>
        <v>430426199201285011</v>
      </c>
      <c r="D11775" t="s">
        <v>1</v>
      </c>
      <c r="E11775" t="s">
        <v>1</v>
      </c>
      <c r="F11775" t="s">
        <v>0</v>
      </c>
      <c r="G11775" t="str">
        <f>"2018-10-13 20:31:35"</f>
        <v>2018-10-13 20:31:35</v>
      </c>
    </row>
    <row r="11776" spans="1:7" x14ac:dyDescent="0.2">
      <c r="A11776" t="s">
        <v>752</v>
      </c>
      <c r="B11776" t="str">
        <f>"13180808871"</f>
        <v>13180808871</v>
      </c>
      <c r="C11776" t="str">
        <f>"220106199204181639"</f>
        <v>220106199204181639</v>
      </c>
      <c r="D11776" t="s">
        <v>1</v>
      </c>
      <c r="E11776" t="s">
        <v>1</v>
      </c>
      <c r="F11776" t="s">
        <v>0</v>
      </c>
      <c r="G11776" t="str">
        <f>"2018-10-13 21:43:57"</f>
        <v>2018-10-13 21:43:57</v>
      </c>
    </row>
    <row r="11777" spans="1:7" x14ac:dyDescent="0.2">
      <c r="A11777" t="s">
        <v>11969</v>
      </c>
      <c r="B11777" t="str">
        <f>"15391562087"</f>
        <v>15391562087</v>
      </c>
      <c r="C11777" t="str">
        <f>"420106197709154052"</f>
        <v>420106197709154052</v>
      </c>
      <c r="D11777" t="s">
        <v>1</v>
      </c>
      <c r="E11777" t="s">
        <v>1</v>
      </c>
      <c r="F11777" t="s">
        <v>0</v>
      </c>
      <c r="G11777" t="str">
        <f>"2018-10-13 20:30:05"</f>
        <v>2018-10-13 20:30:05</v>
      </c>
    </row>
    <row r="11778" spans="1:7" x14ac:dyDescent="0.2">
      <c r="A11778" t="s">
        <v>1</v>
      </c>
      <c r="B11778" t="str">
        <f>"13229175987"</f>
        <v>13229175987</v>
      </c>
      <c r="C11778" t="s">
        <v>1</v>
      </c>
      <c r="D11778" t="s">
        <v>1</v>
      </c>
      <c r="E11778" t="s">
        <v>1</v>
      </c>
      <c r="F11778" t="s">
        <v>0</v>
      </c>
      <c r="G11778" t="str">
        <f>"2018-10-13 20:58:51"</f>
        <v>2018-10-13 20:58:51</v>
      </c>
    </row>
    <row r="11779" spans="1:7" x14ac:dyDescent="0.2">
      <c r="A11779" t="s">
        <v>1</v>
      </c>
      <c r="B11779" t="str">
        <f>"15763528871"</f>
        <v>15763528871</v>
      </c>
      <c r="C11779" t="s">
        <v>1</v>
      </c>
      <c r="D11779" t="s">
        <v>1</v>
      </c>
      <c r="E11779" t="s">
        <v>1</v>
      </c>
      <c r="F11779" t="s">
        <v>0</v>
      </c>
      <c r="G11779" t="str">
        <f>"2018-10-23 19:30:48"</f>
        <v>2018-10-23 19:30:48</v>
      </c>
    </row>
    <row r="11780" spans="1:7" x14ac:dyDescent="0.2">
      <c r="A11780" t="s">
        <v>3859</v>
      </c>
      <c r="B11780" t="str">
        <f>"13709523741"</f>
        <v>13709523741</v>
      </c>
      <c r="C11780" t="str">
        <f>"640202198203300521"</f>
        <v>640202198203300521</v>
      </c>
      <c r="D11780" t="s">
        <v>1</v>
      </c>
      <c r="E11780" t="s">
        <v>1</v>
      </c>
      <c r="F11780" t="s">
        <v>0</v>
      </c>
      <c r="G11780" t="str">
        <f>"2018-10-13 20:29:34"</f>
        <v>2018-10-13 20:29:34</v>
      </c>
    </row>
    <row r="11781" spans="1:7" x14ac:dyDescent="0.2">
      <c r="A11781" t="s">
        <v>11970</v>
      </c>
      <c r="B11781" t="str">
        <f>"18813144132"</f>
        <v>18813144132</v>
      </c>
      <c r="C11781" t="str">
        <f>"412702199210267441"</f>
        <v>412702199210267441</v>
      </c>
      <c r="D11781" t="s">
        <v>1</v>
      </c>
      <c r="E11781" t="s">
        <v>1</v>
      </c>
      <c r="F11781" t="s">
        <v>0</v>
      </c>
      <c r="G11781" t="str">
        <f>"2018-10-13 20:32:18"</f>
        <v>2018-10-13 20:32:18</v>
      </c>
    </row>
    <row r="11782" spans="1:7" x14ac:dyDescent="0.2">
      <c r="A11782" t="s">
        <v>414</v>
      </c>
      <c r="B11782" t="str">
        <f>"17623663798"</f>
        <v>17623663798</v>
      </c>
      <c r="C11782" t="str">
        <f>"500225199808090326"</f>
        <v>500225199808090326</v>
      </c>
      <c r="D11782" t="s">
        <v>1</v>
      </c>
      <c r="E11782" t="s">
        <v>1</v>
      </c>
      <c r="F11782" t="s">
        <v>0</v>
      </c>
      <c r="G11782" t="str">
        <f>"2018-10-13 20:36:38"</f>
        <v>2018-10-13 20:36:38</v>
      </c>
    </row>
    <row r="11783" spans="1:7" x14ac:dyDescent="0.2">
      <c r="A11783" t="s">
        <v>1298</v>
      </c>
      <c r="B11783" t="str">
        <f>"15668669881"</f>
        <v>15668669881</v>
      </c>
      <c r="C11783" t="str">
        <f>"510321198704068033"</f>
        <v>510321198704068033</v>
      </c>
      <c r="D11783" t="s">
        <v>1</v>
      </c>
      <c r="E11783" t="s">
        <v>1</v>
      </c>
      <c r="F11783" t="s">
        <v>0</v>
      </c>
      <c r="G11783" t="str">
        <f>"2018-10-13 20:26:54"</f>
        <v>2018-10-13 20:26:54</v>
      </c>
    </row>
    <row r="11784" spans="1:7" x14ac:dyDescent="0.2">
      <c r="A11784" t="s">
        <v>11971</v>
      </c>
      <c r="B11784" t="str">
        <f>"18681710555"</f>
        <v>18681710555</v>
      </c>
      <c r="C11784" t="str">
        <f>"511322199407102372"</f>
        <v>511322199407102372</v>
      </c>
      <c r="D11784" t="s">
        <v>1</v>
      </c>
      <c r="E11784" t="s">
        <v>1</v>
      </c>
      <c r="F11784" t="s">
        <v>0</v>
      </c>
      <c r="G11784" t="str">
        <f>"2018-10-13 20:37:38"</f>
        <v>2018-10-13 20:37:38</v>
      </c>
    </row>
    <row r="11785" spans="1:7" x14ac:dyDescent="0.2">
      <c r="A11785" t="s">
        <v>1</v>
      </c>
      <c r="B11785" t="str">
        <f>"15578497714"</f>
        <v>15578497714</v>
      </c>
      <c r="C11785" t="s">
        <v>1</v>
      </c>
      <c r="D11785" t="s">
        <v>1</v>
      </c>
      <c r="E11785" t="s">
        <v>1</v>
      </c>
      <c r="F11785" t="s">
        <v>0</v>
      </c>
      <c r="G11785" t="str">
        <f>"2018-10-13 20:25:08"</f>
        <v>2018-10-13 20:25:08</v>
      </c>
    </row>
    <row r="11786" spans="1:7" x14ac:dyDescent="0.2">
      <c r="A11786" t="s">
        <v>11972</v>
      </c>
      <c r="B11786" t="str">
        <f>"15954989849"</f>
        <v>15954989849</v>
      </c>
      <c r="C11786" t="str">
        <f>"371521199511044633"</f>
        <v>371521199511044633</v>
      </c>
      <c r="D11786" t="s">
        <v>1</v>
      </c>
      <c r="E11786" t="s">
        <v>1</v>
      </c>
      <c r="F11786" t="s">
        <v>0</v>
      </c>
      <c r="G11786" t="str">
        <f>"2018-10-13 20:36:54"</f>
        <v>2018-10-13 20:36:54</v>
      </c>
    </row>
    <row r="11787" spans="1:7" x14ac:dyDescent="0.2">
      <c r="A11787" t="s">
        <v>273</v>
      </c>
      <c r="B11787" t="str">
        <f>"18047952010"</f>
        <v>18047952010</v>
      </c>
      <c r="C11787" t="str">
        <f>"150202198703170026"</f>
        <v>150202198703170026</v>
      </c>
      <c r="D11787" t="s">
        <v>1</v>
      </c>
      <c r="E11787" t="s">
        <v>1</v>
      </c>
      <c r="F11787" t="s">
        <v>0</v>
      </c>
      <c r="G11787" t="str">
        <f>"2018-10-13 20:25:11"</f>
        <v>2018-10-13 20:25:11</v>
      </c>
    </row>
    <row r="11788" spans="1:7" x14ac:dyDescent="0.2">
      <c r="A11788" t="s">
        <v>11973</v>
      </c>
      <c r="B11788" t="str">
        <f>"15866115715"</f>
        <v>15866115715</v>
      </c>
      <c r="C11788" t="str">
        <f>"370786198906066021"</f>
        <v>370786198906066021</v>
      </c>
      <c r="D11788" t="s">
        <v>1</v>
      </c>
      <c r="E11788" t="s">
        <v>1</v>
      </c>
      <c r="F11788" t="s">
        <v>0</v>
      </c>
      <c r="G11788" t="str">
        <f>"2018-10-13 20:25:18"</f>
        <v>2018-10-13 20:25:18</v>
      </c>
    </row>
    <row r="11789" spans="1:7" x14ac:dyDescent="0.2">
      <c r="A11789" t="s">
        <v>517</v>
      </c>
      <c r="B11789" t="str">
        <f>"18383388054"</f>
        <v>18383388054</v>
      </c>
      <c r="C11789" t="str">
        <f>"511112199806170520"</f>
        <v>511112199806170520</v>
      </c>
      <c r="D11789" t="s">
        <v>1</v>
      </c>
      <c r="E11789" t="s">
        <v>1</v>
      </c>
      <c r="F11789" t="s">
        <v>0</v>
      </c>
      <c r="G11789" t="str">
        <f>"2018-11-02 20:00:50"</f>
        <v>2018-11-02 20:00:50</v>
      </c>
    </row>
    <row r="11790" spans="1:7" x14ac:dyDescent="0.2">
      <c r="A11790" t="s">
        <v>1708</v>
      </c>
      <c r="B11790" t="str">
        <f>"15549181883"</f>
        <v>15549181883</v>
      </c>
      <c r="C11790" t="str">
        <f>"422825198210181653"</f>
        <v>422825198210181653</v>
      </c>
      <c r="D11790" t="s">
        <v>1</v>
      </c>
      <c r="E11790" t="s">
        <v>1</v>
      </c>
      <c r="F11790" t="s">
        <v>0</v>
      </c>
      <c r="G11790" t="str">
        <f>"2018-10-13 20:22:22"</f>
        <v>2018-10-13 20:22:22</v>
      </c>
    </row>
    <row r="11791" spans="1:7" x14ac:dyDescent="0.2">
      <c r="A11791" t="s">
        <v>11974</v>
      </c>
      <c r="B11791" t="str">
        <f>"13995624575"</f>
        <v>13995624575</v>
      </c>
      <c r="C11791" t="str">
        <f>"420122197908052411"</f>
        <v>420122197908052411</v>
      </c>
      <c r="D11791" t="s">
        <v>11975</v>
      </c>
      <c r="E11791" t="s">
        <v>11976</v>
      </c>
      <c r="F11791" t="s">
        <v>0</v>
      </c>
      <c r="G11791" t="str">
        <f>"2018-10-13 20:25:50"</f>
        <v>2018-10-13 20:25:50</v>
      </c>
    </row>
    <row r="11792" spans="1:7" x14ac:dyDescent="0.2">
      <c r="A11792" t="s">
        <v>11977</v>
      </c>
      <c r="B11792" t="str">
        <f>"18510134355"</f>
        <v>18510134355</v>
      </c>
      <c r="C11792" t="str">
        <f>"140602199002183013"</f>
        <v>140602199002183013</v>
      </c>
      <c r="D11792" t="s">
        <v>1</v>
      </c>
      <c r="E11792" t="s">
        <v>1</v>
      </c>
      <c r="F11792" t="s">
        <v>0</v>
      </c>
      <c r="G11792" t="str">
        <f>"2018-10-13 20:20:15"</f>
        <v>2018-10-13 20:20:15</v>
      </c>
    </row>
    <row r="11793" spans="1:7" x14ac:dyDescent="0.2">
      <c r="A11793" t="s">
        <v>11978</v>
      </c>
      <c r="B11793" t="str">
        <f>"15989609517"</f>
        <v>15989609517</v>
      </c>
      <c r="C11793" t="str">
        <f>"41272519970214221X"</f>
        <v>41272519970214221X</v>
      </c>
      <c r="D11793" t="s">
        <v>1</v>
      </c>
      <c r="E11793" t="s">
        <v>1</v>
      </c>
      <c r="F11793" t="s">
        <v>0</v>
      </c>
      <c r="G11793" t="str">
        <f>"2018-10-13 20:17:47"</f>
        <v>2018-10-13 20:17:47</v>
      </c>
    </row>
    <row r="11794" spans="1:7" x14ac:dyDescent="0.2">
      <c r="A11794" t="s">
        <v>11979</v>
      </c>
      <c r="B11794" t="str">
        <f>"15002161195"</f>
        <v>15002161195</v>
      </c>
      <c r="C11794" t="str">
        <f>"310109197301115221"</f>
        <v>310109197301115221</v>
      </c>
      <c r="D11794" t="s">
        <v>1</v>
      </c>
      <c r="E11794" t="s">
        <v>1</v>
      </c>
      <c r="F11794" t="s">
        <v>0</v>
      </c>
      <c r="G11794" t="str">
        <f>"2018-10-13 20:15:27"</f>
        <v>2018-10-13 20:15:27</v>
      </c>
    </row>
    <row r="11795" spans="1:7" x14ac:dyDescent="0.2">
      <c r="A11795" t="s">
        <v>11980</v>
      </c>
      <c r="B11795" t="str">
        <f>"15228403360"</f>
        <v>15228403360</v>
      </c>
      <c r="C11795" t="str">
        <f>"510727198809270625"</f>
        <v>510727198809270625</v>
      </c>
      <c r="D11795" t="s">
        <v>11981</v>
      </c>
      <c r="E11795" t="s">
        <v>11982</v>
      </c>
      <c r="F11795" t="s">
        <v>0</v>
      </c>
      <c r="G11795" t="str">
        <f>"2018-10-13 20:14:27"</f>
        <v>2018-10-13 20:14:27</v>
      </c>
    </row>
    <row r="11796" spans="1:7" x14ac:dyDescent="0.2">
      <c r="A11796" t="s">
        <v>11983</v>
      </c>
      <c r="B11796" t="str">
        <f>"15214709711"</f>
        <v>15214709711</v>
      </c>
      <c r="C11796" t="str">
        <f>"330781199210282012"</f>
        <v>330781199210282012</v>
      </c>
      <c r="D11796" t="s">
        <v>1</v>
      </c>
      <c r="E11796" t="s">
        <v>1</v>
      </c>
      <c r="F11796" t="s">
        <v>0</v>
      </c>
      <c r="G11796" t="str">
        <f>"2018-10-13 20:16:30"</f>
        <v>2018-10-13 20:16:30</v>
      </c>
    </row>
    <row r="11797" spans="1:7" x14ac:dyDescent="0.2">
      <c r="A11797" t="s">
        <v>11984</v>
      </c>
      <c r="B11797" t="str">
        <f>"13420552142"</f>
        <v>13420552142</v>
      </c>
      <c r="C11797" t="str">
        <f>"440203197402036211"</f>
        <v>440203197402036211</v>
      </c>
      <c r="D11797" t="s">
        <v>1</v>
      </c>
      <c r="E11797" t="s">
        <v>1</v>
      </c>
      <c r="F11797" t="s">
        <v>0</v>
      </c>
      <c r="G11797" t="str">
        <f>"2018-10-13 20:12:50"</f>
        <v>2018-10-13 20:12:50</v>
      </c>
    </row>
    <row r="11798" spans="1:7" x14ac:dyDescent="0.2">
      <c r="A11798" t="s">
        <v>11985</v>
      </c>
      <c r="B11798" t="str">
        <f>"13212648219"</f>
        <v>13212648219</v>
      </c>
      <c r="C11798" t="str">
        <f>"430726198909163919"</f>
        <v>430726198909163919</v>
      </c>
      <c r="D11798" t="s">
        <v>1</v>
      </c>
      <c r="E11798" t="s">
        <v>1</v>
      </c>
      <c r="F11798" t="s">
        <v>0</v>
      </c>
      <c r="G11798" t="str">
        <f>"2018-10-13 20:18:41"</f>
        <v>2018-10-13 20:18:41</v>
      </c>
    </row>
    <row r="11799" spans="1:7" x14ac:dyDescent="0.2">
      <c r="A11799" t="s">
        <v>11986</v>
      </c>
      <c r="B11799" t="str">
        <f>"13318387521"</f>
        <v>13318387521</v>
      </c>
      <c r="C11799" t="str">
        <f>"511622199404148339"</f>
        <v>511622199404148339</v>
      </c>
      <c r="D11799" t="s">
        <v>1</v>
      </c>
      <c r="E11799" t="s">
        <v>1</v>
      </c>
      <c r="F11799" t="s">
        <v>0</v>
      </c>
      <c r="G11799" t="str">
        <f>"2018-10-13 20:37:24"</f>
        <v>2018-10-13 20:37:24</v>
      </c>
    </row>
    <row r="11800" spans="1:7" x14ac:dyDescent="0.2">
      <c r="A11800" t="s">
        <v>1</v>
      </c>
      <c r="B11800" t="str">
        <f>"13430060634"</f>
        <v>13430060634</v>
      </c>
      <c r="C11800" t="s">
        <v>1</v>
      </c>
      <c r="D11800" t="s">
        <v>1</v>
      </c>
      <c r="E11800" t="s">
        <v>1</v>
      </c>
      <c r="F11800" t="s">
        <v>0</v>
      </c>
      <c r="G11800" t="str">
        <f>"2018-10-13 20:07:03"</f>
        <v>2018-10-13 20:07:03</v>
      </c>
    </row>
    <row r="11801" spans="1:7" x14ac:dyDescent="0.2">
      <c r="A11801" t="s">
        <v>1</v>
      </c>
      <c r="B11801" t="str">
        <f>"17397513300"</f>
        <v>17397513300</v>
      </c>
      <c r="C11801" t="s">
        <v>1</v>
      </c>
      <c r="D11801" t="s">
        <v>1</v>
      </c>
      <c r="E11801" t="s">
        <v>1</v>
      </c>
      <c r="F11801" t="s">
        <v>0</v>
      </c>
      <c r="G11801" t="str">
        <f>"2018-10-13 20:06:13"</f>
        <v>2018-10-13 20:06:13</v>
      </c>
    </row>
    <row r="11802" spans="1:7" x14ac:dyDescent="0.2">
      <c r="A11802" t="s">
        <v>11987</v>
      </c>
      <c r="B11802" t="str">
        <f>"13991883081"</f>
        <v>13991883081</v>
      </c>
      <c r="C11802" t="str">
        <f>"610104197608101130"</f>
        <v>610104197608101130</v>
      </c>
      <c r="D11802" t="s">
        <v>1</v>
      </c>
      <c r="E11802" t="s">
        <v>1</v>
      </c>
      <c r="F11802" t="s">
        <v>0</v>
      </c>
      <c r="G11802" t="str">
        <f>"2018-10-13 20:07:31"</f>
        <v>2018-10-13 20:07:31</v>
      </c>
    </row>
    <row r="11803" spans="1:7" x14ac:dyDescent="0.2">
      <c r="A11803" t="s">
        <v>11988</v>
      </c>
      <c r="B11803" t="str">
        <f>"15959186132"</f>
        <v>15959186132</v>
      </c>
      <c r="C11803" t="str">
        <f>"352203199004091011"</f>
        <v>352203199004091011</v>
      </c>
      <c r="D11803" t="s">
        <v>1</v>
      </c>
      <c r="E11803" t="s">
        <v>1</v>
      </c>
      <c r="F11803" t="s">
        <v>0</v>
      </c>
      <c r="G11803" t="str">
        <f>"2018-10-13 20:04:22"</f>
        <v>2018-10-13 20:04:22</v>
      </c>
    </row>
    <row r="11804" spans="1:7" x14ac:dyDescent="0.2">
      <c r="A11804" t="s">
        <v>11989</v>
      </c>
      <c r="B11804" t="str">
        <f>"13320629121"</f>
        <v>13320629121</v>
      </c>
      <c r="C11804" t="str">
        <f>"511623198808123279"</f>
        <v>511623198808123279</v>
      </c>
      <c r="D11804" t="s">
        <v>1</v>
      </c>
      <c r="E11804" t="s">
        <v>1</v>
      </c>
      <c r="F11804" t="s">
        <v>0</v>
      </c>
      <c r="G11804" t="str">
        <f>"2018-10-13 20:05:43"</f>
        <v>2018-10-13 20:05:43</v>
      </c>
    </row>
    <row r="11805" spans="1:7" x14ac:dyDescent="0.2">
      <c r="A11805" t="s">
        <v>1</v>
      </c>
      <c r="B11805" t="str">
        <f>"15103616610"</f>
        <v>15103616610</v>
      </c>
      <c r="C11805" t="s">
        <v>1</v>
      </c>
      <c r="D11805" t="s">
        <v>1</v>
      </c>
      <c r="E11805" t="s">
        <v>1</v>
      </c>
      <c r="F11805" t="s">
        <v>0</v>
      </c>
      <c r="G11805" t="str">
        <f>"2018-10-13 20:04:17"</f>
        <v>2018-10-13 20:04:17</v>
      </c>
    </row>
    <row r="11806" spans="1:7" x14ac:dyDescent="0.2">
      <c r="A11806" t="s">
        <v>11990</v>
      </c>
      <c r="B11806" t="str">
        <f>"15118156033"</f>
        <v>15118156033</v>
      </c>
      <c r="C11806" t="str">
        <f>"452528198009276966"</f>
        <v>452528198009276966</v>
      </c>
      <c r="D11806" t="s">
        <v>1</v>
      </c>
      <c r="E11806" t="s">
        <v>1</v>
      </c>
      <c r="F11806" t="s">
        <v>0</v>
      </c>
      <c r="G11806" t="str">
        <f>"2018-10-13 22:19:28"</f>
        <v>2018-10-13 22:19:28</v>
      </c>
    </row>
    <row r="11807" spans="1:7" x14ac:dyDescent="0.2">
      <c r="A11807" t="s">
        <v>1</v>
      </c>
      <c r="B11807" t="str">
        <f>"13136485650"</f>
        <v>13136485650</v>
      </c>
      <c r="C11807" t="s">
        <v>1</v>
      </c>
      <c r="D11807" t="s">
        <v>1</v>
      </c>
      <c r="E11807" t="s">
        <v>1</v>
      </c>
      <c r="F11807" t="s">
        <v>0</v>
      </c>
      <c r="G11807" t="str">
        <f>"2018-10-13 20:01:23"</f>
        <v>2018-10-13 20:01:23</v>
      </c>
    </row>
    <row r="11808" spans="1:7" x14ac:dyDescent="0.2">
      <c r="A11808" t="s">
        <v>1</v>
      </c>
      <c r="B11808" t="str">
        <f>"15272705328"</f>
        <v>15272705328</v>
      </c>
      <c r="C11808" t="s">
        <v>1</v>
      </c>
      <c r="D11808" t="s">
        <v>1</v>
      </c>
      <c r="E11808" t="s">
        <v>1</v>
      </c>
      <c r="F11808" t="s">
        <v>0</v>
      </c>
      <c r="G11808" t="str">
        <f>"2018-10-13 20:01:21"</f>
        <v>2018-10-13 20:01:21</v>
      </c>
    </row>
    <row r="11809" spans="1:7" x14ac:dyDescent="0.2">
      <c r="A11809" t="s">
        <v>11991</v>
      </c>
      <c r="B11809" t="str">
        <f>"15601713743"</f>
        <v>15601713743</v>
      </c>
      <c r="C11809" t="str">
        <f>"310112198908180356"</f>
        <v>310112198908180356</v>
      </c>
      <c r="D11809" t="s">
        <v>1</v>
      </c>
      <c r="E11809" t="s">
        <v>1</v>
      </c>
      <c r="F11809" t="s">
        <v>0</v>
      </c>
      <c r="G11809" t="str">
        <f>"2018-10-13 20:16:56"</f>
        <v>2018-10-13 20:16:56</v>
      </c>
    </row>
    <row r="11810" spans="1:7" x14ac:dyDescent="0.2">
      <c r="A11810" t="s">
        <v>1</v>
      </c>
      <c r="B11810" t="str">
        <f>"13782356539"</f>
        <v>13782356539</v>
      </c>
      <c r="C11810" t="s">
        <v>1</v>
      </c>
      <c r="D11810" t="s">
        <v>1</v>
      </c>
      <c r="E11810" t="s">
        <v>1</v>
      </c>
      <c r="F11810" t="s">
        <v>0</v>
      </c>
      <c r="G11810" t="str">
        <f>"2018-10-13 20:02:41"</f>
        <v>2018-10-13 20:02:41</v>
      </c>
    </row>
    <row r="11811" spans="1:7" x14ac:dyDescent="0.2">
      <c r="A11811" t="s">
        <v>11992</v>
      </c>
      <c r="B11811" t="str">
        <f>"13642344856"</f>
        <v>13642344856</v>
      </c>
      <c r="C11811" t="str">
        <f>"445381199111286673"</f>
        <v>445381199111286673</v>
      </c>
      <c r="D11811" t="s">
        <v>1</v>
      </c>
      <c r="E11811" t="s">
        <v>1</v>
      </c>
      <c r="F11811" t="s">
        <v>0</v>
      </c>
      <c r="G11811" t="str">
        <f>"2018-10-13 20:00:20"</f>
        <v>2018-10-13 20:00:20</v>
      </c>
    </row>
    <row r="11812" spans="1:7" x14ac:dyDescent="0.2">
      <c r="A11812" t="s">
        <v>11993</v>
      </c>
      <c r="B11812" t="str">
        <f>"18868128779"</f>
        <v>18868128779</v>
      </c>
      <c r="C11812" t="str">
        <f>"33018319970120262X"</f>
        <v>33018319970120262X</v>
      </c>
      <c r="D11812" t="s">
        <v>1</v>
      </c>
      <c r="E11812" t="s">
        <v>1</v>
      </c>
      <c r="F11812" t="s">
        <v>0</v>
      </c>
      <c r="G11812" t="str">
        <f>"2018-10-13 20:00:58"</f>
        <v>2018-10-13 20:00:58</v>
      </c>
    </row>
    <row r="11813" spans="1:7" x14ac:dyDescent="0.2">
      <c r="A11813" t="s">
        <v>11994</v>
      </c>
      <c r="B11813" t="str">
        <f>"13541384329"</f>
        <v>13541384329</v>
      </c>
      <c r="C11813" t="str">
        <f>"510105198306073274"</f>
        <v>510105198306073274</v>
      </c>
      <c r="D11813" t="s">
        <v>1</v>
      </c>
      <c r="E11813" t="s">
        <v>1</v>
      </c>
      <c r="F11813" t="s">
        <v>0</v>
      </c>
      <c r="G11813" t="str">
        <f>"2018-10-13 20:02:35"</f>
        <v>2018-10-13 20:02:35</v>
      </c>
    </row>
    <row r="11814" spans="1:7" x14ac:dyDescent="0.2">
      <c r="A11814" t="s">
        <v>11995</v>
      </c>
      <c r="B11814" t="str">
        <f>"15117581184"</f>
        <v>15117581184</v>
      </c>
      <c r="C11814" t="str">
        <f>"522426199807031626"</f>
        <v>522426199807031626</v>
      </c>
      <c r="D11814" t="s">
        <v>1</v>
      </c>
      <c r="E11814" t="s">
        <v>1</v>
      </c>
      <c r="F11814" t="s">
        <v>0</v>
      </c>
      <c r="G11814" t="str">
        <f>"2018-10-14 10:00:58"</f>
        <v>2018-10-14 10:00:58</v>
      </c>
    </row>
    <row r="11815" spans="1:7" x14ac:dyDescent="0.2">
      <c r="A11815" t="s">
        <v>43</v>
      </c>
      <c r="B11815" t="str">
        <f>"13919786274"</f>
        <v>13919786274</v>
      </c>
      <c r="C11815" t="str">
        <f>"622826198510261966"</f>
        <v>622826198510261966</v>
      </c>
      <c r="D11815" t="s">
        <v>1</v>
      </c>
      <c r="E11815" t="s">
        <v>1</v>
      </c>
      <c r="F11815" t="s">
        <v>0</v>
      </c>
      <c r="G11815" t="str">
        <f>"2018-10-16 10:48:10"</f>
        <v>2018-10-16 10:48:10</v>
      </c>
    </row>
    <row r="11816" spans="1:7" x14ac:dyDescent="0.2">
      <c r="A11816" t="s">
        <v>11996</v>
      </c>
      <c r="B11816" t="str">
        <f>"18595079788"</f>
        <v>18595079788</v>
      </c>
      <c r="C11816" t="str">
        <f>"642225199708090612"</f>
        <v>642225199708090612</v>
      </c>
      <c r="D11816" t="s">
        <v>11997</v>
      </c>
      <c r="E11816" t="s">
        <v>11998</v>
      </c>
      <c r="F11816" t="s">
        <v>0</v>
      </c>
      <c r="G11816" t="str">
        <f>"2018-10-13 20:00:06"</f>
        <v>2018-10-13 20:00:06</v>
      </c>
    </row>
    <row r="11817" spans="1:7" x14ac:dyDescent="0.2">
      <c r="A11817" t="s">
        <v>1410</v>
      </c>
      <c r="B11817" t="str">
        <f>"13799872213"</f>
        <v>13799872213</v>
      </c>
      <c r="C11817" t="str">
        <f>"350582198710173386"</f>
        <v>350582198710173386</v>
      </c>
      <c r="D11817" t="s">
        <v>1</v>
      </c>
      <c r="E11817" t="s">
        <v>1</v>
      </c>
      <c r="F11817" t="s">
        <v>0</v>
      </c>
      <c r="G11817" t="str">
        <f>"2018-10-13 19:59:29"</f>
        <v>2018-10-13 19:59:29</v>
      </c>
    </row>
    <row r="11818" spans="1:7" x14ac:dyDescent="0.2">
      <c r="A11818" t="s">
        <v>1</v>
      </c>
      <c r="B11818" t="str">
        <f>"13034614675"</f>
        <v>13034614675</v>
      </c>
      <c r="C11818" t="s">
        <v>1</v>
      </c>
      <c r="D11818" t="s">
        <v>1</v>
      </c>
      <c r="E11818" t="s">
        <v>1</v>
      </c>
      <c r="F11818" t="s">
        <v>0</v>
      </c>
      <c r="G11818" t="str">
        <f>"2018-10-13 19:56:18"</f>
        <v>2018-10-13 19:56:18</v>
      </c>
    </row>
    <row r="11819" spans="1:7" x14ac:dyDescent="0.2">
      <c r="A11819" t="s">
        <v>11999</v>
      </c>
      <c r="B11819" t="str">
        <f>"13047025808"</f>
        <v>13047025808</v>
      </c>
      <c r="C11819" t="str">
        <f>"441781199707180018"</f>
        <v>441781199707180018</v>
      </c>
      <c r="D11819" t="s">
        <v>1</v>
      </c>
      <c r="E11819" t="s">
        <v>1</v>
      </c>
      <c r="F11819" t="s">
        <v>0</v>
      </c>
      <c r="G11819" t="str">
        <f>"2018-10-13 19:55:14"</f>
        <v>2018-10-13 19:55:14</v>
      </c>
    </row>
    <row r="11820" spans="1:7" x14ac:dyDescent="0.2">
      <c r="A11820" t="s">
        <v>1</v>
      </c>
      <c r="B11820" t="str">
        <f>"18285445469"</f>
        <v>18285445469</v>
      </c>
      <c r="C11820" t="s">
        <v>1</v>
      </c>
      <c r="D11820" t="s">
        <v>1</v>
      </c>
      <c r="E11820" t="s">
        <v>1</v>
      </c>
      <c r="F11820" t="s">
        <v>0</v>
      </c>
      <c r="G11820" t="str">
        <f>"2018-10-13 19:55:10"</f>
        <v>2018-10-13 19:55:10</v>
      </c>
    </row>
    <row r="11821" spans="1:7" x14ac:dyDescent="0.2">
      <c r="A11821" t="s">
        <v>12000</v>
      </c>
      <c r="B11821" t="str">
        <f>"13606148670"</f>
        <v>13606148670</v>
      </c>
      <c r="C11821" t="str">
        <f>"320483199609163423"</f>
        <v>320483199609163423</v>
      </c>
      <c r="D11821" t="s">
        <v>1</v>
      </c>
      <c r="E11821" t="s">
        <v>1</v>
      </c>
      <c r="F11821" t="s">
        <v>0</v>
      </c>
      <c r="G11821" t="str">
        <f>"2018-10-21 19:01:23"</f>
        <v>2018-10-21 19:01:23</v>
      </c>
    </row>
    <row r="11822" spans="1:7" x14ac:dyDescent="0.2">
      <c r="A11822" t="s">
        <v>12001</v>
      </c>
      <c r="B11822" t="str">
        <f>"13735255513"</f>
        <v>13735255513</v>
      </c>
      <c r="C11822" t="str">
        <f>"330624199002281696"</f>
        <v>330624199002281696</v>
      </c>
      <c r="D11822" t="s">
        <v>12002</v>
      </c>
      <c r="E11822" t="s">
        <v>12003</v>
      </c>
      <c r="F11822" t="s">
        <v>0</v>
      </c>
      <c r="G11822" t="str">
        <f>"2018-10-13 19:56:07"</f>
        <v>2018-10-13 19:56:07</v>
      </c>
    </row>
    <row r="11823" spans="1:7" x14ac:dyDescent="0.2">
      <c r="A11823" t="s">
        <v>1</v>
      </c>
      <c r="B11823" t="str">
        <f>"15025855651"</f>
        <v>15025855651</v>
      </c>
      <c r="C11823" t="s">
        <v>1</v>
      </c>
      <c r="D11823" t="s">
        <v>1</v>
      </c>
      <c r="E11823" t="s">
        <v>1</v>
      </c>
      <c r="F11823" t="s">
        <v>0</v>
      </c>
      <c r="G11823" t="str">
        <f>"2018-10-28 11:35:26"</f>
        <v>2018-10-28 11:35:26</v>
      </c>
    </row>
    <row r="11824" spans="1:7" x14ac:dyDescent="0.2">
      <c r="A11824" t="s">
        <v>943</v>
      </c>
      <c r="B11824" t="str">
        <f>"15007188777"</f>
        <v>15007188777</v>
      </c>
      <c r="C11824" t="str">
        <f>"420104198708061227"</f>
        <v>420104198708061227</v>
      </c>
      <c r="D11824" t="s">
        <v>1</v>
      </c>
      <c r="E11824" t="s">
        <v>1</v>
      </c>
      <c r="F11824" t="s">
        <v>0</v>
      </c>
      <c r="G11824" t="str">
        <f>"2018-10-13 20:07:28"</f>
        <v>2018-10-13 20:07:28</v>
      </c>
    </row>
    <row r="11825" spans="1:7" x14ac:dyDescent="0.2">
      <c r="A11825" t="s">
        <v>1</v>
      </c>
      <c r="B11825" t="str">
        <f>"13924787339"</f>
        <v>13924787339</v>
      </c>
      <c r="C11825" t="s">
        <v>1</v>
      </c>
      <c r="D11825" t="s">
        <v>1</v>
      </c>
      <c r="E11825" t="s">
        <v>1</v>
      </c>
      <c r="F11825" t="s">
        <v>0</v>
      </c>
      <c r="G11825" t="str">
        <f>"2018-10-14 00:39:50"</f>
        <v>2018-10-14 00:39:50</v>
      </c>
    </row>
    <row r="11826" spans="1:7" x14ac:dyDescent="0.2">
      <c r="A11826" t="s">
        <v>1</v>
      </c>
      <c r="B11826" t="str">
        <f>"13652819682"</f>
        <v>13652819682</v>
      </c>
      <c r="C11826" t="s">
        <v>1</v>
      </c>
      <c r="D11826" t="s">
        <v>1</v>
      </c>
      <c r="E11826" t="s">
        <v>1</v>
      </c>
      <c r="F11826" t="s">
        <v>0</v>
      </c>
      <c r="G11826" t="str">
        <f>"2018-10-13 19:50:12"</f>
        <v>2018-10-13 19:50:12</v>
      </c>
    </row>
    <row r="11827" spans="1:7" x14ac:dyDescent="0.2">
      <c r="A11827" t="s">
        <v>1</v>
      </c>
      <c r="B11827" t="str">
        <f>"13207825214"</f>
        <v>13207825214</v>
      </c>
      <c r="C11827" t="s">
        <v>1</v>
      </c>
      <c r="D11827" t="s">
        <v>1</v>
      </c>
      <c r="E11827" t="s">
        <v>1</v>
      </c>
      <c r="F11827" t="s">
        <v>0</v>
      </c>
      <c r="G11827" t="str">
        <f>"2018-10-13 19:50:09"</f>
        <v>2018-10-13 19:50:09</v>
      </c>
    </row>
    <row r="11828" spans="1:7" x14ac:dyDescent="0.2">
      <c r="A11828" t="s">
        <v>12004</v>
      </c>
      <c r="B11828" t="str">
        <f>"13273810078"</f>
        <v>13273810078</v>
      </c>
      <c r="C11828" t="str">
        <f>"412725198812180693"</f>
        <v>412725198812180693</v>
      </c>
      <c r="D11828" t="s">
        <v>12005</v>
      </c>
      <c r="E11828" t="s">
        <v>12006</v>
      </c>
      <c r="F11828" t="s">
        <v>0</v>
      </c>
      <c r="G11828" t="str">
        <f>"2018-10-28 20:10:29"</f>
        <v>2018-10-28 20:10:29</v>
      </c>
    </row>
    <row r="11829" spans="1:7" x14ac:dyDescent="0.2">
      <c r="A11829" t="s">
        <v>12007</v>
      </c>
      <c r="B11829" t="str">
        <f>"17768949357"</f>
        <v>17768949357</v>
      </c>
      <c r="C11829" t="str">
        <f>"321324198711013828"</f>
        <v>321324198711013828</v>
      </c>
      <c r="D11829" t="s">
        <v>1</v>
      </c>
      <c r="E11829" t="s">
        <v>1</v>
      </c>
      <c r="F11829" t="s">
        <v>0</v>
      </c>
      <c r="G11829" t="str">
        <f>"2018-10-23 14:48:39"</f>
        <v>2018-10-23 14:48:39</v>
      </c>
    </row>
    <row r="11830" spans="1:7" x14ac:dyDescent="0.2">
      <c r="A11830" t="s">
        <v>1</v>
      </c>
      <c r="B11830" t="str">
        <f>"15527949515"</f>
        <v>15527949515</v>
      </c>
      <c r="C11830" t="s">
        <v>1</v>
      </c>
      <c r="D11830" t="s">
        <v>1</v>
      </c>
      <c r="E11830" t="s">
        <v>1</v>
      </c>
      <c r="F11830" t="s">
        <v>0</v>
      </c>
      <c r="G11830" t="str">
        <f>"2018-10-13 19:45:25"</f>
        <v>2018-10-13 19:45:25</v>
      </c>
    </row>
    <row r="11831" spans="1:7" x14ac:dyDescent="0.2">
      <c r="A11831" t="s">
        <v>12008</v>
      </c>
      <c r="B11831" t="str">
        <f>"13626569308"</f>
        <v>13626569308</v>
      </c>
      <c r="C11831" t="str">
        <f>"522322199007066010"</f>
        <v>522322199007066010</v>
      </c>
      <c r="D11831" t="s">
        <v>12009</v>
      </c>
      <c r="E11831" t="s">
        <v>12010</v>
      </c>
      <c r="F11831" t="s">
        <v>0</v>
      </c>
      <c r="G11831" t="str">
        <f>"2018-10-13 19:48:48"</f>
        <v>2018-10-13 19:48:48</v>
      </c>
    </row>
    <row r="11832" spans="1:7" x14ac:dyDescent="0.2">
      <c r="A11832" t="s">
        <v>1</v>
      </c>
      <c r="B11832" t="str">
        <f>"13811804232"</f>
        <v>13811804232</v>
      </c>
      <c r="C11832" t="s">
        <v>1</v>
      </c>
      <c r="D11832" t="s">
        <v>1</v>
      </c>
      <c r="E11832" t="s">
        <v>1</v>
      </c>
      <c r="F11832" t="s">
        <v>0</v>
      </c>
      <c r="G11832" t="str">
        <f>"2018-10-13 19:48:34"</f>
        <v>2018-10-13 19:48:34</v>
      </c>
    </row>
    <row r="11833" spans="1:7" x14ac:dyDescent="0.2">
      <c r="A11833" t="s">
        <v>12011</v>
      </c>
      <c r="B11833" t="str">
        <f>"13630081827"</f>
        <v>13630081827</v>
      </c>
      <c r="C11833" t="str">
        <f>"450422198710183033"</f>
        <v>450422198710183033</v>
      </c>
      <c r="D11833" t="s">
        <v>1</v>
      </c>
      <c r="E11833" t="s">
        <v>1</v>
      </c>
      <c r="F11833" t="s">
        <v>0</v>
      </c>
      <c r="G11833" t="str">
        <f>"2018-10-13 19:43:45"</f>
        <v>2018-10-13 19:43:45</v>
      </c>
    </row>
    <row r="11834" spans="1:7" x14ac:dyDescent="0.2">
      <c r="A11834" t="s">
        <v>708</v>
      </c>
      <c r="B11834" t="str">
        <f>"13991241574"</f>
        <v>13991241574</v>
      </c>
      <c r="C11834" t="str">
        <f>"610102198404111531"</f>
        <v>610102198404111531</v>
      </c>
      <c r="D11834" t="s">
        <v>1</v>
      </c>
      <c r="E11834" t="s">
        <v>1</v>
      </c>
      <c r="F11834" t="s">
        <v>0</v>
      </c>
      <c r="G11834" t="str">
        <f>"2018-10-13 19:43:53"</f>
        <v>2018-10-13 19:43:53</v>
      </c>
    </row>
    <row r="11835" spans="1:7" x14ac:dyDescent="0.2">
      <c r="A11835" t="s">
        <v>1</v>
      </c>
      <c r="B11835" t="str">
        <f>"18680631138"</f>
        <v>18680631138</v>
      </c>
      <c r="C11835" t="s">
        <v>1</v>
      </c>
      <c r="D11835" t="s">
        <v>1</v>
      </c>
      <c r="E11835" t="s">
        <v>1</v>
      </c>
      <c r="F11835" t="s">
        <v>0</v>
      </c>
      <c r="G11835" t="str">
        <f>"2018-10-13 19:41:07"</f>
        <v>2018-10-13 19:41:07</v>
      </c>
    </row>
    <row r="11836" spans="1:7" x14ac:dyDescent="0.2">
      <c r="A11836" t="s">
        <v>12012</v>
      </c>
      <c r="B11836" t="str">
        <f>"15035901157"</f>
        <v>15035901157</v>
      </c>
      <c r="C11836" t="str">
        <f>"142701198903055138"</f>
        <v>142701198903055138</v>
      </c>
      <c r="D11836" t="s">
        <v>12013</v>
      </c>
      <c r="E11836" t="s">
        <v>12014</v>
      </c>
      <c r="F11836" t="s">
        <v>0</v>
      </c>
      <c r="G11836" t="str">
        <f>"2018-10-13 19:38:44"</f>
        <v>2018-10-13 19:38:44</v>
      </c>
    </row>
    <row r="11837" spans="1:7" x14ac:dyDescent="0.2">
      <c r="A11837" t="s">
        <v>1</v>
      </c>
      <c r="B11837" t="str">
        <f>"18789773160"</f>
        <v>18789773160</v>
      </c>
      <c r="C11837" t="s">
        <v>1</v>
      </c>
      <c r="D11837" t="s">
        <v>1</v>
      </c>
      <c r="E11837" t="s">
        <v>1</v>
      </c>
      <c r="F11837" t="s">
        <v>0</v>
      </c>
      <c r="G11837" t="str">
        <f>"2018-10-13 19:38:00"</f>
        <v>2018-10-13 19:38:00</v>
      </c>
    </row>
    <row r="11838" spans="1:7" x14ac:dyDescent="0.2">
      <c r="A11838" t="s">
        <v>12015</v>
      </c>
      <c r="B11838" t="str">
        <f>"13828146004"</f>
        <v>13828146004</v>
      </c>
      <c r="C11838" t="str">
        <f>"445221198807286907"</f>
        <v>445221198807286907</v>
      </c>
      <c r="D11838" t="s">
        <v>1</v>
      </c>
      <c r="E11838" t="s">
        <v>1</v>
      </c>
      <c r="F11838" t="s">
        <v>0</v>
      </c>
      <c r="G11838" t="str">
        <f>"2018-10-13 19:37:05"</f>
        <v>2018-10-13 19:37:05</v>
      </c>
    </row>
    <row r="11839" spans="1:7" x14ac:dyDescent="0.2">
      <c r="A11839" t="s">
        <v>28</v>
      </c>
      <c r="B11839" t="str">
        <f>"13842430224"</f>
        <v>13842430224</v>
      </c>
      <c r="C11839" t="str">
        <f>"210503199107231527"</f>
        <v>210503199107231527</v>
      </c>
      <c r="D11839" t="s">
        <v>1</v>
      </c>
      <c r="E11839" t="s">
        <v>1</v>
      </c>
      <c r="F11839" t="s">
        <v>0</v>
      </c>
      <c r="G11839" t="str">
        <f>"2018-10-13 19:38:47"</f>
        <v>2018-10-13 19:38:47</v>
      </c>
    </row>
    <row r="11840" spans="1:7" x14ac:dyDescent="0.2">
      <c r="A11840" t="s">
        <v>12016</v>
      </c>
      <c r="B11840" t="str">
        <f>"17756900333"</f>
        <v>17756900333</v>
      </c>
      <c r="C11840" t="str">
        <f>"341122199308214210"</f>
        <v>341122199308214210</v>
      </c>
      <c r="D11840" t="s">
        <v>1</v>
      </c>
      <c r="E11840" t="s">
        <v>1</v>
      </c>
      <c r="F11840" t="s">
        <v>0</v>
      </c>
      <c r="G11840" t="str">
        <f>"2018-10-13 20:11:35"</f>
        <v>2018-10-13 20:11:35</v>
      </c>
    </row>
    <row r="11841" spans="1:7" x14ac:dyDescent="0.2">
      <c r="A11841" t="s">
        <v>12017</v>
      </c>
      <c r="B11841" t="str">
        <f>"15168727771"</f>
        <v>15168727771</v>
      </c>
      <c r="C11841" t="str">
        <f>"330326199202167915"</f>
        <v>330326199202167915</v>
      </c>
      <c r="D11841" t="s">
        <v>12018</v>
      </c>
      <c r="E11841" t="s">
        <v>12019</v>
      </c>
      <c r="F11841" t="s">
        <v>0</v>
      </c>
      <c r="G11841" t="str">
        <f>"2018-10-13 19:34:26"</f>
        <v>2018-10-13 19:34:26</v>
      </c>
    </row>
    <row r="11842" spans="1:7" x14ac:dyDescent="0.2">
      <c r="A11842" t="s">
        <v>1</v>
      </c>
      <c r="B11842" t="str">
        <f>"15534298104"</f>
        <v>15534298104</v>
      </c>
      <c r="C11842" t="s">
        <v>1</v>
      </c>
      <c r="D11842" t="s">
        <v>1</v>
      </c>
      <c r="E11842" t="s">
        <v>1</v>
      </c>
      <c r="F11842" t="s">
        <v>0</v>
      </c>
      <c r="G11842" t="str">
        <f>"2018-10-13 19:34:03"</f>
        <v>2018-10-13 19:34:03</v>
      </c>
    </row>
    <row r="11843" spans="1:7" x14ac:dyDescent="0.2">
      <c r="A11843" t="s">
        <v>1824</v>
      </c>
      <c r="B11843" t="str">
        <f>"13677421898"</f>
        <v>13677421898</v>
      </c>
      <c r="C11843" t="str">
        <f>"430524198204226349"</f>
        <v>430524198204226349</v>
      </c>
      <c r="D11843" t="s">
        <v>1</v>
      </c>
      <c r="E11843" t="s">
        <v>1</v>
      </c>
      <c r="F11843" t="s">
        <v>0</v>
      </c>
      <c r="G11843" t="str">
        <f>"2018-10-26 15:13:44"</f>
        <v>2018-10-26 15:13:44</v>
      </c>
    </row>
    <row r="11844" spans="1:7" x14ac:dyDescent="0.2">
      <c r="A11844" t="s">
        <v>1233</v>
      </c>
      <c r="B11844" t="str">
        <f>"15094180392"</f>
        <v>15094180392</v>
      </c>
      <c r="C11844" t="str">
        <f>"532522198102181816"</f>
        <v>532522198102181816</v>
      </c>
      <c r="D11844" t="s">
        <v>1</v>
      </c>
      <c r="E11844" t="s">
        <v>1</v>
      </c>
      <c r="F11844" t="s">
        <v>0</v>
      </c>
      <c r="G11844" t="str">
        <f>"2018-10-13 19:34:26"</f>
        <v>2018-10-13 19:34:26</v>
      </c>
    </row>
    <row r="11845" spans="1:7" x14ac:dyDescent="0.2">
      <c r="A11845" t="s">
        <v>1</v>
      </c>
      <c r="B11845" t="str">
        <f>"17773601867"</f>
        <v>17773601867</v>
      </c>
      <c r="C11845" t="s">
        <v>1</v>
      </c>
      <c r="D11845" t="s">
        <v>1</v>
      </c>
      <c r="E11845" t="s">
        <v>1</v>
      </c>
      <c r="F11845" t="s">
        <v>0</v>
      </c>
      <c r="G11845" t="str">
        <f>"2018-10-13 19:28:55"</f>
        <v>2018-10-13 19:28:55</v>
      </c>
    </row>
    <row r="11846" spans="1:7" x14ac:dyDescent="0.2">
      <c r="A11846" t="s">
        <v>1</v>
      </c>
      <c r="B11846" t="str">
        <f>"18154594227"</f>
        <v>18154594227</v>
      </c>
      <c r="C11846" t="s">
        <v>1</v>
      </c>
      <c r="D11846" t="s">
        <v>1</v>
      </c>
      <c r="E11846" t="s">
        <v>1</v>
      </c>
      <c r="F11846" t="s">
        <v>0</v>
      </c>
      <c r="G11846" t="str">
        <f>"2018-10-13 19:28:42"</f>
        <v>2018-10-13 19:28:42</v>
      </c>
    </row>
    <row r="11847" spans="1:7" x14ac:dyDescent="0.2">
      <c r="A11847" t="s">
        <v>1</v>
      </c>
      <c r="B11847" t="str">
        <f>"13257843641"</f>
        <v>13257843641</v>
      </c>
      <c r="C11847" t="s">
        <v>1</v>
      </c>
      <c r="D11847" t="s">
        <v>1</v>
      </c>
      <c r="E11847" t="s">
        <v>1</v>
      </c>
      <c r="F11847" t="s">
        <v>0</v>
      </c>
      <c r="G11847" t="str">
        <f>"2018-10-13 19:28:27"</f>
        <v>2018-10-13 19:28:27</v>
      </c>
    </row>
    <row r="11848" spans="1:7" x14ac:dyDescent="0.2">
      <c r="A11848" t="s">
        <v>12020</v>
      </c>
      <c r="B11848" t="str">
        <f>"18178967207"</f>
        <v>18178967207</v>
      </c>
      <c r="C11848" t="str">
        <f>"362135198206211918"</f>
        <v>362135198206211918</v>
      </c>
      <c r="D11848" t="s">
        <v>1</v>
      </c>
      <c r="E11848" t="s">
        <v>1</v>
      </c>
      <c r="F11848" t="s">
        <v>0</v>
      </c>
      <c r="G11848" t="str">
        <f>"2018-10-13 19:30:12"</f>
        <v>2018-10-13 19:30:12</v>
      </c>
    </row>
    <row r="11849" spans="1:7" x14ac:dyDescent="0.2">
      <c r="A11849" t="s">
        <v>627</v>
      </c>
      <c r="B11849" t="str">
        <f>"13883073041"</f>
        <v>13883073041</v>
      </c>
      <c r="C11849" t="str">
        <f>"500241199606106318"</f>
        <v>500241199606106318</v>
      </c>
      <c r="D11849" t="s">
        <v>1</v>
      </c>
      <c r="E11849" t="s">
        <v>1</v>
      </c>
      <c r="F11849" t="s">
        <v>0</v>
      </c>
      <c r="G11849" t="str">
        <f>"2018-10-13 19:29:59"</f>
        <v>2018-10-13 19:29:59</v>
      </c>
    </row>
    <row r="11850" spans="1:7" x14ac:dyDescent="0.2">
      <c r="A11850" t="s">
        <v>12021</v>
      </c>
      <c r="B11850" t="str">
        <f>"13333561208"</f>
        <v>13333561208</v>
      </c>
      <c r="C11850" t="str">
        <f>"140424199003290037"</f>
        <v>140424199003290037</v>
      </c>
      <c r="D11850" t="s">
        <v>1</v>
      </c>
      <c r="E11850" t="s">
        <v>1</v>
      </c>
      <c r="F11850" t="s">
        <v>0</v>
      </c>
      <c r="G11850" t="str">
        <f>"2018-10-13 19:27:05"</f>
        <v>2018-10-13 19:27:05</v>
      </c>
    </row>
    <row r="11851" spans="1:7" x14ac:dyDescent="0.2">
      <c r="A11851" t="s">
        <v>12022</v>
      </c>
      <c r="B11851" t="str">
        <f>"15217999194"</f>
        <v>15217999194</v>
      </c>
      <c r="C11851" t="str">
        <f>"44051319990107291X"</f>
        <v>44051319990107291X</v>
      </c>
      <c r="D11851" t="s">
        <v>1</v>
      </c>
      <c r="E11851" t="s">
        <v>1</v>
      </c>
      <c r="F11851" t="s">
        <v>0</v>
      </c>
      <c r="G11851" t="str">
        <f>"2018-10-27 03:30:47"</f>
        <v>2018-10-27 03:30:47</v>
      </c>
    </row>
    <row r="11852" spans="1:7" x14ac:dyDescent="0.2">
      <c r="A11852" t="s">
        <v>1</v>
      </c>
      <c r="B11852" t="str">
        <f>"13248485473"</f>
        <v>13248485473</v>
      </c>
      <c r="C11852" t="s">
        <v>1</v>
      </c>
      <c r="D11852" t="s">
        <v>1</v>
      </c>
      <c r="E11852" t="s">
        <v>1</v>
      </c>
      <c r="F11852" t="s">
        <v>0</v>
      </c>
      <c r="G11852" t="str">
        <f>"2018-10-13 19:25:14"</f>
        <v>2018-10-13 19:25:14</v>
      </c>
    </row>
    <row r="11853" spans="1:7" x14ac:dyDescent="0.2">
      <c r="A11853" t="s">
        <v>12023</v>
      </c>
      <c r="B11853" t="str">
        <f>"15762618787"</f>
        <v>15762618787</v>
      </c>
      <c r="C11853" t="str">
        <f>"370704199007201816"</f>
        <v>370704199007201816</v>
      </c>
      <c r="D11853" t="s">
        <v>1</v>
      </c>
      <c r="E11853" t="s">
        <v>1</v>
      </c>
      <c r="F11853" t="s">
        <v>0</v>
      </c>
      <c r="G11853" t="str">
        <f>"2018-10-14 08:50:56"</f>
        <v>2018-10-14 08:50:56</v>
      </c>
    </row>
    <row r="11854" spans="1:7" x14ac:dyDescent="0.2">
      <c r="A11854" t="s">
        <v>1</v>
      </c>
      <c r="B11854" t="str">
        <f>"15992419404"</f>
        <v>15992419404</v>
      </c>
      <c r="C11854" t="s">
        <v>1</v>
      </c>
      <c r="D11854" t="s">
        <v>1</v>
      </c>
      <c r="E11854" t="s">
        <v>1</v>
      </c>
      <c r="F11854" t="s">
        <v>0</v>
      </c>
      <c r="G11854" t="str">
        <f>"2018-10-13 19:23:57"</f>
        <v>2018-10-13 19:23:57</v>
      </c>
    </row>
    <row r="11855" spans="1:7" x14ac:dyDescent="0.2">
      <c r="A11855" t="s">
        <v>458</v>
      </c>
      <c r="B11855" t="str">
        <f>"17694951521"</f>
        <v>17694951521</v>
      </c>
      <c r="C11855" t="str">
        <f>"23230119991125692X"</f>
        <v>23230119991125692X</v>
      </c>
      <c r="D11855" t="s">
        <v>1</v>
      </c>
      <c r="E11855" t="s">
        <v>1</v>
      </c>
      <c r="F11855" t="s">
        <v>0</v>
      </c>
      <c r="G11855" t="str">
        <f>"2018-10-13 19:23:51"</f>
        <v>2018-10-13 19:23:51</v>
      </c>
    </row>
    <row r="11856" spans="1:7" x14ac:dyDescent="0.2">
      <c r="A11856" t="s">
        <v>12024</v>
      </c>
      <c r="B11856" t="str">
        <f>"18042008984"</f>
        <v>18042008984</v>
      </c>
      <c r="C11856" t="str">
        <f>"612423198904150414"</f>
        <v>612423198904150414</v>
      </c>
      <c r="D11856" t="s">
        <v>1</v>
      </c>
      <c r="E11856" t="s">
        <v>1</v>
      </c>
      <c r="F11856" t="s">
        <v>0</v>
      </c>
      <c r="G11856" t="str">
        <f>"2018-10-13 19:24:28"</f>
        <v>2018-10-13 19:24:28</v>
      </c>
    </row>
    <row r="11857" spans="1:7" x14ac:dyDescent="0.2">
      <c r="A11857" t="s">
        <v>12025</v>
      </c>
      <c r="B11857" t="str">
        <f>"13909716495"</f>
        <v>13909716495</v>
      </c>
      <c r="C11857" t="str">
        <f>"210225197601300084"</f>
        <v>210225197601300084</v>
      </c>
      <c r="D11857" t="s">
        <v>12026</v>
      </c>
      <c r="E11857" t="s">
        <v>12027</v>
      </c>
      <c r="F11857" t="s">
        <v>0</v>
      </c>
      <c r="G11857" t="str">
        <f>"2018-10-29 14:27:17"</f>
        <v>2018-10-29 14:27:17</v>
      </c>
    </row>
    <row r="11858" spans="1:7" x14ac:dyDescent="0.2">
      <c r="A11858" t="s">
        <v>12028</v>
      </c>
      <c r="B11858" t="str">
        <f>"15189122318"</f>
        <v>15189122318</v>
      </c>
      <c r="C11858" t="str">
        <f>"321002197009120931"</f>
        <v>321002197009120931</v>
      </c>
      <c r="D11858" t="s">
        <v>1</v>
      </c>
      <c r="E11858" t="s">
        <v>1</v>
      </c>
      <c r="F11858" t="s">
        <v>0</v>
      </c>
      <c r="G11858" t="str">
        <f>"2018-10-13 19:24:38"</f>
        <v>2018-10-13 19:24:38</v>
      </c>
    </row>
    <row r="11859" spans="1:7" x14ac:dyDescent="0.2">
      <c r="A11859" t="s">
        <v>12029</v>
      </c>
      <c r="B11859" t="str">
        <f>"18341796167"</f>
        <v>18341796167</v>
      </c>
      <c r="C11859" t="str">
        <f>"210881198403110835"</f>
        <v>210881198403110835</v>
      </c>
      <c r="D11859" t="s">
        <v>12030</v>
      </c>
      <c r="E11859" t="s">
        <v>12031</v>
      </c>
      <c r="F11859" t="s">
        <v>0</v>
      </c>
      <c r="G11859" t="str">
        <f>"2018-10-15 12:10:50"</f>
        <v>2018-10-15 12:10:50</v>
      </c>
    </row>
    <row r="11860" spans="1:7" x14ac:dyDescent="0.2">
      <c r="A11860" t="s">
        <v>12032</v>
      </c>
      <c r="B11860" t="str">
        <f>"18280428714"</f>
        <v>18280428714</v>
      </c>
      <c r="C11860" t="str">
        <f>"510121199207083260"</f>
        <v>510121199207083260</v>
      </c>
      <c r="D11860" t="s">
        <v>1</v>
      </c>
      <c r="E11860" t="s">
        <v>1</v>
      </c>
      <c r="F11860" t="s">
        <v>0</v>
      </c>
      <c r="G11860" t="str">
        <f>"2018-10-13 19:21:02"</f>
        <v>2018-10-13 19:21:02</v>
      </c>
    </row>
    <row r="11861" spans="1:7" x14ac:dyDescent="0.2">
      <c r="A11861" t="s">
        <v>12033</v>
      </c>
      <c r="B11861" t="str">
        <f>"15124921710"</f>
        <v>15124921710</v>
      </c>
      <c r="C11861" t="str">
        <f>"150430198908232493"</f>
        <v>150430198908232493</v>
      </c>
      <c r="D11861" t="s">
        <v>12034</v>
      </c>
      <c r="E11861" t="s">
        <v>12035</v>
      </c>
      <c r="F11861" t="s">
        <v>0</v>
      </c>
      <c r="G11861" t="str">
        <f>"2018-10-22 15:16:17"</f>
        <v>2018-10-22 15:16:17</v>
      </c>
    </row>
    <row r="11862" spans="1:7" x14ac:dyDescent="0.2">
      <c r="A11862" t="s">
        <v>12036</v>
      </c>
      <c r="B11862" t="str">
        <f>"18734732448"</f>
        <v>18734732448</v>
      </c>
      <c r="C11862" t="str">
        <f>"142622199103063237"</f>
        <v>142622199103063237</v>
      </c>
      <c r="D11862" t="s">
        <v>1</v>
      </c>
      <c r="E11862" t="s">
        <v>1</v>
      </c>
      <c r="F11862" t="s">
        <v>0</v>
      </c>
      <c r="G11862" t="str">
        <f>"2018-10-13 19:21:36"</f>
        <v>2018-10-13 19:21:36</v>
      </c>
    </row>
    <row r="11863" spans="1:7" x14ac:dyDescent="0.2">
      <c r="A11863" t="s">
        <v>12037</v>
      </c>
      <c r="B11863" t="str">
        <f>"13644006995"</f>
        <v>13644006995</v>
      </c>
      <c r="C11863" t="str">
        <f>"210106198402215514"</f>
        <v>210106198402215514</v>
      </c>
      <c r="D11863" t="s">
        <v>1</v>
      </c>
      <c r="E11863" t="s">
        <v>1</v>
      </c>
      <c r="F11863" t="s">
        <v>0</v>
      </c>
      <c r="G11863" t="str">
        <f>"2018-10-13 19:20:27"</f>
        <v>2018-10-13 19:20:27</v>
      </c>
    </row>
    <row r="11864" spans="1:7" x14ac:dyDescent="0.2">
      <c r="A11864" t="s">
        <v>12038</v>
      </c>
      <c r="B11864" t="str">
        <f>"15840451097"</f>
        <v>15840451097</v>
      </c>
      <c r="C11864" t="str">
        <f>"210381198905242929"</f>
        <v>210381198905242929</v>
      </c>
      <c r="D11864" t="s">
        <v>1</v>
      </c>
      <c r="E11864" t="s">
        <v>1</v>
      </c>
      <c r="F11864" t="s">
        <v>0</v>
      </c>
      <c r="G11864" t="str">
        <f>"2018-10-13 19:23:40"</f>
        <v>2018-10-13 19:23:40</v>
      </c>
    </row>
    <row r="11865" spans="1:7" x14ac:dyDescent="0.2">
      <c r="A11865" t="s">
        <v>1</v>
      </c>
      <c r="B11865" t="str">
        <f>"13804052282"</f>
        <v>13804052282</v>
      </c>
      <c r="C11865" t="s">
        <v>1</v>
      </c>
      <c r="D11865" t="s">
        <v>1</v>
      </c>
      <c r="E11865" t="s">
        <v>1</v>
      </c>
      <c r="F11865" t="s">
        <v>0</v>
      </c>
      <c r="G11865" t="str">
        <f>"2018-10-13 19:17:50"</f>
        <v>2018-10-13 19:17:50</v>
      </c>
    </row>
    <row r="11866" spans="1:7" x14ac:dyDescent="0.2">
      <c r="A11866" t="s">
        <v>12039</v>
      </c>
      <c r="B11866" t="str">
        <f>"13619482435"</f>
        <v>13619482435</v>
      </c>
      <c r="C11866" t="str">
        <f>"532326198712280015"</f>
        <v>532326198712280015</v>
      </c>
      <c r="D11866" t="s">
        <v>1</v>
      </c>
      <c r="E11866" t="s">
        <v>1</v>
      </c>
      <c r="F11866" t="s">
        <v>0</v>
      </c>
      <c r="G11866" t="str">
        <f>"2018-10-18 12:36:06"</f>
        <v>2018-10-18 12:36:06</v>
      </c>
    </row>
    <row r="11867" spans="1:7" x14ac:dyDescent="0.2">
      <c r="A11867" t="s">
        <v>12040</v>
      </c>
      <c r="B11867" t="str">
        <f>"15822210631"</f>
        <v>15822210631</v>
      </c>
      <c r="C11867" t="str">
        <f>"12022519980210452X"</f>
        <v>12022519980210452X</v>
      </c>
      <c r="D11867" t="s">
        <v>1</v>
      </c>
      <c r="E11867" t="s">
        <v>1</v>
      </c>
      <c r="F11867" t="s">
        <v>0</v>
      </c>
      <c r="G11867" t="str">
        <f>"2018-10-15 10:32:29"</f>
        <v>2018-10-15 10:32:29</v>
      </c>
    </row>
    <row r="11868" spans="1:7" x14ac:dyDescent="0.2">
      <c r="A11868" t="s">
        <v>12041</v>
      </c>
      <c r="B11868" t="str">
        <f>"18357083632"</f>
        <v>18357083632</v>
      </c>
      <c r="C11868" t="str">
        <f>"330822199307133625"</f>
        <v>330822199307133625</v>
      </c>
      <c r="D11868" t="s">
        <v>1</v>
      </c>
      <c r="E11868" t="s">
        <v>1</v>
      </c>
      <c r="F11868" t="s">
        <v>0</v>
      </c>
      <c r="G11868" t="str">
        <f>"2018-10-13 19:50:39"</f>
        <v>2018-10-13 19:50:39</v>
      </c>
    </row>
    <row r="11869" spans="1:7" x14ac:dyDescent="0.2">
      <c r="A11869" t="s">
        <v>1</v>
      </c>
      <c r="B11869" t="str">
        <f>"13333900069"</f>
        <v>13333900069</v>
      </c>
      <c r="C11869" t="s">
        <v>1</v>
      </c>
      <c r="D11869" t="s">
        <v>1</v>
      </c>
      <c r="E11869" t="s">
        <v>1</v>
      </c>
      <c r="F11869" t="s">
        <v>0</v>
      </c>
      <c r="G11869" t="str">
        <f>"2018-10-13 19:13:49"</f>
        <v>2018-10-13 19:13:49</v>
      </c>
    </row>
    <row r="11870" spans="1:7" x14ac:dyDescent="0.2">
      <c r="A11870" t="s">
        <v>1</v>
      </c>
      <c r="B11870" t="str">
        <f>"13409222166"</f>
        <v>13409222166</v>
      </c>
      <c r="C11870" t="s">
        <v>1</v>
      </c>
      <c r="D11870" t="s">
        <v>1</v>
      </c>
      <c r="E11870" t="s">
        <v>1</v>
      </c>
      <c r="F11870" t="s">
        <v>0</v>
      </c>
      <c r="G11870" t="str">
        <f>"2018-10-13 19:10:28"</f>
        <v>2018-10-13 19:10:28</v>
      </c>
    </row>
    <row r="11871" spans="1:7" x14ac:dyDescent="0.2">
      <c r="A11871" t="s">
        <v>1</v>
      </c>
      <c r="B11871" t="str">
        <f>"15857478675"</f>
        <v>15857478675</v>
      </c>
      <c r="C11871" t="s">
        <v>1</v>
      </c>
      <c r="D11871" t="s">
        <v>1</v>
      </c>
      <c r="E11871" t="s">
        <v>1</v>
      </c>
      <c r="F11871" t="s">
        <v>0</v>
      </c>
      <c r="G11871" t="str">
        <f>"2018-10-13 19:15:04"</f>
        <v>2018-10-13 19:15:04</v>
      </c>
    </row>
    <row r="11872" spans="1:7" x14ac:dyDescent="0.2">
      <c r="A11872" t="s">
        <v>12042</v>
      </c>
      <c r="B11872" t="str">
        <f>"15878341107"</f>
        <v>15878341107</v>
      </c>
      <c r="C11872" t="str">
        <f>"450303198411071061"</f>
        <v>450303198411071061</v>
      </c>
      <c r="D11872" t="s">
        <v>1</v>
      </c>
      <c r="E11872" t="s">
        <v>1</v>
      </c>
      <c r="F11872" t="s">
        <v>0</v>
      </c>
      <c r="G11872" t="str">
        <f>"2018-10-13 19:11:42"</f>
        <v>2018-10-13 19:11:42</v>
      </c>
    </row>
    <row r="11873" spans="1:7" x14ac:dyDescent="0.2">
      <c r="A11873" t="s">
        <v>12043</v>
      </c>
      <c r="B11873" t="str">
        <f>"15836109222"</f>
        <v>15836109222</v>
      </c>
      <c r="C11873" t="str">
        <f>"410728199010160019"</f>
        <v>410728199010160019</v>
      </c>
      <c r="D11873" t="s">
        <v>1</v>
      </c>
      <c r="E11873" t="s">
        <v>1</v>
      </c>
      <c r="F11873" t="s">
        <v>0</v>
      </c>
      <c r="G11873" t="str">
        <f>"2018-10-13 19:11:51"</f>
        <v>2018-10-13 19:11:51</v>
      </c>
    </row>
    <row r="11874" spans="1:7" x14ac:dyDescent="0.2">
      <c r="A11874" t="s">
        <v>12044</v>
      </c>
      <c r="B11874" t="str">
        <f>"18862482076"</f>
        <v>18862482076</v>
      </c>
      <c r="C11874" t="str">
        <f>"320981199202235979"</f>
        <v>320981199202235979</v>
      </c>
      <c r="D11874" t="s">
        <v>1</v>
      </c>
      <c r="E11874" t="s">
        <v>1</v>
      </c>
      <c r="F11874" t="s">
        <v>0</v>
      </c>
      <c r="G11874" t="str">
        <f>"2018-10-28 16:18:01"</f>
        <v>2018-10-28 16:18:01</v>
      </c>
    </row>
    <row r="11875" spans="1:7" x14ac:dyDescent="0.2">
      <c r="A11875" t="s">
        <v>12045</v>
      </c>
      <c r="B11875" t="str">
        <f>"13958635121"</f>
        <v>13958635121</v>
      </c>
      <c r="C11875" t="str">
        <f>"331081198102147268"</f>
        <v>331081198102147268</v>
      </c>
      <c r="D11875" t="s">
        <v>1</v>
      </c>
      <c r="E11875" t="s">
        <v>1</v>
      </c>
      <c r="F11875" t="s">
        <v>0</v>
      </c>
      <c r="G11875" t="str">
        <f>"2018-10-23 13:11:10"</f>
        <v>2018-10-23 13:11:10</v>
      </c>
    </row>
    <row r="11876" spans="1:7" x14ac:dyDescent="0.2">
      <c r="A11876" t="s">
        <v>1337</v>
      </c>
      <c r="B11876" t="str">
        <f>"17777319540"</f>
        <v>17777319540</v>
      </c>
      <c r="C11876" t="str">
        <f>"450322198905016555"</f>
        <v>450322198905016555</v>
      </c>
      <c r="D11876" t="s">
        <v>1</v>
      </c>
      <c r="E11876" t="s">
        <v>1</v>
      </c>
      <c r="F11876" t="s">
        <v>0</v>
      </c>
      <c r="G11876" t="str">
        <f>"2018-10-13 19:29:08"</f>
        <v>2018-10-13 19:29:08</v>
      </c>
    </row>
    <row r="11877" spans="1:7" x14ac:dyDescent="0.2">
      <c r="A11877" t="s">
        <v>12046</v>
      </c>
      <c r="B11877" t="str">
        <f>"18680325507"</f>
        <v>18680325507</v>
      </c>
      <c r="C11877" t="str">
        <f>"362427198801185917"</f>
        <v>362427198801185917</v>
      </c>
      <c r="D11877" t="s">
        <v>1</v>
      </c>
      <c r="E11877" t="s">
        <v>1</v>
      </c>
      <c r="F11877" t="s">
        <v>0</v>
      </c>
      <c r="G11877" t="str">
        <f>"2018-10-13 19:10:30"</f>
        <v>2018-10-13 19:10:30</v>
      </c>
    </row>
    <row r="11878" spans="1:7" x14ac:dyDescent="0.2">
      <c r="A11878" t="s">
        <v>12047</v>
      </c>
      <c r="B11878" t="str">
        <f>"15515778091"</f>
        <v>15515778091</v>
      </c>
      <c r="C11878" t="str">
        <f>"410184198512243213"</f>
        <v>410184198512243213</v>
      </c>
      <c r="D11878" t="s">
        <v>1</v>
      </c>
      <c r="E11878" t="s">
        <v>1</v>
      </c>
      <c r="F11878" t="s">
        <v>0</v>
      </c>
      <c r="G11878" t="str">
        <f>"2018-10-13 19:08:11"</f>
        <v>2018-10-13 19:08:11</v>
      </c>
    </row>
    <row r="11879" spans="1:7" x14ac:dyDescent="0.2">
      <c r="A11879" t="s">
        <v>1</v>
      </c>
      <c r="B11879" t="str">
        <f>"13285774394"</f>
        <v>13285774394</v>
      </c>
      <c r="C11879" t="s">
        <v>1</v>
      </c>
      <c r="D11879" t="s">
        <v>1</v>
      </c>
      <c r="E11879" t="s">
        <v>1</v>
      </c>
      <c r="F11879" t="s">
        <v>0</v>
      </c>
      <c r="G11879" t="str">
        <f>"2018-10-13 19:05:39"</f>
        <v>2018-10-13 19:05:39</v>
      </c>
    </row>
    <row r="11880" spans="1:7" x14ac:dyDescent="0.2">
      <c r="A11880" t="s">
        <v>12048</v>
      </c>
      <c r="B11880" t="str">
        <f>"18568822683"</f>
        <v>18568822683</v>
      </c>
      <c r="C11880" t="str">
        <f>"410522199412182449"</f>
        <v>410522199412182449</v>
      </c>
      <c r="D11880" t="s">
        <v>1</v>
      </c>
      <c r="E11880" t="s">
        <v>1</v>
      </c>
      <c r="F11880" t="s">
        <v>0</v>
      </c>
      <c r="G11880" t="str">
        <f>"2018-10-13 19:22:08"</f>
        <v>2018-10-13 19:22:08</v>
      </c>
    </row>
    <row r="11881" spans="1:7" x14ac:dyDescent="0.2">
      <c r="A11881" t="s">
        <v>12049</v>
      </c>
      <c r="B11881" t="str">
        <f>"18249017213"</f>
        <v>18249017213</v>
      </c>
      <c r="C11881" t="str">
        <f>"232303199606255229"</f>
        <v>232303199606255229</v>
      </c>
      <c r="D11881" t="s">
        <v>1</v>
      </c>
      <c r="E11881" t="s">
        <v>1</v>
      </c>
      <c r="F11881" t="s">
        <v>0</v>
      </c>
      <c r="G11881" t="str">
        <f>"2018-10-13 19:05:33"</f>
        <v>2018-10-13 19:05:33</v>
      </c>
    </row>
    <row r="11882" spans="1:7" x14ac:dyDescent="0.2">
      <c r="A11882" t="s">
        <v>12050</v>
      </c>
      <c r="B11882" t="str">
        <f>"15667380876"</f>
        <v>15667380876</v>
      </c>
      <c r="C11882" t="str">
        <f>"610502198012094412"</f>
        <v>610502198012094412</v>
      </c>
      <c r="D11882" t="s">
        <v>1</v>
      </c>
      <c r="E11882" t="s">
        <v>1</v>
      </c>
      <c r="F11882" t="s">
        <v>0</v>
      </c>
      <c r="G11882" t="str">
        <f>"2018-10-13 19:06:15"</f>
        <v>2018-10-13 19:06:15</v>
      </c>
    </row>
    <row r="11883" spans="1:7" x14ac:dyDescent="0.2">
      <c r="A11883" t="s">
        <v>12051</v>
      </c>
      <c r="B11883" t="str">
        <f>"18815234098"</f>
        <v>18815234098</v>
      </c>
      <c r="C11883" t="str">
        <f>"512323197710293819"</f>
        <v>512323197710293819</v>
      </c>
      <c r="D11883" t="s">
        <v>12052</v>
      </c>
      <c r="E11883" t="s">
        <v>12053</v>
      </c>
      <c r="F11883" t="s">
        <v>0</v>
      </c>
      <c r="G11883" t="str">
        <f>"2018-10-13 19:03:38"</f>
        <v>2018-10-13 19:03:38</v>
      </c>
    </row>
    <row r="11884" spans="1:7" x14ac:dyDescent="0.2">
      <c r="A11884" t="s">
        <v>1</v>
      </c>
      <c r="B11884" t="str">
        <f>"13433281628"</f>
        <v>13433281628</v>
      </c>
      <c r="C11884" t="s">
        <v>1</v>
      </c>
      <c r="D11884" t="s">
        <v>1</v>
      </c>
      <c r="E11884" t="s">
        <v>1</v>
      </c>
      <c r="F11884" t="s">
        <v>0</v>
      </c>
      <c r="G11884" t="str">
        <f>"2018-10-13 19:02:48"</f>
        <v>2018-10-13 19:02:48</v>
      </c>
    </row>
    <row r="11885" spans="1:7" x14ac:dyDescent="0.2">
      <c r="A11885" t="s">
        <v>12054</v>
      </c>
      <c r="B11885" t="str">
        <f>"13463537673"</f>
        <v>13463537673</v>
      </c>
      <c r="C11885" t="str">
        <f>"130282198602171423"</f>
        <v>130282198602171423</v>
      </c>
      <c r="D11885" t="s">
        <v>1</v>
      </c>
      <c r="E11885" t="s">
        <v>1</v>
      </c>
      <c r="F11885" t="s">
        <v>0</v>
      </c>
      <c r="G11885" t="str">
        <f>"2018-10-15 10:21:35"</f>
        <v>2018-10-15 10:21:35</v>
      </c>
    </row>
    <row r="11886" spans="1:7" x14ac:dyDescent="0.2">
      <c r="A11886" t="s">
        <v>12055</v>
      </c>
      <c r="B11886" t="str">
        <f>"13489363120"</f>
        <v>13489363120</v>
      </c>
      <c r="C11886" t="str">
        <f>"350583199110158319"</f>
        <v>350583199110158319</v>
      </c>
      <c r="D11886" t="s">
        <v>1</v>
      </c>
      <c r="E11886" t="s">
        <v>1</v>
      </c>
      <c r="F11886" t="s">
        <v>0</v>
      </c>
      <c r="G11886" t="str">
        <f>"2018-10-13 19:01:13"</f>
        <v>2018-10-13 19:01:13</v>
      </c>
    </row>
    <row r="11887" spans="1:7" x14ac:dyDescent="0.2">
      <c r="A11887" t="s">
        <v>12056</v>
      </c>
      <c r="B11887" t="str">
        <f>"17395096684"</f>
        <v>17395096684</v>
      </c>
      <c r="C11887" t="str">
        <f>"640382198603011929"</f>
        <v>640382198603011929</v>
      </c>
      <c r="D11887" t="s">
        <v>12057</v>
      </c>
      <c r="E11887" t="s">
        <v>12058</v>
      </c>
      <c r="F11887" t="s">
        <v>0</v>
      </c>
      <c r="G11887" t="str">
        <f>"2018-10-13 19:03:11"</f>
        <v>2018-10-13 19:03:11</v>
      </c>
    </row>
    <row r="11888" spans="1:7" x14ac:dyDescent="0.2">
      <c r="A11888" t="s">
        <v>365</v>
      </c>
      <c r="B11888" t="str">
        <f>"15123373477"</f>
        <v>15123373477</v>
      </c>
      <c r="C11888" t="str">
        <f>"500225199909250325"</f>
        <v>500225199909250325</v>
      </c>
      <c r="D11888" t="s">
        <v>1</v>
      </c>
      <c r="E11888" t="s">
        <v>1</v>
      </c>
      <c r="F11888" t="s">
        <v>0</v>
      </c>
      <c r="G11888" t="str">
        <f>"2018-10-13 18:59:34"</f>
        <v>2018-10-13 18:59:34</v>
      </c>
    </row>
    <row r="11889" spans="1:7" x14ac:dyDescent="0.2">
      <c r="A11889" t="s">
        <v>936</v>
      </c>
      <c r="B11889" t="str">
        <f>"13530965558"</f>
        <v>13530965558</v>
      </c>
      <c r="C11889" t="str">
        <f>"350583197810038343"</f>
        <v>350583197810038343</v>
      </c>
      <c r="D11889" t="s">
        <v>1</v>
      </c>
      <c r="E11889" t="s">
        <v>1</v>
      </c>
      <c r="F11889" t="s">
        <v>0</v>
      </c>
      <c r="G11889" t="str">
        <f>"2018-10-28 00:20:50"</f>
        <v>2018-10-28 00:20:50</v>
      </c>
    </row>
    <row r="11890" spans="1:7" x14ac:dyDescent="0.2">
      <c r="A11890" t="s">
        <v>12059</v>
      </c>
      <c r="B11890" t="str">
        <f>"13070639181"</f>
        <v>13070639181</v>
      </c>
      <c r="C11890" t="str">
        <f>"37050319741209291X"</f>
        <v>37050319741209291X</v>
      </c>
      <c r="D11890" t="s">
        <v>1</v>
      </c>
      <c r="E11890" t="s">
        <v>1</v>
      </c>
      <c r="F11890" t="s">
        <v>0</v>
      </c>
      <c r="G11890" t="str">
        <f>"2018-10-13 19:26:54"</f>
        <v>2018-10-13 19:26:54</v>
      </c>
    </row>
    <row r="11891" spans="1:7" x14ac:dyDescent="0.2">
      <c r="A11891" t="s">
        <v>12060</v>
      </c>
      <c r="B11891" t="str">
        <f>"15829728534"</f>
        <v>15829728534</v>
      </c>
      <c r="C11891" t="str">
        <f>"412824198704171422"</f>
        <v>412824198704171422</v>
      </c>
      <c r="D11891" t="s">
        <v>1</v>
      </c>
      <c r="E11891" t="s">
        <v>1</v>
      </c>
      <c r="F11891" t="s">
        <v>0</v>
      </c>
      <c r="G11891" t="str">
        <f>"2018-10-13 19:25:48"</f>
        <v>2018-10-13 19:25:48</v>
      </c>
    </row>
    <row r="11892" spans="1:7" x14ac:dyDescent="0.2">
      <c r="A11892" t="s">
        <v>12061</v>
      </c>
      <c r="B11892" t="str">
        <f>"13137735083"</f>
        <v>13137735083</v>
      </c>
      <c r="C11892" t="str">
        <f>"411081199012255972"</f>
        <v>411081199012255972</v>
      </c>
      <c r="D11892" t="s">
        <v>1</v>
      </c>
      <c r="E11892" t="s">
        <v>1</v>
      </c>
      <c r="F11892" t="s">
        <v>0</v>
      </c>
      <c r="G11892" t="str">
        <f>"2018-10-13 18:55:44"</f>
        <v>2018-10-13 18:55:44</v>
      </c>
    </row>
    <row r="11893" spans="1:7" x14ac:dyDescent="0.2">
      <c r="A11893" t="s">
        <v>12062</v>
      </c>
      <c r="B11893" t="str">
        <f>"13411194598"</f>
        <v>13411194598</v>
      </c>
      <c r="C11893" t="str">
        <f>"440783198510192151"</f>
        <v>440783198510192151</v>
      </c>
      <c r="D11893" t="s">
        <v>1</v>
      </c>
      <c r="E11893" t="s">
        <v>1</v>
      </c>
      <c r="F11893" t="s">
        <v>0</v>
      </c>
      <c r="G11893" t="str">
        <f>"2018-10-13 20:34:32"</f>
        <v>2018-10-13 20:34:32</v>
      </c>
    </row>
    <row r="11894" spans="1:7" x14ac:dyDescent="0.2">
      <c r="A11894" t="s">
        <v>12063</v>
      </c>
      <c r="B11894" t="str">
        <f>"13684259031"</f>
        <v>13684259031</v>
      </c>
      <c r="C11894" t="str">
        <f>"510411199809304319"</f>
        <v>510411199809304319</v>
      </c>
      <c r="D11894" t="s">
        <v>12064</v>
      </c>
      <c r="E11894" t="s">
        <v>12065</v>
      </c>
      <c r="F11894" t="s">
        <v>0</v>
      </c>
      <c r="G11894" t="str">
        <f>"2018-10-14 09:38:23"</f>
        <v>2018-10-14 09:38:23</v>
      </c>
    </row>
    <row r="11895" spans="1:7" x14ac:dyDescent="0.2">
      <c r="A11895" t="s">
        <v>1</v>
      </c>
      <c r="B11895" t="str">
        <f>"18769202345"</f>
        <v>18769202345</v>
      </c>
      <c r="C11895" t="s">
        <v>1</v>
      </c>
      <c r="D11895" t="s">
        <v>1</v>
      </c>
      <c r="E11895" t="s">
        <v>1</v>
      </c>
      <c r="F11895" t="s">
        <v>0</v>
      </c>
      <c r="G11895" t="str">
        <f>"2018-10-13 22:44:19"</f>
        <v>2018-10-13 22:44:19</v>
      </c>
    </row>
    <row r="11896" spans="1:7" x14ac:dyDescent="0.2">
      <c r="A11896" t="s">
        <v>12066</v>
      </c>
      <c r="B11896" t="str">
        <f>"18469502340"</f>
        <v>18469502340</v>
      </c>
      <c r="C11896" t="str">
        <f>"532628199902071744"</f>
        <v>532628199902071744</v>
      </c>
      <c r="D11896" t="s">
        <v>1</v>
      </c>
      <c r="E11896" t="s">
        <v>1</v>
      </c>
      <c r="F11896" t="s">
        <v>0</v>
      </c>
      <c r="G11896" t="str">
        <f>"2018-10-31 13:27:51"</f>
        <v>2018-10-31 13:27:51</v>
      </c>
    </row>
    <row r="11897" spans="1:7" x14ac:dyDescent="0.2">
      <c r="A11897" t="s">
        <v>1</v>
      </c>
      <c r="B11897" t="str">
        <f>"15113722173"</f>
        <v>15113722173</v>
      </c>
      <c r="C11897" t="s">
        <v>1</v>
      </c>
      <c r="D11897" t="s">
        <v>1</v>
      </c>
      <c r="E11897" t="s">
        <v>1</v>
      </c>
      <c r="F11897" t="s">
        <v>0</v>
      </c>
      <c r="G11897" t="str">
        <f>"2018-10-13 18:51:46"</f>
        <v>2018-10-13 18:51:46</v>
      </c>
    </row>
    <row r="11898" spans="1:7" x14ac:dyDescent="0.2">
      <c r="A11898" t="s">
        <v>1</v>
      </c>
      <c r="B11898" t="str">
        <f>"18710610185"</f>
        <v>18710610185</v>
      </c>
      <c r="C11898" t="s">
        <v>1</v>
      </c>
      <c r="D11898" t="s">
        <v>1</v>
      </c>
      <c r="E11898" t="s">
        <v>1</v>
      </c>
      <c r="F11898" t="s">
        <v>0</v>
      </c>
      <c r="G11898" t="str">
        <f>"2018-10-13 18:51:51"</f>
        <v>2018-10-13 18:51:51</v>
      </c>
    </row>
    <row r="11899" spans="1:7" x14ac:dyDescent="0.2">
      <c r="A11899" t="s">
        <v>1</v>
      </c>
      <c r="B11899" t="str">
        <f>"13279446514"</f>
        <v>13279446514</v>
      </c>
      <c r="C11899" t="s">
        <v>1</v>
      </c>
      <c r="D11899" t="s">
        <v>1</v>
      </c>
      <c r="E11899" t="s">
        <v>1</v>
      </c>
      <c r="F11899" t="s">
        <v>0</v>
      </c>
      <c r="G11899" t="str">
        <f>"2018-10-13 18:50:12"</f>
        <v>2018-10-13 18:50:12</v>
      </c>
    </row>
    <row r="11900" spans="1:7" x14ac:dyDescent="0.2">
      <c r="A11900" t="s">
        <v>12067</v>
      </c>
      <c r="B11900" t="str">
        <f>"18314588084"</f>
        <v>18314588084</v>
      </c>
      <c r="C11900" t="str">
        <f>"530326199405190813"</f>
        <v>530326199405190813</v>
      </c>
      <c r="D11900" t="s">
        <v>12068</v>
      </c>
      <c r="E11900" t="s">
        <v>12068</v>
      </c>
      <c r="F11900" t="s">
        <v>0</v>
      </c>
      <c r="G11900" t="str">
        <f>"2018-10-13 18:51:29"</f>
        <v>2018-10-13 18:51:29</v>
      </c>
    </row>
    <row r="11901" spans="1:7" x14ac:dyDescent="0.2">
      <c r="A11901" t="s">
        <v>12069</v>
      </c>
      <c r="B11901" t="str">
        <f>"15364684077"</f>
        <v>15364684077</v>
      </c>
      <c r="C11901" t="str">
        <f>"141181197709290090"</f>
        <v>141181197709290090</v>
      </c>
      <c r="D11901" t="s">
        <v>1</v>
      </c>
      <c r="E11901" t="s">
        <v>1</v>
      </c>
      <c r="F11901" t="s">
        <v>0</v>
      </c>
      <c r="G11901" t="str">
        <f>"2018-10-30 09:13:28"</f>
        <v>2018-10-30 09:13:28</v>
      </c>
    </row>
    <row r="11902" spans="1:7" x14ac:dyDescent="0.2">
      <c r="A11902" t="s">
        <v>12070</v>
      </c>
      <c r="B11902" t="str">
        <f>"13788049447"</f>
        <v>13788049447</v>
      </c>
      <c r="C11902" t="str">
        <f>"450821198501231719"</f>
        <v>450821198501231719</v>
      </c>
      <c r="D11902" t="s">
        <v>1</v>
      </c>
      <c r="E11902" t="s">
        <v>1</v>
      </c>
      <c r="F11902" t="s">
        <v>0</v>
      </c>
      <c r="G11902" t="str">
        <f>"2018-10-13 18:49:56"</f>
        <v>2018-10-13 18:49:56</v>
      </c>
    </row>
    <row r="11903" spans="1:7" x14ac:dyDescent="0.2">
      <c r="A11903" t="s">
        <v>1</v>
      </c>
      <c r="B11903" t="str">
        <f>"17156996425"</f>
        <v>17156996425</v>
      </c>
      <c r="C11903" t="s">
        <v>1</v>
      </c>
      <c r="D11903" t="s">
        <v>1</v>
      </c>
      <c r="E11903" t="s">
        <v>1</v>
      </c>
      <c r="F11903" t="s">
        <v>0</v>
      </c>
      <c r="G11903" t="str">
        <f>"2018-10-13 18:47:46"</f>
        <v>2018-10-13 18:47:46</v>
      </c>
    </row>
    <row r="11904" spans="1:7" x14ac:dyDescent="0.2">
      <c r="A11904" t="s">
        <v>12071</v>
      </c>
      <c r="B11904" t="str">
        <f>"15387611503"</f>
        <v>15387611503</v>
      </c>
      <c r="C11904" t="str">
        <f>"511303198410023858"</f>
        <v>511303198410023858</v>
      </c>
      <c r="D11904" t="s">
        <v>12072</v>
      </c>
      <c r="E11904" t="s">
        <v>12073</v>
      </c>
      <c r="F11904" t="s">
        <v>0</v>
      </c>
      <c r="G11904" t="str">
        <f>"2018-10-13 20:39:34"</f>
        <v>2018-10-13 20:39:34</v>
      </c>
    </row>
    <row r="11905" spans="1:7" x14ac:dyDescent="0.2">
      <c r="A11905" t="s">
        <v>1</v>
      </c>
      <c r="B11905" t="str">
        <f>"13266599936"</f>
        <v>13266599936</v>
      </c>
      <c r="C11905" t="s">
        <v>1</v>
      </c>
      <c r="D11905" t="s">
        <v>1</v>
      </c>
      <c r="E11905" t="s">
        <v>1</v>
      </c>
      <c r="F11905" t="s">
        <v>0</v>
      </c>
      <c r="G11905" t="str">
        <f>"2018-10-13 18:46:58"</f>
        <v>2018-10-13 18:46:58</v>
      </c>
    </row>
    <row r="11906" spans="1:7" x14ac:dyDescent="0.2">
      <c r="A11906" t="s">
        <v>12074</v>
      </c>
      <c r="B11906" t="str">
        <f>"15287417319"</f>
        <v>15287417319</v>
      </c>
      <c r="C11906" t="str">
        <f>"530324199603120020"</f>
        <v>530324199603120020</v>
      </c>
      <c r="D11906" t="s">
        <v>1</v>
      </c>
      <c r="E11906" t="s">
        <v>1</v>
      </c>
      <c r="F11906" t="s">
        <v>0</v>
      </c>
      <c r="G11906" t="str">
        <f>"2018-10-13 19:31:02"</f>
        <v>2018-10-13 19:31:02</v>
      </c>
    </row>
    <row r="11907" spans="1:7" x14ac:dyDescent="0.2">
      <c r="A11907" t="s">
        <v>12075</v>
      </c>
      <c r="B11907" t="str">
        <f>"17603810564"</f>
        <v>17603810564</v>
      </c>
      <c r="C11907" t="str">
        <f>"411381199507074213"</f>
        <v>411381199507074213</v>
      </c>
      <c r="D11907" t="s">
        <v>1</v>
      </c>
      <c r="E11907" t="s">
        <v>1</v>
      </c>
      <c r="F11907" t="s">
        <v>0</v>
      </c>
      <c r="G11907" t="str">
        <f>"2018-10-13 18:47:53"</f>
        <v>2018-10-13 18:47:53</v>
      </c>
    </row>
    <row r="11908" spans="1:7" x14ac:dyDescent="0.2">
      <c r="A11908" t="s">
        <v>12076</v>
      </c>
      <c r="B11908" t="str">
        <f>"18819553005"</f>
        <v>18819553005</v>
      </c>
      <c r="C11908" t="str">
        <f>"441521200201078815"</f>
        <v>441521200201078815</v>
      </c>
      <c r="D11908" t="s">
        <v>1</v>
      </c>
      <c r="E11908" t="s">
        <v>1</v>
      </c>
      <c r="F11908" t="s">
        <v>0</v>
      </c>
      <c r="G11908" t="str">
        <f>"2018-10-13 18:44:09"</f>
        <v>2018-10-13 18:44:09</v>
      </c>
    </row>
    <row r="11909" spans="1:7" x14ac:dyDescent="0.2">
      <c r="A11909" t="s">
        <v>12077</v>
      </c>
      <c r="B11909" t="str">
        <f>"13691377396"</f>
        <v>13691377396</v>
      </c>
      <c r="C11909" t="str">
        <f>"411327199007080328"</f>
        <v>411327199007080328</v>
      </c>
      <c r="D11909" t="s">
        <v>12078</v>
      </c>
      <c r="E11909" t="s">
        <v>12079</v>
      </c>
      <c r="F11909" t="s">
        <v>0</v>
      </c>
      <c r="G11909" t="str">
        <f>"2018-10-13 18:42:11"</f>
        <v>2018-10-13 18:42:11</v>
      </c>
    </row>
    <row r="11910" spans="1:7" x14ac:dyDescent="0.2">
      <c r="A11910" t="s">
        <v>1</v>
      </c>
      <c r="B11910" t="str">
        <f>"17520640511"</f>
        <v>17520640511</v>
      </c>
      <c r="C11910" t="s">
        <v>1</v>
      </c>
      <c r="D11910" t="s">
        <v>1</v>
      </c>
      <c r="E11910" t="s">
        <v>1</v>
      </c>
      <c r="F11910" t="s">
        <v>0</v>
      </c>
      <c r="G11910" t="str">
        <f>"2018-10-14 12:37:16"</f>
        <v>2018-10-14 12:37:16</v>
      </c>
    </row>
    <row r="11911" spans="1:7" x14ac:dyDescent="0.2">
      <c r="A11911" t="s">
        <v>1</v>
      </c>
      <c r="B11911" t="str">
        <f>"13049392908"</f>
        <v>13049392908</v>
      </c>
      <c r="C11911" t="s">
        <v>1</v>
      </c>
      <c r="D11911" t="s">
        <v>1</v>
      </c>
      <c r="E11911" t="s">
        <v>1</v>
      </c>
      <c r="F11911" t="s">
        <v>0</v>
      </c>
      <c r="G11911" t="str">
        <f>"2018-10-13 18:37:45"</f>
        <v>2018-10-13 18:37:45</v>
      </c>
    </row>
    <row r="11912" spans="1:7" x14ac:dyDescent="0.2">
      <c r="A11912" t="s">
        <v>12080</v>
      </c>
      <c r="B11912" t="str">
        <f>"15805010907"</f>
        <v>15805010907</v>
      </c>
      <c r="C11912" t="str">
        <f>"350583198603221027"</f>
        <v>350583198603221027</v>
      </c>
      <c r="D11912" t="s">
        <v>1</v>
      </c>
      <c r="E11912" t="s">
        <v>1</v>
      </c>
      <c r="F11912" t="s">
        <v>0</v>
      </c>
      <c r="G11912" t="str">
        <f>"2018-10-13 18:53:27"</f>
        <v>2018-10-13 18:53:27</v>
      </c>
    </row>
    <row r="11913" spans="1:7" x14ac:dyDescent="0.2">
      <c r="A11913" t="s">
        <v>12081</v>
      </c>
      <c r="B11913" t="str">
        <f>"13988714312"</f>
        <v>13988714312</v>
      </c>
      <c r="C11913" t="str">
        <f>"533421198909101134"</f>
        <v>533421198909101134</v>
      </c>
      <c r="D11913" t="s">
        <v>1</v>
      </c>
      <c r="E11913" t="s">
        <v>1</v>
      </c>
      <c r="F11913" t="s">
        <v>0</v>
      </c>
      <c r="G11913" t="str">
        <f>"2018-10-13 18:38:23"</f>
        <v>2018-10-13 18:38:23</v>
      </c>
    </row>
    <row r="11914" spans="1:7" x14ac:dyDescent="0.2">
      <c r="A11914" t="s">
        <v>1</v>
      </c>
      <c r="B11914" t="str">
        <f>"13887582869"</f>
        <v>13887582869</v>
      </c>
      <c r="C11914" t="s">
        <v>1</v>
      </c>
      <c r="D11914" t="s">
        <v>1</v>
      </c>
      <c r="E11914" t="s">
        <v>1</v>
      </c>
      <c r="F11914" t="s">
        <v>0</v>
      </c>
      <c r="G11914" t="str">
        <f>"2018-10-13 18:37:09"</f>
        <v>2018-10-13 18:37:09</v>
      </c>
    </row>
    <row r="11915" spans="1:7" x14ac:dyDescent="0.2">
      <c r="A11915" t="s">
        <v>12082</v>
      </c>
      <c r="B11915" t="str">
        <f>"17396427680"</f>
        <v>17396427680</v>
      </c>
      <c r="C11915" t="str">
        <f>"460031199111033616"</f>
        <v>460031199111033616</v>
      </c>
      <c r="D11915" t="s">
        <v>1</v>
      </c>
      <c r="E11915" t="s">
        <v>1</v>
      </c>
      <c r="F11915" t="s">
        <v>0</v>
      </c>
      <c r="G11915" t="str">
        <f>"2018-10-13 18:38:21"</f>
        <v>2018-10-13 18:38:21</v>
      </c>
    </row>
    <row r="11916" spans="1:7" x14ac:dyDescent="0.2">
      <c r="A11916" t="s">
        <v>12083</v>
      </c>
      <c r="B11916" t="str">
        <f>"18213180509"</f>
        <v>18213180509</v>
      </c>
      <c r="C11916" t="str">
        <f>"530381199708264327"</f>
        <v>530381199708264327</v>
      </c>
      <c r="D11916" t="s">
        <v>12084</v>
      </c>
    </row>
    <row r="11917" spans="1:7" x14ac:dyDescent="0.2">
      <c r="B11917" t="s">
        <v>12085</v>
      </c>
      <c r="C11917" t="s">
        <v>0</v>
      </c>
      <c r="D11917" t="str">
        <f>"2018-10-14 00:37:08"</f>
        <v>2018-10-14 00:37:08</v>
      </c>
    </row>
    <row r="11918" spans="1:7" x14ac:dyDescent="0.2">
      <c r="A11918" t="s">
        <v>12086</v>
      </c>
      <c r="B11918" t="str">
        <f>"15047159666"</f>
        <v>15047159666</v>
      </c>
      <c r="C11918" t="str">
        <f>"152321197901261510"</f>
        <v>152321197901261510</v>
      </c>
      <c r="D11918" t="s">
        <v>12087</v>
      </c>
      <c r="E11918" t="s">
        <v>12088</v>
      </c>
      <c r="F11918" t="s">
        <v>0</v>
      </c>
      <c r="G11918" t="str">
        <f>"2018-10-18 15:47:47"</f>
        <v>2018-10-18 15:47:47</v>
      </c>
    </row>
    <row r="11919" spans="1:7" x14ac:dyDescent="0.2">
      <c r="A11919" t="s">
        <v>1</v>
      </c>
      <c r="B11919" t="str">
        <f>"18419328433"</f>
        <v>18419328433</v>
      </c>
      <c r="C11919" t="s">
        <v>1</v>
      </c>
      <c r="D11919" t="s">
        <v>1</v>
      </c>
      <c r="E11919" t="s">
        <v>1</v>
      </c>
      <c r="F11919" t="s">
        <v>0</v>
      </c>
      <c r="G11919" t="str">
        <f>"2018-10-13 18:34:19"</f>
        <v>2018-10-13 18:34:19</v>
      </c>
    </row>
    <row r="11920" spans="1:7" x14ac:dyDescent="0.2">
      <c r="A11920" t="s">
        <v>1</v>
      </c>
      <c r="B11920" t="str">
        <f>"18631948233"</f>
        <v>18631948233</v>
      </c>
      <c r="C11920" t="s">
        <v>1</v>
      </c>
      <c r="D11920" t="s">
        <v>1</v>
      </c>
      <c r="E11920" t="s">
        <v>1</v>
      </c>
      <c r="F11920" t="s">
        <v>0</v>
      </c>
      <c r="G11920" t="str">
        <f>"2018-10-13 18:34:13"</f>
        <v>2018-10-13 18:34:13</v>
      </c>
    </row>
    <row r="11921" spans="1:7" x14ac:dyDescent="0.2">
      <c r="A11921" t="s">
        <v>1</v>
      </c>
      <c r="B11921" t="str">
        <f>"15272577305"</f>
        <v>15272577305</v>
      </c>
      <c r="C11921" t="s">
        <v>1</v>
      </c>
      <c r="D11921" t="s">
        <v>1</v>
      </c>
      <c r="E11921" t="s">
        <v>1</v>
      </c>
      <c r="F11921" t="s">
        <v>0</v>
      </c>
      <c r="G11921" t="str">
        <f>"2018-10-13 18:32:52"</f>
        <v>2018-10-13 18:32:52</v>
      </c>
    </row>
    <row r="11922" spans="1:7" x14ac:dyDescent="0.2">
      <c r="A11922" t="s">
        <v>12089</v>
      </c>
      <c r="B11922" t="str">
        <f>"13530650810"</f>
        <v>13530650810</v>
      </c>
      <c r="C11922" t="str">
        <f>"522327199802101817"</f>
        <v>522327199802101817</v>
      </c>
      <c r="D11922" t="s">
        <v>12090</v>
      </c>
      <c r="E11922" t="s">
        <v>12091</v>
      </c>
      <c r="F11922" t="s">
        <v>0</v>
      </c>
      <c r="G11922" t="str">
        <f>"2018-10-13 18:32:07"</f>
        <v>2018-10-13 18:32:07</v>
      </c>
    </row>
    <row r="11923" spans="1:7" x14ac:dyDescent="0.2">
      <c r="A11923" t="s">
        <v>12092</v>
      </c>
      <c r="B11923" t="str">
        <f>"18889100074"</f>
        <v>18889100074</v>
      </c>
      <c r="C11923" t="str">
        <f>"460031198903075211"</f>
        <v>460031198903075211</v>
      </c>
      <c r="D11923" t="s">
        <v>12093</v>
      </c>
      <c r="E11923" t="s">
        <v>12094</v>
      </c>
      <c r="F11923" t="s">
        <v>0</v>
      </c>
      <c r="G11923" t="str">
        <f>"2018-10-13 18:33:51"</f>
        <v>2018-10-13 18:33:51</v>
      </c>
    </row>
    <row r="11924" spans="1:7" x14ac:dyDescent="0.2">
      <c r="A11924" t="s">
        <v>1</v>
      </c>
      <c r="B11924" t="str">
        <f>"15707729269"</f>
        <v>15707729269</v>
      </c>
      <c r="C11924" t="s">
        <v>1</v>
      </c>
      <c r="D11924" t="s">
        <v>1</v>
      </c>
      <c r="E11924" t="s">
        <v>1</v>
      </c>
      <c r="F11924" t="s">
        <v>0</v>
      </c>
      <c r="G11924" t="str">
        <f>"2018-10-13 18:30:50"</f>
        <v>2018-10-13 18:30:50</v>
      </c>
    </row>
    <row r="11925" spans="1:7" x14ac:dyDescent="0.2">
      <c r="A11925" t="s">
        <v>12095</v>
      </c>
      <c r="B11925" t="str">
        <f>"18577023344"</f>
        <v>18577023344</v>
      </c>
      <c r="C11925" t="str">
        <f>"450603199309160114"</f>
        <v>450603199309160114</v>
      </c>
      <c r="D11925" t="s">
        <v>1</v>
      </c>
      <c r="E11925" t="s">
        <v>1</v>
      </c>
      <c r="F11925" t="s">
        <v>0</v>
      </c>
      <c r="G11925" t="str">
        <f>"2018-10-14 09:23:11"</f>
        <v>2018-10-14 09:23:11</v>
      </c>
    </row>
    <row r="11926" spans="1:7" x14ac:dyDescent="0.2">
      <c r="A11926" t="s">
        <v>1340</v>
      </c>
      <c r="B11926" t="str">
        <f>"15333576887"</f>
        <v>15333576887</v>
      </c>
      <c r="C11926" t="str">
        <f>"141033198205200117"</f>
        <v>141033198205200117</v>
      </c>
      <c r="D11926" t="s">
        <v>1</v>
      </c>
      <c r="E11926" t="s">
        <v>1</v>
      </c>
      <c r="F11926" t="s">
        <v>0</v>
      </c>
      <c r="G11926" t="str">
        <f>"2018-10-13 18:28:54"</f>
        <v>2018-10-13 18:28:54</v>
      </c>
    </row>
    <row r="11927" spans="1:7" x14ac:dyDescent="0.2">
      <c r="A11927" t="s">
        <v>1583</v>
      </c>
      <c r="B11927" t="str">
        <f>"18200319764"</f>
        <v>18200319764</v>
      </c>
      <c r="C11927" t="str">
        <f>"510121198809285471"</f>
        <v>510121198809285471</v>
      </c>
      <c r="D11927" t="s">
        <v>12096</v>
      </c>
      <c r="E11927" t="s">
        <v>12097</v>
      </c>
      <c r="F11927" t="s">
        <v>0</v>
      </c>
      <c r="G11927" t="str">
        <f>"2018-10-15 17:23:41"</f>
        <v>2018-10-15 17:23:41</v>
      </c>
    </row>
    <row r="11928" spans="1:7" x14ac:dyDescent="0.2">
      <c r="A11928" t="s">
        <v>12098</v>
      </c>
      <c r="B11928" t="str">
        <f>"13670709522"</f>
        <v>13670709522</v>
      </c>
      <c r="C11928" t="str">
        <f>"445121198203063635"</f>
        <v>445121198203063635</v>
      </c>
      <c r="D11928" t="s">
        <v>1</v>
      </c>
      <c r="E11928" t="s">
        <v>1</v>
      </c>
      <c r="F11928" t="s">
        <v>0</v>
      </c>
      <c r="G11928" t="str">
        <f>"2018-10-13 18:41:41"</f>
        <v>2018-10-13 18:41:41</v>
      </c>
    </row>
    <row r="11929" spans="1:7" x14ac:dyDescent="0.2">
      <c r="A11929" t="s">
        <v>315</v>
      </c>
      <c r="B11929" t="str">
        <f>"13954400774"</f>
        <v>13954400774</v>
      </c>
      <c r="C11929" t="str">
        <f>"372801197501100817"</f>
        <v>372801197501100817</v>
      </c>
      <c r="D11929" t="s">
        <v>1</v>
      </c>
      <c r="E11929" t="s">
        <v>1</v>
      </c>
      <c r="F11929" t="s">
        <v>0</v>
      </c>
      <c r="G11929" t="str">
        <f>"2018-10-13 18:29:23"</f>
        <v>2018-10-13 18:29:23</v>
      </c>
    </row>
    <row r="11930" spans="1:7" x14ac:dyDescent="0.2">
      <c r="A11930" t="s">
        <v>1</v>
      </c>
      <c r="B11930" t="str">
        <f>"18233989444"</f>
        <v>18233989444</v>
      </c>
      <c r="C11930" t="s">
        <v>1</v>
      </c>
      <c r="D11930" t="s">
        <v>1</v>
      </c>
      <c r="E11930" t="s">
        <v>1</v>
      </c>
      <c r="F11930" t="s">
        <v>0</v>
      </c>
      <c r="G11930" t="str">
        <f>"2018-10-13 18:26:47"</f>
        <v>2018-10-13 18:26:47</v>
      </c>
    </row>
    <row r="11931" spans="1:7" x14ac:dyDescent="0.2">
      <c r="A11931" t="s">
        <v>1338</v>
      </c>
      <c r="B11931" t="str">
        <f>"15123393161"</f>
        <v>15123393161</v>
      </c>
      <c r="C11931" t="str">
        <f>"500382198909057275"</f>
        <v>500382198909057275</v>
      </c>
      <c r="D11931" t="s">
        <v>1</v>
      </c>
      <c r="E11931" t="s">
        <v>1</v>
      </c>
      <c r="F11931" t="s">
        <v>0</v>
      </c>
      <c r="G11931" t="str">
        <f>"2018-10-18 15:46:58"</f>
        <v>2018-10-18 15:46:58</v>
      </c>
    </row>
    <row r="11932" spans="1:7" x14ac:dyDescent="0.2">
      <c r="A11932" t="s">
        <v>1</v>
      </c>
      <c r="B11932" t="str">
        <f>"15502977600"</f>
        <v>15502977600</v>
      </c>
      <c r="C11932" t="s">
        <v>1</v>
      </c>
      <c r="D11932" t="s">
        <v>1</v>
      </c>
      <c r="E11932" t="s">
        <v>1</v>
      </c>
      <c r="F11932" t="s">
        <v>0</v>
      </c>
      <c r="G11932" t="str">
        <f>"2018-10-13 18:26:00"</f>
        <v>2018-10-13 18:26:00</v>
      </c>
    </row>
    <row r="11933" spans="1:7" x14ac:dyDescent="0.2">
      <c r="A11933" t="s">
        <v>12099</v>
      </c>
      <c r="B11933" t="str">
        <f>"13974611095"</f>
        <v>13974611095</v>
      </c>
      <c r="C11933" t="str">
        <f>"43110319950206241X"</f>
        <v>43110319950206241X</v>
      </c>
      <c r="D11933" t="s">
        <v>12100</v>
      </c>
      <c r="E11933" t="s">
        <v>12101</v>
      </c>
      <c r="F11933" t="s">
        <v>0</v>
      </c>
      <c r="G11933" t="str">
        <f>"2018-10-13 18:50:47"</f>
        <v>2018-10-13 18:50:47</v>
      </c>
    </row>
    <row r="11934" spans="1:7" x14ac:dyDescent="0.2">
      <c r="A11934" t="s">
        <v>12102</v>
      </c>
      <c r="B11934" t="str">
        <f>"15811958751"</f>
        <v>15811958751</v>
      </c>
      <c r="C11934" t="str">
        <f>"44130319980306063X"</f>
        <v>44130319980306063X</v>
      </c>
      <c r="D11934" t="s">
        <v>1</v>
      </c>
      <c r="E11934" t="s">
        <v>1</v>
      </c>
      <c r="F11934" t="s">
        <v>0</v>
      </c>
      <c r="G11934" t="str">
        <f>"2018-10-13 18:25:35"</f>
        <v>2018-10-13 18:25:35</v>
      </c>
    </row>
    <row r="11935" spans="1:7" x14ac:dyDescent="0.2">
      <c r="A11935" t="s">
        <v>1</v>
      </c>
      <c r="B11935" t="str">
        <f>"18344897806"</f>
        <v>18344897806</v>
      </c>
      <c r="C11935" t="s">
        <v>1</v>
      </c>
      <c r="D11935" t="s">
        <v>1</v>
      </c>
      <c r="E11935" t="s">
        <v>1</v>
      </c>
      <c r="F11935" t="s">
        <v>0</v>
      </c>
      <c r="G11935" t="str">
        <f>"2018-10-13 18:24:24"</f>
        <v>2018-10-13 18:24:24</v>
      </c>
    </row>
    <row r="11936" spans="1:7" x14ac:dyDescent="0.2">
      <c r="A11936" t="s">
        <v>652</v>
      </c>
      <c r="B11936" t="str">
        <f>"15990030079"</f>
        <v>15990030079</v>
      </c>
      <c r="C11936" t="str">
        <f>"339005198302206710"</f>
        <v>339005198302206710</v>
      </c>
      <c r="D11936" t="s">
        <v>1</v>
      </c>
      <c r="E11936" t="s">
        <v>1</v>
      </c>
      <c r="F11936" t="s">
        <v>0</v>
      </c>
      <c r="G11936" t="str">
        <f>"2018-10-14 08:22:06"</f>
        <v>2018-10-14 08:22:06</v>
      </c>
    </row>
    <row r="11937" spans="1:7" x14ac:dyDescent="0.2">
      <c r="A11937" t="s">
        <v>12103</v>
      </c>
      <c r="B11937" t="str">
        <f>"13908238236"</f>
        <v>13908238236</v>
      </c>
      <c r="C11937" t="str">
        <f>"612324198904053236"</f>
        <v>612324198904053236</v>
      </c>
      <c r="D11937" t="s">
        <v>1</v>
      </c>
      <c r="E11937" t="s">
        <v>1</v>
      </c>
      <c r="F11937" t="s">
        <v>0</v>
      </c>
      <c r="G11937" t="str">
        <f>"2018-10-13 18:27:26"</f>
        <v>2018-10-13 18:27:26</v>
      </c>
    </row>
    <row r="11938" spans="1:7" x14ac:dyDescent="0.2">
      <c r="A11938" t="s">
        <v>968</v>
      </c>
      <c r="B11938" t="str">
        <f>"18570985168"</f>
        <v>18570985168</v>
      </c>
      <c r="C11938" t="str">
        <f>"431222199410050010"</f>
        <v>431222199410050010</v>
      </c>
      <c r="D11938" t="s">
        <v>1</v>
      </c>
      <c r="E11938" t="s">
        <v>1</v>
      </c>
      <c r="F11938" t="s">
        <v>0</v>
      </c>
      <c r="G11938" t="str">
        <f>"2018-10-13 18:23:45"</f>
        <v>2018-10-13 18:23:45</v>
      </c>
    </row>
    <row r="11939" spans="1:7" x14ac:dyDescent="0.2">
      <c r="A11939" t="s">
        <v>12104</v>
      </c>
      <c r="B11939" t="str">
        <f>"13913527610"</f>
        <v>13913527610</v>
      </c>
      <c r="C11939" t="str">
        <f>"320829198411161018"</f>
        <v>320829198411161018</v>
      </c>
      <c r="D11939" t="s">
        <v>1</v>
      </c>
      <c r="E11939" t="s">
        <v>1</v>
      </c>
      <c r="F11939" t="s">
        <v>0</v>
      </c>
      <c r="G11939" t="str">
        <f>"2018-10-13 18:30:30"</f>
        <v>2018-10-13 18:30:30</v>
      </c>
    </row>
    <row r="11940" spans="1:7" x14ac:dyDescent="0.2">
      <c r="A11940" t="s">
        <v>12105</v>
      </c>
      <c r="B11940" t="str">
        <f>"13155185711"</f>
        <v>13155185711</v>
      </c>
      <c r="C11940" t="str">
        <f>"612429197605115356"</f>
        <v>612429197605115356</v>
      </c>
      <c r="D11940" t="s">
        <v>1</v>
      </c>
      <c r="E11940" t="s">
        <v>1</v>
      </c>
      <c r="F11940" t="s">
        <v>0</v>
      </c>
      <c r="G11940" t="str">
        <f>"2018-10-13 18:23:43"</f>
        <v>2018-10-13 18:23:43</v>
      </c>
    </row>
    <row r="11941" spans="1:7" x14ac:dyDescent="0.2">
      <c r="A11941" t="s">
        <v>12106</v>
      </c>
      <c r="B11941" t="str">
        <f>"15159475943"</f>
        <v>15159475943</v>
      </c>
      <c r="C11941" t="str">
        <f>"350723198811211311"</f>
        <v>350723198811211311</v>
      </c>
      <c r="D11941" t="s">
        <v>1</v>
      </c>
      <c r="E11941" t="s">
        <v>1</v>
      </c>
      <c r="F11941" t="s">
        <v>0</v>
      </c>
      <c r="G11941" t="str">
        <f>"2018-10-13 18:21:59"</f>
        <v>2018-10-13 18:21:59</v>
      </c>
    </row>
    <row r="11942" spans="1:7" x14ac:dyDescent="0.2">
      <c r="A11942" t="s">
        <v>945</v>
      </c>
      <c r="B11942" t="str">
        <f>"18903994000"</f>
        <v>18903994000</v>
      </c>
      <c r="C11942" t="str">
        <f>"41102319860226351X"</f>
        <v>41102319860226351X</v>
      </c>
      <c r="D11942" t="s">
        <v>12107</v>
      </c>
      <c r="E11942" t="s">
        <v>12108</v>
      </c>
      <c r="F11942" t="s">
        <v>0</v>
      </c>
      <c r="G11942" t="str">
        <f>"2018-10-13 18:36:25"</f>
        <v>2018-10-13 18:36:25</v>
      </c>
    </row>
    <row r="11943" spans="1:7" x14ac:dyDescent="0.2">
      <c r="A11943" t="s">
        <v>12109</v>
      </c>
      <c r="B11943" t="str">
        <f>"17379291119"</f>
        <v>17379291119</v>
      </c>
      <c r="C11943" t="str">
        <f>"360402199004032737"</f>
        <v>360402199004032737</v>
      </c>
      <c r="D11943" t="s">
        <v>1</v>
      </c>
      <c r="E11943" t="s">
        <v>1</v>
      </c>
      <c r="F11943" t="s">
        <v>0</v>
      </c>
      <c r="G11943" t="str">
        <f>"2018-10-13 18:22:03"</f>
        <v>2018-10-13 18:22:03</v>
      </c>
    </row>
    <row r="11944" spans="1:7" x14ac:dyDescent="0.2">
      <c r="A11944" t="s">
        <v>1</v>
      </c>
      <c r="B11944" t="str">
        <f>"13600655989"</f>
        <v>13600655989</v>
      </c>
      <c r="C11944" t="s">
        <v>1</v>
      </c>
      <c r="D11944" t="s">
        <v>1</v>
      </c>
      <c r="E11944" t="s">
        <v>1</v>
      </c>
      <c r="F11944" t="s">
        <v>0</v>
      </c>
      <c r="G11944" t="str">
        <f>"2018-10-13 18:20:17"</f>
        <v>2018-10-13 18:20:17</v>
      </c>
    </row>
    <row r="11945" spans="1:7" x14ac:dyDescent="0.2">
      <c r="A11945" t="s">
        <v>1</v>
      </c>
      <c r="B11945" t="str">
        <f>"13299414978"</f>
        <v>13299414978</v>
      </c>
      <c r="C11945" t="s">
        <v>1</v>
      </c>
      <c r="D11945" t="s">
        <v>1</v>
      </c>
      <c r="E11945" t="s">
        <v>1</v>
      </c>
      <c r="F11945" t="s">
        <v>0</v>
      </c>
      <c r="G11945" t="str">
        <f>"2018-10-13 18:19:17"</f>
        <v>2018-10-13 18:19:17</v>
      </c>
    </row>
    <row r="11946" spans="1:7" x14ac:dyDescent="0.2">
      <c r="A11946" t="s">
        <v>12110</v>
      </c>
      <c r="B11946" t="str">
        <f>"18482924349"</f>
        <v>18482924349</v>
      </c>
      <c r="C11946" t="str">
        <f>"511526199504295221"</f>
        <v>511526199504295221</v>
      </c>
      <c r="D11946" t="s">
        <v>1</v>
      </c>
      <c r="E11946" t="s">
        <v>1</v>
      </c>
      <c r="F11946" t="s">
        <v>0</v>
      </c>
      <c r="G11946" t="str">
        <f>"2018-10-26 09:50:17"</f>
        <v>2018-10-26 09:50:17</v>
      </c>
    </row>
    <row r="11947" spans="1:7" x14ac:dyDescent="0.2">
      <c r="A11947" t="s">
        <v>12111</v>
      </c>
      <c r="B11947" t="str">
        <f>"15357838208"</f>
        <v>15357838208</v>
      </c>
      <c r="C11947" t="str">
        <f>"341124199308047830"</f>
        <v>341124199308047830</v>
      </c>
      <c r="D11947" t="s">
        <v>1</v>
      </c>
      <c r="E11947" t="s">
        <v>1</v>
      </c>
      <c r="F11947" t="s">
        <v>0</v>
      </c>
      <c r="G11947" t="str">
        <f>"2018-10-20 17:42:01"</f>
        <v>2018-10-20 17:42:01</v>
      </c>
    </row>
    <row r="11948" spans="1:7" x14ac:dyDescent="0.2">
      <c r="A11948" t="s">
        <v>12112</v>
      </c>
      <c r="B11948" t="str">
        <f>"13290909031"</f>
        <v>13290909031</v>
      </c>
      <c r="C11948" t="str">
        <f>"412825198311069204"</f>
        <v>412825198311069204</v>
      </c>
      <c r="D11948" t="s">
        <v>1</v>
      </c>
      <c r="E11948" t="s">
        <v>1</v>
      </c>
      <c r="F11948" t="s">
        <v>0</v>
      </c>
      <c r="G11948" t="str">
        <f>"2018-10-17 12:39:52"</f>
        <v>2018-10-17 12:39:52</v>
      </c>
    </row>
    <row r="11949" spans="1:7" x14ac:dyDescent="0.2">
      <c r="A11949" t="s">
        <v>12113</v>
      </c>
      <c r="B11949" t="str">
        <f>"18616526164"</f>
        <v>18616526164</v>
      </c>
      <c r="C11949" t="str">
        <f>"362202199608250082"</f>
        <v>362202199608250082</v>
      </c>
      <c r="D11949" t="s">
        <v>1</v>
      </c>
      <c r="E11949" t="s">
        <v>1</v>
      </c>
      <c r="F11949" t="s">
        <v>0</v>
      </c>
      <c r="G11949" t="str">
        <f>"2018-10-13 18:22:08"</f>
        <v>2018-10-13 18:22:08</v>
      </c>
    </row>
    <row r="11950" spans="1:7" x14ac:dyDescent="0.2">
      <c r="A11950" t="s">
        <v>12114</v>
      </c>
      <c r="B11950" t="str">
        <f>"15817520029"</f>
        <v>15817520029</v>
      </c>
      <c r="C11950" t="str">
        <f>"411403198708157877"</f>
        <v>411403198708157877</v>
      </c>
      <c r="D11950" t="s">
        <v>12115</v>
      </c>
      <c r="E11950" t="s">
        <v>12116</v>
      </c>
      <c r="F11950" t="s">
        <v>0</v>
      </c>
      <c r="G11950" t="str">
        <f>"2018-10-19 13:58:27"</f>
        <v>2018-10-19 13:58:27</v>
      </c>
    </row>
    <row r="11951" spans="1:7" x14ac:dyDescent="0.2">
      <c r="A11951" t="s">
        <v>12117</v>
      </c>
      <c r="B11951" t="str">
        <f>"15751069767"</f>
        <v>15751069767</v>
      </c>
      <c r="C11951" t="str">
        <f>"321302199709040014"</f>
        <v>321302199709040014</v>
      </c>
      <c r="D11951" t="s">
        <v>1</v>
      </c>
      <c r="E11951" t="s">
        <v>1</v>
      </c>
      <c r="F11951" t="s">
        <v>0</v>
      </c>
      <c r="G11951" t="str">
        <f>"2018-10-13 18:20:16"</f>
        <v>2018-10-13 18:20:16</v>
      </c>
    </row>
    <row r="11952" spans="1:7" x14ac:dyDescent="0.2">
      <c r="A11952" t="s">
        <v>1</v>
      </c>
      <c r="B11952" t="str">
        <f>"15757673794"</f>
        <v>15757673794</v>
      </c>
      <c r="C11952" t="s">
        <v>1</v>
      </c>
      <c r="D11952" t="s">
        <v>1</v>
      </c>
      <c r="E11952" t="s">
        <v>1</v>
      </c>
      <c r="F11952" t="s">
        <v>0</v>
      </c>
      <c r="G11952" t="str">
        <f>"2018-10-13 18:16:07"</f>
        <v>2018-10-13 18:16:07</v>
      </c>
    </row>
    <row r="11953" spans="1:7" x14ac:dyDescent="0.2">
      <c r="A11953" t="s">
        <v>627</v>
      </c>
      <c r="B11953" t="str">
        <f>"15000482148"</f>
        <v>15000482148</v>
      </c>
      <c r="C11953" t="str">
        <f>"342426199810093410"</f>
        <v>342426199810093410</v>
      </c>
      <c r="D11953" t="s">
        <v>1</v>
      </c>
      <c r="E11953" t="s">
        <v>1</v>
      </c>
      <c r="F11953" t="s">
        <v>0</v>
      </c>
      <c r="G11953" t="str">
        <f>"2018-10-13 18:17:49"</f>
        <v>2018-10-13 18:17:49</v>
      </c>
    </row>
    <row r="11954" spans="1:7" x14ac:dyDescent="0.2">
      <c r="A11954" t="s">
        <v>12118</v>
      </c>
      <c r="B11954" t="str">
        <f>"17853830231"</f>
        <v>17853830231</v>
      </c>
      <c r="C11954" t="str">
        <f>"370982198904077072"</f>
        <v>370982198904077072</v>
      </c>
      <c r="D11954" t="s">
        <v>1</v>
      </c>
      <c r="E11954" t="s">
        <v>1</v>
      </c>
      <c r="F11954" t="s">
        <v>0</v>
      </c>
      <c r="G11954" t="str">
        <f>"2018-10-13 18:17:02"</f>
        <v>2018-10-13 18:17:02</v>
      </c>
    </row>
    <row r="11955" spans="1:7" x14ac:dyDescent="0.2">
      <c r="A11955" t="s">
        <v>1768</v>
      </c>
      <c r="B11955" t="str">
        <f>"13066702444"</f>
        <v>13066702444</v>
      </c>
      <c r="C11955" t="str">
        <f>"220521198410227440"</f>
        <v>220521198410227440</v>
      </c>
      <c r="D11955" t="s">
        <v>1</v>
      </c>
      <c r="E11955" t="s">
        <v>1</v>
      </c>
      <c r="F11955" t="s">
        <v>0</v>
      </c>
      <c r="G11955" t="str">
        <f>"2018-10-14 17:55:10"</f>
        <v>2018-10-14 17:55:10</v>
      </c>
    </row>
    <row r="11956" spans="1:7" x14ac:dyDescent="0.2">
      <c r="A11956" t="s">
        <v>12119</v>
      </c>
      <c r="B11956" t="str">
        <f>"15982025429"</f>
        <v>15982025429</v>
      </c>
      <c r="C11956" t="str">
        <f>"513922198811054966"</f>
        <v>513922198811054966</v>
      </c>
      <c r="D11956" t="s">
        <v>1</v>
      </c>
      <c r="E11956" t="s">
        <v>1</v>
      </c>
      <c r="F11956" t="s">
        <v>0</v>
      </c>
      <c r="G11956" t="str">
        <f>"2018-11-02 09:58:51"</f>
        <v>2018-11-02 09:58:51</v>
      </c>
    </row>
    <row r="11957" spans="1:7" x14ac:dyDescent="0.2">
      <c r="A11957" t="s">
        <v>5074</v>
      </c>
      <c r="B11957" t="str">
        <f>"13940690544"</f>
        <v>13940690544</v>
      </c>
      <c r="C11957" t="str">
        <f>"210781199510142815"</f>
        <v>210781199510142815</v>
      </c>
      <c r="D11957" t="s">
        <v>1</v>
      </c>
      <c r="E11957" t="s">
        <v>1</v>
      </c>
      <c r="F11957" t="s">
        <v>0</v>
      </c>
      <c r="G11957" t="str">
        <f>"2018-10-13 18:17:51"</f>
        <v>2018-10-13 18:17:51</v>
      </c>
    </row>
    <row r="11958" spans="1:7" x14ac:dyDescent="0.2">
      <c r="A11958" t="s">
        <v>12120</v>
      </c>
      <c r="B11958" t="str">
        <f>"18679972250"</f>
        <v>18679972250</v>
      </c>
      <c r="C11958" t="str">
        <f>"360782199407040043"</f>
        <v>360782199407040043</v>
      </c>
      <c r="D11958" t="s">
        <v>12121</v>
      </c>
      <c r="E11958" t="s">
        <v>12122</v>
      </c>
      <c r="F11958" t="s">
        <v>0</v>
      </c>
      <c r="G11958" t="str">
        <f>"2018-10-28 19:40:29"</f>
        <v>2018-10-28 19:40:29</v>
      </c>
    </row>
    <row r="11959" spans="1:7" x14ac:dyDescent="0.2">
      <c r="A11959" t="s">
        <v>1</v>
      </c>
      <c r="B11959" t="str">
        <f>"17660991181"</f>
        <v>17660991181</v>
      </c>
      <c r="C11959" t="s">
        <v>1</v>
      </c>
      <c r="D11959" t="s">
        <v>1</v>
      </c>
      <c r="E11959" t="s">
        <v>1</v>
      </c>
      <c r="F11959" t="s">
        <v>0</v>
      </c>
      <c r="G11959" t="str">
        <f>"2018-10-13 18:11:43"</f>
        <v>2018-10-13 18:11:43</v>
      </c>
    </row>
    <row r="11960" spans="1:7" x14ac:dyDescent="0.2">
      <c r="A11960" t="s">
        <v>12123</v>
      </c>
      <c r="B11960" t="str">
        <f>"15148784326"</f>
        <v>15148784326</v>
      </c>
      <c r="C11960" t="str">
        <f>"152321198009220341"</f>
        <v>152321198009220341</v>
      </c>
      <c r="D11960" t="s">
        <v>1</v>
      </c>
      <c r="E11960" t="s">
        <v>1</v>
      </c>
      <c r="F11960" t="s">
        <v>0</v>
      </c>
      <c r="G11960" t="str">
        <f>"2018-10-13 18:12:34"</f>
        <v>2018-10-13 18:12:34</v>
      </c>
    </row>
    <row r="11961" spans="1:7" x14ac:dyDescent="0.2">
      <c r="A11961" t="s">
        <v>1</v>
      </c>
      <c r="B11961" t="str">
        <f>"13948123316"</f>
        <v>13948123316</v>
      </c>
      <c r="C11961" t="s">
        <v>1</v>
      </c>
      <c r="D11961" t="s">
        <v>1</v>
      </c>
      <c r="E11961" t="s">
        <v>1</v>
      </c>
      <c r="F11961" t="s">
        <v>0</v>
      </c>
      <c r="G11961" t="str">
        <f>"2018-10-13 18:10:15"</f>
        <v>2018-10-13 18:10:15</v>
      </c>
    </row>
    <row r="11962" spans="1:7" x14ac:dyDescent="0.2">
      <c r="A11962" t="s">
        <v>12124</v>
      </c>
      <c r="B11962" t="str">
        <f>"13724792158"</f>
        <v>13724792158</v>
      </c>
      <c r="C11962" t="str">
        <f>"440823198802272099"</f>
        <v>440823198802272099</v>
      </c>
      <c r="D11962" t="s">
        <v>1</v>
      </c>
      <c r="E11962" t="s">
        <v>1</v>
      </c>
      <c r="F11962" t="s">
        <v>0</v>
      </c>
      <c r="G11962" t="str">
        <f>"2018-11-02 10:20:50"</f>
        <v>2018-11-02 10:20:50</v>
      </c>
    </row>
    <row r="11963" spans="1:7" x14ac:dyDescent="0.2">
      <c r="A11963" t="s">
        <v>12125</v>
      </c>
      <c r="B11963" t="str">
        <f>"18631855877"</f>
        <v>18631855877</v>
      </c>
      <c r="C11963" t="str">
        <f>"131128199401273919"</f>
        <v>131128199401273919</v>
      </c>
      <c r="D11963" t="s">
        <v>12126</v>
      </c>
      <c r="E11963" t="s">
        <v>12127</v>
      </c>
      <c r="F11963" t="s">
        <v>0</v>
      </c>
      <c r="G11963" t="str">
        <f>"2018-10-13 18:21:24"</f>
        <v>2018-10-13 18:21:24</v>
      </c>
    </row>
    <row r="11964" spans="1:7" x14ac:dyDescent="0.2">
      <c r="A11964" t="s">
        <v>12128</v>
      </c>
      <c r="B11964" t="str">
        <f>"15947176199"</f>
        <v>15947176199</v>
      </c>
      <c r="C11964" t="str">
        <f>"152827198704054539"</f>
        <v>152827198704054539</v>
      </c>
      <c r="D11964" t="s">
        <v>1</v>
      </c>
      <c r="E11964" t="s">
        <v>1</v>
      </c>
      <c r="F11964" t="s">
        <v>0</v>
      </c>
      <c r="G11964" t="str">
        <f>"2018-10-13 18:10:50"</f>
        <v>2018-10-13 18:10:50</v>
      </c>
    </row>
    <row r="11965" spans="1:7" x14ac:dyDescent="0.2">
      <c r="A11965" t="s">
        <v>12129</v>
      </c>
      <c r="B11965" t="str">
        <f>"15108738797"</f>
        <v>15108738797</v>
      </c>
      <c r="C11965" t="str">
        <f>"530426199508111239"</f>
        <v>530426199508111239</v>
      </c>
      <c r="D11965" t="s">
        <v>1</v>
      </c>
      <c r="E11965" t="s">
        <v>1</v>
      </c>
      <c r="F11965" t="s">
        <v>0</v>
      </c>
      <c r="G11965" t="str">
        <f>"2018-10-13 18:14:31"</f>
        <v>2018-10-13 18:14:31</v>
      </c>
    </row>
    <row r="11966" spans="1:7" x14ac:dyDescent="0.2">
      <c r="A11966" t="s">
        <v>12130</v>
      </c>
      <c r="B11966" t="str">
        <f>"18292618773"</f>
        <v>18292618773</v>
      </c>
      <c r="C11966" t="str">
        <f>"612325198810013010"</f>
        <v>612325198810013010</v>
      </c>
      <c r="D11966" t="s">
        <v>1</v>
      </c>
      <c r="E11966" t="s">
        <v>1</v>
      </c>
      <c r="F11966" t="s">
        <v>0</v>
      </c>
      <c r="G11966" t="str">
        <f>"2018-10-13 18:10:37"</f>
        <v>2018-10-13 18:10:37</v>
      </c>
    </row>
    <row r="11967" spans="1:7" x14ac:dyDescent="0.2">
      <c r="A11967" t="s">
        <v>28</v>
      </c>
      <c r="B11967" t="str">
        <f>"18580853663"</f>
        <v>18580853663</v>
      </c>
      <c r="C11967" t="str">
        <f>"500221199008217610"</f>
        <v>500221199008217610</v>
      </c>
      <c r="D11967" t="s">
        <v>1</v>
      </c>
      <c r="E11967" t="s">
        <v>1</v>
      </c>
      <c r="F11967" t="s">
        <v>0</v>
      </c>
      <c r="G11967" t="str">
        <f>"2018-10-13 18:08:07"</f>
        <v>2018-10-13 18:08:07</v>
      </c>
    </row>
    <row r="11968" spans="1:7" x14ac:dyDescent="0.2">
      <c r="A11968" t="s">
        <v>1</v>
      </c>
      <c r="B11968" t="str">
        <f>"15312954550"</f>
        <v>15312954550</v>
      </c>
      <c r="C11968" t="s">
        <v>1</v>
      </c>
      <c r="D11968" t="s">
        <v>1</v>
      </c>
      <c r="E11968" t="s">
        <v>1</v>
      </c>
      <c r="F11968" t="s">
        <v>0</v>
      </c>
      <c r="G11968" t="str">
        <f>"2018-10-13 18:08:01"</f>
        <v>2018-10-13 18:08:01</v>
      </c>
    </row>
    <row r="11969" spans="1:7" x14ac:dyDescent="0.2">
      <c r="A11969" t="s">
        <v>1</v>
      </c>
      <c r="B11969" t="str">
        <f>"15185876062"</f>
        <v>15185876062</v>
      </c>
      <c r="C11969" t="s">
        <v>1</v>
      </c>
      <c r="D11969" t="s">
        <v>1</v>
      </c>
      <c r="E11969" t="s">
        <v>1</v>
      </c>
      <c r="F11969" t="s">
        <v>0</v>
      </c>
      <c r="G11969" t="str">
        <f>"2018-10-13 18:20:42"</f>
        <v>2018-10-13 18:20:42</v>
      </c>
    </row>
    <row r="11970" spans="1:7" x14ac:dyDescent="0.2">
      <c r="A11970" t="s">
        <v>12131</v>
      </c>
      <c r="B11970" t="str">
        <f>"15096574713"</f>
        <v>15096574713</v>
      </c>
      <c r="C11970" t="str">
        <f>"53210119940720221X"</f>
        <v>53210119940720221X</v>
      </c>
      <c r="D11970" t="s">
        <v>1</v>
      </c>
      <c r="E11970" t="s">
        <v>1</v>
      </c>
      <c r="F11970" t="s">
        <v>0</v>
      </c>
      <c r="G11970" t="str">
        <f>"2018-10-13 18:09:28"</f>
        <v>2018-10-13 18:09:28</v>
      </c>
    </row>
    <row r="11971" spans="1:7" x14ac:dyDescent="0.2">
      <c r="A11971" t="s">
        <v>1</v>
      </c>
      <c r="B11971" t="str">
        <f>"15992222763"</f>
        <v>15992222763</v>
      </c>
      <c r="C11971" t="s">
        <v>1</v>
      </c>
      <c r="D11971" t="s">
        <v>1</v>
      </c>
      <c r="E11971" t="s">
        <v>1</v>
      </c>
      <c r="F11971" t="s">
        <v>0</v>
      </c>
      <c r="G11971" t="str">
        <f>"2018-10-13 18:06:46"</f>
        <v>2018-10-13 18:06:46</v>
      </c>
    </row>
    <row r="11972" spans="1:7" x14ac:dyDescent="0.2">
      <c r="A11972" t="s">
        <v>12132</v>
      </c>
      <c r="B11972" t="str">
        <f>"15250833009"</f>
        <v>15250833009</v>
      </c>
      <c r="C11972" t="str">
        <f>"320922198902046832"</f>
        <v>320922198902046832</v>
      </c>
      <c r="D11972" t="s">
        <v>1</v>
      </c>
      <c r="E11972" t="s">
        <v>1</v>
      </c>
      <c r="F11972" t="s">
        <v>0</v>
      </c>
      <c r="G11972" t="str">
        <f>"2018-10-13 18:09:22"</f>
        <v>2018-10-13 18:09:22</v>
      </c>
    </row>
    <row r="11973" spans="1:7" x14ac:dyDescent="0.2">
      <c r="A11973" t="s">
        <v>6450</v>
      </c>
      <c r="B11973" t="str">
        <f>"18870799730"</f>
        <v>18870799730</v>
      </c>
      <c r="C11973" t="str">
        <f>"360722199702074215"</f>
        <v>360722199702074215</v>
      </c>
      <c r="D11973" t="s">
        <v>1</v>
      </c>
      <c r="E11973" t="s">
        <v>1</v>
      </c>
      <c r="F11973" t="s">
        <v>0</v>
      </c>
      <c r="G11973" t="str">
        <f>"2018-10-13 18:43:00"</f>
        <v>2018-10-13 18:43:00</v>
      </c>
    </row>
    <row r="11974" spans="1:7" x14ac:dyDescent="0.2">
      <c r="A11974" t="s">
        <v>1</v>
      </c>
      <c r="B11974" t="str">
        <f>"13885781178"</f>
        <v>13885781178</v>
      </c>
      <c r="C11974" t="s">
        <v>1</v>
      </c>
      <c r="D11974" t="s">
        <v>1</v>
      </c>
      <c r="E11974" t="s">
        <v>1</v>
      </c>
      <c r="F11974" t="s">
        <v>0</v>
      </c>
      <c r="G11974" t="str">
        <f>"2018-10-13 18:05:14"</f>
        <v>2018-10-13 18:05:14</v>
      </c>
    </row>
    <row r="11975" spans="1:7" x14ac:dyDescent="0.2">
      <c r="A11975" t="s">
        <v>1</v>
      </c>
      <c r="B11975" t="str">
        <f>"13411815507"</f>
        <v>13411815507</v>
      </c>
      <c r="C11975" t="s">
        <v>1</v>
      </c>
      <c r="D11975" t="s">
        <v>1</v>
      </c>
      <c r="E11975" t="s">
        <v>1</v>
      </c>
      <c r="F11975" t="s">
        <v>0</v>
      </c>
      <c r="G11975" t="str">
        <f>"2018-10-13 18:04:42"</f>
        <v>2018-10-13 18:04:42</v>
      </c>
    </row>
    <row r="11976" spans="1:7" x14ac:dyDescent="0.2">
      <c r="A11976" t="s">
        <v>1</v>
      </c>
      <c r="B11976" t="str">
        <f>"13927353218"</f>
        <v>13927353218</v>
      </c>
      <c r="C11976" t="s">
        <v>1</v>
      </c>
      <c r="D11976" t="s">
        <v>1</v>
      </c>
      <c r="E11976" t="s">
        <v>1</v>
      </c>
      <c r="F11976" t="s">
        <v>0</v>
      </c>
      <c r="G11976" t="str">
        <f>"2018-10-13 18:04:39"</f>
        <v>2018-10-13 18:04:39</v>
      </c>
    </row>
    <row r="11977" spans="1:7" x14ac:dyDescent="0.2">
      <c r="A11977" t="s">
        <v>1250</v>
      </c>
      <c r="B11977" t="str">
        <f>"18150267922"</f>
        <v>18150267922</v>
      </c>
      <c r="C11977" t="str">
        <f>"352202198408142013"</f>
        <v>352202198408142013</v>
      </c>
      <c r="D11977" t="s">
        <v>1</v>
      </c>
      <c r="E11977" t="s">
        <v>1</v>
      </c>
      <c r="F11977" t="s">
        <v>0</v>
      </c>
      <c r="G11977" t="str">
        <f>"2018-10-13 18:05:59"</f>
        <v>2018-10-13 18:05:59</v>
      </c>
    </row>
    <row r="11978" spans="1:7" x14ac:dyDescent="0.2">
      <c r="A11978" t="s">
        <v>12133</v>
      </c>
      <c r="B11978" t="str">
        <f>"18166894704"</f>
        <v>18166894704</v>
      </c>
      <c r="C11978" t="str">
        <f>"220182199611023917"</f>
        <v>220182199611023917</v>
      </c>
      <c r="D11978" t="s">
        <v>1</v>
      </c>
      <c r="E11978" t="s">
        <v>1</v>
      </c>
      <c r="F11978" t="s">
        <v>0</v>
      </c>
      <c r="G11978" t="str">
        <f>"2018-10-13 18:04:31"</f>
        <v>2018-10-13 18:04:31</v>
      </c>
    </row>
    <row r="11979" spans="1:7" x14ac:dyDescent="0.2">
      <c r="A11979" t="s">
        <v>12134</v>
      </c>
      <c r="B11979" t="str">
        <f>"15529133738"</f>
        <v>15529133738</v>
      </c>
      <c r="C11979" t="str">
        <f>"610523199309030010"</f>
        <v>610523199309030010</v>
      </c>
      <c r="D11979" t="s">
        <v>1</v>
      </c>
      <c r="E11979" t="s">
        <v>1</v>
      </c>
      <c r="F11979" t="s">
        <v>0</v>
      </c>
      <c r="G11979" t="str">
        <f>"2018-10-13 18:03:15"</f>
        <v>2018-10-13 18:03:15</v>
      </c>
    </row>
    <row r="11980" spans="1:7" x14ac:dyDescent="0.2">
      <c r="A11980" t="s">
        <v>12135</v>
      </c>
      <c r="B11980" t="str">
        <f>"13365459080"</f>
        <v>13365459080</v>
      </c>
      <c r="C11980" t="str">
        <f>"370681199311135259"</f>
        <v>370681199311135259</v>
      </c>
      <c r="D11980" t="s">
        <v>1</v>
      </c>
      <c r="E11980" t="s">
        <v>1</v>
      </c>
      <c r="F11980" t="s">
        <v>0</v>
      </c>
      <c r="G11980" t="str">
        <f>"2018-10-13 18:04:03"</f>
        <v>2018-10-13 18:04:03</v>
      </c>
    </row>
    <row r="11981" spans="1:7" x14ac:dyDescent="0.2">
      <c r="A11981" t="s">
        <v>12136</v>
      </c>
      <c r="B11981" t="str">
        <f>"18175314861"</f>
        <v>18175314861</v>
      </c>
      <c r="C11981" t="str">
        <f>"340826199110244839"</f>
        <v>340826199110244839</v>
      </c>
      <c r="D11981" t="s">
        <v>12137</v>
      </c>
      <c r="E11981" t="s">
        <v>12138</v>
      </c>
      <c r="F11981" t="s">
        <v>0</v>
      </c>
      <c r="G11981" t="str">
        <f>"2018-10-13 18:04:39"</f>
        <v>2018-10-13 18:04:39</v>
      </c>
    </row>
    <row r="11982" spans="1:7" x14ac:dyDescent="0.2">
      <c r="A11982" t="s">
        <v>12139</v>
      </c>
      <c r="B11982" t="str">
        <f>"18148380241"</f>
        <v>18148380241</v>
      </c>
      <c r="C11982" t="str">
        <f>"152624199108152719"</f>
        <v>152624199108152719</v>
      </c>
      <c r="D11982" t="s">
        <v>12140</v>
      </c>
      <c r="E11982" t="s">
        <v>12141</v>
      </c>
      <c r="F11982" t="s">
        <v>0</v>
      </c>
      <c r="G11982" t="str">
        <f>"2018-10-14 11:34:05"</f>
        <v>2018-10-14 11:34:05</v>
      </c>
    </row>
    <row r="11983" spans="1:7" x14ac:dyDescent="0.2">
      <c r="A11983" t="s">
        <v>1</v>
      </c>
      <c r="B11983" t="str">
        <f>"13235824307"</f>
        <v>13235824307</v>
      </c>
      <c r="C11983" t="s">
        <v>1</v>
      </c>
      <c r="D11983" t="s">
        <v>1</v>
      </c>
      <c r="E11983" t="s">
        <v>1</v>
      </c>
      <c r="F11983" t="s">
        <v>0</v>
      </c>
      <c r="G11983" t="str">
        <f>"2018-10-13 18:02:15"</f>
        <v>2018-10-13 18:02:15</v>
      </c>
    </row>
    <row r="11984" spans="1:7" x14ac:dyDescent="0.2">
      <c r="A11984" t="s">
        <v>12142</v>
      </c>
      <c r="B11984" t="str">
        <f>"15110069597"</f>
        <v>15110069597</v>
      </c>
      <c r="C11984" t="str">
        <f>"130533199512066615"</f>
        <v>130533199512066615</v>
      </c>
      <c r="D11984" t="s">
        <v>1</v>
      </c>
      <c r="E11984" t="s">
        <v>1</v>
      </c>
      <c r="F11984" t="s">
        <v>0</v>
      </c>
      <c r="G11984" t="str">
        <f>"2018-10-13 18:03:36"</f>
        <v>2018-10-13 18:03:36</v>
      </c>
    </row>
    <row r="11985" spans="1:7" x14ac:dyDescent="0.2">
      <c r="A11985" t="s">
        <v>843</v>
      </c>
      <c r="B11985" t="str">
        <f>"17752711553"</f>
        <v>17752711553</v>
      </c>
      <c r="C11985" t="str">
        <f>"430902199511277515"</f>
        <v>430902199511277515</v>
      </c>
      <c r="D11985" t="s">
        <v>1</v>
      </c>
      <c r="E11985" t="s">
        <v>1</v>
      </c>
      <c r="F11985" t="s">
        <v>0</v>
      </c>
      <c r="G11985" t="str">
        <f>"2018-10-13 18:04:14"</f>
        <v>2018-10-13 18:04:14</v>
      </c>
    </row>
    <row r="11986" spans="1:7" x14ac:dyDescent="0.2">
      <c r="A11986" t="s">
        <v>12143</v>
      </c>
      <c r="B11986" t="str">
        <f>"13414516957"</f>
        <v>13414516957</v>
      </c>
      <c r="C11986" t="str">
        <f>"441381198906127512"</f>
        <v>441381198906127512</v>
      </c>
      <c r="D11986" t="s">
        <v>1</v>
      </c>
      <c r="E11986" t="s">
        <v>1</v>
      </c>
      <c r="F11986" t="s">
        <v>0</v>
      </c>
      <c r="G11986" t="str">
        <f>"2018-10-13 18:00:50"</f>
        <v>2018-10-13 18:00:50</v>
      </c>
    </row>
    <row r="11987" spans="1:7" x14ac:dyDescent="0.2">
      <c r="A11987" t="s">
        <v>12144</v>
      </c>
      <c r="B11987" t="str">
        <f>"15715398776"</f>
        <v>15715398776</v>
      </c>
      <c r="C11987" t="str">
        <f>"371323198706070513"</f>
        <v>371323198706070513</v>
      </c>
      <c r="D11987" t="s">
        <v>1</v>
      </c>
      <c r="E11987" t="s">
        <v>1</v>
      </c>
      <c r="F11987" t="s">
        <v>0</v>
      </c>
      <c r="G11987" t="str">
        <f>"2018-10-13 18:00:34"</f>
        <v>2018-10-13 18:00:34</v>
      </c>
    </row>
    <row r="11988" spans="1:7" x14ac:dyDescent="0.2">
      <c r="A11988" t="s">
        <v>958</v>
      </c>
      <c r="B11988" t="str">
        <f>"17680347174"</f>
        <v>17680347174</v>
      </c>
      <c r="C11988" t="str">
        <f>"430422199909131020"</f>
        <v>430422199909131020</v>
      </c>
      <c r="D11988" t="s">
        <v>1</v>
      </c>
      <c r="E11988" t="s">
        <v>1</v>
      </c>
      <c r="F11988" t="s">
        <v>0</v>
      </c>
      <c r="G11988" t="str">
        <f>"2018-10-13 18:03:13"</f>
        <v>2018-10-13 18:03:13</v>
      </c>
    </row>
    <row r="11989" spans="1:7" x14ac:dyDescent="0.2">
      <c r="A11989" t="s">
        <v>1</v>
      </c>
      <c r="B11989" t="str">
        <f>"18002408122"</f>
        <v>18002408122</v>
      </c>
      <c r="C11989" t="s">
        <v>1</v>
      </c>
      <c r="D11989" t="s">
        <v>1</v>
      </c>
      <c r="E11989" t="s">
        <v>1</v>
      </c>
      <c r="F11989" t="s">
        <v>0</v>
      </c>
      <c r="G11989" t="str">
        <f>"2018-10-16 21:44:14"</f>
        <v>2018-10-16 21:44:14</v>
      </c>
    </row>
    <row r="11990" spans="1:7" x14ac:dyDescent="0.2">
      <c r="A11990" t="s">
        <v>12145</v>
      </c>
      <c r="B11990" t="str">
        <f>"18367542939"</f>
        <v>18367542939</v>
      </c>
      <c r="C11990" t="str">
        <f>"340421198601161212"</f>
        <v>340421198601161212</v>
      </c>
      <c r="D11990" t="s">
        <v>1</v>
      </c>
      <c r="E11990" t="s">
        <v>1</v>
      </c>
      <c r="F11990" t="s">
        <v>0</v>
      </c>
      <c r="G11990" t="str">
        <f>"2018-10-13 19:35:23"</f>
        <v>2018-10-13 19:35:23</v>
      </c>
    </row>
    <row r="11991" spans="1:7" x14ac:dyDescent="0.2">
      <c r="A11991" t="s">
        <v>1</v>
      </c>
      <c r="B11991" t="str">
        <f>"13306452108"</f>
        <v>13306452108</v>
      </c>
      <c r="C11991" t="s">
        <v>1</v>
      </c>
      <c r="D11991" t="s">
        <v>1</v>
      </c>
      <c r="E11991" t="s">
        <v>1</v>
      </c>
      <c r="F11991" t="s">
        <v>0</v>
      </c>
      <c r="G11991" t="str">
        <f>"2018-10-13 17:58:21"</f>
        <v>2018-10-13 17:58:21</v>
      </c>
    </row>
    <row r="11992" spans="1:7" x14ac:dyDescent="0.2">
      <c r="A11992" t="s">
        <v>1</v>
      </c>
      <c r="B11992" t="str">
        <f>"15818678674"</f>
        <v>15818678674</v>
      </c>
      <c r="C11992" t="s">
        <v>1</v>
      </c>
      <c r="D11992" t="s">
        <v>1</v>
      </c>
      <c r="E11992" t="s">
        <v>1</v>
      </c>
      <c r="F11992" t="s">
        <v>0</v>
      </c>
      <c r="G11992" t="str">
        <f>"2018-10-13 17:58:18"</f>
        <v>2018-10-13 17:58:18</v>
      </c>
    </row>
    <row r="11993" spans="1:7" x14ac:dyDescent="0.2">
      <c r="A11993" t="s">
        <v>1</v>
      </c>
      <c r="B11993" t="str">
        <f>"18643502026"</f>
        <v>18643502026</v>
      </c>
      <c r="C11993" t="s">
        <v>1</v>
      </c>
      <c r="D11993" t="s">
        <v>1</v>
      </c>
      <c r="E11993" t="s">
        <v>1</v>
      </c>
      <c r="F11993" t="s">
        <v>0</v>
      </c>
      <c r="G11993" t="str">
        <f>"2018-10-13 17:58:05"</f>
        <v>2018-10-13 17:58:05</v>
      </c>
    </row>
    <row r="11994" spans="1:7" x14ac:dyDescent="0.2">
      <c r="A11994" t="s">
        <v>1</v>
      </c>
      <c r="B11994" t="str">
        <f>"13590117771"</f>
        <v>13590117771</v>
      </c>
      <c r="C11994" t="s">
        <v>1</v>
      </c>
      <c r="D11994" t="s">
        <v>1</v>
      </c>
      <c r="E11994" t="s">
        <v>1</v>
      </c>
      <c r="F11994" t="s">
        <v>0</v>
      </c>
      <c r="G11994" t="str">
        <f>"2018-10-13 17:57:43"</f>
        <v>2018-10-13 17:57:43</v>
      </c>
    </row>
    <row r="11995" spans="1:7" x14ac:dyDescent="0.2">
      <c r="A11995" t="s">
        <v>12146</v>
      </c>
      <c r="B11995" t="str">
        <f>"15077076218"</f>
        <v>15077076218</v>
      </c>
      <c r="C11995" t="str">
        <f>"451423199211202422"</f>
        <v>451423199211202422</v>
      </c>
      <c r="D11995" t="s">
        <v>1</v>
      </c>
      <c r="E11995" t="s">
        <v>1</v>
      </c>
      <c r="F11995" t="s">
        <v>0</v>
      </c>
      <c r="G11995" t="str">
        <f>"2018-10-13 18:00:59"</f>
        <v>2018-10-13 18:00:59</v>
      </c>
    </row>
    <row r="11996" spans="1:7" x14ac:dyDescent="0.2">
      <c r="A11996" t="s">
        <v>1</v>
      </c>
      <c r="B11996" t="str">
        <f>"15052429651"</f>
        <v>15052429651</v>
      </c>
      <c r="C11996" t="s">
        <v>1</v>
      </c>
      <c r="D11996" t="s">
        <v>1</v>
      </c>
      <c r="E11996" t="s">
        <v>1</v>
      </c>
      <c r="F11996" t="s">
        <v>0</v>
      </c>
      <c r="G11996" t="str">
        <f>"2018-10-13 17:57:12"</f>
        <v>2018-10-13 17:57:12</v>
      </c>
    </row>
    <row r="11997" spans="1:7" x14ac:dyDescent="0.2">
      <c r="A11997" t="s">
        <v>12147</v>
      </c>
      <c r="B11997" t="str">
        <f>"15880108555"</f>
        <v>15880108555</v>
      </c>
      <c r="C11997" t="str">
        <f>"350121197511215011"</f>
        <v>350121197511215011</v>
      </c>
      <c r="D11997" t="s">
        <v>1</v>
      </c>
      <c r="E11997" t="s">
        <v>1</v>
      </c>
      <c r="F11997" t="s">
        <v>0</v>
      </c>
      <c r="G11997" t="str">
        <f>"2018-10-13 17:57:28"</f>
        <v>2018-10-13 17:57:28</v>
      </c>
    </row>
    <row r="11998" spans="1:7" x14ac:dyDescent="0.2">
      <c r="A11998" t="s">
        <v>2478</v>
      </c>
      <c r="B11998" t="str">
        <f>"13703525711"</f>
        <v>13703525711</v>
      </c>
      <c r="C11998" t="str">
        <f>"140227199403060538"</f>
        <v>140227199403060538</v>
      </c>
      <c r="D11998" t="s">
        <v>1</v>
      </c>
      <c r="E11998" t="s">
        <v>1</v>
      </c>
      <c r="F11998" t="s">
        <v>0</v>
      </c>
      <c r="G11998" t="str">
        <f>"2018-10-13 17:58:58"</f>
        <v>2018-10-13 17:58:58</v>
      </c>
    </row>
    <row r="11999" spans="1:7" x14ac:dyDescent="0.2">
      <c r="A11999" t="s">
        <v>1</v>
      </c>
      <c r="B11999" t="str">
        <f>"15126996192"</f>
        <v>15126996192</v>
      </c>
      <c r="C11999" t="s">
        <v>1</v>
      </c>
      <c r="D11999" t="s">
        <v>1</v>
      </c>
      <c r="E11999" t="s">
        <v>1</v>
      </c>
      <c r="F11999" t="s">
        <v>0</v>
      </c>
      <c r="G11999" t="str">
        <f>"2018-10-13 17:55:31"</f>
        <v>2018-10-13 17:55:31</v>
      </c>
    </row>
    <row r="12000" spans="1:7" x14ac:dyDescent="0.2">
      <c r="A12000" t="s">
        <v>12148</v>
      </c>
      <c r="B12000" t="str">
        <f>"13639619204"</f>
        <v>13639619204</v>
      </c>
      <c r="C12000" t="str">
        <f>"41022319930225806X"</f>
        <v>41022319930225806X</v>
      </c>
      <c r="D12000" t="s">
        <v>1</v>
      </c>
      <c r="E12000" t="s">
        <v>1</v>
      </c>
      <c r="F12000" t="s">
        <v>0</v>
      </c>
      <c r="G12000" t="str">
        <f>"2018-10-13 18:11:56"</f>
        <v>2018-10-13 18:11:56</v>
      </c>
    </row>
    <row r="12001" spans="1:7" x14ac:dyDescent="0.2">
      <c r="A12001" t="s">
        <v>12149</v>
      </c>
      <c r="B12001" t="str">
        <f>"15293130665"</f>
        <v>15293130665</v>
      </c>
      <c r="C12001" t="str">
        <f>"622322198610250612"</f>
        <v>622322198610250612</v>
      </c>
      <c r="D12001" t="s">
        <v>1</v>
      </c>
      <c r="E12001" t="s">
        <v>1</v>
      </c>
      <c r="F12001" t="s">
        <v>0</v>
      </c>
      <c r="G12001" t="str">
        <f>"2018-10-15 08:35:00"</f>
        <v>2018-10-15 08:35:00</v>
      </c>
    </row>
    <row r="12002" spans="1:7" x14ac:dyDescent="0.2">
      <c r="A12002" t="s">
        <v>12150</v>
      </c>
      <c r="B12002" t="str">
        <f>"15968732939"</f>
        <v>15968732939</v>
      </c>
      <c r="C12002" t="str">
        <f>"330303199510020910"</f>
        <v>330303199510020910</v>
      </c>
      <c r="D12002" t="s">
        <v>1</v>
      </c>
      <c r="E12002" t="s">
        <v>1</v>
      </c>
      <c r="F12002" t="s">
        <v>0</v>
      </c>
      <c r="G12002" t="str">
        <f>"2018-10-13 17:54:47"</f>
        <v>2018-10-13 17:54:47</v>
      </c>
    </row>
    <row r="12003" spans="1:7" x14ac:dyDescent="0.2">
      <c r="A12003" t="s">
        <v>12151</v>
      </c>
      <c r="B12003" t="str">
        <f>"15319270222"</f>
        <v>15319270222</v>
      </c>
      <c r="C12003" t="str">
        <f>"610425197912080416"</f>
        <v>610425197912080416</v>
      </c>
      <c r="D12003" t="s">
        <v>1</v>
      </c>
      <c r="E12003" t="s">
        <v>1</v>
      </c>
      <c r="F12003" t="s">
        <v>0</v>
      </c>
      <c r="G12003" t="str">
        <f>"2018-10-13 18:22:39"</f>
        <v>2018-10-13 18:22:39</v>
      </c>
    </row>
    <row r="12004" spans="1:7" x14ac:dyDescent="0.2">
      <c r="A12004" t="s">
        <v>346</v>
      </c>
      <c r="B12004" t="str">
        <f>"18986896949"</f>
        <v>18986896949</v>
      </c>
      <c r="C12004" t="str">
        <f>"420322198803166012"</f>
        <v>420322198803166012</v>
      </c>
      <c r="D12004" t="s">
        <v>1</v>
      </c>
      <c r="E12004" t="s">
        <v>1</v>
      </c>
      <c r="F12004" t="s">
        <v>0</v>
      </c>
      <c r="G12004" t="str">
        <f>"2018-10-13 17:54:07"</f>
        <v>2018-10-13 17:54:07</v>
      </c>
    </row>
    <row r="12005" spans="1:7" x14ac:dyDescent="0.2">
      <c r="A12005" t="s">
        <v>12152</v>
      </c>
      <c r="B12005" t="str">
        <f>"18237080178"</f>
        <v>18237080178</v>
      </c>
      <c r="C12005" t="str">
        <f>"411425199707042149"</f>
        <v>411425199707042149</v>
      </c>
      <c r="D12005" t="s">
        <v>1</v>
      </c>
      <c r="E12005" t="s">
        <v>1</v>
      </c>
      <c r="F12005" t="s">
        <v>0</v>
      </c>
      <c r="G12005" t="str">
        <f>"2018-10-13 17:52:06"</f>
        <v>2018-10-13 17:52:06</v>
      </c>
    </row>
    <row r="12006" spans="1:7" x14ac:dyDescent="0.2">
      <c r="A12006" t="s">
        <v>12153</v>
      </c>
      <c r="B12006" t="str">
        <f>"18123461214"</f>
        <v>18123461214</v>
      </c>
      <c r="C12006" t="str">
        <f>"51081119921214166X"</f>
        <v>51081119921214166X</v>
      </c>
      <c r="D12006" t="s">
        <v>1</v>
      </c>
      <c r="E12006" t="s">
        <v>1</v>
      </c>
      <c r="F12006" t="s">
        <v>0</v>
      </c>
      <c r="G12006" t="str">
        <f>"2018-10-13 17:52:03"</f>
        <v>2018-10-13 17:52:03</v>
      </c>
    </row>
    <row r="12007" spans="1:7" x14ac:dyDescent="0.2">
      <c r="A12007" t="s">
        <v>12154</v>
      </c>
      <c r="B12007" t="str">
        <f>"13754568043"</f>
        <v>13754568043</v>
      </c>
      <c r="C12007" t="str">
        <f>"131024198806270032"</f>
        <v>131024198806270032</v>
      </c>
      <c r="D12007" t="s">
        <v>12155</v>
      </c>
      <c r="E12007" t="s">
        <v>12156</v>
      </c>
      <c r="F12007" t="s">
        <v>0</v>
      </c>
      <c r="G12007" t="str">
        <f>"2018-10-13 18:20:24"</f>
        <v>2018-10-13 18:20:24</v>
      </c>
    </row>
    <row r="12008" spans="1:7" x14ac:dyDescent="0.2">
      <c r="A12008" t="s">
        <v>12157</v>
      </c>
      <c r="B12008" t="str">
        <f>"18684611658"</f>
        <v>18684611658</v>
      </c>
      <c r="C12008" t="str">
        <f>"43070319961223881X"</f>
        <v>43070319961223881X</v>
      </c>
      <c r="D12008" t="s">
        <v>1</v>
      </c>
      <c r="E12008" t="s">
        <v>1</v>
      </c>
      <c r="F12008" t="s">
        <v>0</v>
      </c>
      <c r="G12008" t="str">
        <f>"2018-10-13 17:52:21"</f>
        <v>2018-10-13 17:52:21</v>
      </c>
    </row>
    <row r="12009" spans="1:7" x14ac:dyDescent="0.2">
      <c r="A12009" t="s">
        <v>12158</v>
      </c>
      <c r="B12009" t="str">
        <f>"15806861133"</f>
        <v>15806861133</v>
      </c>
      <c r="C12009" t="str">
        <f>"371425199611120357"</f>
        <v>371425199611120357</v>
      </c>
      <c r="D12009" t="s">
        <v>12159</v>
      </c>
      <c r="E12009" t="s">
        <v>12160</v>
      </c>
      <c r="F12009" t="s">
        <v>0</v>
      </c>
      <c r="G12009" t="str">
        <f>"2018-10-13 17:54:21"</f>
        <v>2018-10-13 17:54:21</v>
      </c>
    </row>
    <row r="12010" spans="1:7" x14ac:dyDescent="0.2">
      <c r="A12010" t="s">
        <v>1</v>
      </c>
      <c r="B12010" t="str">
        <f>"13004262062"</f>
        <v>13004262062</v>
      </c>
      <c r="C12010" t="s">
        <v>1</v>
      </c>
      <c r="D12010" t="s">
        <v>1</v>
      </c>
      <c r="E12010" t="s">
        <v>1</v>
      </c>
      <c r="F12010" t="s">
        <v>0</v>
      </c>
      <c r="G12010" t="str">
        <f>"2018-10-13 17:49:52"</f>
        <v>2018-10-13 17:49:52</v>
      </c>
    </row>
    <row r="12011" spans="1:7" x14ac:dyDescent="0.2">
      <c r="A12011" t="s">
        <v>12161</v>
      </c>
      <c r="B12011" t="str">
        <f>"18368217643"</f>
        <v>18368217643</v>
      </c>
      <c r="C12011" t="str">
        <f>"412725199410101811"</f>
        <v>412725199410101811</v>
      </c>
      <c r="D12011" t="s">
        <v>1</v>
      </c>
      <c r="E12011" t="s">
        <v>1</v>
      </c>
      <c r="F12011" t="s">
        <v>0</v>
      </c>
      <c r="G12011" t="str">
        <f>"2018-10-13 17:52:04"</f>
        <v>2018-10-13 17:52:04</v>
      </c>
    </row>
    <row r="12012" spans="1:7" x14ac:dyDescent="0.2">
      <c r="A12012" t="s">
        <v>1</v>
      </c>
      <c r="B12012" t="str">
        <f>"13753005822"</f>
        <v>13753005822</v>
      </c>
      <c r="C12012" t="s">
        <v>1</v>
      </c>
      <c r="D12012" t="s">
        <v>1</v>
      </c>
      <c r="E12012" t="s">
        <v>1</v>
      </c>
      <c r="F12012" t="s">
        <v>0</v>
      </c>
      <c r="G12012" t="str">
        <f>"2018-10-13 17:47:21"</f>
        <v>2018-10-13 17:47:21</v>
      </c>
    </row>
    <row r="12013" spans="1:7" x14ac:dyDescent="0.2">
      <c r="A12013" t="s">
        <v>220</v>
      </c>
      <c r="B12013" t="str">
        <f>"15055997268"</f>
        <v>15055997268</v>
      </c>
      <c r="C12013" t="str">
        <f>"341021198703194196"</f>
        <v>341021198703194196</v>
      </c>
      <c r="D12013" t="s">
        <v>12162</v>
      </c>
      <c r="E12013" t="s">
        <v>12163</v>
      </c>
      <c r="F12013" t="s">
        <v>0</v>
      </c>
      <c r="G12013" t="str">
        <f>"2018-10-13 17:46:40"</f>
        <v>2018-10-13 17:46:40</v>
      </c>
    </row>
    <row r="12014" spans="1:7" x14ac:dyDescent="0.2">
      <c r="A12014" t="s">
        <v>1</v>
      </c>
      <c r="B12014" t="str">
        <f>"15869636982"</f>
        <v>15869636982</v>
      </c>
      <c r="C12014" t="s">
        <v>1</v>
      </c>
      <c r="D12014" t="s">
        <v>1</v>
      </c>
      <c r="E12014" t="s">
        <v>1</v>
      </c>
      <c r="F12014" t="s">
        <v>0</v>
      </c>
      <c r="G12014" t="str">
        <f>"2018-10-13 17:46:24"</f>
        <v>2018-10-13 17:46:24</v>
      </c>
    </row>
    <row r="12015" spans="1:7" x14ac:dyDescent="0.2">
      <c r="A12015" t="s">
        <v>12164</v>
      </c>
      <c r="B12015" t="str">
        <f>"17681403231"</f>
        <v>17681403231</v>
      </c>
      <c r="C12015" t="str">
        <f>"610121199903173298"</f>
        <v>610121199903173298</v>
      </c>
      <c r="D12015" t="s">
        <v>12165</v>
      </c>
      <c r="E12015" t="s">
        <v>12166</v>
      </c>
      <c r="F12015" t="s">
        <v>0</v>
      </c>
      <c r="G12015" t="str">
        <f>"2018-10-13 20:01:57"</f>
        <v>2018-10-13 20:01:57</v>
      </c>
    </row>
    <row r="12016" spans="1:7" x14ac:dyDescent="0.2">
      <c r="A12016" t="s">
        <v>12167</v>
      </c>
      <c r="B12016" t="str">
        <f>"13874951718"</f>
        <v>13874951718</v>
      </c>
      <c r="C12016" t="str">
        <f>"430111197704010837"</f>
        <v>430111197704010837</v>
      </c>
      <c r="D12016" t="s">
        <v>12168</v>
      </c>
      <c r="E12016" t="s">
        <v>12169</v>
      </c>
      <c r="F12016" t="s">
        <v>0</v>
      </c>
      <c r="G12016" t="str">
        <f>"2018-10-13 17:48:14"</f>
        <v>2018-10-13 17:48:14</v>
      </c>
    </row>
    <row r="12017" spans="1:7" x14ac:dyDescent="0.2">
      <c r="A12017" t="s">
        <v>1</v>
      </c>
      <c r="B12017" t="str">
        <f>"13676090995"</f>
        <v>13676090995</v>
      </c>
      <c r="C12017" t="s">
        <v>1</v>
      </c>
      <c r="D12017" t="s">
        <v>1</v>
      </c>
      <c r="E12017" t="s">
        <v>1</v>
      </c>
      <c r="F12017" t="s">
        <v>0</v>
      </c>
      <c r="G12017" t="str">
        <f>"2018-10-14 22:44:01"</f>
        <v>2018-10-14 22:44:01</v>
      </c>
    </row>
    <row r="12018" spans="1:7" x14ac:dyDescent="0.2">
      <c r="A12018" t="s">
        <v>722</v>
      </c>
      <c r="B12018" t="str">
        <f>"18709267727"</f>
        <v>18709267727</v>
      </c>
      <c r="C12018" t="str">
        <f>"612428199307221217"</f>
        <v>612428199307221217</v>
      </c>
      <c r="D12018" t="s">
        <v>12170</v>
      </c>
      <c r="E12018" t="s">
        <v>12171</v>
      </c>
      <c r="F12018" t="s">
        <v>0</v>
      </c>
      <c r="G12018" t="str">
        <f>"2018-10-13 17:46:55"</f>
        <v>2018-10-13 17:46:55</v>
      </c>
    </row>
    <row r="12019" spans="1:7" x14ac:dyDescent="0.2">
      <c r="A12019" t="s">
        <v>12172</v>
      </c>
      <c r="B12019" t="str">
        <f>"13555858825"</f>
        <v>13555858825</v>
      </c>
      <c r="C12019" t="str">
        <f>"210122199411241815"</f>
        <v>210122199411241815</v>
      </c>
      <c r="D12019" t="s">
        <v>1</v>
      </c>
      <c r="E12019" t="s">
        <v>1</v>
      </c>
      <c r="F12019" t="s">
        <v>0</v>
      </c>
      <c r="G12019" t="str">
        <f>"2018-10-13 17:49:42"</f>
        <v>2018-10-13 17:49:42</v>
      </c>
    </row>
    <row r="12020" spans="1:7" x14ac:dyDescent="0.2">
      <c r="A12020" t="s">
        <v>624</v>
      </c>
      <c r="B12020" t="str">
        <f>"13977675880"</f>
        <v>13977675880</v>
      </c>
      <c r="C12020" t="str">
        <f>"452630198905120019"</f>
        <v>452630198905120019</v>
      </c>
      <c r="D12020" t="s">
        <v>12173</v>
      </c>
      <c r="E12020" t="s">
        <v>12174</v>
      </c>
      <c r="F12020" t="s">
        <v>0</v>
      </c>
      <c r="G12020" t="str">
        <f>"2018-10-13 17:48:55"</f>
        <v>2018-10-13 17:48:55</v>
      </c>
    </row>
    <row r="12021" spans="1:7" x14ac:dyDescent="0.2">
      <c r="A12021" t="s">
        <v>12175</v>
      </c>
      <c r="B12021" t="str">
        <f>"15639115457"</f>
        <v>15639115457</v>
      </c>
      <c r="C12021" t="str">
        <f>"410821199101280017"</f>
        <v>410821199101280017</v>
      </c>
      <c r="D12021" t="s">
        <v>1</v>
      </c>
      <c r="E12021" t="s">
        <v>1</v>
      </c>
      <c r="F12021" t="s">
        <v>0</v>
      </c>
      <c r="G12021" t="str">
        <f>"2018-10-30 00:43:16"</f>
        <v>2018-10-30 00:43:16</v>
      </c>
    </row>
    <row r="12022" spans="1:7" x14ac:dyDescent="0.2">
      <c r="A12022" t="s">
        <v>1</v>
      </c>
      <c r="B12022" t="str">
        <f>"13524735443"</f>
        <v>13524735443</v>
      </c>
      <c r="C12022" t="s">
        <v>1</v>
      </c>
      <c r="D12022" t="s">
        <v>1</v>
      </c>
      <c r="E12022" t="s">
        <v>1</v>
      </c>
      <c r="F12022" t="s">
        <v>0</v>
      </c>
      <c r="G12022" t="str">
        <f>"2018-10-13 17:43:08"</f>
        <v>2018-10-13 17:43:08</v>
      </c>
    </row>
    <row r="12023" spans="1:7" x14ac:dyDescent="0.2">
      <c r="A12023" t="s">
        <v>1087</v>
      </c>
      <c r="B12023" t="str">
        <f>"17505335271"</f>
        <v>17505335271</v>
      </c>
      <c r="C12023" t="str">
        <f>"420822197904036113"</f>
        <v>420822197904036113</v>
      </c>
      <c r="D12023" t="s">
        <v>1</v>
      </c>
      <c r="E12023" t="s">
        <v>1</v>
      </c>
      <c r="F12023" t="s">
        <v>0</v>
      </c>
      <c r="G12023" t="str">
        <f>"2018-10-13 17:45:00"</f>
        <v>2018-10-13 17:45:00</v>
      </c>
    </row>
    <row r="12024" spans="1:7" x14ac:dyDescent="0.2">
      <c r="A12024" t="s">
        <v>12176</v>
      </c>
      <c r="B12024" t="str">
        <f>"18849606294"</f>
        <v>18849606294</v>
      </c>
      <c r="C12024" t="str">
        <f>"532801199608260043"</f>
        <v>532801199608260043</v>
      </c>
      <c r="D12024" t="s">
        <v>1</v>
      </c>
      <c r="E12024" t="s">
        <v>1</v>
      </c>
      <c r="F12024" t="s">
        <v>0</v>
      </c>
      <c r="G12024" t="str">
        <f>"2018-10-13 17:43:56"</f>
        <v>2018-10-13 17:43:56</v>
      </c>
    </row>
    <row r="12025" spans="1:7" x14ac:dyDescent="0.2">
      <c r="A12025" t="s">
        <v>12177</v>
      </c>
      <c r="B12025" t="str">
        <f>"18789202114"</f>
        <v>18789202114</v>
      </c>
      <c r="C12025" t="str">
        <f>"460027199206254759"</f>
        <v>460027199206254759</v>
      </c>
      <c r="D12025" t="s">
        <v>1</v>
      </c>
      <c r="E12025" t="s">
        <v>1</v>
      </c>
      <c r="F12025" t="s">
        <v>0</v>
      </c>
      <c r="G12025" t="str">
        <f>"2018-10-13 17:45:07"</f>
        <v>2018-10-13 17:45:07</v>
      </c>
    </row>
    <row r="12026" spans="1:7" x14ac:dyDescent="0.2">
      <c r="A12026" t="s">
        <v>12178</v>
      </c>
      <c r="B12026" t="str">
        <f>"18177379007"</f>
        <v>18177379007</v>
      </c>
      <c r="C12026" t="str">
        <f>"450305199708182018"</f>
        <v>450305199708182018</v>
      </c>
      <c r="D12026" t="s">
        <v>1</v>
      </c>
      <c r="E12026" t="s">
        <v>1</v>
      </c>
      <c r="F12026" t="s">
        <v>0</v>
      </c>
      <c r="G12026" t="str">
        <f>"2018-10-14 01:26:47"</f>
        <v>2018-10-14 01:26:47</v>
      </c>
    </row>
    <row r="12027" spans="1:7" x14ac:dyDescent="0.2">
      <c r="A12027" t="s">
        <v>12179</v>
      </c>
      <c r="B12027" t="str">
        <f>"15776531110"</f>
        <v>15776531110</v>
      </c>
      <c r="C12027" t="str">
        <f>"232303198810206059"</f>
        <v>232303198810206059</v>
      </c>
      <c r="D12027" t="s">
        <v>1</v>
      </c>
      <c r="E12027" t="s">
        <v>1</v>
      </c>
      <c r="F12027" t="s">
        <v>0</v>
      </c>
      <c r="G12027" t="str">
        <f>"2018-10-13 17:44:19"</f>
        <v>2018-10-13 17:44:19</v>
      </c>
    </row>
    <row r="12028" spans="1:7" x14ac:dyDescent="0.2">
      <c r="A12028" t="s">
        <v>12180</v>
      </c>
      <c r="B12028" t="str">
        <f>"13826392580"</f>
        <v>13826392580</v>
      </c>
      <c r="C12028" t="str">
        <f>"440204198103313013"</f>
        <v>440204198103313013</v>
      </c>
      <c r="D12028" t="s">
        <v>1</v>
      </c>
      <c r="E12028" t="s">
        <v>1</v>
      </c>
      <c r="F12028" t="s">
        <v>0</v>
      </c>
      <c r="G12028" t="str">
        <f>"2018-10-13 18:04:11"</f>
        <v>2018-10-13 18:04:11</v>
      </c>
    </row>
    <row r="12029" spans="1:7" x14ac:dyDescent="0.2">
      <c r="A12029" t="s">
        <v>12181</v>
      </c>
      <c r="B12029" t="str">
        <f>"15081135929"</f>
        <v>15081135929</v>
      </c>
      <c r="C12029" t="str">
        <f>"130131199610290026"</f>
        <v>130131199610290026</v>
      </c>
      <c r="D12029" t="s">
        <v>1</v>
      </c>
      <c r="E12029" t="s">
        <v>1</v>
      </c>
      <c r="F12029" t="s">
        <v>0</v>
      </c>
      <c r="G12029" t="str">
        <f>"2018-10-13 17:42:58"</f>
        <v>2018-10-13 17:42:58</v>
      </c>
    </row>
    <row r="12030" spans="1:7" x14ac:dyDescent="0.2">
      <c r="A12030" t="s">
        <v>1</v>
      </c>
      <c r="B12030" t="str">
        <f>"18370879325"</f>
        <v>18370879325</v>
      </c>
      <c r="C12030" t="s">
        <v>1</v>
      </c>
      <c r="D12030" t="s">
        <v>1</v>
      </c>
      <c r="E12030" t="s">
        <v>1</v>
      </c>
      <c r="F12030" t="s">
        <v>0</v>
      </c>
      <c r="G12030" t="str">
        <f>"2018-10-13 17:43:25"</f>
        <v>2018-10-13 17:43:25</v>
      </c>
    </row>
    <row r="12031" spans="1:7" x14ac:dyDescent="0.2">
      <c r="A12031" t="s">
        <v>12182</v>
      </c>
      <c r="B12031" t="str">
        <f>"18176773919"</f>
        <v>18176773919</v>
      </c>
      <c r="C12031" t="str">
        <f>"452402198912224231"</f>
        <v>452402198912224231</v>
      </c>
      <c r="D12031" t="s">
        <v>1</v>
      </c>
      <c r="E12031" t="s">
        <v>1</v>
      </c>
      <c r="F12031" t="s">
        <v>0</v>
      </c>
      <c r="G12031" t="str">
        <f>"2018-10-13 17:44:02"</f>
        <v>2018-10-13 17:44:02</v>
      </c>
    </row>
    <row r="12032" spans="1:7" x14ac:dyDescent="0.2">
      <c r="A12032" t="s">
        <v>12183</v>
      </c>
      <c r="B12032" t="str">
        <f>"18338158937"</f>
        <v>18338158937</v>
      </c>
      <c r="C12032" t="str">
        <f>"411323198604183413"</f>
        <v>411323198604183413</v>
      </c>
      <c r="D12032" t="s">
        <v>1</v>
      </c>
      <c r="E12032" t="s">
        <v>1</v>
      </c>
      <c r="F12032" t="s">
        <v>0</v>
      </c>
      <c r="G12032" t="str">
        <f>"2018-10-13 17:57:47"</f>
        <v>2018-10-13 17:57:47</v>
      </c>
    </row>
    <row r="12033" spans="1:7" x14ac:dyDescent="0.2">
      <c r="A12033" t="s">
        <v>1</v>
      </c>
      <c r="B12033" t="str">
        <f>"15750769296"</f>
        <v>15750769296</v>
      </c>
      <c r="C12033" t="s">
        <v>1</v>
      </c>
      <c r="D12033" t="s">
        <v>1</v>
      </c>
      <c r="E12033" t="s">
        <v>1</v>
      </c>
      <c r="F12033" t="s">
        <v>0</v>
      </c>
      <c r="G12033" t="str">
        <f>"2018-10-13 17:39:58"</f>
        <v>2018-10-13 17:39:58</v>
      </c>
    </row>
    <row r="12034" spans="1:7" x14ac:dyDescent="0.2">
      <c r="A12034" t="s">
        <v>3839</v>
      </c>
      <c r="B12034" t="str">
        <f>"17776558082"</f>
        <v>17776558082</v>
      </c>
      <c r="C12034" t="str">
        <f>"452133199509120945"</f>
        <v>452133199509120945</v>
      </c>
      <c r="D12034" t="s">
        <v>1</v>
      </c>
      <c r="E12034" t="s">
        <v>1</v>
      </c>
      <c r="F12034" t="s">
        <v>0</v>
      </c>
      <c r="G12034" t="str">
        <f>"2018-10-13 17:41:33"</f>
        <v>2018-10-13 17:41:33</v>
      </c>
    </row>
    <row r="12035" spans="1:7" x14ac:dyDescent="0.2">
      <c r="A12035" t="s">
        <v>1647</v>
      </c>
      <c r="B12035" t="str">
        <f>"13252536560"</f>
        <v>13252536560</v>
      </c>
      <c r="C12035" t="str">
        <f>"220282198208034713"</f>
        <v>220282198208034713</v>
      </c>
      <c r="D12035" t="s">
        <v>1</v>
      </c>
      <c r="E12035" t="s">
        <v>1</v>
      </c>
      <c r="F12035" t="s">
        <v>0</v>
      </c>
      <c r="G12035" t="str">
        <f>"2018-10-13 17:45:53"</f>
        <v>2018-10-13 17:45:53</v>
      </c>
    </row>
    <row r="12036" spans="1:7" x14ac:dyDescent="0.2">
      <c r="A12036" t="s">
        <v>12184</v>
      </c>
      <c r="B12036" t="str">
        <f>"18509340309"</f>
        <v>18509340309</v>
      </c>
      <c r="C12036" t="str">
        <f>"62100219930309122X"</f>
        <v>62100219930309122X</v>
      </c>
      <c r="D12036" t="s">
        <v>1</v>
      </c>
      <c r="E12036" t="s">
        <v>1</v>
      </c>
      <c r="F12036" t="s">
        <v>0</v>
      </c>
      <c r="G12036" t="str">
        <f>"2018-10-13 17:40:32"</f>
        <v>2018-10-13 17:40:32</v>
      </c>
    </row>
    <row r="12037" spans="1:7" x14ac:dyDescent="0.2">
      <c r="A12037" t="s">
        <v>12185</v>
      </c>
      <c r="B12037" t="str">
        <f>"13333036538"</f>
        <v>13333036538</v>
      </c>
      <c r="C12037" t="str">
        <f>"130721199212300575"</f>
        <v>130721199212300575</v>
      </c>
      <c r="D12037" t="s">
        <v>1</v>
      </c>
      <c r="E12037" t="s">
        <v>1</v>
      </c>
      <c r="F12037" t="s">
        <v>0</v>
      </c>
      <c r="G12037" t="str">
        <f>"2018-10-13 17:39:27"</f>
        <v>2018-10-13 17:39:27</v>
      </c>
    </row>
    <row r="12038" spans="1:7" x14ac:dyDescent="0.2">
      <c r="A12038" t="s">
        <v>1</v>
      </c>
      <c r="B12038" t="str">
        <f>"15929113047"</f>
        <v>15929113047</v>
      </c>
      <c r="C12038" t="s">
        <v>1</v>
      </c>
      <c r="D12038" t="s">
        <v>1</v>
      </c>
      <c r="E12038" t="s">
        <v>1</v>
      </c>
      <c r="F12038" t="s">
        <v>0</v>
      </c>
      <c r="G12038" t="str">
        <f>"2018-10-13 17:38:20"</f>
        <v>2018-10-13 17:38:20</v>
      </c>
    </row>
    <row r="12039" spans="1:7" x14ac:dyDescent="0.2">
      <c r="A12039" t="s">
        <v>1768</v>
      </c>
      <c r="B12039" t="str">
        <f>"13791405513"</f>
        <v>13791405513</v>
      </c>
      <c r="C12039" t="str">
        <f>"370403198907132716"</f>
        <v>370403198907132716</v>
      </c>
      <c r="D12039" t="s">
        <v>1</v>
      </c>
      <c r="E12039" t="s">
        <v>1</v>
      </c>
      <c r="F12039" t="s">
        <v>0</v>
      </c>
      <c r="G12039" t="str">
        <f>"2018-10-13 17:39:48"</f>
        <v>2018-10-13 17:39:48</v>
      </c>
    </row>
    <row r="12040" spans="1:7" x14ac:dyDescent="0.2">
      <c r="A12040" t="s">
        <v>12186</v>
      </c>
      <c r="B12040" t="str">
        <f>"13681674235"</f>
        <v>13681674235</v>
      </c>
      <c r="C12040" t="str">
        <f>"310107197402030849"</f>
        <v>310107197402030849</v>
      </c>
      <c r="D12040" t="s">
        <v>1</v>
      </c>
      <c r="E12040" t="s">
        <v>1</v>
      </c>
      <c r="F12040" t="s">
        <v>0</v>
      </c>
      <c r="G12040" t="str">
        <f>"2018-10-13 17:39:22"</f>
        <v>2018-10-13 17:39:22</v>
      </c>
    </row>
    <row r="12041" spans="1:7" x14ac:dyDescent="0.2">
      <c r="A12041" t="s">
        <v>12187</v>
      </c>
      <c r="B12041" t="str">
        <f>"18083827612"</f>
        <v>18083827612</v>
      </c>
      <c r="C12041" t="str">
        <f>"530381199112141131"</f>
        <v>530381199112141131</v>
      </c>
      <c r="D12041" t="s">
        <v>1</v>
      </c>
      <c r="E12041" t="s">
        <v>1</v>
      </c>
      <c r="F12041" t="s">
        <v>0</v>
      </c>
      <c r="G12041" t="str">
        <f>"2018-10-13 17:38:22"</f>
        <v>2018-10-13 17:38:22</v>
      </c>
    </row>
    <row r="12042" spans="1:7" x14ac:dyDescent="0.2">
      <c r="A12042" t="s">
        <v>1</v>
      </c>
      <c r="B12042" t="str">
        <f>"13033017861"</f>
        <v>13033017861</v>
      </c>
      <c r="C12042" t="s">
        <v>1</v>
      </c>
      <c r="D12042" t="s">
        <v>1</v>
      </c>
      <c r="E12042" t="s">
        <v>1</v>
      </c>
      <c r="F12042" t="s">
        <v>0</v>
      </c>
      <c r="G12042" t="str">
        <f>"2018-10-13 17:36:42"</f>
        <v>2018-10-13 17:36:42</v>
      </c>
    </row>
    <row r="12043" spans="1:7" x14ac:dyDescent="0.2">
      <c r="A12043" t="s">
        <v>1</v>
      </c>
      <c r="B12043" t="str">
        <f>"13522131733"</f>
        <v>13522131733</v>
      </c>
      <c r="C12043" t="s">
        <v>1</v>
      </c>
      <c r="D12043" t="s">
        <v>1</v>
      </c>
      <c r="E12043" t="s">
        <v>1</v>
      </c>
      <c r="F12043" t="s">
        <v>0</v>
      </c>
      <c r="G12043" t="str">
        <f>"2018-10-13 17:36:36"</f>
        <v>2018-10-13 17:36:36</v>
      </c>
    </row>
    <row r="12044" spans="1:7" x14ac:dyDescent="0.2">
      <c r="A12044" t="s">
        <v>12188</v>
      </c>
      <c r="B12044" t="str">
        <f>"18531733888"</f>
        <v>18531733888</v>
      </c>
      <c r="C12044" t="str">
        <f>"130221197704236817"</f>
        <v>130221197704236817</v>
      </c>
      <c r="D12044" t="s">
        <v>12189</v>
      </c>
      <c r="E12044" t="s">
        <v>12190</v>
      </c>
      <c r="F12044" t="s">
        <v>0</v>
      </c>
      <c r="G12044" t="str">
        <f>"2018-10-13 17:36:22"</f>
        <v>2018-10-13 17:36:22</v>
      </c>
    </row>
    <row r="12045" spans="1:7" x14ac:dyDescent="0.2">
      <c r="A12045" t="s">
        <v>12191</v>
      </c>
      <c r="B12045" t="str">
        <f>"15879037903"</f>
        <v>15879037903</v>
      </c>
      <c r="C12045" t="str">
        <f>"360121199509080550"</f>
        <v>360121199509080550</v>
      </c>
      <c r="D12045" t="s">
        <v>1</v>
      </c>
      <c r="E12045" t="s">
        <v>1</v>
      </c>
      <c r="F12045" t="s">
        <v>0</v>
      </c>
      <c r="G12045" t="str">
        <f>"2018-10-27 07:08:55"</f>
        <v>2018-10-27 07:08:55</v>
      </c>
    </row>
    <row r="12046" spans="1:7" x14ac:dyDescent="0.2">
      <c r="A12046" t="s">
        <v>1</v>
      </c>
      <c r="B12046" t="str">
        <f>"18205877538"</f>
        <v>18205877538</v>
      </c>
      <c r="C12046" t="s">
        <v>1</v>
      </c>
      <c r="D12046" t="s">
        <v>1</v>
      </c>
      <c r="E12046" t="s">
        <v>1</v>
      </c>
      <c r="F12046" t="s">
        <v>0</v>
      </c>
      <c r="G12046" t="str">
        <f>"2018-10-13 18:10:30"</f>
        <v>2018-10-13 18:10:30</v>
      </c>
    </row>
    <row r="12047" spans="1:7" x14ac:dyDescent="0.2">
      <c r="A12047" t="s">
        <v>12192</v>
      </c>
      <c r="B12047" t="str">
        <f>"18652893113"</f>
        <v>18652893113</v>
      </c>
      <c r="C12047" t="str">
        <f>"321121199203205529"</f>
        <v>321121199203205529</v>
      </c>
      <c r="D12047" t="s">
        <v>1</v>
      </c>
      <c r="E12047" t="s">
        <v>1</v>
      </c>
      <c r="F12047" t="s">
        <v>0</v>
      </c>
      <c r="G12047" t="str">
        <f>"2018-10-13 17:34:18"</f>
        <v>2018-10-13 17:34:18</v>
      </c>
    </row>
    <row r="12048" spans="1:7" x14ac:dyDescent="0.2">
      <c r="A12048" t="s">
        <v>1</v>
      </c>
      <c r="B12048" t="str">
        <f>"15094978378"</f>
        <v>15094978378</v>
      </c>
      <c r="C12048" t="s">
        <v>1</v>
      </c>
      <c r="D12048" t="s">
        <v>1</v>
      </c>
      <c r="E12048" t="s">
        <v>1</v>
      </c>
      <c r="F12048" t="s">
        <v>0</v>
      </c>
      <c r="G12048" t="str">
        <f>"2018-10-13 17:33:57"</f>
        <v>2018-10-13 17:33:57</v>
      </c>
    </row>
    <row r="12049" spans="1:7" x14ac:dyDescent="0.2">
      <c r="A12049" t="s">
        <v>12193</v>
      </c>
      <c r="B12049" t="str">
        <f>"13428933664"</f>
        <v>13428933664</v>
      </c>
      <c r="C12049" t="str">
        <f>"440582199508151518"</f>
        <v>440582199508151518</v>
      </c>
      <c r="D12049" t="s">
        <v>1</v>
      </c>
      <c r="E12049" t="s">
        <v>1</v>
      </c>
      <c r="F12049" t="s">
        <v>0</v>
      </c>
      <c r="G12049" t="str">
        <f>"2018-10-13 17:34:53"</f>
        <v>2018-10-13 17:34:53</v>
      </c>
    </row>
    <row r="12050" spans="1:7" x14ac:dyDescent="0.2">
      <c r="A12050" t="s">
        <v>1</v>
      </c>
      <c r="B12050" t="str">
        <f>"13829343237"</f>
        <v>13829343237</v>
      </c>
      <c r="C12050" t="s">
        <v>1</v>
      </c>
      <c r="D12050" t="s">
        <v>1</v>
      </c>
      <c r="E12050" t="s">
        <v>1</v>
      </c>
      <c r="F12050" t="s">
        <v>0</v>
      </c>
      <c r="G12050" t="str">
        <f>"2018-10-13 17:32:46"</f>
        <v>2018-10-13 17:32:46</v>
      </c>
    </row>
    <row r="12051" spans="1:7" x14ac:dyDescent="0.2">
      <c r="A12051" t="s">
        <v>1516</v>
      </c>
      <c r="B12051" t="str">
        <f>"13323514440"</f>
        <v>13323514440</v>
      </c>
      <c r="C12051" t="str">
        <f>"640122198510181518"</f>
        <v>640122198510181518</v>
      </c>
      <c r="D12051" t="s">
        <v>12194</v>
      </c>
      <c r="E12051" t="s">
        <v>12195</v>
      </c>
      <c r="F12051" t="s">
        <v>0</v>
      </c>
      <c r="G12051" t="str">
        <f>"2018-10-13 17:34:29"</f>
        <v>2018-10-13 17:34:29</v>
      </c>
    </row>
    <row r="12052" spans="1:7" x14ac:dyDescent="0.2">
      <c r="A12052" t="s">
        <v>12196</v>
      </c>
      <c r="B12052" t="str">
        <f>"18690826445"</f>
        <v>18690826445</v>
      </c>
      <c r="C12052" t="str">
        <f>"513922200111281236"</f>
        <v>513922200111281236</v>
      </c>
      <c r="D12052" t="s">
        <v>1</v>
      </c>
      <c r="E12052" t="s">
        <v>1</v>
      </c>
      <c r="F12052" t="s">
        <v>0</v>
      </c>
      <c r="G12052" t="str">
        <f>"2018-10-13 17:36:21"</f>
        <v>2018-10-13 17:36:21</v>
      </c>
    </row>
    <row r="12053" spans="1:7" x14ac:dyDescent="0.2">
      <c r="A12053" t="s">
        <v>1</v>
      </c>
      <c r="B12053" t="str">
        <f>"15153824569"</f>
        <v>15153824569</v>
      </c>
      <c r="C12053" t="s">
        <v>1</v>
      </c>
      <c r="D12053" t="s">
        <v>1</v>
      </c>
      <c r="E12053" t="s">
        <v>1</v>
      </c>
      <c r="F12053" t="s">
        <v>0</v>
      </c>
      <c r="G12053" t="str">
        <f>"2018-10-13 17:32:06"</f>
        <v>2018-10-13 17:32:06</v>
      </c>
    </row>
    <row r="12054" spans="1:7" x14ac:dyDescent="0.2">
      <c r="A12054" t="s">
        <v>1</v>
      </c>
      <c r="B12054" t="str">
        <f>"13237813249"</f>
        <v>13237813249</v>
      </c>
      <c r="C12054" t="s">
        <v>1</v>
      </c>
      <c r="D12054" t="s">
        <v>1</v>
      </c>
      <c r="E12054" t="s">
        <v>1</v>
      </c>
      <c r="F12054" t="s">
        <v>0</v>
      </c>
      <c r="G12054" t="str">
        <f>"2018-10-13 17:33:45"</f>
        <v>2018-10-13 17:33:45</v>
      </c>
    </row>
    <row r="12055" spans="1:7" x14ac:dyDescent="0.2">
      <c r="A12055" t="s">
        <v>12197</v>
      </c>
      <c r="B12055" t="str">
        <f>"15008731088"</f>
        <v>15008731088</v>
      </c>
      <c r="C12055" t="str">
        <f>"510521198209077574"</f>
        <v>510521198209077574</v>
      </c>
      <c r="D12055" t="s">
        <v>1</v>
      </c>
      <c r="E12055" t="s">
        <v>1</v>
      </c>
      <c r="F12055" t="s">
        <v>0</v>
      </c>
      <c r="G12055" t="str">
        <f>"2018-10-13 17:32:59"</f>
        <v>2018-10-13 17:32:59</v>
      </c>
    </row>
    <row r="12056" spans="1:7" x14ac:dyDescent="0.2">
      <c r="A12056" t="s">
        <v>1</v>
      </c>
      <c r="B12056" t="str">
        <f>"13216605617"</f>
        <v>13216605617</v>
      </c>
      <c r="C12056" t="s">
        <v>1</v>
      </c>
      <c r="D12056" t="s">
        <v>1</v>
      </c>
      <c r="E12056" t="s">
        <v>1</v>
      </c>
      <c r="F12056" t="s">
        <v>0</v>
      </c>
      <c r="G12056" t="str">
        <f>"2018-10-13 17:35:34"</f>
        <v>2018-10-13 17:35:34</v>
      </c>
    </row>
    <row r="12057" spans="1:7" x14ac:dyDescent="0.2">
      <c r="A12057" t="s">
        <v>12198</v>
      </c>
      <c r="B12057" t="str">
        <f>"13539498500"</f>
        <v>13539498500</v>
      </c>
      <c r="C12057" t="str">
        <f>"441203198802220216"</f>
        <v>441203198802220216</v>
      </c>
      <c r="D12057" t="s">
        <v>1</v>
      </c>
      <c r="E12057" t="s">
        <v>1</v>
      </c>
      <c r="F12057" t="s">
        <v>0</v>
      </c>
      <c r="G12057" t="str">
        <f>"2018-10-13 17:50:50"</f>
        <v>2018-10-13 17:50:50</v>
      </c>
    </row>
    <row r="12058" spans="1:7" x14ac:dyDescent="0.2">
      <c r="A12058" t="s">
        <v>12199</v>
      </c>
      <c r="B12058" t="str">
        <f>"17602074085"</f>
        <v>17602074085</v>
      </c>
      <c r="C12058" t="str">
        <f>"512021199012190783"</f>
        <v>512021199012190783</v>
      </c>
      <c r="D12058" t="s">
        <v>1</v>
      </c>
      <c r="E12058" t="s">
        <v>1</v>
      </c>
      <c r="F12058" t="s">
        <v>0</v>
      </c>
      <c r="G12058" t="str">
        <f>"2018-10-13 17:32:00"</f>
        <v>2018-10-13 17:32:00</v>
      </c>
    </row>
    <row r="12059" spans="1:7" x14ac:dyDescent="0.2">
      <c r="A12059" t="s">
        <v>12200</v>
      </c>
      <c r="B12059" t="str">
        <f>"17862717333"</f>
        <v>17862717333</v>
      </c>
      <c r="C12059" t="str">
        <f>"142327199306155612"</f>
        <v>142327199306155612</v>
      </c>
      <c r="D12059" t="s">
        <v>1</v>
      </c>
      <c r="E12059" t="s">
        <v>1</v>
      </c>
      <c r="F12059" t="s">
        <v>0</v>
      </c>
      <c r="G12059" t="str">
        <f>"2018-10-13 17:38:50"</f>
        <v>2018-10-13 17:38:50</v>
      </c>
    </row>
    <row r="12060" spans="1:7" x14ac:dyDescent="0.2">
      <c r="A12060" t="s">
        <v>12201</v>
      </c>
      <c r="B12060" t="str">
        <f>"15228790014"</f>
        <v>15228790014</v>
      </c>
      <c r="C12060" t="str">
        <f>"510724199301295210"</f>
        <v>510724199301295210</v>
      </c>
      <c r="D12060" t="s">
        <v>12202</v>
      </c>
      <c r="E12060" t="s">
        <v>12203</v>
      </c>
      <c r="F12060" t="s">
        <v>0</v>
      </c>
      <c r="G12060" t="str">
        <f>"2018-10-13 17:29:05"</f>
        <v>2018-10-13 17:29:05</v>
      </c>
    </row>
    <row r="12061" spans="1:7" x14ac:dyDescent="0.2">
      <c r="A12061" t="s">
        <v>1</v>
      </c>
      <c r="B12061" t="str">
        <f>"15507818246"</f>
        <v>15507818246</v>
      </c>
      <c r="C12061" t="s">
        <v>1</v>
      </c>
      <c r="D12061" t="s">
        <v>1</v>
      </c>
      <c r="E12061" t="s">
        <v>1</v>
      </c>
      <c r="F12061" t="s">
        <v>0</v>
      </c>
      <c r="G12061" t="str">
        <f>"2018-10-13 17:28:52"</f>
        <v>2018-10-13 17:28:52</v>
      </c>
    </row>
    <row r="12062" spans="1:7" x14ac:dyDescent="0.2">
      <c r="A12062" t="s">
        <v>12204</v>
      </c>
      <c r="B12062" t="str">
        <f>"18028973566"</f>
        <v>18028973566</v>
      </c>
      <c r="C12062" t="str">
        <f>"441900197312215654"</f>
        <v>441900197312215654</v>
      </c>
      <c r="D12062" t="s">
        <v>1</v>
      </c>
      <c r="E12062" t="s">
        <v>1</v>
      </c>
      <c r="F12062" t="s">
        <v>0</v>
      </c>
      <c r="G12062" t="str">
        <f>"2018-10-13 17:32:14"</f>
        <v>2018-10-13 17:32:14</v>
      </c>
    </row>
    <row r="12063" spans="1:7" x14ac:dyDescent="0.2">
      <c r="A12063" t="s">
        <v>12205</v>
      </c>
      <c r="B12063" t="str">
        <f>"18533097681"</f>
        <v>18533097681</v>
      </c>
      <c r="C12063" t="str">
        <f>"130126200007260310"</f>
        <v>130126200007260310</v>
      </c>
      <c r="D12063" t="s">
        <v>12206</v>
      </c>
      <c r="E12063" t="s">
        <v>12207</v>
      </c>
      <c r="F12063" t="s">
        <v>0</v>
      </c>
      <c r="G12063" t="str">
        <f>"2018-10-13 17:38:05"</f>
        <v>2018-10-13 17:38:05</v>
      </c>
    </row>
    <row r="12064" spans="1:7" x14ac:dyDescent="0.2">
      <c r="A12064" t="s">
        <v>12208</v>
      </c>
      <c r="B12064" t="str">
        <f>"15252430973"</f>
        <v>15252430973</v>
      </c>
      <c r="C12064" t="str">
        <f>"321324199102285216"</f>
        <v>321324199102285216</v>
      </c>
      <c r="D12064" t="s">
        <v>1</v>
      </c>
      <c r="E12064" t="s">
        <v>1</v>
      </c>
      <c r="F12064" t="s">
        <v>0</v>
      </c>
      <c r="G12064" t="str">
        <f>"2018-10-13 17:28:56"</f>
        <v>2018-10-13 17:28:56</v>
      </c>
    </row>
    <row r="12065" spans="1:7" x14ac:dyDescent="0.2">
      <c r="A12065" t="s">
        <v>10312</v>
      </c>
      <c r="B12065" t="str">
        <f>"15908637544"</f>
        <v>15908637544</v>
      </c>
      <c r="C12065" t="str">
        <f>"420821198611180013"</f>
        <v>420821198611180013</v>
      </c>
      <c r="D12065" t="s">
        <v>1</v>
      </c>
      <c r="E12065" t="s">
        <v>1</v>
      </c>
      <c r="F12065" t="s">
        <v>0</v>
      </c>
      <c r="G12065" t="str">
        <f>"2018-10-13 17:28:52"</f>
        <v>2018-10-13 17:28:52</v>
      </c>
    </row>
    <row r="12066" spans="1:7" x14ac:dyDescent="0.2">
      <c r="A12066" t="s">
        <v>12209</v>
      </c>
      <c r="B12066" t="str">
        <f>"15266177017"</f>
        <v>15266177017</v>
      </c>
      <c r="C12066" t="str">
        <f>"370403199901286129"</f>
        <v>370403199901286129</v>
      </c>
      <c r="D12066" t="s">
        <v>1</v>
      </c>
      <c r="E12066" t="s">
        <v>1</v>
      </c>
      <c r="F12066" t="s">
        <v>0</v>
      </c>
      <c r="G12066" t="str">
        <f>"2018-10-13 17:27:39"</f>
        <v>2018-10-13 17:27:39</v>
      </c>
    </row>
    <row r="12067" spans="1:7" x14ac:dyDescent="0.2">
      <c r="A12067" t="s">
        <v>12210</v>
      </c>
      <c r="B12067" t="str">
        <f>"15769415126"</f>
        <v>15769415126</v>
      </c>
      <c r="C12067" t="str">
        <f>"620422199402137461"</f>
        <v>620422199402137461</v>
      </c>
      <c r="D12067" t="s">
        <v>1</v>
      </c>
      <c r="E12067" t="s">
        <v>1</v>
      </c>
      <c r="F12067" t="s">
        <v>0</v>
      </c>
      <c r="G12067" t="str">
        <f>"2018-10-13 17:28:38"</f>
        <v>2018-10-13 17:28:38</v>
      </c>
    </row>
    <row r="12068" spans="1:7" x14ac:dyDescent="0.2">
      <c r="A12068" t="s">
        <v>12211</v>
      </c>
      <c r="B12068" t="str">
        <f>"18238955974"</f>
        <v>18238955974</v>
      </c>
      <c r="C12068" t="str">
        <f>"412724199003140315"</f>
        <v>412724199003140315</v>
      </c>
      <c r="D12068" t="s">
        <v>1</v>
      </c>
      <c r="E12068" t="s">
        <v>1</v>
      </c>
      <c r="F12068" t="s">
        <v>0</v>
      </c>
      <c r="G12068" t="str">
        <f>"2018-10-13 17:26:31"</f>
        <v>2018-10-13 17:26:31</v>
      </c>
    </row>
    <row r="12069" spans="1:7" x14ac:dyDescent="0.2">
      <c r="A12069" t="s">
        <v>1846</v>
      </c>
      <c r="B12069" t="str">
        <f>"13592432285"</f>
        <v>13592432285</v>
      </c>
      <c r="C12069" t="str">
        <f>"410882198509166072"</f>
        <v>410882198509166072</v>
      </c>
      <c r="D12069" t="s">
        <v>1</v>
      </c>
      <c r="E12069" t="s">
        <v>1</v>
      </c>
      <c r="F12069" t="s">
        <v>0</v>
      </c>
      <c r="G12069" t="str">
        <f>"2018-10-13 17:32:57"</f>
        <v>2018-10-13 17:32:57</v>
      </c>
    </row>
    <row r="12070" spans="1:7" x14ac:dyDescent="0.2">
      <c r="A12070" t="s">
        <v>1</v>
      </c>
      <c r="B12070" t="str">
        <f>"13157901144"</f>
        <v>13157901144</v>
      </c>
      <c r="C12070" t="s">
        <v>1</v>
      </c>
      <c r="D12070" t="s">
        <v>1</v>
      </c>
      <c r="E12070" t="s">
        <v>1</v>
      </c>
      <c r="F12070" t="s">
        <v>0</v>
      </c>
      <c r="G12070" t="str">
        <f>"2018-10-13 17:26:18"</f>
        <v>2018-10-13 17:26:18</v>
      </c>
    </row>
    <row r="12071" spans="1:7" x14ac:dyDescent="0.2">
      <c r="A12071" t="s">
        <v>1</v>
      </c>
      <c r="B12071" t="str">
        <f>"15720026266"</f>
        <v>15720026266</v>
      </c>
      <c r="C12071" t="s">
        <v>1</v>
      </c>
      <c r="D12071" t="s">
        <v>1</v>
      </c>
      <c r="E12071" t="s">
        <v>1</v>
      </c>
      <c r="F12071" t="s">
        <v>0</v>
      </c>
      <c r="G12071" t="str">
        <f>"2018-10-13 17:25:09"</f>
        <v>2018-10-13 17:25:09</v>
      </c>
    </row>
    <row r="12072" spans="1:7" x14ac:dyDescent="0.2">
      <c r="A12072" t="s">
        <v>12212</v>
      </c>
      <c r="B12072" t="str">
        <f>"15026577128"</f>
        <v>15026577128</v>
      </c>
      <c r="C12072" t="str">
        <f>"140428199203139257"</f>
        <v>140428199203139257</v>
      </c>
      <c r="D12072" t="s">
        <v>1</v>
      </c>
      <c r="E12072" t="s">
        <v>1</v>
      </c>
      <c r="F12072" t="s">
        <v>0</v>
      </c>
      <c r="G12072" t="str">
        <f>"2018-10-13 17:27:07"</f>
        <v>2018-10-13 17:27:07</v>
      </c>
    </row>
    <row r="12073" spans="1:7" x14ac:dyDescent="0.2">
      <c r="A12073" t="s">
        <v>12213</v>
      </c>
      <c r="B12073" t="str">
        <f>"13394348497"</f>
        <v>13394348497</v>
      </c>
      <c r="C12073" t="str">
        <f>"220303199603183414"</f>
        <v>220303199603183414</v>
      </c>
      <c r="D12073" t="s">
        <v>1</v>
      </c>
      <c r="E12073" t="s">
        <v>1</v>
      </c>
      <c r="F12073" t="s">
        <v>0</v>
      </c>
      <c r="G12073" t="str">
        <f>"2018-10-13 17:35:10"</f>
        <v>2018-10-13 17:35:10</v>
      </c>
    </row>
    <row r="12074" spans="1:7" x14ac:dyDescent="0.2">
      <c r="A12074" t="s">
        <v>12214</v>
      </c>
      <c r="B12074" t="str">
        <f>"15229717587"</f>
        <v>15229717587</v>
      </c>
      <c r="C12074" t="str">
        <f>"610402199506130312"</f>
        <v>610402199506130312</v>
      </c>
      <c r="D12074" t="s">
        <v>1</v>
      </c>
      <c r="E12074" t="s">
        <v>1</v>
      </c>
      <c r="F12074" t="s">
        <v>0</v>
      </c>
      <c r="G12074" t="str">
        <f>"2018-10-13 18:18:44"</f>
        <v>2018-10-13 18:18:44</v>
      </c>
    </row>
    <row r="12075" spans="1:7" x14ac:dyDescent="0.2">
      <c r="A12075" t="s">
        <v>1780</v>
      </c>
      <c r="B12075" t="str">
        <f>"18750696717"</f>
        <v>18750696717</v>
      </c>
      <c r="C12075" t="str">
        <f>"51302119850611391X"</f>
        <v>51302119850611391X</v>
      </c>
      <c r="D12075" t="s">
        <v>1</v>
      </c>
      <c r="E12075" t="s">
        <v>1</v>
      </c>
      <c r="F12075" t="s">
        <v>0</v>
      </c>
      <c r="G12075" t="str">
        <f>"2018-10-13 17:25:39"</f>
        <v>2018-10-13 17:25:39</v>
      </c>
    </row>
    <row r="12076" spans="1:7" x14ac:dyDescent="0.2">
      <c r="A12076" t="s">
        <v>12215</v>
      </c>
      <c r="B12076" t="str">
        <f>"13614420825"</f>
        <v>13614420825</v>
      </c>
      <c r="C12076" t="str">
        <f>"220202198905102716"</f>
        <v>220202198905102716</v>
      </c>
      <c r="D12076" t="s">
        <v>1</v>
      </c>
      <c r="E12076" t="s">
        <v>1</v>
      </c>
      <c r="F12076" t="s">
        <v>0</v>
      </c>
      <c r="G12076" t="str">
        <f>"2018-10-14 16:38:03"</f>
        <v>2018-10-14 16:38:03</v>
      </c>
    </row>
    <row r="12077" spans="1:7" x14ac:dyDescent="0.2">
      <c r="A12077" t="s">
        <v>1</v>
      </c>
      <c r="B12077" t="str">
        <f>"15251942758"</f>
        <v>15251942758</v>
      </c>
      <c r="C12077" t="s">
        <v>1</v>
      </c>
      <c r="D12077" t="s">
        <v>1</v>
      </c>
      <c r="E12077" t="s">
        <v>1</v>
      </c>
      <c r="F12077" t="s">
        <v>0</v>
      </c>
      <c r="G12077" t="str">
        <f>"2018-10-13 17:24:22"</f>
        <v>2018-10-13 17:24:22</v>
      </c>
    </row>
    <row r="12078" spans="1:7" x14ac:dyDescent="0.2">
      <c r="A12078" t="s">
        <v>12216</v>
      </c>
      <c r="B12078" t="str">
        <f>"13961041811"</f>
        <v>13961041811</v>
      </c>
      <c r="C12078" t="str">
        <f>"321020197006030917"</f>
        <v>321020197006030917</v>
      </c>
      <c r="D12078" t="s">
        <v>12217</v>
      </c>
      <c r="E12078" t="s">
        <v>12218</v>
      </c>
      <c r="F12078" t="s">
        <v>0</v>
      </c>
      <c r="G12078" t="str">
        <f>"2018-10-30 12:43:00"</f>
        <v>2018-10-30 12:43:00</v>
      </c>
    </row>
    <row r="12079" spans="1:7" x14ac:dyDescent="0.2">
      <c r="A12079" t="s">
        <v>303</v>
      </c>
      <c r="B12079" t="str">
        <f>"15165288660"</f>
        <v>15165288660</v>
      </c>
      <c r="C12079" t="str">
        <f>"370284198202193911"</f>
        <v>370284198202193911</v>
      </c>
      <c r="D12079" t="s">
        <v>1</v>
      </c>
      <c r="E12079" t="s">
        <v>1</v>
      </c>
      <c r="F12079" t="s">
        <v>0</v>
      </c>
      <c r="G12079" t="str">
        <f>"2018-10-13 17:23:55"</f>
        <v>2018-10-13 17:23:55</v>
      </c>
    </row>
    <row r="12080" spans="1:7" x14ac:dyDescent="0.2">
      <c r="A12080" t="s">
        <v>1</v>
      </c>
      <c r="B12080" t="str">
        <f>"13129992250"</f>
        <v>13129992250</v>
      </c>
      <c r="C12080" t="s">
        <v>1</v>
      </c>
      <c r="D12080" t="s">
        <v>1</v>
      </c>
      <c r="E12080" t="s">
        <v>1</v>
      </c>
      <c r="F12080" t="s">
        <v>0</v>
      </c>
      <c r="G12080" t="str">
        <f>"2018-10-29 12:57:58"</f>
        <v>2018-10-29 12:57:58</v>
      </c>
    </row>
    <row r="12081" spans="1:7" x14ac:dyDescent="0.2">
      <c r="A12081" t="s">
        <v>1</v>
      </c>
      <c r="B12081" t="str">
        <f>"17337508168"</f>
        <v>17337508168</v>
      </c>
      <c r="C12081" t="s">
        <v>1</v>
      </c>
      <c r="D12081" t="s">
        <v>1</v>
      </c>
      <c r="E12081" t="s">
        <v>1</v>
      </c>
      <c r="F12081" t="s">
        <v>0</v>
      </c>
      <c r="G12081" t="str">
        <f>"2018-10-13 17:23:09"</f>
        <v>2018-10-13 17:23:09</v>
      </c>
    </row>
    <row r="12082" spans="1:7" x14ac:dyDescent="0.2">
      <c r="A12082" t="s">
        <v>12219</v>
      </c>
      <c r="B12082" t="str">
        <f>"13404388883"</f>
        <v>13404388883</v>
      </c>
      <c r="C12082" t="str">
        <f>"220724198409145819"</f>
        <v>220724198409145819</v>
      </c>
      <c r="D12082" t="s">
        <v>1</v>
      </c>
      <c r="E12082" t="s">
        <v>1</v>
      </c>
      <c r="F12082" t="s">
        <v>0</v>
      </c>
      <c r="G12082" t="str">
        <f>"2018-10-13 17:23:44"</f>
        <v>2018-10-13 17:23:44</v>
      </c>
    </row>
    <row r="12083" spans="1:7" x14ac:dyDescent="0.2">
      <c r="A12083" t="s">
        <v>23</v>
      </c>
      <c r="B12083" t="str">
        <f>"17621489297"</f>
        <v>17621489297</v>
      </c>
      <c r="C12083" t="str">
        <f>"420222199806296719"</f>
        <v>420222199806296719</v>
      </c>
      <c r="D12083" t="s">
        <v>12220</v>
      </c>
      <c r="E12083" t="s">
        <v>12221</v>
      </c>
      <c r="F12083" t="s">
        <v>0</v>
      </c>
      <c r="G12083" t="str">
        <f>"2018-10-17 19:29:00"</f>
        <v>2018-10-17 19:29:00</v>
      </c>
    </row>
    <row r="12084" spans="1:7" x14ac:dyDescent="0.2">
      <c r="A12084" t="s">
        <v>1</v>
      </c>
      <c r="B12084" t="str">
        <f>"13961604591"</f>
        <v>13961604591</v>
      </c>
      <c r="C12084" t="s">
        <v>1</v>
      </c>
      <c r="D12084" t="s">
        <v>1</v>
      </c>
      <c r="E12084" t="s">
        <v>1</v>
      </c>
      <c r="F12084" t="s">
        <v>0</v>
      </c>
      <c r="G12084" t="str">
        <f>"2018-10-13 17:22:28"</f>
        <v>2018-10-13 17:22:28</v>
      </c>
    </row>
    <row r="12085" spans="1:7" x14ac:dyDescent="0.2">
      <c r="A12085" t="s">
        <v>1</v>
      </c>
      <c r="B12085" t="str">
        <f>"18337664567"</f>
        <v>18337664567</v>
      </c>
      <c r="C12085" t="s">
        <v>1</v>
      </c>
      <c r="D12085" t="s">
        <v>1</v>
      </c>
      <c r="E12085" t="s">
        <v>1</v>
      </c>
      <c r="F12085" t="s">
        <v>0</v>
      </c>
      <c r="G12085" t="str">
        <f>"2018-10-13 17:26:01"</f>
        <v>2018-10-13 17:26:01</v>
      </c>
    </row>
    <row r="12086" spans="1:7" x14ac:dyDescent="0.2">
      <c r="A12086" t="s">
        <v>12222</v>
      </c>
      <c r="B12086" t="str">
        <f>"13873670307"</f>
        <v>13873670307</v>
      </c>
      <c r="C12086" t="str">
        <f>"430702199309154019"</f>
        <v>430702199309154019</v>
      </c>
      <c r="D12086" t="s">
        <v>12223</v>
      </c>
      <c r="E12086" t="s">
        <v>12224</v>
      </c>
      <c r="F12086" t="s">
        <v>0</v>
      </c>
      <c r="G12086" t="str">
        <f>"2018-10-13 17:23:09"</f>
        <v>2018-10-13 17:23:09</v>
      </c>
    </row>
    <row r="12087" spans="1:7" x14ac:dyDescent="0.2">
      <c r="A12087" t="s">
        <v>1</v>
      </c>
      <c r="B12087" t="str">
        <f>"18257364199"</f>
        <v>18257364199</v>
      </c>
      <c r="C12087" t="s">
        <v>1</v>
      </c>
      <c r="D12087" t="s">
        <v>1</v>
      </c>
      <c r="E12087" t="s">
        <v>1</v>
      </c>
      <c r="F12087" t="s">
        <v>0</v>
      </c>
      <c r="G12087" t="str">
        <f>"2018-10-13 17:21:40"</f>
        <v>2018-10-13 17:21:40</v>
      </c>
    </row>
    <row r="12088" spans="1:7" x14ac:dyDescent="0.2">
      <c r="A12088" t="s">
        <v>12225</v>
      </c>
      <c r="B12088" t="str">
        <f>"15708911076"</f>
        <v>15708911076</v>
      </c>
      <c r="C12088" t="str">
        <f>"460028198102262422"</f>
        <v>460028198102262422</v>
      </c>
      <c r="D12088" t="s">
        <v>1</v>
      </c>
      <c r="E12088" t="s">
        <v>1</v>
      </c>
      <c r="F12088" t="s">
        <v>0</v>
      </c>
      <c r="G12088" t="str">
        <f>"2018-10-15 17:10:56"</f>
        <v>2018-10-15 17:10:56</v>
      </c>
    </row>
    <row r="12089" spans="1:7" x14ac:dyDescent="0.2">
      <c r="A12089" t="s">
        <v>12226</v>
      </c>
      <c r="B12089" t="str">
        <f>"15151281994"</f>
        <v>15151281994</v>
      </c>
      <c r="C12089" t="str">
        <f>"320724199401203015"</f>
        <v>320724199401203015</v>
      </c>
      <c r="D12089" t="s">
        <v>1</v>
      </c>
      <c r="E12089" t="s">
        <v>1</v>
      </c>
      <c r="F12089" t="s">
        <v>0</v>
      </c>
      <c r="G12089" t="str">
        <f>"2018-10-13 17:23:27"</f>
        <v>2018-10-13 17:23:27</v>
      </c>
    </row>
    <row r="12090" spans="1:7" x14ac:dyDescent="0.2">
      <c r="A12090" t="s">
        <v>12227</v>
      </c>
      <c r="B12090" t="str">
        <f>"15973358007"</f>
        <v>15973358007</v>
      </c>
      <c r="C12090" t="str">
        <f>"370682199510153835"</f>
        <v>370682199510153835</v>
      </c>
      <c r="D12090" t="s">
        <v>1</v>
      </c>
      <c r="E12090" t="s">
        <v>1</v>
      </c>
      <c r="F12090" t="s">
        <v>0</v>
      </c>
      <c r="G12090" t="str">
        <f>"2018-10-18 15:08:30"</f>
        <v>2018-10-18 15:08:30</v>
      </c>
    </row>
    <row r="12091" spans="1:7" x14ac:dyDescent="0.2">
      <c r="A12091" t="s">
        <v>12228</v>
      </c>
      <c r="B12091" t="str">
        <f>"15315309567"</f>
        <v>15315309567</v>
      </c>
      <c r="C12091" t="str">
        <f>"372922199110170873"</f>
        <v>372922199110170873</v>
      </c>
      <c r="D12091" t="s">
        <v>1</v>
      </c>
      <c r="E12091" t="s">
        <v>1</v>
      </c>
      <c r="F12091" t="s">
        <v>0</v>
      </c>
      <c r="G12091" t="str">
        <f>"2018-10-15 08:49:48"</f>
        <v>2018-10-15 08:49:48</v>
      </c>
    </row>
    <row r="12092" spans="1:7" x14ac:dyDescent="0.2">
      <c r="A12092" t="s">
        <v>990</v>
      </c>
      <c r="B12092" t="str">
        <f>"15209798164"</f>
        <v>15209798164</v>
      </c>
      <c r="C12092" t="str">
        <f>"622727199701106817"</f>
        <v>622727199701106817</v>
      </c>
      <c r="D12092" t="s">
        <v>12229</v>
      </c>
      <c r="E12092" t="s">
        <v>12230</v>
      </c>
      <c r="F12092" t="s">
        <v>0</v>
      </c>
      <c r="G12092" t="str">
        <f>"2018-10-23 22:43:40"</f>
        <v>2018-10-23 22:43:40</v>
      </c>
    </row>
    <row r="12093" spans="1:7" x14ac:dyDescent="0.2">
      <c r="A12093" t="s">
        <v>12231</v>
      </c>
      <c r="B12093" t="str">
        <f>"15260792047"</f>
        <v>15260792047</v>
      </c>
      <c r="C12093" t="str">
        <f>"350521199004073013"</f>
        <v>350521199004073013</v>
      </c>
      <c r="D12093" t="s">
        <v>1</v>
      </c>
      <c r="E12093" t="s">
        <v>1</v>
      </c>
      <c r="F12093" t="s">
        <v>0</v>
      </c>
      <c r="G12093" t="str">
        <f>"2018-10-13 17:22:07"</f>
        <v>2018-10-13 17:22:07</v>
      </c>
    </row>
    <row r="12094" spans="1:7" x14ac:dyDescent="0.2">
      <c r="A12094" t="s">
        <v>12232</v>
      </c>
      <c r="B12094" t="str">
        <f>"18653935992"</f>
        <v>18653935992</v>
      </c>
      <c r="C12094" t="str">
        <f>"371312198312226010"</f>
        <v>371312198312226010</v>
      </c>
      <c r="D12094" t="s">
        <v>1</v>
      </c>
      <c r="E12094" t="s">
        <v>1</v>
      </c>
      <c r="F12094" t="s">
        <v>0</v>
      </c>
      <c r="G12094" t="str">
        <f>"2018-10-13 17:21:26"</f>
        <v>2018-10-13 17:21:26</v>
      </c>
    </row>
    <row r="12095" spans="1:7" x14ac:dyDescent="0.2">
      <c r="A12095" t="s">
        <v>12233</v>
      </c>
      <c r="B12095" t="str">
        <f>"17621464393"</f>
        <v>17621464393</v>
      </c>
      <c r="C12095" t="str">
        <f>"321324199108225417"</f>
        <v>321324199108225417</v>
      </c>
      <c r="D12095" t="s">
        <v>1</v>
      </c>
      <c r="E12095" t="s">
        <v>1</v>
      </c>
      <c r="F12095" t="s">
        <v>0</v>
      </c>
      <c r="G12095" t="str">
        <f>"2018-10-13 17:23:10"</f>
        <v>2018-10-13 17:23:10</v>
      </c>
    </row>
    <row r="12096" spans="1:7" x14ac:dyDescent="0.2">
      <c r="A12096" t="s">
        <v>12234</v>
      </c>
      <c r="B12096" t="str">
        <f>"15079377144"</f>
        <v>15079377144</v>
      </c>
      <c r="C12096" t="str">
        <f>"362302198908080012"</f>
        <v>362302198908080012</v>
      </c>
      <c r="D12096" t="s">
        <v>1</v>
      </c>
      <c r="E12096" t="s">
        <v>1</v>
      </c>
      <c r="F12096" t="s">
        <v>0</v>
      </c>
      <c r="G12096" t="str">
        <f>"2018-10-13 17:20:25"</f>
        <v>2018-10-13 17:20:25</v>
      </c>
    </row>
    <row r="12097" spans="1:7" x14ac:dyDescent="0.2">
      <c r="A12097" t="s">
        <v>1</v>
      </c>
      <c r="B12097" t="str">
        <f>"15900687008"</f>
        <v>15900687008</v>
      </c>
      <c r="C12097" t="s">
        <v>1</v>
      </c>
      <c r="D12097" t="s">
        <v>1</v>
      </c>
      <c r="E12097" t="s">
        <v>1</v>
      </c>
      <c r="F12097" t="s">
        <v>0</v>
      </c>
      <c r="G12097" t="str">
        <f>"2018-10-13 17:54:51"</f>
        <v>2018-10-13 17:54:51</v>
      </c>
    </row>
    <row r="12098" spans="1:7" x14ac:dyDescent="0.2">
      <c r="A12098" t="s">
        <v>1</v>
      </c>
      <c r="B12098" t="str">
        <f>"13423893997"</f>
        <v>13423893997</v>
      </c>
      <c r="C12098" t="s">
        <v>1</v>
      </c>
      <c r="D12098" t="s">
        <v>1</v>
      </c>
      <c r="E12098" t="s">
        <v>1</v>
      </c>
      <c r="F12098" t="s">
        <v>0</v>
      </c>
      <c r="G12098" t="str">
        <f>"2018-10-13 17:20:16"</f>
        <v>2018-10-13 17:20:16</v>
      </c>
    </row>
    <row r="12099" spans="1:7" x14ac:dyDescent="0.2">
      <c r="A12099" t="s">
        <v>1438</v>
      </c>
      <c r="B12099" t="str">
        <f>"18003880537"</f>
        <v>18003880537</v>
      </c>
      <c r="C12099" t="str">
        <f>"41030319730507104X"</f>
        <v>41030319730507104X</v>
      </c>
      <c r="D12099" t="s">
        <v>1</v>
      </c>
      <c r="E12099" t="s">
        <v>1</v>
      </c>
      <c r="F12099" t="s">
        <v>0</v>
      </c>
      <c r="G12099" t="str">
        <f>"2018-10-13 17:20:10"</f>
        <v>2018-10-13 17:20:10</v>
      </c>
    </row>
    <row r="12100" spans="1:7" x14ac:dyDescent="0.2">
      <c r="A12100" t="s">
        <v>1</v>
      </c>
      <c r="B12100" t="str">
        <f>"18165069777"</f>
        <v>18165069777</v>
      </c>
      <c r="C12100" t="s">
        <v>1</v>
      </c>
      <c r="D12100" t="s">
        <v>1</v>
      </c>
      <c r="E12100" t="s">
        <v>1</v>
      </c>
      <c r="F12100" t="s">
        <v>0</v>
      </c>
      <c r="G12100" t="str">
        <f>"2018-10-13 17:19:34"</f>
        <v>2018-10-13 17:19:34</v>
      </c>
    </row>
    <row r="12101" spans="1:7" x14ac:dyDescent="0.2">
      <c r="A12101" t="s">
        <v>1</v>
      </c>
      <c r="B12101" t="str">
        <f>"13704903444"</f>
        <v>13704903444</v>
      </c>
      <c r="C12101" t="s">
        <v>1</v>
      </c>
      <c r="D12101" t="s">
        <v>1</v>
      </c>
      <c r="E12101" t="s">
        <v>1</v>
      </c>
      <c r="F12101" t="s">
        <v>0</v>
      </c>
      <c r="G12101" t="str">
        <f>"2018-10-13 17:18:57"</f>
        <v>2018-10-13 17:18:57</v>
      </c>
    </row>
    <row r="12102" spans="1:7" x14ac:dyDescent="0.2">
      <c r="A12102" t="s">
        <v>12235</v>
      </c>
      <c r="B12102" t="str">
        <f>"17606533421"</f>
        <v>17606533421</v>
      </c>
      <c r="C12102" t="str">
        <f>"412828199902241516"</f>
        <v>412828199902241516</v>
      </c>
      <c r="D12102" t="s">
        <v>1</v>
      </c>
      <c r="E12102" t="s">
        <v>1</v>
      </c>
      <c r="F12102" t="s">
        <v>0</v>
      </c>
      <c r="G12102" t="str">
        <f>"2018-10-13 17:24:21"</f>
        <v>2018-10-13 17:24:21</v>
      </c>
    </row>
    <row r="12103" spans="1:7" x14ac:dyDescent="0.2">
      <c r="A12103" t="s">
        <v>1202</v>
      </c>
      <c r="B12103" t="str">
        <f>"15039050977"</f>
        <v>15039050977</v>
      </c>
      <c r="C12103" t="str">
        <f>"411381198502155917"</f>
        <v>411381198502155917</v>
      </c>
      <c r="D12103" t="s">
        <v>1</v>
      </c>
      <c r="E12103" t="s">
        <v>1</v>
      </c>
      <c r="F12103" t="s">
        <v>0</v>
      </c>
      <c r="G12103" t="str">
        <f>"2018-10-13 17:23:44"</f>
        <v>2018-10-13 17:23:44</v>
      </c>
    </row>
    <row r="12104" spans="1:7" x14ac:dyDescent="0.2">
      <c r="A12104" t="s">
        <v>12236</v>
      </c>
      <c r="B12104" t="str">
        <f>"18210490896"</f>
        <v>18210490896</v>
      </c>
      <c r="C12104" t="str">
        <f>"140724199605040218"</f>
        <v>140724199605040218</v>
      </c>
      <c r="D12104" t="s">
        <v>1</v>
      </c>
      <c r="E12104" t="s">
        <v>1</v>
      </c>
      <c r="F12104" t="s">
        <v>0</v>
      </c>
      <c r="G12104" t="str">
        <f>"2018-10-13 17:22:28"</f>
        <v>2018-10-13 17:22:28</v>
      </c>
    </row>
    <row r="12105" spans="1:7" x14ac:dyDescent="0.2">
      <c r="A12105" t="s">
        <v>1</v>
      </c>
      <c r="B12105" t="str">
        <f>"18119176652"</f>
        <v>18119176652</v>
      </c>
      <c r="C12105" t="s">
        <v>1</v>
      </c>
      <c r="D12105" t="s">
        <v>1</v>
      </c>
      <c r="E12105" t="s">
        <v>1</v>
      </c>
      <c r="F12105" t="s">
        <v>0</v>
      </c>
      <c r="G12105" t="str">
        <f>"2018-10-13 17:17:27"</f>
        <v>2018-10-13 17:17:27</v>
      </c>
    </row>
    <row r="12106" spans="1:7" x14ac:dyDescent="0.2">
      <c r="A12106" t="s">
        <v>12237</v>
      </c>
      <c r="B12106" t="str">
        <f>"18639723172"</f>
        <v>18639723172</v>
      </c>
      <c r="C12106" t="str">
        <f>"411081199701019043"</f>
        <v>411081199701019043</v>
      </c>
      <c r="D12106" t="s">
        <v>1</v>
      </c>
      <c r="E12106" t="s">
        <v>1</v>
      </c>
      <c r="F12106" t="s">
        <v>0</v>
      </c>
      <c r="G12106" t="str">
        <f>"2018-10-13 17:21:11"</f>
        <v>2018-10-13 17:21:11</v>
      </c>
    </row>
    <row r="12107" spans="1:7" x14ac:dyDescent="0.2">
      <c r="A12107" t="s">
        <v>12238</v>
      </c>
      <c r="B12107" t="str">
        <f>"18960696906"</f>
        <v>18960696906</v>
      </c>
      <c r="C12107" t="str">
        <f>"532623199008121717"</f>
        <v>532623199008121717</v>
      </c>
      <c r="D12107" t="s">
        <v>1</v>
      </c>
      <c r="E12107" t="s">
        <v>1</v>
      </c>
      <c r="F12107" t="s">
        <v>0</v>
      </c>
      <c r="G12107" t="str">
        <f>"2018-10-25 14:37:13"</f>
        <v>2018-10-25 14:37:13</v>
      </c>
    </row>
    <row r="12108" spans="1:7" x14ac:dyDescent="0.2">
      <c r="A12108" t="s">
        <v>12239</v>
      </c>
      <c r="B12108" t="str">
        <f>"18237387227"</f>
        <v>18237387227</v>
      </c>
      <c r="C12108" t="str">
        <f>"410727198004122920"</f>
        <v>410727198004122920</v>
      </c>
      <c r="D12108" t="s">
        <v>12240</v>
      </c>
      <c r="E12108" t="s">
        <v>12241</v>
      </c>
      <c r="F12108" t="s">
        <v>0</v>
      </c>
      <c r="G12108" t="str">
        <f>"2018-10-13 17:17:49"</f>
        <v>2018-10-13 17:17:49</v>
      </c>
    </row>
    <row r="12109" spans="1:7" x14ac:dyDescent="0.2">
      <c r="A12109" t="s">
        <v>12242</v>
      </c>
      <c r="B12109" t="str">
        <f>"15188782667"</f>
        <v>15188782667</v>
      </c>
      <c r="C12109" t="str">
        <f>"130602198305053324"</f>
        <v>130602198305053324</v>
      </c>
      <c r="D12109" t="s">
        <v>1</v>
      </c>
      <c r="E12109" t="s">
        <v>1</v>
      </c>
      <c r="F12109" t="s">
        <v>0</v>
      </c>
      <c r="G12109" t="str">
        <f>"2018-10-13 17:16:56"</f>
        <v>2018-10-13 17:16:56</v>
      </c>
    </row>
    <row r="12110" spans="1:7" x14ac:dyDescent="0.2">
      <c r="A12110" t="s">
        <v>12243</v>
      </c>
      <c r="B12110" t="str">
        <f>"15660907678"</f>
        <v>15660907678</v>
      </c>
      <c r="C12110" t="str">
        <f>"372922198001100046"</f>
        <v>372922198001100046</v>
      </c>
      <c r="D12110" t="s">
        <v>1</v>
      </c>
      <c r="E12110" t="s">
        <v>1</v>
      </c>
      <c r="F12110" t="s">
        <v>0</v>
      </c>
      <c r="G12110" t="str">
        <f>"2018-10-13 17:15:47"</f>
        <v>2018-10-13 17:15:47</v>
      </c>
    </row>
    <row r="12111" spans="1:7" x14ac:dyDescent="0.2">
      <c r="A12111" t="s">
        <v>12244</v>
      </c>
      <c r="B12111" t="str">
        <f>"13337095012"</f>
        <v>13337095012</v>
      </c>
      <c r="C12111" t="str">
        <f>"152527199106061235"</f>
        <v>152527199106061235</v>
      </c>
      <c r="D12111" t="s">
        <v>1</v>
      </c>
      <c r="E12111" t="s">
        <v>1</v>
      </c>
      <c r="F12111" t="s">
        <v>0</v>
      </c>
      <c r="G12111" t="str">
        <f>"2018-10-13 17:15:08"</f>
        <v>2018-10-13 17:15:08</v>
      </c>
    </row>
    <row r="12112" spans="1:7" x14ac:dyDescent="0.2">
      <c r="A12112" t="s">
        <v>1</v>
      </c>
      <c r="B12112" t="str">
        <f>"13750851403"</f>
        <v>13750851403</v>
      </c>
      <c r="C12112" t="s">
        <v>1</v>
      </c>
      <c r="D12112" t="s">
        <v>1</v>
      </c>
      <c r="E12112" t="s">
        <v>1</v>
      </c>
      <c r="F12112" t="s">
        <v>0</v>
      </c>
      <c r="G12112" t="str">
        <f>"2018-10-31 17:29:21"</f>
        <v>2018-10-31 17:29:21</v>
      </c>
    </row>
    <row r="12113" spans="1:7" x14ac:dyDescent="0.2">
      <c r="A12113" t="s">
        <v>12245</v>
      </c>
      <c r="B12113" t="str">
        <f>"15983362152"</f>
        <v>15983362152</v>
      </c>
      <c r="C12113" t="str">
        <f>"511123198910010476"</f>
        <v>511123198910010476</v>
      </c>
      <c r="D12113" t="s">
        <v>1</v>
      </c>
      <c r="E12113" t="s">
        <v>1</v>
      </c>
      <c r="F12113" t="s">
        <v>0</v>
      </c>
      <c r="G12113" t="str">
        <f>"2018-10-13 18:33:47"</f>
        <v>2018-10-13 18:33:47</v>
      </c>
    </row>
    <row r="12114" spans="1:7" x14ac:dyDescent="0.2">
      <c r="A12114" t="s">
        <v>12246</v>
      </c>
      <c r="B12114" t="str">
        <f>"18655463791"</f>
        <v>18655463791</v>
      </c>
      <c r="C12114" t="str">
        <f>"340404199703231021"</f>
        <v>340404199703231021</v>
      </c>
      <c r="D12114" t="s">
        <v>1</v>
      </c>
      <c r="E12114" t="s">
        <v>1</v>
      </c>
      <c r="F12114" t="s">
        <v>0</v>
      </c>
      <c r="G12114" t="str">
        <f>"2018-10-13 17:15:30"</f>
        <v>2018-10-13 17:15:30</v>
      </c>
    </row>
    <row r="12115" spans="1:7" x14ac:dyDescent="0.2">
      <c r="A12115" t="s">
        <v>9088</v>
      </c>
      <c r="B12115" t="str">
        <f>"15020732366"</f>
        <v>15020732366</v>
      </c>
      <c r="C12115" t="str">
        <f>"370831199508263155"</f>
        <v>370831199508263155</v>
      </c>
      <c r="D12115" t="s">
        <v>1</v>
      </c>
      <c r="E12115" t="s">
        <v>1</v>
      </c>
      <c r="F12115" t="s">
        <v>0</v>
      </c>
      <c r="G12115" t="str">
        <f>"2018-10-13 17:18:33"</f>
        <v>2018-10-13 17:18:33</v>
      </c>
    </row>
    <row r="12116" spans="1:7" x14ac:dyDescent="0.2">
      <c r="A12116" t="s">
        <v>1</v>
      </c>
      <c r="B12116" t="str">
        <f>"15945186997"</f>
        <v>15945186997</v>
      </c>
      <c r="C12116" t="s">
        <v>1</v>
      </c>
      <c r="D12116" t="s">
        <v>1</v>
      </c>
      <c r="E12116" t="s">
        <v>1</v>
      </c>
      <c r="F12116" t="s">
        <v>0</v>
      </c>
      <c r="G12116" t="str">
        <f>"2018-10-13 17:13:56"</f>
        <v>2018-10-13 17:13:56</v>
      </c>
    </row>
    <row r="12117" spans="1:7" x14ac:dyDescent="0.2">
      <c r="A12117" t="s">
        <v>1</v>
      </c>
      <c r="B12117" t="str">
        <f>"17826979167"</f>
        <v>17826979167</v>
      </c>
      <c r="C12117" t="s">
        <v>1</v>
      </c>
      <c r="D12117" t="s">
        <v>1</v>
      </c>
      <c r="E12117" t="s">
        <v>1</v>
      </c>
      <c r="F12117" t="s">
        <v>0</v>
      </c>
      <c r="G12117" t="str">
        <f>"2018-10-13 17:15:12"</f>
        <v>2018-10-13 17:15:12</v>
      </c>
    </row>
    <row r="12118" spans="1:7" x14ac:dyDescent="0.2">
      <c r="A12118" t="s">
        <v>12247</v>
      </c>
      <c r="B12118" t="str">
        <f>"13401319112"</f>
        <v>13401319112</v>
      </c>
      <c r="C12118" t="str">
        <f>"340823199111183151"</f>
        <v>340823199111183151</v>
      </c>
      <c r="D12118" t="s">
        <v>1</v>
      </c>
      <c r="E12118" t="s">
        <v>1</v>
      </c>
      <c r="F12118" t="s">
        <v>0</v>
      </c>
      <c r="G12118" t="str">
        <f>"2018-10-13 17:14:10"</f>
        <v>2018-10-13 17:14:10</v>
      </c>
    </row>
    <row r="12119" spans="1:7" x14ac:dyDescent="0.2">
      <c r="A12119" t="s">
        <v>1</v>
      </c>
      <c r="B12119" t="str">
        <f>"18700785770"</f>
        <v>18700785770</v>
      </c>
      <c r="C12119" t="s">
        <v>1</v>
      </c>
      <c r="D12119" t="s">
        <v>1</v>
      </c>
      <c r="E12119" t="s">
        <v>1</v>
      </c>
      <c r="F12119" t="s">
        <v>0</v>
      </c>
      <c r="G12119" t="str">
        <f>"2018-10-13 17:12:11"</f>
        <v>2018-10-13 17:12:11</v>
      </c>
    </row>
    <row r="12120" spans="1:7" x14ac:dyDescent="0.2">
      <c r="A12120" t="s">
        <v>12248</v>
      </c>
      <c r="B12120" t="str">
        <f>"13242224387"</f>
        <v>13242224387</v>
      </c>
      <c r="C12120" t="str">
        <f>"452424199704281875"</f>
        <v>452424199704281875</v>
      </c>
      <c r="D12120" t="s">
        <v>1</v>
      </c>
      <c r="E12120" t="s">
        <v>1</v>
      </c>
      <c r="F12120" t="s">
        <v>0</v>
      </c>
      <c r="G12120" t="str">
        <f>"2018-10-13 17:13:23"</f>
        <v>2018-10-13 17:13:23</v>
      </c>
    </row>
    <row r="12121" spans="1:7" x14ac:dyDescent="0.2">
      <c r="A12121" t="s">
        <v>1</v>
      </c>
      <c r="B12121" t="str">
        <f>"15833092120"</f>
        <v>15833092120</v>
      </c>
      <c r="C12121" t="s">
        <v>1</v>
      </c>
      <c r="D12121" t="s">
        <v>1</v>
      </c>
      <c r="E12121" t="s">
        <v>1</v>
      </c>
      <c r="F12121" t="s">
        <v>0</v>
      </c>
      <c r="G12121" t="str">
        <f>"2018-10-13 17:11:55"</f>
        <v>2018-10-13 17:11:55</v>
      </c>
    </row>
    <row r="12122" spans="1:7" x14ac:dyDescent="0.2">
      <c r="A12122" t="s">
        <v>12249</v>
      </c>
      <c r="B12122" t="str">
        <f>"18877413660"</f>
        <v>18877413660</v>
      </c>
      <c r="C12122" t="str">
        <f>"452425198202201216"</f>
        <v>452425198202201216</v>
      </c>
      <c r="D12122" t="s">
        <v>1</v>
      </c>
      <c r="E12122" t="s">
        <v>1</v>
      </c>
      <c r="F12122" t="s">
        <v>0</v>
      </c>
      <c r="G12122" t="str">
        <f>"2018-10-13 17:13:32"</f>
        <v>2018-10-13 17:13:32</v>
      </c>
    </row>
    <row r="12123" spans="1:7" x14ac:dyDescent="0.2">
      <c r="A12123" t="s">
        <v>693</v>
      </c>
      <c r="B12123" t="str">
        <f>"18973739294"</f>
        <v>18973739294</v>
      </c>
      <c r="C12123" t="str">
        <f>"430903199804172430"</f>
        <v>430903199804172430</v>
      </c>
      <c r="D12123" t="s">
        <v>1</v>
      </c>
      <c r="E12123" t="s">
        <v>1</v>
      </c>
      <c r="F12123" t="s">
        <v>0</v>
      </c>
      <c r="G12123" t="str">
        <f>"2018-10-13 17:18:39"</f>
        <v>2018-10-13 17:18:39</v>
      </c>
    </row>
    <row r="12124" spans="1:7" x14ac:dyDescent="0.2">
      <c r="A12124" t="s">
        <v>1215</v>
      </c>
      <c r="B12124" t="str">
        <f>"18235021690"</f>
        <v>18235021690</v>
      </c>
      <c r="C12124" t="str">
        <f>"142202198002290623"</f>
        <v>142202198002290623</v>
      </c>
      <c r="D12124" t="s">
        <v>1</v>
      </c>
      <c r="E12124" t="s">
        <v>1</v>
      </c>
      <c r="F12124" t="s">
        <v>0</v>
      </c>
      <c r="G12124" t="str">
        <f>"2018-10-14 17:45:14"</f>
        <v>2018-10-14 17:45:14</v>
      </c>
    </row>
    <row r="12125" spans="1:7" x14ac:dyDescent="0.2">
      <c r="A12125" t="s">
        <v>12250</v>
      </c>
      <c r="B12125" t="str">
        <f>"15875948159"</f>
        <v>15875948159</v>
      </c>
      <c r="C12125" t="str">
        <f>"440804199401190557"</f>
        <v>440804199401190557</v>
      </c>
      <c r="D12125" t="s">
        <v>1</v>
      </c>
      <c r="E12125" t="s">
        <v>1</v>
      </c>
      <c r="F12125" t="s">
        <v>0</v>
      </c>
      <c r="G12125" t="str">
        <f>"2018-10-13 17:12:07"</f>
        <v>2018-10-13 17:12:07</v>
      </c>
    </row>
    <row r="12126" spans="1:7" x14ac:dyDescent="0.2">
      <c r="A12126" t="s">
        <v>12251</v>
      </c>
      <c r="B12126" t="str">
        <f>"13587837073"</f>
        <v>13587837073</v>
      </c>
      <c r="C12126" t="str">
        <f>"330327198810067717"</f>
        <v>330327198810067717</v>
      </c>
      <c r="D12126" t="s">
        <v>1</v>
      </c>
      <c r="E12126" t="s">
        <v>1</v>
      </c>
      <c r="F12126" t="s">
        <v>0</v>
      </c>
      <c r="G12126" t="str">
        <f>"2018-10-13 17:12:54"</f>
        <v>2018-10-13 17:12:54</v>
      </c>
    </row>
    <row r="12127" spans="1:7" x14ac:dyDescent="0.2">
      <c r="A12127" t="s">
        <v>12252</v>
      </c>
      <c r="B12127" t="str">
        <f>"13416682206"</f>
        <v>13416682206</v>
      </c>
      <c r="C12127" t="str">
        <f>"441581199308222435"</f>
        <v>441581199308222435</v>
      </c>
      <c r="D12127" t="s">
        <v>1</v>
      </c>
      <c r="E12127" t="s">
        <v>1</v>
      </c>
      <c r="F12127" t="s">
        <v>0</v>
      </c>
      <c r="G12127" t="str">
        <f>"2018-10-25 16:06:28"</f>
        <v>2018-10-25 16:06:28</v>
      </c>
    </row>
    <row r="12128" spans="1:7" x14ac:dyDescent="0.2">
      <c r="A12128" t="s">
        <v>12253</v>
      </c>
      <c r="B12128" t="str">
        <f>"18639023678"</f>
        <v>18639023678</v>
      </c>
      <c r="C12128" t="str">
        <f>"410182198809221450"</f>
        <v>410182198809221450</v>
      </c>
      <c r="D12128" t="s">
        <v>1</v>
      </c>
      <c r="E12128" t="s">
        <v>1</v>
      </c>
      <c r="F12128" t="s">
        <v>0</v>
      </c>
      <c r="G12128" t="str">
        <f>"2018-10-13 17:12:55"</f>
        <v>2018-10-13 17:12:55</v>
      </c>
    </row>
    <row r="12129" spans="1:7" x14ac:dyDescent="0.2">
      <c r="A12129" t="s">
        <v>12254</v>
      </c>
      <c r="B12129" t="str">
        <f>"13680789530"</f>
        <v>13680789530</v>
      </c>
      <c r="C12129" t="str">
        <f>"441381198512086914"</f>
        <v>441381198512086914</v>
      </c>
      <c r="D12129" t="s">
        <v>1</v>
      </c>
      <c r="E12129" t="s">
        <v>1</v>
      </c>
      <c r="F12129" t="s">
        <v>0</v>
      </c>
      <c r="G12129" t="str">
        <f>"2018-10-13 17:11:45"</f>
        <v>2018-10-13 17:11:45</v>
      </c>
    </row>
    <row r="12130" spans="1:7" x14ac:dyDescent="0.2">
      <c r="A12130" t="s">
        <v>12255</v>
      </c>
      <c r="B12130" t="str">
        <f>"15320773508"</f>
        <v>15320773508</v>
      </c>
      <c r="C12130" t="str">
        <f>"500101199105233718"</f>
        <v>500101199105233718</v>
      </c>
      <c r="D12130" t="s">
        <v>1</v>
      </c>
      <c r="E12130" t="s">
        <v>1</v>
      </c>
      <c r="F12130" t="s">
        <v>0</v>
      </c>
      <c r="G12130" t="str">
        <f>"2018-10-13 17:11:43"</f>
        <v>2018-10-13 17:11:43</v>
      </c>
    </row>
    <row r="12131" spans="1:7" x14ac:dyDescent="0.2">
      <c r="A12131" t="s">
        <v>1</v>
      </c>
      <c r="B12131" t="str">
        <f>"13963445494"</f>
        <v>13963445494</v>
      </c>
      <c r="C12131" t="s">
        <v>1</v>
      </c>
      <c r="D12131" t="s">
        <v>1</v>
      </c>
      <c r="E12131" t="s">
        <v>1</v>
      </c>
      <c r="F12131" t="s">
        <v>0</v>
      </c>
      <c r="G12131" t="str">
        <f>"2018-10-13 17:09:09"</f>
        <v>2018-10-13 17:09:09</v>
      </c>
    </row>
    <row r="12132" spans="1:7" x14ac:dyDescent="0.2">
      <c r="A12132" t="s">
        <v>12256</v>
      </c>
      <c r="B12132" t="str">
        <f>"13076850173"</f>
        <v>13076850173</v>
      </c>
      <c r="C12132" t="str">
        <f>"452229200006056415"</f>
        <v>452229200006056415</v>
      </c>
      <c r="D12132" t="s">
        <v>1</v>
      </c>
      <c r="E12132" t="s">
        <v>1</v>
      </c>
      <c r="F12132" t="s">
        <v>0</v>
      </c>
      <c r="G12132" t="str">
        <f>"2018-10-13 17:10:54"</f>
        <v>2018-10-13 17:10:54</v>
      </c>
    </row>
    <row r="12133" spans="1:7" x14ac:dyDescent="0.2">
      <c r="A12133" t="s">
        <v>12257</v>
      </c>
      <c r="B12133" t="str">
        <f>"15883974311"</f>
        <v>15883974311</v>
      </c>
      <c r="C12133" t="str">
        <f>"510821198505213418"</f>
        <v>510821198505213418</v>
      </c>
      <c r="D12133" t="s">
        <v>1</v>
      </c>
      <c r="E12133" t="s">
        <v>1</v>
      </c>
      <c r="F12133" t="s">
        <v>0</v>
      </c>
      <c r="G12133" t="str">
        <f>"2018-10-13 17:11:18"</f>
        <v>2018-10-13 17:11:18</v>
      </c>
    </row>
    <row r="12134" spans="1:7" x14ac:dyDescent="0.2">
      <c r="A12134" t="s">
        <v>12258</v>
      </c>
      <c r="B12134" t="str">
        <f>"17057774433"</f>
        <v>17057774433</v>
      </c>
      <c r="C12134" t="str">
        <f>"152326199502157872"</f>
        <v>152326199502157872</v>
      </c>
      <c r="D12134" t="s">
        <v>1</v>
      </c>
      <c r="E12134" t="s">
        <v>1</v>
      </c>
      <c r="F12134" t="s">
        <v>0</v>
      </c>
      <c r="G12134" t="str">
        <f>"2018-10-13 17:15:45"</f>
        <v>2018-10-13 17:15:45</v>
      </c>
    </row>
    <row r="12135" spans="1:7" x14ac:dyDescent="0.2">
      <c r="A12135" t="s">
        <v>1</v>
      </c>
      <c r="B12135" t="str">
        <f>"13607994056"</f>
        <v>13607994056</v>
      </c>
      <c r="C12135" t="s">
        <v>1</v>
      </c>
      <c r="D12135" t="s">
        <v>1</v>
      </c>
      <c r="E12135" t="s">
        <v>1</v>
      </c>
      <c r="F12135" t="s">
        <v>0</v>
      </c>
      <c r="G12135" t="str">
        <f>"2018-10-13 17:08:14"</f>
        <v>2018-10-13 17:08:14</v>
      </c>
    </row>
    <row r="12136" spans="1:7" x14ac:dyDescent="0.2">
      <c r="A12136" t="s">
        <v>12259</v>
      </c>
      <c r="B12136" t="str">
        <f>"15215722309"</f>
        <v>15215722309</v>
      </c>
      <c r="C12136" t="str">
        <f>"330821197404076014"</f>
        <v>330821197404076014</v>
      </c>
      <c r="D12136" t="s">
        <v>1</v>
      </c>
      <c r="E12136" t="s">
        <v>1</v>
      </c>
      <c r="F12136" t="s">
        <v>0</v>
      </c>
      <c r="G12136" t="str">
        <f>"2018-10-13 17:09:47"</f>
        <v>2018-10-13 17:09:47</v>
      </c>
    </row>
    <row r="12137" spans="1:7" x14ac:dyDescent="0.2">
      <c r="A12137" t="s">
        <v>12260</v>
      </c>
      <c r="B12137" t="str">
        <f>"18271017412"</f>
        <v>18271017412</v>
      </c>
      <c r="C12137" t="str">
        <f>"421022198801126628"</f>
        <v>421022198801126628</v>
      </c>
      <c r="D12137" t="s">
        <v>1</v>
      </c>
      <c r="E12137" t="s">
        <v>1</v>
      </c>
      <c r="F12137" t="s">
        <v>0</v>
      </c>
      <c r="G12137" t="str">
        <f>"2018-10-13 17:08:35"</f>
        <v>2018-10-13 17:08:35</v>
      </c>
    </row>
    <row r="12138" spans="1:7" x14ac:dyDescent="0.2">
      <c r="A12138" t="s">
        <v>350</v>
      </c>
      <c r="B12138" t="str">
        <f>"13703258864"</f>
        <v>13703258864</v>
      </c>
      <c r="C12138" t="str">
        <f>"130204198211090926"</f>
        <v>130204198211090926</v>
      </c>
      <c r="D12138" t="s">
        <v>1</v>
      </c>
      <c r="E12138" t="s">
        <v>1</v>
      </c>
      <c r="F12138" t="s">
        <v>0</v>
      </c>
      <c r="G12138" t="str">
        <f>"2018-10-13 17:08:24"</f>
        <v>2018-10-13 17:08:24</v>
      </c>
    </row>
    <row r="12139" spans="1:7" x14ac:dyDescent="0.2">
      <c r="A12139" t="s">
        <v>12261</v>
      </c>
      <c r="B12139" t="str">
        <f>"15004745457"</f>
        <v>15004745457</v>
      </c>
      <c r="C12139" t="str">
        <f>"152634199009304820"</f>
        <v>152634199009304820</v>
      </c>
      <c r="D12139" t="s">
        <v>1</v>
      </c>
      <c r="E12139" t="s">
        <v>1</v>
      </c>
      <c r="F12139" t="s">
        <v>0</v>
      </c>
      <c r="G12139" t="str">
        <f>"2018-10-31 14:09:18"</f>
        <v>2018-10-31 14:09:18</v>
      </c>
    </row>
    <row r="12140" spans="1:7" x14ac:dyDescent="0.2">
      <c r="A12140" t="s">
        <v>12262</v>
      </c>
      <c r="B12140" t="str">
        <f>"18285651573"</f>
        <v>18285651573</v>
      </c>
      <c r="C12140" t="str">
        <f>"522224199701152493"</f>
        <v>522224199701152493</v>
      </c>
      <c r="D12140" t="s">
        <v>1</v>
      </c>
      <c r="E12140" t="s">
        <v>1</v>
      </c>
      <c r="F12140" t="s">
        <v>0</v>
      </c>
      <c r="G12140" t="str">
        <f>"2018-10-13 17:06:55"</f>
        <v>2018-10-13 17:06:55</v>
      </c>
    </row>
    <row r="12141" spans="1:7" x14ac:dyDescent="0.2">
      <c r="A12141" t="s">
        <v>12263</v>
      </c>
      <c r="B12141" t="str">
        <f>"15286505258"</f>
        <v>15286505258</v>
      </c>
      <c r="C12141" t="str">
        <f>"522426198610126272"</f>
        <v>522426198610126272</v>
      </c>
      <c r="D12141" t="s">
        <v>12264</v>
      </c>
      <c r="E12141" t="s">
        <v>12265</v>
      </c>
      <c r="F12141" t="s">
        <v>0</v>
      </c>
      <c r="G12141" t="str">
        <f>"2018-10-13 17:10:03"</f>
        <v>2018-10-13 17:10:03</v>
      </c>
    </row>
    <row r="12142" spans="1:7" x14ac:dyDescent="0.2">
      <c r="A12142" t="s">
        <v>1</v>
      </c>
      <c r="B12142" t="str">
        <f>"15724425757"</f>
        <v>15724425757</v>
      </c>
      <c r="C12142" t="s">
        <v>1</v>
      </c>
      <c r="D12142" t="s">
        <v>1</v>
      </c>
      <c r="E12142" t="s">
        <v>1</v>
      </c>
      <c r="F12142" t="s">
        <v>0</v>
      </c>
      <c r="G12142" t="str">
        <f>"2018-10-13 18:05:33"</f>
        <v>2018-10-13 18:05:33</v>
      </c>
    </row>
    <row r="12143" spans="1:7" x14ac:dyDescent="0.2">
      <c r="A12143" t="s">
        <v>12266</v>
      </c>
      <c r="B12143" t="str">
        <f>"13826598731"</f>
        <v>13826598731</v>
      </c>
      <c r="C12143" t="str">
        <f>"441624199008164438"</f>
        <v>441624199008164438</v>
      </c>
      <c r="D12143" t="s">
        <v>1</v>
      </c>
      <c r="E12143" t="s">
        <v>1</v>
      </c>
      <c r="F12143" t="s">
        <v>0</v>
      </c>
      <c r="G12143" t="str">
        <f>"2018-10-13 17:08:33"</f>
        <v>2018-10-13 17:08:33</v>
      </c>
    </row>
    <row r="12144" spans="1:7" x14ac:dyDescent="0.2">
      <c r="A12144" t="s">
        <v>12267</v>
      </c>
      <c r="B12144" t="str">
        <f>"13571109645"</f>
        <v>13571109645</v>
      </c>
      <c r="C12144" t="str">
        <f>"610625198612220814"</f>
        <v>610625198612220814</v>
      </c>
      <c r="D12144" t="s">
        <v>12268</v>
      </c>
      <c r="E12144" t="s">
        <v>12269</v>
      </c>
      <c r="F12144" t="s">
        <v>0</v>
      </c>
      <c r="G12144" t="str">
        <f>"2018-10-14 09:24:12"</f>
        <v>2018-10-14 09:24:12</v>
      </c>
    </row>
    <row r="12145" spans="1:7" x14ac:dyDescent="0.2">
      <c r="A12145" t="s">
        <v>12270</v>
      </c>
      <c r="B12145" t="str">
        <f>"17878097249"</f>
        <v>17878097249</v>
      </c>
      <c r="C12145" t="str">
        <f>"450902198611152612"</f>
        <v>450902198611152612</v>
      </c>
      <c r="D12145" t="s">
        <v>1</v>
      </c>
      <c r="E12145" t="s">
        <v>1</v>
      </c>
      <c r="F12145" t="s">
        <v>0</v>
      </c>
      <c r="G12145" t="str">
        <f>"2018-10-13 17:07:38"</f>
        <v>2018-10-13 17:07:38</v>
      </c>
    </row>
    <row r="12146" spans="1:7" x14ac:dyDescent="0.2">
      <c r="A12146" t="s">
        <v>1</v>
      </c>
      <c r="B12146" t="str">
        <f>"18758116982"</f>
        <v>18758116982</v>
      </c>
      <c r="C12146" t="s">
        <v>1</v>
      </c>
      <c r="D12146" t="s">
        <v>1</v>
      </c>
      <c r="E12146" t="s">
        <v>1</v>
      </c>
      <c r="F12146" t="s">
        <v>0</v>
      </c>
      <c r="G12146" t="str">
        <f>"2018-10-13 17:07:38"</f>
        <v>2018-10-13 17:07:38</v>
      </c>
    </row>
    <row r="12147" spans="1:7" x14ac:dyDescent="0.2">
      <c r="A12147" t="s">
        <v>12271</v>
      </c>
      <c r="B12147" t="str">
        <f>"17770065162"</f>
        <v>17770065162</v>
      </c>
      <c r="C12147" t="str">
        <f>"320982199606081511"</f>
        <v>320982199606081511</v>
      </c>
      <c r="D12147" t="s">
        <v>1</v>
      </c>
      <c r="E12147" t="s">
        <v>1</v>
      </c>
      <c r="F12147" t="s">
        <v>0</v>
      </c>
      <c r="G12147" t="str">
        <f>"2018-10-22 13:26:00"</f>
        <v>2018-10-22 13:26:00</v>
      </c>
    </row>
    <row r="12148" spans="1:7" x14ac:dyDescent="0.2">
      <c r="A12148" t="s">
        <v>1</v>
      </c>
      <c r="B12148" t="str">
        <f>"17370468264"</f>
        <v>17370468264</v>
      </c>
      <c r="C12148" t="s">
        <v>1</v>
      </c>
      <c r="D12148" t="s">
        <v>1</v>
      </c>
      <c r="E12148" t="s">
        <v>1</v>
      </c>
      <c r="F12148" t="s">
        <v>0</v>
      </c>
      <c r="G12148" t="str">
        <f>"2018-10-29 02:29:08"</f>
        <v>2018-10-29 02:29:08</v>
      </c>
    </row>
    <row r="12149" spans="1:7" x14ac:dyDescent="0.2">
      <c r="A12149" t="s">
        <v>1</v>
      </c>
      <c r="B12149" t="str">
        <f>"15820568703"</f>
        <v>15820568703</v>
      </c>
      <c r="C12149" t="s">
        <v>1</v>
      </c>
      <c r="D12149" t="s">
        <v>1</v>
      </c>
      <c r="E12149" t="s">
        <v>1</v>
      </c>
      <c r="F12149" t="s">
        <v>0</v>
      </c>
      <c r="G12149" t="str">
        <f>"2018-10-13 17:04:49"</f>
        <v>2018-10-13 17:04:49</v>
      </c>
    </row>
    <row r="12150" spans="1:7" x14ac:dyDescent="0.2">
      <c r="A12150" t="s">
        <v>1</v>
      </c>
      <c r="B12150" t="str">
        <f>"13007548885"</f>
        <v>13007548885</v>
      </c>
      <c r="C12150" t="s">
        <v>1</v>
      </c>
      <c r="D12150" t="s">
        <v>1</v>
      </c>
      <c r="E12150" t="s">
        <v>1</v>
      </c>
      <c r="F12150" t="s">
        <v>0</v>
      </c>
      <c r="G12150" t="str">
        <f>"2018-10-13 17:04:48"</f>
        <v>2018-10-13 17:04:48</v>
      </c>
    </row>
    <row r="12151" spans="1:7" x14ac:dyDescent="0.2">
      <c r="A12151" t="s">
        <v>12272</v>
      </c>
      <c r="B12151" t="str">
        <f>"15241392341"</f>
        <v>15241392341</v>
      </c>
      <c r="C12151" t="str">
        <f>"210882199202250613"</f>
        <v>210882199202250613</v>
      </c>
      <c r="D12151" t="s">
        <v>1</v>
      </c>
      <c r="E12151" t="s">
        <v>1</v>
      </c>
      <c r="F12151" t="s">
        <v>0</v>
      </c>
      <c r="G12151" t="str">
        <f>"2018-10-13 17:09:10"</f>
        <v>2018-10-13 17:09:10</v>
      </c>
    </row>
    <row r="12152" spans="1:7" x14ac:dyDescent="0.2">
      <c r="A12152" t="s">
        <v>12273</v>
      </c>
      <c r="B12152" t="str">
        <f>"15886535632"</f>
        <v>15886535632</v>
      </c>
      <c r="C12152" t="str">
        <f>"431025198408154412"</f>
        <v>431025198408154412</v>
      </c>
      <c r="D12152" t="s">
        <v>1</v>
      </c>
      <c r="E12152" t="s">
        <v>1</v>
      </c>
      <c r="F12152" t="s">
        <v>0</v>
      </c>
      <c r="G12152" t="str">
        <f>"2018-10-13 17:04:36"</f>
        <v>2018-10-13 17:04:36</v>
      </c>
    </row>
    <row r="12153" spans="1:7" x14ac:dyDescent="0.2">
      <c r="A12153" t="s">
        <v>1</v>
      </c>
      <c r="B12153" t="str">
        <f>"18389212801"</f>
        <v>18389212801</v>
      </c>
      <c r="C12153" t="s">
        <v>1</v>
      </c>
      <c r="D12153" t="s">
        <v>1</v>
      </c>
      <c r="E12153" t="s">
        <v>1</v>
      </c>
      <c r="F12153" t="s">
        <v>0</v>
      </c>
      <c r="G12153" t="str">
        <f>"2018-10-13 17:04:20"</f>
        <v>2018-10-13 17:04:20</v>
      </c>
    </row>
    <row r="12154" spans="1:7" x14ac:dyDescent="0.2">
      <c r="A12154" t="s">
        <v>12274</v>
      </c>
      <c r="B12154" t="str">
        <f>"13606950580"</f>
        <v>13606950580</v>
      </c>
      <c r="C12154" t="str">
        <f>"350621197510094032"</f>
        <v>350621197510094032</v>
      </c>
      <c r="D12154" t="s">
        <v>1</v>
      </c>
      <c r="E12154" t="s">
        <v>1</v>
      </c>
      <c r="F12154" t="s">
        <v>0</v>
      </c>
      <c r="G12154" t="str">
        <f>"2018-10-13 17:06:13"</f>
        <v>2018-10-13 17:06:13</v>
      </c>
    </row>
    <row r="12155" spans="1:7" x14ac:dyDescent="0.2">
      <c r="A12155" t="s">
        <v>12275</v>
      </c>
      <c r="B12155" t="str">
        <f>"13921788706"</f>
        <v>13921788706</v>
      </c>
      <c r="C12155" t="str">
        <f>"320324199001013018"</f>
        <v>320324199001013018</v>
      </c>
      <c r="D12155" t="s">
        <v>1</v>
      </c>
      <c r="E12155" t="s">
        <v>1</v>
      </c>
      <c r="F12155" t="s">
        <v>0</v>
      </c>
      <c r="G12155" t="str">
        <f>"2018-10-13 17:06:06"</f>
        <v>2018-10-13 17:06:06</v>
      </c>
    </row>
    <row r="12156" spans="1:7" x14ac:dyDescent="0.2">
      <c r="A12156" t="s">
        <v>12276</v>
      </c>
      <c r="B12156" t="str">
        <f>"15119352258"</f>
        <v>15119352258</v>
      </c>
      <c r="C12156" t="str">
        <f>"441421199508105928"</f>
        <v>441421199508105928</v>
      </c>
      <c r="D12156" t="s">
        <v>1</v>
      </c>
      <c r="E12156" t="s">
        <v>1</v>
      </c>
      <c r="F12156" t="s">
        <v>0</v>
      </c>
      <c r="G12156" t="str">
        <f>"2018-10-13 17:08:49"</f>
        <v>2018-10-13 17:08:49</v>
      </c>
    </row>
    <row r="12157" spans="1:7" x14ac:dyDescent="0.2">
      <c r="A12157" t="s">
        <v>1</v>
      </c>
      <c r="B12157" t="str">
        <f>"13609945082"</f>
        <v>13609945082</v>
      </c>
      <c r="C12157" t="s">
        <v>1</v>
      </c>
      <c r="D12157" t="s">
        <v>1</v>
      </c>
      <c r="E12157" t="s">
        <v>1</v>
      </c>
      <c r="F12157" t="s">
        <v>0</v>
      </c>
      <c r="G12157" t="str">
        <f>"2018-10-13 17:04:01"</f>
        <v>2018-10-13 17:04:01</v>
      </c>
    </row>
    <row r="12158" spans="1:7" x14ac:dyDescent="0.2">
      <c r="A12158" t="s">
        <v>1</v>
      </c>
      <c r="B12158" t="str">
        <f>"13803530856"</f>
        <v>13803530856</v>
      </c>
      <c r="C12158" t="s">
        <v>1</v>
      </c>
      <c r="D12158" t="s">
        <v>1</v>
      </c>
      <c r="E12158" t="s">
        <v>1</v>
      </c>
      <c r="F12158" t="s">
        <v>0</v>
      </c>
      <c r="G12158" t="str">
        <f>"2018-10-13 17:03:52"</f>
        <v>2018-10-13 17:03:52</v>
      </c>
    </row>
    <row r="12159" spans="1:7" x14ac:dyDescent="0.2">
      <c r="A12159" t="s">
        <v>1</v>
      </c>
      <c r="B12159" t="str">
        <f>"13726455541"</f>
        <v>13726455541</v>
      </c>
      <c r="C12159" t="s">
        <v>1</v>
      </c>
      <c r="D12159" t="s">
        <v>1</v>
      </c>
      <c r="E12159" t="s">
        <v>1</v>
      </c>
      <c r="F12159" t="s">
        <v>0</v>
      </c>
      <c r="G12159" t="str">
        <f>"2018-10-13 17:03:49"</f>
        <v>2018-10-13 17:03:49</v>
      </c>
    </row>
    <row r="12160" spans="1:7" x14ac:dyDescent="0.2">
      <c r="A12160" t="s">
        <v>12277</v>
      </c>
      <c r="B12160" t="str">
        <f>"17667938480"</f>
        <v>17667938480</v>
      </c>
      <c r="C12160" t="str">
        <f>"372926199305033137"</f>
        <v>372926199305033137</v>
      </c>
      <c r="D12160" t="s">
        <v>1</v>
      </c>
      <c r="E12160" t="s">
        <v>1</v>
      </c>
      <c r="F12160" t="s">
        <v>0</v>
      </c>
      <c r="G12160" t="str">
        <f>"2018-10-13 17:15:34"</f>
        <v>2018-10-13 17:15:34</v>
      </c>
    </row>
    <row r="12161" spans="1:7" x14ac:dyDescent="0.2">
      <c r="A12161" t="s">
        <v>1</v>
      </c>
      <c r="B12161" t="str">
        <f>"18519950603"</f>
        <v>18519950603</v>
      </c>
      <c r="C12161" t="s">
        <v>1</v>
      </c>
      <c r="D12161" t="s">
        <v>1</v>
      </c>
      <c r="E12161" t="s">
        <v>1</v>
      </c>
      <c r="F12161" t="s">
        <v>0</v>
      </c>
      <c r="G12161" t="str">
        <f>"2018-10-13 17:05:03"</f>
        <v>2018-10-13 17:05:03</v>
      </c>
    </row>
    <row r="12162" spans="1:7" x14ac:dyDescent="0.2">
      <c r="A12162" t="s">
        <v>12278</v>
      </c>
      <c r="B12162" t="str">
        <f>"18799606399"</f>
        <v>18799606399</v>
      </c>
      <c r="C12162" t="str">
        <f>"650104197802041749"</f>
        <v>650104197802041749</v>
      </c>
      <c r="D12162" t="s">
        <v>12279</v>
      </c>
      <c r="E12162" t="s">
        <v>12280</v>
      </c>
      <c r="F12162" t="s">
        <v>0</v>
      </c>
      <c r="G12162" t="str">
        <f>"2018-10-13 17:05:15"</f>
        <v>2018-10-13 17:05:15</v>
      </c>
    </row>
    <row r="12163" spans="1:7" x14ac:dyDescent="0.2">
      <c r="A12163" t="s">
        <v>865</v>
      </c>
      <c r="B12163" t="str">
        <f>"13140191135"</f>
        <v>13140191135</v>
      </c>
      <c r="C12163" t="str">
        <f>"412323198108030013"</f>
        <v>412323198108030013</v>
      </c>
      <c r="D12163" t="s">
        <v>1</v>
      </c>
      <c r="E12163" t="s">
        <v>1</v>
      </c>
      <c r="F12163" t="s">
        <v>0</v>
      </c>
      <c r="G12163" t="str">
        <f>"2018-10-13 17:04:37"</f>
        <v>2018-10-13 17:04:37</v>
      </c>
    </row>
    <row r="12164" spans="1:7" x14ac:dyDescent="0.2">
      <c r="A12164" t="s">
        <v>1</v>
      </c>
      <c r="B12164" t="str">
        <f>"13697724194"</f>
        <v>13697724194</v>
      </c>
      <c r="C12164" t="s">
        <v>1</v>
      </c>
      <c r="D12164" t="s">
        <v>1</v>
      </c>
      <c r="E12164" t="s">
        <v>1</v>
      </c>
      <c r="F12164" t="s">
        <v>0</v>
      </c>
      <c r="G12164" t="str">
        <f>"2018-10-13 17:03:16"</f>
        <v>2018-10-13 17:03:16</v>
      </c>
    </row>
    <row r="12165" spans="1:7" x14ac:dyDescent="0.2">
      <c r="A12165" t="s">
        <v>1090</v>
      </c>
      <c r="B12165" t="str">
        <f>"15895776277"</f>
        <v>15895776277</v>
      </c>
      <c r="C12165" t="str">
        <f>"321001198706120011"</f>
        <v>321001198706120011</v>
      </c>
      <c r="D12165" t="s">
        <v>12281</v>
      </c>
      <c r="E12165" t="s">
        <v>12282</v>
      </c>
      <c r="F12165" t="s">
        <v>0</v>
      </c>
      <c r="G12165" t="str">
        <f>"2018-10-13 17:05:24"</f>
        <v>2018-10-13 17:05:24</v>
      </c>
    </row>
    <row r="12166" spans="1:7" x14ac:dyDescent="0.2">
      <c r="A12166" t="s">
        <v>1390</v>
      </c>
      <c r="B12166" t="str">
        <f>"18548108524"</f>
        <v>18548108524</v>
      </c>
      <c r="C12166" t="str">
        <f>"150105199609034114"</f>
        <v>150105199609034114</v>
      </c>
      <c r="D12166" t="s">
        <v>1</v>
      </c>
      <c r="E12166" t="s">
        <v>1</v>
      </c>
      <c r="F12166" t="s">
        <v>0</v>
      </c>
      <c r="G12166" t="str">
        <f>"2018-10-13 17:07:58"</f>
        <v>2018-10-13 17:07:58</v>
      </c>
    </row>
    <row r="12167" spans="1:7" x14ac:dyDescent="0.2">
      <c r="A12167" t="s">
        <v>12283</v>
      </c>
      <c r="B12167" t="str">
        <f>"18005566513"</f>
        <v>18005566513</v>
      </c>
      <c r="C12167" t="str">
        <f>"340822199102142415"</f>
        <v>340822199102142415</v>
      </c>
      <c r="D12167" t="s">
        <v>1</v>
      </c>
      <c r="E12167" t="s">
        <v>1</v>
      </c>
      <c r="F12167" t="s">
        <v>0</v>
      </c>
      <c r="G12167" t="str">
        <f>"2018-10-14 08:58:48"</f>
        <v>2018-10-14 08:58:48</v>
      </c>
    </row>
    <row r="12168" spans="1:7" x14ac:dyDescent="0.2">
      <c r="A12168" t="s">
        <v>1</v>
      </c>
      <c r="B12168" t="str">
        <f>"18796208500"</f>
        <v>18796208500</v>
      </c>
      <c r="C12168" t="s">
        <v>1</v>
      </c>
      <c r="D12168" t="s">
        <v>1</v>
      </c>
      <c r="E12168" t="s">
        <v>1</v>
      </c>
      <c r="F12168" t="s">
        <v>0</v>
      </c>
      <c r="G12168" t="str">
        <f>"2018-10-13 17:02:49"</f>
        <v>2018-10-13 17:02:49</v>
      </c>
    </row>
    <row r="12169" spans="1:7" x14ac:dyDescent="0.2">
      <c r="A12169" t="s">
        <v>1</v>
      </c>
      <c r="B12169" t="str">
        <f>"18523002823"</f>
        <v>18523002823</v>
      </c>
      <c r="C12169" t="s">
        <v>1</v>
      </c>
      <c r="D12169" t="s">
        <v>1</v>
      </c>
      <c r="E12169" t="s">
        <v>1</v>
      </c>
      <c r="F12169" t="s">
        <v>0</v>
      </c>
      <c r="G12169" t="str">
        <f>"2018-10-13 17:04:01"</f>
        <v>2018-10-13 17:04:01</v>
      </c>
    </row>
    <row r="12170" spans="1:7" x14ac:dyDescent="0.2">
      <c r="A12170" t="s">
        <v>1</v>
      </c>
      <c r="B12170" t="str">
        <f>"15285542750"</f>
        <v>15285542750</v>
      </c>
      <c r="C12170" t="s">
        <v>1</v>
      </c>
      <c r="D12170" t="s">
        <v>1</v>
      </c>
      <c r="E12170" t="s">
        <v>1</v>
      </c>
      <c r="F12170" t="s">
        <v>0</v>
      </c>
      <c r="G12170" t="str">
        <f>"2018-10-13 17:02:33"</f>
        <v>2018-10-13 17:02:33</v>
      </c>
    </row>
    <row r="12171" spans="1:7" x14ac:dyDescent="0.2">
      <c r="A12171" t="s">
        <v>227</v>
      </c>
      <c r="B12171" t="str">
        <f>"15051685236"</f>
        <v>15051685236</v>
      </c>
      <c r="C12171" t="str">
        <f>"412321198805173615"</f>
        <v>412321198805173615</v>
      </c>
      <c r="D12171" t="s">
        <v>1</v>
      </c>
      <c r="E12171" t="s">
        <v>1</v>
      </c>
      <c r="F12171" t="s">
        <v>0</v>
      </c>
      <c r="G12171" t="str">
        <f>"2018-10-13 17:04:15"</f>
        <v>2018-10-13 17:04:15</v>
      </c>
    </row>
    <row r="12172" spans="1:7" x14ac:dyDescent="0.2">
      <c r="A12172" t="s">
        <v>12284</v>
      </c>
      <c r="B12172" t="str">
        <f>"18616520327"</f>
        <v>18616520327</v>
      </c>
      <c r="C12172" t="str">
        <f>"340823199201022562"</f>
        <v>340823199201022562</v>
      </c>
      <c r="D12172" t="s">
        <v>12285</v>
      </c>
      <c r="E12172" t="s">
        <v>12286</v>
      </c>
      <c r="F12172" t="s">
        <v>0</v>
      </c>
      <c r="G12172" t="str">
        <f>"2018-10-13 17:03:42"</f>
        <v>2018-10-13 17:03:42</v>
      </c>
    </row>
    <row r="12173" spans="1:7" x14ac:dyDescent="0.2">
      <c r="A12173" t="s">
        <v>12287</v>
      </c>
      <c r="B12173" t="str">
        <f>"13438833741"</f>
        <v>13438833741</v>
      </c>
      <c r="C12173" t="str">
        <f>"513227199207271014"</f>
        <v>513227199207271014</v>
      </c>
      <c r="D12173" t="s">
        <v>1</v>
      </c>
      <c r="E12173" t="s">
        <v>1</v>
      </c>
      <c r="F12173" t="s">
        <v>0</v>
      </c>
      <c r="G12173" t="str">
        <f>"2018-10-13 17:04:56"</f>
        <v>2018-10-13 17:04:56</v>
      </c>
    </row>
    <row r="12174" spans="1:7" x14ac:dyDescent="0.2">
      <c r="A12174" t="s">
        <v>1</v>
      </c>
      <c r="B12174" t="str">
        <f>"18788710770"</f>
        <v>18788710770</v>
      </c>
      <c r="C12174" t="s">
        <v>1</v>
      </c>
      <c r="D12174" t="s">
        <v>1</v>
      </c>
      <c r="E12174" t="s">
        <v>1</v>
      </c>
      <c r="F12174" t="s">
        <v>0</v>
      </c>
      <c r="G12174" t="str">
        <f>"2018-10-13 17:02:21"</f>
        <v>2018-10-13 17:02:21</v>
      </c>
    </row>
    <row r="12175" spans="1:7" x14ac:dyDescent="0.2">
      <c r="A12175" t="s">
        <v>1</v>
      </c>
      <c r="B12175" t="str">
        <f>"15759997298"</f>
        <v>15759997298</v>
      </c>
      <c r="C12175" t="s">
        <v>1</v>
      </c>
      <c r="D12175" t="s">
        <v>1</v>
      </c>
      <c r="E12175" t="s">
        <v>1</v>
      </c>
      <c r="F12175" t="s">
        <v>0</v>
      </c>
      <c r="G12175" t="str">
        <f>"2018-10-13 17:02:20"</f>
        <v>2018-10-13 17:02:20</v>
      </c>
    </row>
    <row r="12176" spans="1:7" x14ac:dyDescent="0.2">
      <c r="A12176" t="s">
        <v>36</v>
      </c>
      <c r="B12176" t="str">
        <f>"18353187999"</f>
        <v>18353187999</v>
      </c>
      <c r="C12176" t="str">
        <f>"370102198807283733"</f>
        <v>370102198807283733</v>
      </c>
      <c r="D12176" t="s">
        <v>1</v>
      </c>
      <c r="E12176" t="s">
        <v>1</v>
      </c>
      <c r="F12176" t="s">
        <v>0</v>
      </c>
      <c r="G12176" t="str">
        <f>"2018-10-14 10:22:34"</f>
        <v>2018-10-14 10:22:34</v>
      </c>
    </row>
    <row r="12177" spans="1:7" x14ac:dyDescent="0.2">
      <c r="A12177" t="s">
        <v>475</v>
      </c>
      <c r="B12177" t="str">
        <f>"13577085529"</f>
        <v>13577085529</v>
      </c>
      <c r="C12177" t="str">
        <f>"530111198103283512"</f>
        <v>530111198103283512</v>
      </c>
      <c r="D12177" t="s">
        <v>1</v>
      </c>
      <c r="E12177" t="s">
        <v>1</v>
      </c>
      <c r="F12177" t="s">
        <v>0</v>
      </c>
      <c r="G12177" t="str">
        <f>"2018-10-13 17:05:38"</f>
        <v>2018-10-13 17:05:38</v>
      </c>
    </row>
    <row r="12178" spans="1:7" x14ac:dyDescent="0.2">
      <c r="A12178" t="s">
        <v>131</v>
      </c>
      <c r="B12178" t="str">
        <f>"17712173521"</f>
        <v>17712173521</v>
      </c>
      <c r="C12178" t="str">
        <f>"320382199306178618"</f>
        <v>320382199306178618</v>
      </c>
      <c r="D12178" t="s">
        <v>12288</v>
      </c>
      <c r="E12178" t="s">
        <v>12289</v>
      </c>
      <c r="F12178" t="s">
        <v>0</v>
      </c>
      <c r="G12178" t="str">
        <f>"2018-10-14 08:16:20"</f>
        <v>2018-10-14 08:16:20</v>
      </c>
    </row>
    <row r="12179" spans="1:7" x14ac:dyDescent="0.2">
      <c r="A12179" t="s">
        <v>12290</v>
      </c>
      <c r="B12179" t="str">
        <f>"17811114897"</f>
        <v>17811114897</v>
      </c>
      <c r="C12179" t="str">
        <f>"622826198607082737"</f>
        <v>622826198607082737</v>
      </c>
      <c r="D12179" t="s">
        <v>1</v>
      </c>
      <c r="E12179" t="s">
        <v>1</v>
      </c>
      <c r="F12179" t="s">
        <v>0</v>
      </c>
      <c r="G12179" t="str">
        <f>"2018-10-13 17:03:39"</f>
        <v>2018-10-13 17:03:39</v>
      </c>
    </row>
    <row r="12180" spans="1:7" x14ac:dyDescent="0.2">
      <c r="A12180" t="s">
        <v>12291</v>
      </c>
      <c r="B12180" t="str">
        <f>"13862959708"</f>
        <v>13862959708</v>
      </c>
      <c r="C12180" t="str">
        <f>"350128199509266112"</f>
        <v>350128199509266112</v>
      </c>
      <c r="D12180" t="s">
        <v>12292</v>
      </c>
      <c r="E12180" t="s">
        <v>12293</v>
      </c>
      <c r="F12180" t="s">
        <v>0</v>
      </c>
      <c r="G12180" t="str">
        <f>"2018-10-13 18:37:42"</f>
        <v>2018-10-13 18:37:42</v>
      </c>
    </row>
    <row r="12181" spans="1:7" x14ac:dyDescent="0.2">
      <c r="A12181" t="s">
        <v>1</v>
      </c>
      <c r="B12181" t="str">
        <f>"18878447853"</f>
        <v>18878447853</v>
      </c>
      <c r="C12181" t="s">
        <v>1</v>
      </c>
      <c r="D12181" t="s">
        <v>1</v>
      </c>
      <c r="E12181" t="s">
        <v>1</v>
      </c>
      <c r="F12181" t="s">
        <v>0</v>
      </c>
      <c r="G12181" t="str">
        <f>"2018-10-13 17:01:54"</f>
        <v>2018-10-13 17:01:54</v>
      </c>
    </row>
    <row r="12182" spans="1:7" x14ac:dyDescent="0.2">
      <c r="A12182" t="s">
        <v>1</v>
      </c>
      <c r="B12182" t="str">
        <f>"15659412531"</f>
        <v>15659412531</v>
      </c>
      <c r="C12182" t="s">
        <v>1</v>
      </c>
      <c r="D12182" t="s">
        <v>1</v>
      </c>
      <c r="E12182" t="s">
        <v>1</v>
      </c>
      <c r="F12182" t="s">
        <v>0</v>
      </c>
      <c r="G12182" t="str">
        <f>"2018-10-13 17:01:51"</f>
        <v>2018-10-13 17:01:51</v>
      </c>
    </row>
    <row r="12183" spans="1:7" x14ac:dyDescent="0.2">
      <c r="A12183" t="s">
        <v>12294</v>
      </c>
      <c r="B12183" t="str">
        <f>"15139739486"</f>
        <v>15139739486</v>
      </c>
      <c r="C12183" t="str">
        <f>"411481199711284838"</f>
        <v>411481199711284838</v>
      </c>
      <c r="D12183" t="s">
        <v>1</v>
      </c>
      <c r="E12183" t="s">
        <v>1</v>
      </c>
      <c r="F12183" t="s">
        <v>0</v>
      </c>
      <c r="G12183" t="str">
        <f>"2018-10-13 17:04:52"</f>
        <v>2018-10-13 17:04:52</v>
      </c>
    </row>
    <row r="12184" spans="1:7" x14ac:dyDescent="0.2">
      <c r="A12184" t="s">
        <v>12295</v>
      </c>
      <c r="B12184" t="str">
        <f>"18008761961"</f>
        <v>18008761961</v>
      </c>
      <c r="C12184" t="str">
        <f>"53262819960820231X"</f>
        <v>53262819960820231X</v>
      </c>
      <c r="D12184" t="s">
        <v>1</v>
      </c>
      <c r="E12184" t="s">
        <v>1</v>
      </c>
      <c r="F12184" t="s">
        <v>0</v>
      </c>
      <c r="G12184" t="str">
        <f>"2018-10-13 17:07:45"</f>
        <v>2018-10-13 17:07:45</v>
      </c>
    </row>
    <row r="12185" spans="1:7" x14ac:dyDescent="0.2">
      <c r="A12185" t="s">
        <v>12296</v>
      </c>
      <c r="B12185" t="str">
        <f>"13652127162"</f>
        <v>13652127162</v>
      </c>
      <c r="C12185" t="str">
        <f>"120107198801067517"</f>
        <v>120107198801067517</v>
      </c>
      <c r="D12185" t="s">
        <v>12297</v>
      </c>
      <c r="E12185" t="s">
        <v>12298</v>
      </c>
      <c r="F12185" t="s">
        <v>0</v>
      </c>
      <c r="G12185" t="str">
        <f>"2018-10-13 17:04:24"</f>
        <v>2018-10-13 17:04:24</v>
      </c>
    </row>
    <row r="12186" spans="1:7" x14ac:dyDescent="0.2">
      <c r="A12186" t="s">
        <v>12299</v>
      </c>
      <c r="B12186" t="str">
        <f>"13506637308"</f>
        <v>13506637308</v>
      </c>
      <c r="C12186" t="str">
        <f>"330326199308180712"</f>
        <v>330326199308180712</v>
      </c>
      <c r="D12186" t="s">
        <v>1</v>
      </c>
      <c r="E12186" t="s">
        <v>1</v>
      </c>
      <c r="F12186" t="s">
        <v>0</v>
      </c>
      <c r="G12186" t="str">
        <f>"2018-10-13 17:03:19"</f>
        <v>2018-10-13 17:03:19</v>
      </c>
    </row>
    <row r="12187" spans="1:7" x14ac:dyDescent="0.2">
      <c r="A12187" t="s">
        <v>12300</v>
      </c>
      <c r="B12187" t="str">
        <f>"13560565995"</f>
        <v>13560565995</v>
      </c>
      <c r="C12187" t="str">
        <f>"441521199003301398"</f>
        <v>441521199003301398</v>
      </c>
      <c r="D12187" t="s">
        <v>1</v>
      </c>
      <c r="E12187" t="s">
        <v>1</v>
      </c>
      <c r="F12187" t="s">
        <v>0</v>
      </c>
      <c r="G12187" t="str">
        <f>"2018-10-14 16:42:50"</f>
        <v>2018-10-14 16:42:50</v>
      </c>
    </row>
    <row r="12188" spans="1:7" x14ac:dyDescent="0.2">
      <c r="A12188" t="s">
        <v>12301</v>
      </c>
      <c r="B12188" t="str">
        <f>"18370244222"</f>
        <v>18370244222</v>
      </c>
      <c r="C12188" t="str">
        <f>"211021197602104127"</f>
        <v>211021197602104127</v>
      </c>
      <c r="D12188" t="s">
        <v>1</v>
      </c>
      <c r="E12188" t="s">
        <v>1</v>
      </c>
      <c r="F12188" t="s">
        <v>0</v>
      </c>
      <c r="G12188" t="str">
        <f>"2018-10-13 17:06:08"</f>
        <v>2018-10-13 17:06:08</v>
      </c>
    </row>
    <row r="12189" spans="1:7" x14ac:dyDescent="0.2">
      <c r="A12189" t="s">
        <v>12302</v>
      </c>
      <c r="B12189" t="str">
        <f>"13899013012"</f>
        <v>13899013012</v>
      </c>
      <c r="C12189" t="str">
        <f>"652323196904060059"</f>
        <v>652323196904060059</v>
      </c>
      <c r="D12189" t="s">
        <v>1</v>
      </c>
      <c r="E12189" t="s">
        <v>1</v>
      </c>
      <c r="F12189" t="s">
        <v>0</v>
      </c>
      <c r="G12189" t="str">
        <f>"2018-10-13 17:03:42"</f>
        <v>2018-10-13 17:03:42</v>
      </c>
    </row>
    <row r="12190" spans="1:7" x14ac:dyDescent="0.2">
      <c r="A12190" t="s">
        <v>1</v>
      </c>
      <c r="B12190" t="str">
        <f>"18251878303"</f>
        <v>18251878303</v>
      </c>
      <c r="C12190" t="s">
        <v>1</v>
      </c>
      <c r="D12190" t="s">
        <v>1</v>
      </c>
      <c r="E12190" t="s">
        <v>1</v>
      </c>
      <c r="F12190" t="s">
        <v>0</v>
      </c>
      <c r="G12190" t="str">
        <f>"2018-10-13 17:01:21"</f>
        <v>2018-10-13 17:01:21</v>
      </c>
    </row>
    <row r="12191" spans="1:7" x14ac:dyDescent="0.2">
      <c r="A12191" t="s">
        <v>1</v>
      </c>
      <c r="B12191" t="str">
        <f>"15059310168"</f>
        <v>15059310168</v>
      </c>
      <c r="C12191" t="s">
        <v>1</v>
      </c>
      <c r="D12191" t="s">
        <v>1</v>
      </c>
      <c r="E12191" t="s">
        <v>1</v>
      </c>
      <c r="F12191" t="s">
        <v>0</v>
      </c>
      <c r="G12191" t="str">
        <f>"2018-10-13 17:01:06"</f>
        <v>2018-10-13 17:01:06</v>
      </c>
    </row>
    <row r="12192" spans="1:7" x14ac:dyDescent="0.2">
      <c r="A12192" t="s">
        <v>12303</v>
      </c>
      <c r="B12192" t="str">
        <f>"13083316999"</f>
        <v>13083316999</v>
      </c>
      <c r="C12192" t="str">
        <f>"341126198702080610"</f>
        <v>341126198702080610</v>
      </c>
      <c r="D12192" t="s">
        <v>1</v>
      </c>
      <c r="E12192" t="s">
        <v>1</v>
      </c>
      <c r="F12192" t="s">
        <v>0</v>
      </c>
      <c r="G12192" t="str">
        <f>"2018-10-28 23:51:46"</f>
        <v>2018-10-28 23:51:46</v>
      </c>
    </row>
    <row r="12193" spans="1:7" x14ac:dyDescent="0.2">
      <c r="A12193" t="s">
        <v>605</v>
      </c>
      <c r="B12193" t="str">
        <f>"15187341899"</f>
        <v>15187341899</v>
      </c>
      <c r="C12193" t="str">
        <f>"532524198111063021"</f>
        <v>532524198111063021</v>
      </c>
      <c r="D12193" t="s">
        <v>1</v>
      </c>
      <c r="E12193" t="s">
        <v>1</v>
      </c>
      <c r="F12193" t="s">
        <v>0</v>
      </c>
      <c r="G12193" t="str">
        <f>"2018-10-13 17:01:56"</f>
        <v>2018-10-13 17:01:56</v>
      </c>
    </row>
    <row r="12194" spans="1:7" x14ac:dyDescent="0.2">
      <c r="A12194" t="s">
        <v>12304</v>
      </c>
      <c r="B12194" t="str">
        <f>"15185667590"</f>
        <v>15185667590</v>
      </c>
      <c r="C12194" t="str">
        <f>"522601199808126831"</f>
        <v>522601199808126831</v>
      </c>
      <c r="D12194" t="s">
        <v>12305</v>
      </c>
      <c r="E12194" t="s">
        <v>12306</v>
      </c>
      <c r="F12194" t="s">
        <v>0</v>
      </c>
      <c r="G12194" t="str">
        <f>"2018-10-13 17:03:08"</f>
        <v>2018-10-13 17:03:08</v>
      </c>
    </row>
    <row r="12195" spans="1:7" x14ac:dyDescent="0.2">
      <c r="A12195" t="s">
        <v>1311</v>
      </c>
      <c r="B12195" t="str">
        <f>"13752856162"</f>
        <v>13752856162</v>
      </c>
      <c r="C12195" t="str">
        <f>"653130199202073063"</f>
        <v>653130199202073063</v>
      </c>
      <c r="D12195" t="s">
        <v>12307</v>
      </c>
      <c r="E12195" t="s">
        <v>12308</v>
      </c>
      <c r="F12195" t="s">
        <v>0</v>
      </c>
      <c r="G12195" t="str">
        <f>"2018-10-13 17:00:18"</f>
        <v>2018-10-13 17:00:18</v>
      </c>
    </row>
    <row r="12196" spans="1:7" x14ac:dyDescent="0.2">
      <c r="A12196" t="s">
        <v>12309</v>
      </c>
      <c r="B12196" t="str">
        <f>"15289922211"</f>
        <v>15289922211</v>
      </c>
      <c r="C12196" t="str">
        <f>"460032199201054396"</f>
        <v>460032199201054396</v>
      </c>
      <c r="D12196" t="s">
        <v>1</v>
      </c>
      <c r="E12196" t="s">
        <v>1</v>
      </c>
      <c r="F12196" t="s">
        <v>0</v>
      </c>
      <c r="G12196" t="str">
        <f>"2018-10-14 11:06:51"</f>
        <v>2018-10-14 11:06:51</v>
      </c>
    </row>
    <row r="12197" spans="1:7" x14ac:dyDescent="0.2">
      <c r="A12197" t="s">
        <v>872</v>
      </c>
      <c r="B12197" t="str">
        <f>"18256048077"</f>
        <v>18256048077</v>
      </c>
      <c r="C12197" t="str">
        <f>"342401199202165006"</f>
        <v>342401199202165006</v>
      </c>
      <c r="D12197" t="s">
        <v>1</v>
      </c>
      <c r="E12197" t="s">
        <v>1</v>
      </c>
      <c r="F12197" t="s">
        <v>0</v>
      </c>
      <c r="G12197" t="str">
        <f>"2018-10-13 17:08:22"</f>
        <v>2018-10-13 17:08:22</v>
      </c>
    </row>
    <row r="12198" spans="1:7" x14ac:dyDescent="0.2">
      <c r="A12198" t="s">
        <v>1</v>
      </c>
      <c r="B12198" t="str">
        <f>"13625691365"</f>
        <v>13625691365</v>
      </c>
      <c r="C12198" t="s">
        <v>1</v>
      </c>
      <c r="D12198" t="s">
        <v>1</v>
      </c>
      <c r="E12198" t="s">
        <v>1</v>
      </c>
      <c r="F12198" t="s">
        <v>0</v>
      </c>
      <c r="G12198" t="str">
        <f>"2018-10-13 17:01:21"</f>
        <v>2018-10-13 17:01:21</v>
      </c>
    </row>
    <row r="12199" spans="1:7" x14ac:dyDescent="0.2">
      <c r="A12199" t="s">
        <v>12310</v>
      </c>
      <c r="B12199" t="str">
        <f>"18797777757"</f>
        <v>18797777757</v>
      </c>
      <c r="C12199" t="str">
        <f>"430702198712123015"</f>
        <v>430702198712123015</v>
      </c>
      <c r="D12199" t="s">
        <v>12311</v>
      </c>
      <c r="E12199" t="s">
        <v>12312</v>
      </c>
      <c r="F12199" t="s">
        <v>0</v>
      </c>
      <c r="G12199" t="str">
        <f>"2018-10-13 16:58:16"</f>
        <v>2018-10-13 16:58:16</v>
      </c>
    </row>
    <row r="12200" spans="1:7" x14ac:dyDescent="0.2">
      <c r="A12200" t="s">
        <v>1</v>
      </c>
      <c r="B12200" t="str">
        <f>"18689555722"</f>
        <v>18689555722</v>
      </c>
      <c r="C12200" t="s">
        <v>1</v>
      </c>
      <c r="D12200" t="s">
        <v>1</v>
      </c>
      <c r="E12200" t="s">
        <v>1</v>
      </c>
      <c r="F12200" t="s">
        <v>0</v>
      </c>
      <c r="G12200" t="str">
        <f>"2018-10-13 16:57:20"</f>
        <v>2018-10-13 16:57:20</v>
      </c>
    </row>
    <row r="12201" spans="1:7" x14ac:dyDescent="0.2">
      <c r="A12201" t="s">
        <v>12313</v>
      </c>
      <c r="B12201" t="str">
        <f>"13432153555"</f>
        <v>13432153555</v>
      </c>
      <c r="C12201" t="str">
        <f>"440881199412304110"</f>
        <v>440881199412304110</v>
      </c>
      <c r="D12201" t="s">
        <v>1</v>
      </c>
      <c r="E12201" t="s">
        <v>1</v>
      </c>
      <c r="F12201" t="s">
        <v>0</v>
      </c>
      <c r="G12201" t="str">
        <f>"2018-10-22 14:50:32"</f>
        <v>2018-10-22 14:50:32</v>
      </c>
    </row>
    <row r="12202" spans="1:7" x14ac:dyDescent="0.2">
      <c r="A12202" t="s">
        <v>12314</v>
      </c>
      <c r="B12202" t="str">
        <f>"15125996683"</f>
        <v>15125996683</v>
      </c>
      <c r="C12202" t="str">
        <f>"532326197806132836"</f>
        <v>532326197806132836</v>
      </c>
      <c r="D12202" t="s">
        <v>1</v>
      </c>
      <c r="E12202" t="s">
        <v>1</v>
      </c>
      <c r="F12202" t="s">
        <v>0</v>
      </c>
      <c r="G12202" t="str">
        <f>"2018-10-13 16:55:28"</f>
        <v>2018-10-13 16:55:28</v>
      </c>
    </row>
    <row r="12203" spans="1:7" x14ac:dyDescent="0.2">
      <c r="A12203" t="s">
        <v>12315</v>
      </c>
      <c r="B12203" t="str">
        <f>"15758266075"</f>
        <v>15758266075</v>
      </c>
      <c r="C12203" t="str">
        <f>"532701199010152413"</f>
        <v>532701199010152413</v>
      </c>
      <c r="D12203" t="s">
        <v>12316</v>
      </c>
      <c r="E12203" t="s">
        <v>12317</v>
      </c>
      <c r="F12203" t="s">
        <v>0</v>
      </c>
      <c r="G12203" t="str">
        <f>"2018-10-13 17:07:09"</f>
        <v>2018-10-13 17:07:09</v>
      </c>
    </row>
    <row r="12204" spans="1:7" x14ac:dyDescent="0.2">
      <c r="A12204" t="s">
        <v>5611</v>
      </c>
      <c r="B12204" t="str">
        <f>"13772849964"</f>
        <v>13772849964</v>
      </c>
      <c r="C12204" t="str">
        <f>"612325197911114852"</f>
        <v>612325197911114852</v>
      </c>
      <c r="D12204" t="s">
        <v>1</v>
      </c>
      <c r="E12204" t="s">
        <v>1</v>
      </c>
      <c r="F12204" t="s">
        <v>0</v>
      </c>
      <c r="G12204" t="str">
        <f>"2018-10-13 18:04:40"</f>
        <v>2018-10-13 18:04:40</v>
      </c>
    </row>
    <row r="12205" spans="1:7" x14ac:dyDescent="0.2">
      <c r="A12205" t="s">
        <v>1</v>
      </c>
      <c r="B12205" t="str">
        <f>"13626598827"</f>
        <v>13626598827</v>
      </c>
      <c r="C12205" t="s">
        <v>1</v>
      </c>
      <c r="D12205" t="s">
        <v>1</v>
      </c>
      <c r="E12205" t="s">
        <v>1</v>
      </c>
      <c r="F12205" t="s">
        <v>0</v>
      </c>
      <c r="G12205" t="str">
        <f>"2018-10-13 16:53:19"</f>
        <v>2018-10-13 16:53:19</v>
      </c>
    </row>
    <row r="12206" spans="1:7" x14ac:dyDescent="0.2">
      <c r="A12206" t="s">
        <v>12318</v>
      </c>
      <c r="B12206" t="str">
        <f>"18089171333"</f>
        <v>18089171333</v>
      </c>
      <c r="C12206" t="str">
        <f>"410223199105197034"</f>
        <v>410223199105197034</v>
      </c>
      <c r="D12206" t="s">
        <v>12319</v>
      </c>
      <c r="E12206" t="s">
        <v>12320</v>
      </c>
      <c r="F12206" t="s">
        <v>0</v>
      </c>
      <c r="G12206" t="str">
        <f>"2018-10-13 16:59:49"</f>
        <v>2018-10-13 16:59:49</v>
      </c>
    </row>
    <row r="12207" spans="1:7" x14ac:dyDescent="0.2">
      <c r="A12207" t="s">
        <v>1</v>
      </c>
      <c r="B12207" t="str">
        <f>"15922504066"</f>
        <v>15922504066</v>
      </c>
      <c r="C12207" t="s">
        <v>1</v>
      </c>
      <c r="D12207" t="s">
        <v>1</v>
      </c>
      <c r="E12207" t="s">
        <v>1</v>
      </c>
      <c r="F12207" t="s">
        <v>0</v>
      </c>
      <c r="G12207" t="str">
        <f>"2018-10-13 16:52:46"</f>
        <v>2018-10-13 16:52:46</v>
      </c>
    </row>
    <row r="12208" spans="1:7" x14ac:dyDescent="0.2">
      <c r="A12208" t="s">
        <v>6962</v>
      </c>
      <c r="B12208" t="str">
        <f>"18664419990"</f>
        <v>18664419990</v>
      </c>
      <c r="C12208" t="str">
        <f>"352203198806154227"</f>
        <v>352203198806154227</v>
      </c>
      <c r="D12208" t="s">
        <v>1</v>
      </c>
      <c r="E12208" t="s">
        <v>1</v>
      </c>
      <c r="F12208" t="s">
        <v>0</v>
      </c>
      <c r="G12208" t="str">
        <f>"2018-10-13 17:18:02"</f>
        <v>2018-10-13 17:18:02</v>
      </c>
    </row>
    <row r="12209" spans="1:7" x14ac:dyDescent="0.2">
      <c r="A12209" t="s">
        <v>12321</v>
      </c>
      <c r="B12209" t="str">
        <f>"13215770092"</f>
        <v>13215770092</v>
      </c>
      <c r="C12209" t="str">
        <f>"211204199204261526"</f>
        <v>211204199204261526</v>
      </c>
      <c r="D12209" t="s">
        <v>1</v>
      </c>
      <c r="E12209" t="s">
        <v>1</v>
      </c>
      <c r="F12209" t="s">
        <v>0</v>
      </c>
      <c r="G12209" t="str">
        <f>"2018-10-13 17:01:34"</f>
        <v>2018-10-13 17:01:34</v>
      </c>
    </row>
    <row r="12210" spans="1:7" x14ac:dyDescent="0.2">
      <c r="A12210" t="s">
        <v>1</v>
      </c>
      <c r="B12210" t="str">
        <f>"15181970566"</f>
        <v>15181970566</v>
      </c>
      <c r="C12210" t="s">
        <v>1</v>
      </c>
      <c r="D12210" t="s">
        <v>1</v>
      </c>
      <c r="E12210" t="s">
        <v>1</v>
      </c>
      <c r="F12210" t="s">
        <v>0</v>
      </c>
      <c r="G12210" t="str">
        <f>"2018-10-13 16:56:56"</f>
        <v>2018-10-13 16:56:56</v>
      </c>
    </row>
    <row r="12211" spans="1:7" x14ac:dyDescent="0.2">
      <c r="A12211" t="s">
        <v>12322</v>
      </c>
      <c r="B12211" t="str">
        <f>"18166197632"</f>
        <v>18166197632</v>
      </c>
      <c r="C12211" t="str">
        <f>"430321196401262614"</f>
        <v>430321196401262614</v>
      </c>
      <c r="D12211" t="s">
        <v>1</v>
      </c>
      <c r="E12211" t="s">
        <v>1</v>
      </c>
      <c r="F12211" t="s">
        <v>0</v>
      </c>
      <c r="G12211" t="str">
        <f>"2018-10-13 20:00:21"</f>
        <v>2018-10-13 20:00:21</v>
      </c>
    </row>
    <row r="12212" spans="1:7" x14ac:dyDescent="0.2">
      <c r="A12212" t="s">
        <v>12323</v>
      </c>
      <c r="B12212" t="str">
        <f>"17854157531"</f>
        <v>17854157531</v>
      </c>
      <c r="C12212" t="str">
        <f>"370882199609183218"</f>
        <v>370882199609183218</v>
      </c>
      <c r="D12212" t="s">
        <v>1</v>
      </c>
      <c r="E12212" t="s">
        <v>1</v>
      </c>
      <c r="F12212" t="s">
        <v>0</v>
      </c>
      <c r="G12212" t="str">
        <f>"2018-10-17 10:34:33"</f>
        <v>2018-10-17 10:34:33</v>
      </c>
    </row>
    <row r="12213" spans="1:7" x14ac:dyDescent="0.2">
      <c r="A12213" t="s">
        <v>12324</v>
      </c>
      <c r="B12213" t="str">
        <f>"13420176034"</f>
        <v>13420176034</v>
      </c>
      <c r="C12213" t="str">
        <f>"44068119960529363X"</f>
        <v>44068119960529363X</v>
      </c>
      <c r="D12213" t="s">
        <v>12325</v>
      </c>
      <c r="E12213" t="s">
        <v>12326</v>
      </c>
      <c r="F12213" t="s">
        <v>0</v>
      </c>
      <c r="G12213" t="str">
        <f>"2018-10-13 16:51:20"</f>
        <v>2018-10-13 16:51:20</v>
      </c>
    </row>
    <row r="12214" spans="1:7" x14ac:dyDescent="0.2">
      <c r="A12214" t="s">
        <v>1</v>
      </c>
      <c r="B12214" t="str">
        <f>"15289744583"</f>
        <v>15289744583</v>
      </c>
      <c r="C12214" t="s">
        <v>1</v>
      </c>
      <c r="D12214" t="s">
        <v>1</v>
      </c>
      <c r="E12214" t="s">
        <v>1</v>
      </c>
      <c r="F12214" t="s">
        <v>0</v>
      </c>
      <c r="G12214" t="str">
        <f>"2018-10-13 17:00:36"</f>
        <v>2018-10-13 17:00:36</v>
      </c>
    </row>
    <row r="12215" spans="1:7" x14ac:dyDescent="0.2">
      <c r="A12215" t="s">
        <v>671</v>
      </c>
      <c r="B12215" t="str">
        <f>"13403436565"</f>
        <v>13403436565</v>
      </c>
      <c r="C12215" t="str">
        <f>"140107198510043930"</f>
        <v>140107198510043930</v>
      </c>
      <c r="D12215" t="s">
        <v>1</v>
      </c>
      <c r="E12215" t="s">
        <v>1</v>
      </c>
      <c r="F12215" t="s">
        <v>0</v>
      </c>
      <c r="G12215" t="str">
        <f>"2018-10-13 16:54:13"</f>
        <v>2018-10-13 16:54:13</v>
      </c>
    </row>
    <row r="12216" spans="1:7" x14ac:dyDescent="0.2">
      <c r="A12216" t="s">
        <v>1</v>
      </c>
      <c r="B12216" t="str">
        <f>"18530700870"</f>
        <v>18530700870</v>
      </c>
      <c r="C12216" t="s">
        <v>1</v>
      </c>
      <c r="D12216" t="s">
        <v>1</v>
      </c>
      <c r="E12216" t="s">
        <v>1</v>
      </c>
      <c r="F12216" t="s">
        <v>0</v>
      </c>
      <c r="G12216" t="str">
        <f>"2018-10-13 16:48:56"</f>
        <v>2018-10-13 16:48:56</v>
      </c>
    </row>
    <row r="12217" spans="1:7" x14ac:dyDescent="0.2">
      <c r="A12217" t="s">
        <v>1</v>
      </c>
      <c r="B12217" t="str">
        <f>"13517088488"</f>
        <v>13517088488</v>
      </c>
      <c r="C12217" t="s">
        <v>1</v>
      </c>
      <c r="D12217" t="s">
        <v>1</v>
      </c>
      <c r="E12217" t="s">
        <v>1</v>
      </c>
      <c r="F12217" t="s">
        <v>0</v>
      </c>
      <c r="G12217" t="str">
        <f>"2018-10-13 16:48:51"</f>
        <v>2018-10-13 16:48:51</v>
      </c>
    </row>
    <row r="12218" spans="1:7" x14ac:dyDescent="0.2">
      <c r="A12218" t="s">
        <v>789</v>
      </c>
      <c r="B12218" t="str">
        <f>"18770971451"</f>
        <v>18770971451</v>
      </c>
      <c r="C12218" t="str">
        <f>"360726198906140019"</f>
        <v>360726198906140019</v>
      </c>
      <c r="D12218" t="s">
        <v>1</v>
      </c>
      <c r="E12218" t="s">
        <v>1</v>
      </c>
      <c r="F12218" t="s">
        <v>0</v>
      </c>
      <c r="G12218" t="str">
        <f>"2018-10-13 16:50:19"</f>
        <v>2018-10-13 16:50:19</v>
      </c>
    </row>
    <row r="12219" spans="1:7" x14ac:dyDescent="0.2">
      <c r="A12219" t="s">
        <v>1</v>
      </c>
      <c r="B12219" t="str">
        <f>"13435958241"</f>
        <v>13435958241</v>
      </c>
      <c r="C12219" t="s">
        <v>1</v>
      </c>
      <c r="D12219" t="s">
        <v>1</v>
      </c>
      <c r="E12219" t="s">
        <v>1</v>
      </c>
      <c r="F12219" t="s">
        <v>0</v>
      </c>
      <c r="G12219" t="str">
        <f>"2018-10-13 16:47:23"</f>
        <v>2018-10-13 16:47:23</v>
      </c>
    </row>
    <row r="12220" spans="1:7" x14ac:dyDescent="0.2">
      <c r="A12220" t="s">
        <v>12327</v>
      </c>
      <c r="B12220" t="str">
        <f>"18677656268"</f>
        <v>18677656268</v>
      </c>
      <c r="C12220" t="str">
        <f>"452226199104073951"</f>
        <v>452226199104073951</v>
      </c>
      <c r="D12220" t="s">
        <v>12328</v>
      </c>
      <c r="E12220" t="s">
        <v>12329</v>
      </c>
      <c r="F12220" t="s">
        <v>0</v>
      </c>
      <c r="G12220" t="str">
        <f>"2018-10-13 16:50:35"</f>
        <v>2018-10-13 16:50:35</v>
      </c>
    </row>
    <row r="12221" spans="1:7" x14ac:dyDescent="0.2">
      <c r="A12221" t="s">
        <v>12330</v>
      </c>
      <c r="B12221" t="str">
        <f>"15731366588"</f>
        <v>15731366588</v>
      </c>
      <c r="C12221" t="str">
        <f>"130729198807202516"</f>
        <v>130729198807202516</v>
      </c>
      <c r="D12221" t="s">
        <v>1</v>
      </c>
      <c r="E12221" t="s">
        <v>1</v>
      </c>
      <c r="F12221" t="s">
        <v>0</v>
      </c>
      <c r="G12221" t="str">
        <f>"2018-10-13 16:47:53"</f>
        <v>2018-10-13 16:47:53</v>
      </c>
    </row>
    <row r="12222" spans="1:7" x14ac:dyDescent="0.2">
      <c r="A12222" t="s">
        <v>12331</v>
      </c>
      <c r="B12222" t="str">
        <f>"18711969012"</f>
        <v>18711969012</v>
      </c>
      <c r="C12222" t="str">
        <f>"430522197301229333"</f>
        <v>430522197301229333</v>
      </c>
      <c r="D12222" t="s">
        <v>1</v>
      </c>
      <c r="E12222" t="s">
        <v>1</v>
      </c>
      <c r="F12222" t="s">
        <v>0</v>
      </c>
      <c r="G12222" t="str">
        <f>"2018-10-13 16:48:20"</f>
        <v>2018-10-13 16:48:20</v>
      </c>
    </row>
    <row r="12223" spans="1:7" x14ac:dyDescent="0.2">
      <c r="A12223" t="s">
        <v>12332</v>
      </c>
      <c r="B12223" t="str">
        <f>"18587616076"</f>
        <v>18587616076</v>
      </c>
      <c r="C12223" t="str">
        <f>"452628199810270922"</f>
        <v>452628199810270922</v>
      </c>
      <c r="D12223" t="s">
        <v>1</v>
      </c>
      <c r="E12223" t="s">
        <v>1</v>
      </c>
      <c r="F12223" t="s">
        <v>0</v>
      </c>
      <c r="G12223" t="str">
        <f>"2018-10-13 16:53:31"</f>
        <v>2018-10-13 16:53:31</v>
      </c>
    </row>
    <row r="12224" spans="1:7" x14ac:dyDescent="0.2">
      <c r="A12224" t="s">
        <v>1</v>
      </c>
      <c r="B12224" t="str">
        <f>"15501050710"</f>
        <v>15501050710</v>
      </c>
      <c r="C12224" t="s">
        <v>1</v>
      </c>
      <c r="D12224" t="s">
        <v>1</v>
      </c>
      <c r="E12224" t="s">
        <v>1</v>
      </c>
      <c r="F12224" t="s">
        <v>0</v>
      </c>
      <c r="G12224" t="str">
        <f>"2018-10-13 16:44:58"</f>
        <v>2018-10-13 16:44:58</v>
      </c>
    </row>
    <row r="12225" spans="1:7" x14ac:dyDescent="0.2">
      <c r="A12225" t="s">
        <v>464</v>
      </c>
      <c r="B12225" t="str">
        <f>"15183452741"</f>
        <v>15183452741</v>
      </c>
      <c r="C12225" t="str">
        <f>"51343519810805001X"</f>
        <v>51343519810805001X</v>
      </c>
      <c r="D12225" t="s">
        <v>1</v>
      </c>
      <c r="E12225" t="s">
        <v>1</v>
      </c>
      <c r="F12225" t="s">
        <v>0</v>
      </c>
      <c r="G12225" t="str">
        <f>"2018-10-13 16:46:43"</f>
        <v>2018-10-13 16:46:43</v>
      </c>
    </row>
    <row r="12226" spans="1:7" x14ac:dyDescent="0.2">
      <c r="A12226" t="s">
        <v>234</v>
      </c>
      <c r="B12226" t="str">
        <f>"13608841939"</f>
        <v>13608841939</v>
      </c>
      <c r="C12226" t="str">
        <f>"530103198301220942"</f>
        <v>530103198301220942</v>
      </c>
      <c r="D12226" t="s">
        <v>1</v>
      </c>
      <c r="E12226" t="s">
        <v>1</v>
      </c>
      <c r="F12226" t="s">
        <v>0</v>
      </c>
      <c r="G12226" t="str">
        <f>"2018-10-21 16:15:28"</f>
        <v>2018-10-21 16:15:28</v>
      </c>
    </row>
    <row r="12227" spans="1:7" x14ac:dyDescent="0.2">
      <c r="A12227" t="s">
        <v>227</v>
      </c>
      <c r="B12227" t="str">
        <f>"15591446809"</f>
        <v>15591446809</v>
      </c>
      <c r="C12227" t="str">
        <f>"612321199501043610"</f>
        <v>612321199501043610</v>
      </c>
      <c r="D12227" t="s">
        <v>1</v>
      </c>
      <c r="E12227" t="s">
        <v>1</v>
      </c>
      <c r="F12227" t="s">
        <v>0</v>
      </c>
      <c r="G12227" t="str">
        <f>"2018-10-13 16:47:12"</f>
        <v>2018-10-13 16:47:12</v>
      </c>
    </row>
    <row r="12228" spans="1:7" x14ac:dyDescent="0.2">
      <c r="A12228" t="s">
        <v>12333</v>
      </c>
      <c r="B12228" t="str">
        <f>"15755700125"</f>
        <v>15755700125</v>
      </c>
      <c r="C12228" t="str">
        <f>"342224198906190014"</f>
        <v>342224198906190014</v>
      </c>
      <c r="D12228" t="s">
        <v>12334</v>
      </c>
      <c r="E12228" t="s">
        <v>12335</v>
      </c>
      <c r="F12228" t="s">
        <v>0</v>
      </c>
      <c r="G12228" t="str">
        <f>"2018-10-13 16:40:41"</f>
        <v>2018-10-13 16:40:41</v>
      </c>
    </row>
    <row r="12229" spans="1:7" x14ac:dyDescent="0.2">
      <c r="A12229" t="s">
        <v>136</v>
      </c>
      <c r="B12229" t="str">
        <f>"13007990585"</f>
        <v>13007990585</v>
      </c>
      <c r="C12229" t="str">
        <f>"640121199404303110"</f>
        <v>640121199404303110</v>
      </c>
      <c r="D12229" t="s">
        <v>1</v>
      </c>
      <c r="E12229" t="s">
        <v>1</v>
      </c>
      <c r="F12229" t="s">
        <v>0</v>
      </c>
      <c r="G12229" t="str">
        <f>"2018-10-13 16:44:08"</f>
        <v>2018-10-13 16:44:08</v>
      </c>
    </row>
    <row r="12230" spans="1:7" x14ac:dyDescent="0.2">
      <c r="A12230" t="s">
        <v>12336</v>
      </c>
      <c r="B12230" t="str">
        <f>"13500965227"</f>
        <v>13500965227</v>
      </c>
      <c r="C12230" t="str">
        <f>"220302197606230014"</f>
        <v>220302197606230014</v>
      </c>
      <c r="D12230" t="s">
        <v>1</v>
      </c>
      <c r="E12230" t="s">
        <v>1</v>
      </c>
      <c r="F12230" t="s">
        <v>0</v>
      </c>
      <c r="G12230" t="str">
        <f>"2018-10-13 16:45:11"</f>
        <v>2018-10-13 16:45:11</v>
      </c>
    </row>
    <row r="12231" spans="1:7" x14ac:dyDescent="0.2">
      <c r="A12231" t="s">
        <v>1</v>
      </c>
      <c r="B12231" t="str">
        <f>"17634720019"</f>
        <v>17634720019</v>
      </c>
      <c r="C12231" t="s">
        <v>1</v>
      </c>
      <c r="D12231" t="s">
        <v>1</v>
      </c>
      <c r="E12231" t="s">
        <v>1</v>
      </c>
      <c r="F12231" t="s">
        <v>0</v>
      </c>
      <c r="G12231" t="str">
        <f>"2018-10-13 16:39:35"</f>
        <v>2018-10-13 16:39:35</v>
      </c>
    </row>
    <row r="12232" spans="1:7" x14ac:dyDescent="0.2">
      <c r="A12232" t="s">
        <v>1</v>
      </c>
      <c r="B12232" t="str">
        <f>"13929785005"</f>
        <v>13929785005</v>
      </c>
      <c r="C12232" t="s">
        <v>1</v>
      </c>
      <c r="D12232" t="s">
        <v>1</v>
      </c>
      <c r="E12232" t="s">
        <v>1</v>
      </c>
      <c r="F12232" t="s">
        <v>0</v>
      </c>
      <c r="G12232" t="str">
        <f>"2018-10-13 16:39:17"</f>
        <v>2018-10-13 16:39:17</v>
      </c>
    </row>
    <row r="12233" spans="1:7" x14ac:dyDescent="0.2">
      <c r="A12233" t="s">
        <v>12337</v>
      </c>
      <c r="B12233" t="str">
        <f>"13075918506"</f>
        <v>13075918506</v>
      </c>
      <c r="C12233" t="str">
        <f>"36233019920204241X"</f>
        <v>36233019920204241X</v>
      </c>
      <c r="D12233" t="s">
        <v>1</v>
      </c>
      <c r="E12233" t="s">
        <v>1</v>
      </c>
      <c r="F12233" t="s">
        <v>0</v>
      </c>
      <c r="G12233" t="str">
        <f>"2018-10-13 16:39:33"</f>
        <v>2018-10-13 16:39:33</v>
      </c>
    </row>
    <row r="12234" spans="1:7" x14ac:dyDescent="0.2">
      <c r="A12234" t="s">
        <v>12338</v>
      </c>
      <c r="B12234" t="str">
        <f>"17756612344"</f>
        <v>17756612344</v>
      </c>
      <c r="C12234" t="str">
        <f>"342923199605207210"</f>
        <v>342923199605207210</v>
      </c>
      <c r="D12234" t="s">
        <v>12339</v>
      </c>
      <c r="E12234" t="s">
        <v>12340</v>
      </c>
      <c r="F12234" t="s">
        <v>0</v>
      </c>
      <c r="G12234" t="str">
        <f>"2018-10-13 16:39:44"</f>
        <v>2018-10-13 16:39:44</v>
      </c>
    </row>
    <row r="12235" spans="1:7" x14ac:dyDescent="0.2">
      <c r="A12235" t="s">
        <v>3286</v>
      </c>
      <c r="B12235" t="str">
        <f>"18141003336"</f>
        <v>18141003336</v>
      </c>
      <c r="C12235" t="str">
        <f>"211202198707072017"</f>
        <v>211202198707072017</v>
      </c>
      <c r="D12235" t="s">
        <v>12341</v>
      </c>
      <c r="E12235" t="s">
        <v>12342</v>
      </c>
      <c r="F12235" t="s">
        <v>0</v>
      </c>
      <c r="G12235" t="str">
        <f>"2018-10-21 16:24:38"</f>
        <v>2018-10-21 16:24:38</v>
      </c>
    </row>
    <row r="12236" spans="1:7" x14ac:dyDescent="0.2">
      <c r="A12236" t="s">
        <v>12343</v>
      </c>
      <c r="B12236" t="str">
        <f>"13355360158"</f>
        <v>13355360158</v>
      </c>
      <c r="C12236" t="str">
        <f>"370722197607013310"</f>
        <v>370722197607013310</v>
      </c>
      <c r="D12236" t="s">
        <v>1</v>
      </c>
      <c r="E12236" t="s">
        <v>1</v>
      </c>
      <c r="F12236" t="s">
        <v>0</v>
      </c>
      <c r="G12236" t="str">
        <f>"2018-10-13 16:37:38"</f>
        <v>2018-10-13 16:37:38</v>
      </c>
    </row>
    <row r="12237" spans="1:7" x14ac:dyDescent="0.2">
      <c r="A12237" t="s">
        <v>12344</v>
      </c>
      <c r="B12237" t="str">
        <f>"15170027890"</f>
        <v>15170027890</v>
      </c>
      <c r="C12237" t="str">
        <f>"360121199108230028"</f>
        <v>360121199108230028</v>
      </c>
      <c r="D12237" t="s">
        <v>1</v>
      </c>
      <c r="E12237" t="s">
        <v>1</v>
      </c>
      <c r="F12237" t="s">
        <v>0</v>
      </c>
      <c r="G12237" t="str">
        <f>"2018-10-13 16:39:18"</f>
        <v>2018-10-13 16:39:18</v>
      </c>
    </row>
    <row r="12238" spans="1:7" x14ac:dyDescent="0.2">
      <c r="A12238" t="s">
        <v>12345</v>
      </c>
      <c r="B12238" t="str">
        <f>"18296016713"</f>
        <v>18296016713</v>
      </c>
      <c r="C12238" t="str">
        <f>"522324199803130418"</f>
        <v>522324199803130418</v>
      </c>
      <c r="D12238" t="s">
        <v>1</v>
      </c>
      <c r="E12238" t="s">
        <v>1</v>
      </c>
      <c r="F12238" t="s">
        <v>0</v>
      </c>
      <c r="G12238" t="str">
        <f>"2018-10-13 16:36:08"</f>
        <v>2018-10-13 16:36:08</v>
      </c>
    </row>
    <row r="12239" spans="1:7" x14ac:dyDescent="0.2">
      <c r="A12239" t="s">
        <v>1</v>
      </c>
      <c r="B12239" t="str">
        <f>"15061621722"</f>
        <v>15061621722</v>
      </c>
      <c r="C12239" t="s">
        <v>1</v>
      </c>
      <c r="D12239" t="s">
        <v>1</v>
      </c>
      <c r="E12239" t="s">
        <v>1</v>
      </c>
      <c r="F12239" t="s">
        <v>0</v>
      </c>
      <c r="G12239" t="str">
        <f>"2018-10-13 16:35:32"</f>
        <v>2018-10-13 16:35:32</v>
      </c>
    </row>
    <row r="12240" spans="1:7" x14ac:dyDescent="0.2">
      <c r="A12240" t="s">
        <v>12346</v>
      </c>
      <c r="B12240" t="str">
        <f>"18623518610"</f>
        <v>18623518610</v>
      </c>
      <c r="C12240" t="str">
        <f>"500112199002037705"</f>
        <v>500112199002037705</v>
      </c>
      <c r="D12240" t="s">
        <v>12347</v>
      </c>
      <c r="E12240" t="s">
        <v>12348</v>
      </c>
      <c r="F12240" t="s">
        <v>0</v>
      </c>
      <c r="G12240" t="str">
        <f>"2018-11-04 11:50:35"</f>
        <v>2018-11-04 11:50:35</v>
      </c>
    </row>
    <row r="12241" spans="1:7" x14ac:dyDescent="0.2">
      <c r="A12241" t="s">
        <v>12349</v>
      </c>
      <c r="B12241" t="str">
        <f>"13649182026"</f>
        <v>13649182026</v>
      </c>
      <c r="C12241" t="str">
        <f>"610423197501120038"</f>
        <v>610423197501120038</v>
      </c>
      <c r="D12241" t="s">
        <v>1</v>
      </c>
      <c r="E12241" t="s">
        <v>1</v>
      </c>
      <c r="F12241" t="s">
        <v>0</v>
      </c>
      <c r="G12241" t="str">
        <f>"2018-10-13 16:38:37"</f>
        <v>2018-10-13 16:38:37</v>
      </c>
    </row>
    <row r="12242" spans="1:7" x14ac:dyDescent="0.2">
      <c r="A12242" t="s">
        <v>12350</v>
      </c>
      <c r="B12242" t="str">
        <f>"15106555921"</f>
        <v>15106555921</v>
      </c>
      <c r="C12242" t="str">
        <f>"370685198909145065"</f>
        <v>370685198909145065</v>
      </c>
      <c r="D12242" t="s">
        <v>1</v>
      </c>
      <c r="E12242" t="s">
        <v>1</v>
      </c>
      <c r="F12242" t="s">
        <v>0</v>
      </c>
      <c r="G12242" t="str">
        <f>"2018-10-13 16:36:06"</f>
        <v>2018-10-13 16:36:06</v>
      </c>
    </row>
    <row r="12243" spans="1:7" x14ac:dyDescent="0.2">
      <c r="A12243" t="s">
        <v>1</v>
      </c>
      <c r="B12243" t="str">
        <f>"13995549647"</f>
        <v>13995549647</v>
      </c>
      <c r="C12243" t="s">
        <v>1</v>
      </c>
      <c r="D12243" t="s">
        <v>1</v>
      </c>
      <c r="E12243" t="s">
        <v>1</v>
      </c>
      <c r="F12243" t="s">
        <v>0</v>
      </c>
      <c r="G12243" t="str">
        <f>"2018-10-13 16:34:41"</f>
        <v>2018-10-13 16:34:41</v>
      </c>
    </row>
    <row r="12244" spans="1:7" x14ac:dyDescent="0.2">
      <c r="A12244" t="s">
        <v>12351</v>
      </c>
      <c r="B12244" t="str">
        <f>"13648249692"</f>
        <v>13648249692</v>
      </c>
      <c r="C12244" t="str">
        <f>"500239199411225593"</f>
        <v>500239199411225593</v>
      </c>
      <c r="D12244" t="s">
        <v>1</v>
      </c>
      <c r="E12244" t="s">
        <v>1</v>
      </c>
      <c r="F12244" t="s">
        <v>0</v>
      </c>
      <c r="G12244" t="str">
        <f>"2018-10-13 16:34:00"</f>
        <v>2018-10-13 16:34:00</v>
      </c>
    </row>
    <row r="12245" spans="1:7" x14ac:dyDescent="0.2">
      <c r="A12245" t="s">
        <v>7061</v>
      </c>
      <c r="B12245" t="str">
        <f>"15173090106"</f>
        <v>15173090106</v>
      </c>
      <c r="C12245" t="str">
        <f>"430621198803299415"</f>
        <v>430621198803299415</v>
      </c>
      <c r="D12245" t="s">
        <v>1</v>
      </c>
      <c r="E12245" t="s">
        <v>1</v>
      </c>
      <c r="F12245" t="s">
        <v>0</v>
      </c>
      <c r="G12245" t="str">
        <f>"2018-10-25 09:50:27"</f>
        <v>2018-10-25 09:50:27</v>
      </c>
    </row>
    <row r="12246" spans="1:7" x14ac:dyDescent="0.2">
      <c r="A12246" t="s">
        <v>12352</v>
      </c>
      <c r="B12246" t="str">
        <f>"15061546801"</f>
        <v>15061546801</v>
      </c>
      <c r="C12246" t="str">
        <f>"32021919670615585X"</f>
        <v>32021919670615585X</v>
      </c>
      <c r="D12246" t="s">
        <v>1</v>
      </c>
      <c r="E12246" t="s">
        <v>1</v>
      </c>
      <c r="F12246" t="s">
        <v>0</v>
      </c>
      <c r="G12246" t="str">
        <f>"2018-10-13 16:34:13"</f>
        <v>2018-10-13 16:34:13</v>
      </c>
    </row>
    <row r="12247" spans="1:7" x14ac:dyDescent="0.2">
      <c r="A12247" t="s">
        <v>12353</v>
      </c>
      <c r="B12247" t="str">
        <f>"13343360851"</f>
        <v>13343360851</v>
      </c>
      <c r="C12247" t="str">
        <f>"130826197501036318"</f>
        <v>130826197501036318</v>
      </c>
      <c r="D12247" t="s">
        <v>1</v>
      </c>
      <c r="E12247" t="s">
        <v>1</v>
      </c>
      <c r="F12247" t="s">
        <v>0</v>
      </c>
      <c r="G12247" t="str">
        <f>"2018-10-13 16:37:26"</f>
        <v>2018-10-13 16:37:26</v>
      </c>
    </row>
    <row r="12248" spans="1:7" x14ac:dyDescent="0.2">
      <c r="A12248" t="s">
        <v>12354</v>
      </c>
      <c r="B12248" t="str">
        <f>"18568101921"</f>
        <v>18568101921</v>
      </c>
      <c r="C12248" t="str">
        <f>"410328199509211020"</f>
        <v>410328199509211020</v>
      </c>
      <c r="D12248" t="s">
        <v>1</v>
      </c>
      <c r="E12248" t="s">
        <v>1</v>
      </c>
      <c r="F12248" t="s">
        <v>0</v>
      </c>
      <c r="G12248" t="str">
        <f>"2018-10-16 14:35:02"</f>
        <v>2018-10-16 14:35:02</v>
      </c>
    </row>
    <row r="12249" spans="1:7" x14ac:dyDescent="0.2">
      <c r="A12249" t="s">
        <v>12355</v>
      </c>
      <c r="B12249" t="str">
        <f>"15997548423"</f>
        <v>15997548423</v>
      </c>
      <c r="C12249" t="str">
        <f>"420528198903024715"</f>
        <v>420528198903024715</v>
      </c>
      <c r="D12249" t="s">
        <v>1</v>
      </c>
      <c r="E12249" t="s">
        <v>1</v>
      </c>
      <c r="F12249" t="s">
        <v>0</v>
      </c>
      <c r="G12249" t="str">
        <f>"2018-10-13 16:32:28"</f>
        <v>2018-10-13 16:32:28</v>
      </c>
    </row>
    <row r="12250" spans="1:7" x14ac:dyDescent="0.2">
      <c r="A12250" t="s">
        <v>12356</v>
      </c>
      <c r="B12250" t="str">
        <f>"18384971004"</f>
        <v>18384971004</v>
      </c>
      <c r="C12250" t="str">
        <f>"511024198609073540"</f>
        <v>511024198609073540</v>
      </c>
      <c r="D12250" t="s">
        <v>1</v>
      </c>
      <c r="E12250" t="s">
        <v>1</v>
      </c>
      <c r="F12250" t="s">
        <v>0</v>
      </c>
      <c r="G12250" t="str">
        <f>"2018-10-13 16:34:47"</f>
        <v>2018-10-13 16:34:47</v>
      </c>
    </row>
    <row r="12251" spans="1:7" x14ac:dyDescent="0.2">
      <c r="A12251" t="s">
        <v>12357</v>
      </c>
      <c r="B12251" t="str">
        <f>"18221711778"</f>
        <v>18221711778</v>
      </c>
      <c r="C12251" t="str">
        <f>"320681199403125219"</f>
        <v>320681199403125219</v>
      </c>
      <c r="D12251" t="s">
        <v>1</v>
      </c>
      <c r="E12251" t="s">
        <v>1</v>
      </c>
      <c r="F12251" t="s">
        <v>0</v>
      </c>
      <c r="G12251" t="str">
        <f>"2018-10-13 16:30:10"</f>
        <v>2018-10-13 16:30:10</v>
      </c>
    </row>
    <row r="12252" spans="1:7" x14ac:dyDescent="0.2">
      <c r="A12252" t="s">
        <v>12358</v>
      </c>
      <c r="B12252" t="str">
        <f>"18153598300"</f>
        <v>18153598300</v>
      </c>
      <c r="C12252" t="str">
        <f>"370602197309171619"</f>
        <v>370602197309171619</v>
      </c>
      <c r="D12252" t="s">
        <v>12359</v>
      </c>
      <c r="E12252" t="s">
        <v>12360</v>
      </c>
      <c r="F12252" t="s">
        <v>0</v>
      </c>
      <c r="G12252" t="str">
        <f>"2018-10-13 16:31:22"</f>
        <v>2018-10-13 16:31:22</v>
      </c>
    </row>
    <row r="12253" spans="1:7" x14ac:dyDescent="0.2">
      <c r="A12253" t="s">
        <v>12361</v>
      </c>
      <c r="B12253" t="str">
        <f>"13091876130"</f>
        <v>13091876130</v>
      </c>
      <c r="C12253" t="str">
        <f>"232103199206055817"</f>
        <v>232103199206055817</v>
      </c>
      <c r="D12253" t="s">
        <v>12362</v>
      </c>
      <c r="E12253" t="s">
        <v>12363</v>
      </c>
      <c r="F12253" t="s">
        <v>0</v>
      </c>
      <c r="G12253" t="str">
        <f>"2018-10-28 18:57:05"</f>
        <v>2018-10-28 18:57:05</v>
      </c>
    </row>
    <row r="12254" spans="1:7" x14ac:dyDescent="0.2">
      <c r="A12254" t="s">
        <v>1</v>
      </c>
      <c r="B12254" t="str">
        <f>"18657211075"</f>
        <v>18657211075</v>
      </c>
      <c r="C12254" t="s">
        <v>1</v>
      </c>
      <c r="D12254" t="s">
        <v>1</v>
      </c>
      <c r="E12254" t="s">
        <v>1</v>
      </c>
      <c r="F12254" t="s">
        <v>0</v>
      </c>
      <c r="G12254" t="str">
        <f>"2018-10-13 16:28:41"</f>
        <v>2018-10-13 16:28:41</v>
      </c>
    </row>
    <row r="12255" spans="1:7" x14ac:dyDescent="0.2">
      <c r="A12255" t="s">
        <v>12364</v>
      </c>
      <c r="B12255" t="str">
        <f>"15308604744"</f>
        <v>15308604744</v>
      </c>
      <c r="C12255" t="str">
        <f>"420521199403270717"</f>
        <v>420521199403270717</v>
      </c>
      <c r="D12255" t="s">
        <v>1</v>
      </c>
      <c r="E12255" t="s">
        <v>1</v>
      </c>
      <c r="F12255" t="s">
        <v>0</v>
      </c>
      <c r="G12255" t="str">
        <f>"2018-10-13 16:30:17"</f>
        <v>2018-10-13 16:30:17</v>
      </c>
    </row>
    <row r="12256" spans="1:7" x14ac:dyDescent="0.2">
      <c r="A12256" t="s">
        <v>12365</v>
      </c>
      <c r="B12256" t="str">
        <f>"18538728555"</f>
        <v>18538728555</v>
      </c>
      <c r="C12256" t="str">
        <f>"14220119880122647X"</f>
        <v>14220119880122647X</v>
      </c>
      <c r="D12256" t="s">
        <v>12366</v>
      </c>
      <c r="E12256" t="s">
        <v>12367</v>
      </c>
      <c r="F12256" t="s">
        <v>0</v>
      </c>
      <c r="G12256" t="str">
        <f>"2018-10-13 17:40:24"</f>
        <v>2018-10-13 17:40:24</v>
      </c>
    </row>
    <row r="12257" spans="1:7" x14ac:dyDescent="0.2">
      <c r="A12257" t="s">
        <v>1</v>
      </c>
      <c r="B12257" t="str">
        <f>"15819612221"</f>
        <v>15819612221</v>
      </c>
      <c r="C12257" t="s">
        <v>1</v>
      </c>
      <c r="D12257" t="s">
        <v>1</v>
      </c>
      <c r="E12257" t="s">
        <v>1</v>
      </c>
      <c r="F12257" t="s">
        <v>0</v>
      </c>
      <c r="G12257" t="str">
        <f>"2018-10-13 16:28:15"</f>
        <v>2018-10-13 16:28:15</v>
      </c>
    </row>
    <row r="12258" spans="1:7" x14ac:dyDescent="0.2">
      <c r="A12258" t="s">
        <v>12368</v>
      </c>
      <c r="B12258" t="str">
        <f>"13403720686"</f>
        <v>13403720686</v>
      </c>
      <c r="C12258" t="str">
        <f>"410581198205109033"</f>
        <v>410581198205109033</v>
      </c>
      <c r="D12258" t="s">
        <v>12369</v>
      </c>
      <c r="E12258" t="s">
        <v>12370</v>
      </c>
      <c r="F12258" t="s">
        <v>0</v>
      </c>
      <c r="G12258" t="str">
        <f>"2018-10-25 13:05:09"</f>
        <v>2018-10-25 13:05:09</v>
      </c>
    </row>
    <row r="12259" spans="1:7" x14ac:dyDescent="0.2">
      <c r="A12259" t="s">
        <v>12371</v>
      </c>
      <c r="B12259" t="str">
        <f>"14728624415"</f>
        <v>14728624415</v>
      </c>
      <c r="C12259" t="str">
        <f>"522424199105073212"</f>
        <v>522424199105073212</v>
      </c>
      <c r="D12259" t="s">
        <v>12372</v>
      </c>
      <c r="E12259" t="s">
        <v>12373</v>
      </c>
      <c r="F12259" t="s">
        <v>0</v>
      </c>
      <c r="G12259" t="str">
        <f>"2018-10-13 16:33:48"</f>
        <v>2018-10-13 16:33:48</v>
      </c>
    </row>
    <row r="12260" spans="1:7" x14ac:dyDescent="0.2">
      <c r="A12260" t="s">
        <v>12374</v>
      </c>
      <c r="B12260" t="str">
        <f>"15007172035"</f>
        <v>15007172035</v>
      </c>
      <c r="C12260" t="str">
        <f>"420115199008192895"</f>
        <v>420115199008192895</v>
      </c>
      <c r="D12260" t="s">
        <v>1</v>
      </c>
      <c r="E12260" t="s">
        <v>1</v>
      </c>
      <c r="F12260" t="s">
        <v>0</v>
      </c>
      <c r="G12260" t="str">
        <f>"2018-10-16 11:14:28"</f>
        <v>2018-10-16 11:14:28</v>
      </c>
    </row>
    <row r="12261" spans="1:7" x14ac:dyDescent="0.2">
      <c r="A12261" t="s">
        <v>12375</v>
      </c>
      <c r="B12261" t="str">
        <f>"15160551138"</f>
        <v>15160551138</v>
      </c>
      <c r="C12261" t="str">
        <f>"352202197907290534"</f>
        <v>352202197907290534</v>
      </c>
      <c r="D12261" t="s">
        <v>1</v>
      </c>
      <c r="E12261" t="s">
        <v>1</v>
      </c>
      <c r="F12261" t="s">
        <v>0</v>
      </c>
      <c r="G12261" t="str">
        <f>"2018-10-14 14:36:45"</f>
        <v>2018-10-14 14:36:45</v>
      </c>
    </row>
    <row r="12262" spans="1:7" x14ac:dyDescent="0.2">
      <c r="A12262" t="s">
        <v>12376</v>
      </c>
      <c r="B12262" t="str">
        <f>"13286173696"</f>
        <v>13286173696</v>
      </c>
      <c r="C12262" t="str">
        <f>"440785197909195811"</f>
        <v>440785197909195811</v>
      </c>
      <c r="D12262" t="s">
        <v>1</v>
      </c>
      <c r="E12262" t="s">
        <v>1</v>
      </c>
      <c r="F12262" t="s">
        <v>0</v>
      </c>
      <c r="G12262" t="str">
        <f>"2018-10-18 18:04:55"</f>
        <v>2018-10-18 18:04:55</v>
      </c>
    </row>
    <row r="12263" spans="1:7" x14ac:dyDescent="0.2">
      <c r="A12263" t="s">
        <v>1</v>
      </c>
      <c r="B12263" t="str">
        <f>"13982616137"</f>
        <v>13982616137</v>
      </c>
      <c r="C12263" t="s">
        <v>1</v>
      </c>
      <c r="D12263" t="s">
        <v>1</v>
      </c>
      <c r="E12263" t="s">
        <v>1</v>
      </c>
      <c r="F12263" t="s">
        <v>0</v>
      </c>
      <c r="G12263" t="str">
        <f>"2018-10-13 16:24:52"</f>
        <v>2018-10-13 16:24:52</v>
      </c>
    </row>
    <row r="12264" spans="1:7" x14ac:dyDescent="0.2">
      <c r="A12264" t="s">
        <v>12377</v>
      </c>
      <c r="B12264" t="str">
        <f>"13770265701"</f>
        <v>13770265701</v>
      </c>
      <c r="C12264" t="str">
        <f>"32098119900711571X"</f>
        <v>32098119900711571X</v>
      </c>
      <c r="D12264" t="s">
        <v>1</v>
      </c>
      <c r="E12264" t="s">
        <v>1</v>
      </c>
      <c r="F12264" t="s">
        <v>0</v>
      </c>
      <c r="G12264" t="str">
        <f>"2018-10-13 16:32:04"</f>
        <v>2018-10-13 16:32:04</v>
      </c>
    </row>
    <row r="12265" spans="1:7" x14ac:dyDescent="0.2">
      <c r="A12265" t="s">
        <v>985</v>
      </c>
      <c r="B12265" t="str">
        <f>"13885572615"</f>
        <v>13885572615</v>
      </c>
      <c r="C12265" t="str">
        <f>"522628198809294218"</f>
        <v>522628198809294218</v>
      </c>
      <c r="D12265" t="s">
        <v>12378</v>
      </c>
      <c r="E12265" t="s">
        <v>12379</v>
      </c>
      <c r="F12265" t="s">
        <v>0</v>
      </c>
      <c r="G12265" t="str">
        <f>"2018-10-13 16:39:23"</f>
        <v>2018-10-13 16:39:23</v>
      </c>
    </row>
    <row r="12266" spans="1:7" x14ac:dyDescent="0.2">
      <c r="A12266" t="s">
        <v>12380</v>
      </c>
      <c r="B12266" t="str">
        <f>"13739265277"</f>
        <v>13739265277</v>
      </c>
      <c r="C12266" t="str">
        <f>"342422197605135816"</f>
        <v>342422197605135816</v>
      </c>
      <c r="D12266" t="s">
        <v>1</v>
      </c>
      <c r="E12266" t="s">
        <v>1</v>
      </c>
      <c r="F12266" t="s">
        <v>0</v>
      </c>
      <c r="G12266" t="str">
        <f>"2018-10-13 16:23:28"</f>
        <v>2018-10-13 16:23:28</v>
      </c>
    </row>
    <row r="12267" spans="1:7" x14ac:dyDescent="0.2">
      <c r="A12267" t="s">
        <v>12381</v>
      </c>
      <c r="B12267" t="str">
        <f>"13752859427"</f>
        <v>13752859427</v>
      </c>
      <c r="C12267" t="str">
        <f>"510322198106080012"</f>
        <v>510322198106080012</v>
      </c>
      <c r="D12267" t="s">
        <v>1</v>
      </c>
      <c r="E12267" t="s">
        <v>1</v>
      </c>
      <c r="F12267" t="s">
        <v>0</v>
      </c>
      <c r="G12267" t="str">
        <f>"2018-10-13 16:23:01"</f>
        <v>2018-10-13 16:23:01</v>
      </c>
    </row>
    <row r="12268" spans="1:7" x14ac:dyDescent="0.2">
      <c r="A12268" t="s">
        <v>1</v>
      </c>
      <c r="B12268" t="str">
        <f>"15876006313"</f>
        <v>15876006313</v>
      </c>
      <c r="C12268" t="s">
        <v>1</v>
      </c>
      <c r="D12268" t="s">
        <v>1</v>
      </c>
      <c r="E12268" t="s">
        <v>1</v>
      </c>
      <c r="F12268" t="s">
        <v>0</v>
      </c>
      <c r="G12268" t="str">
        <f>"2018-10-13 16:21:52"</f>
        <v>2018-10-13 16:21:52</v>
      </c>
    </row>
    <row r="12269" spans="1:7" x14ac:dyDescent="0.2">
      <c r="A12269" t="s">
        <v>12382</v>
      </c>
      <c r="B12269" t="str">
        <f>"18632727555"</f>
        <v>18632727555</v>
      </c>
      <c r="C12269" t="str">
        <f>"130923199601020028"</f>
        <v>130923199601020028</v>
      </c>
      <c r="D12269" t="s">
        <v>1</v>
      </c>
      <c r="E12269" t="s">
        <v>1</v>
      </c>
      <c r="F12269" t="s">
        <v>0</v>
      </c>
      <c r="G12269" t="str">
        <f>"2018-10-13 16:25:32"</f>
        <v>2018-10-13 16:25:32</v>
      </c>
    </row>
    <row r="12270" spans="1:7" x14ac:dyDescent="0.2">
      <c r="A12270" t="s">
        <v>12383</v>
      </c>
      <c r="B12270" t="str">
        <f>"15198121300"</f>
        <v>15198121300</v>
      </c>
      <c r="C12270" t="str">
        <f>"511321198904110153"</f>
        <v>511321198904110153</v>
      </c>
      <c r="D12270" t="s">
        <v>1</v>
      </c>
      <c r="E12270" t="s">
        <v>1</v>
      </c>
      <c r="F12270" t="s">
        <v>0</v>
      </c>
      <c r="G12270" t="str">
        <f>"2018-10-13 16:24:59"</f>
        <v>2018-10-13 16:24:59</v>
      </c>
    </row>
    <row r="12271" spans="1:7" x14ac:dyDescent="0.2">
      <c r="A12271" t="s">
        <v>12384</v>
      </c>
      <c r="B12271" t="str">
        <f>"18135699288"</f>
        <v>18135699288</v>
      </c>
      <c r="C12271" t="str">
        <f>"13048119840106647X"</f>
        <v>13048119840106647X</v>
      </c>
      <c r="D12271" t="s">
        <v>1</v>
      </c>
      <c r="E12271" t="s">
        <v>1</v>
      </c>
      <c r="F12271" t="s">
        <v>0</v>
      </c>
      <c r="G12271" t="str">
        <f>"2018-10-13 16:28:03"</f>
        <v>2018-10-13 16:28:03</v>
      </c>
    </row>
    <row r="12272" spans="1:7" x14ac:dyDescent="0.2">
      <c r="A12272" t="s">
        <v>12385</v>
      </c>
      <c r="B12272" t="str">
        <f>"18501628859"</f>
        <v>18501628859</v>
      </c>
      <c r="C12272" t="str">
        <f>"412923197106163419"</f>
        <v>412923197106163419</v>
      </c>
      <c r="D12272" t="s">
        <v>1</v>
      </c>
      <c r="E12272" t="s">
        <v>1</v>
      </c>
      <c r="F12272" t="s">
        <v>0</v>
      </c>
      <c r="G12272" t="str">
        <f>"2018-10-13 16:22:52"</f>
        <v>2018-10-13 16:22:52</v>
      </c>
    </row>
    <row r="12273" spans="1:7" x14ac:dyDescent="0.2">
      <c r="A12273" t="s">
        <v>1</v>
      </c>
      <c r="B12273" t="str">
        <f>"15895961283"</f>
        <v>15895961283</v>
      </c>
      <c r="C12273" t="s">
        <v>1</v>
      </c>
      <c r="D12273" t="s">
        <v>1</v>
      </c>
      <c r="E12273" t="s">
        <v>1</v>
      </c>
      <c r="F12273" t="s">
        <v>0</v>
      </c>
      <c r="G12273" t="str">
        <f>"2018-10-13 16:20:14"</f>
        <v>2018-10-13 16:20:14</v>
      </c>
    </row>
    <row r="12274" spans="1:7" x14ac:dyDescent="0.2">
      <c r="A12274" t="s">
        <v>1</v>
      </c>
      <c r="B12274" t="str">
        <f>"13252218460"</f>
        <v>13252218460</v>
      </c>
      <c r="C12274" t="s">
        <v>1</v>
      </c>
      <c r="D12274" t="s">
        <v>1</v>
      </c>
      <c r="E12274" t="s">
        <v>1</v>
      </c>
      <c r="F12274" t="s">
        <v>0</v>
      </c>
      <c r="G12274" t="str">
        <f>"2018-10-13 16:19:51"</f>
        <v>2018-10-13 16:19:51</v>
      </c>
    </row>
    <row r="12275" spans="1:7" x14ac:dyDescent="0.2">
      <c r="A12275" t="s">
        <v>1</v>
      </c>
      <c r="B12275" t="str">
        <f>"17631447532"</f>
        <v>17631447532</v>
      </c>
      <c r="C12275" t="s">
        <v>1</v>
      </c>
      <c r="D12275" t="s">
        <v>1</v>
      </c>
      <c r="E12275" t="s">
        <v>1</v>
      </c>
      <c r="F12275" t="s">
        <v>0</v>
      </c>
      <c r="G12275" t="str">
        <f>"2018-10-13 16:19:50"</f>
        <v>2018-10-13 16:19:50</v>
      </c>
    </row>
    <row r="12276" spans="1:7" x14ac:dyDescent="0.2">
      <c r="A12276" t="s">
        <v>12386</v>
      </c>
      <c r="B12276" t="str">
        <f>"13560631002"</f>
        <v>13560631002</v>
      </c>
      <c r="C12276" t="str">
        <f>"452230199004283526"</f>
        <v>452230199004283526</v>
      </c>
      <c r="D12276" t="s">
        <v>1</v>
      </c>
      <c r="E12276" t="s">
        <v>1</v>
      </c>
      <c r="F12276" t="s">
        <v>0</v>
      </c>
      <c r="G12276" t="str">
        <f>"2018-10-13 16:19:43"</f>
        <v>2018-10-13 16:19:43</v>
      </c>
    </row>
    <row r="12277" spans="1:7" x14ac:dyDescent="0.2">
      <c r="A12277" t="s">
        <v>1</v>
      </c>
      <c r="B12277" t="str">
        <f>"15111090701"</f>
        <v>15111090701</v>
      </c>
      <c r="C12277" t="s">
        <v>1</v>
      </c>
      <c r="D12277" t="s">
        <v>1</v>
      </c>
      <c r="E12277" t="s">
        <v>1</v>
      </c>
      <c r="F12277" t="s">
        <v>0</v>
      </c>
      <c r="G12277" t="str">
        <f>"2018-10-13 16:19:18"</f>
        <v>2018-10-13 16:19:18</v>
      </c>
    </row>
    <row r="12278" spans="1:7" x14ac:dyDescent="0.2">
      <c r="A12278" t="s">
        <v>1</v>
      </c>
      <c r="B12278" t="str">
        <f>"15054046897"</f>
        <v>15054046897</v>
      </c>
      <c r="C12278" t="s">
        <v>1</v>
      </c>
      <c r="D12278" t="s">
        <v>1</v>
      </c>
      <c r="E12278" t="s">
        <v>1</v>
      </c>
      <c r="F12278" t="s">
        <v>0</v>
      </c>
      <c r="G12278" t="str">
        <f>"2018-10-13 16:19:12"</f>
        <v>2018-10-13 16:19:12</v>
      </c>
    </row>
    <row r="12279" spans="1:7" x14ac:dyDescent="0.2">
      <c r="A12279" t="s">
        <v>12387</v>
      </c>
      <c r="B12279" t="str">
        <f>"15082536540"</f>
        <v>15082536540</v>
      </c>
      <c r="C12279" t="str">
        <f>"510902199207071897"</f>
        <v>510902199207071897</v>
      </c>
      <c r="D12279" t="s">
        <v>1</v>
      </c>
      <c r="E12279" t="s">
        <v>1</v>
      </c>
      <c r="F12279" t="s">
        <v>0</v>
      </c>
      <c r="G12279" t="str">
        <f>"2018-10-13 16:20:55"</f>
        <v>2018-10-13 16:20:55</v>
      </c>
    </row>
    <row r="12280" spans="1:7" x14ac:dyDescent="0.2">
      <c r="A12280" t="s">
        <v>12388</v>
      </c>
      <c r="B12280" t="str">
        <f>"13771654473"</f>
        <v>13771654473</v>
      </c>
      <c r="C12280" t="str">
        <f>"530322199212051053"</f>
        <v>530322199212051053</v>
      </c>
      <c r="D12280" t="s">
        <v>1</v>
      </c>
      <c r="E12280" t="s">
        <v>1</v>
      </c>
      <c r="F12280" t="s">
        <v>0</v>
      </c>
      <c r="G12280" t="str">
        <f>"2018-10-13 16:20:51"</f>
        <v>2018-10-13 16:20:51</v>
      </c>
    </row>
    <row r="12281" spans="1:7" x14ac:dyDescent="0.2">
      <c r="A12281" t="s">
        <v>58</v>
      </c>
      <c r="B12281" t="str">
        <f>"13753902293"</f>
        <v>13753902293</v>
      </c>
      <c r="C12281" t="str">
        <f>"142701198607202412"</f>
        <v>142701198607202412</v>
      </c>
      <c r="D12281" t="s">
        <v>1</v>
      </c>
      <c r="E12281" t="s">
        <v>1</v>
      </c>
      <c r="F12281" t="s">
        <v>0</v>
      </c>
      <c r="G12281" t="str">
        <f>"2018-10-13 16:20:57"</f>
        <v>2018-10-13 16:20:57</v>
      </c>
    </row>
    <row r="12282" spans="1:7" x14ac:dyDescent="0.2">
      <c r="A12282" t="s">
        <v>12389</v>
      </c>
      <c r="B12282" t="str">
        <f>"18228478897"</f>
        <v>18228478897</v>
      </c>
      <c r="C12282" t="str">
        <f>"513902198708217290"</f>
        <v>513902198708217290</v>
      </c>
      <c r="D12282" t="s">
        <v>1</v>
      </c>
      <c r="E12282" t="s">
        <v>1</v>
      </c>
      <c r="F12282" t="s">
        <v>0</v>
      </c>
      <c r="G12282" t="str">
        <f>"2018-10-15 03:00:48"</f>
        <v>2018-10-15 03:00:48</v>
      </c>
    </row>
    <row r="12283" spans="1:7" x14ac:dyDescent="0.2">
      <c r="A12283" t="s">
        <v>12390</v>
      </c>
      <c r="B12283" t="str">
        <f>"18737493856"</f>
        <v>18737493856</v>
      </c>
      <c r="C12283" t="str">
        <f>"411023199303051052"</f>
        <v>411023199303051052</v>
      </c>
      <c r="D12283" t="s">
        <v>1</v>
      </c>
      <c r="E12283" t="s">
        <v>1</v>
      </c>
      <c r="F12283" t="s">
        <v>0</v>
      </c>
      <c r="G12283" t="str">
        <f>"2018-10-13 16:18:02"</f>
        <v>2018-10-13 16:18:02</v>
      </c>
    </row>
    <row r="12284" spans="1:7" x14ac:dyDescent="0.2">
      <c r="A12284" t="s">
        <v>12391</v>
      </c>
      <c r="B12284" t="str">
        <f>"15328605935"</f>
        <v>15328605935</v>
      </c>
      <c r="C12284" t="str">
        <f>"511111197810213911"</f>
        <v>511111197810213911</v>
      </c>
      <c r="D12284" t="s">
        <v>1</v>
      </c>
      <c r="E12284" t="s">
        <v>1</v>
      </c>
      <c r="F12284" t="s">
        <v>0</v>
      </c>
      <c r="G12284" t="str">
        <f>"2018-10-21 14:45:11"</f>
        <v>2018-10-21 14:45:11</v>
      </c>
    </row>
    <row r="12285" spans="1:7" x14ac:dyDescent="0.2">
      <c r="A12285" t="s">
        <v>1</v>
      </c>
      <c r="B12285" t="str">
        <f>"15204165566"</f>
        <v>15204165566</v>
      </c>
      <c r="C12285" t="s">
        <v>1</v>
      </c>
      <c r="D12285" t="s">
        <v>1</v>
      </c>
      <c r="E12285" t="s">
        <v>1</v>
      </c>
      <c r="F12285" t="s">
        <v>0</v>
      </c>
      <c r="G12285" t="str">
        <f>"2018-10-13 16:16:58"</f>
        <v>2018-10-13 16:16:58</v>
      </c>
    </row>
    <row r="12286" spans="1:7" x14ac:dyDescent="0.2">
      <c r="A12286" t="s">
        <v>12392</v>
      </c>
      <c r="B12286" t="str">
        <f>"18066799254"</f>
        <v>18066799254</v>
      </c>
      <c r="C12286" t="str">
        <f>"622723198007280436"</f>
        <v>622723198007280436</v>
      </c>
      <c r="D12286" t="s">
        <v>1</v>
      </c>
      <c r="E12286" t="s">
        <v>1</v>
      </c>
      <c r="F12286" t="s">
        <v>0</v>
      </c>
      <c r="G12286" t="str">
        <f>"2018-10-13 16:18:47"</f>
        <v>2018-10-13 16:18:47</v>
      </c>
    </row>
    <row r="12287" spans="1:7" x14ac:dyDescent="0.2">
      <c r="A12287" t="s">
        <v>1</v>
      </c>
      <c r="B12287" t="str">
        <f>"13119164528"</f>
        <v>13119164528</v>
      </c>
      <c r="C12287" t="s">
        <v>1</v>
      </c>
      <c r="D12287" t="s">
        <v>1</v>
      </c>
      <c r="E12287" t="s">
        <v>1</v>
      </c>
      <c r="F12287" t="s">
        <v>0</v>
      </c>
      <c r="G12287" t="str">
        <f>"2018-10-13 16:16:02"</f>
        <v>2018-10-13 16:16:02</v>
      </c>
    </row>
    <row r="12288" spans="1:7" x14ac:dyDescent="0.2">
      <c r="A12288" t="s">
        <v>1</v>
      </c>
      <c r="B12288" t="str">
        <f>"13257784847"</f>
        <v>13257784847</v>
      </c>
      <c r="C12288" t="s">
        <v>1</v>
      </c>
      <c r="D12288" t="s">
        <v>1</v>
      </c>
      <c r="E12288" t="s">
        <v>1</v>
      </c>
      <c r="F12288" t="s">
        <v>0</v>
      </c>
      <c r="G12288" t="str">
        <f>"2018-10-13 16:15:36"</f>
        <v>2018-10-13 16:15:36</v>
      </c>
    </row>
    <row r="12289" spans="1:7" x14ac:dyDescent="0.2">
      <c r="A12289" t="s">
        <v>971</v>
      </c>
      <c r="B12289" t="str">
        <f>"13797513145"</f>
        <v>13797513145</v>
      </c>
      <c r="C12289" t="str">
        <f>"421003198907211012"</f>
        <v>421003198907211012</v>
      </c>
      <c r="D12289" t="s">
        <v>12393</v>
      </c>
      <c r="E12289" t="s">
        <v>12394</v>
      </c>
      <c r="F12289" t="s">
        <v>0</v>
      </c>
      <c r="G12289" t="str">
        <f>"2018-10-13 16:16:40"</f>
        <v>2018-10-13 16:16:40</v>
      </c>
    </row>
    <row r="12290" spans="1:7" x14ac:dyDescent="0.2">
      <c r="A12290" t="s">
        <v>246</v>
      </c>
      <c r="B12290" t="str">
        <f>"15803113110"</f>
        <v>15803113110</v>
      </c>
      <c r="C12290" t="str">
        <f>"130184199210063011"</f>
        <v>130184199210063011</v>
      </c>
      <c r="D12290" t="s">
        <v>1</v>
      </c>
      <c r="E12290" t="s">
        <v>1</v>
      </c>
      <c r="F12290" t="s">
        <v>0</v>
      </c>
      <c r="G12290" t="str">
        <f>"2018-10-13 22:35:00"</f>
        <v>2018-10-13 22:35:00</v>
      </c>
    </row>
    <row r="12291" spans="1:7" x14ac:dyDescent="0.2">
      <c r="A12291" t="s">
        <v>1147</v>
      </c>
      <c r="B12291" t="str">
        <f>"18213076957"</f>
        <v>18213076957</v>
      </c>
      <c r="C12291" t="str">
        <f>"530111199309265015"</f>
        <v>530111199309265015</v>
      </c>
      <c r="D12291" t="s">
        <v>1</v>
      </c>
      <c r="E12291" t="s">
        <v>1</v>
      </c>
      <c r="F12291" t="s">
        <v>0</v>
      </c>
      <c r="G12291" t="str">
        <f>"2018-10-13 16:15:28"</f>
        <v>2018-10-13 16:15:28</v>
      </c>
    </row>
    <row r="12292" spans="1:7" x14ac:dyDescent="0.2">
      <c r="A12292" t="s">
        <v>12395</v>
      </c>
      <c r="B12292" t="str">
        <f>"15834026656"</f>
        <v>15834026656</v>
      </c>
      <c r="C12292" t="str">
        <f>"142703198607040348"</f>
        <v>142703198607040348</v>
      </c>
      <c r="D12292" t="s">
        <v>1</v>
      </c>
      <c r="E12292" t="s">
        <v>1</v>
      </c>
      <c r="F12292" t="s">
        <v>0</v>
      </c>
      <c r="G12292" t="str">
        <f>"2018-11-03 23:53:48"</f>
        <v>2018-11-03 23:53:48</v>
      </c>
    </row>
    <row r="12293" spans="1:7" x14ac:dyDescent="0.2">
      <c r="A12293" t="s">
        <v>12396</v>
      </c>
      <c r="B12293" t="str">
        <f>"13421204461"</f>
        <v>13421204461</v>
      </c>
      <c r="C12293" t="str">
        <f>"441723199801221337"</f>
        <v>441723199801221337</v>
      </c>
      <c r="D12293" t="s">
        <v>1</v>
      </c>
      <c r="E12293" t="s">
        <v>1</v>
      </c>
      <c r="F12293" t="s">
        <v>0</v>
      </c>
      <c r="G12293" t="str">
        <f>"2018-10-13 17:21:00"</f>
        <v>2018-10-13 17:21:00</v>
      </c>
    </row>
    <row r="12294" spans="1:7" x14ac:dyDescent="0.2">
      <c r="A12294" t="s">
        <v>329</v>
      </c>
      <c r="B12294" t="str">
        <f>"15244959999"</f>
        <v>15244959999</v>
      </c>
      <c r="C12294" t="str">
        <f>"513401198608011611"</f>
        <v>513401198608011611</v>
      </c>
      <c r="D12294" t="s">
        <v>1</v>
      </c>
      <c r="E12294" t="s">
        <v>1</v>
      </c>
      <c r="F12294" t="s">
        <v>0</v>
      </c>
      <c r="G12294" t="str">
        <f>"2018-10-13 16:17:20"</f>
        <v>2018-10-13 16:17:20</v>
      </c>
    </row>
    <row r="12295" spans="1:7" x14ac:dyDescent="0.2">
      <c r="A12295" t="s">
        <v>12397</v>
      </c>
      <c r="B12295" t="str">
        <f>"15054008299"</f>
        <v>15054008299</v>
      </c>
      <c r="C12295" t="str">
        <f>"372929199312075131"</f>
        <v>372929199312075131</v>
      </c>
      <c r="D12295" t="s">
        <v>1</v>
      </c>
      <c r="E12295" t="s">
        <v>1</v>
      </c>
      <c r="F12295" t="s">
        <v>0</v>
      </c>
      <c r="G12295" t="str">
        <f>"2018-10-13 16:10:36"</f>
        <v>2018-10-13 16:10:36</v>
      </c>
    </row>
    <row r="12296" spans="1:7" x14ac:dyDescent="0.2">
      <c r="A12296" t="s">
        <v>1</v>
      </c>
      <c r="B12296" t="str">
        <f>"13772788880"</f>
        <v>13772788880</v>
      </c>
      <c r="C12296" t="s">
        <v>1</v>
      </c>
      <c r="D12296" t="s">
        <v>1</v>
      </c>
      <c r="E12296" t="s">
        <v>1</v>
      </c>
      <c r="F12296" t="s">
        <v>0</v>
      </c>
      <c r="G12296" t="str">
        <f>"2018-10-13 16:09:29"</f>
        <v>2018-10-13 16:09:29</v>
      </c>
    </row>
    <row r="12297" spans="1:7" x14ac:dyDescent="0.2">
      <c r="A12297" t="s">
        <v>12398</v>
      </c>
      <c r="B12297" t="str">
        <f>"18669224126"</f>
        <v>18669224126</v>
      </c>
      <c r="C12297" t="str">
        <f>"530122197012142057"</f>
        <v>530122197012142057</v>
      </c>
      <c r="D12297" t="s">
        <v>12399</v>
      </c>
      <c r="E12297" t="s">
        <v>12400</v>
      </c>
      <c r="F12297" t="s">
        <v>0</v>
      </c>
      <c r="G12297" t="str">
        <f>"2018-10-13 16:09:06"</f>
        <v>2018-10-13 16:09:06</v>
      </c>
    </row>
    <row r="12298" spans="1:7" x14ac:dyDescent="0.2">
      <c r="A12298" t="s">
        <v>12401</v>
      </c>
      <c r="B12298" t="str">
        <f>"13788234222"</f>
        <v>13788234222</v>
      </c>
      <c r="C12298" t="str">
        <f>"452331197706181818"</f>
        <v>452331197706181818</v>
      </c>
      <c r="D12298" t="s">
        <v>1</v>
      </c>
      <c r="E12298" t="s">
        <v>1</v>
      </c>
      <c r="F12298" t="s">
        <v>0</v>
      </c>
      <c r="G12298" t="str">
        <f>"2018-10-13 16:10:38"</f>
        <v>2018-10-13 16:10:38</v>
      </c>
    </row>
    <row r="12299" spans="1:7" x14ac:dyDescent="0.2">
      <c r="A12299" t="s">
        <v>12402</v>
      </c>
      <c r="B12299" t="str">
        <f>"15259648321"</f>
        <v>15259648321</v>
      </c>
      <c r="C12299" t="str">
        <f>"350626198903122037"</f>
        <v>350626198903122037</v>
      </c>
      <c r="D12299" t="s">
        <v>12403</v>
      </c>
      <c r="E12299" t="s">
        <v>12404</v>
      </c>
      <c r="F12299" t="s">
        <v>0</v>
      </c>
      <c r="G12299" t="str">
        <f>"2018-10-13 16:11:25"</f>
        <v>2018-10-13 16:11:25</v>
      </c>
    </row>
    <row r="12300" spans="1:7" x14ac:dyDescent="0.2">
      <c r="A12300" t="s">
        <v>1658</v>
      </c>
      <c r="B12300" t="str">
        <f>"18844747444"</f>
        <v>18844747444</v>
      </c>
      <c r="C12300" t="str">
        <f>"230622198702235251"</f>
        <v>230622198702235251</v>
      </c>
      <c r="D12300" t="s">
        <v>1</v>
      </c>
      <c r="E12300" t="s">
        <v>1</v>
      </c>
      <c r="F12300" t="s">
        <v>0</v>
      </c>
      <c r="G12300" t="str">
        <f>"2018-10-13 16:33:56"</f>
        <v>2018-10-13 16:33:56</v>
      </c>
    </row>
    <row r="12301" spans="1:7" x14ac:dyDescent="0.2">
      <c r="A12301" t="s">
        <v>12405</v>
      </c>
      <c r="B12301" t="str">
        <f>"18708595586"</f>
        <v>18708595586</v>
      </c>
      <c r="C12301" t="str">
        <f>"522326199207050676"</f>
        <v>522326199207050676</v>
      </c>
      <c r="D12301" t="s">
        <v>1</v>
      </c>
      <c r="E12301" t="s">
        <v>1</v>
      </c>
      <c r="F12301" t="s">
        <v>0</v>
      </c>
      <c r="G12301" t="str">
        <f>"2018-11-03 14:03:37"</f>
        <v>2018-11-03 14:03:37</v>
      </c>
    </row>
    <row r="12302" spans="1:7" x14ac:dyDescent="0.2">
      <c r="A12302" t="s">
        <v>12406</v>
      </c>
      <c r="B12302" t="str">
        <f>"13514655624"</f>
        <v>13514655624</v>
      </c>
      <c r="C12302" t="str">
        <f>"230225197906092013"</f>
        <v>230225197906092013</v>
      </c>
      <c r="D12302" t="s">
        <v>1</v>
      </c>
      <c r="E12302" t="s">
        <v>1</v>
      </c>
      <c r="F12302" t="s">
        <v>0</v>
      </c>
      <c r="G12302" t="str">
        <f>"2018-10-13 16:30:28"</f>
        <v>2018-10-13 16:30:28</v>
      </c>
    </row>
    <row r="12303" spans="1:7" x14ac:dyDescent="0.2">
      <c r="A12303" t="s">
        <v>12407</v>
      </c>
      <c r="B12303" t="str">
        <f>"13481052285"</f>
        <v>13481052285</v>
      </c>
      <c r="C12303" t="str">
        <f>"450103198008151028"</f>
        <v>450103198008151028</v>
      </c>
      <c r="D12303" t="s">
        <v>1</v>
      </c>
      <c r="E12303" t="s">
        <v>1</v>
      </c>
      <c r="F12303" t="s">
        <v>0</v>
      </c>
      <c r="G12303" t="str">
        <f>"2018-10-13 16:07:22"</f>
        <v>2018-10-13 16:07:22</v>
      </c>
    </row>
    <row r="12304" spans="1:7" x14ac:dyDescent="0.2">
      <c r="A12304" t="s">
        <v>1</v>
      </c>
      <c r="B12304" t="str">
        <f>"13020944783"</f>
        <v>13020944783</v>
      </c>
      <c r="C12304" t="s">
        <v>1</v>
      </c>
      <c r="D12304" t="s">
        <v>1</v>
      </c>
      <c r="E12304" t="s">
        <v>1</v>
      </c>
      <c r="F12304" t="s">
        <v>0</v>
      </c>
      <c r="G12304" t="str">
        <f>"2018-10-13 16:06:11"</f>
        <v>2018-10-13 16:06:11</v>
      </c>
    </row>
    <row r="12305" spans="1:7" x14ac:dyDescent="0.2">
      <c r="A12305" t="s">
        <v>1</v>
      </c>
      <c r="B12305" t="str">
        <f>"15528108883"</f>
        <v>15528108883</v>
      </c>
      <c r="C12305" t="s">
        <v>1</v>
      </c>
      <c r="D12305" t="s">
        <v>1</v>
      </c>
      <c r="E12305" t="s">
        <v>1</v>
      </c>
      <c r="F12305" t="s">
        <v>0</v>
      </c>
      <c r="G12305" t="str">
        <f>"2018-10-13 16:05:50"</f>
        <v>2018-10-13 16:05:50</v>
      </c>
    </row>
    <row r="12306" spans="1:7" x14ac:dyDescent="0.2">
      <c r="A12306" t="s">
        <v>12408</v>
      </c>
      <c r="B12306" t="str">
        <f>"13485621748"</f>
        <v>13485621748</v>
      </c>
      <c r="C12306" t="str">
        <f>"340823199812217019"</f>
        <v>340823199812217019</v>
      </c>
      <c r="D12306" t="s">
        <v>1</v>
      </c>
      <c r="E12306" t="s">
        <v>1</v>
      </c>
      <c r="F12306" t="s">
        <v>0</v>
      </c>
      <c r="G12306" t="str">
        <f>"2018-10-13 16:29:46"</f>
        <v>2018-10-13 16:29:46</v>
      </c>
    </row>
    <row r="12307" spans="1:7" x14ac:dyDescent="0.2">
      <c r="A12307" t="s">
        <v>12409</v>
      </c>
      <c r="B12307" t="str">
        <f>"13825426772"</f>
        <v>13825426772</v>
      </c>
      <c r="C12307" t="str">
        <f>"441302198705280013"</f>
        <v>441302198705280013</v>
      </c>
      <c r="D12307" t="s">
        <v>1</v>
      </c>
      <c r="E12307" t="s">
        <v>1</v>
      </c>
      <c r="F12307" t="s">
        <v>0</v>
      </c>
      <c r="G12307" t="str">
        <f>"2018-10-13 16:06:20"</f>
        <v>2018-10-13 16:06:20</v>
      </c>
    </row>
    <row r="12308" spans="1:7" x14ac:dyDescent="0.2">
      <c r="A12308" t="s">
        <v>12410</v>
      </c>
      <c r="B12308" t="str">
        <f>"15822695108"</f>
        <v>15822695108</v>
      </c>
      <c r="C12308" t="str">
        <f>"12010319931006541X"</f>
        <v>12010319931006541X</v>
      </c>
      <c r="D12308" t="s">
        <v>1</v>
      </c>
      <c r="E12308" t="s">
        <v>1</v>
      </c>
      <c r="F12308" t="s">
        <v>0</v>
      </c>
      <c r="G12308" t="str">
        <f>"2018-10-13 16:08:03"</f>
        <v>2018-10-13 16:08:03</v>
      </c>
    </row>
    <row r="12309" spans="1:7" x14ac:dyDescent="0.2">
      <c r="A12309" t="s">
        <v>12411</v>
      </c>
      <c r="B12309" t="str">
        <f>"18273302370"</f>
        <v>18273302370</v>
      </c>
      <c r="C12309" t="str">
        <f>"430224199603113315"</f>
        <v>430224199603113315</v>
      </c>
      <c r="D12309" t="s">
        <v>1</v>
      </c>
      <c r="E12309" t="s">
        <v>1</v>
      </c>
      <c r="F12309" t="s">
        <v>0</v>
      </c>
      <c r="G12309" t="str">
        <f>"2018-10-13 17:18:21"</f>
        <v>2018-10-13 17:18:21</v>
      </c>
    </row>
    <row r="12310" spans="1:7" x14ac:dyDescent="0.2">
      <c r="A12310" t="s">
        <v>12412</v>
      </c>
      <c r="B12310" t="str">
        <f>"18988513456"</f>
        <v>18988513456</v>
      </c>
      <c r="C12310" t="str">
        <f>"440582198312280030"</f>
        <v>440582198312280030</v>
      </c>
      <c r="D12310" t="s">
        <v>1</v>
      </c>
      <c r="E12310" t="s">
        <v>1</v>
      </c>
      <c r="F12310" t="s">
        <v>0</v>
      </c>
      <c r="G12310" t="str">
        <f>"2018-10-13 16:04:30"</f>
        <v>2018-10-13 16:04:30</v>
      </c>
    </row>
    <row r="12311" spans="1:7" x14ac:dyDescent="0.2">
      <c r="A12311" t="s">
        <v>12413</v>
      </c>
      <c r="B12311" t="str">
        <f>"13603139077"</f>
        <v>13603139077</v>
      </c>
      <c r="C12311" t="str">
        <f>"130729198610023215"</f>
        <v>130729198610023215</v>
      </c>
      <c r="D12311" t="s">
        <v>1</v>
      </c>
      <c r="E12311" t="s">
        <v>1</v>
      </c>
      <c r="F12311" t="s">
        <v>0</v>
      </c>
      <c r="G12311" t="str">
        <f>"2018-10-13 20:56:23"</f>
        <v>2018-10-13 20:56:23</v>
      </c>
    </row>
    <row r="12312" spans="1:7" x14ac:dyDescent="0.2">
      <c r="A12312" t="s">
        <v>1</v>
      </c>
      <c r="B12312" t="str">
        <f>"15003059992"</f>
        <v>15003059992</v>
      </c>
      <c r="C12312" t="s">
        <v>1</v>
      </c>
      <c r="D12312" t="s">
        <v>1</v>
      </c>
      <c r="E12312" t="s">
        <v>1</v>
      </c>
      <c r="F12312" t="s">
        <v>0</v>
      </c>
      <c r="G12312" t="str">
        <f>"2018-10-13 16:02:34"</f>
        <v>2018-10-13 16:02:34</v>
      </c>
    </row>
    <row r="12313" spans="1:7" x14ac:dyDescent="0.2">
      <c r="A12313" t="s">
        <v>1</v>
      </c>
      <c r="B12313" t="str">
        <f>"13720301840"</f>
        <v>13720301840</v>
      </c>
      <c r="C12313" t="s">
        <v>1</v>
      </c>
      <c r="D12313" t="s">
        <v>1</v>
      </c>
      <c r="E12313" t="s">
        <v>1</v>
      </c>
      <c r="F12313" t="s">
        <v>0</v>
      </c>
      <c r="G12313" t="str">
        <f>"2018-10-13 16:02:33"</f>
        <v>2018-10-13 16:02:33</v>
      </c>
    </row>
    <row r="12314" spans="1:7" x14ac:dyDescent="0.2">
      <c r="A12314" t="s">
        <v>12414</v>
      </c>
      <c r="B12314" t="str">
        <f>"15986884443"</f>
        <v>15986884443</v>
      </c>
      <c r="C12314" t="str">
        <f>"440582199703255494"</f>
        <v>440582199703255494</v>
      </c>
      <c r="D12314" t="s">
        <v>12415</v>
      </c>
      <c r="E12314" t="s">
        <v>12416</v>
      </c>
      <c r="F12314" t="s">
        <v>0</v>
      </c>
      <c r="G12314" t="str">
        <f>"2018-10-13 16:01:49"</f>
        <v>2018-10-13 16:01:49</v>
      </c>
    </row>
    <row r="12315" spans="1:7" x14ac:dyDescent="0.2">
      <c r="A12315" t="s">
        <v>1</v>
      </c>
      <c r="B12315" t="str">
        <f>"15577803471"</f>
        <v>15577803471</v>
      </c>
      <c r="C12315" t="s">
        <v>1</v>
      </c>
      <c r="D12315" t="s">
        <v>1</v>
      </c>
      <c r="E12315" t="s">
        <v>1</v>
      </c>
      <c r="F12315" t="s">
        <v>0</v>
      </c>
      <c r="G12315" t="str">
        <f>"2018-10-13 16:01:18"</f>
        <v>2018-10-13 16:01:18</v>
      </c>
    </row>
    <row r="12316" spans="1:7" x14ac:dyDescent="0.2">
      <c r="A12316" t="s">
        <v>12417</v>
      </c>
      <c r="B12316" t="str">
        <f>"18840561747"</f>
        <v>18840561747</v>
      </c>
      <c r="C12316" t="str">
        <f>"210623199102021468"</f>
        <v>210623199102021468</v>
      </c>
      <c r="D12316" t="s">
        <v>12418</v>
      </c>
      <c r="E12316" t="s">
        <v>12419</v>
      </c>
      <c r="F12316" t="s">
        <v>0</v>
      </c>
      <c r="G12316" t="str">
        <f>"2018-10-14 00:58:00"</f>
        <v>2018-10-14 00:58:00</v>
      </c>
    </row>
    <row r="12317" spans="1:7" x14ac:dyDescent="0.2">
      <c r="A12317" t="s">
        <v>1</v>
      </c>
      <c r="B12317" t="str">
        <f>"15858334806"</f>
        <v>15858334806</v>
      </c>
      <c r="C12317" t="s">
        <v>1</v>
      </c>
      <c r="D12317" t="s">
        <v>1</v>
      </c>
      <c r="E12317" t="s">
        <v>1</v>
      </c>
      <c r="F12317" t="s">
        <v>0</v>
      </c>
      <c r="G12317" t="str">
        <f>"2018-10-13 16:00:32"</f>
        <v>2018-10-13 16:00:32</v>
      </c>
    </row>
    <row r="12318" spans="1:7" x14ac:dyDescent="0.2">
      <c r="A12318" t="s">
        <v>657</v>
      </c>
      <c r="B12318" t="str">
        <f>"18811197096"</f>
        <v>18811197096</v>
      </c>
      <c r="C12318" t="str">
        <f>"511381199311069037"</f>
        <v>511381199311069037</v>
      </c>
      <c r="D12318" t="s">
        <v>1</v>
      </c>
      <c r="E12318" t="s">
        <v>1</v>
      </c>
      <c r="F12318" t="s">
        <v>0</v>
      </c>
      <c r="G12318" t="str">
        <f>"2018-10-13 16:44:16"</f>
        <v>2018-10-13 16:44:16</v>
      </c>
    </row>
    <row r="12319" spans="1:7" x14ac:dyDescent="0.2">
      <c r="A12319" t="s">
        <v>1</v>
      </c>
      <c r="B12319" t="str">
        <f>"15686067148"</f>
        <v>15686067148</v>
      </c>
      <c r="C12319" t="s">
        <v>1</v>
      </c>
      <c r="D12319" t="s">
        <v>1</v>
      </c>
      <c r="E12319" t="s">
        <v>1</v>
      </c>
      <c r="F12319" t="s">
        <v>0</v>
      </c>
      <c r="G12319" t="str">
        <f>"2018-10-13 16:01:47"</f>
        <v>2018-10-13 16:01:47</v>
      </c>
    </row>
    <row r="12320" spans="1:7" x14ac:dyDescent="0.2">
      <c r="A12320" t="s">
        <v>12420</v>
      </c>
      <c r="B12320" t="str">
        <f>"13051092727"</f>
        <v>13051092727</v>
      </c>
      <c r="C12320" t="str">
        <f>"150425198511163572"</f>
        <v>150425198511163572</v>
      </c>
      <c r="D12320" t="s">
        <v>1</v>
      </c>
      <c r="E12320" t="s">
        <v>1</v>
      </c>
      <c r="F12320" t="s">
        <v>0</v>
      </c>
      <c r="G12320" t="str">
        <f>"2018-10-13 16:03:29"</f>
        <v>2018-10-13 16:03:29</v>
      </c>
    </row>
    <row r="12321" spans="1:7" x14ac:dyDescent="0.2">
      <c r="A12321" t="s">
        <v>12421</v>
      </c>
      <c r="B12321" t="str">
        <f>"13112817635"</f>
        <v>13112817635</v>
      </c>
      <c r="C12321" t="str">
        <f>"43112619950512123X"</f>
        <v>43112619950512123X</v>
      </c>
      <c r="D12321" t="s">
        <v>12422</v>
      </c>
      <c r="E12321" t="s">
        <v>12423</v>
      </c>
      <c r="F12321" t="s">
        <v>0</v>
      </c>
      <c r="G12321" t="str">
        <f>"2018-10-13 16:02:43"</f>
        <v>2018-10-13 16:02:43</v>
      </c>
    </row>
    <row r="12322" spans="1:7" x14ac:dyDescent="0.2">
      <c r="A12322" t="s">
        <v>12424</v>
      </c>
      <c r="B12322" t="str">
        <f>"15543836688"</f>
        <v>15543836688</v>
      </c>
      <c r="C12322" t="str">
        <f>"22072419880506384X"</f>
        <v>22072419880506384X</v>
      </c>
      <c r="D12322" t="s">
        <v>1</v>
      </c>
      <c r="E12322" t="s">
        <v>1</v>
      </c>
      <c r="F12322" t="s">
        <v>0</v>
      </c>
      <c r="G12322" t="str">
        <f>"2018-10-13 15:59:51"</f>
        <v>2018-10-13 15:59:51</v>
      </c>
    </row>
    <row r="12323" spans="1:7" x14ac:dyDescent="0.2">
      <c r="A12323" t="s">
        <v>12425</v>
      </c>
      <c r="B12323" t="str">
        <f>"15155651314"</f>
        <v>15155651314</v>
      </c>
      <c r="C12323" t="str">
        <f>"340822199508131417"</f>
        <v>340822199508131417</v>
      </c>
      <c r="D12323" t="s">
        <v>1</v>
      </c>
      <c r="E12323" t="s">
        <v>1</v>
      </c>
      <c r="F12323" t="s">
        <v>0</v>
      </c>
      <c r="G12323" t="str">
        <f>"2018-10-13 16:22:03"</f>
        <v>2018-10-13 16:22:03</v>
      </c>
    </row>
    <row r="12324" spans="1:7" x14ac:dyDescent="0.2">
      <c r="A12324" t="s">
        <v>59</v>
      </c>
      <c r="B12324" t="str">
        <f>"18806860173"</f>
        <v>18806860173</v>
      </c>
      <c r="C12324" t="str">
        <f>"612322199405115422"</f>
        <v>612322199405115422</v>
      </c>
      <c r="D12324" t="s">
        <v>1</v>
      </c>
      <c r="E12324" t="s">
        <v>1</v>
      </c>
      <c r="F12324" t="s">
        <v>0</v>
      </c>
      <c r="G12324" t="str">
        <f>"2018-10-13 15:59:41"</f>
        <v>2018-10-13 15:59:41</v>
      </c>
    </row>
    <row r="12325" spans="1:7" x14ac:dyDescent="0.2">
      <c r="A12325" t="s">
        <v>1</v>
      </c>
      <c r="B12325" t="str">
        <f>"15998066869"</f>
        <v>15998066869</v>
      </c>
      <c r="C12325" t="s">
        <v>1</v>
      </c>
      <c r="D12325" t="s">
        <v>1</v>
      </c>
      <c r="E12325" t="s">
        <v>1</v>
      </c>
      <c r="F12325" t="s">
        <v>0</v>
      </c>
      <c r="G12325" t="str">
        <f>"2018-10-16 12:16:17"</f>
        <v>2018-10-16 12:16:17</v>
      </c>
    </row>
    <row r="12326" spans="1:7" x14ac:dyDescent="0.2">
      <c r="A12326" t="s">
        <v>12426</v>
      </c>
      <c r="B12326" t="str">
        <f>"15110790299"</f>
        <v>15110790299</v>
      </c>
      <c r="C12326" t="str">
        <f>"140203198009232914"</f>
        <v>140203198009232914</v>
      </c>
      <c r="D12326" t="s">
        <v>1</v>
      </c>
      <c r="E12326" t="s">
        <v>1</v>
      </c>
      <c r="F12326" t="s">
        <v>0</v>
      </c>
      <c r="G12326" t="str">
        <f>"2018-10-13 20:08:20"</f>
        <v>2018-10-13 20:08:20</v>
      </c>
    </row>
    <row r="12327" spans="1:7" x14ac:dyDescent="0.2">
      <c r="A12327" t="s">
        <v>1</v>
      </c>
      <c r="B12327" t="str">
        <f>"17736911427"</f>
        <v>17736911427</v>
      </c>
      <c r="C12327" t="s">
        <v>1</v>
      </c>
      <c r="D12327" t="s">
        <v>1</v>
      </c>
      <c r="E12327" t="s">
        <v>1</v>
      </c>
      <c r="F12327" t="s">
        <v>0</v>
      </c>
      <c r="G12327" t="str">
        <f>"2018-10-13 15:58:27"</f>
        <v>2018-10-13 15:58:27</v>
      </c>
    </row>
    <row r="12328" spans="1:7" x14ac:dyDescent="0.2">
      <c r="A12328" t="s">
        <v>1</v>
      </c>
      <c r="B12328" t="str">
        <f>"14779745675"</f>
        <v>14779745675</v>
      </c>
      <c r="C12328" t="s">
        <v>1</v>
      </c>
      <c r="D12328" t="s">
        <v>1</v>
      </c>
      <c r="E12328" t="s">
        <v>1</v>
      </c>
      <c r="F12328" t="s">
        <v>0</v>
      </c>
      <c r="G12328" t="str">
        <f>"2018-10-13 15:57:31"</f>
        <v>2018-10-13 15:57:31</v>
      </c>
    </row>
    <row r="12329" spans="1:7" x14ac:dyDescent="0.2">
      <c r="A12329" t="s">
        <v>12427</v>
      </c>
      <c r="B12329" t="str">
        <f>"13311027935"</f>
        <v>13311027935</v>
      </c>
      <c r="C12329" t="str">
        <f>"411402199706267034"</f>
        <v>411402199706267034</v>
      </c>
      <c r="D12329" t="s">
        <v>1</v>
      </c>
      <c r="E12329" t="s">
        <v>1</v>
      </c>
      <c r="F12329" t="s">
        <v>0</v>
      </c>
      <c r="G12329" t="str">
        <f>"2018-10-13 15:57:21"</f>
        <v>2018-10-13 15:57:21</v>
      </c>
    </row>
    <row r="12330" spans="1:7" x14ac:dyDescent="0.2">
      <c r="A12330" t="s">
        <v>12428</v>
      </c>
      <c r="B12330" t="str">
        <f>"15994424365"</f>
        <v>15994424365</v>
      </c>
      <c r="C12330" t="str">
        <f>"450111199012172416"</f>
        <v>450111199012172416</v>
      </c>
      <c r="D12330" t="s">
        <v>1</v>
      </c>
      <c r="E12330" t="s">
        <v>1</v>
      </c>
      <c r="F12330" t="s">
        <v>0</v>
      </c>
      <c r="G12330" t="str">
        <f>"2018-10-13 16:06:10"</f>
        <v>2018-10-13 16:06:10</v>
      </c>
    </row>
    <row r="12331" spans="1:7" x14ac:dyDescent="0.2">
      <c r="A12331" t="s">
        <v>12429</v>
      </c>
      <c r="B12331" t="str">
        <f>"15369955532"</f>
        <v>15369955532</v>
      </c>
      <c r="C12331" t="str">
        <f>"130533199001051016"</f>
        <v>130533199001051016</v>
      </c>
      <c r="D12331" t="s">
        <v>1</v>
      </c>
      <c r="E12331" t="s">
        <v>1</v>
      </c>
      <c r="F12331" t="s">
        <v>0</v>
      </c>
      <c r="G12331" t="str">
        <f>"2018-10-13 15:58:26"</f>
        <v>2018-10-13 15:58:26</v>
      </c>
    </row>
    <row r="12332" spans="1:7" x14ac:dyDescent="0.2">
      <c r="A12332" t="s">
        <v>12430</v>
      </c>
      <c r="B12332" t="str">
        <f>"13552030852"</f>
        <v>13552030852</v>
      </c>
      <c r="C12332" t="str">
        <f>"132430197601085517"</f>
        <v>132430197601085517</v>
      </c>
      <c r="D12332" t="s">
        <v>1</v>
      </c>
      <c r="E12332" t="s">
        <v>1</v>
      </c>
      <c r="F12332" t="s">
        <v>0</v>
      </c>
      <c r="G12332" t="str">
        <f>"2018-10-13 15:58:49"</f>
        <v>2018-10-13 15:58:49</v>
      </c>
    </row>
    <row r="12333" spans="1:7" x14ac:dyDescent="0.2">
      <c r="A12333" t="s">
        <v>731</v>
      </c>
      <c r="B12333" t="str">
        <f>"18960642027"</f>
        <v>18960642027</v>
      </c>
      <c r="C12333" t="str">
        <f>"350721198505302626"</f>
        <v>350721198505302626</v>
      </c>
      <c r="D12333" t="s">
        <v>12431</v>
      </c>
      <c r="E12333" t="s">
        <v>12432</v>
      </c>
      <c r="F12333" t="s">
        <v>0</v>
      </c>
      <c r="G12333" t="str">
        <f>"2018-10-13 16:00:56"</f>
        <v>2018-10-13 16:00:56</v>
      </c>
    </row>
    <row r="12334" spans="1:7" x14ac:dyDescent="0.2">
      <c r="A12334" t="s">
        <v>8236</v>
      </c>
      <c r="B12334" t="str">
        <f>"18593974797"</f>
        <v>18593974797</v>
      </c>
      <c r="C12334" t="str">
        <f>"430523198607172537"</f>
        <v>430523198607172537</v>
      </c>
      <c r="D12334" t="s">
        <v>1</v>
      </c>
      <c r="E12334" t="s">
        <v>1</v>
      </c>
      <c r="F12334" t="s">
        <v>0</v>
      </c>
      <c r="G12334" t="str">
        <f>"2018-10-13 15:57:55"</f>
        <v>2018-10-13 15:57:55</v>
      </c>
    </row>
    <row r="12335" spans="1:7" x14ac:dyDescent="0.2">
      <c r="A12335" t="s">
        <v>12433</v>
      </c>
      <c r="B12335" t="str">
        <f>"15028190329"</f>
        <v>15028190329</v>
      </c>
      <c r="C12335" t="str">
        <f>"130133197904152116"</f>
        <v>130133197904152116</v>
      </c>
      <c r="D12335" t="s">
        <v>1</v>
      </c>
      <c r="E12335" t="s">
        <v>1</v>
      </c>
      <c r="F12335" t="s">
        <v>0</v>
      </c>
      <c r="G12335" t="str">
        <f>"2018-10-13 15:58:04"</f>
        <v>2018-10-13 15:58:04</v>
      </c>
    </row>
    <row r="12336" spans="1:7" x14ac:dyDescent="0.2">
      <c r="A12336" t="s">
        <v>12434</v>
      </c>
      <c r="B12336" t="str">
        <f>"15715332237"</f>
        <v>15715332237</v>
      </c>
      <c r="C12336" t="str">
        <f>"371424199701061219"</f>
        <v>371424199701061219</v>
      </c>
      <c r="D12336" t="s">
        <v>1</v>
      </c>
      <c r="E12336" t="s">
        <v>1</v>
      </c>
      <c r="F12336" t="s">
        <v>0</v>
      </c>
      <c r="G12336" t="str">
        <f>"2018-10-13 15:58:18"</f>
        <v>2018-10-13 15:58:18</v>
      </c>
    </row>
    <row r="12337" spans="1:7" x14ac:dyDescent="0.2">
      <c r="A12337" t="s">
        <v>391</v>
      </c>
      <c r="B12337" t="str">
        <f>"18381665993"</f>
        <v>18381665993</v>
      </c>
      <c r="C12337" t="str">
        <f>"510724197902132418"</f>
        <v>510724197902132418</v>
      </c>
      <c r="D12337" t="s">
        <v>12435</v>
      </c>
      <c r="E12337" t="s">
        <v>12436</v>
      </c>
      <c r="F12337" t="s">
        <v>0</v>
      </c>
      <c r="G12337" t="str">
        <f>"2018-10-13 15:59:38"</f>
        <v>2018-10-13 15:59:38</v>
      </c>
    </row>
    <row r="12338" spans="1:7" x14ac:dyDescent="0.2">
      <c r="A12338" t="s">
        <v>12437</v>
      </c>
      <c r="B12338" t="str">
        <f>"13147243569"</f>
        <v>13147243569</v>
      </c>
      <c r="C12338" t="str">
        <f>"421222199302182831"</f>
        <v>421222199302182831</v>
      </c>
      <c r="D12338" t="s">
        <v>1</v>
      </c>
      <c r="E12338" t="s">
        <v>1</v>
      </c>
      <c r="F12338" t="s">
        <v>0</v>
      </c>
      <c r="G12338" t="str">
        <f>"2018-10-13 15:55:23"</f>
        <v>2018-10-13 15:55:23</v>
      </c>
    </row>
    <row r="12339" spans="1:7" x14ac:dyDescent="0.2">
      <c r="A12339" t="s">
        <v>12438</v>
      </c>
      <c r="B12339" t="str">
        <f>"18926267666"</f>
        <v>18926267666</v>
      </c>
      <c r="C12339" t="str">
        <f>"440181198806073930"</f>
        <v>440181198806073930</v>
      </c>
      <c r="D12339" t="s">
        <v>12439</v>
      </c>
      <c r="E12339" t="s">
        <v>12440</v>
      </c>
      <c r="F12339" t="s">
        <v>0</v>
      </c>
      <c r="G12339" t="str">
        <f>"2018-10-13 15:56:19"</f>
        <v>2018-10-13 15:56:19</v>
      </c>
    </row>
    <row r="12340" spans="1:7" x14ac:dyDescent="0.2">
      <c r="A12340" t="s">
        <v>12441</v>
      </c>
      <c r="B12340" t="str">
        <f>"18111236778"</f>
        <v>18111236778</v>
      </c>
      <c r="C12340" t="str">
        <f>"513701199606222619"</f>
        <v>513701199606222619</v>
      </c>
      <c r="D12340" t="s">
        <v>1</v>
      </c>
      <c r="E12340" t="s">
        <v>1</v>
      </c>
      <c r="F12340" t="s">
        <v>0</v>
      </c>
      <c r="G12340" t="str">
        <f>"2018-10-13 15:56:13"</f>
        <v>2018-10-13 15:56:13</v>
      </c>
    </row>
    <row r="12341" spans="1:7" x14ac:dyDescent="0.2">
      <c r="A12341" t="s">
        <v>12442</v>
      </c>
      <c r="B12341" t="str">
        <f>"13283882795"</f>
        <v>13283882795</v>
      </c>
      <c r="C12341" t="str">
        <f>"410181198211153039"</f>
        <v>410181198211153039</v>
      </c>
      <c r="D12341" t="s">
        <v>1</v>
      </c>
      <c r="E12341" t="s">
        <v>1</v>
      </c>
      <c r="F12341" t="s">
        <v>0</v>
      </c>
      <c r="G12341" t="str">
        <f>"2018-10-13 15:59:29"</f>
        <v>2018-10-13 15:59:29</v>
      </c>
    </row>
    <row r="12342" spans="1:7" x14ac:dyDescent="0.2">
      <c r="A12342" t="s">
        <v>12443</v>
      </c>
      <c r="B12342" t="str">
        <f>"18684825709"</f>
        <v>18684825709</v>
      </c>
      <c r="C12342" t="str">
        <f>"430626198204207330"</f>
        <v>430626198204207330</v>
      </c>
      <c r="D12342" t="s">
        <v>1</v>
      </c>
      <c r="E12342" t="s">
        <v>1</v>
      </c>
      <c r="F12342" t="s">
        <v>0</v>
      </c>
      <c r="G12342" t="str">
        <f>"2018-10-13 15:53:56"</f>
        <v>2018-10-13 15:53:56</v>
      </c>
    </row>
    <row r="12343" spans="1:7" x14ac:dyDescent="0.2">
      <c r="A12343" t="s">
        <v>689</v>
      </c>
      <c r="B12343" t="str">
        <f>"15685587686"</f>
        <v>15685587686</v>
      </c>
      <c r="C12343" t="str">
        <f>"522632198910262311"</f>
        <v>522632198910262311</v>
      </c>
      <c r="D12343" t="s">
        <v>12444</v>
      </c>
      <c r="E12343" t="s">
        <v>12445</v>
      </c>
      <c r="F12343" t="s">
        <v>0</v>
      </c>
      <c r="G12343" t="str">
        <f>"2018-10-19 16:19:09"</f>
        <v>2018-10-19 16:19:09</v>
      </c>
    </row>
    <row r="12344" spans="1:7" x14ac:dyDescent="0.2">
      <c r="A12344" t="s">
        <v>1</v>
      </c>
      <c r="B12344" t="str">
        <f>"18504766790"</f>
        <v>18504766790</v>
      </c>
      <c r="C12344" t="s">
        <v>1</v>
      </c>
      <c r="D12344" t="s">
        <v>1</v>
      </c>
      <c r="E12344" t="s">
        <v>1</v>
      </c>
      <c r="F12344" t="s">
        <v>0</v>
      </c>
      <c r="G12344" t="str">
        <f>"2018-10-13 16:01:32"</f>
        <v>2018-10-13 16:01:32</v>
      </c>
    </row>
    <row r="12345" spans="1:7" x14ac:dyDescent="0.2">
      <c r="A12345" t="s">
        <v>12446</v>
      </c>
      <c r="B12345" t="str">
        <f>"15504124222"</f>
        <v>15504124222</v>
      </c>
      <c r="C12345" t="str">
        <f>"210622196810311634"</f>
        <v>210622196810311634</v>
      </c>
      <c r="D12345" t="s">
        <v>1</v>
      </c>
      <c r="E12345" t="s">
        <v>1</v>
      </c>
      <c r="F12345" t="s">
        <v>0</v>
      </c>
      <c r="G12345" t="str">
        <f>"2018-10-13 15:53:24"</f>
        <v>2018-10-13 15:53:24</v>
      </c>
    </row>
    <row r="12346" spans="1:7" x14ac:dyDescent="0.2">
      <c r="A12346" t="s">
        <v>12447</v>
      </c>
      <c r="B12346" t="str">
        <f>"18806591103"</f>
        <v>18806591103</v>
      </c>
      <c r="C12346" t="str">
        <f>"331002199104232035"</f>
        <v>331002199104232035</v>
      </c>
      <c r="D12346" t="s">
        <v>12448</v>
      </c>
      <c r="E12346" t="s">
        <v>12449</v>
      </c>
      <c r="F12346" t="s">
        <v>0</v>
      </c>
      <c r="G12346" t="str">
        <f>"2018-10-28 16:18:01"</f>
        <v>2018-10-28 16:18:01</v>
      </c>
    </row>
    <row r="12347" spans="1:7" x14ac:dyDescent="0.2">
      <c r="A12347" t="s">
        <v>12450</v>
      </c>
      <c r="B12347" t="str">
        <f>"15953427762"</f>
        <v>15953427762</v>
      </c>
      <c r="C12347" t="str">
        <f>"371423198010240014"</f>
        <v>371423198010240014</v>
      </c>
      <c r="D12347" t="s">
        <v>12451</v>
      </c>
      <c r="E12347" t="s">
        <v>12452</v>
      </c>
      <c r="F12347" t="s">
        <v>0</v>
      </c>
      <c r="G12347" t="str">
        <f>"2018-10-13 15:52:56"</f>
        <v>2018-10-13 15:52:56</v>
      </c>
    </row>
    <row r="12348" spans="1:7" x14ac:dyDescent="0.2">
      <c r="A12348" t="s">
        <v>12453</v>
      </c>
      <c r="B12348" t="str">
        <f>"15873124034"</f>
        <v>15873124034</v>
      </c>
      <c r="C12348" t="str">
        <f>"430121199707144912"</f>
        <v>430121199707144912</v>
      </c>
      <c r="D12348" t="s">
        <v>1</v>
      </c>
      <c r="E12348" t="s">
        <v>1</v>
      </c>
      <c r="F12348" t="s">
        <v>0</v>
      </c>
      <c r="G12348" t="str">
        <f>"2018-10-13 15:55:11"</f>
        <v>2018-10-13 15:55:11</v>
      </c>
    </row>
    <row r="12349" spans="1:7" x14ac:dyDescent="0.2">
      <c r="A12349" t="s">
        <v>354</v>
      </c>
      <c r="B12349" t="str">
        <f>"18030549328"</f>
        <v>18030549328</v>
      </c>
      <c r="C12349" t="str">
        <f>"500382198609229338"</f>
        <v>500382198609229338</v>
      </c>
      <c r="D12349" t="s">
        <v>12454</v>
      </c>
      <c r="E12349" t="s">
        <v>12455</v>
      </c>
      <c r="F12349" t="s">
        <v>0</v>
      </c>
      <c r="G12349" t="str">
        <f>"2018-10-13 15:54:41"</f>
        <v>2018-10-13 15:54:41</v>
      </c>
    </row>
    <row r="12350" spans="1:7" x14ac:dyDescent="0.2">
      <c r="A12350" t="s">
        <v>12456</v>
      </c>
      <c r="B12350" t="str">
        <f>"13413950274"</f>
        <v>13413950274</v>
      </c>
      <c r="C12350" t="str">
        <f>"445222199809152911"</f>
        <v>445222199809152911</v>
      </c>
      <c r="D12350" t="s">
        <v>12457</v>
      </c>
      <c r="E12350" t="s">
        <v>12457</v>
      </c>
      <c r="F12350" t="s">
        <v>0</v>
      </c>
      <c r="G12350" t="str">
        <f>"2018-10-13 16:20:26"</f>
        <v>2018-10-13 16:20:26</v>
      </c>
    </row>
    <row r="12351" spans="1:7" x14ac:dyDescent="0.2">
      <c r="A12351" t="s">
        <v>1</v>
      </c>
      <c r="B12351" t="str">
        <f>"13939726254"</f>
        <v>13939726254</v>
      </c>
      <c r="C12351" t="s">
        <v>1</v>
      </c>
      <c r="D12351" t="s">
        <v>1</v>
      </c>
      <c r="E12351" t="s">
        <v>1</v>
      </c>
      <c r="F12351" t="s">
        <v>0</v>
      </c>
      <c r="G12351" t="str">
        <f>"2018-10-13 15:52:12"</f>
        <v>2018-10-13 15:52:12</v>
      </c>
    </row>
    <row r="12352" spans="1:7" x14ac:dyDescent="0.2">
      <c r="A12352" t="s">
        <v>12458</v>
      </c>
      <c r="B12352" t="str">
        <f>"13339611006"</f>
        <v>13339611006</v>
      </c>
      <c r="C12352" t="str">
        <f>"522625198712121135"</f>
        <v>522625198712121135</v>
      </c>
      <c r="D12352" t="s">
        <v>1</v>
      </c>
      <c r="E12352" t="s">
        <v>1</v>
      </c>
      <c r="F12352" t="s">
        <v>0</v>
      </c>
      <c r="G12352" t="str">
        <f>"2018-10-13 15:54:44"</f>
        <v>2018-10-13 15:54:44</v>
      </c>
    </row>
    <row r="12353" spans="1:7" x14ac:dyDescent="0.2">
      <c r="A12353" t="s">
        <v>58</v>
      </c>
      <c r="B12353" t="str">
        <f>"13803813229"</f>
        <v>13803813229</v>
      </c>
      <c r="C12353" t="str">
        <f>"410108197904300570"</f>
        <v>410108197904300570</v>
      </c>
      <c r="D12353" t="s">
        <v>1</v>
      </c>
      <c r="E12353" t="s">
        <v>1</v>
      </c>
      <c r="F12353" t="s">
        <v>0</v>
      </c>
      <c r="G12353" t="str">
        <f>"2018-10-13 15:53:52"</f>
        <v>2018-10-13 15:53:52</v>
      </c>
    </row>
    <row r="12354" spans="1:7" x14ac:dyDescent="0.2">
      <c r="A12354" t="s">
        <v>1</v>
      </c>
      <c r="B12354" t="str">
        <f>"18371831907"</f>
        <v>18371831907</v>
      </c>
      <c r="C12354" t="s">
        <v>1</v>
      </c>
      <c r="D12354" t="s">
        <v>1</v>
      </c>
      <c r="E12354" t="s">
        <v>1</v>
      </c>
      <c r="F12354" t="s">
        <v>0</v>
      </c>
      <c r="G12354" t="str">
        <f>"2018-10-13 15:51:13"</f>
        <v>2018-10-13 15:51:13</v>
      </c>
    </row>
    <row r="12355" spans="1:7" x14ac:dyDescent="0.2">
      <c r="A12355" t="s">
        <v>12459</v>
      </c>
      <c r="B12355" t="str">
        <f>"18766013389"</f>
        <v>18766013389</v>
      </c>
      <c r="C12355" t="str">
        <f>"422326198309092510"</f>
        <v>422326198309092510</v>
      </c>
      <c r="D12355" t="s">
        <v>1</v>
      </c>
      <c r="E12355" t="s">
        <v>1</v>
      </c>
      <c r="F12355" t="s">
        <v>0</v>
      </c>
      <c r="G12355" t="str">
        <f>"2018-10-13 15:50:59"</f>
        <v>2018-10-13 15:50:59</v>
      </c>
    </row>
    <row r="12356" spans="1:7" x14ac:dyDescent="0.2">
      <c r="A12356" t="s">
        <v>1</v>
      </c>
      <c r="B12356" t="str">
        <f>"13559896695"</f>
        <v>13559896695</v>
      </c>
      <c r="C12356" t="s">
        <v>1</v>
      </c>
      <c r="D12356" t="s">
        <v>1</v>
      </c>
      <c r="E12356" t="s">
        <v>1</v>
      </c>
      <c r="F12356" t="s">
        <v>0</v>
      </c>
      <c r="G12356" t="str">
        <f>"2018-10-13 15:50:08"</f>
        <v>2018-10-13 15:50:08</v>
      </c>
    </row>
    <row r="12357" spans="1:7" x14ac:dyDescent="0.2">
      <c r="A12357" t="s">
        <v>1</v>
      </c>
      <c r="B12357" t="str">
        <f>"18321950779"</f>
        <v>18321950779</v>
      </c>
      <c r="C12357" t="s">
        <v>1</v>
      </c>
      <c r="D12357" t="s">
        <v>1</v>
      </c>
      <c r="E12357" t="s">
        <v>1</v>
      </c>
      <c r="F12357" t="s">
        <v>0</v>
      </c>
      <c r="G12357" t="str">
        <f>"2018-10-13 15:50:03"</f>
        <v>2018-10-13 15:50:03</v>
      </c>
    </row>
    <row r="12358" spans="1:7" x14ac:dyDescent="0.2">
      <c r="A12358" t="s">
        <v>1</v>
      </c>
      <c r="B12358" t="str">
        <f>"13675731166"</f>
        <v>13675731166</v>
      </c>
      <c r="C12358" t="s">
        <v>1</v>
      </c>
      <c r="D12358" t="s">
        <v>1</v>
      </c>
      <c r="E12358" t="s">
        <v>1</v>
      </c>
      <c r="F12358" t="s">
        <v>0</v>
      </c>
      <c r="G12358" t="str">
        <f>"2018-10-13 15:50:01"</f>
        <v>2018-10-13 15:50:01</v>
      </c>
    </row>
    <row r="12359" spans="1:7" x14ac:dyDescent="0.2">
      <c r="A12359" t="s">
        <v>808</v>
      </c>
      <c r="B12359" t="str">
        <f>"18602738277"</f>
        <v>18602738277</v>
      </c>
      <c r="C12359" t="str">
        <f>"420102197702271023"</f>
        <v>420102197702271023</v>
      </c>
      <c r="D12359" t="s">
        <v>1</v>
      </c>
      <c r="E12359" t="s">
        <v>1</v>
      </c>
      <c r="F12359" t="s">
        <v>0</v>
      </c>
      <c r="G12359" t="str">
        <f>"2018-10-23 16:25:10"</f>
        <v>2018-10-23 16:25:10</v>
      </c>
    </row>
    <row r="12360" spans="1:7" x14ac:dyDescent="0.2">
      <c r="A12360" t="s">
        <v>12460</v>
      </c>
      <c r="B12360" t="str">
        <f>"13562639640"</f>
        <v>13562639640</v>
      </c>
      <c r="C12360" t="str">
        <f>"370724198108273115"</f>
        <v>370724198108273115</v>
      </c>
      <c r="D12360" t="s">
        <v>1</v>
      </c>
      <c r="E12360" t="s">
        <v>1</v>
      </c>
      <c r="F12360" t="s">
        <v>0</v>
      </c>
      <c r="G12360" t="str">
        <f>"2018-10-13 15:52:32"</f>
        <v>2018-10-13 15:52:32</v>
      </c>
    </row>
    <row r="12361" spans="1:7" x14ac:dyDescent="0.2">
      <c r="A12361" t="s">
        <v>12461</v>
      </c>
      <c r="B12361" t="str">
        <f>"15077071056"</f>
        <v>15077071056</v>
      </c>
      <c r="C12361" t="str">
        <f>"452124197610150115"</f>
        <v>452124197610150115</v>
      </c>
      <c r="D12361" t="s">
        <v>1</v>
      </c>
      <c r="E12361" t="s">
        <v>1</v>
      </c>
      <c r="F12361" t="s">
        <v>0</v>
      </c>
      <c r="G12361" t="str">
        <f>"2018-10-13 15:49:09"</f>
        <v>2018-10-13 15:49:09</v>
      </c>
    </row>
    <row r="12362" spans="1:7" x14ac:dyDescent="0.2">
      <c r="A12362" t="s">
        <v>1037</v>
      </c>
      <c r="B12362" t="str">
        <f>"17671138058"</f>
        <v>17671138058</v>
      </c>
      <c r="C12362" t="str">
        <f>"420322199004151812"</f>
        <v>420322199004151812</v>
      </c>
      <c r="D12362" t="s">
        <v>12462</v>
      </c>
      <c r="E12362" t="s">
        <v>12463</v>
      </c>
      <c r="F12362" t="s">
        <v>0</v>
      </c>
      <c r="G12362" t="str">
        <f>"2018-10-13 15:56:52"</f>
        <v>2018-10-13 15:56:52</v>
      </c>
    </row>
    <row r="12363" spans="1:7" x14ac:dyDescent="0.2">
      <c r="A12363" t="s">
        <v>12464</v>
      </c>
      <c r="B12363" t="str">
        <f>"13688596434"</f>
        <v>13688596434</v>
      </c>
      <c r="C12363" t="str">
        <f>"530381198907090732"</f>
        <v>530381198907090732</v>
      </c>
      <c r="D12363" t="s">
        <v>1</v>
      </c>
      <c r="E12363" t="s">
        <v>1</v>
      </c>
      <c r="F12363" t="s">
        <v>0</v>
      </c>
      <c r="G12363" t="str">
        <f>"2018-10-13 15:51:23"</f>
        <v>2018-10-13 15:51:23</v>
      </c>
    </row>
    <row r="12364" spans="1:7" x14ac:dyDescent="0.2">
      <c r="A12364" t="s">
        <v>12465</v>
      </c>
      <c r="B12364" t="str">
        <f>"17557218664"</f>
        <v>17557218664</v>
      </c>
      <c r="C12364" t="str">
        <f>"520203199910084710"</f>
        <v>520203199910084710</v>
      </c>
      <c r="D12364" t="s">
        <v>1</v>
      </c>
      <c r="E12364" t="s">
        <v>1</v>
      </c>
      <c r="F12364" t="s">
        <v>0</v>
      </c>
      <c r="G12364" t="str">
        <f>"2018-10-13 15:51:10"</f>
        <v>2018-10-13 15:51:10</v>
      </c>
    </row>
    <row r="12365" spans="1:7" x14ac:dyDescent="0.2">
      <c r="A12365" t="s">
        <v>1</v>
      </c>
      <c r="B12365" t="str">
        <f>"18615021849"</f>
        <v>18615021849</v>
      </c>
      <c r="C12365" t="s">
        <v>1</v>
      </c>
      <c r="D12365" t="s">
        <v>1</v>
      </c>
      <c r="E12365" t="s">
        <v>1</v>
      </c>
      <c r="F12365" t="s">
        <v>0</v>
      </c>
      <c r="G12365" t="str">
        <f>"2018-10-13 15:48:19"</f>
        <v>2018-10-13 15:48:19</v>
      </c>
    </row>
    <row r="12366" spans="1:7" x14ac:dyDescent="0.2">
      <c r="A12366" t="s">
        <v>12466</v>
      </c>
      <c r="B12366" t="str">
        <f>"15579878397"</f>
        <v>15579878397</v>
      </c>
      <c r="C12366" t="str">
        <f>"360782199710040513"</f>
        <v>360782199710040513</v>
      </c>
      <c r="D12366" t="s">
        <v>1</v>
      </c>
      <c r="E12366" t="s">
        <v>1</v>
      </c>
      <c r="F12366" t="s">
        <v>0</v>
      </c>
      <c r="G12366" t="str">
        <f>"2018-10-13 15:49:09"</f>
        <v>2018-10-13 15:49:09</v>
      </c>
    </row>
    <row r="12367" spans="1:7" x14ac:dyDescent="0.2">
      <c r="A12367" t="s">
        <v>12467</v>
      </c>
      <c r="B12367" t="str">
        <f>"17605052704"</f>
        <v>17605052704</v>
      </c>
      <c r="C12367" t="str">
        <f>"352228200010041013"</f>
        <v>352228200010041013</v>
      </c>
      <c r="D12367" t="s">
        <v>1</v>
      </c>
      <c r="E12367" t="s">
        <v>1</v>
      </c>
      <c r="F12367" t="s">
        <v>0</v>
      </c>
      <c r="G12367" t="str">
        <f>"2018-10-13 15:47:51"</f>
        <v>2018-10-13 15:47:51</v>
      </c>
    </row>
    <row r="12368" spans="1:7" x14ac:dyDescent="0.2">
      <c r="A12368" t="s">
        <v>12468</v>
      </c>
      <c r="B12368" t="str">
        <f>"13999045977"</f>
        <v>13999045977</v>
      </c>
      <c r="C12368" t="str">
        <f>"652101199309272238"</f>
        <v>652101199309272238</v>
      </c>
      <c r="D12368" t="s">
        <v>1</v>
      </c>
      <c r="E12368" t="s">
        <v>1</v>
      </c>
      <c r="F12368" t="s">
        <v>0</v>
      </c>
      <c r="G12368" t="str">
        <f>"2018-10-13 15:48:42"</f>
        <v>2018-10-13 15:48:42</v>
      </c>
    </row>
    <row r="12369" spans="1:7" x14ac:dyDescent="0.2">
      <c r="A12369" t="s">
        <v>12469</v>
      </c>
      <c r="B12369" t="str">
        <f>"18280384108"</f>
        <v>18280384108</v>
      </c>
      <c r="C12369" t="str">
        <f>"510824197910115058"</f>
        <v>510824197910115058</v>
      </c>
      <c r="D12369" t="s">
        <v>12470</v>
      </c>
      <c r="E12369" t="s">
        <v>12471</v>
      </c>
      <c r="F12369" t="s">
        <v>0</v>
      </c>
      <c r="G12369" t="str">
        <f>"2018-10-13 16:00:32"</f>
        <v>2018-10-13 16:00:32</v>
      </c>
    </row>
    <row r="12370" spans="1:7" x14ac:dyDescent="0.2">
      <c r="A12370" t="s">
        <v>1</v>
      </c>
      <c r="B12370" t="str">
        <f>"18911540294"</f>
        <v>18911540294</v>
      </c>
      <c r="C12370" t="s">
        <v>1</v>
      </c>
      <c r="D12370" t="s">
        <v>1</v>
      </c>
      <c r="E12370" t="s">
        <v>1</v>
      </c>
      <c r="F12370" t="s">
        <v>0</v>
      </c>
      <c r="G12370" t="str">
        <f>"2018-10-13 17:15:15"</f>
        <v>2018-10-13 17:15:15</v>
      </c>
    </row>
    <row r="12371" spans="1:7" x14ac:dyDescent="0.2">
      <c r="A12371" t="s">
        <v>12472</v>
      </c>
      <c r="B12371" t="str">
        <f>"13605995611"</f>
        <v>13605995611</v>
      </c>
      <c r="C12371" t="str">
        <f>"350425198502272977"</f>
        <v>350425198502272977</v>
      </c>
      <c r="D12371" t="s">
        <v>1</v>
      </c>
      <c r="E12371" t="s">
        <v>1</v>
      </c>
      <c r="F12371" t="s">
        <v>0</v>
      </c>
      <c r="G12371" t="str">
        <f>"2018-10-13 15:45:54"</f>
        <v>2018-10-13 15:45:54</v>
      </c>
    </row>
    <row r="12372" spans="1:7" x14ac:dyDescent="0.2">
      <c r="A12372" t="s">
        <v>12473</v>
      </c>
      <c r="B12372" t="str">
        <f>"13191131379"</f>
        <v>13191131379</v>
      </c>
      <c r="C12372" t="str">
        <f>"140322198111183316"</f>
        <v>140322198111183316</v>
      </c>
      <c r="D12372" t="s">
        <v>1</v>
      </c>
      <c r="E12372" t="s">
        <v>1</v>
      </c>
      <c r="F12372" t="s">
        <v>0</v>
      </c>
      <c r="G12372" t="str">
        <f>"2018-10-13 15:46:41"</f>
        <v>2018-10-13 15:46:41</v>
      </c>
    </row>
    <row r="12373" spans="1:7" x14ac:dyDescent="0.2">
      <c r="A12373" t="s">
        <v>12474</v>
      </c>
      <c r="B12373" t="str">
        <f>"15757912782"</f>
        <v>15757912782</v>
      </c>
      <c r="C12373" t="str">
        <f>"130425198410054955"</f>
        <v>130425198410054955</v>
      </c>
      <c r="D12373" t="s">
        <v>1</v>
      </c>
      <c r="E12373" t="s">
        <v>1</v>
      </c>
      <c r="F12373" t="s">
        <v>0</v>
      </c>
      <c r="G12373" t="str">
        <f>"2018-10-13 15:49:07"</f>
        <v>2018-10-13 15:49:07</v>
      </c>
    </row>
    <row r="12374" spans="1:7" x14ac:dyDescent="0.2">
      <c r="A12374" t="s">
        <v>1424</v>
      </c>
      <c r="B12374" t="str">
        <f>"18739018913"</f>
        <v>18739018913</v>
      </c>
      <c r="C12374" t="str">
        <f>"411328199612145018"</f>
        <v>411328199612145018</v>
      </c>
      <c r="D12374" t="s">
        <v>1</v>
      </c>
      <c r="E12374" t="s">
        <v>1</v>
      </c>
      <c r="F12374" t="s">
        <v>0</v>
      </c>
      <c r="G12374" t="str">
        <f>"2018-10-13 15:48:41"</f>
        <v>2018-10-13 15:48:41</v>
      </c>
    </row>
    <row r="12375" spans="1:7" x14ac:dyDescent="0.2">
      <c r="A12375" t="s">
        <v>12475</v>
      </c>
      <c r="B12375" t="str">
        <f>"13887718939"</f>
        <v>13887718939</v>
      </c>
      <c r="C12375" t="str">
        <f>"530402198801072835"</f>
        <v>530402198801072835</v>
      </c>
      <c r="D12375" t="s">
        <v>1</v>
      </c>
      <c r="E12375" t="s">
        <v>1</v>
      </c>
      <c r="F12375" t="s">
        <v>0</v>
      </c>
      <c r="G12375" t="str">
        <f>"2018-10-13 15:48:05"</f>
        <v>2018-10-13 15:48:05</v>
      </c>
    </row>
    <row r="12376" spans="1:7" x14ac:dyDescent="0.2">
      <c r="A12376" t="s">
        <v>1130</v>
      </c>
      <c r="B12376" t="str">
        <f>"13217217520"</f>
        <v>13217217520</v>
      </c>
      <c r="C12376" t="str">
        <f>"422202199410023438"</f>
        <v>422202199410023438</v>
      </c>
      <c r="D12376" t="s">
        <v>1</v>
      </c>
      <c r="E12376" t="s">
        <v>1</v>
      </c>
      <c r="F12376" t="s">
        <v>0</v>
      </c>
      <c r="G12376" t="str">
        <f>"2018-10-13 15:48:19"</f>
        <v>2018-10-13 15:48:19</v>
      </c>
    </row>
    <row r="12377" spans="1:7" x14ac:dyDescent="0.2">
      <c r="A12377" t="s">
        <v>1032</v>
      </c>
      <c r="B12377" t="str">
        <f>"13523568542"</f>
        <v>13523568542</v>
      </c>
      <c r="C12377" t="str">
        <f>"410781197811200036"</f>
        <v>410781197811200036</v>
      </c>
      <c r="D12377" t="s">
        <v>1</v>
      </c>
      <c r="E12377" t="s">
        <v>1</v>
      </c>
      <c r="F12377" t="s">
        <v>0</v>
      </c>
      <c r="G12377" t="str">
        <f>"2018-10-13 15:47:08"</f>
        <v>2018-10-13 15:47:08</v>
      </c>
    </row>
    <row r="12378" spans="1:7" x14ac:dyDescent="0.2">
      <c r="A12378" t="s">
        <v>12476</v>
      </c>
      <c r="B12378" t="str">
        <f>"13466639036"</f>
        <v>13466639036</v>
      </c>
      <c r="C12378" t="str">
        <f>"110226198705091122"</f>
        <v>110226198705091122</v>
      </c>
      <c r="D12378" t="s">
        <v>1</v>
      </c>
      <c r="E12378" t="s">
        <v>1</v>
      </c>
      <c r="F12378" t="s">
        <v>0</v>
      </c>
      <c r="G12378" t="str">
        <f>"2018-10-22 22:27:22"</f>
        <v>2018-10-22 22:27:22</v>
      </c>
    </row>
    <row r="12379" spans="1:7" x14ac:dyDescent="0.2">
      <c r="A12379" t="s">
        <v>1</v>
      </c>
      <c r="B12379" t="str">
        <f>"15885238153"</f>
        <v>15885238153</v>
      </c>
      <c r="C12379" t="s">
        <v>1</v>
      </c>
      <c r="D12379" t="s">
        <v>1</v>
      </c>
      <c r="E12379" t="s">
        <v>1</v>
      </c>
      <c r="F12379" t="s">
        <v>0</v>
      </c>
      <c r="G12379" t="str">
        <f>"2018-10-13 15:42:47"</f>
        <v>2018-10-13 15:42:47</v>
      </c>
    </row>
    <row r="12380" spans="1:7" x14ac:dyDescent="0.2">
      <c r="A12380" t="s">
        <v>12477</v>
      </c>
      <c r="B12380" t="str">
        <f>"13913053722"</f>
        <v>13913053722</v>
      </c>
      <c r="C12380" t="str">
        <f>"422126197705012054"</f>
        <v>422126197705012054</v>
      </c>
      <c r="D12380" t="s">
        <v>1</v>
      </c>
      <c r="E12380" t="s">
        <v>1</v>
      </c>
      <c r="F12380" t="s">
        <v>0</v>
      </c>
      <c r="G12380" t="str">
        <f>"2018-10-13 15:44:02"</f>
        <v>2018-10-13 15:44:02</v>
      </c>
    </row>
    <row r="12381" spans="1:7" x14ac:dyDescent="0.2">
      <c r="A12381" t="s">
        <v>12478</v>
      </c>
      <c r="B12381" t="str">
        <f>"13325086779"</f>
        <v>13325086779</v>
      </c>
      <c r="C12381" t="str">
        <f>"372833197501210021"</f>
        <v>372833197501210021</v>
      </c>
      <c r="D12381" t="s">
        <v>1</v>
      </c>
      <c r="E12381" t="s">
        <v>1</v>
      </c>
      <c r="F12381" t="s">
        <v>0</v>
      </c>
      <c r="G12381" t="str">
        <f>"2018-10-13 15:42:14"</f>
        <v>2018-10-13 15:42:14</v>
      </c>
    </row>
    <row r="12382" spans="1:7" x14ac:dyDescent="0.2">
      <c r="A12382" t="s">
        <v>12479</v>
      </c>
      <c r="B12382" t="str">
        <f>"15107067447"</f>
        <v>15107067447</v>
      </c>
      <c r="C12382" t="str">
        <f>"341221199310115472"</f>
        <v>341221199310115472</v>
      </c>
      <c r="D12382" t="s">
        <v>1</v>
      </c>
      <c r="E12382" t="s">
        <v>1</v>
      </c>
      <c r="F12382" t="s">
        <v>0</v>
      </c>
      <c r="G12382" t="str">
        <f>"2018-10-19 10:50:36"</f>
        <v>2018-10-19 10:50:36</v>
      </c>
    </row>
    <row r="12383" spans="1:7" x14ac:dyDescent="0.2">
      <c r="A12383" t="s">
        <v>159</v>
      </c>
      <c r="B12383" t="str">
        <f>"15105623000"</f>
        <v>15105623000</v>
      </c>
      <c r="C12383" t="str">
        <f>"340721199107070615"</f>
        <v>340721199107070615</v>
      </c>
      <c r="D12383" t="s">
        <v>1</v>
      </c>
      <c r="E12383" t="s">
        <v>1</v>
      </c>
      <c r="F12383" t="s">
        <v>0</v>
      </c>
      <c r="G12383" t="str">
        <f>"2018-10-13 15:43:29"</f>
        <v>2018-10-13 15:43:29</v>
      </c>
    </row>
    <row r="12384" spans="1:7" x14ac:dyDescent="0.2">
      <c r="A12384" t="s">
        <v>12480</v>
      </c>
      <c r="B12384" t="str">
        <f>"18023104418"</f>
        <v>18023104418</v>
      </c>
      <c r="C12384" t="str">
        <f>"44162319900817463X"</f>
        <v>44162319900817463X</v>
      </c>
      <c r="D12384" t="s">
        <v>12481</v>
      </c>
      <c r="E12384" t="s">
        <v>12482</v>
      </c>
      <c r="F12384" t="s">
        <v>0</v>
      </c>
      <c r="G12384" t="str">
        <f>"2018-10-13 15:43:16"</f>
        <v>2018-10-13 15:43:16</v>
      </c>
    </row>
    <row r="12385" spans="1:7" x14ac:dyDescent="0.2">
      <c r="A12385" t="s">
        <v>12483</v>
      </c>
      <c r="B12385" t="str">
        <f>"18628836663"</f>
        <v>18628836663</v>
      </c>
      <c r="C12385" t="str">
        <f>"51390119890331003X"</f>
        <v>51390119890331003X</v>
      </c>
      <c r="D12385" t="s">
        <v>1</v>
      </c>
      <c r="E12385" t="s">
        <v>1</v>
      </c>
      <c r="F12385" t="s">
        <v>0</v>
      </c>
      <c r="G12385" t="str">
        <f>"2018-10-13 15:57:11"</f>
        <v>2018-10-13 15:57:11</v>
      </c>
    </row>
    <row r="12386" spans="1:7" x14ac:dyDescent="0.2">
      <c r="A12386" t="s">
        <v>12484</v>
      </c>
      <c r="B12386" t="str">
        <f>"18958099330"</f>
        <v>18958099330</v>
      </c>
      <c r="C12386" t="str">
        <f>"330823197310165537"</f>
        <v>330823197310165537</v>
      </c>
      <c r="D12386" t="s">
        <v>1</v>
      </c>
      <c r="E12386" t="s">
        <v>1</v>
      </c>
      <c r="F12386" t="s">
        <v>0</v>
      </c>
      <c r="G12386" t="str">
        <f>"2018-10-13 15:40:59"</f>
        <v>2018-10-13 15:40:59</v>
      </c>
    </row>
    <row r="12387" spans="1:7" x14ac:dyDescent="0.2">
      <c r="A12387" t="s">
        <v>12485</v>
      </c>
      <c r="B12387" t="str">
        <f>"13411145451"</f>
        <v>13411145451</v>
      </c>
      <c r="C12387" t="str">
        <f>"440223199304251115"</f>
        <v>440223199304251115</v>
      </c>
      <c r="D12387" t="s">
        <v>1</v>
      </c>
      <c r="E12387" t="s">
        <v>1</v>
      </c>
      <c r="F12387" t="s">
        <v>0</v>
      </c>
      <c r="G12387" t="str">
        <f>"2018-10-13 15:54:07"</f>
        <v>2018-10-13 15:54:07</v>
      </c>
    </row>
    <row r="12388" spans="1:7" x14ac:dyDescent="0.2">
      <c r="A12388" t="s">
        <v>1</v>
      </c>
      <c r="B12388" t="str">
        <f>"15581006986"</f>
        <v>15581006986</v>
      </c>
      <c r="C12388" t="s">
        <v>1</v>
      </c>
      <c r="D12388" t="s">
        <v>1</v>
      </c>
      <c r="E12388" t="s">
        <v>1</v>
      </c>
      <c r="F12388" t="s">
        <v>0</v>
      </c>
      <c r="G12388" t="str">
        <f>"2018-10-13 15:42:13"</f>
        <v>2018-10-13 15:42:13</v>
      </c>
    </row>
    <row r="12389" spans="1:7" x14ac:dyDescent="0.2">
      <c r="A12389" t="s">
        <v>1</v>
      </c>
      <c r="B12389" t="str">
        <f>"13719757790"</f>
        <v>13719757790</v>
      </c>
      <c r="C12389" t="s">
        <v>1</v>
      </c>
      <c r="D12389" t="s">
        <v>1</v>
      </c>
      <c r="E12389" t="s">
        <v>1</v>
      </c>
      <c r="F12389" t="s">
        <v>0</v>
      </c>
      <c r="G12389" t="str">
        <f>"2018-10-13 15:40:52"</f>
        <v>2018-10-13 15:40:52</v>
      </c>
    </row>
    <row r="12390" spans="1:7" x14ac:dyDescent="0.2">
      <c r="A12390" t="s">
        <v>1</v>
      </c>
      <c r="B12390" t="str">
        <f>"13358470333"</f>
        <v>13358470333</v>
      </c>
      <c r="C12390" t="s">
        <v>1</v>
      </c>
      <c r="D12390" t="s">
        <v>1</v>
      </c>
      <c r="E12390" t="s">
        <v>1</v>
      </c>
      <c r="F12390" t="s">
        <v>0</v>
      </c>
      <c r="G12390" t="str">
        <f>"2018-10-13 15:40:42"</f>
        <v>2018-10-13 15:40:42</v>
      </c>
    </row>
    <row r="12391" spans="1:7" x14ac:dyDescent="0.2">
      <c r="A12391" t="s">
        <v>1</v>
      </c>
      <c r="B12391" t="str">
        <f>"15393991411"</f>
        <v>15393991411</v>
      </c>
      <c r="C12391" t="s">
        <v>1</v>
      </c>
      <c r="D12391" t="s">
        <v>1</v>
      </c>
      <c r="E12391" t="s">
        <v>1</v>
      </c>
      <c r="F12391" t="s">
        <v>0</v>
      </c>
      <c r="G12391" t="str">
        <f>"2018-10-13 15:40:18"</f>
        <v>2018-10-13 15:40:18</v>
      </c>
    </row>
    <row r="12392" spans="1:7" x14ac:dyDescent="0.2">
      <c r="A12392" t="s">
        <v>1</v>
      </c>
      <c r="B12392" t="str">
        <f>"13895737005"</f>
        <v>13895737005</v>
      </c>
      <c r="C12392" t="s">
        <v>1</v>
      </c>
      <c r="D12392" t="s">
        <v>1</v>
      </c>
      <c r="E12392" t="s">
        <v>1</v>
      </c>
      <c r="F12392" t="s">
        <v>0</v>
      </c>
      <c r="G12392" t="str">
        <f>"2018-10-13 15:42:05"</f>
        <v>2018-10-13 15:42:05</v>
      </c>
    </row>
    <row r="12393" spans="1:7" x14ac:dyDescent="0.2">
      <c r="A12393" t="s">
        <v>12486</v>
      </c>
      <c r="B12393" t="str">
        <f>"15835007978"</f>
        <v>15835007978</v>
      </c>
      <c r="C12393" t="str">
        <f>"14220219850606331X"</f>
        <v>14220219850606331X</v>
      </c>
      <c r="D12393" t="s">
        <v>1</v>
      </c>
      <c r="E12393" t="s">
        <v>1</v>
      </c>
      <c r="F12393" t="s">
        <v>0</v>
      </c>
      <c r="G12393" t="str">
        <f>"2018-10-13 15:52:00"</f>
        <v>2018-10-13 15:52:00</v>
      </c>
    </row>
    <row r="12394" spans="1:7" x14ac:dyDescent="0.2">
      <c r="A12394" t="s">
        <v>12487</v>
      </c>
      <c r="B12394" t="str">
        <f>"18307762420"</f>
        <v>18307762420</v>
      </c>
      <c r="C12394" t="str">
        <f>"452601199603224229"</f>
        <v>452601199603224229</v>
      </c>
      <c r="D12394" t="s">
        <v>1</v>
      </c>
      <c r="E12394" t="s">
        <v>1</v>
      </c>
      <c r="F12394" t="s">
        <v>0</v>
      </c>
      <c r="G12394" t="str">
        <f>"2018-10-13 15:43:18"</f>
        <v>2018-10-13 15:43:18</v>
      </c>
    </row>
    <row r="12395" spans="1:7" x14ac:dyDescent="0.2">
      <c r="A12395" t="s">
        <v>1</v>
      </c>
      <c r="B12395" t="str">
        <f>"15058159143"</f>
        <v>15058159143</v>
      </c>
      <c r="C12395" t="s">
        <v>1</v>
      </c>
      <c r="D12395" t="s">
        <v>1</v>
      </c>
      <c r="E12395" t="s">
        <v>1</v>
      </c>
      <c r="F12395" t="s">
        <v>0</v>
      </c>
      <c r="G12395" t="str">
        <f>"2018-10-13 15:41:26"</f>
        <v>2018-10-13 15:41:26</v>
      </c>
    </row>
    <row r="12396" spans="1:7" x14ac:dyDescent="0.2">
      <c r="A12396" t="s">
        <v>1</v>
      </c>
      <c r="B12396" t="str">
        <f>"13536907956"</f>
        <v>13536907956</v>
      </c>
      <c r="C12396" t="s">
        <v>1</v>
      </c>
      <c r="D12396" t="s">
        <v>1</v>
      </c>
      <c r="E12396" t="s">
        <v>1</v>
      </c>
      <c r="F12396" t="s">
        <v>0</v>
      </c>
      <c r="G12396" t="str">
        <f>"2018-10-13 15:39:13"</f>
        <v>2018-10-13 15:39:13</v>
      </c>
    </row>
    <row r="12397" spans="1:7" x14ac:dyDescent="0.2">
      <c r="A12397" t="s">
        <v>1</v>
      </c>
      <c r="B12397" t="str">
        <f>"18670629237"</f>
        <v>18670629237</v>
      </c>
      <c r="C12397" t="s">
        <v>1</v>
      </c>
      <c r="D12397" t="s">
        <v>1</v>
      </c>
      <c r="E12397" t="s">
        <v>1</v>
      </c>
      <c r="F12397" t="s">
        <v>0</v>
      </c>
      <c r="G12397" t="str">
        <f>"2018-10-13 15:38:41"</f>
        <v>2018-10-13 15:38:41</v>
      </c>
    </row>
    <row r="12398" spans="1:7" x14ac:dyDescent="0.2">
      <c r="A12398" t="s">
        <v>12488</v>
      </c>
      <c r="B12398" t="str">
        <f>"15113367779"</f>
        <v>15113367779</v>
      </c>
      <c r="C12398" t="str">
        <f>"441225199406132516"</f>
        <v>441225199406132516</v>
      </c>
      <c r="D12398" t="s">
        <v>1</v>
      </c>
      <c r="E12398" t="s">
        <v>1</v>
      </c>
      <c r="F12398" t="s">
        <v>0</v>
      </c>
      <c r="G12398" t="str">
        <f>"2018-10-13 15:44:41"</f>
        <v>2018-10-13 15:44:41</v>
      </c>
    </row>
    <row r="12399" spans="1:7" x14ac:dyDescent="0.2">
      <c r="A12399" t="s">
        <v>1</v>
      </c>
      <c r="B12399" t="str">
        <f>"15815999246"</f>
        <v>15815999246</v>
      </c>
      <c r="C12399" t="s">
        <v>1</v>
      </c>
      <c r="D12399" t="s">
        <v>1</v>
      </c>
      <c r="E12399" t="s">
        <v>1</v>
      </c>
      <c r="F12399" t="s">
        <v>0</v>
      </c>
      <c r="G12399" t="str">
        <f>"2018-10-13 15:38:22"</f>
        <v>2018-10-13 15:38:22</v>
      </c>
    </row>
    <row r="12400" spans="1:7" x14ac:dyDescent="0.2">
      <c r="A12400" t="s">
        <v>12489</v>
      </c>
      <c r="B12400" t="str">
        <f>"13585414785"</f>
        <v>13585414785</v>
      </c>
      <c r="C12400" t="str">
        <f>"320482199202234617"</f>
        <v>320482199202234617</v>
      </c>
      <c r="D12400" t="s">
        <v>1</v>
      </c>
      <c r="E12400" t="s">
        <v>1</v>
      </c>
      <c r="F12400" t="s">
        <v>0</v>
      </c>
      <c r="G12400" t="str">
        <f>"2018-10-13 15:39:52"</f>
        <v>2018-10-13 15:39:52</v>
      </c>
    </row>
    <row r="12401" spans="1:7" x14ac:dyDescent="0.2">
      <c r="A12401" t="s">
        <v>12490</v>
      </c>
      <c r="B12401" t="str">
        <f>"15077026360"</f>
        <v>15077026360</v>
      </c>
      <c r="C12401" t="str">
        <f>"452128199812103530"</f>
        <v>452128199812103530</v>
      </c>
      <c r="D12401" t="s">
        <v>1</v>
      </c>
      <c r="E12401" t="s">
        <v>1</v>
      </c>
      <c r="F12401" t="s">
        <v>0</v>
      </c>
      <c r="G12401" t="str">
        <f>"2018-10-13 15:40:40"</f>
        <v>2018-10-13 15:40:40</v>
      </c>
    </row>
    <row r="12402" spans="1:7" x14ac:dyDescent="0.2">
      <c r="A12402" t="s">
        <v>12491</v>
      </c>
      <c r="B12402" t="str">
        <f>"13597096343"</f>
        <v>13597096343</v>
      </c>
      <c r="C12402" t="str">
        <f>"452225198406260014"</f>
        <v>452225198406260014</v>
      </c>
      <c r="D12402" t="s">
        <v>12492</v>
      </c>
      <c r="E12402" t="s">
        <v>12493</v>
      </c>
      <c r="F12402" t="s">
        <v>0</v>
      </c>
      <c r="G12402" t="str">
        <f>"2018-10-13 15:41:36"</f>
        <v>2018-10-13 15:41:36</v>
      </c>
    </row>
    <row r="12403" spans="1:7" x14ac:dyDescent="0.2">
      <c r="A12403" t="s">
        <v>12494</v>
      </c>
      <c r="B12403" t="str">
        <f>"13710167119"</f>
        <v>13710167119</v>
      </c>
      <c r="C12403" t="str">
        <f>"450324198612220715"</f>
        <v>450324198612220715</v>
      </c>
      <c r="D12403" t="s">
        <v>1</v>
      </c>
      <c r="E12403" t="s">
        <v>1</v>
      </c>
      <c r="F12403" t="s">
        <v>0</v>
      </c>
      <c r="G12403" t="str">
        <f>"2018-10-13 15:40:29"</f>
        <v>2018-10-13 15:40:29</v>
      </c>
    </row>
    <row r="12404" spans="1:7" x14ac:dyDescent="0.2">
      <c r="A12404" t="s">
        <v>187</v>
      </c>
      <c r="B12404" t="str">
        <f>"18845284988"</f>
        <v>18845284988</v>
      </c>
      <c r="C12404" t="str">
        <f>"230227198312122315"</f>
        <v>230227198312122315</v>
      </c>
      <c r="D12404" t="s">
        <v>12495</v>
      </c>
      <c r="E12404" t="s">
        <v>12496</v>
      </c>
      <c r="F12404" t="s">
        <v>0</v>
      </c>
      <c r="G12404" t="str">
        <f>"2018-10-13 16:27:23"</f>
        <v>2018-10-13 16:27:23</v>
      </c>
    </row>
    <row r="12405" spans="1:7" x14ac:dyDescent="0.2">
      <c r="A12405" t="s">
        <v>1</v>
      </c>
      <c r="B12405" t="str">
        <f>"15185583800"</f>
        <v>15185583800</v>
      </c>
      <c r="C12405" t="s">
        <v>1</v>
      </c>
      <c r="D12405" t="s">
        <v>1</v>
      </c>
      <c r="E12405" t="s">
        <v>1</v>
      </c>
      <c r="F12405" t="s">
        <v>0</v>
      </c>
      <c r="G12405" t="str">
        <f>"2018-10-13 15:37:51"</f>
        <v>2018-10-13 15:37:51</v>
      </c>
    </row>
    <row r="12406" spans="1:7" x14ac:dyDescent="0.2">
      <c r="A12406" t="s">
        <v>12497</v>
      </c>
      <c r="B12406" t="str">
        <f>"18689763688"</f>
        <v>18689763688</v>
      </c>
      <c r="C12406" t="str">
        <f>"460002199104204913"</f>
        <v>460002199104204913</v>
      </c>
      <c r="D12406" t="s">
        <v>1</v>
      </c>
      <c r="E12406" t="s">
        <v>1</v>
      </c>
      <c r="F12406" t="s">
        <v>0</v>
      </c>
      <c r="G12406" t="str">
        <f>"2018-10-13 15:39:04"</f>
        <v>2018-10-13 15:39:04</v>
      </c>
    </row>
    <row r="12407" spans="1:7" x14ac:dyDescent="0.2">
      <c r="A12407" t="s">
        <v>1</v>
      </c>
      <c r="B12407" t="str">
        <f>"13588286960"</f>
        <v>13588286960</v>
      </c>
      <c r="C12407" t="s">
        <v>1</v>
      </c>
      <c r="D12407" t="s">
        <v>1</v>
      </c>
      <c r="E12407" t="s">
        <v>1</v>
      </c>
      <c r="F12407" t="s">
        <v>0</v>
      </c>
      <c r="G12407" t="str">
        <f>"2018-10-13 15:37:16"</f>
        <v>2018-10-13 15:37:16</v>
      </c>
    </row>
    <row r="12408" spans="1:7" x14ac:dyDescent="0.2">
      <c r="A12408" t="s">
        <v>1</v>
      </c>
      <c r="B12408" t="str">
        <f>"15935375367"</f>
        <v>15935375367</v>
      </c>
      <c r="C12408" t="s">
        <v>1</v>
      </c>
      <c r="D12408" t="s">
        <v>1</v>
      </c>
      <c r="E12408" t="s">
        <v>1</v>
      </c>
      <c r="F12408" t="s">
        <v>0</v>
      </c>
      <c r="G12408" t="str">
        <f>"2018-10-13 15:37:08"</f>
        <v>2018-10-13 15:37:08</v>
      </c>
    </row>
    <row r="12409" spans="1:7" x14ac:dyDescent="0.2">
      <c r="A12409" t="s">
        <v>12498</v>
      </c>
      <c r="B12409" t="str">
        <f>"15891370713"</f>
        <v>15891370713</v>
      </c>
      <c r="C12409" t="str">
        <f>"612522199702032640"</f>
        <v>612522199702032640</v>
      </c>
      <c r="D12409" t="s">
        <v>1</v>
      </c>
      <c r="E12409" t="s">
        <v>1</v>
      </c>
      <c r="F12409" t="s">
        <v>0</v>
      </c>
      <c r="G12409" t="str">
        <f>"2018-10-13 15:54:34"</f>
        <v>2018-10-13 15:54:34</v>
      </c>
    </row>
    <row r="12410" spans="1:7" x14ac:dyDescent="0.2">
      <c r="A12410" t="s">
        <v>12499</v>
      </c>
      <c r="B12410" t="str">
        <f>"13726936961"</f>
        <v>13726936961</v>
      </c>
      <c r="C12410" t="str">
        <f>"440881198504103514"</f>
        <v>440881198504103514</v>
      </c>
      <c r="D12410" t="s">
        <v>1</v>
      </c>
      <c r="E12410" t="s">
        <v>1</v>
      </c>
      <c r="F12410" t="s">
        <v>0</v>
      </c>
      <c r="G12410" t="str">
        <f>"2018-10-13 15:38:51"</f>
        <v>2018-10-13 15:38:51</v>
      </c>
    </row>
    <row r="12411" spans="1:7" x14ac:dyDescent="0.2">
      <c r="A12411" t="s">
        <v>12500</v>
      </c>
      <c r="B12411" t="str">
        <f>"18270434899"</f>
        <v>18270434899</v>
      </c>
      <c r="C12411" t="str">
        <f>"362331198808052737"</f>
        <v>362331198808052737</v>
      </c>
      <c r="D12411" t="s">
        <v>1</v>
      </c>
      <c r="E12411" t="s">
        <v>1</v>
      </c>
      <c r="F12411" t="s">
        <v>0</v>
      </c>
      <c r="G12411" t="str">
        <f>"2018-10-13 15:38:43"</f>
        <v>2018-10-13 15:38:43</v>
      </c>
    </row>
    <row r="12412" spans="1:7" x14ac:dyDescent="0.2">
      <c r="A12412" t="s">
        <v>1</v>
      </c>
      <c r="B12412" t="str">
        <f>"18779779760"</f>
        <v>18779779760</v>
      </c>
      <c r="C12412" t="s">
        <v>1</v>
      </c>
      <c r="D12412" t="s">
        <v>1</v>
      </c>
      <c r="E12412" t="s">
        <v>1</v>
      </c>
      <c r="F12412" t="s">
        <v>0</v>
      </c>
      <c r="G12412" t="str">
        <f>"2018-10-13 15:36:48"</f>
        <v>2018-10-13 15:36:48</v>
      </c>
    </row>
    <row r="12413" spans="1:7" x14ac:dyDescent="0.2">
      <c r="A12413" t="s">
        <v>12501</v>
      </c>
      <c r="B12413" t="str">
        <f>"18809876778"</f>
        <v>18809876778</v>
      </c>
      <c r="C12413" t="str">
        <f>"211322199301226835"</f>
        <v>211322199301226835</v>
      </c>
      <c r="D12413" t="s">
        <v>1</v>
      </c>
      <c r="E12413" t="s">
        <v>1</v>
      </c>
      <c r="F12413" t="s">
        <v>0</v>
      </c>
      <c r="G12413" t="str">
        <f>"2018-10-13 15:39:40"</f>
        <v>2018-10-13 15:39:40</v>
      </c>
    </row>
    <row r="12414" spans="1:7" x14ac:dyDescent="0.2">
      <c r="A12414" t="s">
        <v>1</v>
      </c>
      <c r="B12414" t="str">
        <f>"15202851395"</f>
        <v>15202851395</v>
      </c>
      <c r="C12414" t="s">
        <v>1</v>
      </c>
      <c r="D12414" t="s">
        <v>1</v>
      </c>
      <c r="E12414" t="s">
        <v>1</v>
      </c>
      <c r="F12414" t="s">
        <v>0</v>
      </c>
      <c r="G12414" t="str">
        <f>"2018-10-13 15:35:53"</f>
        <v>2018-10-13 15:35:53</v>
      </c>
    </row>
    <row r="12415" spans="1:7" x14ac:dyDescent="0.2">
      <c r="A12415" t="s">
        <v>12502</v>
      </c>
      <c r="B12415" t="str">
        <f>"13434883332"</f>
        <v>13434883332</v>
      </c>
      <c r="C12415" t="str">
        <f>"440682197503103214"</f>
        <v>440682197503103214</v>
      </c>
      <c r="D12415" t="s">
        <v>12503</v>
      </c>
      <c r="E12415" t="s">
        <v>12504</v>
      </c>
      <c r="F12415" t="s">
        <v>0</v>
      </c>
      <c r="G12415" t="str">
        <f>"2018-10-13 15:40:26"</f>
        <v>2018-10-13 15:40:26</v>
      </c>
    </row>
    <row r="12416" spans="1:7" x14ac:dyDescent="0.2">
      <c r="A12416" t="s">
        <v>1</v>
      </c>
      <c r="B12416" t="str">
        <f>"15982486925"</f>
        <v>15982486925</v>
      </c>
      <c r="C12416" t="s">
        <v>1</v>
      </c>
      <c r="D12416" t="s">
        <v>1</v>
      </c>
      <c r="E12416" t="s">
        <v>1</v>
      </c>
      <c r="F12416" t="s">
        <v>0</v>
      </c>
      <c r="G12416" t="str">
        <f>"2018-10-13 15:35:13"</f>
        <v>2018-10-13 15:35:13</v>
      </c>
    </row>
    <row r="12417" spans="1:7" x14ac:dyDescent="0.2">
      <c r="A12417" t="s">
        <v>1125</v>
      </c>
      <c r="B12417" t="str">
        <f>"13563528606"</f>
        <v>13563528606</v>
      </c>
      <c r="C12417" t="str">
        <f>"371502198507187515"</f>
        <v>371502198507187515</v>
      </c>
      <c r="D12417" t="s">
        <v>12505</v>
      </c>
      <c r="E12417" t="s">
        <v>12506</v>
      </c>
      <c r="F12417" t="s">
        <v>0</v>
      </c>
      <c r="G12417" t="str">
        <f>"2018-10-13 16:13:10"</f>
        <v>2018-10-13 16:13:10</v>
      </c>
    </row>
    <row r="12418" spans="1:7" x14ac:dyDescent="0.2">
      <c r="A12418" t="s">
        <v>12507</v>
      </c>
      <c r="B12418" t="str">
        <f>"13626911501"</f>
        <v>13626911501</v>
      </c>
      <c r="C12418" t="str">
        <f>"350321199001045657"</f>
        <v>350321199001045657</v>
      </c>
      <c r="D12418" t="s">
        <v>12508</v>
      </c>
      <c r="E12418" t="s">
        <v>12509</v>
      </c>
      <c r="F12418" t="s">
        <v>0</v>
      </c>
      <c r="G12418" t="str">
        <f>"2018-10-13 15:38:03"</f>
        <v>2018-10-13 15:38:03</v>
      </c>
    </row>
    <row r="12419" spans="1:7" x14ac:dyDescent="0.2">
      <c r="A12419" t="s">
        <v>1</v>
      </c>
      <c r="B12419" t="str">
        <f>"15622239669"</f>
        <v>15622239669</v>
      </c>
      <c r="C12419" t="s">
        <v>1</v>
      </c>
      <c r="D12419" t="s">
        <v>1</v>
      </c>
      <c r="E12419" t="s">
        <v>1</v>
      </c>
      <c r="F12419" t="s">
        <v>0</v>
      </c>
      <c r="G12419" t="str">
        <f>"2018-10-13 15:34:13"</f>
        <v>2018-10-13 15:34:13</v>
      </c>
    </row>
    <row r="12420" spans="1:7" x14ac:dyDescent="0.2">
      <c r="A12420" t="s">
        <v>740</v>
      </c>
      <c r="B12420" t="str">
        <f>"18643543435"</f>
        <v>18643543435</v>
      </c>
      <c r="C12420" t="str">
        <f>"220502198812250425"</f>
        <v>220502198812250425</v>
      </c>
      <c r="D12420" t="s">
        <v>1</v>
      </c>
      <c r="E12420" t="s">
        <v>1</v>
      </c>
      <c r="F12420" t="s">
        <v>0</v>
      </c>
      <c r="G12420" t="str">
        <f>"2018-10-13 15:38:34"</f>
        <v>2018-10-13 15:38:34</v>
      </c>
    </row>
    <row r="12421" spans="1:7" x14ac:dyDescent="0.2">
      <c r="A12421" t="s">
        <v>1</v>
      </c>
      <c r="B12421" t="str">
        <f>"15828287842"</f>
        <v>15828287842</v>
      </c>
      <c r="C12421" t="s">
        <v>1</v>
      </c>
      <c r="D12421" t="s">
        <v>1</v>
      </c>
      <c r="E12421" t="s">
        <v>1</v>
      </c>
      <c r="F12421" t="s">
        <v>0</v>
      </c>
      <c r="G12421" t="str">
        <f>"2018-10-13 15:35:28"</f>
        <v>2018-10-13 15:35:28</v>
      </c>
    </row>
    <row r="12422" spans="1:7" x14ac:dyDescent="0.2">
      <c r="A12422" t="s">
        <v>12510</v>
      </c>
      <c r="B12422" t="str">
        <f>"13505540803"</f>
        <v>13505540803</v>
      </c>
      <c r="C12422" t="str">
        <f>"34042119810128585X"</f>
        <v>34042119810128585X</v>
      </c>
      <c r="D12422" t="s">
        <v>1</v>
      </c>
      <c r="E12422" t="s">
        <v>1</v>
      </c>
      <c r="F12422" t="s">
        <v>0</v>
      </c>
      <c r="G12422" t="str">
        <f>"2018-10-13 15:36:25"</f>
        <v>2018-10-13 15:36:25</v>
      </c>
    </row>
    <row r="12423" spans="1:7" x14ac:dyDescent="0.2">
      <c r="A12423" t="s">
        <v>1</v>
      </c>
      <c r="B12423" t="str">
        <f>"15659615117"</f>
        <v>15659615117</v>
      </c>
      <c r="C12423" t="s">
        <v>1</v>
      </c>
      <c r="D12423" t="s">
        <v>1</v>
      </c>
      <c r="E12423" t="s">
        <v>1</v>
      </c>
      <c r="F12423" t="s">
        <v>0</v>
      </c>
      <c r="G12423" t="str">
        <f>"2018-10-13 15:44:25"</f>
        <v>2018-10-13 15:44:25</v>
      </c>
    </row>
    <row r="12424" spans="1:7" x14ac:dyDescent="0.2">
      <c r="A12424" t="s">
        <v>12511</v>
      </c>
      <c r="B12424" t="str">
        <f>"15712411165"</f>
        <v>15712411165</v>
      </c>
      <c r="C12424" t="str">
        <f>"220122199704186559"</f>
        <v>220122199704186559</v>
      </c>
      <c r="D12424" t="s">
        <v>1</v>
      </c>
      <c r="E12424" t="s">
        <v>1</v>
      </c>
      <c r="F12424" t="s">
        <v>0</v>
      </c>
      <c r="G12424" t="str">
        <f>"2018-10-13 15:36:18"</f>
        <v>2018-10-13 15:36:18</v>
      </c>
    </row>
    <row r="12425" spans="1:7" x14ac:dyDescent="0.2">
      <c r="A12425" t="s">
        <v>12512</v>
      </c>
      <c r="B12425" t="str">
        <f>"15987489943"</f>
        <v>15987489943</v>
      </c>
      <c r="C12425" t="str">
        <f>"530326199109102954"</f>
        <v>530326199109102954</v>
      </c>
      <c r="D12425" t="s">
        <v>1</v>
      </c>
      <c r="E12425" t="s">
        <v>1</v>
      </c>
      <c r="F12425" t="s">
        <v>0</v>
      </c>
      <c r="G12425" t="str">
        <f>"2018-10-13 15:36:10"</f>
        <v>2018-10-13 15:36:10</v>
      </c>
    </row>
    <row r="12426" spans="1:7" x14ac:dyDescent="0.2">
      <c r="A12426" t="s">
        <v>1</v>
      </c>
      <c r="B12426" t="str">
        <f>"17612908163"</f>
        <v>17612908163</v>
      </c>
      <c r="C12426" t="s">
        <v>1</v>
      </c>
      <c r="D12426" t="s">
        <v>1</v>
      </c>
      <c r="E12426" t="s">
        <v>1</v>
      </c>
      <c r="F12426" t="s">
        <v>0</v>
      </c>
      <c r="G12426" t="str">
        <f>"2018-10-13 15:33:13"</f>
        <v>2018-10-13 15:33:13</v>
      </c>
    </row>
    <row r="12427" spans="1:7" x14ac:dyDescent="0.2">
      <c r="A12427" t="s">
        <v>12513</v>
      </c>
      <c r="B12427" t="str">
        <f>"15663588805"</f>
        <v>15663588805</v>
      </c>
      <c r="C12427" t="str">
        <f>"230302199206084055"</f>
        <v>230302199206084055</v>
      </c>
      <c r="D12427" t="s">
        <v>12514</v>
      </c>
      <c r="E12427" t="s">
        <v>12515</v>
      </c>
      <c r="F12427" t="s">
        <v>0</v>
      </c>
      <c r="G12427" t="str">
        <f>"2018-11-03 14:10:06"</f>
        <v>2018-11-03 14:10:06</v>
      </c>
    </row>
    <row r="12428" spans="1:7" x14ac:dyDescent="0.2">
      <c r="A12428" t="s">
        <v>12516</v>
      </c>
      <c r="B12428" t="str">
        <f>"15930621521"</f>
        <v>15930621521</v>
      </c>
      <c r="C12428" t="str">
        <f>"13100219880602321X"</f>
        <v>13100219880602321X</v>
      </c>
      <c r="D12428" t="s">
        <v>12517</v>
      </c>
      <c r="E12428" t="s">
        <v>12518</v>
      </c>
      <c r="F12428" t="s">
        <v>0</v>
      </c>
      <c r="G12428" t="str">
        <f>"2018-10-13 15:34:20"</f>
        <v>2018-10-13 15:34:20</v>
      </c>
    </row>
    <row r="12429" spans="1:7" x14ac:dyDescent="0.2">
      <c r="A12429" t="s">
        <v>12519</v>
      </c>
      <c r="B12429" t="str">
        <f>"13409221854"</f>
        <v>13409221854</v>
      </c>
      <c r="C12429" t="str">
        <f>"410721199011065019"</f>
        <v>410721199011065019</v>
      </c>
      <c r="D12429" t="s">
        <v>1</v>
      </c>
      <c r="E12429" t="s">
        <v>1</v>
      </c>
      <c r="F12429" t="s">
        <v>0</v>
      </c>
      <c r="G12429" t="str">
        <f>"2018-10-13 15:41:58"</f>
        <v>2018-10-13 15:41:58</v>
      </c>
    </row>
    <row r="12430" spans="1:7" x14ac:dyDescent="0.2">
      <c r="A12430" t="s">
        <v>201</v>
      </c>
      <c r="B12430" t="str">
        <f>"13552470123"</f>
        <v>13552470123</v>
      </c>
      <c r="C12430" t="str">
        <f>"110104199006141611"</f>
        <v>110104199006141611</v>
      </c>
      <c r="D12430" t="s">
        <v>12520</v>
      </c>
      <c r="E12430" t="s">
        <v>12521</v>
      </c>
      <c r="F12430" t="s">
        <v>0</v>
      </c>
      <c r="G12430" t="str">
        <f>"2018-10-13 15:46:56"</f>
        <v>2018-10-13 15:46:56</v>
      </c>
    </row>
    <row r="12431" spans="1:7" x14ac:dyDescent="0.2">
      <c r="A12431" t="s">
        <v>1</v>
      </c>
      <c r="B12431" t="str">
        <f>"13435274582"</f>
        <v>13435274582</v>
      </c>
      <c r="C12431" t="s">
        <v>1</v>
      </c>
      <c r="D12431" t="s">
        <v>1</v>
      </c>
      <c r="E12431" t="s">
        <v>1</v>
      </c>
      <c r="F12431" t="s">
        <v>0</v>
      </c>
      <c r="G12431" t="str">
        <f>"2018-10-13 15:32:07"</f>
        <v>2018-10-13 15:32:07</v>
      </c>
    </row>
    <row r="12432" spans="1:7" x14ac:dyDescent="0.2">
      <c r="A12432" t="s">
        <v>12522</v>
      </c>
      <c r="B12432" t="str">
        <f>"15280801895"</f>
        <v>15280801895</v>
      </c>
      <c r="C12432" t="str">
        <f>"350822198701186150"</f>
        <v>350822198701186150</v>
      </c>
      <c r="D12432" t="s">
        <v>1</v>
      </c>
      <c r="E12432" t="s">
        <v>1</v>
      </c>
      <c r="F12432" t="s">
        <v>0</v>
      </c>
      <c r="G12432" t="str">
        <f>"2018-10-13 15:33:34"</f>
        <v>2018-10-13 15:33:34</v>
      </c>
    </row>
    <row r="12433" spans="1:7" x14ac:dyDescent="0.2">
      <c r="A12433" t="s">
        <v>12523</v>
      </c>
      <c r="B12433" t="str">
        <f>"18974073716"</f>
        <v>18974073716</v>
      </c>
      <c r="C12433" t="str">
        <f>"430681198809173713"</f>
        <v>430681198809173713</v>
      </c>
      <c r="D12433" t="s">
        <v>12524</v>
      </c>
      <c r="E12433" t="s">
        <v>12525</v>
      </c>
      <c r="F12433" t="s">
        <v>0</v>
      </c>
      <c r="G12433" t="str">
        <f>"2018-10-13 15:32:53"</f>
        <v>2018-10-13 15:32:53</v>
      </c>
    </row>
    <row r="12434" spans="1:7" x14ac:dyDescent="0.2">
      <c r="A12434" t="s">
        <v>12526</v>
      </c>
      <c r="B12434" t="str">
        <f>"18635318942"</f>
        <v>18635318942</v>
      </c>
      <c r="C12434" t="str">
        <f>"140321199605031812"</f>
        <v>140321199605031812</v>
      </c>
      <c r="D12434" t="s">
        <v>1</v>
      </c>
      <c r="E12434" t="s">
        <v>1</v>
      </c>
      <c r="F12434" t="s">
        <v>0</v>
      </c>
      <c r="G12434" t="str">
        <f>"2018-10-13 16:01:35"</f>
        <v>2018-10-13 16:01:35</v>
      </c>
    </row>
    <row r="12435" spans="1:7" x14ac:dyDescent="0.2">
      <c r="A12435" t="s">
        <v>1</v>
      </c>
      <c r="B12435" t="str">
        <f>"17502840341"</f>
        <v>17502840341</v>
      </c>
      <c r="C12435" t="s">
        <v>1</v>
      </c>
      <c r="D12435" t="s">
        <v>1</v>
      </c>
      <c r="E12435" t="s">
        <v>1</v>
      </c>
      <c r="F12435" t="s">
        <v>0</v>
      </c>
      <c r="G12435" t="str">
        <f>"2018-10-13 15:30:43"</f>
        <v>2018-10-13 15:30:43</v>
      </c>
    </row>
    <row r="12436" spans="1:7" x14ac:dyDescent="0.2">
      <c r="A12436" t="s">
        <v>12527</v>
      </c>
      <c r="B12436" t="str">
        <f>"18838116021"</f>
        <v>18838116021</v>
      </c>
      <c r="C12436" t="str">
        <f>"410184198711261254"</f>
        <v>410184198711261254</v>
      </c>
      <c r="D12436" t="s">
        <v>1</v>
      </c>
      <c r="E12436" t="s">
        <v>1</v>
      </c>
      <c r="F12436" t="s">
        <v>0</v>
      </c>
      <c r="G12436" t="str">
        <f>"2018-10-13 15:32:24"</f>
        <v>2018-10-13 15:32:24</v>
      </c>
    </row>
    <row r="12437" spans="1:7" x14ac:dyDescent="0.2">
      <c r="A12437" t="s">
        <v>1</v>
      </c>
      <c r="B12437" t="str">
        <f>"18759271284"</f>
        <v>18759271284</v>
      </c>
      <c r="C12437" t="s">
        <v>1</v>
      </c>
      <c r="D12437" t="s">
        <v>1</v>
      </c>
      <c r="E12437" t="s">
        <v>1</v>
      </c>
      <c r="F12437" t="s">
        <v>0</v>
      </c>
      <c r="G12437" t="str">
        <f>"2018-10-13 15:32:22"</f>
        <v>2018-10-13 15:32:22</v>
      </c>
    </row>
    <row r="12438" spans="1:7" x14ac:dyDescent="0.2">
      <c r="A12438" t="s">
        <v>1</v>
      </c>
      <c r="B12438" t="str">
        <f>"18704384555"</f>
        <v>18704384555</v>
      </c>
      <c r="C12438" t="s">
        <v>1</v>
      </c>
      <c r="D12438" t="s">
        <v>1</v>
      </c>
      <c r="E12438" t="s">
        <v>1</v>
      </c>
      <c r="F12438" t="s">
        <v>0</v>
      </c>
      <c r="G12438" t="str">
        <f>"2018-10-13 15:29:42"</f>
        <v>2018-10-13 15:29:42</v>
      </c>
    </row>
    <row r="12439" spans="1:7" x14ac:dyDescent="0.2">
      <c r="A12439" t="s">
        <v>1</v>
      </c>
      <c r="B12439" t="str">
        <f>"15986384318"</f>
        <v>15986384318</v>
      </c>
      <c r="C12439" t="s">
        <v>1</v>
      </c>
      <c r="D12439" t="s">
        <v>1</v>
      </c>
      <c r="E12439" t="s">
        <v>1</v>
      </c>
      <c r="F12439" t="s">
        <v>0</v>
      </c>
      <c r="G12439" t="str">
        <f>"2018-10-13 15:30:38"</f>
        <v>2018-10-13 15:30:38</v>
      </c>
    </row>
    <row r="12440" spans="1:7" x14ac:dyDescent="0.2">
      <c r="A12440" t="s">
        <v>12528</v>
      </c>
      <c r="B12440" t="str">
        <f>"15127602673"</f>
        <v>15127602673</v>
      </c>
      <c r="C12440" t="str">
        <f>"131022199409101130"</f>
        <v>131022199409101130</v>
      </c>
      <c r="D12440" t="s">
        <v>1</v>
      </c>
      <c r="E12440" t="s">
        <v>1</v>
      </c>
      <c r="F12440" t="s">
        <v>0</v>
      </c>
      <c r="G12440" t="str">
        <f>"2018-10-15 14:44:36"</f>
        <v>2018-10-15 14:44:36</v>
      </c>
    </row>
    <row r="12441" spans="1:7" x14ac:dyDescent="0.2">
      <c r="A12441" t="s">
        <v>12529</v>
      </c>
      <c r="B12441" t="str">
        <f>"18017650010"</f>
        <v>18017650010</v>
      </c>
      <c r="C12441" t="str">
        <f>"50023619980201425X"</f>
        <v>50023619980201425X</v>
      </c>
      <c r="D12441" t="s">
        <v>1</v>
      </c>
      <c r="E12441" t="s">
        <v>1</v>
      </c>
      <c r="F12441" t="s">
        <v>0</v>
      </c>
      <c r="G12441" t="str">
        <f>"2018-10-13 15:31:54"</f>
        <v>2018-10-13 15:31:54</v>
      </c>
    </row>
    <row r="12442" spans="1:7" x14ac:dyDescent="0.2">
      <c r="A12442" t="s">
        <v>83</v>
      </c>
      <c r="B12442" t="str">
        <f>"15003129901"</f>
        <v>15003129901</v>
      </c>
      <c r="C12442" t="str">
        <f>"13062119870307455X"</f>
        <v>13062119870307455X</v>
      </c>
      <c r="D12442" t="s">
        <v>1</v>
      </c>
      <c r="E12442" t="s">
        <v>1</v>
      </c>
      <c r="F12442" t="s">
        <v>0</v>
      </c>
      <c r="G12442" t="str">
        <f>"2018-10-13 15:35:37"</f>
        <v>2018-10-13 15:35:37</v>
      </c>
    </row>
    <row r="12443" spans="1:7" x14ac:dyDescent="0.2">
      <c r="A12443" t="s">
        <v>1</v>
      </c>
      <c r="B12443" t="str">
        <f>"13123398536"</f>
        <v>13123398536</v>
      </c>
      <c r="C12443" t="s">
        <v>1</v>
      </c>
      <c r="D12443" t="s">
        <v>1</v>
      </c>
      <c r="E12443" t="s">
        <v>1</v>
      </c>
      <c r="F12443" t="s">
        <v>0</v>
      </c>
      <c r="G12443" t="str">
        <f>"2018-10-13 15:28:00"</f>
        <v>2018-10-13 15:28:00</v>
      </c>
    </row>
    <row r="12444" spans="1:7" x14ac:dyDescent="0.2">
      <c r="A12444" t="s">
        <v>12530</v>
      </c>
      <c r="B12444" t="str">
        <f>"18788774261"</f>
        <v>18788774261</v>
      </c>
      <c r="C12444" t="str">
        <f>"522328199510163713"</f>
        <v>522328199510163713</v>
      </c>
      <c r="D12444" t="s">
        <v>1</v>
      </c>
      <c r="E12444" t="s">
        <v>1</v>
      </c>
      <c r="F12444" t="s">
        <v>0</v>
      </c>
      <c r="G12444" t="str">
        <f>"2018-10-13 15:28:41"</f>
        <v>2018-10-13 15:28:41</v>
      </c>
    </row>
    <row r="12445" spans="1:7" x14ac:dyDescent="0.2">
      <c r="A12445" t="s">
        <v>12531</v>
      </c>
      <c r="B12445" t="str">
        <f>"13960662265"</f>
        <v>13960662265</v>
      </c>
      <c r="C12445" t="str">
        <f>"350721199510234511"</f>
        <v>350721199510234511</v>
      </c>
      <c r="D12445" t="s">
        <v>1</v>
      </c>
      <c r="E12445" t="s">
        <v>1</v>
      </c>
      <c r="F12445" t="s">
        <v>0</v>
      </c>
      <c r="G12445" t="str">
        <f>"2018-10-13 15:29:01"</f>
        <v>2018-10-13 15:29:01</v>
      </c>
    </row>
    <row r="12446" spans="1:7" x14ac:dyDescent="0.2">
      <c r="A12446" t="s">
        <v>1</v>
      </c>
      <c r="B12446" t="str">
        <f>"15157338121"</f>
        <v>15157338121</v>
      </c>
      <c r="C12446" t="s">
        <v>1</v>
      </c>
      <c r="D12446" t="s">
        <v>1</v>
      </c>
      <c r="E12446" t="s">
        <v>1</v>
      </c>
      <c r="F12446" t="s">
        <v>0</v>
      </c>
      <c r="G12446" t="str">
        <f>"2018-10-13 15:31:07"</f>
        <v>2018-10-13 15:31:07</v>
      </c>
    </row>
    <row r="12447" spans="1:7" x14ac:dyDescent="0.2">
      <c r="A12447" t="s">
        <v>12532</v>
      </c>
      <c r="B12447" t="str">
        <f>"13914882114"</f>
        <v>13914882114</v>
      </c>
      <c r="C12447" t="str">
        <f>"342222199209150879"</f>
        <v>342222199209150879</v>
      </c>
      <c r="D12447" t="s">
        <v>1</v>
      </c>
      <c r="E12447" t="s">
        <v>1</v>
      </c>
      <c r="F12447" t="s">
        <v>0</v>
      </c>
      <c r="G12447" t="str">
        <f>"2018-10-13 17:45:42"</f>
        <v>2018-10-13 17:45:42</v>
      </c>
    </row>
    <row r="12448" spans="1:7" x14ac:dyDescent="0.2">
      <c r="A12448" t="s">
        <v>12533</v>
      </c>
      <c r="B12448" t="str">
        <f>"18643675553"</f>
        <v>18643675553</v>
      </c>
      <c r="C12448" t="str">
        <f>"220821198403240010"</f>
        <v>220821198403240010</v>
      </c>
      <c r="D12448" t="s">
        <v>1</v>
      </c>
      <c r="E12448" t="s">
        <v>1</v>
      </c>
      <c r="F12448" t="s">
        <v>0</v>
      </c>
      <c r="G12448" t="str">
        <f>"2018-10-13 15:36:34"</f>
        <v>2018-10-13 15:36:34</v>
      </c>
    </row>
    <row r="12449" spans="1:7" x14ac:dyDescent="0.2">
      <c r="A12449" t="s">
        <v>12534</v>
      </c>
      <c r="B12449" t="str">
        <f>"15916583171"</f>
        <v>15916583171</v>
      </c>
      <c r="C12449" t="str">
        <f>"440681198911215918"</f>
        <v>440681198911215918</v>
      </c>
      <c r="D12449" t="s">
        <v>1</v>
      </c>
      <c r="E12449" t="s">
        <v>1</v>
      </c>
      <c r="F12449" t="s">
        <v>0</v>
      </c>
      <c r="G12449" t="str">
        <f>"2018-10-13 15:36:51"</f>
        <v>2018-10-13 15:36:51</v>
      </c>
    </row>
    <row r="12450" spans="1:7" x14ac:dyDescent="0.2">
      <c r="A12450" t="s">
        <v>829</v>
      </c>
      <c r="B12450" t="str">
        <f>"18350989709"</f>
        <v>18350989709</v>
      </c>
      <c r="C12450" t="str">
        <f>"350725198904210038"</f>
        <v>350725198904210038</v>
      </c>
      <c r="D12450" t="s">
        <v>1</v>
      </c>
      <c r="E12450" t="s">
        <v>1</v>
      </c>
      <c r="F12450" t="s">
        <v>0</v>
      </c>
      <c r="G12450" t="str">
        <f>"2018-10-13 15:27:56"</f>
        <v>2018-10-13 15:27:56</v>
      </c>
    </row>
    <row r="12451" spans="1:7" x14ac:dyDescent="0.2">
      <c r="A12451" t="s">
        <v>12535</v>
      </c>
      <c r="B12451" t="str">
        <f>"13953156487"</f>
        <v>13953156487</v>
      </c>
      <c r="C12451" t="str">
        <f>"370103198705155526"</f>
        <v>370103198705155526</v>
      </c>
      <c r="D12451" t="s">
        <v>12536</v>
      </c>
      <c r="E12451" t="s">
        <v>12537</v>
      </c>
      <c r="F12451" t="s">
        <v>0</v>
      </c>
      <c r="G12451" t="str">
        <f>"2018-10-13 15:26:24"</f>
        <v>2018-10-13 15:26:24</v>
      </c>
    </row>
    <row r="12452" spans="1:7" x14ac:dyDescent="0.2">
      <c r="A12452" t="s">
        <v>12538</v>
      </c>
      <c r="B12452" t="str">
        <f>"15015034205"</f>
        <v>15015034205</v>
      </c>
      <c r="C12452" t="str">
        <f>"450821200006284733"</f>
        <v>450821200006284733</v>
      </c>
      <c r="D12452" t="s">
        <v>1</v>
      </c>
      <c r="E12452" t="s">
        <v>1</v>
      </c>
      <c r="F12452" t="s">
        <v>0</v>
      </c>
      <c r="G12452" t="str">
        <f>"2018-10-13 15:33:00"</f>
        <v>2018-10-13 15:33:00</v>
      </c>
    </row>
    <row r="12453" spans="1:7" x14ac:dyDescent="0.2">
      <c r="A12453" t="s">
        <v>1375</v>
      </c>
      <c r="B12453" t="str">
        <f>"15013417230"</f>
        <v>15013417230</v>
      </c>
      <c r="C12453" t="str">
        <f>"610521197801121553"</f>
        <v>610521197801121553</v>
      </c>
      <c r="D12453" t="s">
        <v>1</v>
      </c>
      <c r="E12453" t="s">
        <v>1</v>
      </c>
      <c r="F12453" t="s">
        <v>0</v>
      </c>
      <c r="G12453" t="str">
        <f>"2018-10-13 15:41:01"</f>
        <v>2018-10-13 15:41:01</v>
      </c>
    </row>
    <row r="12454" spans="1:7" x14ac:dyDescent="0.2">
      <c r="A12454" t="s">
        <v>12539</v>
      </c>
      <c r="B12454" t="str">
        <f>"15075064496"</f>
        <v>15075064496</v>
      </c>
      <c r="C12454" t="str">
        <f>"130426198705034210"</f>
        <v>130426198705034210</v>
      </c>
      <c r="D12454" t="s">
        <v>1</v>
      </c>
      <c r="E12454" t="s">
        <v>1</v>
      </c>
      <c r="F12454" t="s">
        <v>0</v>
      </c>
      <c r="G12454" t="str">
        <f>"2018-11-03 02:02:35"</f>
        <v>2018-11-03 02:02:35</v>
      </c>
    </row>
    <row r="12455" spans="1:7" x14ac:dyDescent="0.2">
      <c r="A12455" t="s">
        <v>12540</v>
      </c>
      <c r="B12455" t="str">
        <f>"15762822237"</f>
        <v>15762822237</v>
      </c>
      <c r="C12455" t="str">
        <f>"370323198808133414"</f>
        <v>370323198808133414</v>
      </c>
      <c r="D12455" t="s">
        <v>12541</v>
      </c>
      <c r="E12455" t="s">
        <v>12542</v>
      </c>
      <c r="F12455" t="s">
        <v>0</v>
      </c>
      <c r="G12455" t="str">
        <f>"2018-10-13 15:26:31"</f>
        <v>2018-10-13 15:26:31</v>
      </c>
    </row>
    <row r="12456" spans="1:7" x14ac:dyDescent="0.2">
      <c r="A12456" t="s">
        <v>1</v>
      </c>
      <c r="B12456" t="str">
        <f>"13994268780"</f>
        <v>13994268780</v>
      </c>
      <c r="C12456" t="s">
        <v>1</v>
      </c>
      <c r="D12456" t="s">
        <v>1</v>
      </c>
      <c r="E12456" t="s">
        <v>1</v>
      </c>
      <c r="F12456" t="s">
        <v>0</v>
      </c>
      <c r="G12456" t="str">
        <f>"2018-10-13 15:34:18"</f>
        <v>2018-10-13 15:34:18</v>
      </c>
    </row>
    <row r="12457" spans="1:7" x14ac:dyDescent="0.2">
      <c r="A12457" t="s">
        <v>1</v>
      </c>
      <c r="B12457" t="str">
        <f>"15042015888"</f>
        <v>15042015888</v>
      </c>
      <c r="C12457" t="s">
        <v>1</v>
      </c>
      <c r="D12457" t="s">
        <v>1</v>
      </c>
      <c r="E12457" t="s">
        <v>1</v>
      </c>
      <c r="F12457" t="s">
        <v>0</v>
      </c>
      <c r="G12457" t="str">
        <f>"2018-10-13 15:25:23"</f>
        <v>2018-10-13 15:25:23</v>
      </c>
    </row>
    <row r="12458" spans="1:7" x14ac:dyDescent="0.2">
      <c r="A12458" t="s">
        <v>1755</v>
      </c>
      <c r="B12458" t="str">
        <f>"15896625776"</f>
        <v>15896625776</v>
      </c>
      <c r="C12458" t="str">
        <f>"410311198203285033"</f>
        <v>410311198203285033</v>
      </c>
      <c r="D12458" t="s">
        <v>1</v>
      </c>
      <c r="E12458" t="s">
        <v>1</v>
      </c>
      <c r="F12458" t="s">
        <v>0</v>
      </c>
      <c r="G12458" t="str">
        <f>"2018-10-13 15:25:34"</f>
        <v>2018-10-13 15:25:34</v>
      </c>
    </row>
    <row r="12459" spans="1:7" x14ac:dyDescent="0.2">
      <c r="A12459" t="s">
        <v>12543</v>
      </c>
      <c r="B12459" t="str">
        <f>"13841979293"</f>
        <v>13841979293</v>
      </c>
      <c r="C12459" t="str">
        <f>"210782198807092419"</f>
        <v>210782198807092419</v>
      </c>
      <c r="D12459" t="s">
        <v>1</v>
      </c>
      <c r="E12459" t="s">
        <v>1</v>
      </c>
      <c r="F12459" t="s">
        <v>0</v>
      </c>
      <c r="G12459" t="str">
        <f>"2018-10-13 15:25:23"</f>
        <v>2018-10-13 15:25:23</v>
      </c>
    </row>
    <row r="12460" spans="1:7" x14ac:dyDescent="0.2">
      <c r="A12460" t="s">
        <v>1</v>
      </c>
      <c r="B12460" t="str">
        <f>"15867588257"</f>
        <v>15867588257</v>
      </c>
      <c r="C12460" t="s">
        <v>1</v>
      </c>
      <c r="D12460" t="s">
        <v>1</v>
      </c>
      <c r="E12460" t="s">
        <v>1</v>
      </c>
      <c r="F12460" t="s">
        <v>0</v>
      </c>
      <c r="G12460" t="str">
        <f>"2018-10-13 15:23:46"</f>
        <v>2018-10-13 15:23:46</v>
      </c>
    </row>
    <row r="12461" spans="1:7" x14ac:dyDescent="0.2">
      <c r="A12461" t="s">
        <v>12544</v>
      </c>
      <c r="B12461" t="str">
        <f>"15692433220"</f>
        <v>15692433220</v>
      </c>
      <c r="C12461" t="str">
        <f>"440682199708151323"</f>
        <v>440682199708151323</v>
      </c>
      <c r="D12461" t="s">
        <v>1</v>
      </c>
      <c r="E12461" t="s">
        <v>1</v>
      </c>
      <c r="F12461" t="s">
        <v>0</v>
      </c>
      <c r="G12461" t="str">
        <f>"2018-10-13 16:44:12"</f>
        <v>2018-10-13 16:44:12</v>
      </c>
    </row>
    <row r="12462" spans="1:7" x14ac:dyDescent="0.2">
      <c r="A12462" t="s">
        <v>1</v>
      </c>
      <c r="B12462" t="str">
        <f>"18850378595"</f>
        <v>18850378595</v>
      </c>
      <c r="C12462" t="s">
        <v>1</v>
      </c>
      <c r="D12462" t="s">
        <v>1</v>
      </c>
      <c r="E12462" t="s">
        <v>1</v>
      </c>
      <c r="F12462" t="s">
        <v>0</v>
      </c>
      <c r="G12462" t="str">
        <f>"2018-10-13 15:23:08"</f>
        <v>2018-10-13 15:23:08</v>
      </c>
    </row>
    <row r="12463" spans="1:7" x14ac:dyDescent="0.2">
      <c r="A12463" t="s">
        <v>12545</v>
      </c>
      <c r="B12463" t="str">
        <f>"17708784631"</f>
        <v>17708784631</v>
      </c>
      <c r="C12463" t="str">
        <f>"532324199011221516"</f>
        <v>532324199011221516</v>
      </c>
      <c r="D12463" t="s">
        <v>1</v>
      </c>
      <c r="E12463" t="s">
        <v>1</v>
      </c>
      <c r="F12463" t="s">
        <v>0</v>
      </c>
      <c r="G12463" t="str">
        <f>"2018-10-13 15:24:25"</f>
        <v>2018-10-13 15:24:25</v>
      </c>
    </row>
    <row r="12464" spans="1:7" x14ac:dyDescent="0.2">
      <c r="A12464" t="s">
        <v>1</v>
      </c>
      <c r="B12464" t="str">
        <f>"15036636351"</f>
        <v>15036636351</v>
      </c>
      <c r="C12464" t="s">
        <v>1</v>
      </c>
      <c r="D12464" t="s">
        <v>1</v>
      </c>
      <c r="E12464" t="s">
        <v>1</v>
      </c>
      <c r="F12464" t="s">
        <v>0</v>
      </c>
      <c r="G12464" t="str">
        <f>"2018-10-13 15:22:14"</f>
        <v>2018-10-13 15:22:14</v>
      </c>
    </row>
    <row r="12465" spans="1:7" x14ac:dyDescent="0.2">
      <c r="A12465" t="s">
        <v>1</v>
      </c>
      <c r="B12465" t="str">
        <f>"13706742362"</f>
        <v>13706742362</v>
      </c>
      <c r="C12465" t="s">
        <v>1</v>
      </c>
      <c r="D12465" t="s">
        <v>1</v>
      </c>
      <c r="E12465" t="s">
        <v>1</v>
      </c>
      <c r="F12465" t="s">
        <v>0</v>
      </c>
      <c r="G12465" t="str">
        <f>"2018-10-13 15:21:56"</f>
        <v>2018-10-13 15:21:56</v>
      </c>
    </row>
    <row r="12466" spans="1:7" x14ac:dyDescent="0.2">
      <c r="A12466" t="s">
        <v>12546</v>
      </c>
      <c r="B12466" t="str">
        <f>"18974042332"</f>
        <v>18974042332</v>
      </c>
      <c r="C12466" t="str">
        <f>"430682198710128812"</f>
        <v>430682198710128812</v>
      </c>
      <c r="D12466" t="s">
        <v>12547</v>
      </c>
      <c r="E12466" t="s">
        <v>12548</v>
      </c>
      <c r="F12466" t="s">
        <v>0</v>
      </c>
      <c r="G12466" t="str">
        <f>"2018-10-13 15:21:47"</f>
        <v>2018-10-13 15:21:47</v>
      </c>
    </row>
    <row r="12467" spans="1:7" x14ac:dyDescent="0.2">
      <c r="A12467" t="s">
        <v>1</v>
      </c>
      <c r="B12467" t="str">
        <f>"18187065570"</f>
        <v>18187065570</v>
      </c>
      <c r="C12467" t="s">
        <v>1</v>
      </c>
      <c r="D12467" t="s">
        <v>1</v>
      </c>
      <c r="E12467" t="s">
        <v>1</v>
      </c>
      <c r="F12467" t="s">
        <v>0</v>
      </c>
      <c r="G12467" t="str">
        <f>"2018-10-15 11:48:27"</f>
        <v>2018-10-15 11:48:27</v>
      </c>
    </row>
    <row r="12468" spans="1:7" x14ac:dyDescent="0.2">
      <c r="A12468" t="s">
        <v>1</v>
      </c>
      <c r="B12468" t="str">
        <f>"13774182958"</f>
        <v>13774182958</v>
      </c>
      <c r="C12468" t="s">
        <v>1</v>
      </c>
      <c r="D12468" t="s">
        <v>1</v>
      </c>
      <c r="E12468" t="s">
        <v>1</v>
      </c>
      <c r="F12468" t="s">
        <v>0</v>
      </c>
      <c r="G12468" t="str">
        <f>"2018-10-13 15:22:07"</f>
        <v>2018-10-13 15:22:07</v>
      </c>
    </row>
    <row r="12469" spans="1:7" x14ac:dyDescent="0.2">
      <c r="A12469" t="s">
        <v>1</v>
      </c>
      <c r="B12469" t="str">
        <f>"18029976888"</f>
        <v>18029976888</v>
      </c>
      <c r="C12469" t="s">
        <v>1</v>
      </c>
      <c r="D12469" t="s">
        <v>1</v>
      </c>
      <c r="E12469" t="s">
        <v>1</v>
      </c>
      <c r="F12469" t="s">
        <v>0</v>
      </c>
      <c r="G12469" t="str">
        <f>"2018-10-13 15:22:46"</f>
        <v>2018-10-13 15:22:46</v>
      </c>
    </row>
    <row r="12470" spans="1:7" x14ac:dyDescent="0.2">
      <c r="A12470" t="s">
        <v>1</v>
      </c>
      <c r="B12470" t="str">
        <f>"15596639920"</f>
        <v>15596639920</v>
      </c>
      <c r="C12470" t="s">
        <v>1</v>
      </c>
      <c r="D12470" t="s">
        <v>1</v>
      </c>
      <c r="E12470" t="s">
        <v>1</v>
      </c>
      <c r="F12470" t="s">
        <v>0</v>
      </c>
      <c r="G12470" t="str">
        <f>"2018-10-13 15:22:17"</f>
        <v>2018-10-13 15:22:17</v>
      </c>
    </row>
    <row r="12471" spans="1:7" x14ac:dyDescent="0.2">
      <c r="A12471" t="s">
        <v>12549</v>
      </c>
      <c r="B12471" t="str">
        <f>"17761691858"</f>
        <v>17761691858</v>
      </c>
      <c r="C12471" t="str">
        <f>"410928198402090917"</f>
        <v>410928198402090917</v>
      </c>
      <c r="D12471" t="s">
        <v>1</v>
      </c>
      <c r="E12471" t="s">
        <v>1</v>
      </c>
      <c r="F12471" t="s">
        <v>0</v>
      </c>
      <c r="G12471" t="str">
        <f>"2018-10-19 17:00:12"</f>
        <v>2018-10-19 17:00:12</v>
      </c>
    </row>
    <row r="12472" spans="1:7" x14ac:dyDescent="0.2">
      <c r="A12472" t="s">
        <v>12550</v>
      </c>
      <c r="B12472" t="str">
        <f>"15160600370"</f>
        <v>15160600370</v>
      </c>
      <c r="C12472" t="str">
        <f>"511303199805252852"</f>
        <v>511303199805252852</v>
      </c>
      <c r="D12472" t="s">
        <v>1</v>
      </c>
      <c r="E12472" t="s">
        <v>1</v>
      </c>
      <c r="F12472" t="s">
        <v>0</v>
      </c>
      <c r="G12472" t="str">
        <f>"2018-10-13 15:20:22"</f>
        <v>2018-10-13 15:20:22</v>
      </c>
    </row>
    <row r="12473" spans="1:7" x14ac:dyDescent="0.2">
      <c r="A12473" t="s">
        <v>1</v>
      </c>
      <c r="B12473" t="str">
        <f>"13931559053"</f>
        <v>13931559053</v>
      </c>
      <c r="C12473" t="s">
        <v>1</v>
      </c>
      <c r="D12473" t="s">
        <v>1</v>
      </c>
      <c r="E12473" t="s">
        <v>1</v>
      </c>
      <c r="F12473" t="s">
        <v>0</v>
      </c>
      <c r="G12473" t="str">
        <f>"2018-10-13 15:20:16"</f>
        <v>2018-10-13 15:20:16</v>
      </c>
    </row>
    <row r="12474" spans="1:7" x14ac:dyDescent="0.2">
      <c r="A12474" t="s">
        <v>1</v>
      </c>
      <c r="B12474" t="str">
        <f>"18303857976"</f>
        <v>18303857976</v>
      </c>
      <c r="C12474" t="s">
        <v>1</v>
      </c>
      <c r="D12474" t="s">
        <v>1</v>
      </c>
      <c r="E12474" t="s">
        <v>1</v>
      </c>
      <c r="F12474" t="s">
        <v>0</v>
      </c>
      <c r="G12474" t="str">
        <f>"2018-10-13 15:20:10"</f>
        <v>2018-10-13 15:20:10</v>
      </c>
    </row>
    <row r="12475" spans="1:7" x14ac:dyDescent="0.2">
      <c r="A12475" t="s">
        <v>12551</v>
      </c>
      <c r="B12475" t="str">
        <f>"15207623371"</f>
        <v>15207623371</v>
      </c>
      <c r="C12475" t="str">
        <f>"441621199507033812"</f>
        <v>441621199507033812</v>
      </c>
      <c r="D12475" t="s">
        <v>1</v>
      </c>
      <c r="E12475" t="s">
        <v>1</v>
      </c>
      <c r="F12475" t="s">
        <v>0</v>
      </c>
      <c r="G12475" t="str">
        <f>"2018-10-18 17:20:53"</f>
        <v>2018-10-18 17:20:53</v>
      </c>
    </row>
    <row r="12476" spans="1:7" x14ac:dyDescent="0.2">
      <c r="A12476" t="s">
        <v>1</v>
      </c>
      <c r="B12476" t="str">
        <f>"15179436888"</f>
        <v>15179436888</v>
      </c>
      <c r="C12476" t="s">
        <v>1</v>
      </c>
      <c r="D12476" t="s">
        <v>1</v>
      </c>
      <c r="E12476" t="s">
        <v>1</v>
      </c>
      <c r="F12476" t="s">
        <v>0</v>
      </c>
      <c r="G12476" t="str">
        <f>"2018-10-13 15:21:58"</f>
        <v>2018-10-13 15:21:58</v>
      </c>
    </row>
    <row r="12477" spans="1:7" x14ac:dyDescent="0.2">
      <c r="A12477" t="s">
        <v>12552</v>
      </c>
      <c r="B12477" t="str">
        <f>"15828470933"</f>
        <v>15828470933</v>
      </c>
      <c r="C12477" t="str">
        <f>"513701198804012642"</f>
        <v>513701198804012642</v>
      </c>
      <c r="D12477" t="s">
        <v>12553</v>
      </c>
      <c r="E12477" t="s">
        <v>12554</v>
      </c>
      <c r="F12477" t="s">
        <v>0</v>
      </c>
      <c r="G12477" t="str">
        <f>"2018-10-13 15:37:01"</f>
        <v>2018-10-13 15:37:01</v>
      </c>
    </row>
    <row r="12478" spans="1:7" x14ac:dyDescent="0.2">
      <c r="A12478" t="s">
        <v>1</v>
      </c>
      <c r="B12478" t="str">
        <f>"15958293787"</f>
        <v>15958293787</v>
      </c>
      <c r="C12478" t="s">
        <v>1</v>
      </c>
      <c r="D12478" t="s">
        <v>1</v>
      </c>
      <c r="E12478" t="s">
        <v>1</v>
      </c>
      <c r="F12478" t="s">
        <v>0</v>
      </c>
      <c r="G12478" t="str">
        <f>"2018-10-13 15:19:33"</f>
        <v>2018-10-13 15:19:33</v>
      </c>
    </row>
    <row r="12479" spans="1:7" x14ac:dyDescent="0.2">
      <c r="A12479" t="s">
        <v>12555</v>
      </c>
      <c r="B12479" t="str">
        <f>"13983755887"</f>
        <v>13983755887</v>
      </c>
      <c r="C12479" t="str">
        <f>"130530198406200514"</f>
        <v>130530198406200514</v>
      </c>
      <c r="D12479" t="s">
        <v>1</v>
      </c>
      <c r="E12479" t="s">
        <v>1</v>
      </c>
      <c r="F12479" t="s">
        <v>0</v>
      </c>
      <c r="G12479" t="str">
        <f>"2018-10-13 15:19:33"</f>
        <v>2018-10-13 15:19:33</v>
      </c>
    </row>
    <row r="12480" spans="1:7" x14ac:dyDescent="0.2">
      <c r="A12480" t="s">
        <v>1</v>
      </c>
      <c r="B12480" t="str">
        <f>"18183416905"</f>
        <v>18183416905</v>
      </c>
      <c r="C12480" t="s">
        <v>1</v>
      </c>
      <c r="D12480" t="s">
        <v>1</v>
      </c>
      <c r="E12480" t="s">
        <v>1</v>
      </c>
      <c r="F12480" t="s">
        <v>0</v>
      </c>
      <c r="G12480" t="str">
        <f>"2018-10-13 15:20:34"</f>
        <v>2018-10-13 15:20:34</v>
      </c>
    </row>
    <row r="12481" spans="1:7" x14ac:dyDescent="0.2">
      <c r="A12481" t="s">
        <v>1</v>
      </c>
      <c r="B12481" t="str">
        <f>"13152507542"</f>
        <v>13152507542</v>
      </c>
      <c r="C12481" t="s">
        <v>1</v>
      </c>
      <c r="D12481" t="s">
        <v>1</v>
      </c>
      <c r="E12481" t="s">
        <v>1</v>
      </c>
      <c r="F12481" t="s">
        <v>0</v>
      </c>
      <c r="G12481" t="str">
        <f>"2018-10-13 15:19:25"</f>
        <v>2018-10-13 15:19:25</v>
      </c>
    </row>
    <row r="12482" spans="1:7" x14ac:dyDescent="0.2">
      <c r="A12482" t="s">
        <v>12556</v>
      </c>
      <c r="B12482" t="str">
        <f>"15067526970"</f>
        <v>15067526970</v>
      </c>
      <c r="C12482" t="str">
        <f>"33068119940125705X"</f>
        <v>33068119940125705X</v>
      </c>
      <c r="D12482" t="s">
        <v>12557</v>
      </c>
      <c r="E12482" t="s">
        <v>12558</v>
      </c>
      <c r="F12482" t="s">
        <v>0</v>
      </c>
      <c r="G12482" t="str">
        <f>"2018-10-13 15:22:25"</f>
        <v>2018-10-13 15:22:25</v>
      </c>
    </row>
    <row r="12483" spans="1:7" x14ac:dyDescent="0.2">
      <c r="A12483" t="s">
        <v>1</v>
      </c>
      <c r="B12483" t="str">
        <f>"13150218903"</f>
        <v>13150218903</v>
      </c>
      <c r="C12483" t="s">
        <v>1</v>
      </c>
      <c r="D12483" t="s">
        <v>1</v>
      </c>
      <c r="E12483" t="s">
        <v>1</v>
      </c>
      <c r="F12483" t="s">
        <v>0</v>
      </c>
      <c r="G12483" t="str">
        <f>"2018-10-13 15:19:04"</f>
        <v>2018-10-13 15:19:04</v>
      </c>
    </row>
    <row r="12484" spans="1:7" x14ac:dyDescent="0.2">
      <c r="A12484" t="s">
        <v>1</v>
      </c>
      <c r="B12484" t="str">
        <f>"18712057748"</f>
        <v>18712057748</v>
      </c>
      <c r="C12484" t="s">
        <v>1</v>
      </c>
      <c r="D12484" t="s">
        <v>1</v>
      </c>
      <c r="E12484" t="s">
        <v>1</v>
      </c>
      <c r="F12484" t="s">
        <v>0</v>
      </c>
      <c r="G12484" t="str">
        <f>"2018-10-13 15:20:29"</f>
        <v>2018-10-13 15:20:29</v>
      </c>
    </row>
    <row r="12485" spans="1:7" x14ac:dyDescent="0.2">
      <c r="A12485" t="s">
        <v>1</v>
      </c>
      <c r="B12485" t="str">
        <f>"15859558192"</f>
        <v>15859558192</v>
      </c>
      <c r="C12485" t="s">
        <v>1</v>
      </c>
      <c r="D12485" t="s">
        <v>1</v>
      </c>
      <c r="E12485" t="s">
        <v>1</v>
      </c>
      <c r="F12485" t="s">
        <v>0</v>
      </c>
      <c r="G12485" t="str">
        <f>"2018-10-13 15:25:25"</f>
        <v>2018-10-13 15:25:25</v>
      </c>
    </row>
    <row r="12486" spans="1:7" x14ac:dyDescent="0.2">
      <c r="A12486" t="s">
        <v>1</v>
      </c>
      <c r="B12486" t="str">
        <f>"15995385800"</f>
        <v>15995385800</v>
      </c>
      <c r="C12486" t="s">
        <v>1</v>
      </c>
      <c r="D12486" t="s">
        <v>1</v>
      </c>
      <c r="E12486" t="s">
        <v>1</v>
      </c>
      <c r="F12486" t="s">
        <v>0</v>
      </c>
      <c r="G12486" t="str">
        <f>"2018-10-13 15:20:33"</f>
        <v>2018-10-13 15:20:33</v>
      </c>
    </row>
    <row r="12487" spans="1:7" x14ac:dyDescent="0.2">
      <c r="A12487" t="s">
        <v>170</v>
      </c>
      <c r="B12487" t="str">
        <f>"13877389018"</f>
        <v>13877389018</v>
      </c>
      <c r="C12487" t="str">
        <f>"450331199102010011"</f>
        <v>450331199102010011</v>
      </c>
      <c r="D12487" t="s">
        <v>1</v>
      </c>
      <c r="E12487" t="s">
        <v>1</v>
      </c>
      <c r="F12487" t="s">
        <v>0</v>
      </c>
      <c r="G12487" t="str">
        <f>"2018-10-31 13:47:27"</f>
        <v>2018-10-31 13:47:27</v>
      </c>
    </row>
    <row r="12488" spans="1:7" x14ac:dyDescent="0.2">
      <c r="A12488" t="s">
        <v>1</v>
      </c>
      <c r="B12488" t="str">
        <f>"18539335173"</f>
        <v>18539335173</v>
      </c>
      <c r="C12488" t="s">
        <v>1</v>
      </c>
      <c r="D12488" t="s">
        <v>1</v>
      </c>
      <c r="E12488" t="s">
        <v>1</v>
      </c>
      <c r="F12488" t="s">
        <v>0</v>
      </c>
      <c r="G12488" t="str">
        <f>"2018-10-13 15:23:07"</f>
        <v>2018-10-13 15:23:07</v>
      </c>
    </row>
    <row r="12489" spans="1:7" x14ac:dyDescent="0.2">
      <c r="A12489" t="s">
        <v>1</v>
      </c>
      <c r="B12489" t="str">
        <f>"17313781124"</f>
        <v>17313781124</v>
      </c>
      <c r="C12489" t="s">
        <v>1</v>
      </c>
      <c r="D12489" t="s">
        <v>1</v>
      </c>
      <c r="E12489" t="s">
        <v>1</v>
      </c>
      <c r="F12489" t="s">
        <v>0</v>
      </c>
      <c r="G12489" t="str">
        <f>"2018-10-13 15:19:13"</f>
        <v>2018-10-13 15:19:13</v>
      </c>
    </row>
    <row r="12490" spans="1:7" x14ac:dyDescent="0.2">
      <c r="A12490" t="s">
        <v>802</v>
      </c>
      <c r="B12490" t="str">
        <f>"14777357732"</f>
        <v>14777357732</v>
      </c>
      <c r="C12490" t="str">
        <f>"450331198510270029"</f>
        <v>450331198510270029</v>
      </c>
      <c r="D12490" t="s">
        <v>1</v>
      </c>
      <c r="E12490" t="s">
        <v>1</v>
      </c>
      <c r="F12490" t="s">
        <v>0</v>
      </c>
      <c r="G12490" t="str">
        <f>"2018-10-13 18:18:01"</f>
        <v>2018-10-13 18:18:01</v>
      </c>
    </row>
    <row r="12491" spans="1:7" x14ac:dyDescent="0.2">
      <c r="A12491" t="s">
        <v>1</v>
      </c>
      <c r="B12491" t="str">
        <f>"18694070969"</f>
        <v>18694070969</v>
      </c>
      <c r="C12491" t="s">
        <v>1</v>
      </c>
      <c r="D12491" t="s">
        <v>1</v>
      </c>
      <c r="E12491" t="s">
        <v>1</v>
      </c>
      <c r="F12491" t="s">
        <v>0</v>
      </c>
      <c r="G12491" t="str">
        <f>"2018-10-13 15:18:18"</f>
        <v>2018-10-13 15:18:18</v>
      </c>
    </row>
    <row r="12492" spans="1:7" x14ac:dyDescent="0.2">
      <c r="A12492" t="s">
        <v>1</v>
      </c>
      <c r="B12492" t="str">
        <f>"13737345169"</f>
        <v>13737345169</v>
      </c>
      <c r="C12492" t="s">
        <v>1</v>
      </c>
      <c r="D12492" t="s">
        <v>1</v>
      </c>
      <c r="E12492" t="s">
        <v>1</v>
      </c>
      <c r="F12492" t="s">
        <v>0</v>
      </c>
      <c r="G12492" t="str">
        <f>"2018-10-13 15:17:02"</f>
        <v>2018-10-13 15:17:02</v>
      </c>
    </row>
    <row r="12493" spans="1:7" x14ac:dyDescent="0.2">
      <c r="A12493" t="s">
        <v>12559</v>
      </c>
      <c r="B12493" t="str">
        <f>"13875989088"</f>
        <v>13875989088</v>
      </c>
      <c r="C12493" t="str">
        <f>"430181199011081462"</f>
        <v>430181199011081462</v>
      </c>
      <c r="D12493" t="s">
        <v>12560</v>
      </c>
      <c r="E12493" t="s">
        <v>12561</v>
      </c>
      <c r="F12493" t="s">
        <v>0</v>
      </c>
      <c r="G12493" t="str">
        <f>"2018-10-19 13:28:24"</f>
        <v>2018-10-19 13:28:24</v>
      </c>
    </row>
    <row r="12494" spans="1:7" x14ac:dyDescent="0.2">
      <c r="A12494" t="s">
        <v>1</v>
      </c>
      <c r="B12494" t="str">
        <f>"13054024959"</f>
        <v>13054024959</v>
      </c>
      <c r="C12494" t="s">
        <v>1</v>
      </c>
      <c r="D12494" t="s">
        <v>1</v>
      </c>
      <c r="E12494" t="s">
        <v>1</v>
      </c>
      <c r="F12494" t="s">
        <v>0</v>
      </c>
      <c r="G12494" t="str">
        <f>"2018-10-13 15:17:39"</f>
        <v>2018-10-13 15:17:39</v>
      </c>
    </row>
    <row r="12495" spans="1:7" x14ac:dyDescent="0.2">
      <c r="A12495" t="s">
        <v>1</v>
      </c>
      <c r="B12495" t="str">
        <f>"17625039264"</f>
        <v>17625039264</v>
      </c>
      <c r="C12495" t="s">
        <v>1</v>
      </c>
      <c r="D12495" t="s">
        <v>1</v>
      </c>
      <c r="E12495" t="s">
        <v>1</v>
      </c>
      <c r="F12495" t="s">
        <v>0</v>
      </c>
      <c r="G12495" t="str">
        <f>"2018-10-13 15:17:42"</f>
        <v>2018-10-13 15:17:42</v>
      </c>
    </row>
    <row r="12496" spans="1:7" x14ac:dyDescent="0.2">
      <c r="A12496" t="s">
        <v>1</v>
      </c>
      <c r="B12496" t="str">
        <f>"15004221935"</f>
        <v>15004221935</v>
      </c>
      <c r="C12496" t="s">
        <v>1</v>
      </c>
      <c r="D12496" t="s">
        <v>1</v>
      </c>
      <c r="E12496" t="s">
        <v>1</v>
      </c>
      <c r="F12496" t="s">
        <v>0</v>
      </c>
      <c r="G12496" t="str">
        <f>"2018-10-13 15:16:17"</f>
        <v>2018-10-13 15:16:17</v>
      </c>
    </row>
    <row r="12497" spans="1:7" x14ac:dyDescent="0.2">
      <c r="A12497" t="s">
        <v>12562</v>
      </c>
      <c r="B12497" t="str">
        <f>"15890025120"</f>
        <v>15890025120</v>
      </c>
      <c r="C12497" t="str">
        <f>"130429199204098631"</f>
        <v>130429199204098631</v>
      </c>
      <c r="D12497" t="s">
        <v>1</v>
      </c>
      <c r="E12497" t="s">
        <v>1</v>
      </c>
      <c r="F12497" t="s">
        <v>0</v>
      </c>
      <c r="G12497" t="str">
        <f>"2018-10-13 15:18:31"</f>
        <v>2018-10-13 15:18:31</v>
      </c>
    </row>
    <row r="12498" spans="1:7" x14ac:dyDescent="0.2">
      <c r="A12498" t="s">
        <v>1</v>
      </c>
      <c r="B12498" t="str">
        <f>"18648646187"</f>
        <v>18648646187</v>
      </c>
      <c r="C12498" t="s">
        <v>1</v>
      </c>
      <c r="D12498" t="s">
        <v>1</v>
      </c>
      <c r="E12498" t="s">
        <v>1</v>
      </c>
      <c r="F12498" t="s">
        <v>0</v>
      </c>
      <c r="G12498" t="str">
        <f>"2018-10-13 15:16:56"</f>
        <v>2018-10-13 15:16:56</v>
      </c>
    </row>
    <row r="12499" spans="1:7" x14ac:dyDescent="0.2">
      <c r="A12499" t="s">
        <v>1</v>
      </c>
      <c r="B12499" t="str">
        <f>"13959221181"</f>
        <v>13959221181</v>
      </c>
      <c r="C12499" t="s">
        <v>1</v>
      </c>
      <c r="D12499" t="s">
        <v>1</v>
      </c>
      <c r="E12499" t="s">
        <v>1</v>
      </c>
      <c r="F12499" t="s">
        <v>0</v>
      </c>
      <c r="G12499" t="str">
        <f>"2018-10-13 15:14:58"</f>
        <v>2018-10-13 15:14:58</v>
      </c>
    </row>
    <row r="12500" spans="1:7" x14ac:dyDescent="0.2">
      <c r="A12500" t="s">
        <v>1</v>
      </c>
      <c r="B12500" t="str">
        <f>"15988029301"</f>
        <v>15988029301</v>
      </c>
      <c r="C12500" t="s">
        <v>1</v>
      </c>
      <c r="D12500" t="s">
        <v>1</v>
      </c>
      <c r="E12500" t="s">
        <v>1</v>
      </c>
      <c r="F12500" t="s">
        <v>0</v>
      </c>
      <c r="G12500" t="str">
        <f>"2018-10-13 15:14:48"</f>
        <v>2018-10-13 15:14:48</v>
      </c>
    </row>
    <row r="12501" spans="1:7" x14ac:dyDescent="0.2">
      <c r="A12501" t="s">
        <v>709</v>
      </c>
      <c r="B12501" t="str">
        <f>"13908626755"</f>
        <v>13908626755</v>
      </c>
      <c r="C12501" t="str">
        <f>"420104199202161241"</f>
        <v>420104199202161241</v>
      </c>
      <c r="D12501" t="s">
        <v>1</v>
      </c>
      <c r="E12501" t="s">
        <v>1</v>
      </c>
      <c r="F12501" t="s">
        <v>0</v>
      </c>
      <c r="G12501" t="str">
        <f>"2018-10-13 16:11:44"</f>
        <v>2018-10-13 16:11:44</v>
      </c>
    </row>
    <row r="12502" spans="1:7" x14ac:dyDescent="0.2">
      <c r="A12502" t="s">
        <v>12563</v>
      </c>
      <c r="B12502" t="str">
        <f>"13677240910"</f>
        <v>13677240910</v>
      </c>
      <c r="C12502" t="str">
        <f>"420802198309230869"</f>
        <v>420802198309230869</v>
      </c>
      <c r="D12502" t="s">
        <v>1</v>
      </c>
      <c r="E12502" t="s">
        <v>1</v>
      </c>
      <c r="F12502" t="s">
        <v>0</v>
      </c>
      <c r="G12502" t="str">
        <f>"2018-10-13 15:22:01"</f>
        <v>2018-10-13 15:22:01</v>
      </c>
    </row>
    <row r="12503" spans="1:7" x14ac:dyDescent="0.2">
      <c r="A12503" t="s">
        <v>1</v>
      </c>
      <c r="B12503" t="str">
        <f>"13058769640"</f>
        <v>13058769640</v>
      </c>
      <c r="C12503" t="s">
        <v>1</v>
      </c>
      <c r="D12503" t="s">
        <v>1</v>
      </c>
      <c r="E12503" t="s">
        <v>1</v>
      </c>
      <c r="F12503" t="s">
        <v>0</v>
      </c>
      <c r="G12503" t="str">
        <f>"2018-10-13 15:13:46"</f>
        <v>2018-10-13 15:13:46</v>
      </c>
    </row>
    <row r="12504" spans="1:7" x14ac:dyDescent="0.2">
      <c r="A12504" t="s">
        <v>1</v>
      </c>
      <c r="B12504" t="str">
        <f>"13607487954"</f>
        <v>13607487954</v>
      </c>
      <c r="C12504" t="s">
        <v>1</v>
      </c>
      <c r="D12504" t="s">
        <v>1</v>
      </c>
      <c r="E12504" t="s">
        <v>1</v>
      </c>
      <c r="F12504" t="s">
        <v>0</v>
      </c>
      <c r="G12504" t="str">
        <f>"2018-10-13 15:20:44"</f>
        <v>2018-10-13 15:20:44</v>
      </c>
    </row>
    <row r="12505" spans="1:7" x14ac:dyDescent="0.2">
      <c r="A12505" t="s">
        <v>12564</v>
      </c>
      <c r="B12505" t="str">
        <f>"18850287718"</f>
        <v>18850287718</v>
      </c>
      <c r="C12505" t="str">
        <f>"352623197903234424"</f>
        <v>352623197903234424</v>
      </c>
      <c r="D12505" t="s">
        <v>1</v>
      </c>
      <c r="E12505" t="s">
        <v>1</v>
      </c>
      <c r="F12505" t="s">
        <v>0</v>
      </c>
      <c r="G12505" t="str">
        <f>"2018-10-13 15:13:59"</f>
        <v>2018-10-13 15:13:59</v>
      </c>
    </row>
    <row r="12506" spans="1:7" x14ac:dyDescent="0.2">
      <c r="A12506" t="s">
        <v>1</v>
      </c>
      <c r="B12506" t="str">
        <f>"15012141112"</f>
        <v>15012141112</v>
      </c>
      <c r="C12506" t="s">
        <v>1</v>
      </c>
      <c r="D12506" t="s">
        <v>1</v>
      </c>
      <c r="E12506" t="s">
        <v>1</v>
      </c>
      <c r="F12506" t="s">
        <v>0</v>
      </c>
      <c r="G12506" t="str">
        <f>"2018-10-13 15:18:36"</f>
        <v>2018-10-13 15:18:36</v>
      </c>
    </row>
    <row r="12507" spans="1:7" x14ac:dyDescent="0.2">
      <c r="A12507" t="s">
        <v>1</v>
      </c>
      <c r="B12507" t="str">
        <f>"18530910041"</f>
        <v>18530910041</v>
      </c>
      <c r="C12507" t="s">
        <v>1</v>
      </c>
      <c r="D12507" t="s">
        <v>1</v>
      </c>
      <c r="E12507" t="s">
        <v>1</v>
      </c>
      <c r="F12507" t="s">
        <v>0</v>
      </c>
      <c r="G12507" t="str">
        <f>"2018-10-13 15:12:40"</f>
        <v>2018-10-13 15:12:40</v>
      </c>
    </row>
    <row r="12508" spans="1:7" x14ac:dyDescent="0.2">
      <c r="A12508" t="s">
        <v>12565</v>
      </c>
      <c r="B12508" t="str">
        <f>"18706671369"</f>
        <v>18706671369</v>
      </c>
      <c r="C12508" t="str">
        <f>"370784198806291544"</f>
        <v>370784198806291544</v>
      </c>
      <c r="D12508" t="s">
        <v>1</v>
      </c>
      <c r="E12508" t="s">
        <v>1</v>
      </c>
      <c r="F12508" t="s">
        <v>0</v>
      </c>
      <c r="G12508" t="str">
        <f>"2018-10-13 15:20:58"</f>
        <v>2018-10-13 15:20:58</v>
      </c>
    </row>
    <row r="12509" spans="1:7" x14ac:dyDescent="0.2">
      <c r="A12509" t="s">
        <v>12566</v>
      </c>
      <c r="B12509" t="str">
        <f>"13601593776"</f>
        <v>13601593776</v>
      </c>
      <c r="C12509" t="str">
        <f>"320421197502081614"</f>
        <v>320421197502081614</v>
      </c>
      <c r="D12509" t="s">
        <v>12567</v>
      </c>
      <c r="E12509" t="s">
        <v>12568</v>
      </c>
      <c r="F12509" t="s">
        <v>0</v>
      </c>
      <c r="G12509" t="str">
        <f>"2018-10-13 15:13:17"</f>
        <v>2018-10-13 15:13:17</v>
      </c>
    </row>
    <row r="12510" spans="1:7" x14ac:dyDescent="0.2">
      <c r="A12510" t="s">
        <v>1</v>
      </c>
      <c r="B12510" t="str">
        <f>"15122959109"</f>
        <v>15122959109</v>
      </c>
      <c r="C12510" t="s">
        <v>1</v>
      </c>
      <c r="D12510" t="s">
        <v>1</v>
      </c>
      <c r="E12510" t="s">
        <v>1</v>
      </c>
      <c r="F12510" t="s">
        <v>0</v>
      </c>
      <c r="G12510" t="str">
        <f>"2018-10-13 15:12:16"</f>
        <v>2018-10-13 15:12:16</v>
      </c>
    </row>
    <row r="12511" spans="1:7" x14ac:dyDescent="0.2">
      <c r="A12511" t="s">
        <v>1</v>
      </c>
      <c r="B12511" t="str">
        <f>"13471362288"</f>
        <v>13471362288</v>
      </c>
      <c r="C12511" t="s">
        <v>1</v>
      </c>
      <c r="D12511" t="s">
        <v>1</v>
      </c>
      <c r="E12511" t="s">
        <v>1</v>
      </c>
      <c r="F12511" t="s">
        <v>0</v>
      </c>
      <c r="G12511" t="str">
        <f>"2018-10-13 15:13:20"</f>
        <v>2018-10-13 15:13:20</v>
      </c>
    </row>
    <row r="12512" spans="1:7" x14ac:dyDescent="0.2">
      <c r="A12512" t="s">
        <v>1</v>
      </c>
      <c r="B12512" t="str">
        <f>"13887561450"</f>
        <v>13887561450</v>
      </c>
      <c r="C12512" t="s">
        <v>1</v>
      </c>
      <c r="D12512" t="s">
        <v>1</v>
      </c>
      <c r="E12512" t="s">
        <v>1</v>
      </c>
      <c r="F12512" t="s">
        <v>0</v>
      </c>
      <c r="G12512" t="str">
        <f>"2018-10-13 15:11:33"</f>
        <v>2018-10-13 15:11:33</v>
      </c>
    </row>
    <row r="12513" spans="1:7" x14ac:dyDescent="0.2">
      <c r="A12513" t="s">
        <v>1</v>
      </c>
      <c r="B12513" t="str">
        <f>"15924641044"</f>
        <v>15924641044</v>
      </c>
      <c r="C12513" t="s">
        <v>1</v>
      </c>
      <c r="D12513" t="s">
        <v>1</v>
      </c>
      <c r="E12513" t="s">
        <v>1</v>
      </c>
      <c r="F12513" t="s">
        <v>0</v>
      </c>
      <c r="G12513" t="str">
        <f>"2018-10-13 15:18:00"</f>
        <v>2018-10-13 15:18:00</v>
      </c>
    </row>
    <row r="12514" spans="1:7" x14ac:dyDescent="0.2">
      <c r="A12514" t="s">
        <v>1</v>
      </c>
      <c r="B12514" t="str">
        <f>"13756153110"</f>
        <v>13756153110</v>
      </c>
      <c r="C12514" t="s">
        <v>1</v>
      </c>
      <c r="D12514" t="s">
        <v>1</v>
      </c>
      <c r="E12514" t="s">
        <v>1</v>
      </c>
      <c r="F12514" t="s">
        <v>0</v>
      </c>
      <c r="G12514" t="str">
        <f>"2018-10-13 15:13:56"</f>
        <v>2018-10-13 15:13:56</v>
      </c>
    </row>
    <row r="12515" spans="1:7" x14ac:dyDescent="0.2">
      <c r="A12515" t="s">
        <v>1</v>
      </c>
      <c r="B12515" t="str">
        <f>"15917520177"</f>
        <v>15917520177</v>
      </c>
      <c r="C12515" t="s">
        <v>1</v>
      </c>
      <c r="D12515" t="s">
        <v>1</v>
      </c>
      <c r="E12515" t="s">
        <v>1</v>
      </c>
      <c r="F12515" t="s">
        <v>0</v>
      </c>
      <c r="G12515" t="str">
        <f>"2018-10-13 15:10:57"</f>
        <v>2018-10-13 15:10:57</v>
      </c>
    </row>
    <row r="12516" spans="1:7" x14ac:dyDescent="0.2">
      <c r="A12516" t="s">
        <v>1</v>
      </c>
      <c r="B12516" t="str">
        <f>"13998042937"</f>
        <v>13998042937</v>
      </c>
      <c r="C12516" t="s">
        <v>1</v>
      </c>
      <c r="D12516" t="s">
        <v>1</v>
      </c>
      <c r="E12516" t="s">
        <v>1</v>
      </c>
      <c r="F12516" t="s">
        <v>0</v>
      </c>
      <c r="G12516" t="str">
        <f>"2018-10-13 15:12:39"</f>
        <v>2018-10-13 15:12:39</v>
      </c>
    </row>
    <row r="12517" spans="1:7" x14ac:dyDescent="0.2">
      <c r="A12517" t="s">
        <v>1</v>
      </c>
      <c r="B12517" t="str">
        <f>"13510470905"</f>
        <v>13510470905</v>
      </c>
      <c r="C12517" t="s">
        <v>1</v>
      </c>
      <c r="D12517" t="s">
        <v>1</v>
      </c>
      <c r="E12517" t="s">
        <v>1</v>
      </c>
      <c r="F12517" t="s">
        <v>0</v>
      </c>
      <c r="G12517" t="str">
        <f>"2018-10-13 15:12:10"</f>
        <v>2018-10-13 15:12:10</v>
      </c>
    </row>
    <row r="12518" spans="1:7" x14ac:dyDescent="0.2">
      <c r="A12518" t="s">
        <v>1</v>
      </c>
      <c r="B12518" t="str">
        <f>"15329115260"</f>
        <v>15329115260</v>
      </c>
      <c r="C12518" t="s">
        <v>1</v>
      </c>
      <c r="D12518" t="s">
        <v>1</v>
      </c>
      <c r="E12518" t="s">
        <v>1</v>
      </c>
      <c r="F12518" t="s">
        <v>0</v>
      </c>
      <c r="G12518" t="str">
        <f>"2018-10-13 15:12:24"</f>
        <v>2018-10-13 15:12:24</v>
      </c>
    </row>
    <row r="12519" spans="1:7" x14ac:dyDescent="0.2">
      <c r="A12519" t="s">
        <v>12569</v>
      </c>
      <c r="B12519" t="str">
        <f>"15808664214"</f>
        <v>15808664214</v>
      </c>
      <c r="C12519" t="str">
        <f>"530426199107221218"</f>
        <v>530426199107221218</v>
      </c>
      <c r="D12519" t="s">
        <v>1</v>
      </c>
      <c r="E12519" t="s">
        <v>1</v>
      </c>
      <c r="F12519" t="s">
        <v>0</v>
      </c>
      <c r="G12519" t="str">
        <f>"2018-10-13 15:12:31"</f>
        <v>2018-10-13 15:12:31</v>
      </c>
    </row>
    <row r="12520" spans="1:7" x14ac:dyDescent="0.2">
      <c r="A12520" t="s">
        <v>12570</v>
      </c>
      <c r="B12520" t="str">
        <f>"18554732766"</f>
        <v>18554732766</v>
      </c>
      <c r="C12520" t="str">
        <f>"420325199806050617"</f>
        <v>420325199806050617</v>
      </c>
      <c r="D12520" t="s">
        <v>1</v>
      </c>
      <c r="E12520" t="s">
        <v>1</v>
      </c>
      <c r="F12520" t="s">
        <v>0</v>
      </c>
      <c r="G12520" t="str">
        <f>"2018-10-23 16:11:34"</f>
        <v>2018-10-23 16:11:34</v>
      </c>
    </row>
    <row r="12521" spans="1:7" x14ac:dyDescent="0.2">
      <c r="A12521" t="s">
        <v>1</v>
      </c>
      <c r="B12521" t="str">
        <f>"15206000897"</f>
        <v>15206000897</v>
      </c>
      <c r="C12521" t="s">
        <v>1</v>
      </c>
      <c r="D12521" t="s">
        <v>1</v>
      </c>
      <c r="E12521" t="s">
        <v>1</v>
      </c>
      <c r="F12521" t="s">
        <v>0</v>
      </c>
      <c r="G12521" t="str">
        <f>"2018-10-13 15:10:46"</f>
        <v>2018-10-13 15:10:46</v>
      </c>
    </row>
    <row r="12522" spans="1:7" x14ac:dyDescent="0.2">
      <c r="A12522" t="s">
        <v>1</v>
      </c>
      <c r="B12522" t="str">
        <f>"15857788991"</f>
        <v>15857788991</v>
      </c>
      <c r="C12522" t="s">
        <v>1</v>
      </c>
      <c r="D12522" t="s">
        <v>1</v>
      </c>
      <c r="E12522" t="s">
        <v>1</v>
      </c>
      <c r="F12522" t="s">
        <v>0</v>
      </c>
      <c r="G12522" t="str">
        <f>"2018-10-13 15:10:20"</f>
        <v>2018-10-13 15:10:20</v>
      </c>
    </row>
    <row r="12523" spans="1:7" x14ac:dyDescent="0.2">
      <c r="A12523" t="s">
        <v>12571</v>
      </c>
      <c r="B12523" t="str">
        <f>"18693416805"</f>
        <v>18693416805</v>
      </c>
      <c r="C12523" t="str">
        <f>"622821199007142022"</f>
        <v>622821199007142022</v>
      </c>
      <c r="D12523" t="s">
        <v>1</v>
      </c>
      <c r="E12523" t="s">
        <v>1</v>
      </c>
      <c r="F12523" t="s">
        <v>0</v>
      </c>
      <c r="G12523" t="str">
        <f>"2018-10-13 15:10:31"</f>
        <v>2018-10-13 15:10:31</v>
      </c>
    </row>
    <row r="12524" spans="1:7" x14ac:dyDescent="0.2">
      <c r="A12524" t="s">
        <v>1</v>
      </c>
      <c r="B12524" t="str">
        <f>"13897829602"</f>
        <v>13897829602</v>
      </c>
      <c r="C12524" t="s">
        <v>1</v>
      </c>
      <c r="D12524" t="s">
        <v>1</v>
      </c>
      <c r="E12524" t="s">
        <v>1</v>
      </c>
      <c r="F12524" t="s">
        <v>0</v>
      </c>
      <c r="G12524" t="str">
        <f>"2018-10-13 15:08:11"</f>
        <v>2018-10-13 15:08:11</v>
      </c>
    </row>
    <row r="12525" spans="1:7" x14ac:dyDescent="0.2">
      <c r="A12525" t="s">
        <v>12572</v>
      </c>
      <c r="B12525" t="str">
        <f>"18238392091"</f>
        <v>18238392091</v>
      </c>
      <c r="C12525" t="str">
        <f>"410923197808133060"</f>
        <v>410923197808133060</v>
      </c>
      <c r="D12525" t="s">
        <v>1</v>
      </c>
      <c r="E12525" t="s">
        <v>1</v>
      </c>
      <c r="F12525" t="s">
        <v>0</v>
      </c>
      <c r="G12525" t="str">
        <f>"2018-10-13 15:09:23"</f>
        <v>2018-10-13 15:09:23</v>
      </c>
    </row>
    <row r="12526" spans="1:7" x14ac:dyDescent="0.2">
      <c r="A12526" t="s">
        <v>1</v>
      </c>
      <c r="B12526" t="str">
        <f>"13222802888"</f>
        <v>13222802888</v>
      </c>
      <c r="C12526" t="s">
        <v>1</v>
      </c>
      <c r="D12526" t="s">
        <v>1</v>
      </c>
      <c r="E12526" t="s">
        <v>1</v>
      </c>
      <c r="F12526" t="s">
        <v>0</v>
      </c>
      <c r="G12526" t="str">
        <f>"2018-10-13 15:09:18"</f>
        <v>2018-10-13 15:09:18</v>
      </c>
    </row>
    <row r="12527" spans="1:7" x14ac:dyDescent="0.2">
      <c r="A12527" t="s">
        <v>1</v>
      </c>
      <c r="B12527" t="str">
        <f>"15647533717"</f>
        <v>15647533717</v>
      </c>
      <c r="C12527" t="s">
        <v>1</v>
      </c>
      <c r="D12527" t="s">
        <v>1</v>
      </c>
      <c r="E12527" t="s">
        <v>1</v>
      </c>
      <c r="F12527" t="s">
        <v>0</v>
      </c>
      <c r="G12527" t="str">
        <f>"2018-10-13 15:08:59"</f>
        <v>2018-10-13 15:08:59</v>
      </c>
    </row>
    <row r="12528" spans="1:7" x14ac:dyDescent="0.2">
      <c r="A12528" t="s">
        <v>1</v>
      </c>
      <c r="B12528" t="str">
        <f>"13059652564"</f>
        <v>13059652564</v>
      </c>
      <c r="C12528" t="s">
        <v>1</v>
      </c>
      <c r="D12528" t="s">
        <v>1</v>
      </c>
      <c r="E12528" t="s">
        <v>1</v>
      </c>
      <c r="F12528" t="s">
        <v>0</v>
      </c>
      <c r="G12528" t="str">
        <f>"2018-10-13 15:07:26"</f>
        <v>2018-10-13 15:07:26</v>
      </c>
    </row>
    <row r="12529" spans="1:7" x14ac:dyDescent="0.2">
      <c r="A12529" t="s">
        <v>12573</v>
      </c>
      <c r="B12529" t="str">
        <f>"15209217623"</f>
        <v>15209217623</v>
      </c>
      <c r="C12529" t="str">
        <f>"140724199708060158"</f>
        <v>140724199708060158</v>
      </c>
      <c r="D12529" t="s">
        <v>1</v>
      </c>
      <c r="E12529" t="s">
        <v>1</v>
      </c>
      <c r="F12529" t="s">
        <v>0</v>
      </c>
      <c r="G12529" t="str">
        <f>"2018-10-13 15:07:19"</f>
        <v>2018-10-13 15:07:19</v>
      </c>
    </row>
    <row r="12530" spans="1:7" x14ac:dyDescent="0.2">
      <c r="A12530" t="s">
        <v>1</v>
      </c>
      <c r="B12530" t="str">
        <f>"13859169403"</f>
        <v>13859169403</v>
      </c>
      <c r="C12530" t="s">
        <v>1</v>
      </c>
      <c r="D12530" t="s">
        <v>1</v>
      </c>
      <c r="E12530" t="s">
        <v>1</v>
      </c>
      <c r="F12530" t="s">
        <v>0</v>
      </c>
      <c r="G12530" t="str">
        <f>"2018-10-13 15:12:16"</f>
        <v>2018-10-13 15:12:16</v>
      </c>
    </row>
    <row r="12531" spans="1:7" x14ac:dyDescent="0.2">
      <c r="A12531" t="s">
        <v>1</v>
      </c>
      <c r="B12531" t="str">
        <f>"15932058885"</f>
        <v>15932058885</v>
      </c>
      <c r="C12531" t="s">
        <v>1</v>
      </c>
      <c r="D12531" t="s">
        <v>1</v>
      </c>
      <c r="E12531" t="s">
        <v>1</v>
      </c>
      <c r="F12531" t="s">
        <v>0</v>
      </c>
      <c r="G12531" t="str">
        <f>"2018-10-13 15:07:57"</f>
        <v>2018-10-13 15:07:57</v>
      </c>
    </row>
    <row r="12532" spans="1:7" x14ac:dyDescent="0.2">
      <c r="A12532" t="s">
        <v>12574</v>
      </c>
      <c r="B12532" t="str">
        <f>"15818199047"</f>
        <v>15818199047</v>
      </c>
      <c r="C12532" t="str">
        <f>"440902199711154052"</f>
        <v>440902199711154052</v>
      </c>
      <c r="D12532" t="s">
        <v>1</v>
      </c>
      <c r="E12532" t="s">
        <v>1</v>
      </c>
      <c r="F12532" t="s">
        <v>0</v>
      </c>
      <c r="G12532" t="str">
        <f>"2018-10-13 22:32:02"</f>
        <v>2018-10-13 22:32:02</v>
      </c>
    </row>
    <row r="12533" spans="1:7" x14ac:dyDescent="0.2">
      <c r="A12533" t="s">
        <v>1</v>
      </c>
      <c r="B12533" t="str">
        <f>"13942262065"</f>
        <v>13942262065</v>
      </c>
      <c r="C12533" t="s">
        <v>1</v>
      </c>
      <c r="D12533" t="s">
        <v>1</v>
      </c>
      <c r="E12533" t="s">
        <v>1</v>
      </c>
      <c r="F12533" t="s">
        <v>0</v>
      </c>
      <c r="G12533" t="str">
        <f>"2018-10-13 15:05:21"</f>
        <v>2018-10-13 15:05:21</v>
      </c>
    </row>
    <row r="12534" spans="1:7" x14ac:dyDescent="0.2">
      <c r="A12534" t="s">
        <v>885</v>
      </c>
      <c r="B12534" t="str">
        <f>"13583655825"</f>
        <v>13583655825</v>
      </c>
      <c r="C12534" t="str">
        <f>"370783198610186519"</f>
        <v>370783198610186519</v>
      </c>
      <c r="D12534" t="s">
        <v>1</v>
      </c>
      <c r="E12534" t="s">
        <v>1</v>
      </c>
      <c r="F12534" t="s">
        <v>0</v>
      </c>
      <c r="G12534" t="str">
        <f>"2018-10-13 15:07:05"</f>
        <v>2018-10-13 15:07:05</v>
      </c>
    </row>
    <row r="12535" spans="1:7" x14ac:dyDescent="0.2">
      <c r="A12535" t="s">
        <v>1</v>
      </c>
      <c r="B12535" t="str">
        <f>"17156996422"</f>
        <v>17156996422</v>
      </c>
      <c r="C12535" t="s">
        <v>1</v>
      </c>
      <c r="D12535" t="s">
        <v>1</v>
      </c>
      <c r="E12535" t="s">
        <v>1</v>
      </c>
      <c r="F12535" t="s">
        <v>0</v>
      </c>
      <c r="G12535" t="str">
        <f>"2018-10-13 15:05:07"</f>
        <v>2018-10-13 15:05:07</v>
      </c>
    </row>
    <row r="12536" spans="1:7" x14ac:dyDescent="0.2">
      <c r="A12536" t="s">
        <v>1</v>
      </c>
      <c r="B12536" t="str">
        <f>"18253769881"</f>
        <v>18253769881</v>
      </c>
      <c r="C12536" t="s">
        <v>1</v>
      </c>
      <c r="D12536" t="s">
        <v>1</v>
      </c>
      <c r="E12536" t="s">
        <v>1</v>
      </c>
      <c r="F12536" t="s">
        <v>0</v>
      </c>
      <c r="G12536" t="str">
        <f>"2018-10-13 15:07:26"</f>
        <v>2018-10-13 15:07:26</v>
      </c>
    </row>
    <row r="12537" spans="1:7" x14ac:dyDescent="0.2">
      <c r="A12537" t="s">
        <v>1</v>
      </c>
      <c r="B12537" t="str">
        <f>"18107488711"</f>
        <v>18107488711</v>
      </c>
      <c r="C12537" t="s">
        <v>1</v>
      </c>
      <c r="D12537" t="s">
        <v>1</v>
      </c>
      <c r="E12537" t="s">
        <v>1</v>
      </c>
      <c r="F12537" t="s">
        <v>0</v>
      </c>
      <c r="G12537" t="str">
        <f>"2018-10-13 15:03:25"</f>
        <v>2018-10-13 15:03:25</v>
      </c>
    </row>
    <row r="12538" spans="1:7" x14ac:dyDescent="0.2">
      <c r="A12538" t="s">
        <v>844</v>
      </c>
      <c r="B12538" t="str">
        <f>"13562467892"</f>
        <v>13562467892</v>
      </c>
      <c r="C12538" t="str">
        <f>"370403199006102813"</f>
        <v>370403199006102813</v>
      </c>
      <c r="D12538" t="s">
        <v>1</v>
      </c>
      <c r="E12538" t="s">
        <v>1</v>
      </c>
      <c r="F12538" t="s">
        <v>0</v>
      </c>
      <c r="G12538" t="str">
        <f>"2018-10-13 15:31:53"</f>
        <v>2018-10-13 15:31:53</v>
      </c>
    </row>
    <row r="12539" spans="1:7" x14ac:dyDescent="0.2">
      <c r="A12539" t="s">
        <v>1</v>
      </c>
      <c r="B12539" t="str">
        <f>"17647510781"</f>
        <v>17647510781</v>
      </c>
      <c r="C12539" t="s">
        <v>1</v>
      </c>
      <c r="D12539" t="s">
        <v>1</v>
      </c>
      <c r="E12539" t="s">
        <v>1</v>
      </c>
      <c r="F12539" t="s">
        <v>0</v>
      </c>
      <c r="G12539" t="str">
        <f>"2018-10-13 15:02:51"</f>
        <v>2018-10-13 15:02:51</v>
      </c>
    </row>
    <row r="12540" spans="1:7" x14ac:dyDescent="0.2">
      <c r="A12540" t="s">
        <v>5101</v>
      </c>
      <c r="B12540" t="str">
        <f>"18954819997"</f>
        <v>18954819997</v>
      </c>
      <c r="C12540" t="str">
        <f>"370402198508170014"</f>
        <v>370402198508170014</v>
      </c>
      <c r="D12540" t="s">
        <v>1</v>
      </c>
      <c r="E12540" t="s">
        <v>1</v>
      </c>
      <c r="F12540" t="s">
        <v>0</v>
      </c>
      <c r="G12540" t="str">
        <f>"2018-10-13 15:04:00"</f>
        <v>2018-10-13 15:04:00</v>
      </c>
    </row>
    <row r="12541" spans="1:7" x14ac:dyDescent="0.2">
      <c r="A12541" t="s">
        <v>12575</v>
      </c>
      <c r="B12541" t="str">
        <f>"15224406192"</f>
        <v>15224406192</v>
      </c>
      <c r="C12541" t="str">
        <f>"37078119960625121X"</f>
        <v>37078119960625121X</v>
      </c>
      <c r="D12541" t="s">
        <v>1</v>
      </c>
      <c r="E12541" t="s">
        <v>1</v>
      </c>
      <c r="F12541" t="s">
        <v>0</v>
      </c>
      <c r="G12541" t="str">
        <f>"2018-10-13 15:03:56"</f>
        <v>2018-10-13 15:03:56</v>
      </c>
    </row>
    <row r="12542" spans="1:7" x14ac:dyDescent="0.2">
      <c r="A12542" t="s">
        <v>1</v>
      </c>
      <c r="B12542" t="str">
        <f>"15830251771"</f>
        <v>15830251771</v>
      </c>
      <c r="C12542" t="s">
        <v>1</v>
      </c>
      <c r="D12542" t="s">
        <v>1</v>
      </c>
      <c r="E12542" t="s">
        <v>1</v>
      </c>
      <c r="F12542" t="s">
        <v>0</v>
      </c>
      <c r="G12542" t="str">
        <f>"2018-10-13 15:09:17"</f>
        <v>2018-10-13 15:09:17</v>
      </c>
    </row>
    <row r="12543" spans="1:7" x14ac:dyDescent="0.2">
      <c r="A12543" t="s">
        <v>1</v>
      </c>
      <c r="B12543" t="str">
        <f>"13960854499"</f>
        <v>13960854499</v>
      </c>
      <c r="C12543" t="s">
        <v>1</v>
      </c>
      <c r="D12543" t="s">
        <v>1</v>
      </c>
      <c r="E12543" t="s">
        <v>1</v>
      </c>
      <c r="F12543" t="s">
        <v>0</v>
      </c>
      <c r="G12543" t="str">
        <f>"2018-10-13 15:15:11"</f>
        <v>2018-10-13 15:15:11</v>
      </c>
    </row>
    <row r="12544" spans="1:7" x14ac:dyDescent="0.2">
      <c r="A12544" t="s">
        <v>12576</v>
      </c>
      <c r="B12544" t="str">
        <f>"18559642256"</f>
        <v>18559642256</v>
      </c>
      <c r="C12544" t="str">
        <f>"362329199805255726"</f>
        <v>362329199805255726</v>
      </c>
      <c r="D12544" t="s">
        <v>12577</v>
      </c>
      <c r="E12544" t="s">
        <v>12578</v>
      </c>
      <c r="F12544" t="s">
        <v>0</v>
      </c>
      <c r="G12544" t="str">
        <f>"2018-10-13 15:01:59"</f>
        <v>2018-10-13 15:01:59</v>
      </c>
    </row>
    <row r="12545" spans="1:7" x14ac:dyDescent="0.2">
      <c r="A12545" t="s">
        <v>1087</v>
      </c>
      <c r="B12545" t="str">
        <f>"13778879568"</f>
        <v>13778879568</v>
      </c>
      <c r="C12545" t="str">
        <f>"511081198112170211"</f>
        <v>511081198112170211</v>
      </c>
      <c r="D12545" t="s">
        <v>1</v>
      </c>
      <c r="E12545" t="s">
        <v>1</v>
      </c>
      <c r="F12545" t="s">
        <v>0</v>
      </c>
      <c r="G12545" t="str">
        <f>"2018-10-13 15:20:26"</f>
        <v>2018-10-13 15:20:26</v>
      </c>
    </row>
    <row r="12546" spans="1:7" x14ac:dyDescent="0.2">
      <c r="A12546" t="s">
        <v>12579</v>
      </c>
      <c r="B12546" t="str">
        <f>"13533874502"</f>
        <v>13533874502</v>
      </c>
      <c r="C12546" t="str">
        <f>"362329198811194216"</f>
        <v>362329198811194216</v>
      </c>
      <c r="D12546" t="s">
        <v>12580</v>
      </c>
      <c r="E12546" t="s">
        <v>12581</v>
      </c>
      <c r="F12546" t="s">
        <v>0</v>
      </c>
      <c r="G12546" t="str">
        <f>"2018-10-13 15:28:37"</f>
        <v>2018-10-13 15:28:37</v>
      </c>
    </row>
    <row r="12547" spans="1:7" x14ac:dyDescent="0.2">
      <c r="A12547" t="s">
        <v>7761</v>
      </c>
      <c r="B12547" t="str">
        <f>"17503821585"</f>
        <v>17503821585</v>
      </c>
      <c r="C12547" t="str">
        <f>"412724198109064475"</f>
        <v>412724198109064475</v>
      </c>
      <c r="D12547" t="s">
        <v>1</v>
      </c>
      <c r="E12547" t="s">
        <v>1</v>
      </c>
      <c r="F12547" t="s">
        <v>0</v>
      </c>
      <c r="G12547" t="str">
        <f>"2018-10-31 14:41:39"</f>
        <v>2018-10-31 14:41:39</v>
      </c>
    </row>
    <row r="12548" spans="1:7" x14ac:dyDescent="0.2">
      <c r="A12548" t="s">
        <v>12582</v>
      </c>
      <c r="B12548" t="str">
        <f>"13946891910"</f>
        <v>13946891910</v>
      </c>
      <c r="C12548" t="str">
        <f>"231025199512062814"</f>
        <v>231025199512062814</v>
      </c>
      <c r="D12548" t="s">
        <v>1</v>
      </c>
      <c r="E12548" t="s">
        <v>1</v>
      </c>
      <c r="F12548" t="s">
        <v>0</v>
      </c>
      <c r="G12548" t="str">
        <f>"2018-10-13 15:03:32"</f>
        <v>2018-10-13 15:03:32</v>
      </c>
    </row>
    <row r="12549" spans="1:7" x14ac:dyDescent="0.2">
      <c r="A12549" t="s">
        <v>12583</v>
      </c>
      <c r="B12549" t="str">
        <f>"18914578118"</f>
        <v>18914578118</v>
      </c>
      <c r="C12549" t="str">
        <f>"321121199101213616"</f>
        <v>321121199101213616</v>
      </c>
      <c r="D12549" t="s">
        <v>1</v>
      </c>
      <c r="E12549" t="s">
        <v>1</v>
      </c>
      <c r="F12549" t="s">
        <v>0</v>
      </c>
      <c r="G12549" t="str">
        <f>"2018-10-13 15:00:49"</f>
        <v>2018-10-13 15:00:49</v>
      </c>
    </row>
    <row r="12550" spans="1:7" x14ac:dyDescent="0.2">
      <c r="A12550" t="s">
        <v>12584</v>
      </c>
      <c r="B12550" t="str">
        <f>"18705101878"</f>
        <v>18705101878</v>
      </c>
      <c r="C12550" t="str">
        <f>"320902199105091015"</f>
        <v>320902199105091015</v>
      </c>
      <c r="D12550" t="s">
        <v>1</v>
      </c>
      <c r="E12550" t="s">
        <v>1</v>
      </c>
      <c r="F12550" t="s">
        <v>0</v>
      </c>
      <c r="G12550" t="str">
        <f>"2018-10-13 15:00:52"</f>
        <v>2018-10-13 15:00:52</v>
      </c>
    </row>
    <row r="12551" spans="1:7" x14ac:dyDescent="0.2">
      <c r="A12551" t="s">
        <v>1</v>
      </c>
      <c r="B12551" t="str">
        <f>"15542899994"</f>
        <v>15542899994</v>
      </c>
      <c r="C12551" t="s">
        <v>1</v>
      </c>
      <c r="D12551" t="s">
        <v>1</v>
      </c>
      <c r="E12551" t="s">
        <v>1</v>
      </c>
      <c r="F12551" t="s">
        <v>0</v>
      </c>
      <c r="G12551" t="str">
        <f>"2018-10-13 14:58:50"</f>
        <v>2018-10-13 14:58:50</v>
      </c>
    </row>
    <row r="12552" spans="1:7" x14ac:dyDescent="0.2">
      <c r="A12552" t="s">
        <v>12585</v>
      </c>
      <c r="B12552" t="str">
        <f>"13655397345"</f>
        <v>13655397345</v>
      </c>
      <c r="C12552" t="str">
        <f>"371328198110265039"</f>
        <v>371328198110265039</v>
      </c>
      <c r="D12552" t="s">
        <v>1</v>
      </c>
      <c r="E12552" t="s">
        <v>1</v>
      </c>
      <c r="F12552" t="s">
        <v>0</v>
      </c>
      <c r="G12552" t="str">
        <f>"2018-10-14 14:41:28"</f>
        <v>2018-10-14 14:41:28</v>
      </c>
    </row>
    <row r="12553" spans="1:7" x14ac:dyDescent="0.2">
      <c r="A12553" t="s">
        <v>12586</v>
      </c>
      <c r="B12553" t="str">
        <f>"13664144457"</f>
        <v>13664144457</v>
      </c>
      <c r="C12553" t="str">
        <f>"210103199701063317"</f>
        <v>210103199701063317</v>
      </c>
      <c r="D12553" t="s">
        <v>1</v>
      </c>
      <c r="E12553" t="s">
        <v>1</v>
      </c>
      <c r="F12553" t="s">
        <v>0</v>
      </c>
      <c r="G12553" t="str">
        <f>"2018-10-13 15:09:49"</f>
        <v>2018-10-13 15:09:49</v>
      </c>
    </row>
    <row r="12554" spans="1:7" x14ac:dyDescent="0.2">
      <c r="A12554" t="s">
        <v>1</v>
      </c>
      <c r="B12554" t="str">
        <f>"15530523305"</f>
        <v>15530523305</v>
      </c>
      <c r="C12554" t="s">
        <v>1</v>
      </c>
      <c r="D12554" t="s">
        <v>1</v>
      </c>
      <c r="E12554" t="s">
        <v>1</v>
      </c>
      <c r="F12554" t="s">
        <v>0</v>
      </c>
      <c r="G12554" t="str">
        <f>"2018-10-13 14:57:24"</f>
        <v>2018-10-13 14:57:24</v>
      </c>
    </row>
    <row r="12555" spans="1:7" x14ac:dyDescent="0.2">
      <c r="A12555" t="s">
        <v>293</v>
      </c>
      <c r="B12555" t="str">
        <f>"13866868284"</f>
        <v>13866868284</v>
      </c>
      <c r="C12555" t="str">
        <f>"342225199312296218"</f>
        <v>342225199312296218</v>
      </c>
      <c r="D12555" t="s">
        <v>1</v>
      </c>
      <c r="E12555" t="s">
        <v>1</v>
      </c>
      <c r="F12555" t="s">
        <v>0</v>
      </c>
      <c r="G12555" t="str">
        <f>"2018-10-13 17:16:17"</f>
        <v>2018-10-13 17:16:17</v>
      </c>
    </row>
    <row r="12556" spans="1:7" x14ac:dyDescent="0.2">
      <c r="A12556" t="s">
        <v>1</v>
      </c>
      <c r="B12556" t="str">
        <f>"13525176909"</f>
        <v>13525176909</v>
      </c>
      <c r="C12556" t="s">
        <v>1</v>
      </c>
      <c r="D12556" t="s">
        <v>1</v>
      </c>
      <c r="E12556" t="s">
        <v>1</v>
      </c>
      <c r="F12556" t="s">
        <v>0</v>
      </c>
      <c r="G12556" t="str">
        <f>"2018-10-13 14:57:16"</f>
        <v>2018-10-13 14:57:16</v>
      </c>
    </row>
    <row r="12557" spans="1:7" x14ac:dyDescent="0.2">
      <c r="A12557" t="s">
        <v>1</v>
      </c>
      <c r="B12557" t="str">
        <f>"13162576338"</f>
        <v>13162576338</v>
      </c>
      <c r="C12557" t="s">
        <v>1</v>
      </c>
      <c r="D12557" t="s">
        <v>1</v>
      </c>
      <c r="E12557" t="s">
        <v>1</v>
      </c>
      <c r="F12557" t="s">
        <v>0</v>
      </c>
      <c r="G12557" t="str">
        <f>"2018-10-13 15:00:20"</f>
        <v>2018-10-13 15:00:20</v>
      </c>
    </row>
    <row r="12558" spans="1:7" x14ac:dyDescent="0.2">
      <c r="A12558" t="s">
        <v>12587</v>
      </c>
      <c r="B12558" t="str">
        <f>"18629983002"</f>
        <v>18629983002</v>
      </c>
      <c r="C12558" t="str">
        <f>"220202199706031825"</f>
        <v>220202199706031825</v>
      </c>
      <c r="D12558" t="s">
        <v>1</v>
      </c>
      <c r="E12558" t="s">
        <v>1</v>
      </c>
      <c r="F12558" t="s">
        <v>0</v>
      </c>
      <c r="G12558" t="str">
        <f>"2018-10-13 15:05:49"</f>
        <v>2018-10-13 15:05:49</v>
      </c>
    </row>
    <row r="12559" spans="1:7" x14ac:dyDescent="0.2">
      <c r="A12559" t="s">
        <v>1</v>
      </c>
      <c r="B12559" t="str">
        <f>"13729696730"</f>
        <v>13729696730</v>
      </c>
      <c r="C12559" t="s">
        <v>1</v>
      </c>
      <c r="D12559" t="s">
        <v>1</v>
      </c>
      <c r="E12559" t="s">
        <v>1</v>
      </c>
      <c r="F12559" t="s">
        <v>0</v>
      </c>
      <c r="G12559" t="str">
        <f>"2018-10-13 14:59:05"</f>
        <v>2018-10-13 14:59:05</v>
      </c>
    </row>
    <row r="12560" spans="1:7" x14ac:dyDescent="0.2">
      <c r="A12560" t="s">
        <v>12588</v>
      </c>
      <c r="B12560" t="str">
        <f>"15969319394"</f>
        <v>15969319394</v>
      </c>
      <c r="C12560" t="str">
        <f>"530424199810080610"</f>
        <v>530424199810080610</v>
      </c>
      <c r="D12560" t="s">
        <v>1</v>
      </c>
      <c r="E12560" t="s">
        <v>1</v>
      </c>
      <c r="F12560" t="s">
        <v>0</v>
      </c>
      <c r="G12560" t="str">
        <f>"2018-10-13 15:03:44"</f>
        <v>2018-10-13 15:03:44</v>
      </c>
    </row>
    <row r="12561" spans="1:7" x14ac:dyDescent="0.2">
      <c r="A12561" t="s">
        <v>1</v>
      </c>
      <c r="B12561" t="str">
        <f>"17074975819"</f>
        <v>17074975819</v>
      </c>
      <c r="C12561" t="s">
        <v>1</v>
      </c>
      <c r="D12561" t="s">
        <v>1</v>
      </c>
      <c r="E12561" t="s">
        <v>1</v>
      </c>
      <c r="F12561" t="s">
        <v>0</v>
      </c>
      <c r="G12561" t="str">
        <f>"2018-10-13 14:56:02"</f>
        <v>2018-10-13 14:56:02</v>
      </c>
    </row>
    <row r="12562" spans="1:7" x14ac:dyDescent="0.2">
      <c r="A12562" t="s">
        <v>12589</v>
      </c>
      <c r="B12562" t="str">
        <f>"13581347771"</f>
        <v>13581347771</v>
      </c>
      <c r="C12562" t="str">
        <f>"370612198511122527"</f>
        <v>370612198511122527</v>
      </c>
      <c r="D12562" t="s">
        <v>1</v>
      </c>
      <c r="E12562" t="s">
        <v>1</v>
      </c>
      <c r="F12562" t="s">
        <v>0</v>
      </c>
      <c r="G12562" t="str">
        <f>"2018-10-13 14:58:12"</f>
        <v>2018-10-13 14:58:12</v>
      </c>
    </row>
    <row r="12563" spans="1:7" x14ac:dyDescent="0.2">
      <c r="A12563" t="s">
        <v>12590</v>
      </c>
      <c r="B12563" t="str">
        <f>"15877711126"</f>
        <v>15877711126</v>
      </c>
      <c r="C12563" t="str">
        <f>"532926197707081917"</f>
        <v>532926197707081917</v>
      </c>
      <c r="D12563" t="s">
        <v>1</v>
      </c>
      <c r="E12563" t="s">
        <v>1</v>
      </c>
      <c r="F12563" t="s">
        <v>0</v>
      </c>
      <c r="G12563" t="str">
        <f>"2018-10-13 14:57:05"</f>
        <v>2018-10-13 14:57:05</v>
      </c>
    </row>
    <row r="12564" spans="1:7" x14ac:dyDescent="0.2">
      <c r="A12564" t="s">
        <v>12591</v>
      </c>
      <c r="B12564" t="str">
        <f>"17695550797"</f>
        <v>17695550797</v>
      </c>
      <c r="C12564" t="str">
        <f>"130524199004042012"</f>
        <v>130524199004042012</v>
      </c>
      <c r="D12564" t="s">
        <v>1</v>
      </c>
      <c r="E12564" t="s">
        <v>1</v>
      </c>
      <c r="F12564" t="s">
        <v>0</v>
      </c>
      <c r="G12564" t="str">
        <f>"2018-10-15 15:33:41"</f>
        <v>2018-10-15 15:33:41</v>
      </c>
    </row>
    <row r="12565" spans="1:7" x14ac:dyDescent="0.2">
      <c r="A12565" t="s">
        <v>12592</v>
      </c>
      <c r="B12565" t="str">
        <f>"18660318207"</f>
        <v>18660318207</v>
      </c>
      <c r="C12565" t="str">
        <f>"372428197309292474"</f>
        <v>372428197309292474</v>
      </c>
      <c r="D12565" t="s">
        <v>1</v>
      </c>
      <c r="E12565" t="s">
        <v>1</v>
      </c>
      <c r="F12565" t="s">
        <v>0</v>
      </c>
      <c r="G12565" t="str">
        <f>"2018-10-28 15:14:27"</f>
        <v>2018-10-28 15:14:27</v>
      </c>
    </row>
    <row r="12566" spans="1:7" x14ac:dyDescent="0.2">
      <c r="A12566" t="s">
        <v>1</v>
      </c>
      <c r="B12566" t="str">
        <f>"15200059357"</f>
        <v>15200059357</v>
      </c>
      <c r="C12566" t="s">
        <v>1</v>
      </c>
      <c r="D12566" t="s">
        <v>1</v>
      </c>
      <c r="E12566" t="s">
        <v>1</v>
      </c>
      <c r="F12566" t="s">
        <v>0</v>
      </c>
      <c r="G12566" t="str">
        <f>"2018-10-13 14:54:57"</f>
        <v>2018-10-13 14:54:57</v>
      </c>
    </row>
    <row r="12567" spans="1:7" x14ac:dyDescent="0.2">
      <c r="A12567" t="s">
        <v>7967</v>
      </c>
      <c r="B12567" t="str">
        <f>"13015538163"</f>
        <v>13015538163</v>
      </c>
      <c r="C12567" t="str">
        <f>"410923199610301718"</f>
        <v>410923199610301718</v>
      </c>
      <c r="D12567" t="s">
        <v>1</v>
      </c>
      <c r="E12567" t="s">
        <v>1</v>
      </c>
      <c r="F12567" t="s">
        <v>0</v>
      </c>
      <c r="G12567" t="str">
        <f>"2018-10-13 14:56:16"</f>
        <v>2018-10-13 14:56:16</v>
      </c>
    </row>
    <row r="12568" spans="1:7" x14ac:dyDescent="0.2">
      <c r="A12568" t="s">
        <v>12593</v>
      </c>
      <c r="B12568" t="str">
        <f>"13860200024"</f>
        <v>13860200024</v>
      </c>
      <c r="C12568" t="str">
        <f>"362302197710117014"</f>
        <v>362302197710117014</v>
      </c>
      <c r="D12568" t="s">
        <v>1</v>
      </c>
      <c r="E12568" t="s">
        <v>1</v>
      </c>
      <c r="F12568" t="s">
        <v>0</v>
      </c>
      <c r="G12568" t="str">
        <f>"2018-10-13 14:56:07"</f>
        <v>2018-10-13 14:56:07</v>
      </c>
    </row>
    <row r="12569" spans="1:7" x14ac:dyDescent="0.2">
      <c r="A12569" t="s">
        <v>12594</v>
      </c>
      <c r="B12569" t="str">
        <f>"15128660219"</f>
        <v>15128660219</v>
      </c>
      <c r="C12569" t="str">
        <f>"450411199002190035"</f>
        <v>450411199002190035</v>
      </c>
      <c r="D12569" t="s">
        <v>1</v>
      </c>
      <c r="E12569" t="s">
        <v>1</v>
      </c>
      <c r="F12569" t="s">
        <v>0</v>
      </c>
      <c r="G12569" t="str">
        <f>"2018-10-13 16:14:41"</f>
        <v>2018-10-13 16:14:41</v>
      </c>
    </row>
    <row r="12570" spans="1:7" x14ac:dyDescent="0.2">
      <c r="A12570" t="s">
        <v>12595</v>
      </c>
      <c r="B12570" t="str">
        <f>"13305108309"</f>
        <v>13305108309</v>
      </c>
      <c r="C12570" t="str">
        <f>"320902196801223524"</f>
        <v>320902196801223524</v>
      </c>
      <c r="D12570" t="s">
        <v>1</v>
      </c>
      <c r="E12570" t="s">
        <v>1</v>
      </c>
      <c r="F12570" t="s">
        <v>0</v>
      </c>
      <c r="G12570" t="str">
        <f>"2018-10-13 14:56:37"</f>
        <v>2018-10-13 14:56:37</v>
      </c>
    </row>
    <row r="12571" spans="1:7" x14ac:dyDescent="0.2">
      <c r="A12571" t="s">
        <v>12596</v>
      </c>
      <c r="B12571" t="str">
        <f>"17858252080"</f>
        <v>17858252080</v>
      </c>
      <c r="C12571" t="str">
        <f>"332624199203060015"</f>
        <v>332624199203060015</v>
      </c>
      <c r="D12571" t="s">
        <v>1</v>
      </c>
      <c r="E12571" t="s">
        <v>1</v>
      </c>
      <c r="F12571" t="s">
        <v>0</v>
      </c>
      <c r="G12571" t="str">
        <f>"2018-10-13 14:54:20"</f>
        <v>2018-10-13 14:54:20</v>
      </c>
    </row>
    <row r="12572" spans="1:7" x14ac:dyDescent="0.2">
      <c r="A12572" t="s">
        <v>12597</v>
      </c>
      <c r="B12572" t="str">
        <f>"13679422617"</f>
        <v>13679422617</v>
      </c>
      <c r="C12572" t="str">
        <f>"620104199304180029"</f>
        <v>620104199304180029</v>
      </c>
      <c r="D12572" t="s">
        <v>12598</v>
      </c>
      <c r="E12572" t="s">
        <v>12599</v>
      </c>
      <c r="F12572" t="s">
        <v>0</v>
      </c>
      <c r="G12572" t="str">
        <f>"2018-10-19 00:21:14"</f>
        <v>2018-10-19 00:21:14</v>
      </c>
    </row>
    <row r="12573" spans="1:7" x14ac:dyDescent="0.2">
      <c r="A12573" t="s">
        <v>12600</v>
      </c>
      <c r="B12573" t="str">
        <f>"15028906802"</f>
        <v>15028906802</v>
      </c>
      <c r="C12573" t="str">
        <f>"130582199701104016"</f>
        <v>130582199701104016</v>
      </c>
      <c r="D12573" t="s">
        <v>1</v>
      </c>
      <c r="E12573" t="s">
        <v>1</v>
      </c>
      <c r="F12573" t="s">
        <v>0</v>
      </c>
      <c r="G12573" t="str">
        <f>"2018-10-13 14:56:32"</f>
        <v>2018-10-13 14:56:32</v>
      </c>
    </row>
    <row r="12574" spans="1:7" x14ac:dyDescent="0.2">
      <c r="A12574" t="s">
        <v>12601</v>
      </c>
      <c r="B12574" t="str">
        <f>"13017985975"</f>
        <v>13017985975</v>
      </c>
      <c r="C12574" t="str">
        <f>"330881200006233513"</f>
        <v>330881200006233513</v>
      </c>
      <c r="D12574" t="s">
        <v>12602</v>
      </c>
      <c r="E12574" t="s">
        <v>12603</v>
      </c>
      <c r="F12574" t="s">
        <v>0</v>
      </c>
      <c r="G12574" t="str">
        <f>"2018-10-21 10:18:42"</f>
        <v>2018-10-21 10:18:42</v>
      </c>
    </row>
    <row r="12575" spans="1:7" x14ac:dyDescent="0.2">
      <c r="A12575" t="s">
        <v>12604</v>
      </c>
      <c r="B12575" t="str">
        <f>"18070459884"</f>
        <v>18070459884</v>
      </c>
      <c r="C12575" t="str">
        <f>"362201198609105636"</f>
        <v>362201198609105636</v>
      </c>
      <c r="D12575" t="s">
        <v>1</v>
      </c>
      <c r="E12575" t="s">
        <v>1</v>
      </c>
      <c r="F12575" t="s">
        <v>0</v>
      </c>
      <c r="G12575" t="str">
        <f>"2018-10-13 14:54:57"</f>
        <v>2018-10-13 14:54:57</v>
      </c>
    </row>
    <row r="12576" spans="1:7" x14ac:dyDescent="0.2">
      <c r="A12576" t="s">
        <v>1</v>
      </c>
      <c r="B12576" t="str">
        <f>"18279929868"</f>
        <v>18279929868</v>
      </c>
      <c r="C12576" t="s">
        <v>1</v>
      </c>
      <c r="D12576" t="s">
        <v>1</v>
      </c>
      <c r="E12576" t="s">
        <v>1</v>
      </c>
      <c r="F12576" t="s">
        <v>0</v>
      </c>
      <c r="G12576" t="str">
        <f>"2018-10-13 14:52:19"</f>
        <v>2018-10-13 14:52:19</v>
      </c>
    </row>
    <row r="12577" spans="1:7" x14ac:dyDescent="0.2">
      <c r="A12577" t="s">
        <v>12605</v>
      </c>
      <c r="B12577" t="str">
        <f>"13838077945"</f>
        <v>13838077945</v>
      </c>
      <c r="C12577" t="str">
        <f>"41018219900102087X"</f>
        <v>41018219900102087X</v>
      </c>
      <c r="D12577" t="s">
        <v>1</v>
      </c>
      <c r="E12577" t="s">
        <v>1</v>
      </c>
      <c r="F12577" t="s">
        <v>0</v>
      </c>
      <c r="G12577" t="str">
        <f>"2018-10-13 14:53:59"</f>
        <v>2018-10-13 14:53:59</v>
      </c>
    </row>
    <row r="12578" spans="1:7" x14ac:dyDescent="0.2">
      <c r="A12578" t="s">
        <v>12606</v>
      </c>
      <c r="B12578" t="str">
        <f>"13502221297"</f>
        <v>13502221297</v>
      </c>
      <c r="C12578" t="str">
        <f>"441324198110070015"</f>
        <v>441324198110070015</v>
      </c>
      <c r="D12578" t="s">
        <v>1</v>
      </c>
      <c r="E12578" t="s">
        <v>1</v>
      </c>
      <c r="F12578" t="s">
        <v>0</v>
      </c>
      <c r="G12578" t="str">
        <f>"2018-10-13 14:52:57"</f>
        <v>2018-10-13 14:52:57</v>
      </c>
    </row>
    <row r="12579" spans="1:7" x14ac:dyDescent="0.2">
      <c r="A12579" t="s">
        <v>1</v>
      </c>
      <c r="B12579" t="str">
        <f>"18652094693"</f>
        <v>18652094693</v>
      </c>
      <c r="C12579" t="s">
        <v>1</v>
      </c>
      <c r="D12579" t="s">
        <v>1</v>
      </c>
      <c r="E12579" t="s">
        <v>1</v>
      </c>
      <c r="F12579" t="s">
        <v>0</v>
      </c>
      <c r="G12579" t="str">
        <f>"2018-10-13 14:51:42"</f>
        <v>2018-10-13 14:51:42</v>
      </c>
    </row>
    <row r="12580" spans="1:7" x14ac:dyDescent="0.2">
      <c r="A12580" t="s">
        <v>1</v>
      </c>
      <c r="B12580" t="str">
        <f>"17551337525"</f>
        <v>17551337525</v>
      </c>
      <c r="C12580" t="s">
        <v>1</v>
      </c>
      <c r="D12580" t="s">
        <v>1</v>
      </c>
      <c r="E12580" t="s">
        <v>1</v>
      </c>
      <c r="F12580" t="s">
        <v>0</v>
      </c>
      <c r="G12580" t="str">
        <f>"2018-10-13 14:51:41"</f>
        <v>2018-10-13 14:51:41</v>
      </c>
    </row>
    <row r="12581" spans="1:7" x14ac:dyDescent="0.2">
      <c r="A12581" t="s">
        <v>12607</v>
      </c>
      <c r="B12581" t="str">
        <f>"13679079764"</f>
        <v>13679079764</v>
      </c>
      <c r="C12581" t="str">
        <f>"510521199110091872"</f>
        <v>510521199110091872</v>
      </c>
      <c r="D12581" t="s">
        <v>1</v>
      </c>
      <c r="E12581" t="s">
        <v>1</v>
      </c>
      <c r="F12581" t="s">
        <v>0</v>
      </c>
      <c r="G12581" t="str">
        <f>"2018-10-13 14:52:55"</f>
        <v>2018-10-13 14:52:55</v>
      </c>
    </row>
    <row r="12582" spans="1:7" x14ac:dyDescent="0.2">
      <c r="A12582" t="s">
        <v>12608</v>
      </c>
      <c r="B12582" t="str">
        <f>"15501837044"</f>
        <v>15501837044</v>
      </c>
      <c r="C12582" t="str">
        <f>"460032199007046237"</f>
        <v>460032199007046237</v>
      </c>
      <c r="D12582" t="s">
        <v>12609</v>
      </c>
      <c r="E12582" t="s">
        <v>12610</v>
      </c>
      <c r="F12582" t="s">
        <v>0</v>
      </c>
      <c r="G12582" t="str">
        <f>"2018-10-13 14:53:00"</f>
        <v>2018-10-13 14:53:00</v>
      </c>
    </row>
    <row r="12583" spans="1:7" x14ac:dyDescent="0.2">
      <c r="A12583" t="s">
        <v>1</v>
      </c>
      <c r="B12583" t="str">
        <f>"13545615720"</f>
        <v>13545615720</v>
      </c>
      <c r="C12583" t="s">
        <v>1</v>
      </c>
      <c r="D12583" t="s">
        <v>1</v>
      </c>
      <c r="E12583" t="s">
        <v>1</v>
      </c>
      <c r="F12583" t="s">
        <v>0</v>
      </c>
      <c r="G12583" t="str">
        <f>"2018-10-13 14:50:38"</f>
        <v>2018-10-13 14:50:38</v>
      </c>
    </row>
    <row r="12584" spans="1:7" x14ac:dyDescent="0.2">
      <c r="A12584" t="s">
        <v>12611</v>
      </c>
      <c r="B12584" t="str">
        <f>"15853850234"</f>
        <v>15853850234</v>
      </c>
      <c r="C12584" t="str">
        <f>"371327199001020014"</f>
        <v>371327199001020014</v>
      </c>
      <c r="D12584" t="s">
        <v>1</v>
      </c>
      <c r="E12584" t="s">
        <v>1</v>
      </c>
      <c r="F12584" t="s">
        <v>0</v>
      </c>
      <c r="G12584" t="str">
        <f>"2018-10-13 14:51:45"</f>
        <v>2018-10-13 14:51:45</v>
      </c>
    </row>
    <row r="12585" spans="1:7" x14ac:dyDescent="0.2">
      <c r="A12585" t="s">
        <v>773</v>
      </c>
      <c r="B12585" t="str">
        <f>"13918820043"</f>
        <v>13918820043</v>
      </c>
      <c r="C12585" t="str">
        <f>"420621199204104850"</f>
        <v>420621199204104850</v>
      </c>
      <c r="D12585" t="s">
        <v>1</v>
      </c>
      <c r="E12585" t="s">
        <v>1</v>
      </c>
      <c r="F12585" t="s">
        <v>0</v>
      </c>
      <c r="G12585" t="str">
        <f>"2018-10-18 23:30:26"</f>
        <v>2018-10-18 23:30:26</v>
      </c>
    </row>
    <row r="12586" spans="1:7" x14ac:dyDescent="0.2">
      <c r="A12586" t="s">
        <v>12612</v>
      </c>
      <c r="B12586" t="str">
        <f>"15177520422"</f>
        <v>15177520422</v>
      </c>
      <c r="C12586" t="str">
        <f>"45082119941023285X"</f>
        <v>45082119941023285X</v>
      </c>
      <c r="D12586" t="s">
        <v>1</v>
      </c>
      <c r="E12586" t="s">
        <v>1</v>
      </c>
      <c r="F12586" t="s">
        <v>0</v>
      </c>
      <c r="G12586" t="str">
        <f>"2018-10-13 14:54:05"</f>
        <v>2018-10-13 14:54:05</v>
      </c>
    </row>
    <row r="12587" spans="1:7" x14ac:dyDescent="0.2">
      <c r="A12587" t="s">
        <v>1</v>
      </c>
      <c r="B12587" t="str">
        <f>"15668692666"</f>
        <v>15668692666</v>
      </c>
      <c r="C12587" t="s">
        <v>1</v>
      </c>
      <c r="D12587" t="s">
        <v>1</v>
      </c>
      <c r="E12587" t="s">
        <v>1</v>
      </c>
      <c r="F12587" t="s">
        <v>0</v>
      </c>
      <c r="G12587" t="str">
        <f>"2018-10-13 14:49:07"</f>
        <v>2018-10-13 14:49:07</v>
      </c>
    </row>
    <row r="12588" spans="1:7" x14ac:dyDescent="0.2">
      <c r="A12588" t="s">
        <v>1</v>
      </c>
      <c r="B12588" t="str">
        <f>"15071193961"</f>
        <v>15071193961</v>
      </c>
      <c r="C12588" t="s">
        <v>1</v>
      </c>
      <c r="D12588" t="s">
        <v>1</v>
      </c>
      <c r="E12588" t="s">
        <v>1</v>
      </c>
      <c r="F12588" t="s">
        <v>0</v>
      </c>
      <c r="G12588" t="str">
        <f>"2018-10-13 14:48:55"</f>
        <v>2018-10-13 14:48:55</v>
      </c>
    </row>
    <row r="12589" spans="1:7" x14ac:dyDescent="0.2">
      <c r="A12589" t="s">
        <v>1</v>
      </c>
      <c r="B12589" t="str">
        <f>"13557901977"</f>
        <v>13557901977</v>
      </c>
      <c r="C12589" t="s">
        <v>1</v>
      </c>
      <c r="D12589" t="s">
        <v>1</v>
      </c>
      <c r="E12589" t="s">
        <v>1</v>
      </c>
      <c r="F12589" t="s">
        <v>0</v>
      </c>
      <c r="G12589" t="str">
        <f>"2018-10-13 14:47:55"</f>
        <v>2018-10-13 14:47:55</v>
      </c>
    </row>
    <row r="12590" spans="1:7" x14ac:dyDescent="0.2">
      <c r="A12590" t="s">
        <v>12613</v>
      </c>
      <c r="B12590" t="str">
        <f>"13946948669"</f>
        <v>13946948669</v>
      </c>
      <c r="C12590" t="str">
        <f>"230223198806151233"</f>
        <v>230223198806151233</v>
      </c>
      <c r="D12590" t="s">
        <v>1</v>
      </c>
      <c r="E12590" t="s">
        <v>1</v>
      </c>
      <c r="F12590" t="s">
        <v>0</v>
      </c>
      <c r="G12590" t="str">
        <f>"2018-10-13 14:51:02"</f>
        <v>2018-10-13 14:51:02</v>
      </c>
    </row>
    <row r="12591" spans="1:7" x14ac:dyDescent="0.2">
      <c r="A12591" t="s">
        <v>12614</v>
      </c>
      <c r="B12591" t="str">
        <f>"18233591722"</f>
        <v>18233591722</v>
      </c>
      <c r="C12591" t="str">
        <f>"130324199112104216"</f>
        <v>130324199112104216</v>
      </c>
      <c r="D12591" t="s">
        <v>1</v>
      </c>
      <c r="E12591" t="s">
        <v>1</v>
      </c>
      <c r="F12591" t="s">
        <v>0</v>
      </c>
      <c r="G12591" t="str">
        <f>"2018-10-13 14:49:20"</f>
        <v>2018-10-13 14:49:20</v>
      </c>
    </row>
    <row r="12592" spans="1:7" x14ac:dyDescent="0.2">
      <c r="A12592" t="s">
        <v>12615</v>
      </c>
      <c r="B12592" t="str">
        <f>"13503924192"</f>
        <v>13503924192</v>
      </c>
      <c r="C12592" t="str">
        <f>"410621198406174068"</f>
        <v>410621198406174068</v>
      </c>
      <c r="D12592" t="s">
        <v>1</v>
      </c>
      <c r="E12592" t="s">
        <v>1</v>
      </c>
      <c r="F12592" t="s">
        <v>0</v>
      </c>
      <c r="G12592" t="str">
        <f>"2018-10-13 14:48:53"</f>
        <v>2018-10-13 14:48:53</v>
      </c>
    </row>
    <row r="12593" spans="1:7" x14ac:dyDescent="0.2">
      <c r="A12593" t="s">
        <v>12616</v>
      </c>
      <c r="B12593" t="str">
        <f>"17316907556"</f>
        <v>17316907556</v>
      </c>
      <c r="C12593" t="str">
        <f>"330106199712033312"</f>
        <v>330106199712033312</v>
      </c>
      <c r="D12593" t="s">
        <v>1</v>
      </c>
      <c r="E12593" t="s">
        <v>1</v>
      </c>
      <c r="F12593" t="s">
        <v>0</v>
      </c>
      <c r="G12593" t="str">
        <f>"2018-10-13 15:04:20"</f>
        <v>2018-10-13 15:04:20</v>
      </c>
    </row>
    <row r="12594" spans="1:7" x14ac:dyDescent="0.2">
      <c r="A12594" t="s">
        <v>1</v>
      </c>
      <c r="B12594" t="str">
        <f>"13807081857"</f>
        <v>13807081857</v>
      </c>
      <c r="C12594" t="s">
        <v>1</v>
      </c>
      <c r="D12594" t="s">
        <v>1</v>
      </c>
      <c r="E12594" t="s">
        <v>1</v>
      </c>
      <c r="F12594" t="s">
        <v>0</v>
      </c>
      <c r="G12594" t="str">
        <f>"2018-10-13 14:46:48"</f>
        <v>2018-10-13 14:46:48</v>
      </c>
    </row>
    <row r="12595" spans="1:7" x14ac:dyDescent="0.2">
      <c r="A12595" t="s">
        <v>12617</v>
      </c>
      <c r="B12595" t="str">
        <f>"15143650796"</f>
        <v>15143650796</v>
      </c>
      <c r="C12595" t="str">
        <f>"220882198506022828"</f>
        <v>220882198506022828</v>
      </c>
      <c r="D12595" t="s">
        <v>1</v>
      </c>
      <c r="E12595" t="s">
        <v>1</v>
      </c>
      <c r="F12595" t="s">
        <v>0</v>
      </c>
      <c r="G12595" t="str">
        <f>"2018-10-13 14:47:50"</f>
        <v>2018-10-13 14:47:50</v>
      </c>
    </row>
    <row r="12596" spans="1:7" x14ac:dyDescent="0.2">
      <c r="A12596" t="s">
        <v>1</v>
      </c>
      <c r="B12596" t="str">
        <f>"17156996427"</f>
        <v>17156996427</v>
      </c>
      <c r="C12596" t="s">
        <v>1</v>
      </c>
      <c r="D12596" t="s">
        <v>1</v>
      </c>
      <c r="E12596" t="s">
        <v>1</v>
      </c>
      <c r="F12596" t="s">
        <v>0</v>
      </c>
      <c r="G12596" t="str">
        <f>"2018-10-13 14:46:10"</f>
        <v>2018-10-13 14:46:10</v>
      </c>
    </row>
    <row r="12597" spans="1:7" x14ac:dyDescent="0.2">
      <c r="A12597" t="s">
        <v>12618</v>
      </c>
      <c r="B12597" t="str">
        <f>"18443616890"</f>
        <v>18443616890</v>
      </c>
      <c r="C12597" t="str">
        <f>"220822198709185428"</f>
        <v>220822198709185428</v>
      </c>
      <c r="D12597" t="s">
        <v>1</v>
      </c>
      <c r="E12597" t="s">
        <v>1</v>
      </c>
      <c r="F12597" t="s">
        <v>0</v>
      </c>
      <c r="G12597" t="str">
        <f>"2018-10-13 14:45:53"</f>
        <v>2018-10-13 14:45:53</v>
      </c>
    </row>
    <row r="12598" spans="1:7" x14ac:dyDescent="0.2">
      <c r="A12598" t="s">
        <v>12619</v>
      </c>
      <c r="B12598" t="str">
        <f>"18071675211"</f>
        <v>18071675211</v>
      </c>
      <c r="C12598" t="str">
        <f>"321324199408092417"</f>
        <v>321324199408092417</v>
      </c>
      <c r="D12598" t="s">
        <v>1</v>
      </c>
      <c r="E12598" t="s">
        <v>1</v>
      </c>
      <c r="F12598" t="s">
        <v>0</v>
      </c>
      <c r="G12598" t="str">
        <f>"2018-10-13 14:50:34"</f>
        <v>2018-10-13 14:50:34</v>
      </c>
    </row>
    <row r="12599" spans="1:7" x14ac:dyDescent="0.2">
      <c r="A12599" t="s">
        <v>12620</v>
      </c>
      <c r="B12599" t="str">
        <f>"15838061372"</f>
        <v>15838061372</v>
      </c>
      <c r="C12599" t="str">
        <f>"410182198406081449"</f>
        <v>410182198406081449</v>
      </c>
      <c r="D12599" t="s">
        <v>1</v>
      </c>
      <c r="E12599" t="s">
        <v>1</v>
      </c>
      <c r="F12599" t="s">
        <v>0</v>
      </c>
      <c r="G12599" t="str">
        <f>"2018-10-13 14:46:58"</f>
        <v>2018-10-13 14:46:58</v>
      </c>
    </row>
    <row r="12600" spans="1:7" x14ac:dyDescent="0.2">
      <c r="A12600" t="s">
        <v>12621</v>
      </c>
      <c r="B12600" t="str">
        <f>"13365017794"</f>
        <v>13365017794</v>
      </c>
      <c r="C12600" t="str">
        <f>"350627199711112011"</f>
        <v>350627199711112011</v>
      </c>
      <c r="D12600" t="s">
        <v>1</v>
      </c>
      <c r="E12600" t="s">
        <v>1</v>
      </c>
      <c r="F12600" t="s">
        <v>0</v>
      </c>
      <c r="G12600" t="str">
        <f>"2018-10-13 14:51:15"</f>
        <v>2018-10-13 14:51:15</v>
      </c>
    </row>
    <row r="12601" spans="1:7" x14ac:dyDescent="0.2">
      <c r="A12601" t="s">
        <v>1</v>
      </c>
      <c r="B12601" t="str">
        <f>"15825517753"</f>
        <v>15825517753</v>
      </c>
      <c r="C12601" t="s">
        <v>1</v>
      </c>
      <c r="D12601" t="s">
        <v>1</v>
      </c>
      <c r="E12601" t="s">
        <v>1</v>
      </c>
      <c r="F12601" t="s">
        <v>0</v>
      </c>
      <c r="G12601" t="str">
        <f>"2018-10-13 14:44:13"</f>
        <v>2018-10-13 14:44:13</v>
      </c>
    </row>
    <row r="12602" spans="1:7" x14ac:dyDescent="0.2">
      <c r="A12602" t="s">
        <v>1</v>
      </c>
      <c r="B12602" t="str">
        <f>"18251631618"</f>
        <v>18251631618</v>
      </c>
      <c r="C12602" t="s">
        <v>1</v>
      </c>
      <c r="D12602" t="s">
        <v>1</v>
      </c>
      <c r="E12602" t="s">
        <v>1</v>
      </c>
      <c r="F12602" t="s">
        <v>0</v>
      </c>
      <c r="G12602" t="str">
        <f>"2018-10-13 14:43:59"</f>
        <v>2018-10-13 14:43:59</v>
      </c>
    </row>
    <row r="12603" spans="1:7" x14ac:dyDescent="0.2">
      <c r="A12603" t="s">
        <v>12622</v>
      </c>
      <c r="B12603" t="str">
        <f>"15295152889"</f>
        <v>15295152889</v>
      </c>
      <c r="C12603" t="str">
        <f>"321321199503104819"</f>
        <v>321321199503104819</v>
      </c>
      <c r="D12603" t="s">
        <v>1</v>
      </c>
      <c r="E12603" t="s">
        <v>1</v>
      </c>
      <c r="F12603" t="s">
        <v>0</v>
      </c>
      <c r="G12603" t="str">
        <f>"2018-10-13 14:45:08"</f>
        <v>2018-10-13 14:45:08</v>
      </c>
    </row>
    <row r="12604" spans="1:7" x14ac:dyDescent="0.2">
      <c r="A12604" t="s">
        <v>1</v>
      </c>
      <c r="B12604" t="str">
        <f>"17081480514"</f>
        <v>17081480514</v>
      </c>
      <c r="C12604" t="s">
        <v>1</v>
      </c>
      <c r="D12604" t="s">
        <v>1</v>
      </c>
      <c r="E12604" t="s">
        <v>1</v>
      </c>
      <c r="F12604" t="s">
        <v>0</v>
      </c>
      <c r="G12604" t="str">
        <f>"2018-10-13 14:43:49"</f>
        <v>2018-10-13 14:43:49</v>
      </c>
    </row>
    <row r="12605" spans="1:7" x14ac:dyDescent="0.2">
      <c r="A12605" t="s">
        <v>1</v>
      </c>
      <c r="B12605" t="str">
        <f>"18567369992"</f>
        <v>18567369992</v>
      </c>
      <c r="C12605" t="s">
        <v>1</v>
      </c>
      <c r="D12605" t="s">
        <v>1</v>
      </c>
      <c r="E12605" t="s">
        <v>1</v>
      </c>
      <c r="F12605" t="s">
        <v>0</v>
      </c>
      <c r="G12605" t="str">
        <f>"2018-10-13 14:43:34"</f>
        <v>2018-10-13 14:43:34</v>
      </c>
    </row>
    <row r="12606" spans="1:7" x14ac:dyDescent="0.2">
      <c r="A12606" t="s">
        <v>12623</v>
      </c>
      <c r="B12606" t="str">
        <f>"18678158543"</f>
        <v>18678158543</v>
      </c>
      <c r="C12606" t="str">
        <f>"37032119960314121X"</f>
        <v>37032119960314121X</v>
      </c>
      <c r="D12606" t="s">
        <v>1</v>
      </c>
      <c r="E12606" t="s">
        <v>1</v>
      </c>
      <c r="F12606" t="s">
        <v>0</v>
      </c>
      <c r="G12606" t="str">
        <f>"2018-10-13 14:51:45"</f>
        <v>2018-10-13 14:51:45</v>
      </c>
    </row>
    <row r="12607" spans="1:7" x14ac:dyDescent="0.2">
      <c r="A12607" t="s">
        <v>12624</v>
      </c>
      <c r="B12607" t="str">
        <f>"17605899709"</f>
        <v>17605899709</v>
      </c>
      <c r="C12607" t="str">
        <f>"420325199709291515"</f>
        <v>420325199709291515</v>
      </c>
      <c r="D12607" t="s">
        <v>1</v>
      </c>
      <c r="E12607" t="s">
        <v>1</v>
      </c>
      <c r="F12607" t="s">
        <v>0</v>
      </c>
      <c r="G12607" t="str">
        <f>"2018-10-13 14:50:33"</f>
        <v>2018-10-13 14:50:33</v>
      </c>
    </row>
    <row r="12608" spans="1:7" x14ac:dyDescent="0.2">
      <c r="A12608" t="s">
        <v>12625</v>
      </c>
      <c r="B12608" t="str">
        <f>"18118683087"</f>
        <v>18118683087</v>
      </c>
      <c r="C12608" t="str">
        <f>"320902199110110014"</f>
        <v>320902199110110014</v>
      </c>
      <c r="D12608" t="s">
        <v>1</v>
      </c>
      <c r="E12608" t="s">
        <v>1</v>
      </c>
      <c r="F12608" t="s">
        <v>0</v>
      </c>
      <c r="G12608" t="str">
        <f>"2018-10-13 15:01:24"</f>
        <v>2018-10-13 15:01:24</v>
      </c>
    </row>
    <row r="12609" spans="1:7" x14ac:dyDescent="0.2">
      <c r="A12609" t="s">
        <v>1</v>
      </c>
      <c r="B12609" t="str">
        <f>"13675007736"</f>
        <v>13675007736</v>
      </c>
      <c r="C12609" t="s">
        <v>1</v>
      </c>
      <c r="D12609" t="s">
        <v>1</v>
      </c>
      <c r="E12609" t="s">
        <v>1</v>
      </c>
      <c r="F12609" t="s">
        <v>0</v>
      </c>
      <c r="G12609" t="str">
        <f>"2018-10-13 14:44:06"</f>
        <v>2018-10-13 14:44:06</v>
      </c>
    </row>
    <row r="12610" spans="1:7" x14ac:dyDescent="0.2">
      <c r="A12610" t="s">
        <v>12626</v>
      </c>
      <c r="B12610" t="str">
        <f>"15943657708"</f>
        <v>15943657708</v>
      </c>
      <c r="C12610" t="str">
        <f>"222325196702030225"</f>
        <v>222325196702030225</v>
      </c>
      <c r="D12610" t="s">
        <v>1</v>
      </c>
      <c r="E12610" t="s">
        <v>1</v>
      </c>
      <c r="F12610" t="s">
        <v>0</v>
      </c>
      <c r="G12610" t="str">
        <f>"2018-10-13 14:44:33"</f>
        <v>2018-10-13 14:44:33</v>
      </c>
    </row>
    <row r="12611" spans="1:7" x14ac:dyDescent="0.2">
      <c r="A12611" t="s">
        <v>12627</v>
      </c>
      <c r="B12611" t="str">
        <f>"13688704561"</f>
        <v>13688704561</v>
      </c>
      <c r="C12611" t="str">
        <f>"530428199303100010"</f>
        <v>530428199303100010</v>
      </c>
      <c r="D12611" t="s">
        <v>1</v>
      </c>
      <c r="E12611" t="s">
        <v>1</v>
      </c>
      <c r="F12611" t="s">
        <v>0</v>
      </c>
      <c r="G12611" t="str">
        <f>"2018-10-14 09:01:55"</f>
        <v>2018-10-14 09:01:55</v>
      </c>
    </row>
    <row r="12612" spans="1:7" x14ac:dyDescent="0.2">
      <c r="A12612" t="s">
        <v>12628</v>
      </c>
      <c r="B12612" t="str">
        <f>"13147685789"</f>
        <v>13147685789</v>
      </c>
      <c r="C12612" t="str">
        <f>"220723198606211014"</f>
        <v>220723198606211014</v>
      </c>
      <c r="D12612" t="s">
        <v>1</v>
      </c>
      <c r="E12612" t="s">
        <v>1</v>
      </c>
      <c r="F12612" t="s">
        <v>0</v>
      </c>
      <c r="G12612" t="str">
        <f>"2018-10-13 14:43:48"</f>
        <v>2018-10-13 14:43:48</v>
      </c>
    </row>
    <row r="12613" spans="1:7" x14ac:dyDescent="0.2">
      <c r="A12613" t="s">
        <v>1305</v>
      </c>
      <c r="B12613" t="str">
        <f>"18749540344"</f>
        <v>18749540344</v>
      </c>
      <c r="C12613" t="str">
        <f>"41142119960210327X"</f>
        <v>41142119960210327X</v>
      </c>
      <c r="D12613" t="s">
        <v>1</v>
      </c>
      <c r="E12613" t="s">
        <v>1</v>
      </c>
      <c r="F12613" t="s">
        <v>0</v>
      </c>
      <c r="G12613" t="str">
        <f>"2018-10-13 14:41:23"</f>
        <v>2018-10-13 14:41:23</v>
      </c>
    </row>
    <row r="12614" spans="1:7" x14ac:dyDescent="0.2">
      <c r="A12614" t="s">
        <v>1</v>
      </c>
      <c r="B12614" t="str">
        <f>"13172338988"</f>
        <v>13172338988</v>
      </c>
      <c r="C12614" t="s">
        <v>1</v>
      </c>
      <c r="D12614" t="s">
        <v>1</v>
      </c>
      <c r="E12614" t="s">
        <v>1</v>
      </c>
      <c r="F12614" t="s">
        <v>0</v>
      </c>
      <c r="G12614" t="str">
        <f>"2018-10-13 14:41:05"</f>
        <v>2018-10-13 14:41:05</v>
      </c>
    </row>
    <row r="12615" spans="1:7" x14ac:dyDescent="0.2">
      <c r="A12615" t="s">
        <v>12629</v>
      </c>
      <c r="B12615" t="str">
        <f>"13984048493"</f>
        <v>13984048493</v>
      </c>
      <c r="C12615" t="str">
        <f>"522423198210156713"</f>
        <v>522423198210156713</v>
      </c>
      <c r="D12615" t="s">
        <v>12630</v>
      </c>
      <c r="E12615" t="s">
        <v>12631</v>
      </c>
      <c r="F12615" t="s">
        <v>0</v>
      </c>
      <c r="G12615" t="str">
        <f>"2018-10-15 17:24:03"</f>
        <v>2018-10-15 17:24:03</v>
      </c>
    </row>
    <row r="12616" spans="1:7" x14ac:dyDescent="0.2">
      <c r="A12616" t="s">
        <v>1</v>
      </c>
      <c r="B12616" t="str">
        <f>"13218897552"</f>
        <v>13218897552</v>
      </c>
      <c r="C12616" t="s">
        <v>1</v>
      </c>
      <c r="D12616" t="s">
        <v>1</v>
      </c>
      <c r="E12616" t="s">
        <v>1</v>
      </c>
      <c r="F12616" t="s">
        <v>0</v>
      </c>
      <c r="G12616" t="str">
        <f>"2018-10-13 14:40:04"</f>
        <v>2018-10-13 14:40:04</v>
      </c>
    </row>
    <row r="12617" spans="1:7" x14ac:dyDescent="0.2">
      <c r="A12617" t="s">
        <v>12632</v>
      </c>
      <c r="B12617" t="str">
        <f>"15127117327"</f>
        <v>15127117327</v>
      </c>
      <c r="C12617" t="str">
        <f>"131182199205270612"</f>
        <v>131182199205270612</v>
      </c>
      <c r="D12617" t="s">
        <v>1</v>
      </c>
      <c r="E12617" t="s">
        <v>1</v>
      </c>
      <c r="F12617" t="s">
        <v>0</v>
      </c>
      <c r="G12617" t="str">
        <f>"2018-10-13 15:01:57"</f>
        <v>2018-10-13 15:01:57</v>
      </c>
    </row>
    <row r="12618" spans="1:7" x14ac:dyDescent="0.2">
      <c r="A12618" t="s">
        <v>1</v>
      </c>
      <c r="B12618" t="str">
        <f>"15610992255"</f>
        <v>15610992255</v>
      </c>
      <c r="C12618" t="s">
        <v>1</v>
      </c>
      <c r="D12618" t="s">
        <v>1</v>
      </c>
      <c r="E12618" t="s">
        <v>1</v>
      </c>
      <c r="F12618" t="s">
        <v>0</v>
      </c>
      <c r="G12618" t="str">
        <f>"2018-10-13 14:39:35"</f>
        <v>2018-10-13 14:39:35</v>
      </c>
    </row>
    <row r="12619" spans="1:7" x14ac:dyDescent="0.2">
      <c r="A12619" t="s">
        <v>12633</v>
      </c>
      <c r="B12619" t="str">
        <f>"13978821321"</f>
        <v>13978821321</v>
      </c>
      <c r="C12619" t="str">
        <f>"450104197908292020"</f>
        <v>450104197908292020</v>
      </c>
      <c r="D12619" t="s">
        <v>1</v>
      </c>
      <c r="E12619" t="s">
        <v>1</v>
      </c>
      <c r="F12619" t="s">
        <v>0</v>
      </c>
      <c r="G12619" t="str">
        <f>"2018-10-13 15:01:33"</f>
        <v>2018-10-13 15:01:33</v>
      </c>
    </row>
    <row r="12620" spans="1:7" x14ac:dyDescent="0.2">
      <c r="A12620" t="s">
        <v>12634</v>
      </c>
      <c r="B12620" t="str">
        <f>"13640426936"</f>
        <v>13640426936</v>
      </c>
      <c r="C12620" t="str">
        <f>"532627199602062786"</f>
        <v>532627199602062786</v>
      </c>
      <c r="D12620" t="s">
        <v>1</v>
      </c>
      <c r="E12620" t="s">
        <v>1</v>
      </c>
      <c r="F12620" t="s">
        <v>0</v>
      </c>
      <c r="G12620" t="str">
        <f>"2018-10-13 14:40:41"</f>
        <v>2018-10-13 14:40:41</v>
      </c>
    </row>
    <row r="12621" spans="1:7" x14ac:dyDescent="0.2">
      <c r="A12621" t="s">
        <v>1</v>
      </c>
      <c r="B12621" t="str">
        <f>"13978618321"</f>
        <v>13978618321</v>
      </c>
      <c r="C12621" t="s">
        <v>1</v>
      </c>
      <c r="D12621" t="s">
        <v>1</v>
      </c>
      <c r="E12621" t="s">
        <v>1</v>
      </c>
      <c r="F12621" t="s">
        <v>0</v>
      </c>
      <c r="G12621" t="str">
        <f>"2018-10-13 14:38:27"</f>
        <v>2018-10-13 14:38:27</v>
      </c>
    </row>
    <row r="12622" spans="1:7" x14ac:dyDescent="0.2">
      <c r="A12622" t="s">
        <v>12635</v>
      </c>
      <c r="B12622" t="str">
        <f>"18002485414"</f>
        <v>18002485414</v>
      </c>
      <c r="C12622" t="str">
        <f>"210106198810112119"</f>
        <v>210106198810112119</v>
      </c>
      <c r="D12622" t="s">
        <v>1</v>
      </c>
      <c r="E12622" t="s">
        <v>1</v>
      </c>
      <c r="F12622" t="s">
        <v>0</v>
      </c>
      <c r="G12622" t="str">
        <f>"2018-10-28 20:37:28"</f>
        <v>2018-10-28 20:37:28</v>
      </c>
    </row>
    <row r="12623" spans="1:7" x14ac:dyDescent="0.2">
      <c r="A12623" t="s">
        <v>1132</v>
      </c>
      <c r="B12623" t="str">
        <f>"15880821617"</f>
        <v>15880821617</v>
      </c>
      <c r="C12623" t="str">
        <f>"350521198507126012"</f>
        <v>350521198507126012</v>
      </c>
      <c r="D12623" t="s">
        <v>1</v>
      </c>
      <c r="E12623" t="s">
        <v>1</v>
      </c>
      <c r="F12623" t="s">
        <v>0</v>
      </c>
      <c r="G12623" t="str">
        <f>"2018-10-13 14:38:44"</f>
        <v>2018-10-13 14:38:44</v>
      </c>
    </row>
    <row r="12624" spans="1:7" x14ac:dyDescent="0.2">
      <c r="A12624" t="s">
        <v>1</v>
      </c>
      <c r="B12624" t="str">
        <f>"18674031612"</f>
        <v>18674031612</v>
      </c>
      <c r="C12624" t="s">
        <v>1</v>
      </c>
      <c r="D12624" t="s">
        <v>1</v>
      </c>
      <c r="E12624" t="s">
        <v>1</v>
      </c>
      <c r="F12624" t="s">
        <v>0</v>
      </c>
      <c r="G12624" t="str">
        <f>"2018-10-13 14:40:03"</f>
        <v>2018-10-13 14:40:03</v>
      </c>
    </row>
    <row r="12625" spans="1:7" x14ac:dyDescent="0.2">
      <c r="A12625" t="s">
        <v>12636</v>
      </c>
      <c r="B12625" t="str">
        <f>"13889296569"</f>
        <v>13889296569</v>
      </c>
      <c r="C12625" t="str">
        <f>"210124198808011039"</f>
        <v>210124198808011039</v>
      </c>
      <c r="D12625" t="s">
        <v>12637</v>
      </c>
      <c r="E12625" t="s">
        <v>12638</v>
      </c>
      <c r="F12625" t="s">
        <v>0</v>
      </c>
      <c r="G12625" t="str">
        <f>"2018-10-14 15:45:35"</f>
        <v>2018-10-14 15:45:35</v>
      </c>
    </row>
    <row r="12626" spans="1:7" x14ac:dyDescent="0.2">
      <c r="A12626" t="s">
        <v>12639</v>
      </c>
      <c r="B12626" t="str">
        <f>"15954384415"</f>
        <v>15954384415</v>
      </c>
      <c r="C12626" t="str">
        <f>"371122199811131231"</f>
        <v>371122199811131231</v>
      </c>
      <c r="D12626" t="s">
        <v>12640</v>
      </c>
      <c r="E12626" t="s">
        <v>12641</v>
      </c>
      <c r="F12626" t="s">
        <v>0</v>
      </c>
      <c r="G12626" t="str">
        <f>"2018-10-13 14:40:01"</f>
        <v>2018-10-13 14:40:01</v>
      </c>
    </row>
    <row r="12627" spans="1:7" x14ac:dyDescent="0.2">
      <c r="A12627" t="s">
        <v>12642</v>
      </c>
      <c r="B12627" t="str">
        <f>"17709540134"</f>
        <v>17709540134</v>
      </c>
      <c r="C12627" t="str">
        <f>"642221199706170015"</f>
        <v>642221199706170015</v>
      </c>
      <c r="D12627" t="s">
        <v>1</v>
      </c>
      <c r="E12627" t="s">
        <v>1</v>
      </c>
      <c r="F12627" t="s">
        <v>0</v>
      </c>
      <c r="G12627" t="str">
        <f>"2018-10-13 14:38:52"</f>
        <v>2018-10-13 14:38:52</v>
      </c>
    </row>
    <row r="12628" spans="1:7" x14ac:dyDescent="0.2">
      <c r="A12628" t="s">
        <v>12643</v>
      </c>
      <c r="B12628" t="str">
        <f>"15750994732"</f>
        <v>15750994732</v>
      </c>
      <c r="C12628" t="str">
        <f>"35082119910417183X"</f>
        <v>35082119910417183X</v>
      </c>
      <c r="D12628" t="s">
        <v>1</v>
      </c>
      <c r="E12628" t="s">
        <v>1</v>
      </c>
      <c r="F12628" t="s">
        <v>0</v>
      </c>
      <c r="G12628" t="str">
        <f>"2018-10-13 14:36:50"</f>
        <v>2018-10-13 14:36:50</v>
      </c>
    </row>
    <row r="12629" spans="1:7" x14ac:dyDescent="0.2">
      <c r="A12629" t="s">
        <v>12644</v>
      </c>
      <c r="B12629" t="str">
        <f>"13215779963"</f>
        <v>13215779963</v>
      </c>
      <c r="C12629" t="str">
        <f>"460006198905032315"</f>
        <v>460006198905032315</v>
      </c>
      <c r="D12629" t="s">
        <v>1</v>
      </c>
      <c r="E12629" t="s">
        <v>1</v>
      </c>
      <c r="F12629" t="s">
        <v>0</v>
      </c>
      <c r="G12629" t="str">
        <f>"2018-10-13 14:42:52"</f>
        <v>2018-10-13 14:42:52</v>
      </c>
    </row>
    <row r="12630" spans="1:7" x14ac:dyDescent="0.2">
      <c r="A12630" t="s">
        <v>12645</v>
      </c>
      <c r="B12630" t="str">
        <f>"18485361508"</f>
        <v>18485361508</v>
      </c>
      <c r="C12630" t="str">
        <f>"522725197604271217"</f>
        <v>522725197604271217</v>
      </c>
      <c r="D12630" t="s">
        <v>1</v>
      </c>
      <c r="E12630" t="s">
        <v>1</v>
      </c>
      <c r="F12630" t="s">
        <v>0</v>
      </c>
      <c r="G12630" t="str">
        <f>"2018-10-13 14:41:56"</f>
        <v>2018-10-13 14:41:56</v>
      </c>
    </row>
    <row r="12631" spans="1:7" x14ac:dyDescent="0.2">
      <c r="A12631" t="s">
        <v>12646</v>
      </c>
      <c r="B12631" t="str">
        <f>"13761374781"</f>
        <v>13761374781</v>
      </c>
      <c r="C12631" t="str">
        <f>"433126198305046535"</f>
        <v>433126198305046535</v>
      </c>
      <c r="D12631" t="s">
        <v>1</v>
      </c>
      <c r="E12631" t="s">
        <v>1</v>
      </c>
      <c r="F12631" t="s">
        <v>0</v>
      </c>
      <c r="G12631" t="str">
        <f>"2018-10-13 14:42:40"</f>
        <v>2018-10-13 14:42:40</v>
      </c>
    </row>
    <row r="12632" spans="1:7" x14ac:dyDescent="0.2">
      <c r="A12632" t="s">
        <v>12647</v>
      </c>
      <c r="B12632" t="str">
        <f>"18476677993"</f>
        <v>18476677993</v>
      </c>
      <c r="C12632" t="str">
        <f>"44088119961018771X"</f>
        <v>44088119961018771X</v>
      </c>
      <c r="D12632" t="s">
        <v>1</v>
      </c>
      <c r="E12632" t="s">
        <v>1</v>
      </c>
      <c r="F12632" t="s">
        <v>0</v>
      </c>
      <c r="G12632" t="str">
        <f>"2018-10-13 14:36:57"</f>
        <v>2018-10-13 14:36:57</v>
      </c>
    </row>
    <row r="12633" spans="1:7" x14ac:dyDescent="0.2">
      <c r="A12633" t="s">
        <v>12648</v>
      </c>
      <c r="B12633" t="str">
        <f>"18602865969"</f>
        <v>18602865969</v>
      </c>
      <c r="C12633" t="str">
        <f>"513621198001123891"</f>
        <v>513621198001123891</v>
      </c>
      <c r="D12633" t="s">
        <v>1</v>
      </c>
      <c r="E12633" t="s">
        <v>1</v>
      </c>
      <c r="F12633" t="s">
        <v>0</v>
      </c>
      <c r="G12633" t="str">
        <f>"2018-10-13 14:43:56"</f>
        <v>2018-10-13 14:43:56</v>
      </c>
    </row>
    <row r="12634" spans="1:7" x14ac:dyDescent="0.2">
      <c r="A12634" t="s">
        <v>1</v>
      </c>
      <c r="B12634" t="str">
        <f>"15381586218"</f>
        <v>15381586218</v>
      </c>
      <c r="C12634" t="s">
        <v>1</v>
      </c>
      <c r="D12634" t="s">
        <v>1</v>
      </c>
      <c r="E12634" t="s">
        <v>1</v>
      </c>
      <c r="F12634" t="s">
        <v>0</v>
      </c>
      <c r="G12634" t="str">
        <f>"2018-10-13 14:35:23"</f>
        <v>2018-10-13 14:35:23</v>
      </c>
    </row>
    <row r="12635" spans="1:7" x14ac:dyDescent="0.2">
      <c r="A12635" t="s">
        <v>12649</v>
      </c>
      <c r="B12635" t="str">
        <f>"18378096346"</f>
        <v>18378096346</v>
      </c>
      <c r="C12635" t="str">
        <f>"431103199203012711"</f>
        <v>431103199203012711</v>
      </c>
      <c r="D12635" t="s">
        <v>1</v>
      </c>
      <c r="E12635" t="s">
        <v>1</v>
      </c>
      <c r="F12635" t="s">
        <v>0</v>
      </c>
      <c r="G12635" t="str">
        <f>"2018-10-13 14:36:09"</f>
        <v>2018-10-13 14:36:09</v>
      </c>
    </row>
    <row r="12636" spans="1:7" x14ac:dyDescent="0.2">
      <c r="A12636" t="s">
        <v>1</v>
      </c>
      <c r="B12636" t="str">
        <f>"17156996429"</f>
        <v>17156996429</v>
      </c>
      <c r="C12636" t="s">
        <v>1</v>
      </c>
      <c r="D12636" t="s">
        <v>1</v>
      </c>
      <c r="E12636" t="s">
        <v>1</v>
      </c>
      <c r="F12636" t="s">
        <v>0</v>
      </c>
      <c r="G12636" t="str">
        <f>"2018-10-13 14:34:52"</f>
        <v>2018-10-13 14:34:52</v>
      </c>
    </row>
    <row r="12637" spans="1:7" x14ac:dyDescent="0.2">
      <c r="A12637" t="s">
        <v>1</v>
      </c>
      <c r="B12637" t="str">
        <f>"13700246668"</f>
        <v>13700246668</v>
      </c>
      <c r="C12637" t="s">
        <v>1</v>
      </c>
      <c r="D12637" t="s">
        <v>1</v>
      </c>
      <c r="E12637" t="s">
        <v>1</v>
      </c>
      <c r="F12637" t="s">
        <v>0</v>
      </c>
      <c r="G12637" t="str">
        <f>"2018-10-13 14:33:58"</f>
        <v>2018-10-13 14:33:58</v>
      </c>
    </row>
    <row r="12638" spans="1:7" x14ac:dyDescent="0.2">
      <c r="A12638" t="s">
        <v>12650</v>
      </c>
      <c r="B12638" t="str">
        <f>"17797538549"</f>
        <v>17797538549</v>
      </c>
      <c r="C12638" t="str">
        <f>"51022919720731859X"</f>
        <v>51022919720731859X</v>
      </c>
      <c r="D12638" t="s">
        <v>12651</v>
      </c>
      <c r="E12638" t="s">
        <v>12652</v>
      </c>
      <c r="F12638" t="s">
        <v>0</v>
      </c>
      <c r="G12638" t="str">
        <f>"2018-10-14 15:57:33"</f>
        <v>2018-10-14 15:57:33</v>
      </c>
    </row>
    <row r="12639" spans="1:7" x14ac:dyDescent="0.2">
      <c r="A12639" t="s">
        <v>1628</v>
      </c>
      <c r="B12639" t="str">
        <f>"15152630332"</f>
        <v>15152630332</v>
      </c>
      <c r="C12639" t="str">
        <f>"320283199707173210"</f>
        <v>320283199707173210</v>
      </c>
      <c r="D12639" t="s">
        <v>1</v>
      </c>
      <c r="E12639" t="s">
        <v>1</v>
      </c>
      <c r="F12639" t="s">
        <v>0</v>
      </c>
      <c r="G12639" t="str">
        <f>"2018-10-13 14:39:08"</f>
        <v>2018-10-13 14:39:08</v>
      </c>
    </row>
    <row r="12640" spans="1:7" x14ac:dyDescent="0.2">
      <c r="A12640" t="s">
        <v>1</v>
      </c>
      <c r="B12640" t="str">
        <f>"15577184480"</f>
        <v>15577184480</v>
      </c>
      <c r="C12640" t="s">
        <v>1</v>
      </c>
      <c r="D12640" t="s">
        <v>1</v>
      </c>
      <c r="E12640" t="s">
        <v>1</v>
      </c>
      <c r="F12640" t="s">
        <v>0</v>
      </c>
      <c r="G12640" t="str">
        <f>"2018-10-13 14:32:28"</f>
        <v>2018-10-13 14:32:28</v>
      </c>
    </row>
    <row r="12641" spans="1:7" x14ac:dyDescent="0.2">
      <c r="A12641" t="s">
        <v>12653</v>
      </c>
      <c r="B12641" t="str">
        <f>"13332227256"</f>
        <v>13332227256</v>
      </c>
      <c r="C12641" t="str">
        <f>"210213199007013633"</f>
        <v>210213199007013633</v>
      </c>
      <c r="D12641" t="s">
        <v>12654</v>
      </c>
      <c r="E12641" t="s">
        <v>12655</v>
      </c>
      <c r="F12641" t="s">
        <v>0</v>
      </c>
      <c r="G12641" t="str">
        <f>"2018-10-13 14:33:18"</f>
        <v>2018-10-13 14:33:18</v>
      </c>
    </row>
    <row r="12642" spans="1:7" x14ac:dyDescent="0.2">
      <c r="A12642" t="s">
        <v>1</v>
      </c>
      <c r="B12642" t="str">
        <f>"13834137900"</f>
        <v>13834137900</v>
      </c>
      <c r="C12642" t="s">
        <v>1</v>
      </c>
      <c r="D12642" t="s">
        <v>1</v>
      </c>
      <c r="E12642" t="s">
        <v>1</v>
      </c>
      <c r="F12642" t="s">
        <v>0</v>
      </c>
      <c r="G12642" t="str">
        <f>"2018-10-24 17:25:17"</f>
        <v>2018-10-24 17:25:17</v>
      </c>
    </row>
    <row r="12643" spans="1:7" x14ac:dyDescent="0.2">
      <c r="A12643" t="s">
        <v>1</v>
      </c>
      <c r="B12643" t="str">
        <f>"13845667307"</f>
        <v>13845667307</v>
      </c>
      <c r="C12643" t="s">
        <v>1</v>
      </c>
      <c r="D12643" t="s">
        <v>1</v>
      </c>
      <c r="E12643" t="s">
        <v>1</v>
      </c>
      <c r="F12643" t="s">
        <v>0</v>
      </c>
      <c r="G12643" t="str">
        <f>"2018-10-13 14:31:33"</f>
        <v>2018-10-13 14:31:33</v>
      </c>
    </row>
    <row r="12644" spans="1:7" x14ac:dyDescent="0.2">
      <c r="A12644" t="s">
        <v>1</v>
      </c>
      <c r="B12644" t="str">
        <f>"15577837429"</f>
        <v>15577837429</v>
      </c>
      <c r="C12644" t="s">
        <v>1</v>
      </c>
      <c r="D12644" t="s">
        <v>1</v>
      </c>
      <c r="E12644" t="s">
        <v>1</v>
      </c>
      <c r="F12644" t="s">
        <v>0</v>
      </c>
      <c r="G12644" t="str">
        <f>"2018-10-13 14:31:15"</f>
        <v>2018-10-13 14:31:15</v>
      </c>
    </row>
    <row r="12645" spans="1:7" x14ac:dyDescent="0.2">
      <c r="A12645" t="s">
        <v>12656</v>
      </c>
      <c r="B12645" t="str">
        <f>"18502328090"</f>
        <v>18502328090</v>
      </c>
      <c r="C12645" t="str">
        <f>"430522198805166393"</f>
        <v>430522198805166393</v>
      </c>
      <c r="D12645" t="s">
        <v>12657</v>
      </c>
      <c r="E12645" t="s">
        <v>12658</v>
      </c>
      <c r="F12645" t="s">
        <v>0</v>
      </c>
      <c r="G12645" t="str">
        <f>"2018-10-26 10:37:59"</f>
        <v>2018-10-26 10:37:59</v>
      </c>
    </row>
    <row r="12646" spans="1:7" x14ac:dyDescent="0.2">
      <c r="A12646" t="s">
        <v>4519</v>
      </c>
      <c r="B12646" t="str">
        <f>"18777813688"</f>
        <v>18777813688</v>
      </c>
      <c r="C12646" t="str">
        <f>"452728198810020019"</f>
        <v>452728198810020019</v>
      </c>
      <c r="D12646" t="s">
        <v>12659</v>
      </c>
      <c r="E12646" t="s">
        <v>12660</v>
      </c>
      <c r="F12646" t="s">
        <v>0</v>
      </c>
      <c r="G12646" t="str">
        <f>"2018-10-13 14:32:18"</f>
        <v>2018-10-13 14:32:18</v>
      </c>
    </row>
    <row r="12647" spans="1:7" x14ac:dyDescent="0.2">
      <c r="A12647" t="s">
        <v>1</v>
      </c>
      <c r="B12647" t="str">
        <f>"13977844553"</f>
        <v>13977844553</v>
      </c>
      <c r="C12647" t="s">
        <v>1</v>
      </c>
      <c r="D12647" t="s">
        <v>1</v>
      </c>
      <c r="E12647" t="s">
        <v>1</v>
      </c>
      <c r="F12647" t="s">
        <v>0</v>
      </c>
      <c r="G12647" t="str">
        <f>"2018-10-13 14:30:43"</f>
        <v>2018-10-13 14:30:43</v>
      </c>
    </row>
    <row r="12648" spans="1:7" x14ac:dyDescent="0.2">
      <c r="A12648" t="s">
        <v>1</v>
      </c>
      <c r="B12648" t="str">
        <f>"18482352844"</f>
        <v>18482352844</v>
      </c>
      <c r="C12648" t="s">
        <v>1</v>
      </c>
      <c r="D12648" t="s">
        <v>1</v>
      </c>
      <c r="E12648" t="s">
        <v>1</v>
      </c>
      <c r="F12648" t="s">
        <v>0</v>
      </c>
      <c r="G12648" t="str">
        <f>"2018-10-13 14:32:27"</f>
        <v>2018-10-13 14:32:27</v>
      </c>
    </row>
    <row r="12649" spans="1:7" x14ac:dyDescent="0.2">
      <c r="A12649" t="s">
        <v>1</v>
      </c>
      <c r="B12649" t="str">
        <f>"13640382515"</f>
        <v>13640382515</v>
      </c>
      <c r="C12649" t="s">
        <v>1</v>
      </c>
      <c r="D12649" t="s">
        <v>1</v>
      </c>
      <c r="E12649" t="s">
        <v>1</v>
      </c>
      <c r="F12649" t="s">
        <v>0</v>
      </c>
      <c r="G12649" t="str">
        <f>"2018-10-13 14:30:13"</f>
        <v>2018-10-13 14:30:13</v>
      </c>
    </row>
    <row r="12650" spans="1:7" x14ac:dyDescent="0.2">
      <c r="A12650" t="s">
        <v>700</v>
      </c>
      <c r="B12650" t="str">
        <f>"18706672369"</f>
        <v>18706672369</v>
      </c>
      <c r="C12650" t="str">
        <f>"370724198806121493"</f>
        <v>370724198806121493</v>
      </c>
      <c r="D12650" t="s">
        <v>1</v>
      </c>
      <c r="E12650" t="s">
        <v>1</v>
      </c>
      <c r="F12650" t="s">
        <v>0</v>
      </c>
      <c r="G12650" t="str">
        <f>"2018-10-13 14:32:33"</f>
        <v>2018-10-13 14:32:33</v>
      </c>
    </row>
    <row r="12651" spans="1:7" x14ac:dyDescent="0.2">
      <c r="A12651" t="s">
        <v>12661</v>
      </c>
      <c r="B12651" t="str">
        <f>"13583275022"</f>
        <v>13583275022</v>
      </c>
      <c r="C12651" t="str">
        <f>"370203198906286317"</f>
        <v>370203198906286317</v>
      </c>
      <c r="D12651" t="s">
        <v>12662</v>
      </c>
      <c r="E12651" t="s">
        <v>12663</v>
      </c>
      <c r="F12651" t="s">
        <v>0</v>
      </c>
      <c r="G12651" t="str">
        <f>"2018-11-05 14:06:58"</f>
        <v>2018-11-05 14:06:58</v>
      </c>
    </row>
    <row r="12652" spans="1:7" x14ac:dyDescent="0.2">
      <c r="A12652" t="s">
        <v>12664</v>
      </c>
      <c r="B12652" t="str">
        <f>"18559178913"</f>
        <v>18559178913</v>
      </c>
      <c r="C12652" t="str">
        <f>"371481199312205415"</f>
        <v>371481199312205415</v>
      </c>
      <c r="D12652" t="s">
        <v>1</v>
      </c>
      <c r="E12652" t="s">
        <v>1</v>
      </c>
      <c r="F12652" t="s">
        <v>0</v>
      </c>
      <c r="G12652" t="str">
        <f>"2018-10-13 14:51:44"</f>
        <v>2018-10-13 14:51:44</v>
      </c>
    </row>
    <row r="12653" spans="1:7" x14ac:dyDescent="0.2">
      <c r="A12653" t="s">
        <v>1</v>
      </c>
      <c r="B12653" t="str">
        <f>"13819443577"</f>
        <v>13819443577</v>
      </c>
      <c r="C12653" t="s">
        <v>1</v>
      </c>
      <c r="D12653" t="s">
        <v>1</v>
      </c>
      <c r="E12653" t="s">
        <v>1</v>
      </c>
      <c r="F12653" t="s">
        <v>0</v>
      </c>
      <c r="G12653" t="str">
        <f>"2018-10-13 14:28:05"</f>
        <v>2018-10-13 14:28:05</v>
      </c>
    </row>
    <row r="12654" spans="1:7" x14ac:dyDescent="0.2">
      <c r="A12654" t="s">
        <v>12665</v>
      </c>
      <c r="B12654" t="str">
        <f>"18855005200"</f>
        <v>18855005200</v>
      </c>
      <c r="C12654" t="str">
        <f>"341122199206041013"</f>
        <v>341122199206041013</v>
      </c>
      <c r="D12654" t="s">
        <v>12666</v>
      </c>
      <c r="E12654" t="s">
        <v>12667</v>
      </c>
      <c r="F12654" t="s">
        <v>0</v>
      </c>
      <c r="G12654" t="str">
        <f>"2018-10-13 14:29:38"</f>
        <v>2018-10-13 14:29:38</v>
      </c>
    </row>
    <row r="12655" spans="1:7" x14ac:dyDescent="0.2">
      <c r="A12655" t="s">
        <v>1242</v>
      </c>
      <c r="B12655" t="str">
        <f>"18354510672"</f>
        <v>18354510672</v>
      </c>
      <c r="C12655" t="str">
        <f>"370683198911202927"</f>
        <v>370683198911202927</v>
      </c>
      <c r="D12655" t="s">
        <v>12668</v>
      </c>
      <c r="E12655" t="s">
        <v>12669</v>
      </c>
      <c r="F12655" t="s">
        <v>0</v>
      </c>
      <c r="G12655" t="str">
        <f>"2018-10-13 14:28:29"</f>
        <v>2018-10-13 14:28:29</v>
      </c>
    </row>
    <row r="12656" spans="1:7" x14ac:dyDescent="0.2">
      <c r="A12656" t="s">
        <v>1</v>
      </c>
      <c r="B12656" t="str">
        <f>"18813199507"</f>
        <v>18813199507</v>
      </c>
      <c r="C12656" t="s">
        <v>1</v>
      </c>
      <c r="D12656" t="s">
        <v>1</v>
      </c>
      <c r="E12656" t="s">
        <v>1</v>
      </c>
      <c r="F12656" t="s">
        <v>0</v>
      </c>
      <c r="G12656" t="str">
        <f>"2018-10-13 14:26:42"</f>
        <v>2018-10-13 14:26:42</v>
      </c>
    </row>
    <row r="12657" spans="1:7" x14ac:dyDescent="0.2">
      <c r="A12657" t="s">
        <v>417</v>
      </c>
      <c r="B12657" t="str">
        <f>"13791791444"</f>
        <v>13791791444</v>
      </c>
      <c r="C12657" t="str">
        <f>"370829199208092014"</f>
        <v>370829199208092014</v>
      </c>
      <c r="D12657" t="s">
        <v>1</v>
      </c>
      <c r="E12657" t="s">
        <v>1</v>
      </c>
      <c r="F12657" t="s">
        <v>0</v>
      </c>
      <c r="G12657" t="str">
        <f>"2018-10-13 17:06:45"</f>
        <v>2018-10-13 17:06:45</v>
      </c>
    </row>
    <row r="12658" spans="1:7" x14ac:dyDescent="0.2">
      <c r="A12658" t="s">
        <v>480</v>
      </c>
      <c r="B12658" t="str">
        <f>"14704131988"</f>
        <v>14704131988</v>
      </c>
      <c r="C12658" t="str">
        <f>"210411198810123253"</f>
        <v>210411198810123253</v>
      </c>
      <c r="D12658" t="s">
        <v>1</v>
      </c>
      <c r="E12658" t="s">
        <v>1</v>
      </c>
      <c r="F12658" t="s">
        <v>0</v>
      </c>
      <c r="G12658" t="str">
        <f>"2018-10-13 14:27:30"</f>
        <v>2018-10-13 14:27:30</v>
      </c>
    </row>
    <row r="12659" spans="1:7" x14ac:dyDescent="0.2">
      <c r="A12659" t="s">
        <v>12670</v>
      </c>
      <c r="B12659" t="str">
        <f>"13632290960"</f>
        <v>13632290960</v>
      </c>
      <c r="C12659" t="str">
        <f>"440103198702170024"</f>
        <v>440103198702170024</v>
      </c>
      <c r="D12659" t="s">
        <v>12671</v>
      </c>
      <c r="E12659" t="s">
        <v>12672</v>
      </c>
      <c r="F12659" t="s">
        <v>0</v>
      </c>
      <c r="G12659" t="str">
        <f>"2018-10-27 22:07:43"</f>
        <v>2018-10-27 22:07:43</v>
      </c>
    </row>
    <row r="12660" spans="1:7" x14ac:dyDescent="0.2">
      <c r="A12660" t="s">
        <v>15</v>
      </c>
      <c r="B12660" t="str">
        <f>"15104277228"</f>
        <v>15104277228</v>
      </c>
      <c r="C12660" t="str">
        <f>"21112219911108111X"</f>
        <v>21112219911108111X</v>
      </c>
      <c r="D12660" t="s">
        <v>1</v>
      </c>
      <c r="E12660" t="s">
        <v>1</v>
      </c>
      <c r="F12660" t="s">
        <v>0</v>
      </c>
      <c r="G12660" t="str">
        <f>"2018-10-13 14:28:29"</f>
        <v>2018-10-13 14:28:29</v>
      </c>
    </row>
    <row r="12661" spans="1:7" x14ac:dyDescent="0.2">
      <c r="A12661" t="s">
        <v>1</v>
      </c>
      <c r="B12661" t="str">
        <f>"13149008936"</f>
        <v>13149008936</v>
      </c>
      <c r="C12661" t="s">
        <v>1</v>
      </c>
      <c r="D12661" t="s">
        <v>1</v>
      </c>
      <c r="E12661" t="s">
        <v>1</v>
      </c>
      <c r="F12661" t="s">
        <v>0</v>
      </c>
      <c r="G12661" t="str">
        <f>"2018-10-13 14:25:19"</f>
        <v>2018-10-13 14:25:19</v>
      </c>
    </row>
    <row r="12662" spans="1:7" x14ac:dyDescent="0.2">
      <c r="A12662" t="s">
        <v>12673</v>
      </c>
      <c r="B12662" t="str">
        <f>"18786077425"</f>
        <v>18786077425</v>
      </c>
      <c r="C12662" t="str">
        <f>"522725199012220036"</f>
        <v>522725199012220036</v>
      </c>
      <c r="D12662" t="s">
        <v>1</v>
      </c>
      <c r="E12662" t="s">
        <v>1</v>
      </c>
      <c r="F12662" t="s">
        <v>0</v>
      </c>
      <c r="G12662" t="str">
        <f>"2018-10-13 14:27:46"</f>
        <v>2018-10-13 14:27:46</v>
      </c>
    </row>
    <row r="12663" spans="1:7" x14ac:dyDescent="0.2">
      <c r="A12663" t="s">
        <v>424</v>
      </c>
      <c r="B12663" t="str">
        <f>"13803451065"</f>
        <v>13803451065</v>
      </c>
      <c r="C12663" t="str">
        <f>"140411197408124829"</f>
        <v>140411197408124829</v>
      </c>
      <c r="D12663" t="s">
        <v>1</v>
      </c>
      <c r="E12663" t="s">
        <v>1</v>
      </c>
      <c r="F12663" t="s">
        <v>0</v>
      </c>
      <c r="G12663" t="str">
        <f>"2018-10-13 14:25:56"</f>
        <v>2018-10-13 14:25:56</v>
      </c>
    </row>
    <row r="12664" spans="1:7" x14ac:dyDescent="0.2">
      <c r="A12664" t="s">
        <v>12674</v>
      </c>
      <c r="B12664" t="str">
        <f>"18273672612"</f>
        <v>18273672612</v>
      </c>
      <c r="C12664" t="str">
        <f>"430722198812060010"</f>
        <v>430722198812060010</v>
      </c>
      <c r="D12664" t="s">
        <v>1</v>
      </c>
      <c r="E12664" t="s">
        <v>1</v>
      </c>
      <c r="F12664" t="s">
        <v>0</v>
      </c>
      <c r="G12664" t="str">
        <f>"2018-10-13 14:28:23"</f>
        <v>2018-10-13 14:28:23</v>
      </c>
    </row>
    <row r="12665" spans="1:7" x14ac:dyDescent="0.2">
      <c r="A12665" t="s">
        <v>1016</v>
      </c>
      <c r="B12665" t="str">
        <f>"13577320214"</f>
        <v>13577320214</v>
      </c>
      <c r="C12665" t="str">
        <f>"532524199506231813"</f>
        <v>532524199506231813</v>
      </c>
      <c r="D12665" t="s">
        <v>1</v>
      </c>
      <c r="E12665" t="s">
        <v>1</v>
      </c>
      <c r="F12665" t="s">
        <v>0</v>
      </c>
      <c r="G12665" t="str">
        <f>"2018-10-13 14:27:01"</f>
        <v>2018-10-13 14:27:01</v>
      </c>
    </row>
    <row r="12666" spans="1:7" x14ac:dyDescent="0.2">
      <c r="A12666" t="s">
        <v>12675</v>
      </c>
      <c r="B12666" t="str">
        <f>"13999203887"</f>
        <v>13999203887</v>
      </c>
      <c r="C12666" t="str">
        <f>"330323196903201618"</f>
        <v>330323196903201618</v>
      </c>
      <c r="D12666" t="s">
        <v>12676</v>
      </c>
      <c r="E12666" t="s">
        <v>12677</v>
      </c>
      <c r="F12666" t="s">
        <v>0</v>
      </c>
      <c r="G12666" t="str">
        <f>"2018-10-13 14:25:39"</f>
        <v>2018-10-13 14:25:39</v>
      </c>
    </row>
    <row r="12667" spans="1:7" x14ac:dyDescent="0.2">
      <c r="A12667" t="s">
        <v>12678</v>
      </c>
      <c r="B12667" t="str">
        <f>"15086879701"</f>
        <v>15086879701</v>
      </c>
      <c r="C12667" t="str">
        <f>"500383198802042918"</f>
        <v>500383198802042918</v>
      </c>
      <c r="D12667" t="s">
        <v>1</v>
      </c>
      <c r="E12667" t="s">
        <v>1</v>
      </c>
      <c r="F12667" t="s">
        <v>0</v>
      </c>
      <c r="G12667" t="str">
        <f>"2018-10-13 14:24:53"</f>
        <v>2018-10-13 14:24:53</v>
      </c>
    </row>
    <row r="12668" spans="1:7" x14ac:dyDescent="0.2">
      <c r="A12668" t="s">
        <v>1</v>
      </c>
      <c r="B12668" t="str">
        <f>"13829170796"</f>
        <v>13829170796</v>
      </c>
      <c r="C12668" t="s">
        <v>1</v>
      </c>
      <c r="D12668" t="s">
        <v>1</v>
      </c>
      <c r="E12668" t="s">
        <v>1</v>
      </c>
      <c r="F12668" t="s">
        <v>0</v>
      </c>
      <c r="G12668" t="str">
        <f>"2018-10-13 14:23:26"</f>
        <v>2018-10-13 14:23:26</v>
      </c>
    </row>
    <row r="12669" spans="1:7" x14ac:dyDescent="0.2">
      <c r="A12669" t="s">
        <v>12679</v>
      </c>
      <c r="B12669" t="str">
        <f>"15940674584"</f>
        <v>15940674584</v>
      </c>
      <c r="C12669" t="str">
        <f>"210782198203191627"</f>
        <v>210782198203191627</v>
      </c>
      <c r="D12669" t="s">
        <v>1</v>
      </c>
      <c r="E12669" t="s">
        <v>1</v>
      </c>
      <c r="F12669" t="s">
        <v>0</v>
      </c>
      <c r="G12669" t="str">
        <f>"2018-10-13 19:03:17"</f>
        <v>2018-10-13 19:03:17</v>
      </c>
    </row>
    <row r="12670" spans="1:7" x14ac:dyDescent="0.2">
      <c r="A12670" t="s">
        <v>12680</v>
      </c>
      <c r="B12670" t="str">
        <f>"13758855295"</f>
        <v>13758855295</v>
      </c>
      <c r="C12670" t="str">
        <f>"330327198211180611"</f>
        <v>330327198211180611</v>
      </c>
      <c r="D12670" t="s">
        <v>1</v>
      </c>
      <c r="E12670" t="s">
        <v>1</v>
      </c>
      <c r="F12670" t="s">
        <v>0</v>
      </c>
      <c r="G12670" t="str">
        <f>"2018-10-13 14:23:55"</f>
        <v>2018-10-13 14:23:55</v>
      </c>
    </row>
    <row r="12671" spans="1:7" x14ac:dyDescent="0.2">
      <c r="A12671" t="s">
        <v>12681</v>
      </c>
      <c r="B12671" t="str">
        <f>"13483800856"</f>
        <v>13483800856</v>
      </c>
      <c r="C12671" t="str">
        <f>"130930198311250916"</f>
        <v>130930198311250916</v>
      </c>
      <c r="D12671" t="s">
        <v>1</v>
      </c>
      <c r="E12671" t="s">
        <v>1</v>
      </c>
      <c r="F12671" t="s">
        <v>0</v>
      </c>
      <c r="G12671" t="str">
        <f>"2018-10-13 14:22:27"</f>
        <v>2018-10-13 14:22:27</v>
      </c>
    </row>
    <row r="12672" spans="1:7" x14ac:dyDescent="0.2">
      <c r="A12672" t="s">
        <v>12682</v>
      </c>
      <c r="B12672" t="str">
        <f>"13945662783"</f>
        <v>13945662783</v>
      </c>
      <c r="C12672" t="str">
        <f>"230102197804054323"</f>
        <v>230102197804054323</v>
      </c>
      <c r="D12672" t="s">
        <v>12683</v>
      </c>
      <c r="E12672" t="s">
        <v>12684</v>
      </c>
      <c r="F12672" t="s">
        <v>0</v>
      </c>
      <c r="G12672" t="str">
        <f>"2018-10-13 14:22:23"</f>
        <v>2018-10-13 14:22:23</v>
      </c>
    </row>
    <row r="12673" spans="1:7" x14ac:dyDescent="0.2">
      <c r="A12673" t="s">
        <v>1</v>
      </c>
      <c r="B12673" t="str">
        <f>"17156996434"</f>
        <v>17156996434</v>
      </c>
      <c r="C12673" t="s">
        <v>1</v>
      </c>
      <c r="D12673" t="s">
        <v>1</v>
      </c>
      <c r="E12673" t="s">
        <v>1</v>
      </c>
      <c r="F12673" t="s">
        <v>0</v>
      </c>
      <c r="G12673" t="str">
        <f>"2018-10-13 14:22:10"</f>
        <v>2018-10-13 14:22:10</v>
      </c>
    </row>
    <row r="12674" spans="1:7" x14ac:dyDescent="0.2">
      <c r="A12674" t="s">
        <v>1</v>
      </c>
      <c r="B12674" t="str">
        <f>"18889750500"</f>
        <v>18889750500</v>
      </c>
      <c r="C12674" t="s">
        <v>1</v>
      </c>
      <c r="D12674" t="s">
        <v>1</v>
      </c>
      <c r="E12674" t="s">
        <v>1</v>
      </c>
      <c r="F12674" t="s">
        <v>0</v>
      </c>
      <c r="G12674" t="str">
        <f>"2018-10-13 14:23:29"</f>
        <v>2018-10-13 14:23:29</v>
      </c>
    </row>
    <row r="12675" spans="1:7" x14ac:dyDescent="0.2">
      <c r="A12675" t="s">
        <v>12685</v>
      </c>
      <c r="B12675" t="str">
        <f>"13986215349"</f>
        <v>13986215349</v>
      </c>
      <c r="C12675" t="str">
        <f>"420106198110271273"</f>
        <v>420106198110271273</v>
      </c>
      <c r="D12675" t="s">
        <v>1</v>
      </c>
      <c r="E12675" t="s">
        <v>1</v>
      </c>
      <c r="F12675" t="s">
        <v>0</v>
      </c>
      <c r="G12675" t="str">
        <f>"2018-10-13 14:22:41"</f>
        <v>2018-10-13 14:22:41</v>
      </c>
    </row>
    <row r="12676" spans="1:7" x14ac:dyDescent="0.2">
      <c r="A12676" t="s">
        <v>1</v>
      </c>
      <c r="B12676" t="str">
        <f>"13889111431"</f>
        <v>13889111431</v>
      </c>
      <c r="C12676" t="s">
        <v>1</v>
      </c>
      <c r="D12676" t="s">
        <v>1</v>
      </c>
      <c r="E12676" t="s">
        <v>1</v>
      </c>
      <c r="F12676" t="s">
        <v>0</v>
      </c>
      <c r="G12676" t="str">
        <f>"2018-10-13 14:20:29"</f>
        <v>2018-10-13 14:20:29</v>
      </c>
    </row>
    <row r="12677" spans="1:7" x14ac:dyDescent="0.2">
      <c r="A12677" t="s">
        <v>12686</v>
      </c>
      <c r="B12677" t="str">
        <f>"18104037826"</f>
        <v>18104037826</v>
      </c>
      <c r="C12677" t="str">
        <f>"210423199206112427"</f>
        <v>210423199206112427</v>
      </c>
      <c r="D12677" t="s">
        <v>1</v>
      </c>
      <c r="E12677" t="s">
        <v>1</v>
      </c>
      <c r="F12677" t="s">
        <v>0</v>
      </c>
      <c r="G12677" t="str">
        <f>"2018-10-13 15:04:21"</f>
        <v>2018-10-13 15:04:21</v>
      </c>
    </row>
    <row r="12678" spans="1:7" x14ac:dyDescent="0.2">
      <c r="A12678" t="s">
        <v>1</v>
      </c>
      <c r="B12678" t="str">
        <f>"13829829755"</f>
        <v>13829829755</v>
      </c>
      <c r="C12678" t="s">
        <v>1</v>
      </c>
      <c r="D12678" t="s">
        <v>1</v>
      </c>
      <c r="E12678" t="s">
        <v>1</v>
      </c>
      <c r="F12678" t="s">
        <v>0</v>
      </c>
      <c r="G12678" t="str">
        <f>"2018-10-13 14:41:49"</f>
        <v>2018-10-13 14:41:49</v>
      </c>
    </row>
    <row r="12679" spans="1:7" x14ac:dyDescent="0.2">
      <c r="A12679" t="s">
        <v>6159</v>
      </c>
      <c r="B12679" t="str">
        <f>"15071785095"</f>
        <v>15071785095</v>
      </c>
      <c r="C12679" t="str">
        <f>"42108719911120824X"</f>
        <v>42108719911120824X</v>
      </c>
      <c r="D12679" t="s">
        <v>12687</v>
      </c>
      <c r="E12679" t="s">
        <v>12688</v>
      </c>
      <c r="F12679" t="s">
        <v>0</v>
      </c>
      <c r="G12679" t="str">
        <f>"2018-10-13 14:29:11"</f>
        <v>2018-10-13 14:29:11</v>
      </c>
    </row>
    <row r="12680" spans="1:7" x14ac:dyDescent="0.2">
      <c r="A12680" t="s">
        <v>12689</v>
      </c>
      <c r="B12680" t="str">
        <f>"17634047739"</f>
        <v>17634047739</v>
      </c>
      <c r="C12680" t="str">
        <f>"142724199410193718"</f>
        <v>142724199410193718</v>
      </c>
      <c r="D12680" t="s">
        <v>12690</v>
      </c>
      <c r="E12680" t="s">
        <v>12691</v>
      </c>
      <c r="F12680" t="s">
        <v>0</v>
      </c>
      <c r="G12680" t="str">
        <f>"2018-10-13 14:22:27"</f>
        <v>2018-10-13 14:22:27</v>
      </c>
    </row>
    <row r="12681" spans="1:7" x14ac:dyDescent="0.2">
      <c r="A12681" t="s">
        <v>625</v>
      </c>
      <c r="B12681" t="str">
        <f>"17826692538"</f>
        <v>17826692538</v>
      </c>
      <c r="C12681" t="str">
        <f>"320902199706066026"</f>
        <v>320902199706066026</v>
      </c>
      <c r="D12681" t="s">
        <v>12692</v>
      </c>
      <c r="E12681" t="s">
        <v>12693</v>
      </c>
      <c r="F12681" t="s">
        <v>0</v>
      </c>
      <c r="G12681" t="str">
        <f>"2018-10-13 14:33:45"</f>
        <v>2018-10-13 14:33:45</v>
      </c>
    </row>
    <row r="12682" spans="1:7" x14ac:dyDescent="0.2">
      <c r="A12682" t="s">
        <v>12694</v>
      </c>
      <c r="B12682" t="str">
        <f>"15390592240"</f>
        <v>15390592240</v>
      </c>
      <c r="C12682" t="str">
        <f>"622625199511300020"</f>
        <v>622625199511300020</v>
      </c>
      <c r="D12682" t="s">
        <v>1</v>
      </c>
      <c r="E12682" t="s">
        <v>1</v>
      </c>
      <c r="F12682" t="s">
        <v>0</v>
      </c>
      <c r="G12682" t="str">
        <f>"2018-10-13 14:22:22"</f>
        <v>2018-10-13 14:22:22</v>
      </c>
    </row>
    <row r="12683" spans="1:7" x14ac:dyDescent="0.2">
      <c r="A12683" t="s">
        <v>12695</v>
      </c>
      <c r="B12683" t="str">
        <f>"13379833113"</f>
        <v>13379833113</v>
      </c>
      <c r="C12683" t="str">
        <f>"460030198701024516"</f>
        <v>460030198701024516</v>
      </c>
      <c r="D12683" t="s">
        <v>1</v>
      </c>
      <c r="E12683" t="s">
        <v>1</v>
      </c>
      <c r="F12683" t="s">
        <v>0</v>
      </c>
      <c r="G12683" t="str">
        <f>"2018-10-13 14:21:10"</f>
        <v>2018-10-13 14:21:10</v>
      </c>
    </row>
    <row r="12684" spans="1:7" x14ac:dyDescent="0.2">
      <c r="A12684" t="s">
        <v>1</v>
      </c>
      <c r="B12684" t="str">
        <f>"15873143378"</f>
        <v>15873143378</v>
      </c>
      <c r="C12684" t="s">
        <v>1</v>
      </c>
      <c r="D12684" t="s">
        <v>1</v>
      </c>
      <c r="E12684" t="s">
        <v>1</v>
      </c>
      <c r="F12684" t="s">
        <v>0</v>
      </c>
      <c r="G12684" t="str">
        <f>"2018-10-13 14:18:49"</f>
        <v>2018-10-13 14:18:49</v>
      </c>
    </row>
    <row r="12685" spans="1:7" x14ac:dyDescent="0.2">
      <c r="A12685" t="s">
        <v>1</v>
      </c>
      <c r="B12685" t="str">
        <f>"13948237017"</f>
        <v>13948237017</v>
      </c>
      <c r="C12685" t="s">
        <v>1</v>
      </c>
      <c r="D12685" t="s">
        <v>1</v>
      </c>
      <c r="E12685" t="s">
        <v>1</v>
      </c>
      <c r="F12685" t="s">
        <v>0</v>
      </c>
      <c r="G12685" t="str">
        <f>"2018-10-13 14:18:42"</f>
        <v>2018-10-13 14:18:42</v>
      </c>
    </row>
    <row r="12686" spans="1:7" x14ac:dyDescent="0.2">
      <c r="A12686" t="s">
        <v>12696</v>
      </c>
      <c r="B12686" t="str">
        <f>"18331149153"</f>
        <v>18331149153</v>
      </c>
      <c r="C12686" t="str">
        <f>"130634199302012717"</f>
        <v>130634199302012717</v>
      </c>
      <c r="D12686" t="s">
        <v>1</v>
      </c>
      <c r="E12686" t="s">
        <v>1</v>
      </c>
      <c r="F12686" t="s">
        <v>0</v>
      </c>
      <c r="G12686" t="str">
        <f>"2018-10-13 14:20:07"</f>
        <v>2018-10-13 14:20:07</v>
      </c>
    </row>
    <row r="12687" spans="1:7" x14ac:dyDescent="0.2">
      <c r="A12687" t="s">
        <v>12697</v>
      </c>
      <c r="B12687" t="str">
        <f>"15041879720"</f>
        <v>15041879720</v>
      </c>
      <c r="C12687" t="str">
        <f>"210904200002223014"</f>
        <v>210904200002223014</v>
      </c>
      <c r="D12687" t="s">
        <v>12698</v>
      </c>
      <c r="E12687" t="s">
        <v>12699</v>
      </c>
      <c r="F12687" t="s">
        <v>0</v>
      </c>
      <c r="G12687" t="str">
        <f>"2018-10-13 14:19:20"</f>
        <v>2018-10-13 14:19:20</v>
      </c>
    </row>
    <row r="12688" spans="1:7" x14ac:dyDescent="0.2">
      <c r="A12688" t="s">
        <v>12700</v>
      </c>
      <c r="B12688" t="str">
        <f>"15863713323"</f>
        <v>15863713323</v>
      </c>
      <c r="C12688" t="str">
        <f>"370881199804015336"</f>
        <v>370881199804015336</v>
      </c>
      <c r="D12688" t="s">
        <v>1</v>
      </c>
      <c r="E12688" t="s">
        <v>1</v>
      </c>
      <c r="F12688" t="s">
        <v>0</v>
      </c>
      <c r="G12688" t="str">
        <f>"2018-10-13 14:21:51"</f>
        <v>2018-10-13 14:21:51</v>
      </c>
    </row>
    <row r="12689" spans="1:7" x14ac:dyDescent="0.2">
      <c r="A12689" t="s">
        <v>1</v>
      </c>
      <c r="B12689" t="str">
        <f>"13768398177"</f>
        <v>13768398177</v>
      </c>
      <c r="C12689" t="s">
        <v>1</v>
      </c>
      <c r="D12689" t="s">
        <v>1</v>
      </c>
      <c r="E12689" t="s">
        <v>1</v>
      </c>
      <c r="F12689" t="s">
        <v>0</v>
      </c>
      <c r="G12689" t="str">
        <f>"2018-10-13 14:17:11"</f>
        <v>2018-10-13 14:17:11</v>
      </c>
    </row>
    <row r="12690" spans="1:7" x14ac:dyDescent="0.2">
      <c r="A12690" t="s">
        <v>1321</v>
      </c>
      <c r="B12690" t="str">
        <f>"17741346500"</f>
        <v>17741346500</v>
      </c>
      <c r="C12690" t="str">
        <f>"210124199003282813"</f>
        <v>210124199003282813</v>
      </c>
      <c r="D12690" t="s">
        <v>1</v>
      </c>
      <c r="E12690" t="s">
        <v>1</v>
      </c>
      <c r="F12690" t="s">
        <v>0</v>
      </c>
      <c r="G12690" t="str">
        <f>"2018-10-13 14:19:33"</f>
        <v>2018-10-13 14:19:33</v>
      </c>
    </row>
    <row r="12691" spans="1:7" x14ac:dyDescent="0.2">
      <c r="A12691" t="s">
        <v>1</v>
      </c>
      <c r="B12691" t="str">
        <f>"15564562006"</f>
        <v>15564562006</v>
      </c>
      <c r="C12691" t="s">
        <v>1</v>
      </c>
      <c r="D12691" t="s">
        <v>1</v>
      </c>
      <c r="E12691" t="s">
        <v>1</v>
      </c>
      <c r="F12691" t="s">
        <v>0</v>
      </c>
      <c r="G12691" t="str">
        <f>"2018-10-13 14:16:44"</f>
        <v>2018-10-13 14:16:44</v>
      </c>
    </row>
    <row r="12692" spans="1:7" x14ac:dyDescent="0.2">
      <c r="A12692" t="s">
        <v>12701</v>
      </c>
      <c r="B12692" t="str">
        <f>"13761085140"</f>
        <v>13761085140</v>
      </c>
      <c r="C12692" t="str">
        <f>"310109199201011029"</f>
        <v>310109199201011029</v>
      </c>
      <c r="D12692" t="s">
        <v>12702</v>
      </c>
      <c r="E12692" t="s">
        <v>12703</v>
      </c>
      <c r="F12692" t="s">
        <v>0</v>
      </c>
      <c r="G12692" t="str">
        <f>"2018-10-21 13:35:55"</f>
        <v>2018-10-21 13:35:55</v>
      </c>
    </row>
    <row r="12693" spans="1:7" x14ac:dyDescent="0.2">
      <c r="A12693" t="s">
        <v>12704</v>
      </c>
      <c r="B12693" t="str">
        <f>"17660285616"</f>
        <v>17660285616</v>
      </c>
      <c r="C12693" t="str">
        <f>"370304198908210617"</f>
        <v>370304198908210617</v>
      </c>
      <c r="D12693" t="s">
        <v>1</v>
      </c>
      <c r="E12693" t="s">
        <v>1</v>
      </c>
      <c r="F12693" t="s">
        <v>0</v>
      </c>
      <c r="G12693" t="str">
        <f>"2018-10-13 14:21:09"</f>
        <v>2018-10-13 14:21:09</v>
      </c>
    </row>
    <row r="12694" spans="1:7" x14ac:dyDescent="0.2">
      <c r="A12694" t="s">
        <v>12705</v>
      </c>
      <c r="B12694" t="str">
        <f>"18335294442"</f>
        <v>18335294442</v>
      </c>
      <c r="C12694" t="str">
        <f>"140202198312235513"</f>
        <v>140202198312235513</v>
      </c>
      <c r="D12694" t="s">
        <v>12706</v>
      </c>
      <c r="E12694" t="s">
        <v>12707</v>
      </c>
      <c r="F12694" t="s">
        <v>0</v>
      </c>
      <c r="G12694" t="str">
        <f>"2018-10-13 14:17:05"</f>
        <v>2018-10-13 14:17:05</v>
      </c>
    </row>
    <row r="12695" spans="1:7" x14ac:dyDescent="0.2">
      <c r="A12695" t="s">
        <v>1</v>
      </c>
      <c r="B12695" t="str">
        <f>"18375072396"</f>
        <v>18375072396</v>
      </c>
      <c r="C12695" t="s">
        <v>1</v>
      </c>
      <c r="D12695" t="s">
        <v>1</v>
      </c>
      <c r="E12695" t="s">
        <v>1</v>
      </c>
      <c r="F12695" t="s">
        <v>0</v>
      </c>
      <c r="G12695" t="str">
        <f>"2018-10-13 14:15:35"</f>
        <v>2018-10-13 14:15:35</v>
      </c>
    </row>
    <row r="12696" spans="1:7" x14ac:dyDescent="0.2">
      <c r="A12696" t="s">
        <v>12708</v>
      </c>
      <c r="B12696" t="str">
        <f>"15514645570"</f>
        <v>15514645570</v>
      </c>
      <c r="C12696" t="str">
        <f>"411402198810167039"</f>
        <v>411402198810167039</v>
      </c>
      <c r="D12696" t="s">
        <v>1</v>
      </c>
      <c r="E12696" t="s">
        <v>1</v>
      </c>
      <c r="F12696" t="s">
        <v>0</v>
      </c>
      <c r="G12696" t="str">
        <f>"2018-10-13 14:15:24"</f>
        <v>2018-10-13 14:15:24</v>
      </c>
    </row>
    <row r="12697" spans="1:7" x14ac:dyDescent="0.2">
      <c r="A12697" t="s">
        <v>12709</v>
      </c>
      <c r="B12697" t="str">
        <f>"18677944060"</f>
        <v>18677944060</v>
      </c>
      <c r="C12697" t="str">
        <f>"632121198202030017"</f>
        <v>632121198202030017</v>
      </c>
      <c r="D12697" t="s">
        <v>1</v>
      </c>
      <c r="E12697" t="s">
        <v>1</v>
      </c>
      <c r="F12697" t="s">
        <v>0</v>
      </c>
      <c r="G12697" t="str">
        <f>"2018-10-13 17:25:33"</f>
        <v>2018-10-13 17:25:33</v>
      </c>
    </row>
    <row r="12698" spans="1:7" x14ac:dyDescent="0.2">
      <c r="A12698" t="s">
        <v>12710</v>
      </c>
      <c r="B12698" t="str">
        <f>"13912742332"</f>
        <v>13912742332</v>
      </c>
      <c r="C12698" t="str">
        <f>"413026199709115715"</f>
        <v>413026199709115715</v>
      </c>
      <c r="D12698" t="s">
        <v>12711</v>
      </c>
      <c r="E12698" t="s">
        <v>12712</v>
      </c>
      <c r="F12698" t="s">
        <v>0</v>
      </c>
      <c r="G12698" t="str">
        <f>"2018-10-13 14:17:57"</f>
        <v>2018-10-13 14:17:57</v>
      </c>
    </row>
    <row r="12699" spans="1:7" x14ac:dyDescent="0.2">
      <c r="A12699" t="s">
        <v>12713</v>
      </c>
      <c r="B12699" t="str">
        <f>"18275067918"</f>
        <v>18275067918</v>
      </c>
      <c r="C12699" t="str">
        <f>"522130199112156818"</f>
        <v>522130199112156818</v>
      </c>
      <c r="D12699" t="s">
        <v>12714</v>
      </c>
      <c r="E12699" t="s">
        <v>12715</v>
      </c>
      <c r="F12699" t="s">
        <v>0</v>
      </c>
      <c r="G12699" t="str">
        <f>"2018-10-13 14:14:33"</f>
        <v>2018-10-13 14:14:33</v>
      </c>
    </row>
    <row r="12700" spans="1:7" x14ac:dyDescent="0.2">
      <c r="A12700" t="s">
        <v>1</v>
      </c>
      <c r="B12700" t="str">
        <f>"17607174559"</f>
        <v>17607174559</v>
      </c>
      <c r="C12700" t="s">
        <v>1</v>
      </c>
      <c r="D12700" t="s">
        <v>1</v>
      </c>
      <c r="E12700" t="s">
        <v>1</v>
      </c>
      <c r="F12700" t="s">
        <v>0</v>
      </c>
      <c r="G12700" t="str">
        <f>"2018-10-13 14:13:40"</f>
        <v>2018-10-13 14:13:40</v>
      </c>
    </row>
    <row r="12701" spans="1:7" x14ac:dyDescent="0.2">
      <c r="A12701" t="s">
        <v>12716</v>
      </c>
      <c r="B12701" t="str">
        <f>"15622902728"</f>
        <v>15622902728</v>
      </c>
      <c r="C12701" t="str">
        <f>"520122199009070029"</f>
        <v>520122199009070029</v>
      </c>
      <c r="D12701" t="s">
        <v>1</v>
      </c>
      <c r="E12701" t="s">
        <v>1</v>
      </c>
      <c r="F12701" t="s">
        <v>0</v>
      </c>
      <c r="G12701" t="str">
        <f>"2018-10-13 14:27:44"</f>
        <v>2018-10-13 14:27:44</v>
      </c>
    </row>
    <row r="12702" spans="1:7" x14ac:dyDescent="0.2">
      <c r="A12702" t="s">
        <v>1</v>
      </c>
      <c r="B12702" t="str">
        <f>"18732483731"</f>
        <v>18732483731</v>
      </c>
      <c r="C12702" t="s">
        <v>1</v>
      </c>
      <c r="D12702" t="s">
        <v>1</v>
      </c>
      <c r="E12702" t="s">
        <v>1</v>
      </c>
      <c r="F12702" t="s">
        <v>0</v>
      </c>
      <c r="G12702" t="str">
        <f>"2018-10-13 14:13:15"</f>
        <v>2018-10-13 14:13:15</v>
      </c>
    </row>
    <row r="12703" spans="1:7" x14ac:dyDescent="0.2">
      <c r="A12703" t="s">
        <v>1</v>
      </c>
      <c r="B12703" t="str">
        <f>"18658438682"</f>
        <v>18658438682</v>
      </c>
      <c r="C12703" t="s">
        <v>1</v>
      </c>
      <c r="D12703" t="s">
        <v>1</v>
      </c>
      <c r="E12703" t="s">
        <v>1</v>
      </c>
      <c r="F12703" t="s">
        <v>0</v>
      </c>
      <c r="G12703" t="str">
        <f>"2018-10-13 14:14:20"</f>
        <v>2018-10-13 14:14:20</v>
      </c>
    </row>
    <row r="12704" spans="1:7" x14ac:dyDescent="0.2">
      <c r="A12704" t="s">
        <v>12717</v>
      </c>
      <c r="B12704" t="str">
        <f>"13107555570"</f>
        <v>13107555570</v>
      </c>
      <c r="C12704" t="str">
        <f>"630121199603210513"</f>
        <v>630121199603210513</v>
      </c>
      <c r="D12704" t="s">
        <v>1</v>
      </c>
      <c r="E12704" t="s">
        <v>1</v>
      </c>
      <c r="F12704" t="s">
        <v>0</v>
      </c>
      <c r="G12704" t="str">
        <f>"2018-10-13 14:14:20"</f>
        <v>2018-10-13 14:14:20</v>
      </c>
    </row>
    <row r="12705" spans="1:7" x14ac:dyDescent="0.2">
      <c r="A12705" t="s">
        <v>12718</v>
      </c>
      <c r="B12705" t="str">
        <f>"13587608003"</f>
        <v>13587608003</v>
      </c>
      <c r="C12705" t="str">
        <f>"52272519911105554X"</f>
        <v>52272519911105554X</v>
      </c>
      <c r="D12705" t="s">
        <v>1</v>
      </c>
      <c r="E12705" t="s">
        <v>1</v>
      </c>
      <c r="F12705" t="s">
        <v>0</v>
      </c>
      <c r="G12705" t="str">
        <f>"2018-10-13 14:13:58"</f>
        <v>2018-10-13 14:13:58</v>
      </c>
    </row>
    <row r="12706" spans="1:7" x14ac:dyDescent="0.2">
      <c r="A12706" t="s">
        <v>12719</v>
      </c>
      <c r="B12706" t="str">
        <f>"15110020300"</f>
        <v>15110020300</v>
      </c>
      <c r="C12706" t="str">
        <f>"230407199207250139"</f>
        <v>230407199207250139</v>
      </c>
      <c r="D12706" t="s">
        <v>1</v>
      </c>
      <c r="E12706" t="s">
        <v>1</v>
      </c>
      <c r="F12706" t="s">
        <v>0</v>
      </c>
      <c r="G12706" t="str">
        <f>"2018-10-13 14:12:26"</f>
        <v>2018-10-13 14:12:26</v>
      </c>
    </row>
    <row r="12707" spans="1:7" x14ac:dyDescent="0.2">
      <c r="A12707" t="s">
        <v>1330</v>
      </c>
      <c r="B12707" t="str">
        <f>"18560041030"</f>
        <v>18560041030</v>
      </c>
      <c r="C12707" t="str">
        <f>"37010419900418291X"</f>
        <v>37010419900418291X</v>
      </c>
      <c r="D12707" t="s">
        <v>1</v>
      </c>
      <c r="E12707" t="s">
        <v>1</v>
      </c>
      <c r="F12707" t="s">
        <v>0</v>
      </c>
      <c r="G12707" t="str">
        <f>"2018-10-13 14:12:26"</f>
        <v>2018-10-13 14:12:26</v>
      </c>
    </row>
    <row r="12708" spans="1:7" x14ac:dyDescent="0.2">
      <c r="A12708" t="s">
        <v>12720</v>
      </c>
      <c r="B12708" t="str">
        <f>"13790350321"</f>
        <v>13790350321</v>
      </c>
      <c r="C12708" t="str">
        <f>"430526198310287295"</f>
        <v>430526198310287295</v>
      </c>
      <c r="D12708" t="s">
        <v>1</v>
      </c>
      <c r="E12708" t="s">
        <v>1</v>
      </c>
      <c r="F12708" t="s">
        <v>0</v>
      </c>
      <c r="G12708" t="str">
        <f>"2018-10-13 14:13:35"</f>
        <v>2018-10-13 14:13:35</v>
      </c>
    </row>
    <row r="12709" spans="1:7" x14ac:dyDescent="0.2">
      <c r="A12709" t="s">
        <v>1306</v>
      </c>
      <c r="B12709" t="str">
        <f>"13910875300"</f>
        <v>13910875300</v>
      </c>
      <c r="C12709" t="str">
        <f>"110103197509151234"</f>
        <v>110103197509151234</v>
      </c>
      <c r="D12709" t="s">
        <v>1</v>
      </c>
      <c r="E12709" t="s">
        <v>1</v>
      </c>
      <c r="F12709" t="s">
        <v>0</v>
      </c>
      <c r="G12709" t="str">
        <f>"2018-10-21 19:12:16"</f>
        <v>2018-10-21 19:12:16</v>
      </c>
    </row>
    <row r="12710" spans="1:7" x14ac:dyDescent="0.2">
      <c r="A12710" t="s">
        <v>12721</v>
      </c>
      <c r="B12710" t="str">
        <f>"13886039050"</f>
        <v>13886039050</v>
      </c>
      <c r="C12710" t="str">
        <f>"420105198612030414"</f>
        <v>420105198612030414</v>
      </c>
      <c r="D12710" t="s">
        <v>12722</v>
      </c>
      <c r="E12710" t="s">
        <v>12723</v>
      </c>
      <c r="F12710" t="s">
        <v>0</v>
      </c>
      <c r="G12710" t="str">
        <f>"2018-10-13 14:11:06"</f>
        <v>2018-10-13 14:11:06</v>
      </c>
    </row>
    <row r="12711" spans="1:7" x14ac:dyDescent="0.2">
      <c r="A12711" t="s">
        <v>12724</v>
      </c>
      <c r="B12711" t="str">
        <f>"15240406904"</f>
        <v>15240406904</v>
      </c>
      <c r="C12711" t="str">
        <f>"340826199312248926"</f>
        <v>340826199312248926</v>
      </c>
      <c r="D12711" t="s">
        <v>1</v>
      </c>
      <c r="E12711" t="s">
        <v>1</v>
      </c>
      <c r="F12711" t="s">
        <v>0</v>
      </c>
      <c r="G12711" t="str">
        <f>"2018-10-13 14:11:49"</f>
        <v>2018-10-13 14:11:49</v>
      </c>
    </row>
    <row r="12712" spans="1:7" x14ac:dyDescent="0.2">
      <c r="A12712" t="s">
        <v>1</v>
      </c>
      <c r="B12712" t="str">
        <f>"17631115823"</f>
        <v>17631115823</v>
      </c>
      <c r="C12712" t="s">
        <v>1</v>
      </c>
      <c r="D12712" t="s">
        <v>1</v>
      </c>
      <c r="E12712" t="s">
        <v>1</v>
      </c>
      <c r="F12712" t="s">
        <v>0</v>
      </c>
      <c r="G12712" t="str">
        <f>"2018-10-13 14:10:52"</f>
        <v>2018-10-13 14:10:52</v>
      </c>
    </row>
    <row r="12713" spans="1:7" x14ac:dyDescent="0.2">
      <c r="A12713" t="s">
        <v>1861</v>
      </c>
      <c r="B12713" t="str">
        <f>"17684357565"</f>
        <v>17684357565</v>
      </c>
      <c r="C12713" t="str">
        <f>"220323198806240838"</f>
        <v>220323198806240838</v>
      </c>
      <c r="D12713" t="s">
        <v>1</v>
      </c>
      <c r="E12713" t="s">
        <v>1</v>
      </c>
      <c r="F12713" t="s">
        <v>0</v>
      </c>
      <c r="G12713" t="str">
        <f>"2018-10-13 14:19:19"</f>
        <v>2018-10-13 14:19:19</v>
      </c>
    </row>
    <row r="12714" spans="1:7" x14ac:dyDescent="0.2">
      <c r="A12714" t="s">
        <v>1467</v>
      </c>
      <c r="B12714" t="str">
        <f>"15246739160"</f>
        <v>15246739160</v>
      </c>
      <c r="C12714" t="str">
        <f>"230123199211132251"</f>
        <v>230123199211132251</v>
      </c>
      <c r="D12714" t="s">
        <v>1</v>
      </c>
      <c r="E12714" t="s">
        <v>1</v>
      </c>
      <c r="F12714" t="s">
        <v>0</v>
      </c>
      <c r="G12714" t="str">
        <f>"2018-10-13 14:11:36"</f>
        <v>2018-10-13 14:11:36</v>
      </c>
    </row>
    <row r="12715" spans="1:7" x14ac:dyDescent="0.2">
      <c r="A12715" t="s">
        <v>12725</v>
      </c>
      <c r="B12715" t="str">
        <f>"15913197024"</f>
        <v>15913197024</v>
      </c>
      <c r="C12715" t="str">
        <f>"441421199111042711"</f>
        <v>441421199111042711</v>
      </c>
      <c r="D12715" t="s">
        <v>1</v>
      </c>
      <c r="E12715" t="s">
        <v>1</v>
      </c>
      <c r="F12715" t="s">
        <v>0</v>
      </c>
      <c r="G12715" t="str">
        <f>"2018-10-13 14:11:59"</f>
        <v>2018-10-13 14:11:59</v>
      </c>
    </row>
    <row r="12716" spans="1:7" x14ac:dyDescent="0.2">
      <c r="A12716" t="s">
        <v>20</v>
      </c>
      <c r="B12716" t="str">
        <f>"15537200531"</f>
        <v>15537200531</v>
      </c>
      <c r="C12716" t="str">
        <f>"410503198605315021"</f>
        <v>410503198605315021</v>
      </c>
      <c r="D12716" t="s">
        <v>1</v>
      </c>
      <c r="E12716" t="s">
        <v>1</v>
      </c>
      <c r="F12716" t="s">
        <v>0</v>
      </c>
      <c r="G12716" t="str">
        <f>"2018-10-13 14:11:25"</f>
        <v>2018-10-13 14:11:25</v>
      </c>
    </row>
    <row r="12717" spans="1:7" x14ac:dyDescent="0.2">
      <c r="A12717" t="s">
        <v>12726</v>
      </c>
      <c r="B12717" t="str">
        <f>"15105617755"</f>
        <v>15105617755</v>
      </c>
      <c r="C12717" t="str">
        <f>"34060419910612021X"</f>
        <v>34060419910612021X</v>
      </c>
      <c r="D12717" t="s">
        <v>1</v>
      </c>
      <c r="E12717" t="s">
        <v>1</v>
      </c>
      <c r="F12717" t="s">
        <v>0</v>
      </c>
      <c r="G12717" t="str">
        <f>"2018-10-14 13:16:24"</f>
        <v>2018-10-14 13:16:24</v>
      </c>
    </row>
    <row r="12718" spans="1:7" x14ac:dyDescent="0.2">
      <c r="A12718" t="s">
        <v>12727</v>
      </c>
      <c r="B12718" t="str">
        <f>"17355036888"</f>
        <v>17355036888</v>
      </c>
      <c r="C12718" t="str">
        <f>"341182198910210417"</f>
        <v>341182198910210417</v>
      </c>
      <c r="D12718" t="s">
        <v>1</v>
      </c>
      <c r="E12718" t="s">
        <v>1</v>
      </c>
      <c r="F12718" t="s">
        <v>0</v>
      </c>
      <c r="G12718" t="str">
        <f>"2018-10-13 14:17:40"</f>
        <v>2018-10-13 14:17:40</v>
      </c>
    </row>
    <row r="12719" spans="1:7" x14ac:dyDescent="0.2">
      <c r="A12719" t="s">
        <v>1</v>
      </c>
      <c r="B12719" t="str">
        <f>"17156996433"</f>
        <v>17156996433</v>
      </c>
      <c r="C12719" t="s">
        <v>1</v>
      </c>
      <c r="D12719" t="s">
        <v>1</v>
      </c>
      <c r="E12719" t="s">
        <v>1</v>
      </c>
      <c r="F12719" t="s">
        <v>0</v>
      </c>
      <c r="G12719" t="str">
        <f>"2018-10-13 14:09:06"</f>
        <v>2018-10-13 14:09:06</v>
      </c>
    </row>
    <row r="12720" spans="1:7" x14ac:dyDescent="0.2">
      <c r="A12720" t="s">
        <v>12728</v>
      </c>
      <c r="B12720" t="str">
        <f>"13645286500"</f>
        <v>13645286500</v>
      </c>
      <c r="C12720" t="str">
        <f>"321182198103164318"</f>
        <v>321182198103164318</v>
      </c>
      <c r="D12720" t="s">
        <v>1</v>
      </c>
      <c r="E12720" t="s">
        <v>1</v>
      </c>
      <c r="F12720" t="s">
        <v>0</v>
      </c>
      <c r="G12720" t="str">
        <f>"2018-10-13 14:28:56"</f>
        <v>2018-10-13 14:28:56</v>
      </c>
    </row>
    <row r="12721" spans="1:7" x14ac:dyDescent="0.2">
      <c r="A12721" t="s">
        <v>12729</v>
      </c>
      <c r="B12721" t="str">
        <f>"15645252879"</f>
        <v>15645252879</v>
      </c>
      <c r="C12721" t="str">
        <f>"230221199504263020"</f>
        <v>230221199504263020</v>
      </c>
      <c r="D12721" t="s">
        <v>1</v>
      </c>
      <c r="E12721" t="s">
        <v>1</v>
      </c>
      <c r="F12721" t="s">
        <v>0</v>
      </c>
      <c r="G12721" t="str">
        <f>"2018-10-13 14:09:56"</f>
        <v>2018-10-13 14:09:56</v>
      </c>
    </row>
    <row r="12722" spans="1:7" x14ac:dyDescent="0.2">
      <c r="A12722" t="s">
        <v>12730</v>
      </c>
      <c r="B12722" t="str">
        <f>"13671853913"</f>
        <v>13671853913</v>
      </c>
      <c r="C12722" t="str">
        <f>"310106197605291217"</f>
        <v>310106197605291217</v>
      </c>
      <c r="D12722" t="s">
        <v>1</v>
      </c>
      <c r="E12722" t="s">
        <v>1</v>
      </c>
      <c r="F12722" t="s">
        <v>0</v>
      </c>
      <c r="G12722" t="str">
        <f>"2018-10-13 14:18:41"</f>
        <v>2018-10-13 14:18:41</v>
      </c>
    </row>
    <row r="12723" spans="1:7" x14ac:dyDescent="0.2">
      <c r="A12723" t="s">
        <v>1</v>
      </c>
      <c r="B12723" t="str">
        <f>"13887249839"</f>
        <v>13887249839</v>
      </c>
      <c r="C12723" t="s">
        <v>1</v>
      </c>
      <c r="D12723" t="s">
        <v>1</v>
      </c>
      <c r="E12723" t="s">
        <v>1</v>
      </c>
      <c r="F12723" t="s">
        <v>0</v>
      </c>
      <c r="G12723" t="str">
        <f>"2018-10-13 14:08:43"</f>
        <v>2018-10-13 14:08:43</v>
      </c>
    </row>
    <row r="12724" spans="1:7" x14ac:dyDescent="0.2">
      <c r="A12724" t="s">
        <v>12731</v>
      </c>
      <c r="B12724" t="str">
        <f>"17673128654"</f>
        <v>17673128654</v>
      </c>
      <c r="C12724" t="str">
        <f>"432501199812280017"</f>
        <v>432501199812280017</v>
      </c>
      <c r="D12724" t="s">
        <v>1</v>
      </c>
      <c r="E12724" t="s">
        <v>1</v>
      </c>
      <c r="F12724" t="s">
        <v>0</v>
      </c>
      <c r="G12724" t="str">
        <f>"2018-10-13 14:09:34"</f>
        <v>2018-10-13 14:09:34</v>
      </c>
    </row>
    <row r="12725" spans="1:7" x14ac:dyDescent="0.2">
      <c r="A12725" t="s">
        <v>12732</v>
      </c>
      <c r="B12725" t="str">
        <f>"15133595728"</f>
        <v>15133595728</v>
      </c>
      <c r="C12725" t="str">
        <f>"130323199110210211"</f>
        <v>130323199110210211</v>
      </c>
      <c r="D12725" t="s">
        <v>1</v>
      </c>
      <c r="E12725" t="s">
        <v>1</v>
      </c>
      <c r="F12725" t="s">
        <v>0</v>
      </c>
      <c r="G12725" t="str">
        <f>"2018-10-13 14:07:16"</f>
        <v>2018-10-13 14:07:16</v>
      </c>
    </row>
    <row r="12726" spans="1:7" x14ac:dyDescent="0.2">
      <c r="A12726" t="s">
        <v>12733</v>
      </c>
      <c r="B12726" t="str">
        <f>"18285598563"</f>
        <v>18285598563</v>
      </c>
      <c r="C12726" t="str">
        <f>"522625199102111110"</f>
        <v>522625199102111110</v>
      </c>
      <c r="D12726" t="s">
        <v>1</v>
      </c>
      <c r="E12726" t="s">
        <v>1</v>
      </c>
      <c r="F12726" t="s">
        <v>0</v>
      </c>
      <c r="G12726" t="str">
        <f>"2018-10-13 14:47:47"</f>
        <v>2018-10-13 14:47:47</v>
      </c>
    </row>
    <row r="12727" spans="1:7" x14ac:dyDescent="0.2">
      <c r="A12727" t="s">
        <v>12734</v>
      </c>
      <c r="B12727" t="str">
        <f>"15011614281"</f>
        <v>15011614281</v>
      </c>
      <c r="C12727" t="str">
        <f>"430524199405161769"</f>
        <v>430524199405161769</v>
      </c>
      <c r="D12727" t="s">
        <v>1</v>
      </c>
      <c r="E12727" t="s">
        <v>1</v>
      </c>
      <c r="F12727" t="s">
        <v>0</v>
      </c>
      <c r="G12727" t="str">
        <f>"2018-10-26 10:34:30"</f>
        <v>2018-10-26 10:34:30</v>
      </c>
    </row>
    <row r="12728" spans="1:7" x14ac:dyDescent="0.2">
      <c r="A12728" t="s">
        <v>12735</v>
      </c>
      <c r="B12728" t="str">
        <f>"18658168112"</f>
        <v>18658168112</v>
      </c>
      <c r="C12728" t="str">
        <f>"342502198410214236"</f>
        <v>342502198410214236</v>
      </c>
      <c r="D12728" t="s">
        <v>1</v>
      </c>
      <c r="E12728" t="s">
        <v>1</v>
      </c>
      <c r="F12728" t="s">
        <v>0</v>
      </c>
      <c r="G12728" t="str">
        <f>"2018-10-13 14:09:25"</f>
        <v>2018-10-13 14:09:25</v>
      </c>
    </row>
    <row r="12729" spans="1:7" x14ac:dyDescent="0.2">
      <c r="A12729" t="s">
        <v>12736</v>
      </c>
      <c r="B12729" t="str">
        <f>"13297753119"</f>
        <v>13297753119</v>
      </c>
      <c r="C12729" t="str">
        <f>"452501198611120913"</f>
        <v>452501198611120913</v>
      </c>
      <c r="D12729" t="s">
        <v>1</v>
      </c>
      <c r="E12729" t="s">
        <v>1</v>
      </c>
      <c r="F12729" t="s">
        <v>0</v>
      </c>
      <c r="G12729" t="str">
        <f>"2018-10-13 14:08:14"</f>
        <v>2018-10-13 14:08:14</v>
      </c>
    </row>
    <row r="12730" spans="1:7" x14ac:dyDescent="0.2">
      <c r="A12730" t="s">
        <v>1397</v>
      </c>
      <c r="B12730" t="str">
        <f>"17693145444"</f>
        <v>17693145444</v>
      </c>
      <c r="C12730" t="str">
        <f>"620421198708030412"</f>
        <v>620421198708030412</v>
      </c>
      <c r="D12730" t="s">
        <v>1</v>
      </c>
      <c r="E12730" t="s">
        <v>1</v>
      </c>
      <c r="F12730" t="s">
        <v>0</v>
      </c>
      <c r="G12730" t="str">
        <f>"2018-10-14 17:59:07"</f>
        <v>2018-10-14 17:59:07</v>
      </c>
    </row>
    <row r="12731" spans="1:7" x14ac:dyDescent="0.2">
      <c r="A12731" t="s">
        <v>12737</v>
      </c>
      <c r="B12731" t="str">
        <f>"15078341850"</f>
        <v>15078341850</v>
      </c>
      <c r="C12731" t="str">
        <f>"452325197908200936"</f>
        <v>452325197908200936</v>
      </c>
      <c r="D12731" t="s">
        <v>12738</v>
      </c>
      <c r="E12731" t="s">
        <v>12739</v>
      </c>
      <c r="F12731" t="s">
        <v>0</v>
      </c>
      <c r="G12731" t="str">
        <f>"2018-10-13 14:07:39"</f>
        <v>2018-10-13 14:07:39</v>
      </c>
    </row>
    <row r="12732" spans="1:7" x14ac:dyDescent="0.2">
      <c r="A12732" t="s">
        <v>1</v>
      </c>
      <c r="B12732" t="str">
        <f>"15677589383"</f>
        <v>15677589383</v>
      </c>
      <c r="C12732" t="s">
        <v>1</v>
      </c>
      <c r="D12732" t="s">
        <v>1</v>
      </c>
      <c r="E12732" t="s">
        <v>1</v>
      </c>
      <c r="F12732" t="s">
        <v>0</v>
      </c>
      <c r="G12732" t="str">
        <f>"2018-10-13 14:36:55"</f>
        <v>2018-10-13 14:36:55</v>
      </c>
    </row>
    <row r="12733" spans="1:7" x14ac:dyDescent="0.2">
      <c r="A12733" t="s">
        <v>12740</v>
      </c>
      <c r="B12733" t="str">
        <f>"13666572220"</f>
        <v>13666572220</v>
      </c>
      <c r="C12733" t="str">
        <f>"332529199510227010"</f>
        <v>332529199510227010</v>
      </c>
      <c r="D12733" t="s">
        <v>1</v>
      </c>
      <c r="E12733" t="s">
        <v>1</v>
      </c>
      <c r="F12733" t="s">
        <v>0</v>
      </c>
      <c r="G12733" t="str">
        <f>"2018-10-13 14:11:22"</f>
        <v>2018-10-13 14:11:22</v>
      </c>
    </row>
    <row r="12734" spans="1:7" x14ac:dyDescent="0.2">
      <c r="A12734" t="s">
        <v>12741</v>
      </c>
      <c r="B12734" t="str">
        <f>"15945629123"</f>
        <v>15945629123</v>
      </c>
      <c r="C12734" t="str">
        <f>"231121198207310127"</f>
        <v>231121198207310127</v>
      </c>
      <c r="D12734" t="s">
        <v>1</v>
      </c>
      <c r="E12734" t="s">
        <v>1</v>
      </c>
      <c r="F12734" t="s">
        <v>0</v>
      </c>
      <c r="G12734" t="str">
        <f>"2018-10-13 14:06:53"</f>
        <v>2018-10-13 14:06:53</v>
      </c>
    </row>
    <row r="12735" spans="1:7" x14ac:dyDescent="0.2">
      <c r="A12735" t="s">
        <v>12742</v>
      </c>
      <c r="B12735" t="str">
        <f>"18881998765"</f>
        <v>18881998765</v>
      </c>
      <c r="C12735" t="str">
        <f>"511525199103148419"</f>
        <v>511525199103148419</v>
      </c>
      <c r="D12735" t="s">
        <v>1</v>
      </c>
      <c r="E12735" t="s">
        <v>1</v>
      </c>
      <c r="F12735" t="s">
        <v>0</v>
      </c>
      <c r="G12735" t="str">
        <f>"2018-10-18 14:51:29"</f>
        <v>2018-10-18 14:51:29</v>
      </c>
    </row>
    <row r="12736" spans="1:7" x14ac:dyDescent="0.2">
      <c r="A12736" t="s">
        <v>12743</v>
      </c>
      <c r="B12736" t="str">
        <f>"13120623147"</f>
        <v>13120623147</v>
      </c>
      <c r="C12736" t="str">
        <f>"413026199604171518"</f>
        <v>413026199604171518</v>
      </c>
      <c r="D12736" t="s">
        <v>12744</v>
      </c>
      <c r="E12736" t="s">
        <v>12745</v>
      </c>
      <c r="F12736" t="s">
        <v>0</v>
      </c>
      <c r="G12736" t="str">
        <f>"2018-10-14 11:02:22"</f>
        <v>2018-10-14 11:02:22</v>
      </c>
    </row>
    <row r="12737" spans="1:7" x14ac:dyDescent="0.2">
      <c r="A12737" t="s">
        <v>1</v>
      </c>
      <c r="B12737" t="str">
        <f>"15025686353"</f>
        <v>15025686353</v>
      </c>
      <c r="C12737" t="s">
        <v>1</v>
      </c>
      <c r="D12737" t="s">
        <v>1</v>
      </c>
      <c r="E12737" t="s">
        <v>1</v>
      </c>
      <c r="F12737" t="s">
        <v>0</v>
      </c>
      <c r="G12737" t="str">
        <f>"2018-10-13 14:02:54"</f>
        <v>2018-10-13 14:02:54</v>
      </c>
    </row>
    <row r="12738" spans="1:7" x14ac:dyDescent="0.2">
      <c r="A12738" t="s">
        <v>12746</v>
      </c>
      <c r="B12738" t="str">
        <f>"13430102532"</f>
        <v>13430102532</v>
      </c>
      <c r="C12738" t="str">
        <f>"441421197304110451"</f>
        <v>441421197304110451</v>
      </c>
      <c r="D12738" t="s">
        <v>1</v>
      </c>
      <c r="E12738" t="s">
        <v>1</v>
      </c>
      <c r="F12738" t="s">
        <v>0</v>
      </c>
      <c r="G12738" t="str">
        <f>"2018-10-13 14:04:16"</f>
        <v>2018-10-13 14:04:16</v>
      </c>
    </row>
    <row r="12739" spans="1:7" x14ac:dyDescent="0.2">
      <c r="A12739" t="s">
        <v>12747</v>
      </c>
      <c r="B12739" t="str">
        <f>"18844371456"</f>
        <v>18844371456</v>
      </c>
      <c r="C12739" t="str">
        <f>"222404198506231225"</f>
        <v>222404198506231225</v>
      </c>
      <c r="D12739" t="s">
        <v>1</v>
      </c>
      <c r="E12739" t="s">
        <v>1</v>
      </c>
      <c r="F12739" t="s">
        <v>0</v>
      </c>
      <c r="G12739" t="str">
        <f>"2018-10-14 08:44:57"</f>
        <v>2018-10-14 08:44:57</v>
      </c>
    </row>
    <row r="12740" spans="1:7" x14ac:dyDescent="0.2">
      <c r="A12740" t="s">
        <v>1</v>
      </c>
      <c r="B12740" t="str">
        <f>"18860152987"</f>
        <v>18860152987</v>
      </c>
      <c r="C12740" t="s">
        <v>1</v>
      </c>
      <c r="D12740" t="s">
        <v>1</v>
      </c>
      <c r="E12740" t="s">
        <v>1</v>
      </c>
      <c r="F12740" t="s">
        <v>0</v>
      </c>
      <c r="G12740" t="str">
        <f>"2018-10-13 14:01:26"</f>
        <v>2018-10-13 14:01:26</v>
      </c>
    </row>
    <row r="12741" spans="1:7" x14ac:dyDescent="0.2">
      <c r="A12741" t="s">
        <v>12748</v>
      </c>
      <c r="B12741" t="str">
        <f>"18209673915"</f>
        <v>18209673915</v>
      </c>
      <c r="C12741" t="str">
        <f>"612422197311230573"</f>
        <v>612422197311230573</v>
      </c>
      <c r="D12741" t="s">
        <v>1</v>
      </c>
      <c r="E12741" t="s">
        <v>1</v>
      </c>
      <c r="F12741" t="s">
        <v>0</v>
      </c>
      <c r="G12741" t="str">
        <f>"2018-10-13 14:01:24"</f>
        <v>2018-10-13 14:01:24</v>
      </c>
    </row>
    <row r="12742" spans="1:7" x14ac:dyDescent="0.2">
      <c r="A12742" t="s">
        <v>1</v>
      </c>
      <c r="B12742" t="str">
        <f>"17776914531"</f>
        <v>17776914531</v>
      </c>
      <c r="C12742" t="s">
        <v>1</v>
      </c>
      <c r="D12742" t="s">
        <v>1</v>
      </c>
      <c r="E12742" t="s">
        <v>1</v>
      </c>
      <c r="F12742" t="s">
        <v>0</v>
      </c>
      <c r="G12742" t="str">
        <f>"2018-10-13 14:03:01"</f>
        <v>2018-10-13 14:03:01</v>
      </c>
    </row>
    <row r="12743" spans="1:7" x14ac:dyDescent="0.2">
      <c r="A12743" t="s">
        <v>12749</v>
      </c>
      <c r="B12743" t="str">
        <f>"15871107696"</f>
        <v>15871107696</v>
      </c>
      <c r="C12743" t="str">
        <f>"42032519830213066X"</f>
        <v>42032519830213066X</v>
      </c>
      <c r="D12743" t="s">
        <v>1</v>
      </c>
      <c r="E12743" t="s">
        <v>1</v>
      </c>
      <c r="F12743" t="s">
        <v>0</v>
      </c>
      <c r="G12743" t="str">
        <f>"2018-10-13 14:03:28"</f>
        <v>2018-10-13 14:03:28</v>
      </c>
    </row>
    <row r="12744" spans="1:7" x14ac:dyDescent="0.2">
      <c r="A12744" t="s">
        <v>12750</v>
      </c>
      <c r="B12744" t="str">
        <f>"13890906677"</f>
        <v>13890906677</v>
      </c>
      <c r="C12744" t="str">
        <f>"511525198503145378"</f>
        <v>511525198503145378</v>
      </c>
      <c r="D12744" t="s">
        <v>12751</v>
      </c>
      <c r="E12744" t="s">
        <v>12752</v>
      </c>
      <c r="F12744" t="s">
        <v>0</v>
      </c>
      <c r="G12744" t="str">
        <f>"2018-10-13 14:02:25"</f>
        <v>2018-10-13 14:02:25</v>
      </c>
    </row>
    <row r="12745" spans="1:7" x14ac:dyDescent="0.2">
      <c r="A12745" t="s">
        <v>12753</v>
      </c>
      <c r="B12745" t="str">
        <f>"15659735189"</f>
        <v>15659735189</v>
      </c>
      <c r="C12745" t="str">
        <f>"350121198312255234"</f>
        <v>350121198312255234</v>
      </c>
      <c r="D12745" t="s">
        <v>12754</v>
      </c>
      <c r="E12745" t="s">
        <v>12755</v>
      </c>
      <c r="F12745" t="s">
        <v>0</v>
      </c>
      <c r="G12745" t="str">
        <f>"2018-10-13 14:01:23"</f>
        <v>2018-10-13 14:01:23</v>
      </c>
    </row>
    <row r="12746" spans="1:7" x14ac:dyDescent="0.2">
      <c r="A12746" t="s">
        <v>12756</v>
      </c>
      <c r="B12746" t="str">
        <f>"18712450998"</f>
        <v>18712450998</v>
      </c>
      <c r="C12746" t="str">
        <f>"340321198004156233"</f>
        <v>340321198004156233</v>
      </c>
      <c r="D12746" t="s">
        <v>12757</v>
      </c>
      <c r="E12746" t="s">
        <v>12758</v>
      </c>
      <c r="F12746" t="s">
        <v>0</v>
      </c>
      <c r="G12746" t="str">
        <f>"2018-10-26 15:35:58"</f>
        <v>2018-10-26 15:35:58</v>
      </c>
    </row>
    <row r="12747" spans="1:7" x14ac:dyDescent="0.2">
      <c r="A12747" t="s">
        <v>12759</v>
      </c>
      <c r="B12747" t="str">
        <f>"18937429086"</f>
        <v>18937429086</v>
      </c>
      <c r="C12747" t="str">
        <f>"411081199611033263"</f>
        <v>411081199611033263</v>
      </c>
      <c r="D12747" t="s">
        <v>1</v>
      </c>
      <c r="E12747" t="s">
        <v>1</v>
      </c>
      <c r="F12747" t="s">
        <v>0</v>
      </c>
      <c r="G12747" t="str">
        <f>"2018-10-13 14:01:21"</f>
        <v>2018-10-13 14:01:21</v>
      </c>
    </row>
    <row r="12748" spans="1:7" x14ac:dyDescent="0.2">
      <c r="A12748" t="s">
        <v>1</v>
      </c>
      <c r="B12748" t="str">
        <f>"18800594501"</f>
        <v>18800594501</v>
      </c>
      <c r="C12748" t="s">
        <v>1</v>
      </c>
      <c r="D12748" t="s">
        <v>1</v>
      </c>
      <c r="E12748" t="s">
        <v>1</v>
      </c>
      <c r="F12748" t="s">
        <v>0</v>
      </c>
      <c r="G12748" t="str">
        <f>"2018-10-13 13:59:47"</f>
        <v>2018-10-13 13:59:47</v>
      </c>
    </row>
    <row r="12749" spans="1:7" x14ac:dyDescent="0.2">
      <c r="A12749" t="s">
        <v>1475</v>
      </c>
      <c r="B12749" t="str">
        <f>"17621421729"</f>
        <v>17621421729</v>
      </c>
      <c r="C12749" t="str">
        <f>"420606199307298033"</f>
        <v>420606199307298033</v>
      </c>
      <c r="D12749" t="s">
        <v>12760</v>
      </c>
      <c r="E12749" t="s">
        <v>12761</v>
      </c>
      <c r="F12749" t="s">
        <v>0</v>
      </c>
      <c r="G12749" t="str">
        <f>"2018-10-13 14:06:18"</f>
        <v>2018-10-13 14:06:18</v>
      </c>
    </row>
    <row r="12750" spans="1:7" x14ac:dyDescent="0.2">
      <c r="A12750" t="s">
        <v>12762</v>
      </c>
      <c r="B12750" t="str">
        <f>"18638533406"</f>
        <v>18638533406</v>
      </c>
      <c r="C12750" t="str">
        <f>"410181198811286580"</f>
        <v>410181198811286580</v>
      </c>
      <c r="D12750" t="s">
        <v>1</v>
      </c>
      <c r="E12750" t="s">
        <v>1</v>
      </c>
      <c r="F12750" t="s">
        <v>0</v>
      </c>
      <c r="G12750" t="str">
        <f>"2018-10-13 14:30:36"</f>
        <v>2018-10-13 14:30:36</v>
      </c>
    </row>
    <row r="12751" spans="1:7" x14ac:dyDescent="0.2">
      <c r="A12751" t="s">
        <v>118</v>
      </c>
      <c r="B12751" t="str">
        <f>"18309787216"</f>
        <v>18309787216</v>
      </c>
      <c r="C12751" t="str">
        <f>"63010319970614005X"</f>
        <v>63010319970614005X</v>
      </c>
      <c r="D12751" t="s">
        <v>1</v>
      </c>
      <c r="E12751" t="s">
        <v>1</v>
      </c>
      <c r="F12751" t="s">
        <v>0</v>
      </c>
      <c r="G12751" t="str">
        <f>"2018-10-13 13:59:28"</f>
        <v>2018-10-13 13:59:28</v>
      </c>
    </row>
    <row r="12752" spans="1:7" x14ac:dyDescent="0.2">
      <c r="A12752" t="s">
        <v>12763</v>
      </c>
      <c r="B12752" t="str">
        <f>"17755877438"</f>
        <v>17755877438</v>
      </c>
      <c r="C12752" t="str">
        <f>"341204199210120817"</f>
        <v>341204199210120817</v>
      </c>
      <c r="D12752" t="s">
        <v>1</v>
      </c>
      <c r="E12752" t="s">
        <v>1</v>
      </c>
      <c r="F12752" t="s">
        <v>0</v>
      </c>
      <c r="G12752" t="str">
        <f>"2018-11-04 16:00:06"</f>
        <v>2018-11-04 16:00:06</v>
      </c>
    </row>
    <row r="12753" spans="1:7" x14ac:dyDescent="0.2">
      <c r="A12753" t="s">
        <v>1</v>
      </c>
      <c r="B12753" t="str">
        <f>"15566677177"</f>
        <v>15566677177</v>
      </c>
      <c r="C12753" t="s">
        <v>1</v>
      </c>
      <c r="D12753" t="s">
        <v>1</v>
      </c>
      <c r="E12753" t="s">
        <v>1</v>
      </c>
      <c r="F12753" t="s">
        <v>0</v>
      </c>
      <c r="G12753" t="str">
        <f>"2018-10-13 13:58:47"</f>
        <v>2018-10-13 13:58:47</v>
      </c>
    </row>
    <row r="12754" spans="1:7" x14ac:dyDescent="0.2">
      <c r="A12754" t="s">
        <v>1</v>
      </c>
      <c r="B12754" t="str">
        <f>"13236073872"</f>
        <v>13236073872</v>
      </c>
      <c r="C12754" t="s">
        <v>1</v>
      </c>
      <c r="D12754" t="s">
        <v>1</v>
      </c>
      <c r="E12754" t="s">
        <v>1</v>
      </c>
      <c r="F12754" t="s">
        <v>0</v>
      </c>
      <c r="G12754" t="str">
        <f>"2018-10-13 14:00:20"</f>
        <v>2018-10-13 14:00:20</v>
      </c>
    </row>
    <row r="12755" spans="1:7" x14ac:dyDescent="0.2">
      <c r="A12755" t="s">
        <v>699</v>
      </c>
      <c r="B12755" t="str">
        <f>"17520141196"</f>
        <v>17520141196</v>
      </c>
      <c r="C12755" t="str">
        <f>"360722199310063111"</f>
        <v>360722199310063111</v>
      </c>
      <c r="D12755" t="s">
        <v>1</v>
      </c>
      <c r="E12755" t="s">
        <v>1</v>
      </c>
      <c r="F12755" t="s">
        <v>0</v>
      </c>
      <c r="G12755" t="str">
        <f>"2018-10-13 14:01:18"</f>
        <v>2018-10-13 14:01:18</v>
      </c>
    </row>
    <row r="12756" spans="1:7" x14ac:dyDescent="0.2">
      <c r="A12756" t="s">
        <v>12764</v>
      </c>
      <c r="B12756" t="str">
        <f>"18671692346"</f>
        <v>18671692346</v>
      </c>
      <c r="C12756" t="str">
        <f>"422801198512271020"</f>
        <v>422801198512271020</v>
      </c>
      <c r="D12756" t="s">
        <v>1</v>
      </c>
      <c r="E12756" t="s">
        <v>1</v>
      </c>
      <c r="F12756" t="s">
        <v>0</v>
      </c>
      <c r="G12756" t="str">
        <f>"2018-10-13 14:03:09"</f>
        <v>2018-10-13 14:03:09</v>
      </c>
    </row>
    <row r="12757" spans="1:7" x14ac:dyDescent="0.2">
      <c r="A12757" t="s">
        <v>12765</v>
      </c>
      <c r="B12757" t="str">
        <f>"18632908257"</f>
        <v>18632908257</v>
      </c>
      <c r="C12757" t="str">
        <f>"132235198108291232"</f>
        <v>132235198108291232</v>
      </c>
      <c r="D12757" t="s">
        <v>1</v>
      </c>
      <c r="E12757" t="s">
        <v>1</v>
      </c>
      <c r="F12757" t="s">
        <v>0</v>
      </c>
      <c r="G12757" t="str">
        <f>"2018-10-13 13:59:05"</f>
        <v>2018-10-13 13:59:05</v>
      </c>
    </row>
    <row r="12758" spans="1:7" x14ac:dyDescent="0.2">
      <c r="A12758" t="s">
        <v>1</v>
      </c>
      <c r="B12758" t="str">
        <f>"15638325728"</f>
        <v>15638325728</v>
      </c>
      <c r="C12758" t="s">
        <v>1</v>
      </c>
      <c r="D12758" t="s">
        <v>1</v>
      </c>
      <c r="E12758" t="s">
        <v>1</v>
      </c>
      <c r="F12758" t="s">
        <v>0</v>
      </c>
      <c r="G12758" t="str">
        <f>"2018-10-13 13:59:18"</f>
        <v>2018-10-13 13:59:18</v>
      </c>
    </row>
    <row r="12759" spans="1:7" x14ac:dyDescent="0.2">
      <c r="A12759" t="s">
        <v>1</v>
      </c>
      <c r="B12759" t="str">
        <f>"15717258277"</f>
        <v>15717258277</v>
      </c>
      <c r="C12759" t="s">
        <v>1</v>
      </c>
      <c r="D12759" t="s">
        <v>1</v>
      </c>
      <c r="E12759" t="s">
        <v>1</v>
      </c>
      <c r="F12759" t="s">
        <v>0</v>
      </c>
      <c r="G12759" t="str">
        <f>"2018-10-13 13:57:00"</f>
        <v>2018-10-13 13:57:00</v>
      </c>
    </row>
    <row r="12760" spans="1:7" x14ac:dyDescent="0.2">
      <c r="A12760" t="s">
        <v>12766</v>
      </c>
      <c r="B12760" t="str">
        <f>"13814693916"</f>
        <v>13814693916</v>
      </c>
      <c r="C12760" t="str">
        <f>"320684198410138717"</f>
        <v>320684198410138717</v>
      </c>
      <c r="D12760" t="s">
        <v>1</v>
      </c>
      <c r="E12760" t="s">
        <v>1</v>
      </c>
      <c r="F12760" t="s">
        <v>0</v>
      </c>
      <c r="G12760" t="str">
        <f>"2018-10-13 14:00:18"</f>
        <v>2018-10-13 14:00:18</v>
      </c>
    </row>
    <row r="12761" spans="1:7" x14ac:dyDescent="0.2">
      <c r="A12761" t="s">
        <v>12767</v>
      </c>
      <c r="B12761" t="str">
        <f>"17756349063"</f>
        <v>17756349063</v>
      </c>
      <c r="C12761" t="str">
        <f>"342501199704047814"</f>
        <v>342501199704047814</v>
      </c>
      <c r="D12761" t="s">
        <v>1</v>
      </c>
      <c r="E12761" t="s">
        <v>1</v>
      </c>
      <c r="F12761" t="s">
        <v>0</v>
      </c>
      <c r="G12761" t="str">
        <f>"2018-10-13 14:01:29"</f>
        <v>2018-10-13 14:01:29</v>
      </c>
    </row>
    <row r="12762" spans="1:7" x14ac:dyDescent="0.2">
      <c r="A12762" t="s">
        <v>703</v>
      </c>
      <c r="B12762" t="str">
        <f>"13170028903"</f>
        <v>13170028903</v>
      </c>
      <c r="C12762" t="str">
        <f>"342625199305011693"</f>
        <v>342625199305011693</v>
      </c>
      <c r="D12762" t="s">
        <v>1</v>
      </c>
      <c r="E12762" t="s">
        <v>1</v>
      </c>
      <c r="F12762" t="s">
        <v>0</v>
      </c>
      <c r="G12762" t="str">
        <f>"2018-10-13 14:08:51"</f>
        <v>2018-10-13 14:08:51</v>
      </c>
    </row>
    <row r="12763" spans="1:7" x14ac:dyDescent="0.2">
      <c r="A12763" t="s">
        <v>1</v>
      </c>
      <c r="B12763" t="str">
        <f>"18570014694"</f>
        <v>18570014694</v>
      </c>
      <c r="C12763" t="s">
        <v>1</v>
      </c>
      <c r="D12763" t="s">
        <v>1</v>
      </c>
      <c r="E12763" t="s">
        <v>1</v>
      </c>
      <c r="F12763" t="s">
        <v>0</v>
      </c>
      <c r="G12763" t="str">
        <f>"2018-10-13 13:59:46"</f>
        <v>2018-10-13 13:59:46</v>
      </c>
    </row>
    <row r="12764" spans="1:7" x14ac:dyDescent="0.2">
      <c r="A12764" t="s">
        <v>12768</v>
      </c>
      <c r="B12764" t="str">
        <f>"15026743790"</f>
        <v>15026743790</v>
      </c>
      <c r="C12764" t="str">
        <f>"342422199304122578"</f>
        <v>342422199304122578</v>
      </c>
      <c r="D12764" t="s">
        <v>1</v>
      </c>
      <c r="E12764" t="s">
        <v>1</v>
      </c>
      <c r="F12764" t="s">
        <v>0</v>
      </c>
      <c r="G12764" t="str">
        <f>"2018-10-13 13:57:33"</f>
        <v>2018-10-13 13:57:33</v>
      </c>
    </row>
    <row r="12765" spans="1:7" x14ac:dyDescent="0.2">
      <c r="A12765" t="s">
        <v>12769</v>
      </c>
      <c r="B12765" t="str">
        <f>"18817428930"</f>
        <v>18817428930</v>
      </c>
      <c r="C12765" t="str">
        <f>"320922199512105416"</f>
        <v>320922199512105416</v>
      </c>
      <c r="D12765" t="s">
        <v>1</v>
      </c>
      <c r="E12765" t="s">
        <v>1</v>
      </c>
      <c r="F12765" t="s">
        <v>0</v>
      </c>
      <c r="G12765" t="str">
        <f>"2018-10-13 13:58:18"</f>
        <v>2018-10-13 13:58:18</v>
      </c>
    </row>
    <row r="12766" spans="1:7" x14ac:dyDescent="0.2">
      <c r="A12766" t="s">
        <v>1</v>
      </c>
      <c r="B12766" t="str">
        <f>"18725387695"</f>
        <v>18725387695</v>
      </c>
      <c r="C12766" t="s">
        <v>1</v>
      </c>
      <c r="D12766" t="s">
        <v>1</v>
      </c>
      <c r="E12766" t="s">
        <v>1</v>
      </c>
      <c r="F12766" t="s">
        <v>0</v>
      </c>
      <c r="G12766" t="str">
        <f>"2018-10-13 13:55:24"</f>
        <v>2018-10-13 13:55:24</v>
      </c>
    </row>
    <row r="12767" spans="1:7" x14ac:dyDescent="0.2">
      <c r="A12767" t="s">
        <v>12770</v>
      </c>
      <c r="B12767" t="str">
        <f>"15108765754"</f>
        <v>15108765754</v>
      </c>
      <c r="C12767" t="str">
        <f>"530426198908072123"</f>
        <v>530426198908072123</v>
      </c>
      <c r="D12767" t="s">
        <v>1</v>
      </c>
      <c r="E12767" t="s">
        <v>1</v>
      </c>
      <c r="F12767" t="s">
        <v>0</v>
      </c>
      <c r="G12767" t="str">
        <f>"2018-10-13 14:09:47"</f>
        <v>2018-10-13 14:09:47</v>
      </c>
    </row>
    <row r="12768" spans="1:7" x14ac:dyDescent="0.2">
      <c r="A12768" t="s">
        <v>12771</v>
      </c>
      <c r="B12768" t="str">
        <f>"15723872595"</f>
        <v>15723872595</v>
      </c>
      <c r="C12768" t="str">
        <f>"450922199012053137"</f>
        <v>450922199012053137</v>
      </c>
      <c r="D12768" t="s">
        <v>1</v>
      </c>
      <c r="E12768" t="s">
        <v>1</v>
      </c>
      <c r="F12768" t="s">
        <v>0</v>
      </c>
      <c r="G12768" t="str">
        <f>"2018-10-13 13:56:27"</f>
        <v>2018-10-13 13:56:27</v>
      </c>
    </row>
    <row r="12769" spans="1:7" x14ac:dyDescent="0.2">
      <c r="A12769" t="s">
        <v>12772</v>
      </c>
      <c r="B12769" t="str">
        <f>"15009886731"</f>
        <v>15009886731</v>
      </c>
      <c r="C12769" t="str">
        <f>"210104198607312825"</f>
        <v>210104198607312825</v>
      </c>
      <c r="D12769" t="s">
        <v>1</v>
      </c>
      <c r="E12769" t="s">
        <v>1</v>
      </c>
      <c r="F12769" t="s">
        <v>0</v>
      </c>
      <c r="G12769" t="str">
        <f>"2018-10-13 14:01:22"</f>
        <v>2018-10-13 14:01:22</v>
      </c>
    </row>
    <row r="12770" spans="1:7" x14ac:dyDescent="0.2">
      <c r="A12770" t="s">
        <v>1</v>
      </c>
      <c r="B12770" t="str">
        <f>"15578614446"</f>
        <v>15578614446</v>
      </c>
      <c r="C12770" t="s">
        <v>1</v>
      </c>
      <c r="D12770" t="s">
        <v>1</v>
      </c>
      <c r="E12770" t="s">
        <v>1</v>
      </c>
      <c r="F12770" t="s">
        <v>0</v>
      </c>
      <c r="G12770" t="str">
        <f>"2018-10-13 13:54:54"</f>
        <v>2018-10-13 13:54:54</v>
      </c>
    </row>
    <row r="12771" spans="1:7" x14ac:dyDescent="0.2">
      <c r="A12771" t="s">
        <v>1</v>
      </c>
      <c r="B12771" t="str">
        <f>"18613887516"</f>
        <v>18613887516</v>
      </c>
      <c r="C12771" t="s">
        <v>1</v>
      </c>
      <c r="D12771" t="s">
        <v>1</v>
      </c>
      <c r="E12771" t="s">
        <v>1</v>
      </c>
      <c r="F12771" t="s">
        <v>0</v>
      </c>
      <c r="G12771" t="str">
        <f>"2018-10-13 13:56:56"</f>
        <v>2018-10-13 13:56:56</v>
      </c>
    </row>
    <row r="12772" spans="1:7" x14ac:dyDescent="0.2">
      <c r="A12772" t="s">
        <v>12773</v>
      </c>
      <c r="B12772" t="str">
        <f>"15104871679"</f>
        <v>15104871679</v>
      </c>
      <c r="C12772" t="str">
        <f>"152129198511192518"</f>
        <v>152129198511192518</v>
      </c>
      <c r="D12772" t="s">
        <v>1</v>
      </c>
      <c r="E12772" t="s">
        <v>1</v>
      </c>
      <c r="F12772" t="s">
        <v>0</v>
      </c>
      <c r="G12772" t="str">
        <f>"2018-10-13 13:57:28"</f>
        <v>2018-10-13 13:57:28</v>
      </c>
    </row>
    <row r="12773" spans="1:7" x14ac:dyDescent="0.2">
      <c r="A12773" t="s">
        <v>12774</v>
      </c>
      <c r="B12773" t="str">
        <f>"18982035538"</f>
        <v>18982035538</v>
      </c>
      <c r="C12773" t="str">
        <f>"51012319941017251X"</f>
        <v>51012319941017251X</v>
      </c>
      <c r="D12773" t="s">
        <v>12775</v>
      </c>
      <c r="E12773" t="s">
        <v>12776</v>
      </c>
      <c r="F12773" t="s">
        <v>0</v>
      </c>
      <c r="G12773" t="str">
        <f>"2018-10-13 14:04:07"</f>
        <v>2018-10-13 14:04:07</v>
      </c>
    </row>
    <row r="12774" spans="1:7" x14ac:dyDescent="0.2">
      <c r="A12774" t="s">
        <v>12777</v>
      </c>
      <c r="B12774" t="str">
        <f>"18928913575"</f>
        <v>18928913575</v>
      </c>
      <c r="C12774" t="str">
        <f>"440182199003190958"</f>
        <v>440182199003190958</v>
      </c>
      <c r="D12774" t="s">
        <v>1</v>
      </c>
      <c r="E12774" t="s">
        <v>1</v>
      </c>
      <c r="F12774" t="s">
        <v>0</v>
      </c>
      <c r="G12774" t="str">
        <f>"2018-10-13 13:55:59"</f>
        <v>2018-10-13 13:55:59</v>
      </c>
    </row>
    <row r="12775" spans="1:7" x14ac:dyDescent="0.2">
      <c r="A12775" t="s">
        <v>12778</v>
      </c>
      <c r="B12775" t="str">
        <f>"18314255850"</f>
        <v>18314255850</v>
      </c>
      <c r="C12775" t="str">
        <f>"532927199708060515"</f>
        <v>532927199708060515</v>
      </c>
      <c r="D12775" t="s">
        <v>1</v>
      </c>
      <c r="E12775" t="s">
        <v>1</v>
      </c>
      <c r="F12775" t="s">
        <v>0</v>
      </c>
      <c r="G12775" t="str">
        <f>"2018-10-13 13:56:02"</f>
        <v>2018-10-13 13:56:02</v>
      </c>
    </row>
    <row r="12776" spans="1:7" x14ac:dyDescent="0.2">
      <c r="A12776" t="s">
        <v>1</v>
      </c>
      <c r="B12776" t="str">
        <f>"13079230309"</f>
        <v>13079230309</v>
      </c>
      <c r="C12776" t="s">
        <v>1</v>
      </c>
      <c r="D12776" t="s">
        <v>1</v>
      </c>
      <c r="E12776" t="s">
        <v>1</v>
      </c>
      <c r="F12776" t="s">
        <v>0</v>
      </c>
      <c r="G12776" t="str">
        <f>"2018-10-13 13:52:51"</f>
        <v>2018-10-13 13:52:51</v>
      </c>
    </row>
    <row r="12777" spans="1:7" x14ac:dyDescent="0.2">
      <c r="A12777" t="s">
        <v>1</v>
      </c>
      <c r="B12777" t="str">
        <f>"15103066701"</f>
        <v>15103066701</v>
      </c>
      <c r="C12777" t="s">
        <v>1</v>
      </c>
      <c r="D12777" t="s">
        <v>1</v>
      </c>
      <c r="E12777" t="s">
        <v>1</v>
      </c>
      <c r="F12777" t="s">
        <v>0</v>
      </c>
      <c r="G12777" t="str">
        <f>"2018-10-13 13:52:28"</f>
        <v>2018-10-13 13:52:28</v>
      </c>
    </row>
    <row r="12778" spans="1:7" x14ac:dyDescent="0.2">
      <c r="A12778" t="s">
        <v>12779</v>
      </c>
      <c r="B12778" t="str">
        <f>"13185017182"</f>
        <v>13185017182</v>
      </c>
      <c r="C12778" t="str">
        <f>"330106198310233034"</f>
        <v>330106198310233034</v>
      </c>
      <c r="D12778" t="s">
        <v>1</v>
      </c>
      <c r="E12778" t="s">
        <v>1</v>
      </c>
      <c r="F12778" t="s">
        <v>0</v>
      </c>
      <c r="G12778" t="str">
        <f>"2018-10-13 13:53:57"</f>
        <v>2018-10-13 13:53:57</v>
      </c>
    </row>
    <row r="12779" spans="1:7" x14ac:dyDescent="0.2">
      <c r="A12779" t="s">
        <v>12780</v>
      </c>
      <c r="B12779" t="str">
        <f>"18292052774"</f>
        <v>18292052774</v>
      </c>
      <c r="C12779" t="str">
        <f>"610102199301083114"</f>
        <v>610102199301083114</v>
      </c>
      <c r="D12779" t="s">
        <v>1</v>
      </c>
      <c r="E12779" t="s">
        <v>1</v>
      </c>
      <c r="F12779" t="s">
        <v>0</v>
      </c>
      <c r="G12779" t="str">
        <f>"2018-10-13 13:54:55"</f>
        <v>2018-10-13 13:54:55</v>
      </c>
    </row>
    <row r="12780" spans="1:7" x14ac:dyDescent="0.2">
      <c r="A12780" t="s">
        <v>12781</v>
      </c>
      <c r="B12780" t="str">
        <f>"15037968045"</f>
        <v>15037968045</v>
      </c>
      <c r="C12780" t="str">
        <f>"41031119921214451X"</f>
        <v>41031119921214451X</v>
      </c>
      <c r="D12780" t="s">
        <v>1</v>
      </c>
      <c r="E12780" t="s">
        <v>1</v>
      </c>
      <c r="F12780" t="s">
        <v>0</v>
      </c>
      <c r="G12780" t="str">
        <f>"2018-10-13 14:00:38"</f>
        <v>2018-10-13 14:00:38</v>
      </c>
    </row>
    <row r="12781" spans="1:7" x14ac:dyDescent="0.2">
      <c r="A12781" t="s">
        <v>12782</v>
      </c>
      <c r="B12781" t="str">
        <f>"18004425137"</f>
        <v>18004425137</v>
      </c>
      <c r="C12781" t="str">
        <f>"220103199202074312"</f>
        <v>220103199202074312</v>
      </c>
      <c r="D12781" t="s">
        <v>1</v>
      </c>
      <c r="E12781" t="s">
        <v>1</v>
      </c>
      <c r="F12781" t="s">
        <v>0</v>
      </c>
      <c r="G12781" t="str">
        <f>"2018-10-13 13:54:43"</f>
        <v>2018-10-13 13:54:43</v>
      </c>
    </row>
    <row r="12782" spans="1:7" x14ac:dyDescent="0.2">
      <c r="A12782" t="s">
        <v>12783</v>
      </c>
      <c r="B12782" t="str">
        <f>"18955053302"</f>
        <v>18955053302</v>
      </c>
      <c r="C12782" t="str">
        <f>"341124198412312417"</f>
        <v>341124198412312417</v>
      </c>
      <c r="D12782" t="s">
        <v>1</v>
      </c>
      <c r="E12782" t="s">
        <v>1</v>
      </c>
      <c r="F12782" t="s">
        <v>0</v>
      </c>
      <c r="G12782" t="str">
        <f>"2018-10-13 13:56:16"</f>
        <v>2018-10-13 13:56:16</v>
      </c>
    </row>
    <row r="12783" spans="1:7" x14ac:dyDescent="0.2">
      <c r="A12783" t="s">
        <v>12784</v>
      </c>
      <c r="B12783" t="str">
        <f>"18824288862"</f>
        <v>18824288862</v>
      </c>
      <c r="C12783" t="str">
        <f>"340602198609252014"</f>
        <v>340602198609252014</v>
      </c>
      <c r="D12783" t="s">
        <v>1</v>
      </c>
      <c r="E12783" t="s">
        <v>1</v>
      </c>
      <c r="F12783" t="s">
        <v>0</v>
      </c>
      <c r="G12783" t="str">
        <f>"2018-10-17 11:15:33"</f>
        <v>2018-10-17 11:15:33</v>
      </c>
    </row>
    <row r="12784" spans="1:7" x14ac:dyDescent="0.2">
      <c r="A12784" t="s">
        <v>1</v>
      </c>
      <c r="B12784" t="str">
        <f>"17645086103"</f>
        <v>17645086103</v>
      </c>
      <c r="C12784" t="s">
        <v>1</v>
      </c>
      <c r="D12784" t="s">
        <v>1</v>
      </c>
      <c r="E12784" t="s">
        <v>1</v>
      </c>
      <c r="F12784" t="s">
        <v>0</v>
      </c>
      <c r="G12784" t="str">
        <f>"2018-10-13 13:52:21"</f>
        <v>2018-10-13 13:52:21</v>
      </c>
    </row>
    <row r="12785" spans="1:7" x14ac:dyDescent="0.2">
      <c r="A12785" t="s">
        <v>12785</v>
      </c>
      <c r="B12785" t="str">
        <f>"18761681900"</f>
        <v>18761681900</v>
      </c>
      <c r="C12785" t="str">
        <f>"342426199007294619"</f>
        <v>342426199007294619</v>
      </c>
      <c r="D12785" t="s">
        <v>12786</v>
      </c>
      <c r="E12785" t="s">
        <v>12787</v>
      </c>
      <c r="F12785" t="s">
        <v>0</v>
      </c>
      <c r="G12785" t="str">
        <f>"2018-10-13 13:51:56"</f>
        <v>2018-10-13 13:51:56</v>
      </c>
    </row>
    <row r="12786" spans="1:7" x14ac:dyDescent="0.2">
      <c r="A12786" t="s">
        <v>1</v>
      </c>
      <c r="B12786" t="str">
        <f>"13372229227"</f>
        <v>13372229227</v>
      </c>
      <c r="C12786" t="s">
        <v>1</v>
      </c>
      <c r="D12786" t="s">
        <v>1</v>
      </c>
      <c r="E12786" t="s">
        <v>1</v>
      </c>
      <c r="F12786" t="s">
        <v>0</v>
      </c>
      <c r="G12786" t="str">
        <f>"2018-10-13 13:51:57"</f>
        <v>2018-10-13 13:51:57</v>
      </c>
    </row>
    <row r="12787" spans="1:7" x14ac:dyDescent="0.2">
      <c r="A12787" t="s">
        <v>1</v>
      </c>
      <c r="B12787" t="str">
        <f>"17156996432"</f>
        <v>17156996432</v>
      </c>
      <c r="C12787" t="s">
        <v>1</v>
      </c>
      <c r="D12787" t="s">
        <v>1</v>
      </c>
      <c r="E12787" t="s">
        <v>1</v>
      </c>
      <c r="F12787" t="s">
        <v>0</v>
      </c>
      <c r="G12787" t="str">
        <f>"2018-10-13 13:50:38"</f>
        <v>2018-10-13 13:50:38</v>
      </c>
    </row>
    <row r="12788" spans="1:7" x14ac:dyDescent="0.2">
      <c r="A12788" t="s">
        <v>12788</v>
      </c>
      <c r="B12788" t="str">
        <f>"15132134978"</f>
        <v>15132134978</v>
      </c>
      <c r="C12788" t="str">
        <f>"130121199508180020"</f>
        <v>130121199508180020</v>
      </c>
      <c r="D12788" t="s">
        <v>1</v>
      </c>
      <c r="E12788" t="s">
        <v>1</v>
      </c>
      <c r="F12788" t="s">
        <v>0</v>
      </c>
      <c r="G12788" t="str">
        <f>"2018-10-13 14:43:11"</f>
        <v>2018-10-13 14:43:11</v>
      </c>
    </row>
    <row r="12789" spans="1:7" x14ac:dyDescent="0.2">
      <c r="A12789" t="s">
        <v>12789</v>
      </c>
      <c r="B12789" t="str">
        <f>"13739235383"</f>
        <v>13739235383</v>
      </c>
      <c r="C12789" t="str">
        <f>"340104198812090511"</f>
        <v>340104198812090511</v>
      </c>
      <c r="D12789" t="s">
        <v>1</v>
      </c>
      <c r="E12789" t="s">
        <v>1</v>
      </c>
      <c r="F12789" t="s">
        <v>0</v>
      </c>
      <c r="G12789" t="str">
        <f>"2018-10-13 13:52:49"</f>
        <v>2018-10-13 13:52:49</v>
      </c>
    </row>
    <row r="12790" spans="1:7" x14ac:dyDescent="0.2">
      <c r="A12790" t="s">
        <v>12790</v>
      </c>
      <c r="B12790" t="str">
        <f>"18035789527"</f>
        <v>18035789527</v>
      </c>
      <c r="C12790" t="str">
        <f>"141002199008260137"</f>
        <v>141002199008260137</v>
      </c>
      <c r="D12790" t="s">
        <v>1</v>
      </c>
      <c r="E12790" t="s">
        <v>1</v>
      </c>
      <c r="F12790" t="s">
        <v>0</v>
      </c>
      <c r="G12790" t="str">
        <f>"2018-10-13 13:50:53"</f>
        <v>2018-10-13 13:50:53</v>
      </c>
    </row>
    <row r="12791" spans="1:7" x14ac:dyDescent="0.2">
      <c r="A12791" t="s">
        <v>12791</v>
      </c>
      <c r="B12791" t="str">
        <f>"15280027320"</f>
        <v>15280027320</v>
      </c>
      <c r="C12791" t="str">
        <f>"350122199208233829"</f>
        <v>350122199208233829</v>
      </c>
      <c r="D12791" t="s">
        <v>1</v>
      </c>
      <c r="E12791" t="s">
        <v>1</v>
      </c>
      <c r="F12791" t="s">
        <v>0</v>
      </c>
      <c r="G12791" t="str">
        <f>"2018-10-13 15:43:10"</f>
        <v>2018-10-13 15:43:10</v>
      </c>
    </row>
    <row r="12792" spans="1:7" x14ac:dyDescent="0.2">
      <c r="A12792" t="s">
        <v>1</v>
      </c>
      <c r="B12792" t="str">
        <f>"15215730217"</f>
        <v>15215730217</v>
      </c>
      <c r="C12792" t="s">
        <v>1</v>
      </c>
      <c r="D12792" t="s">
        <v>1</v>
      </c>
      <c r="E12792" t="s">
        <v>1</v>
      </c>
      <c r="F12792" t="s">
        <v>0</v>
      </c>
      <c r="G12792" t="str">
        <f>"2018-10-13 13:48:44"</f>
        <v>2018-10-13 13:48:44</v>
      </c>
    </row>
    <row r="12793" spans="1:7" x14ac:dyDescent="0.2">
      <c r="A12793" t="s">
        <v>12792</v>
      </c>
      <c r="B12793" t="str">
        <f>"18022700002"</f>
        <v>18022700002</v>
      </c>
      <c r="C12793" t="str">
        <f>"513029198303010890"</f>
        <v>513029198303010890</v>
      </c>
      <c r="D12793" t="s">
        <v>1</v>
      </c>
      <c r="E12793" t="s">
        <v>1</v>
      </c>
      <c r="F12793" t="s">
        <v>0</v>
      </c>
      <c r="G12793" t="str">
        <f>"2018-10-13 13:50:20"</f>
        <v>2018-10-13 13:50:20</v>
      </c>
    </row>
    <row r="12794" spans="1:7" x14ac:dyDescent="0.2">
      <c r="A12794" t="s">
        <v>1</v>
      </c>
      <c r="B12794" t="str">
        <f>"15168321357"</f>
        <v>15168321357</v>
      </c>
      <c r="C12794" t="s">
        <v>1</v>
      </c>
      <c r="D12794" t="s">
        <v>1</v>
      </c>
      <c r="E12794" t="s">
        <v>1</v>
      </c>
      <c r="F12794" t="s">
        <v>0</v>
      </c>
      <c r="G12794" t="str">
        <f>"2018-10-13 13:48:22"</f>
        <v>2018-10-13 13:48:22</v>
      </c>
    </row>
    <row r="12795" spans="1:7" x14ac:dyDescent="0.2">
      <c r="A12795" t="s">
        <v>12793</v>
      </c>
      <c r="B12795" t="str">
        <f>"13670952291"</f>
        <v>13670952291</v>
      </c>
      <c r="C12795" t="str">
        <f>"44088119940804271X"</f>
        <v>44088119940804271X</v>
      </c>
      <c r="D12795" t="s">
        <v>1</v>
      </c>
      <c r="E12795" t="s">
        <v>1</v>
      </c>
      <c r="F12795" t="s">
        <v>0</v>
      </c>
      <c r="G12795" t="str">
        <f>"2018-10-13 13:50:00"</f>
        <v>2018-10-13 13:50:00</v>
      </c>
    </row>
    <row r="12796" spans="1:7" x14ac:dyDescent="0.2">
      <c r="A12796" t="s">
        <v>12794</v>
      </c>
      <c r="B12796" t="str">
        <f>"18273091355"</f>
        <v>18273091355</v>
      </c>
      <c r="C12796" t="str">
        <f>"430682197409100031"</f>
        <v>430682197409100031</v>
      </c>
      <c r="D12796" t="s">
        <v>12795</v>
      </c>
      <c r="E12796" t="s">
        <v>12796</v>
      </c>
      <c r="F12796" t="s">
        <v>0</v>
      </c>
      <c r="G12796" t="str">
        <f>"2018-10-13 13:48:57"</f>
        <v>2018-10-13 13:48:57</v>
      </c>
    </row>
    <row r="12797" spans="1:7" x14ac:dyDescent="0.2">
      <c r="A12797" t="s">
        <v>12797</v>
      </c>
      <c r="B12797" t="str">
        <f>"15053321588"</f>
        <v>15053321588</v>
      </c>
      <c r="C12797" t="str">
        <f>"420621196212163814"</f>
        <v>420621196212163814</v>
      </c>
      <c r="D12797" t="s">
        <v>12798</v>
      </c>
      <c r="E12797" t="s">
        <v>12799</v>
      </c>
      <c r="F12797" t="s">
        <v>0</v>
      </c>
      <c r="G12797" t="str">
        <f>"2018-10-13 13:50:02"</f>
        <v>2018-10-13 13:50:02</v>
      </c>
    </row>
    <row r="12798" spans="1:7" x14ac:dyDescent="0.2">
      <c r="A12798" t="s">
        <v>1566</v>
      </c>
      <c r="B12798" t="str">
        <f>"13021740895"</f>
        <v>13021740895</v>
      </c>
      <c r="C12798" t="str">
        <f>"370112198111047137"</f>
        <v>370112198111047137</v>
      </c>
      <c r="D12798" t="s">
        <v>1</v>
      </c>
      <c r="E12798" t="s">
        <v>1</v>
      </c>
      <c r="F12798" t="s">
        <v>0</v>
      </c>
      <c r="G12798" t="str">
        <f>"2018-10-14 09:50:29"</f>
        <v>2018-10-14 09:50:29</v>
      </c>
    </row>
    <row r="12799" spans="1:7" x14ac:dyDescent="0.2">
      <c r="A12799" t="s">
        <v>1</v>
      </c>
      <c r="B12799" t="str">
        <f>"18993595357"</f>
        <v>18993595357</v>
      </c>
      <c r="C12799" t="s">
        <v>1</v>
      </c>
      <c r="D12799" t="s">
        <v>1</v>
      </c>
      <c r="E12799" t="s">
        <v>1</v>
      </c>
      <c r="F12799" t="s">
        <v>0</v>
      </c>
      <c r="G12799" t="str">
        <f>"2018-10-13 13:47:11"</f>
        <v>2018-10-13 13:47:11</v>
      </c>
    </row>
    <row r="12800" spans="1:7" x14ac:dyDescent="0.2">
      <c r="A12800" t="s">
        <v>12800</v>
      </c>
      <c r="B12800" t="str">
        <f>"15917383559"</f>
        <v>15917383559</v>
      </c>
      <c r="C12800" t="str">
        <f>"460003198810072614"</f>
        <v>460003198810072614</v>
      </c>
      <c r="D12800" t="s">
        <v>12801</v>
      </c>
      <c r="E12800" t="s">
        <v>12802</v>
      </c>
      <c r="F12800" t="s">
        <v>0</v>
      </c>
      <c r="G12800" t="str">
        <f>"2018-10-13 13:50:56"</f>
        <v>2018-10-13 13:50:56</v>
      </c>
    </row>
    <row r="12801" spans="1:7" x14ac:dyDescent="0.2">
      <c r="A12801" t="s">
        <v>12803</v>
      </c>
      <c r="B12801" t="str">
        <f>"18675828184"</f>
        <v>18675828184</v>
      </c>
      <c r="C12801" t="str">
        <f>"412825199405205347"</f>
        <v>412825199405205347</v>
      </c>
      <c r="D12801" t="s">
        <v>1</v>
      </c>
      <c r="E12801" t="s">
        <v>1</v>
      </c>
      <c r="F12801" t="s">
        <v>0</v>
      </c>
      <c r="G12801" t="str">
        <f>"2018-10-13 13:51:31"</f>
        <v>2018-10-13 13:51:31</v>
      </c>
    </row>
    <row r="12802" spans="1:7" x14ac:dyDescent="0.2">
      <c r="A12802" t="s">
        <v>1721</v>
      </c>
      <c r="B12802" t="str">
        <f>"13581196882"</f>
        <v>13581196882</v>
      </c>
      <c r="C12802" t="str">
        <f>"370982199802017292"</f>
        <v>370982199802017292</v>
      </c>
      <c r="D12802" t="s">
        <v>1</v>
      </c>
      <c r="E12802" t="s">
        <v>1</v>
      </c>
      <c r="F12802" t="s">
        <v>0</v>
      </c>
      <c r="G12802" t="str">
        <f>"2018-10-13 13:45:57"</f>
        <v>2018-10-13 13:45:57</v>
      </c>
    </row>
    <row r="12803" spans="1:7" x14ac:dyDescent="0.2">
      <c r="A12803" t="s">
        <v>12804</v>
      </c>
      <c r="B12803" t="str">
        <f>"15222022447"</f>
        <v>15222022447</v>
      </c>
      <c r="C12803" t="str">
        <f>"21102119950904291X"</f>
        <v>21102119950904291X</v>
      </c>
      <c r="D12803" t="s">
        <v>12805</v>
      </c>
      <c r="E12803" t="s">
        <v>12806</v>
      </c>
      <c r="F12803" t="s">
        <v>0</v>
      </c>
      <c r="G12803" t="str">
        <f>"2018-10-13 13:48:44"</f>
        <v>2018-10-13 13:48:44</v>
      </c>
    </row>
    <row r="12804" spans="1:7" x14ac:dyDescent="0.2">
      <c r="A12804" t="s">
        <v>12807</v>
      </c>
      <c r="B12804" t="str">
        <f>"15185166215"</f>
        <v>15185166215</v>
      </c>
      <c r="C12804" t="str">
        <f>"520203198505064316"</f>
        <v>520203198505064316</v>
      </c>
      <c r="D12804" t="s">
        <v>1</v>
      </c>
      <c r="E12804" t="s">
        <v>1</v>
      </c>
      <c r="F12804" t="s">
        <v>0</v>
      </c>
      <c r="G12804" t="str">
        <f>"2018-10-13 14:01:07"</f>
        <v>2018-10-13 14:01:07</v>
      </c>
    </row>
    <row r="12805" spans="1:7" x14ac:dyDescent="0.2">
      <c r="A12805" t="s">
        <v>12808</v>
      </c>
      <c r="B12805" t="str">
        <f>"17607841124"</f>
        <v>17607841124</v>
      </c>
      <c r="C12805" t="str">
        <f>"452424199212150078"</f>
        <v>452424199212150078</v>
      </c>
      <c r="D12805" t="s">
        <v>1</v>
      </c>
      <c r="E12805" t="s">
        <v>1</v>
      </c>
      <c r="F12805" t="s">
        <v>0</v>
      </c>
      <c r="G12805" t="str">
        <f>"2018-10-13 13:46:01"</f>
        <v>2018-10-13 13:46:01</v>
      </c>
    </row>
    <row r="12806" spans="1:7" x14ac:dyDescent="0.2">
      <c r="A12806" t="s">
        <v>12809</v>
      </c>
      <c r="B12806" t="str">
        <f>"15141367282"</f>
        <v>15141367282</v>
      </c>
      <c r="C12806" t="str">
        <f>"210423198104130419"</f>
        <v>210423198104130419</v>
      </c>
      <c r="D12806" t="s">
        <v>12810</v>
      </c>
      <c r="E12806" t="s">
        <v>12811</v>
      </c>
      <c r="F12806" t="s">
        <v>0</v>
      </c>
      <c r="G12806" t="str">
        <f>"2018-10-13 13:45:43"</f>
        <v>2018-10-13 13:45:43</v>
      </c>
    </row>
    <row r="12807" spans="1:7" x14ac:dyDescent="0.2">
      <c r="A12807" t="s">
        <v>12812</v>
      </c>
      <c r="B12807" t="str">
        <f>"13609914851"</f>
        <v>13609914851</v>
      </c>
      <c r="C12807" t="str">
        <f>"650103198508030617"</f>
        <v>650103198508030617</v>
      </c>
      <c r="D12807" t="s">
        <v>1</v>
      </c>
      <c r="E12807" t="s">
        <v>1</v>
      </c>
      <c r="F12807" t="s">
        <v>0</v>
      </c>
      <c r="G12807" t="str">
        <f>"2018-10-13 13:46:35"</f>
        <v>2018-10-13 13:46:35</v>
      </c>
    </row>
    <row r="12808" spans="1:7" x14ac:dyDescent="0.2">
      <c r="A12808" t="s">
        <v>12813</v>
      </c>
      <c r="B12808" t="str">
        <f>"18710703406"</f>
        <v>18710703406</v>
      </c>
      <c r="C12808" t="str">
        <f>"350321198406151525"</f>
        <v>350321198406151525</v>
      </c>
      <c r="D12808" t="s">
        <v>1</v>
      </c>
      <c r="E12808" t="s">
        <v>1</v>
      </c>
      <c r="F12808" t="s">
        <v>0</v>
      </c>
      <c r="G12808" t="str">
        <f>"2018-10-13 13:45:32"</f>
        <v>2018-10-13 13:45:32</v>
      </c>
    </row>
    <row r="12809" spans="1:7" x14ac:dyDescent="0.2">
      <c r="A12809" t="s">
        <v>1</v>
      </c>
      <c r="B12809" t="str">
        <f>"13631498956"</f>
        <v>13631498956</v>
      </c>
      <c r="C12809" t="s">
        <v>1</v>
      </c>
      <c r="D12809" t="s">
        <v>1</v>
      </c>
      <c r="E12809" t="s">
        <v>1</v>
      </c>
      <c r="F12809" t="s">
        <v>0</v>
      </c>
      <c r="G12809" t="str">
        <f>"2018-10-13 13:43:52"</f>
        <v>2018-10-13 13:43:52</v>
      </c>
    </row>
    <row r="12810" spans="1:7" x14ac:dyDescent="0.2">
      <c r="A12810" t="s">
        <v>1</v>
      </c>
      <c r="B12810" t="str">
        <f>"15838065219"</f>
        <v>15838065219</v>
      </c>
      <c r="C12810" t="s">
        <v>1</v>
      </c>
      <c r="D12810" t="s">
        <v>1</v>
      </c>
      <c r="E12810" t="s">
        <v>1</v>
      </c>
      <c r="F12810" t="s">
        <v>0</v>
      </c>
      <c r="G12810" t="str">
        <f>"2018-10-13 13:43:51"</f>
        <v>2018-10-13 13:43:51</v>
      </c>
    </row>
    <row r="12811" spans="1:7" x14ac:dyDescent="0.2">
      <c r="A12811" t="s">
        <v>12814</v>
      </c>
      <c r="B12811" t="str">
        <f>"13598817295"</f>
        <v>13598817295</v>
      </c>
      <c r="C12811" t="str">
        <f>"410182198512110020"</f>
        <v>410182198512110020</v>
      </c>
      <c r="D12811" t="s">
        <v>1</v>
      </c>
      <c r="E12811" t="s">
        <v>1</v>
      </c>
      <c r="F12811" t="s">
        <v>0</v>
      </c>
      <c r="G12811" t="str">
        <f>"2018-10-13 13:43:45"</f>
        <v>2018-10-13 13:43:45</v>
      </c>
    </row>
    <row r="12812" spans="1:7" x14ac:dyDescent="0.2">
      <c r="A12812" t="s">
        <v>12815</v>
      </c>
      <c r="B12812" t="str">
        <f>"18693783551"</f>
        <v>18693783551</v>
      </c>
      <c r="C12812" t="str">
        <f>"420602198611271564"</f>
        <v>420602198611271564</v>
      </c>
      <c r="D12812" t="s">
        <v>1</v>
      </c>
      <c r="E12812" t="s">
        <v>1</v>
      </c>
      <c r="F12812" t="s">
        <v>0</v>
      </c>
      <c r="G12812" t="str">
        <f>"2018-10-13 14:05:10"</f>
        <v>2018-10-13 14:05:10</v>
      </c>
    </row>
    <row r="12813" spans="1:7" x14ac:dyDescent="0.2">
      <c r="A12813" t="s">
        <v>12816</v>
      </c>
      <c r="B12813" t="str">
        <f>"13225961620"</f>
        <v>13225961620</v>
      </c>
      <c r="C12813" t="str">
        <f>"420683198206160914"</f>
        <v>420683198206160914</v>
      </c>
      <c r="D12813" t="s">
        <v>1</v>
      </c>
      <c r="E12813" t="s">
        <v>1</v>
      </c>
      <c r="F12813" t="s">
        <v>0</v>
      </c>
      <c r="G12813" t="str">
        <f>"2018-10-13 13:46:16"</f>
        <v>2018-10-13 13:46:16</v>
      </c>
    </row>
    <row r="12814" spans="1:7" x14ac:dyDescent="0.2">
      <c r="A12814" t="s">
        <v>12817</v>
      </c>
      <c r="B12814" t="str">
        <f>"13278905678"</f>
        <v>13278905678</v>
      </c>
      <c r="C12814" t="str">
        <f>"341221199703083176"</f>
        <v>341221199703083176</v>
      </c>
      <c r="D12814" t="s">
        <v>1</v>
      </c>
      <c r="E12814" t="s">
        <v>1</v>
      </c>
      <c r="F12814" t="s">
        <v>0</v>
      </c>
      <c r="G12814" t="str">
        <f>"2018-10-13 13:45:46"</f>
        <v>2018-10-13 13:45:46</v>
      </c>
    </row>
    <row r="12815" spans="1:7" x14ac:dyDescent="0.2">
      <c r="A12815" t="s">
        <v>12818</v>
      </c>
      <c r="B12815" t="str">
        <f>"15005605553"</f>
        <v>15005605553</v>
      </c>
      <c r="C12815" t="str">
        <f>"340122198103182416"</f>
        <v>340122198103182416</v>
      </c>
      <c r="D12815" t="s">
        <v>1</v>
      </c>
      <c r="E12815" t="s">
        <v>1</v>
      </c>
      <c r="F12815" t="s">
        <v>0</v>
      </c>
      <c r="G12815" t="str">
        <f>"2018-10-13 14:31:15"</f>
        <v>2018-10-13 14:31:15</v>
      </c>
    </row>
    <row r="12816" spans="1:7" x14ac:dyDescent="0.2">
      <c r="A12816" t="s">
        <v>12819</v>
      </c>
      <c r="B12816" t="str">
        <f>"18299700844"</f>
        <v>18299700844</v>
      </c>
      <c r="C12816" t="str">
        <f>"653022199504283829"</f>
        <v>653022199504283829</v>
      </c>
      <c r="D12816" t="s">
        <v>1</v>
      </c>
      <c r="E12816" t="s">
        <v>1</v>
      </c>
      <c r="F12816" t="s">
        <v>0</v>
      </c>
      <c r="G12816" t="str">
        <f>"2018-10-29 14:59:23"</f>
        <v>2018-10-29 14:59:23</v>
      </c>
    </row>
    <row r="12817" spans="1:7" x14ac:dyDescent="0.2">
      <c r="A12817" t="s">
        <v>1</v>
      </c>
      <c r="B12817" t="str">
        <f>"18666786321"</f>
        <v>18666786321</v>
      </c>
      <c r="C12817" t="s">
        <v>1</v>
      </c>
      <c r="D12817" t="s">
        <v>1</v>
      </c>
      <c r="E12817" t="s">
        <v>1</v>
      </c>
      <c r="F12817" t="s">
        <v>0</v>
      </c>
      <c r="G12817" t="str">
        <f>"2018-10-13 13:42:27"</f>
        <v>2018-10-13 13:42:27</v>
      </c>
    </row>
    <row r="12818" spans="1:7" x14ac:dyDescent="0.2">
      <c r="A12818" t="s">
        <v>1</v>
      </c>
      <c r="B12818" t="str">
        <f>"18572818050"</f>
        <v>18572818050</v>
      </c>
      <c r="C12818" t="s">
        <v>1</v>
      </c>
      <c r="D12818" t="s">
        <v>1</v>
      </c>
      <c r="E12818" t="s">
        <v>1</v>
      </c>
      <c r="F12818" t="s">
        <v>0</v>
      </c>
      <c r="G12818" t="str">
        <f>"2018-10-13 13:42:18"</f>
        <v>2018-10-13 13:42:18</v>
      </c>
    </row>
    <row r="12819" spans="1:7" x14ac:dyDescent="0.2">
      <c r="A12819" t="s">
        <v>12820</v>
      </c>
      <c r="B12819" t="str">
        <f>"13686395262"</f>
        <v>13686395262</v>
      </c>
      <c r="C12819" t="str">
        <f>"371323198401032137"</f>
        <v>371323198401032137</v>
      </c>
      <c r="D12819" t="s">
        <v>1</v>
      </c>
      <c r="E12819" t="s">
        <v>1</v>
      </c>
      <c r="F12819" t="s">
        <v>0</v>
      </c>
      <c r="G12819" t="str">
        <f>"2018-10-16 20:39:11"</f>
        <v>2018-10-16 20:39:11</v>
      </c>
    </row>
    <row r="12820" spans="1:7" x14ac:dyDescent="0.2">
      <c r="A12820" t="s">
        <v>12821</v>
      </c>
      <c r="B12820" t="str">
        <f>"18577003121"</f>
        <v>18577003121</v>
      </c>
      <c r="C12820" t="str">
        <f>"450621199309082614"</f>
        <v>450621199309082614</v>
      </c>
      <c r="D12820" t="s">
        <v>1</v>
      </c>
      <c r="E12820" t="s">
        <v>1</v>
      </c>
      <c r="F12820" t="s">
        <v>0</v>
      </c>
      <c r="G12820" t="str">
        <f>"2018-10-18 13:01:20"</f>
        <v>2018-10-18 13:01:20</v>
      </c>
    </row>
    <row r="12821" spans="1:7" x14ac:dyDescent="0.2">
      <c r="A12821" t="s">
        <v>12822</v>
      </c>
      <c r="B12821" t="str">
        <f>"13845452994"</f>
        <v>13845452994</v>
      </c>
      <c r="C12821" t="str">
        <f>"220283199001208019"</f>
        <v>220283199001208019</v>
      </c>
      <c r="D12821" t="s">
        <v>1</v>
      </c>
      <c r="E12821" t="s">
        <v>1</v>
      </c>
      <c r="F12821" t="s">
        <v>0</v>
      </c>
      <c r="G12821" t="str">
        <f>"2018-10-13 14:47:34"</f>
        <v>2018-10-13 14:47:34</v>
      </c>
    </row>
    <row r="12822" spans="1:7" x14ac:dyDescent="0.2">
      <c r="A12822" t="s">
        <v>12823</v>
      </c>
      <c r="B12822" t="str">
        <f>"13649313486"</f>
        <v>13649313486</v>
      </c>
      <c r="C12822" t="str">
        <f>"620102199210236519"</f>
        <v>620102199210236519</v>
      </c>
      <c r="D12822" t="s">
        <v>1</v>
      </c>
      <c r="E12822" t="s">
        <v>1</v>
      </c>
      <c r="F12822" t="s">
        <v>0</v>
      </c>
      <c r="G12822" t="str">
        <f>"2018-10-13 13:56:42"</f>
        <v>2018-10-13 13:56:42</v>
      </c>
    </row>
    <row r="12823" spans="1:7" x14ac:dyDescent="0.2">
      <c r="A12823" t="s">
        <v>12824</v>
      </c>
      <c r="B12823" t="str">
        <f>"18625216510"</f>
        <v>18625216510</v>
      </c>
      <c r="C12823" t="str">
        <f>"410825199212285510"</f>
        <v>410825199212285510</v>
      </c>
      <c r="D12823" t="s">
        <v>1</v>
      </c>
      <c r="E12823" t="s">
        <v>1</v>
      </c>
      <c r="F12823" t="s">
        <v>0</v>
      </c>
      <c r="G12823" t="str">
        <f>"2018-10-13 13:39:24"</f>
        <v>2018-10-13 13:39:24</v>
      </c>
    </row>
    <row r="12824" spans="1:7" x14ac:dyDescent="0.2">
      <c r="A12824" t="s">
        <v>12825</v>
      </c>
      <c r="B12824" t="str">
        <f>"18203666397"</f>
        <v>18203666397</v>
      </c>
      <c r="C12824" t="str">
        <f>"410381198506215031"</f>
        <v>410381198506215031</v>
      </c>
      <c r="D12824" t="s">
        <v>1</v>
      </c>
      <c r="E12824" t="s">
        <v>1</v>
      </c>
      <c r="F12824" t="s">
        <v>0</v>
      </c>
      <c r="G12824" t="str">
        <f>"2018-10-13 13:40:57"</f>
        <v>2018-10-13 13:40:57</v>
      </c>
    </row>
    <row r="12825" spans="1:7" x14ac:dyDescent="0.2">
      <c r="A12825" t="s">
        <v>12826</v>
      </c>
      <c r="B12825" t="str">
        <f>"13788800384"</f>
        <v>13788800384</v>
      </c>
      <c r="C12825" t="str">
        <f>"350125198709151914"</f>
        <v>350125198709151914</v>
      </c>
      <c r="D12825" t="s">
        <v>1</v>
      </c>
      <c r="E12825" t="s">
        <v>1</v>
      </c>
      <c r="F12825" t="s">
        <v>0</v>
      </c>
      <c r="G12825" t="str">
        <f>"2018-10-14 10:43:45"</f>
        <v>2018-10-14 10:43:45</v>
      </c>
    </row>
    <row r="12826" spans="1:7" x14ac:dyDescent="0.2">
      <c r="A12826" t="s">
        <v>1</v>
      </c>
      <c r="B12826" t="str">
        <f>"15685748008"</f>
        <v>15685748008</v>
      </c>
      <c r="C12826" t="s">
        <v>1</v>
      </c>
      <c r="D12826" t="s">
        <v>1</v>
      </c>
      <c r="E12826" t="s">
        <v>1</v>
      </c>
      <c r="F12826" t="s">
        <v>0</v>
      </c>
      <c r="G12826" t="str">
        <f>"2018-10-13 13:40:25"</f>
        <v>2018-10-13 13:40:25</v>
      </c>
    </row>
    <row r="12827" spans="1:7" x14ac:dyDescent="0.2">
      <c r="A12827" t="s">
        <v>1</v>
      </c>
      <c r="B12827" t="str">
        <f>"15886542086"</f>
        <v>15886542086</v>
      </c>
      <c r="C12827" t="s">
        <v>1</v>
      </c>
      <c r="D12827" t="s">
        <v>1</v>
      </c>
      <c r="E12827" t="s">
        <v>1</v>
      </c>
      <c r="F12827" t="s">
        <v>0</v>
      </c>
      <c r="G12827" t="str">
        <f>"2018-10-13 13:38:45"</f>
        <v>2018-10-13 13:38:45</v>
      </c>
    </row>
    <row r="12828" spans="1:7" x14ac:dyDescent="0.2">
      <c r="A12828" t="s">
        <v>777</v>
      </c>
      <c r="B12828" t="str">
        <f>"18699900629"</f>
        <v>18699900629</v>
      </c>
      <c r="C12828" t="str">
        <f>"511023199306297510"</f>
        <v>511023199306297510</v>
      </c>
      <c r="D12828" t="s">
        <v>1</v>
      </c>
      <c r="E12828" t="s">
        <v>1</v>
      </c>
      <c r="F12828" t="s">
        <v>0</v>
      </c>
      <c r="G12828" t="str">
        <f>"2018-10-28 17:00:14"</f>
        <v>2018-10-28 17:00:14</v>
      </c>
    </row>
    <row r="12829" spans="1:7" x14ac:dyDescent="0.2">
      <c r="A12829" t="s">
        <v>12827</v>
      </c>
      <c r="B12829" t="str">
        <f>"18453038956"</f>
        <v>18453038956</v>
      </c>
      <c r="C12829" t="str">
        <f>"37292619830509252X"</f>
        <v>37292619830509252X</v>
      </c>
      <c r="D12829" t="s">
        <v>1</v>
      </c>
      <c r="E12829" t="s">
        <v>1</v>
      </c>
      <c r="F12829" t="s">
        <v>0</v>
      </c>
      <c r="G12829" t="str">
        <f>"2018-10-13 13:38:19"</f>
        <v>2018-10-13 13:38:19</v>
      </c>
    </row>
    <row r="12830" spans="1:7" x14ac:dyDescent="0.2">
      <c r="A12830" t="s">
        <v>12828</v>
      </c>
      <c r="B12830" t="str">
        <f>"13796878286"</f>
        <v>13796878286</v>
      </c>
      <c r="C12830" t="str">
        <f>"230206197707220220"</f>
        <v>230206197707220220</v>
      </c>
      <c r="D12830" t="s">
        <v>1</v>
      </c>
      <c r="E12830" t="s">
        <v>1</v>
      </c>
      <c r="F12830" t="s">
        <v>0</v>
      </c>
      <c r="G12830" t="str">
        <f>"2018-10-13 13:37:48"</f>
        <v>2018-10-13 13:37:48</v>
      </c>
    </row>
    <row r="12831" spans="1:7" x14ac:dyDescent="0.2">
      <c r="A12831" t="s">
        <v>12829</v>
      </c>
      <c r="B12831" t="str">
        <f>"15130200090"</f>
        <v>15130200090</v>
      </c>
      <c r="C12831" t="str">
        <f>"130123198403103350"</f>
        <v>130123198403103350</v>
      </c>
      <c r="D12831" t="s">
        <v>12830</v>
      </c>
      <c r="E12831" t="s">
        <v>12831</v>
      </c>
      <c r="F12831" t="s">
        <v>0</v>
      </c>
      <c r="G12831" t="str">
        <f>"2018-10-13 13:38:06"</f>
        <v>2018-10-13 13:38:06</v>
      </c>
    </row>
    <row r="12832" spans="1:7" x14ac:dyDescent="0.2">
      <c r="A12832" t="s">
        <v>284</v>
      </c>
      <c r="B12832" t="str">
        <f>"15059363630"</f>
        <v>15059363630</v>
      </c>
      <c r="C12832" t="str">
        <f>"352201199407291613"</f>
        <v>352201199407291613</v>
      </c>
      <c r="D12832" t="s">
        <v>1</v>
      </c>
      <c r="E12832" t="s">
        <v>1</v>
      </c>
      <c r="F12832" t="s">
        <v>0</v>
      </c>
      <c r="G12832" t="str">
        <f>"2018-10-13 13:37:44"</f>
        <v>2018-10-13 13:37:44</v>
      </c>
    </row>
    <row r="12833" spans="1:7" x14ac:dyDescent="0.2">
      <c r="A12833" t="s">
        <v>835</v>
      </c>
      <c r="B12833" t="str">
        <f>"18848942525"</f>
        <v>18848942525</v>
      </c>
      <c r="C12833" t="str">
        <f>"411222198702257517"</f>
        <v>411222198702257517</v>
      </c>
      <c r="D12833" t="s">
        <v>1</v>
      </c>
      <c r="E12833" t="s">
        <v>1</v>
      </c>
      <c r="F12833" t="s">
        <v>0</v>
      </c>
      <c r="G12833" t="str">
        <f>"2018-10-13 13:37:38"</f>
        <v>2018-10-13 13:37:38</v>
      </c>
    </row>
    <row r="12834" spans="1:7" x14ac:dyDescent="0.2">
      <c r="A12834" t="s">
        <v>12832</v>
      </c>
      <c r="B12834" t="str">
        <f>"15837328197"</f>
        <v>15837328197</v>
      </c>
      <c r="C12834" t="str">
        <f>"410702198906140530"</f>
        <v>410702198906140530</v>
      </c>
      <c r="D12834" t="s">
        <v>12833</v>
      </c>
      <c r="E12834" t="s">
        <v>12834</v>
      </c>
      <c r="F12834" t="s">
        <v>0</v>
      </c>
      <c r="G12834" t="str">
        <f>"2018-10-13 13:46:17"</f>
        <v>2018-10-13 13:46:17</v>
      </c>
    </row>
    <row r="12835" spans="1:7" x14ac:dyDescent="0.2">
      <c r="A12835" t="s">
        <v>12835</v>
      </c>
      <c r="B12835" t="str">
        <f>"15840327370"</f>
        <v>15840327370</v>
      </c>
      <c r="C12835" t="str">
        <f>"211302199211201217"</f>
        <v>211302199211201217</v>
      </c>
      <c r="D12835" t="s">
        <v>1</v>
      </c>
      <c r="E12835" t="s">
        <v>1</v>
      </c>
      <c r="F12835" t="s">
        <v>0</v>
      </c>
      <c r="G12835" t="str">
        <f>"2018-10-13 13:37:15"</f>
        <v>2018-10-13 13:37:15</v>
      </c>
    </row>
    <row r="12836" spans="1:7" x14ac:dyDescent="0.2">
      <c r="A12836" t="s">
        <v>1</v>
      </c>
      <c r="B12836" t="str">
        <f>"13137288333"</f>
        <v>13137288333</v>
      </c>
      <c r="C12836" t="s">
        <v>1</v>
      </c>
      <c r="D12836" t="s">
        <v>1</v>
      </c>
      <c r="E12836" t="s">
        <v>1</v>
      </c>
      <c r="F12836" t="s">
        <v>0</v>
      </c>
      <c r="G12836" t="str">
        <f>"2018-10-13 13:36:47"</f>
        <v>2018-10-13 13:36:47</v>
      </c>
    </row>
    <row r="12837" spans="1:7" x14ac:dyDescent="0.2">
      <c r="A12837" t="s">
        <v>12836</v>
      </c>
      <c r="B12837" t="str">
        <f>"13253194095"</f>
        <v>13253194095</v>
      </c>
      <c r="C12837" t="str">
        <f>"13082319880201453X"</f>
        <v>13082319880201453X</v>
      </c>
      <c r="D12837" t="s">
        <v>1</v>
      </c>
      <c r="E12837" t="s">
        <v>1</v>
      </c>
      <c r="F12837" t="s">
        <v>0</v>
      </c>
      <c r="G12837" t="str">
        <f>"2018-10-13 13:36:35"</f>
        <v>2018-10-13 13:36:35</v>
      </c>
    </row>
    <row r="12838" spans="1:7" x14ac:dyDescent="0.2">
      <c r="A12838" t="s">
        <v>131</v>
      </c>
      <c r="B12838" t="str">
        <f>"13284214466"</f>
        <v>13284214466</v>
      </c>
      <c r="C12838" t="str">
        <f>"211303198409293219"</f>
        <v>211303198409293219</v>
      </c>
      <c r="D12838" t="s">
        <v>12837</v>
      </c>
      <c r="E12838" t="s">
        <v>12838</v>
      </c>
      <c r="F12838" t="s">
        <v>0</v>
      </c>
      <c r="G12838" t="str">
        <f>"2018-10-14 10:51:14"</f>
        <v>2018-10-14 10:51:14</v>
      </c>
    </row>
    <row r="12839" spans="1:7" x14ac:dyDescent="0.2">
      <c r="A12839" t="s">
        <v>12839</v>
      </c>
      <c r="B12839" t="str">
        <f>"15827578201"</f>
        <v>15827578201</v>
      </c>
      <c r="C12839" t="str">
        <f>"421081199403022879"</f>
        <v>421081199403022879</v>
      </c>
      <c r="D12839" t="s">
        <v>12840</v>
      </c>
      <c r="E12839" t="s">
        <v>12841</v>
      </c>
      <c r="F12839" t="s">
        <v>0</v>
      </c>
      <c r="G12839" t="str">
        <f>"2018-10-13 13:36:11"</f>
        <v>2018-10-13 13:36:11</v>
      </c>
    </row>
    <row r="12840" spans="1:7" x14ac:dyDescent="0.2">
      <c r="A12840" t="s">
        <v>6085</v>
      </c>
      <c r="B12840" t="str">
        <f>"18651702770"</f>
        <v>18651702770</v>
      </c>
      <c r="C12840" t="str">
        <f>"130102198104072417"</f>
        <v>130102198104072417</v>
      </c>
      <c r="D12840" t="s">
        <v>1</v>
      </c>
      <c r="E12840" t="s">
        <v>1</v>
      </c>
      <c r="F12840" t="s">
        <v>0</v>
      </c>
      <c r="G12840" t="str">
        <f>"2018-10-13 13:36:11"</f>
        <v>2018-10-13 13:36:11</v>
      </c>
    </row>
    <row r="12841" spans="1:7" x14ac:dyDescent="0.2">
      <c r="A12841" t="s">
        <v>12842</v>
      </c>
      <c r="B12841" t="str">
        <f>"15805021243"</f>
        <v>15805021243</v>
      </c>
      <c r="C12841" t="str">
        <f>"350525198707150055"</f>
        <v>350525198707150055</v>
      </c>
      <c r="D12841" t="s">
        <v>12843</v>
      </c>
      <c r="E12841" t="s">
        <v>12844</v>
      </c>
      <c r="F12841" t="s">
        <v>0</v>
      </c>
      <c r="G12841" t="str">
        <f>"2018-10-13 13:36:44"</f>
        <v>2018-10-13 13:36:44</v>
      </c>
    </row>
    <row r="12842" spans="1:7" x14ac:dyDescent="0.2">
      <c r="A12842" t="s">
        <v>1341</v>
      </c>
      <c r="B12842" t="str">
        <f>"18842949597"</f>
        <v>18842949597</v>
      </c>
      <c r="C12842" t="str">
        <f>"21142119911008241X"</f>
        <v>21142119911008241X</v>
      </c>
      <c r="D12842" t="s">
        <v>1</v>
      </c>
      <c r="E12842" t="s">
        <v>1</v>
      </c>
      <c r="F12842" t="s">
        <v>0</v>
      </c>
      <c r="G12842" t="str">
        <f>"2018-10-13 13:51:28"</f>
        <v>2018-10-13 13:51:28</v>
      </c>
    </row>
    <row r="12843" spans="1:7" x14ac:dyDescent="0.2">
      <c r="A12843" t="s">
        <v>1</v>
      </c>
      <c r="B12843" t="str">
        <f>"18673268677"</f>
        <v>18673268677</v>
      </c>
      <c r="C12843" t="s">
        <v>1</v>
      </c>
      <c r="D12843" t="s">
        <v>1</v>
      </c>
      <c r="E12843" t="s">
        <v>1</v>
      </c>
      <c r="F12843" t="s">
        <v>0</v>
      </c>
      <c r="G12843" t="str">
        <f>"2018-10-13 13:34:03"</f>
        <v>2018-10-13 13:34:03</v>
      </c>
    </row>
    <row r="12844" spans="1:7" x14ac:dyDescent="0.2">
      <c r="A12844" t="s">
        <v>12845</v>
      </c>
      <c r="B12844" t="str">
        <f>"15104023428"</f>
        <v>15104023428</v>
      </c>
      <c r="C12844" t="str">
        <f>"211223199311013236"</f>
        <v>211223199311013236</v>
      </c>
      <c r="D12844" t="s">
        <v>1</v>
      </c>
      <c r="E12844" t="s">
        <v>1</v>
      </c>
      <c r="F12844" t="s">
        <v>0</v>
      </c>
      <c r="G12844" t="str">
        <f>"2018-10-13 13:41:36"</f>
        <v>2018-10-13 13:41:36</v>
      </c>
    </row>
    <row r="12845" spans="1:7" x14ac:dyDescent="0.2">
      <c r="A12845" t="s">
        <v>986</v>
      </c>
      <c r="B12845" t="str">
        <f>"18382788671"</f>
        <v>18382788671</v>
      </c>
      <c r="C12845" t="str">
        <f>"513701198108250452"</f>
        <v>513701198108250452</v>
      </c>
      <c r="D12845" t="s">
        <v>12846</v>
      </c>
      <c r="E12845" t="s">
        <v>12847</v>
      </c>
      <c r="F12845" t="s">
        <v>0</v>
      </c>
      <c r="G12845" t="str">
        <f>"2018-10-13 13:37:19"</f>
        <v>2018-10-13 13:37:19</v>
      </c>
    </row>
    <row r="12846" spans="1:7" x14ac:dyDescent="0.2">
      <c r="A12846" t="s">
        <v>1</v>
      </c>
      <c r="B12846" t="str">
        <f>"15804315515"</f>
        <v>15804315515</v>
      </c>
      <c r="C12846" t="s">
        <v>1</v>
      </c>
      <c r="D12846" t="s">
        <v>1</v>
      </c>
      <c r="E12846" t="s">
        <v>1</v>
      </c>
      <c r="F12846" t="s">
        <v>0</v>
      </c>
      <c r="G12846" t="str">
        <f>"2018-10-13 13:33:32"</f>
        <v>2018-10-13 13:33:32</v>
      </c>
    </row>
    <row r="12847" spans="1:7" x14ac:dyDescent="0.2">
      <c r="A12847" t="s">
        <v>1</v>
      </c>
      <c r="B12847" t="str">
        <f>"17156996439"</f>
        <v>17156996439</v>
      </c>
      <c r="C12847" t="s">
        <v>1</v>
      </c>
      <c r="D12847" t="s">
        <v>1</v>
      </c>
      <c r="E12847" t="s">
        <v>1</v>
      </c>
      <c r="F12847" t="s">
        <v>0</v>
      </c>
      <c r="G12847" t="str">
        <f>"2018-10-13 13:33:10"</f>
        <v>2018-10-13 13:33:10</v>
      </c>
    </row>
    <row r="12848" spans="1:7" x14ac:dyDescent="0.2">
      <c r="A12848" t="s">
        <v>12848</v>
      </c>
      <c r="B12848" t="str">
        <f>"18214708218"</f>
        <v>18214708218</v>
      </c>
      <c r="C12848" t="str">
        <f>"341126198804181543"</f>
        <v>341126198804181543</v>
      </c>
      <c r="D12848" t="s">
        <v>1</v>
      </c>
      <c r="E12848" t="s">
        <v>1</v>
      </c>
      <c r="F12848" t="s">
        <v>0</v>
      </c>
      <c r="G12848" t="str">
        <f>"2018-10-13 13:42:12"</f>
        <v>2018-10-13 13:42:12</v>
      </c>
    </row>
    <row r="12849" spans="1:7" x14ac:dyDescent="0.2">
      <c r="A12849" t="s">
        <v>12849</v>
      </c>
      <c r="B12849" t="str">
        <f>"13275586787"</f>
        <v>13275586787</v>
      </c>
      <c r="C12849" t="str">
        <f>"341226198508013356"</f>
        <v>341226198508013356</v>
      </c>
      <c r="D12849" t="s">
        <v>1</v>
      </c>
      <c r="E12849" t="s">
        <v>1</v>
      </c>
      <c r="F12849" t="s">
        <v>0</v>
      </c>
      <c r="G12849" t="str">
        <f>"2018-10-13 13:33:52"</f>
        <v>2018-10-13 13:33:52</v>
      </c>
    </row>
    <row r="12850" spans="1:7" x14ac:dyDescent="0.2">
      <c r="A12850" t="s">
        <v>1</v>
      </c>
      <c r="B12850" t="str">
        <f>"18704986467"</f>
        <v>18704986467</v>
      </c>
      <c r="C12850" t="s">
        <v>1</v>
      </c>
      <c r="D12850" t="s">
        <v>1</v>
      </c>
      <c r="E12850" t="s">
        <v>1</v>
      </c>
      <c r="F12850" t="s">
        <v>0</v>
      </c>
      <c r="G12850" t="str">
        <f>"2018-10-13 13:31:48"</f>
        <v>2018-10-13 13:31:48</v>
      </c>
    </row>
    <row r="12851" spans="1:7" x14ac:dyDescent="0.2">
      <c r="A12851" t="s">
        <v>12850</v>
      </c>
      <c r="B12851" t="str">
        <f>"13422552703"</f>
        <v>13422552703</v>
      </c>
      <c r="C12851" t="str">
        <f>"522226199508043239"</f>
        <v>522226199508043239</v>
      </c>
      <c r="D12851" t="s">
        <v>12851</v>
      </c>
      <c r="E12851" t="s">
        <v>12852</v>
      </c>
      <c r="F12851" t="s">
        <v>0</v>
      </c>
      <c r="G12851" t="str">
        <f>"2018-10-13 13:32:42"</f>
        <v>2018-10-13 13:32:42</v>
      </c>
    </row>
    <row r="12852" spans="1:7" x14ac:dyDescent="0.2">
      <c r="A12852" t="s">
        <v>186</v>
      </c>
      <c r="B12852" t="str">
        <f>"15009961710"</f>
        <v>15009961710</v>
      </c>
      <c r="C12852" t="str">
        <f>"65210119970715072X"</f>
        <v>65210119970715072X</v>
      </c>
      <c r="D12852" t="s">
        <v>1</v>
      </c>
      <c r="E12852" t="s">
        <v>1</v>
      </c>
      <c r="F12852" t="s">
        <v>0</v>
      </c>
      <c r="G12852" t="str">
        <f>"2018-11-01 12:04:42"</f>
        <v>2018-11-01 12:04:42</v>
      </c>
    </row>
    <row r="12853" spans="1:7" x14ac:dyDescent="0.2">
      <c r="A12853" t="s">
        <v>1</v>
      </c>
      <c r="B12853" t="str">
        <f>"15544031906"</f>
        <v>15544031906</v>
      </c>
      <c r="C12853" t="s">
        <v>1</v>
      </c>
      <c r="D12853" t="s">
        <v>1</v>
      </c>
      <c r="E12853" t="s">
        <v>1</v>
      </c>
      <c r="F12853" t="s">
        <v>0</v>
      </c>
      <c r="G12853" t="str">
        <f>"2018-10-13 13:30:47"</f>
        <v>2018-10-13 13:30:47</v>
      </c>
    </row>
    <row r="12854" spans="1:7" x14ac:dyDescent="0.2">
      <c r="A12854" t="s">
        <v>1814</v>
      </c>
      <c r="B12854" t="str">
        <f>"13517772966"</f>
        <v>13517772966</v>
      </c>
      <c r="C12854" t="str">
        <f>"450703198008262732"</f>
        <v>450703198008262732</v>
      </c>
      <c r="D12854" t="s">
        <v>1</v>
      </c>
      <c r="E12854" t="s">
        <v>1</v>
      </c>
      <c r="F12854" t="s">
        <v>0</v>
      </c>
      <c r="G12854" t="str">
        <f>"2018-10-13 13:32:19"</f>
        <v>2018-10-13 13:32:19</v>
      </c>
    </row>
    <row r="12855" spans="1:7" x14ac:dyDescent="0.2">
      <c r="A12855" t="s">
        <v>1</v>
      </c>
      <c r="B12855" t="str">
        <f>"15843209946"</f>
        <v>15843209946</v>
      </c>
      <c r="C12855" t="s">
        <v>1</v>
      </c>
      <c r="D12855" t="s">
        <v>1</v>
      </c>
      <c r="E12855" t="s">
        <v>1</v>
      </c>
      <c r="F12855" t="s">
        <v>0</v>
      </c>
      <c r="G12855" t="str">
        <f>"2018-10-13 13:30:18"</f>
        <v>2018-10-13 13:30:18</v>
      </c>
    </row>
    <row r="12856" spans="1:7" x14ac:dyDescent="0.2">
      <c r="A12856" t="s">
        <v>12853</v>
      </c>
      <c r="B12856" t="str">
        <f>"18085054744"</f>
        <v>18085054744</v>
      </c>
      <c r="C12856" t="str">
        <f>"522625198712104335"</f>
        <v>522625198712104335</v>
      </c>
      <c r="D12856" t="s">
        <v>1</v>
      </c>
      <c r="E12856" t="s">
        <v>1</v>
      </c>
      <c r="F12856" t="s">
        <v>0</v>
      </c>
      <c r="G12856" t="str">
        <f>"2018-10-13 13:30:09"</f>
        <v>2018-10-13 13:30:09</v>
      </c>
    </row>
    <row r="12857" spans="1:7" x14ac:dyDescent="0.2">
      <c r="A12857" t="s">
        <v>1</v>
      </c>
      <c r="B12857" t="str">
        <f>"17606010520"</f>
        <v>17606010520</v>
      </c>
      <c r="C12857" t="s">
        <v>1</v>
      </c>
      <c r="D12857" t="s">
        <v>1</v>
      </c>
      <c r="E12857" t="s">
        <v>1</v>
      </c>
      <c r="F12857" t="s">
        <v>0</v>
      </c>
      <c r="G12857" t="str">
        <f>"2018-10-13 13:29:32"</f>
        <v>2018-10-13 13:29:32</v>
      </c>
    </row>
    <row r="12858" spans="1:7" x14ac:dyDescent="0.2">
      <c r="A12858" t="s">
        <v>550</v>
      </c>
      <c r="B12858" t="str">
        <f>"13880483447"</f>
        <v>13880483447</v>
      </c>
      <c r="C12858" t="str">
        <f>"510522199608267798"</f>
        <v>510522199608267798</v>
      </c>
      <c r="D12858" t="s">
        <v>1</v>
      </c>
      <c r="E12858" t="s">
        <v>1</v>
      </c>
      <c r="F12858" t="s">
        <v>0</v>
      </c>
      <c r="G12858" t="str">
        <f>"2018-10-18 18:54:00"</f>
        <v>2018-10-18 18:54:00</v>
      </c>
    </row>
    <row r="12859" spans="1:7" x14ac:dyDescent="0.2">
      <c r="A12859" t="s">
        <v>12854</v>
      </c>
      <c r="B12859" t="str">
        <f>"15972916788"</f>
        <v>15972916788</v>
      </c>
      <c r="C12859" t="str">
        <f>"341221198204121751"</f>
        <v>341221198204121751</v>
      </c>
      <c r="D12859" t="s">
        <v>12855</v>
      </c>
      <c r="E12859" t="s">
        <v>12856</v>
      </c>
      <c r="F12859" t="s">
        <v>0</v>
      </c>
      <c r="G12859" t="str">
        <f>"2018-10-13 13:29:12"</f>
        <v>2018-10-13 13:29:12</v>
      </c>
    </row>
    <row r="12860" spans="1:7" x14ac:dyDescent="0.2">
      <c r="A12860" t="s">
        <v>12857</v>
      </c>
      <c r="B12860" t="str">
        <f>"18850766560"</f>
        <v>18850766560</v>
      </c>
      <c r="C12860" t="str">
        <f>"352225198906202538"</f>
        <v>352225198906202538</v>
      </c>
      <c r="D12860" t="s">
        <v>1</v>
      </c>
      <c r="E12860" t="s">
        <v>1</v>
      </c>
      <c r="F12860" t="s">
        <v>0</v>
      </c>
      <c r="G12860" t="str">
        <f>"2018-11-02 11:24:37"</f>
        <v>2018-11-02 11:24:37</v>
      </c>
    </row>
    <row r="12861" spans="1:7" x14ac:dyDescent="0.2">
      <c r="A12861" t="s">
        <v>12858</v>
      </c>
      <c r="B12861" t="str">
        <f>"13980994789"</f>
        <v>13980994789</v>
      </c>
      <c r="C12861" t="str">
        <f>"510183198206300053"</f>
        <v>510183198206300053</v>
      </c>
      <c r="D12861" t="s">
        <v>1</v>
      </c>
      <c r="E12861" t="s">
        <v>1</v>
      </c>
      <c r="F12861" t="s">
        <v>0</v>
      </c>
      <c r="G12861" t="str">
        <f>"2018-10-19 08:55:13"</f>
        <v>2018-10-19 08:55:13</v>
      </c>
    </row>
    <row r="12862" spans="1:7" x14ac:dyDescent="0.2">
      <c r="A12862" t="s">
        <v>12859</v>
      </c>
      <c r="B12862" t="str">
        <f>"13350894069"</f>
        <v>13350894069</v>
      </c>
      <c r="C12862" t="str">
        <f>"510104199504254875"</f>
        <v>510104199504254875</v>
      </c>
      <c r="D12862" t="s">
        <v>12860</v>
      </c>
      <c r="E12862" t="s">
        <v>12861</v>
      </c>
      <c r="F12862" t="s">
        <v>0</v>
      </c>
      <c r="G12862" t="str">
        <f>"2018-10-13 13:30:41"</f>
        <v>2018-10-13 13:30:41</v>
      </c>
    </row>
    <row r="12863" spans="1:7" x14ac:dyDescent="0.2">
      <c r="A12863" t="s">
        <v>12862</v>
      </c>
      <c r="B12863" t="str">
        <f>"13556481113"</f>
        <v>13556481113</v>
      </c>
      <c r="C12863" t="str">
        <f>"440506198612291114"</f>
        <v>440506198612291114</v>
      </c>
      <c r="D12863" t="s">
        <v>1</v>
      </c>
      <c r="E12863" t="s">
        <v>1</v>
      </c>
      <c r="F12863" t="s">
        <v>0</v>
      </c>
      <c r="G12863" t="str">
        <f>"2018-10-13 13:29:32"</f>
        <v>2018-10-13 13:29:32</v>
      </c>
    </row>
    <row r="12864" spans="1:7" x14ac:dyDescent="0.2">
      <c r="A12864" t="s">
        <v>1029</v>
      </c>
      <c r="B12864" t="str">
        <f>"15185045414"</f>
        <v>15185045414</v>
      </c>
      <c r="C12864" t="str">
        <f>"520181198805251715"</f>
        <v>520181198805251715</v>
      </c>
      <c r="D12864" t="s">
        <v>1</v>
      </c>
      <c r="E12864" t="s">
        <v>1</v>
      </c>
      <c r="F12864" t="s">
        <v>0</v>
      </c>
      <c r="G12864" t="str">
        <f>"2018-10-13 21:01:03"</f>
        <v>2018-10-13 21:01:03</v>
      </c>
    </row>
    <row r="12865" spans="1:7" x14ac:dyDescent="0.2">
      <c r="A12865" t="s">
        <v>12863</v>
      </c>
      <c r="B12865" t="str">
        <f>"13844215580"</f>
        <v>13844215580</v>
      </c>
      <c r="C12865" t="str">
        <f>"220204198907213949"</f>
        <v>220204198907213949</v>
      </c>
      <c r="D12865" t="s">
        <v>1</v>
      </c>
      <c r="E12865" t="s">
        <v>1</v>
      </c>
      <c r="F12865" t="s">
        <v>0</v>
      </c>
      <c r="G12865" t="str">
        <f>"2018-10-13 13:27:26"</f>
        <v>2018-10-13 13:27:26</v>
      </c>
    </row>
    <row r="12866" spans="1:7" x14ac:dyDescent="0.2">
      <c r="A12866" t="s">
        <v>12864</v>
      </c>
      <c r="B12866" t="str">
        <f>"13606506305"</f>
        <v>13606506305</v>
      </c>
      <c r="C12866" t="str">
        <f>"330381198808194213"</f>
        <v>330381198808194213</v>
      </c>
      <c r="D12866" t="s">
        <v>1</v>
      </c>
      <c r="E12866" t="s">
        <v>1</v>
      </c>
      <c r="F12866" t="s">
        <v>0</v>
      </c>
      <c r="G12866" t="str">
        <f>"2018-10-13 13:28:51"</f>
        <v>2018-10-13 13:28:51</v>
      </c>
    </row>
    <row r="12867" spans="1:7" x14ac:dyDescent="0.2">
      <c r="A12867" t="s">
        <v>1</v>
      </c>
      <c r="B12867" t="str">
        <f>"18786373259"</f>
        <v>18786373259</v>
      </c>
      <c r="C12867" t="s">
        <v>1</v>
      </c>
      <c r="D12867" t="s">
        <v>1</v>
      </c>
      <c r="E12867" t="s">
        <v>1</v>
      </c>
      <c r="F12867" t="s">
        <v>0</v>
      </c>
      <c r="G12867" t="str">
        <f>"2018-10-13 13:29:21"</f>
        <v>2018-10-13 13:29:21</v>
      </c>
    </row>
    <row r="12868" spans="1:7" x14ac:dyDescent="0.2">
      <c r="A12868" t="s">
        <v>12865</v>
      </c>
      <c r="B12868" t="str">
        <f>"15386060810"</f>
        <v>15386060810</v>
      </c>
      <c r="C12868" t="str">
        <f>"430406199508101015"</f>
        <v>430406199508101015</v>
      </c>
      <c r="D12868" t="s">
        <v>1</v>
      </c>
      <c r="E12868" t="s">
        <v>1</v>
      </c>
      <c r="F12868" t="s">
        <v>0</v>
      </c>
      <c r="G12868" t="str">
        <f>"2018-10-13 13:28:00"</f>
        <v>2018-10-13 13:28:00</v>
      </c>
    </row>
    <row r="12869" spans="1:7" x14ac:dyDescent="0.2">
      <c r="A12869" t="s">
        <v>1</v>
      </c>
      <c r="B12869" t="str">
        <f>"15240673389"</f>
        <v>15240673389</v>
      </c>
      <c r="C12869" t="s">
        <v>1</v>
      </c>
      <c r="D12869" t="s">
        <v>1</v>
      </c>
      <c r="E12869" t="s">
        <v>1</v>
      </c>
      <c r="F12869" t="s">
        <v>0</v>
      </c>
      <c r="G12869" t="str">
        <f>"2018-10-13 17:07:21"</f>
        <v>2018-10-13 17:07:21</v>
      </c>
    </row>
    <row r="12870" spans="1:7" x14ac:dyDescent="0.2">
      <c r="A12870" t="s">
        <v>12866</v>
      </c>
      <c r="B12870" t="str">
        <f>"13862116575"</f>
        <v>13862116575</v>
      </c>
      <c r="C12870" t="str">
        <f>"320586199212105051"</f>
        <v>320586199212105051</v>
      </c>
      <c r="D12870" t="s">
        <v>1</v>
      </c>
      <c r="E12870" t="s">
        <v>1</v>
      </c>
      <c r="F12870" t="s">
        <v>0</v>
      </c>
      <c r="G12870" t="str">
        <f>"2018-10-13 13:27:33"</f>
        <v>2018-10-13 13:27:33</v>
      </c>
    </row>
    <row r="12871" spans="1:7" x14ac:dyDescent="0.2">
      <c r="A12871" t="s">
        <v>12867</v>
      </c>
      <c r="B12871" t="str">
        <f>"18258062812"</f>
        <v>18258062812</v>
      </c>
      <c r="C12871" t="str">
        <f>"33038219950315473X"</f>
        <v>33038219950315473X</v>
      </c>
      <c r="D12871" t="s">
        <v>12868</v>
      </c>
      <c r="E12871" t="s">
        <v>12869</v>
      </c>
      <c r="F12871" t="s">
        <v>0</v>
      </c>
      <c r="G12871" t="str">
        <f>"2018-10-13 13:46:24"</f>
        <v>2018-10-13 13:46:24</v>
      </c>
    </row>
    <row r="12872" spans="1:7" x14ac:dyDescent="0.2">
      <c r="A12872" t="s">
        <v>12870</v>
      </c>
      <c r="B12872" t="str">
        <f>"17805533465"</f>
        <v>17805533465</v>
      </c>
      <c r="C12872" t="str">
        <f>"340221198902288216"</f>
        <v>340221198902288216</v>
      </c>
      <c r="D12872" t="s">
        <v>1</v>
      </c>
      <c r="E12872" t="s">
        <v>1</v>
      </c>
      <c r="F12872" t="s">
        <v>0</v>
      </c>
      <c r="G12872" t="str">
        <f>"2018-10-13 13:27:18"</f>
        <v>2018-10-13 13:27:18</v>
      </c>
    </row>
    <row r="12873" spans="1:7" x14ac:dyDescent="0.2">
      <c r="A12873" t="s">
        <v>1</v>
      </c>
      <c r="B12873" t="str">
        <f>"18319948338"</f>
        <v>18319948338</v>
      </c>
      <c r="C12873" t="s">
        <v>1</v>
      </c>
      <c r="D12873" t="s">
        <v>1</v>
      </c>
      <c r="E12873" t="s">
        <v>1</v>
      </c>
      <c r="F12873" t="s">
        <v>0</v>
      </c>
      <c r="G12873" t="str">
        <f>"2018-10-13 13:25:37"</f>
        <v>2018-10-13 13:25:37</v>
      </c>
    </row>
    <row r="12874" spans="1:7" x14ac:dyDescent="0.2">
      <c r="A12874" t="s">
        <v>1</v>
      </c>
      <c r="B12874" t="str">
        <f>"13514225011"</f>
        <v>13514225011</v>
      </c>
      <c r="C12874" t="s">
        <v>1</v>
      </c>
      <c r="D12874" t="s">
        <v>1</v>
      </c>
      <c r="E12874" t="s">
        <v>1</v>
      </c>
      <c r="F12874" t="s">
        <v>0</v>
      </c>
      <c r="G12874" t="str">
        <f>"2018-10-13 13:25:17"</f>
        <v>2018-10-13 13:25:17</v>
      </c>
    </row>
    <row r="12875" spans="1:7" x14ac:dyDescent="0.2">
      <c r="A12875" t="s">
        <v>12871</v>
      </c>
      <c r="B12875" t="str">
        <f>"18315171858"</f>
        <v>18315171858</v>
      </c>
      <c r="C12875" t="str">
        <f>"500230198612074873"</f>
        <v>500230198612074873</v>
      </c>
      <c r="D12875" t="s">
        <v>1</v>
      </c>
      <c r="E12875" t="s">
        <v>1</v>
      </c>
      <c r="F12875" t="s">
        <v>0</v>
      </c>
      <c r="G12875" t="str">
        <f>"2018-10-13 13:26:13"</f>
        <v>2018-10-13 13:26:13</v>
      </c>
    </row>
    <row r="12876" spans="1:7" x14ac:dyDescent="0.2">
      <c r="A12876" t="s">
        <v>12872</v>
      </c>
      <c r="B12876" t="str">
        <f>"18635769603"</f>
        <v>18635769603</v>
      </c>
      <c r="C12876" t="str">
        <f>"141025198810200019"</f>
        <v>141025198810200019</v>
      </c>
      <c r="D12876" t="s">
        <v>12873</v>
      </c>
      <c r="E12876" t="s">
        <v>12874</v>
      </c>
      <c r="F12876" t="s">
        <v>0</v>
      </c>
      <c r="G12876" t="str">
        <f>"2018-10-20 10:08:10"</f>
        <v>2018-10-20 10:08:10</v>
      </c>
    </row>
    <row r="12877" spans="1:7" x14ac:dyDescent="0.2">
      <c r="A12877" t="s">
        <v>12875</v>
      </c>
      <c r="B12877" t="str">
        <f>"18711036768"</f>
        <v>18711036768</v>
      </c>
      <c r="C12877" t="str">
        <f>"422127197305074914"</f>
        <v>422127197305074914</v>
      </c>
      <c r="D12877" t="s">
        <v>1</v>
      </c>
      <c r="E12877" t="s">
        <v>1</v>
      </c>
      <c r="F12877" t="s">
        <v>0</v>
      </c>
      <c r="G12877" t="str">
        <f>"2018-10-13 13:29:15"</f>
        <v>2018-10-13 13:29:15</v>
      </c>
    </row>
    <row r="12878" spans="1:7" x14ac:dyDescent="0.2">
      <c r="A12878" t="s">
        <v>1738</v>
      </c>
      <c r="B12878" t="str">
        <f>"18379682748"</f>
        <v>18379682748</v>
      </c>
      <c r="C12878" t="str">
        <f>"360828199904046910"</f>
        <v>360828199904046910</v>
      </c>
      <c r="D12878" t="s">
        <v>1</v>
      </c>
      <c r="E12878" t="s">
        <v>1</v>
      </c>
      <c r="F12878" t="s">
        <v>0</v>
      </c>
      <c r="G12878" t="str">
        <f>"2018-10-13 13:23:38"</f>
        <v>2018-10-13 13:23:38</v>
      </c>
    </row>
    <row r="12879" spans="1:7" x14ac:dyDescent="0.2">
      <c r="A12879" t="s">
        <v>12876</v>
      </c>
      <c r="B12879" t="str">
        <f>"15044237491"</f>
        <v>15044237491</v>
      </c>
      <c r="C12879" t="str">
        <f>"220203197909164510"</f>
        <v>220203197909164510</v>
      </c>
      <c r="D12879" t="s">
        <v>1</v>
      </c>
      <c r="E12879" t="s">
        <v>1</v>
      </c>
      <c r="F12879" t="s">
        <v>0</v>
      </c>
      <c r="G12879" t="str">
        <f>"2018-10-13 13:24:28"</f>
        <v>2018-10-13 13:24:28</v>
      </c>
    </row>
    <row r="12880" spans="1:7" x14ac:dyDescent="0.2">
      <c r="A12880" t="s">
        <v>12877</v>
      </c>
      <c r="B12880" t="str">
        <f>"18259609755"</f>
        <v>18259609755</v>
      </c>
      <c r="C12880" t="str">
        <f>"350681199808165222"</f>
        <v>350681199808165222</v>
      </c>
      <c r="D12880" t="s">
        <v>12878</v>
      </c>
      <c r="E12880" t="s">
        <v>12879</v>
      </c>
      <c r="F12880" t="s">
        <v>0</v>
      </c>
      <c r="G12880" t="str">
        <f>"2018-10-13 18:22:09"</f>
        <v>2018-10-13 18:22:09</v>
      </c>
    </row>
    <row r="12881" spans="1:7" x14ac:dyDescent="0.2">
      <c r="A12881" t="s">
        <v>12880</v>
      </c>
      <c r="B12881" t="str">
        <f>"18632101870"</f>
        <v>18632101870</v>
      </c>
      <c r="C12881" t="str">
        <f>"130102198204272416"</f>
        <v>130102198204272416</v>
      </c>
      <c r="D12881" t="s">
        <v>1</v>
      </c>
      <c r="E12881" t="s">
        <v>1</v>
      </c>
      <c r="F12881" t="s">
        <v>0</v>
      </c>
      <c r="G12881" t="str">
        <f>"2018-10-22 16:17:02"</f>
        <v>2018-10-22 16:17:02</v>
      </c>
    </row>
    <row r="12882" spans="1:7" x14ac:dyDescent="0.2">
      <c r="A12882" t="s">
        <v>12881</v>
      </c>
      <c r="B12882" t="str">
        <f>"18785024283"</f>
        <v>18785024283</v>
      </c>
      <c r="C12882" t="str">
        <f>"522428199312054845"</f>
        <v>522428199312054845</v>
      </c>
      <c r="D12882" t="s">
        <v>1</v>
      </c>
      <c r="E12882" t="s">
        <v>1</v>
      </c>
      <c r="F12882" t="s">
        <v>0</v>
      </c>
      <c r="G12882" t="str">
        <f>"2018-10-13 13:24:51"</f>
        <v>2018-10-13 13:24:51</v>
      </c>
    </row>
    <row r="12883" spans="1:7" x14ac:dyDescent="0.2">
      <c r="A12883" t="s">
        <v>12882</v>
      </c>
      <c r="B12883" t="str">
        <f>"13787352587"</f>
        <v>13787352587</v>
      </c>
      <c r="C12883" t="str">
        <f>"431003197810210934"</f>
        <v>431003197810210934</v>
      </c>
      <c r="D12883" t="s">
        <v>1</v>
      </c>
      <c r="E12883" t="s">
        <v>1</v>
      </c>
      <c r="F12883" t="s">
        <v>0</v>
      </c>
      <c r="G12883" t="str">
        <f>"2018-10-13 13:25:38"</f>
        <v>2018-10-13 13:25:38</v>
      </c>
    </row>
    <row r="12884" spans="1:7" x14ac:dyDescent="0.2">
      <c r="A12884" t="s">
        <v>1016</v>
      </c>
      <c r="B12884" t="str">
        <f>"15185116110"</f>
        <v>15185116110</v>
      </c>
      <c r="C12884" t="str">
        <f>"500230199201011194"</f>
        <v>500230199201011194</v>
      </c>
      <c r="D12884" t="s">
        <v>1</v>
      </c>
      <c r="E12884" t="s">
        <v>1</v>
      </c>
      <c r="F12884" t="s">
        <v>0</v>
      </c>
      <c r="G12884" t="str">
        <f>"2018-10-13 13:22:08"</f>
        <v>2018-10-13 13:22:08</v>
      </c>
    </row>
    <row r="12885" spans="1:7" x14ac:dyDescent="0.2">
      <c r="A12885" t="s">
        <v>1</v>
      </c>
      <c r="B12885" t="str">
        <f>"18508449896"</f>
        <v>18508449896</v>
      </c>
      <c r="C12885" t="s">
        <v>1</v>
      </c>
      <c r="D12885" t="s">
        <v>1</v>
      </c>
      <c r="E12885" t="s">
        <v>1</v>
      </c>
      <c r="F12885" t="s">
        <v>0</v>
      </c>
      <c r="G12885" t="str">
        <f>"2018-10-13 13:21:55"</f>
        <v>2018-10-13 13:21:55</v>
      </c>
    </row>
    <row r="12886" spans="1:7" x14ac:dyDescent="0.2">
      <c r="A12886" t="s">
        <v>12883</v>
      </c>
      <c r="B12886" t="str">
        <f>"15060464573"</f>
        <v>15060464573</v>
      </c>
      <c r="C12886" t="str">
        <f>"350582198801050517"</f>
        <v>350582198801050517</v>
      </c>
      <c r="D12886" t="s">
        <v>1</v>
      </c>
      <c r="E12886" t="s">
        <v>1</v>
      </c>
      <c r="F12886" t="s">
        <v>0</v>
      </c>
      <c r="G12886" t="str">
        <f>"2018-10-18 10:15:28"</f>
        <v>2018-10-18 10:15:28</v>
      </c>
    </row>
    <row r="12887" spans="1:7" x14ac:dyDescent="0.2">
      <c r="A12887" t="s">
        <v>1</v>
      </c>
      <c r="B12887" t="str">
        <f>"15152909995"</f>
        <v>15152909995</v>
      </c>
      <c r="C12887" t="s">
        <v>1</v>
      </c>
      <c r="D12887" t="s">
        <v>1</v>
      </c>
      <c r="E12887" t="s">
        <v>1</v>
      </c>
      <c r="F12887" t="s">
        <v>0</v>
      </c>
      <c r="G12887" t="str">
        <f>"2018-10-13 13:21:32"</f>
        <v>2018-10-13 13:21:32</v>
      </c>
    </row>
    <row r="12888" spans="1:7" x14ac:dyDescent="0.2">
      <c r="A12888" t="s">
        <v>12884</v>
      </c>
      <c r="B12888" t="str">
        <f>"17516461517"</f>
        <v>17516461517</v>
      </c>
      <c r="C12888" t="str">
        <f>"410126198202080718"</f>
        <v>410126198202080718</v>
      </c>
      <c r="D12888" t="s">
        <v>1</v>
      </c>
      <c r="E12888" t="s">
        <v>1</v>
      </c>
      <c r="F12888" t="s">
        <v>0</v>
      </c>
      <c r="G12888" t="str">
        <f>"2018-10-13 13:26:07"</f>
        <v>2018-10-13 13:26:07</v>
      </c>
    </row>
    <row r="12889" spans="1:7" x14ac:dyDescent="0.2">
      <c r="A12889" t="s">
        <v>7094</v>
      </c>
      <c r="B12889" t="str">
        <f>"15044837931"</f>
        <v>15044837931</v>
      </c>
      <c r="C12889" t="str">
        <f>"15280119890207561X"</f>
        <v>15280119890207561X</v>
      </c>
      <c r="D12889" t="s">
        <v>12885</v>
      </c>
      <c r="E12889" t="s">
        <v>12886</v>
      </c>
      <c r="F12889" t="s">
        <v>0</v>
      </c>
      <c r="G12889" t="str">
        <f>"2018-10-13 20:20:06"</f>
        <v>2018-10-13 20:20:06</v>
      </c>
    </row>
    <row r="12890" spans="1:7" x14ac:dyDescent="0.2">
      <c r="A12890" t="s">
        <v>12887</v>
      </c>
      <c r="B12890" t="str">
        <f>"13973154941"</f>
        <v>13973154941</v>
      </c>
      <c r="C12890" t="str">
        <f>"430181198810153931"</f>
        <v>430181198810153931</v>
      </c>
      <c r="D12890" t="s">
        <v>1</v>
      </c>
      <c r="E12890" t="s">
        <v>1</v>
      </c>
      <c r="F12890" t="s">
        <v>0</v>
      </c>
      <c r="G12890" t="str">
        <f>"2018-10-13 13:21:55"</f>
        <v>2018-10-13 13:21:55</v>
      </c>
    </row>
    <row r="12891" spans="1:7" x14ac:dyDescent="0.2">
      <c r="A12891" t="s">
        <v>12888</v>
      </c>
      <c r="B12891" t="str">
        <f>"15105851000"</f>
        <v>15105851000</v>
      </c>
      <c r="C12891" t="str">
        <f>"371324198601286111"</f>
        <v>371324198601286111</v>
      </c>
      <c r="D12891" t="s">
        <v>12889</v>
      </c>
      <c r="E12891" t="s">
        <v>12890</v>
      </c>
      <c r="F12891" t="s">
        <v>0</v>
      </c>
      <c r="G12891" t="str">
        <f>"2018-10-13 13:21:44"</f>
        <v>2018-10-13 13:21:44</v>
      </c>
    </row>
    <row r="12892" spans="1:7" x14ac:dyDescent="0.2">
      <c r="A12892" t="s">
        <v>1</v>
      </c>
      <c r="B12892" t="str">
        <f>"18053081030"</f>
        <v>18053081030</v>
      </c>
      <c r="C12892" t="s">
        <v>1</v>
      </c>
      <c r="D12892" t="s">
        <v>1</v>
      </c>
      <c r="E12892" t="s">
        <v>1</v>
      </c>
      <c r="F12892" t="s">
        <v>0</v>
      </c>
      <c r="G12892" t="str">
        <f>"2018-10-13 13:20:07"</f>
        <v>2018-10-13 13:20:07</v>
      </c>
    </row>
    <row r="12893" spans="1:7" x14ac:dyDescent="0.2">
      <c r="A12893" t="s">
        <v>1</v>
      </c>
      <c r="B12893" t="str">
        <f>"17660552103"</f>
        <v>17660552103</v>
      </c>
      <c r="C12893" t="s">
        <v>1</v>
      </c>
      <c r="D12893" t="s">
        <v>1</v>
      </c>
      <c r="E12893" t="s">
        <v>1</v>
      </c>
      <c r="F12893" t="s">
        <v>0</v>
      </c>
      <c r="G12893" t="str">
        <f>"2018-10-13 13:20:05"</f>
        <v>2018-10-13 13:20:05</v>
      </c>
    </row>
    <row r="12894" spans="1:7" x14ac:dyDescent="0.2">
      <c r="A12894" t="s">
        <v>1</v>
      </c>
      <c r="B12894" t="str">
        <f>"18628515518"</f>
        <v>18628515518</v>
      </c>
      <c r="C12894" t="s">
        <v>1</v>
      </c>
      <c r="D12894" t="s">
        <v>1</v>
      </c>
      <c r="E12894" t="s">
        <v>1</v>
      </c>
      <c r="F12894" t="s">
        <v>0</v>
      </c>
      <c r="G12894" t="str">
        <f>"2018-10-13 13:21:17"</f>
        <v>2018-10-13 13:21:17</v>
      </c>
    </row>
    <row r="12895" spans="1:7" x14ac:dyDescent="0.2">
      <c r="A12895" t="s">
        <v>12891</v>
      </c>
      <c r="B12895" t="str">
        <f>"18269118319"</f>
        <v>18269118319</v>
      </c>
      <c r="C12895" t="str">
        <f>"452627198109050912"</f>
        <v>452627198109050912</v>
      </c>
      <c r="D12895" t="s">
        <v>1</v>
      </c>
      <c r="E12895" t="s">
        <v>1</v>
      </c>
      <c r="F12895" t="s">
        <v>0</v>
      </c>
      <c r="G12895" t="str">
        <f>"2018-10-13 13:37:17"</f>
        <v>2018-10-13 13:37:17</v>
      </c>
    </row>
    <row r="12896" spans="1:7" x14ac:dyDescent="0.2">
      <c r="A12896" t="s">
        <v>12892</v>
      </c>
      <c r="B12896" t="str">
        <f>"15818899594"</f>
        <v>15818899594</v>
      </c>
      <c r="C12896" t="str">
        <f>"440181198508034263"</f>
        <v>440181198508034263</v>
      </c>
      <c r="D12896" t="s">
        <v>12893</v>
      </c>
      <c r="E12896" t="s">
        <v>12894</v>
      </c>
      <c r="F12896" t="s">
        <v>0</v>
      </c>
      <c r="G12896" t="str">
        <f>"2018-10-13 13:26:22"</f>
        <v>2018-10-13 13:26:22</v>
      </c>
    </row>
    <row r="12897" spans="1:7" x14ac:dyDescent="0.2">
      <c r="A12897" t="s">
        <v>12895</v>
      </c>
      <c r="B12897" t="str">
        <f>"13737020125"</f>
        <v>13737020125</v>
      </c>
      <c r="C12897" t="str">
        <f>"452626197809042621"</f>
        <v>452626197809042621</v>
      </c>
      <c r="D12897" t="s">
        <v>1</v>
      </c>
      <c r="E12897" t="s">
        <v>1</v>
      </c>
      <c r="F12897" t="s">
        <v>0</v>
      </c>
      <c r="G12897" t="str">
        <f>"2018-10-13 13:20:36"</f>
        <v>2018-10-13 13:20:36</v>
      </c>
    </row>
    <row r="12898" spans="1:7" x14ac:dyDescent="0.2">
      <c r="A12898" t="s">
        <v>104</v>
      </c>
      <c r="B12898" t="str">
        <f>"13372109168"</f>
        <v>13372109168</v>
      </c>
      <c r="C12898" t="str">
        <f>"522427199610027275"</f>
        <v>522427199610027275</v>
      </c>
      <c r="D12898" t="s">
        <v>1</v>
      </c>
      <c r="E12898" t="s">
        <v>1</v>
      </c>
      <c r="F12898" t="s">
        <v>0</v>
      </c>
      <c r="G12898" t="str">
        <f>"2018-10-13 13:20:19"</f>
        <v>2018-10-13 13:20:19</v>
      </c>
    </row>
    <row r="12899" spans="1:7" x14ac:dyDescent="0.2">
      <c r="A12899" t="s">
        <v>1</v>
      </c>
      <c r="B12899" t="str">
        <f>"13779623828"</f>
        <v>13779623828</v>
      </c>
      <c r="C12899" t="s">
        <v>1</v>
      </c>
      <c r="D12899" t="s">
        <v>1</v>
      </c>
      <c r="E12899" t="s">
        <v>1</v>
      </c>
      <c r="F12899" t="s">
        <v>0</v>
      </c>
      <c r="G12899" t="str">
        <f>"2018-10-13 13:19:26"</f>
        <v>2018-10-13 13:19:26</v>
      </c>
    </row>
    <row r="12900" spans="1:7" x14ac:dyDescent="0.2">
      <c r="A12900" t="s">
        <v>12896</v>
      </c>
      <c r="B12900" t="str">
        <f>"14778806362"</f>
        <v>14778806362</v>
      </c>
      <c r="C12900" t="str">
        <f>"441424199311263083"</f>
        <v>441424199311263083</v>
      </c>
      <c r="D12900" t="s">
        <v>1</v>
      </c>
      <c r="E12900" t="s">
        <v>1</v>
      </c>
      <c r="F12900" t="s">
        <v>0</v>
      </c>
      <c r="G12900" t="str">
        <f>"2018-10-13 13:21:06"</f>
        <v>2018-10-13 13:21:06</v>
      </c>
    </row>
    <row r="12901" spans="1:7" x14ac:dyDescent="0.2">
      <c r="A12901" t="s">
        <v>12897</v>
      </c>
      <c r="B12901" t="str">
        <f>"18506278702"</f>
        <v>18506278702</v>
      </c>
      <c r="C12901" t="str">
        <f>"511527199902191416"</f>
        <v>511527199902191416</v>
      </c>
      <c r="D12901" t="s">
        <v>1</v>
      </c>
      <c r="E12901" t="s">
        <v>1</v>
      </c>
      <c r="F12901" t="s">
        <v>0</v>
      </c>
      <c r="G12901" t="str">
        <f>"2018-10-19 17:19:54"</f>
        <v>2018-10-19 17:19:54</v>
      </c>
    </row>
    <row r="12902" spans="1:7" x14ac:dyDescent="0.2">
      <c r="A12902" t="s">
        <v>12898</v>
      </c>
      <c r="B12902" t="str">
        <f>"15597032878"</f>
        <v>15597032878</v>
      </c>
      <c r="C12902" t="str">
        <f>"63212219940327481X"</f>
        <v>63212219940327481X</v>
      </c>
      <c r="D12902" t="s">
        <v>1</v>
      </c>
      <c r="E12902" t="s">
        <v>1</v>
      </c>
      <c r="F12902" t="s">
        <v>0</v>
      </c>
      <c r="G12902" t="str">
        <f>"2018-10-13 13:20:49"</f>
        <v>2018-10-13 13:20:49</v>
      </c>
    </row>
    <row r="12903" spans="1:7" x14ac:dyDescent="0.2">
      <c r="A12903" t="s">
        <v>12899</v>
      </c>
      <c r="B12903" t="str">
        <f>"13946547478"</f>
        <v>13946547478</v>
      </c>
      <c r="C12903" t="str">
        <f>"23900419810604411X"</f>
        <v>23900419810604411X</v>
      </c>
      <c r="D12903" t="s">
        <v>1</v>
      </c>
      <c r="E12903" t="s">
        <v>1</v>
      </c>
      <c r="F12903" t="s">
        <v>0</v>
      </c>
      <c r="G12903" t="str">
        <f>"2018-10-13 13:24:36"</f>
        <v>2018-10-13 13:24:36</v>
      </c>
    </row>
    <row r="12904" spans="1:7" x14ac:dyDescent="0.2">
      <c r="A12904" t="s">
        <v>12900</v>
      </c>
      <c r="B12904" t="str">
        <f>"18280057127"</f>
        <v>18280057127</v>
      </c>
      <c r="C12904" t="str">
        <f>"650101199702250025"</f>
        <v>650101199702250025</v>
      </c>
      <c r="D12904" t="s">
        <v>1</v>
      </c>
      <c r="E12904" t="s">
        <v>1</v>
      </c>
      <c r="F12904" t="s">
        <v>0</v>
      </c>
      <c r="G12904" t="str">
        <f>"2018-10-13 13:27:03"</f>
        <v>2018-10-13 13:27:03</v>
      </c>
    </row>
    <row r="12905" spans="1:7" x14ac:dyDescent="0.2">
      <c r="A12905" t="s">
        <v>12901</v>
      </c>
      <c r="B12905" t="str">
        <f>"15287170949"</f>
        <v>15287170949</v>
      </c>
      <c r="C12905" t="str">
        <f>"53312319880407181X"</f>
        <v>53312319880407181X</v>
      </c>
      <c r="D12905" t="s">
        <v>1</v>
      </c>
      <c r="E12905" t="s">
        <v>1</v>
      </c>
      <c r="F12905" t="s">
        <v>0</v>
      </c>
      <c r="G12905" t="str">
        <f>"2018-10-13 13:20:50"</f>
        <v>2018-10-13 13:20:50</v>
      </c>
    </row>
    <row r="12906" spans="1:7" x14ac:dyDescent="0.2">
      <c r="A12906" t="s">
        <v>12902</v>
      </c>
      <c r="B12906" t="str">
        <f>"18268859965"</f>
        <v>18268859965</v>
      </c>
      <c r="C12906" t="str">
        <f>"35042519910213051X"</f>
        <v>35042519910213051X</v>
      </c>
      <c r="D12906" t="s">
        <v>12903</v>
      </c>
      <c r="E12906" t="s">
        <v>12904</v>
      </c>
      <c r="F12906" t="s">
        <v>0</v>
      </c>
      <c r="G12906" t="str">
        <f>"2018-10-13 13:34:01"</f>
        <v>2018-10-13 13:34:01</v>
      </c>
    </row>
    <row r="12907" spans="1:7" x14ac:dyDescent="0.2">
      <c r="A12907" t="s">
        <v>1</v>
      </c>
      <c r="B12907" t="str">
        <f>"13967310610"</f>
        <v>13967310610</v>
      </c>
      <c r="C12907" t="s">
        <v>1</v>
      </c>
      <c r="D12907" t="s">
        <v>1</v>
      </c>
      <c r="E12907" t="s">
        <v>1</v>
      </c>
      <c r="F12907" t="s">
        <v>0</v>
      </c>
      <c r="G12907" t="str">
        <f>"2018-10-13 13:16:55"</f>
        <v>2018-10-13 13:16:55</v>
      </c>
    </row>
    <row r="12908" spans="1:7" x14ac:dyDescent="0.2">
      <c r="A12908" t="s">
        <v>1</v>
      </c>
      <c r="B12908" t="str">
        <f>"15205774942"</f>
        <v>15205774942</v>
      </c>
      <c r="C12908" t="s">
        <v>1</v>
      </c>
      <c r="D12908" t="s">
        <v>1</v>
      </c>
      <c r="E12908" t="s">
        <v>1</v>
      </c>
      <c r="F12908" t="s">
        <v>0</v>
      </c>
      <c r="G12908" t="str">
        <f>"2018-10-13 13:16:38"</f>
        <v>2018-10-13 13:16:38</v>
      </c>
    </row>
    <row r="12909" spans="1:7" x14ac:dyDescent="0.2">
      <c r="A12909" t="s">
        <v>12905</v>
      </c>
      <c r="B12909" t="str">
        <f>"18259889875"</f>
        <v>18259889875</v>
      </c>
      <c r="C12909" t="str">
        <f>"350425199601183130"</f>
        <v>350425199601183130</v>
      </c>
      <c r="D12909" t="s">
        <v>1</v>
      </c>
      <c r="E12909" t="s">
        <v>1</v>
      </c>
      <c r="F12909" t="s">
        <v>0</v>
      </c>
      <c r="G12909" t="str">
        <f>"2018-10-13 13:17:50"</f>
        <v>2018-10-13 13:17:50</v>
      </c>
    </row>
    <row r="12910" spans="1:7" x14ac:dyDescent="0.2">
      <c r="A12910" t="s">
        <v>12906</v>
      </c>
      <c r="B12910" t="str">
        <f>"15909683782"</f>
        <v>15909683782</v>
      </c>
      <c r="C12910" t="str">
        <f>"64011119921006274X"</f>
        <v>64011119921006274X</v>
      </c>
      <c r="D12910" t="s">
        <v>1</v>
      </c>
      <c r="E12910" t="s">
        <v>1</v>
      </c>
      <c r="F12910" t="s">
        <v>0</v>
      </c>
      <c r="G12910" t="str">
        <f>"2018-10-13 13:17:27"</f>
        <v>2018-10-13 13:17:27</v>
      </c>
    </row>
    <row r="12911" spans="1:7" x14ac:dyDescent="0.2">
      <c r="A12911" t="s">
        <v>12907</v>
      </c>
      <c r="B12911" t="str">
        <f>"15753854037"</f>
        <v>15753854037</v>
      </c>
      <c r="C12911" t="str">
        <f>"370982199906187288"</f>
        <v>370982199906187288</v>
      </c>
      <c r="D12911" t="s">
        <v>1</v>
      </c>
      <c r="E12911" t="s">
        <v>1</v>
      </c>
      <c r="F12911" t="s">
        <v>0</v>
      </c>
      <c r="G12911" t="str">
        <f>"2018-10-31 15:03:47"</f>
        <v>2018-10-31 15:03:47</v>
      </c>
    </row>
    <row r="12912" spans="1:7" x14ac:dyDescent="0.2">
      <c r="A12912" t="s">
        <v>12908</v>
      </c>
      <c r="B12912" t="str">
        <f>"15215870940"</f>
        <v>15215870940</v>
      </c>
      <c r="C12912" t="str">
        <f>"330781199311291639"</f>
        <v>330781199311291639</v>
      </c>
      <c r="D12912" t="s">
        <v>12909</v>
      </c>
      <c r="E12912" t="s">
        <v>12910</v>
      </c>
      <c r="F12912" t="s">
        <v>0</v>
      </c>
      <c r="G12912" t="str">
        <f>"2018-10-13 13:25:24"</f>
        <v>2018-10-13 13:25:24</v>
      </c>
    </row>
    <row r="12913" spans="1:7" x14ac:dyDescent="0.2">
      <c r="A12913" t="s">
        <v>6958</v>
      </c>
      <c r="B12913" t="str">
        <f>"18238388177"</f>
        <v>18238388177</v>
      </c>
      <c r="C12913" t="str">
        <f>"41092619960213121X"</f>
        <v>41092619960213121X</v>
      </c>
      <c r="D12913" t="s">
        <v>1</v>
      </c>
      <c r="E12913" t="s">
        <v>1</v>
      </c>
      <c r="F12913" t="s">
        <v>0</v>
      </c>
      <c r="G12913" t="str">
        <f>"2018-10-13 13:17:08"</f>
        <v>2018-10-13 13:17:08</v>
      </c>
    </row>
    <row r="12914" spans="1:7" x14ac:dyDescent="0.2">
      <c r="A12914" t="s">
        <v>1</v>
      </c>
      <c r="B12914" t="str">
        <f>"17156996440"</f>
        <v>17156996440</v>
      </c>
      <c r="C12914" t="s">
        <v>1</v>
      </c>
      <c r="D12914" t="s">
        <v>1</v>
      </c>
      <c r="E12914" t="s">
        <v>1</v>
      </c>
      <c r="F12914" t="s">
        <v>0</v>
      </c>
      <c r="G12914" t="str">
        <f>"2018-10-13 13:15:12"</f>
        <v>2018-10-13 13:15:12</v>
      </c>
    </row>
    <row r="12915" spans="1:7" x14ac:dyDescent="0.2">
      <c r="A12915" t="s">
        <v>12911</v>
      </c>
      <c r="B12915" t="str">
        <f>"18315804321"</f>
        <v>18315804321</v>
      </c>
      <c r="C12915" t="str">
        <f>"371421199208210031"</f>
        <v>371421199208210031</v>
      </c>
      <c r="D12915" t="s">
        <v>1</v>
      </c>
      <c r="E12915" t="s">
        <v>1</v>
      </c>
      <c r="F12915" t="s">
        <v>0</v>
      </c>
      <c r="G12915" t="str">
        <f>"2018-10-13 13:16:22"</f>
        <v>2018-10-13 13:16:22</v>
      </c>
    </row>
    <row r="12916" spans="1:7" x14ac:dyDescent="0.2">
      <c r="A12916" t="s">
        <v>12912</v>
      </c>
      <c r="B12916" t="str">
        <f>"18575691214"</f>
        <v>18575691214</v>
      </c>
      <c r="C12916" t="str">
        <f>"360722199112142433"</f>
        <v>360722199112142433</v>
      </c>
      <c r="D12916" t="s">
        <v>1</v>
      </c>
      <c r="E12916" t="s">
        <v>1</v>
      </c>
      <c r="F12916" t="s">
        <v>0</v>
      </c>
      <c r="G12916" t="str">
        <f>"2018-10-13 13:19:17"</f>
        <v>2018-10-13 13:19:17</v>
      </c>
    </row>
    <row r="12917" spans="1:7" x14ac:dyDescent="0.2">
      <c r="A12917" t="s">
        <v>12913</v>
      </c>
      <c r="B12917" t="str">
        <f>"13844996511"</f>
        <v>13844996511</v>
      </c>
      <c r="C12917" t="str">
        <f>"220182198512095136"</f>
        <v>220182198512095136</v>
      </c>
      <c r="D12917" t="s">
        <v>1</v>
      </c>
      <c r="E12917" t="s">
        <v>1</v>
      </c>
      <c r="F12917" t="s">
        <v>0</v>
      </c>
      <c r="G12917" t="str">
        <f>"2018-10-13 13:33:00"</f>
        <v>2018-10-13 13:33:00</v>
      </c>
    </row>
    <row r="12918" spans="1:7" x14ac:dyDescent="0.2">
      <c r="A12918" t="s">
        <v>1</v>
      </c>
      <c r="B12918" t="str">
        <f>"13593216639"</f>
        <v>13593216639</v>
      </c>
      <c r="C12918" t="s">
        <v>1</v>
      </c>
      <c r="D12918" t="s">
        <v>1</v>
      </c>
      <c r="E12918" t="s">
        <v>1</v>
      </c>
      <c r="F12918" t="s">
        <v>0</v>
      </c>
      <c r="G12918" t="str">
        <f>"2018-10-13 13:14:42"</f>
        <v>2018-10-13 13:14:42</v>
      </c>
    </row>
    <row r="12919" spans="1:7" x14ac:dyDescent="0.2">
      <c r="A12919" t="s">
        <v>12914</v>
      </c>
      <c r="B12919" t="str">
        <f>"13896714037"</f>
        <v>13896714037</v>
      </c>
      <c r="C12919" t="str">
        <f>"512324198209197111"</f>
        <v>512324198209197111</v>
      </c>
      <c r="D12919" t="s">
        <v>1</v>
      </c>
      <c r="E12919" t="s">
        <v>1</v>
      </c>
      <c r="F12919" t="s">
        <v>0</v>
      </c>
      <c r="G12919" t="str">
        <f>"2018-10-13 13:13:43"</f>
        <v>2018-10-13 13:13:43</v>
      </c>
    </row>
    <row r="12920" spans="1:7" x14ac:dyDescent="0.2">
      <c r="A12920" t="s">
        <v>12915</v>
      </c>
      <c r="B12920" t="str">
        <f>"15821145496"</f>
        <v>15821145496</v>
      </c>
      <c r="C12920" t="str">
        <f>"533523198611061019"</f>
        <v>533523198611061019</v>
      </c>
      <c r="D12920" t="s">
        <v>1</v>
      </c>
      <c r="E12920" t="s">
        <v>1</v>
      </c>
      <c r="F12920" t="s">
        <v>0</v>
      </c>
      <c r="G12920" t="str">
        <f>"2018-10-13 14:14:11"</f>
        <v>2018-10-13 14:14:11</v>
      </c>
    </row>
    <row r="12921" spans="1:7" x14ac:dyDescent="0.2">
      <c r="A12921" t="s">
        <v>12916</v>
      </c>
      <c r="B12921" t="str">
        <f>"17746568942"</f>
        <v>17746568942</v>
      </c>
      <c r="C12921" t="str">
        <f>"412727198008015091"</f>
        <v>412727198008015091</v>
      </c>
      <c r="D12921" t="s">
        <v>1</v>
      </c>
      <c r="E12921" t="s">
        <v>1</v>
      </c>
      <c r="F12921" t="s">
        <v>0</v>
      </c>
      <c r="G12921" t="str">
        <f>"2018-10-13 13:14:34"</f>
        <v>2018-10-13 13:14:34</v>
      </c>
    </row>
    <row r="12922" spans="1:7" x14ac:dyDescent="0.2">
      <c r="A12922" t="s">
        <v>12917</v>
      </c>
      <c r="B12922" t="str">
        <f>"18819326438"</f>
        <v>18819326438</v>
      </c>
      <c r="C12922" t="str">
        <f>"450521199109035535"</f>
        <v>450521199109035535</v>
      </c>
      <c r="D12922" t="s">
        <v>1</v>
      </c>
      <c r="E12922" t="s">
        <v>1</v>
      </c>
      <c r="F12922" t="s">
        <v>0</v>
      </c>
      <c r="G12922" t="str">
        <f>"2018-10-18 17:29:39"</f>
        <v>2018-10-18 17:29:39</v>
      </c>
    </row>
    <row r="12923" spans="1:7" x14ac:dyDescent="0.2">
      <c r="A12923" t="s">
        <v>1</v>
      </c>
      <c r="B12923" t="str">
        <f>"18406419196"</f>
        <v>18406419196</v>
      </c>
      <c r="C12923" t="s">
        <v>1</v>
      </c>
      <c r="D12923" t="s">
        <v>1</v>
      </c>
      <c r="E12923" t="s">
        <v>1</v>
      </c>
      <c r="F12923" t="s">
        <v>0</v>
      </c>
      <c r="G12923" t="str">
        <f>"2018-10-13 13:11:38"</f>
        <v>2018-10-13 13:11:38</v>
      </c>
    </row>
    <row r="12924" spans="1:7" x14ac:dyDescent="0.2">
      <c r="A12924" t="s">
        <v>182</v>
      </c>
      <c r="B12924" t="str">
        <f>"13975551944"</f>
        <v>13975551944</v>
      </c>
      <c r="C12924" t="str">
        <f>"431003198102031913"</f>
        <v>431003198102031913</v>
      </c>
      <c r="D12924" t="s">
        <v>12918</v>
      </c>
      <c r="E12924" t="s">
        <v>12919</v>
      </c>
      <c r="F12924" t="s">
        <v>0</v>
      </c>
      <c r="G12924" t="str">
        <f>"2018-10-13 13:30:52"</f>
        <v>2018-10-13 13:30:52</v>
      </c>
    </row>
    <row r="12925" spans="1:7" x14ac:dyDescent="0.2">
      <c r="A12925" t="s">
        <v>12920</v>
      </c>
      <c r="B12925" t="str">
        <f>"18965840032"</f>
        <v>18965840032</v>
      </c>
      <c r="C12925" t="str">
        <f>"371502198805066033"</f>
        <v>371502198805066033</v>
      </c>
      <c r="D12925" t="s">
        <v>1</v>
      </c>
      <c r="E12925" t="s">
        <v>1</v>
      </c>
      <c r="F12925" t="s">
        <v>0</v>
      </c>
      <c r="G12925" t="str">
        <f>"2018-10-13 13:33:30"</f>
        <v>2018-10-13 13:33:30</v>
      </c>
    </row>
    <row r="12926" spans="1:7" x14ac:dyDescent="0.2">
      <c r="A12926" t="s">
        <v>12921</v>
      </c>
      <c r="B12926" t="str">
        <f>"13515905821"</f>
        <v>13515905821</v>
      </c>
      <c r="C12926" t="str">
        <f>"350822198303220616"</f>
        <v>350822198303220616</v>
      </c>
      <c r="D12926" t="s">
        <v>1</v>
      </c>
      <c r="E12926" t="s">
        <v>1</v>
      </c>
      <c r="F12926" t="s">
        <v>0</v>
      </c>
      <c r="G12926" t="str">
        <f>"2018-10-13 13:27:45"</f>
        <v>2018-10-13 13:27:45</v>
      </c>
    </row>
    <row r="12927" spans="1:7" x14ac:dyDescent="0.2">
      <c r="A12927" t="s">
        <v>1</v>
      </c>
      <c r="B12927" t="str">
        <f>"13096990818"</f>
        <v>13096990818</v>
      </c>
      <c r="C12927" t="s">
        <v>1</v>
      </c>
      <c r="D12927" t="s">
        <v>1</v>
      </c>
      <c r="E12927" t="s">
        <v>1</v>
      </c>
      <c r="F12927" t="s">
        <v>0</v>
      </c>
      <c r="G12927" t="str">
        <f>"2018-10-13 13:10:53"</f>
        <v>2018-10-13 13:10:53</v>
      </c>
    </row>
    <row r="12928" spans="1:7" x14ac:dyDescent="0.2">
      <c r="A12928" t="s">
        <v>12922</v>
      </c>
      <c r="B12928" t="str">
        <f>"13408664031"</f>
        <v>13408664031</v>
      </c>
      <c r="C12928" t="str">
        <f>"510184199302231212"</f>
        <v>510184199302231212</v>
      </c>
      <c r="D12928" t="s">
        <v>1</v>
      </c>
      <c r="E12928" t="s">
        <v>1</v>
      </c>
      <c r="F12928" t="s">
        <v>0</v>
      </c>
      <c r="G12928" t="str">
        <f>"2018-10-13 17:12:14"</f>
        <v>2018-10-13 17:12:14</v>
      </c>
    </row>
    <row r="12929" spans="1:7" x14ac:dyDescent="0.2">
      <c r="A12929" t="s">
        <v>12923</v>
      </c>
      <c r="B12929" t="str">
        <f>"13824574368"</f>
        <v>13824574368</v>
      </c>
      <c r="C12929" t="str">
        <f>"441423199101246211"</f>
        <v>441423199101246211</v>
      </c>
      <c r="D12929" t="s">
        <v>1</v>
      </c>
      <c r="E12929" t="s">
        <v>1</v>
      </c>
      <c r="F12929" t="s">
        <v>0</v>
      </c>
      <c r="G12929" t="str">
        <f>"2018-10-13 13:46:25"</f>
        <v>2018-10-13 13:46:25</v>
      </c>
    </row>
    <row r="12930" spans="1:7" x14ac:dyDescent="0.2">
      <c r="A12930" t="s">
        <v>12924</v>
      </c>
      <c r="B12930" t="str">
        <f>"15278573652"</f>
        <v>15278573652</v>
      </c>
      <c r="C12930" t="str">
        <f>"452501197204214117"</f>
        <v>452501197204214117</v>
      </c>
      <c r="D12930" t="s">
        <v>1</v>
      </c>
      <c r="E12930" t="s">
        <v>1</v>
      </c>
      <c r="F12930" t="s">
        <v>0</v>
      </c>
      <c r="G12930" t="str">
        <f>"2018-10-13 13:09:55"</f>
        <v>2018-10-13 13:09:55</v>
      </c>
    </row>
    <row r="12931" spans="1:7" x14ac:dyDescent="0.2">
      <c r="A12931" t="s">
        <v>12925</v>
      </c>
      <c r="B12931" t="str">
        <f>"18755393738"</f>
        <v>18755393738</v>
      </c>
      <c r="C12931" t="str">
        <f>"34022119930204786X"</f>
        <v>34022119930204786X</v>
      </c>
      <c r="D12931" t="s">
        <v>1</v>
      </c>
      <c r="E12931" t="s">
        <v>1</v>
      </c>
      <c r="F12931" t="s">
        <v>0</v>
      </c>
      <c r="G12931" t="str">
        <f>"2018-10-13 13:10:17"</f>
        <v>2018-10-13 13:10:17</v>
      </c>
    </row>
    <row r="12932" spans="1:7" x14ac:dyDescent="0.2">
      <c r="A12932" t="s">
        <v>12926</v>
      </c>
      <c r="B12932" t="str">
        <f>"18750388820"</f>
        <v>18750388820</v>
      </c>
      <c r="C12932" t="str">
        <f>"352203198205101517"</f>
        <v>352203198205101517</v>
      </c>
      <c r="D12932" t="s">
        <v>1</v>
      </c>
      <c r="E12932" t="s">
        <v>1</v>
      </c>
      <c r="F12932" t="s">
        <v>0</v>
      </c>
      <c r="G12932" t="str">
        <f>"2018-10-13 13:30:09"</f>
        <v>2018-10-13 13:30:09</v>
      </c>
    </row>
    <row r="12933" spans="1:7" x14ac:dyDescent="0.2">
      <c r="A12933" t="s">
        <v>12927</v>
      </c>
      <c r="B12933" t="str">
        <f>"18857132366"</f>
        <v>18857132366</v>
      </c>
      <c r="C12933" t="str">
        <f>"450422198407134255"</f>
        <v>450422198407134255</v>
      </c>
      <c r="D12933" t="s">
        <v>12928</v>
      </c>
      <c r="E12933" t="s">
        <v>12929</v>
      </c>
      <c r="F12933" t="s">
        <v>0</v>
      </c>
      <c r="G12933" t="str">
        <f>"2018-10-13 13:10:34"</f>
        <v>2018-10-13 13:10:34</v>
      </c>
    </row>
    <row r="12934" spans="1:7" x14ac:dyDescent="0.2">
      <c r="A12934" t="s">
        <v>12930</v>
      </c>
      <c r="B12934" t="str">
        <f>"13159228167"</f>
        <v>13159228167</v>
      </c>
      <c r="C12934" t="str">
        <f>"330382199609191723"</f>
        <v>330382199609191723</v>
      </c>
      <c r="D12934" t="s">
        <v>1</v>
      </c>
      <c r="E12934" t="s">
        <v>1</v>
      </c>
      <c r="F12934" t="s">
        <v>0</v>
      </c>
      <c r="G12934" t="str">
        <f>"2018-10-13 13:10:54"</f>
        <v>2018-10-13 13:10:54</v>
      </c>
    </row>
    <row r="12935" spans="1:7" x14ac:dyDescent="0.2">
      <c r="A12935" t="s">
        <v>1</v>
      </c>
      <c r="B12935" t="str">
        <f>"18740223734"</f>
        <v>18740223734</v>
      </c>
      <c r="C12935" t="s">
        <v>1</v>
      </c>
      <c r="D12935" t="s">
        <v>1</v>
      </c>
      <c r="E12935" t="s">
        <v>1</v>
      </c>
      <c r="F12935" t="s">
        <v>0</v>
      </c>
      <c r="G12935" t="str">
        <f>"2018-10-13 13:11:05"</f>
        <v>2018-10-13 13:11:05</v>
      </c>
    </row>
    <row r="12936" spans="1:7" x14ac:dyDescent="0.2">
      <c r="A12936" t="s">
        <v>1</v>
      </c>
      <c r="B12936" t="str">
        <f>"18389179308"</f>
        <v>18389179308</v>
      </c>
      <c r="C12936" t="s">
        <v>1</v>
      </c>
      <c r="D12936" t="s">
        <v>1</v>
      </c>
      <c r="E12936" t="s">
        <v>1</v>
      </c>
      <c r="F12936" t="s">
        <v>0</v>
      </c>
      <c r="G12936" t="str">
        <f>"2018-10-13 13:07:31"</f>
        <v>2018-10-13 13:07:31</v>
      </c>
    </row>
    <row r="12937" spans="1:7" x14ac:dyDescent="0.2">
      <c r="A12937" t="s">
        <v>12931</v>
      </c>
      <c r="B12937" t="str">
        <f>"17856008850"</f>
        <v>17856008850</v>
      </c>
      <c r="C12937" t="str">
        <f>"341103199602023213"</f>
        <v>341103199602023213</v>
      </c>
      <c r="D12937" t="s">
        <v>1</v>
      </c>
      <c r="E12937" t="s">
        <v>1</v>
      </c>
      <c r="F12937" t="s">
        <v>0</v>
      </c>
      <c r="G12937" t="str">
        <f>"2018-10-13 13:09:38"</f>
        <v>2018-10-13 13:09:38</v>
      </c>
    </row>
    <row r="12938" spans="1:7" x14ac:dyDescent="0.2">
      <c r="A12938" t="s">
        <v>12932</v>
      </c>
      <c r="B12938" t="str">
        <f>"17740021444"</f>
        <v>17740021444</v>
      </c>
      <c r="C12938" t="str">
        <f>"211224199110058119"</f>
        <v>211224199110058119</v>
      </c>
      <c r="D12938" t="s">
        <v>1</v>
      </c>
      <c r="E12938" t="s">
        <v>1</v>
      </c>
      <c r="F12938" t="s">
        <v>0</v>
      </c>
      <c r="G12938" t="str">
        <f>"2018-10-13 13:08:27"</f>
        <v>2018-10-13 13:08:27</v>
      </c>
    </row>
    <row r="12939" spans="1:7" x14ac:dyDescent="0.2">
      <c r="A12939" t="s">
        <v>12933</v>
      </c>
      <c r="B12939" t="str">
        <f>"15511677538"</f>
        <v>15511677538</v>
      </c>
      <c r="C12939" t="str">
        <f>"130182199106104431"</f>
        <v>130182199106104431</v>
      </c>
      <c r="D12939" t="s">
        <v>1</v>
      </c>
      <c r="E12939" t="s">
        <v>1</v>
      </c>
      <c r="F12939" t="s">
        <v>0</v>
      </c>
      <c r="G12939" t="str">
        <f>"2018-10-13 13:07:54"</f>
        <v>2018-10-13 13:07:54</v>
      </c>
    </row>
    <row r="12940" spans="1:7" x14ac:dyDescent="0.2">
      <c r="A12940" t="s">
        <v>12934</v>
      </c>
      <c r="B12940" t="str">
        <f>"13615417292"</f>
        <v>13615417292</v>
      </c>
      <c r="C12940" t="str">
        <f>"371421198004050617"</f>
        <v>371421198004050617</v>
      </c>
      <c r="D12940" t="s">
        <v>1</v>
      </c>
      <c r="E12940" t="s">
        <v>1</v>
      </c>
      <c r="F12940" t="s">
        <v>0</v>
      </c>
      <c r="G12940" t="str">
        <f>"2018-10-13 13:09:21"</f>
        <v>2018-10-13 13:09:21</v>
      </c>
    </row>
    <row r="12941" spans="1:7" x14ac:dyDescent="0.2">
      <c r="A12941" t="s">
        <v>12935</v>
      </c>
      <c r="B12941" t="str">
        <f>"17603741990"</f>
        <v>17603741990</v>
      </c>
      <c r="C12941" t="str">
        <f>"411002199002020015"</f>
        <v>411002199002020015</v>
      </c>
      <c r="D12941" t="s">
        <v>1</v>
      </c>
      <c r="E12941" t="s">
        <v>1</v>
      </c>
      <c r="F12941" t="s">
        <v>0</v>
      </c>
      <c r="G12941" t="str">
        <f>"2018-10-13 13:06:14"</f>
        <v>2018-10-13 13:06:14</v>
      </c>
    </row>
    <row r="12942" spans="1:7" x14ac:dyDescent="0.2">
      <c r="A12942" t="s">
        <v>12936</v>
      </c>
      <c r="B12942" t="str">
        <f>"13459306077"</f>
        <v>13459306077</v>
      </c>
      <c r="C12942" t="str">
        <f>"352202197908210532"</f>
        <v>352202197908210532</v>
      </c>
      <c r="D12942" t="s">
        <v>1</v>
      </c>
      <c r="E12942" t="s">
        <v>1</v>
      </c>
      <c r="F12942" t="s">
        <v>0</v>
      </c>
      <c r="G12942" t="str">
        <f>"2018-10-14 11:41:48"</f>
        <v>2018-10-14 11:41:48</v>
      </c>
    </row>
    <row r="12943" spans="1:7" x14ac:dyDescent="0.2">
      <c r="A12943" t="s">
        <v>1</v>
      </c>
      <c r="B12943" t="str">
        <f>"15213430388"</f>
        <v>15213430388</v>
      </c>
      <c r="C12943" t="s">
        <v>1</v>
      </c>
      <c r="D12943" t="s">
        <v>1</v>
      </c>
      <c r="E12943" t="s">
        <v>1</v>
      </c>
      <c r="F12943" t="s">
        <v>0</v>
      </c>
      <c r="G12943" t="str">
        <f>"2018-10-13 13:07:39"</f>
        <v>2018-10-13 13:07:39</v>
      </c>
    </row>
    <row r="12944" spans="1:7" x14ac:dyDescent="0.2">
      <c r="A12944" t="s">
        <v>12937</v>
      </c>
      <c r="B12944" t="str">
        <f>"14754534676"</f>
        <v>14754534676</v>
      </c>
      <c r="C12944" t="str">
        <f>"500237199608263179"</f>
        <v>500237199608263179</v>
      </c>
      <c r="D12944" t="s">
        <v>1</v>
      </c>
      <c r="E12944" t="s">
        <v>1</v>
      </c>
      <c r="F12944" t="s">
        <v>0</v>
      </c>
      <c r="G12944" t="str">
        <f>"2018-10-13 13:05:55"</f>
        <v>2018-10-13 13:05:55</v>
      </c>
    </row>
    <row r="12945" spans="1:7" x14ac:dyDescent="0.2">
      <c r="A12945" t="s">
        <v>1</v>
      </c>
      <c r="B12945" t="str">
        <f>"15195607678"</f>
        <v>15195607678</v>
      </c>
      <c r="C12945" t="s">
        <v>1</v>
      </c>
      <c r="D12945" t="s">
        <v>1</v>
      </c>
      <c r="E12945" t="s">
        <v>1</v>
      </c>
      <c r="F12945" t="s">
        <v>0</v>
      </c>
      <c r="G12945" t="str">
        <f>"2018-10-13 13:07:02"</f>
        <v>2018-10-13 13:07:02</v>
      </c>
    </row>
    <row r="12946" spans="1:7" x14ac:dyDescent="0.2">
      <c r="A12946" t="s">
        <v>12938</v>
      </c>
      <c r="B12946" t="str">
        <f>"15704098771"</f>
        <v>15704098771</v>
      </c>
      <c r="C12946" t="str">
        <f>"220882199005094537"</f>
        <v>220882199005094537</v>
      </c>
      <c r="D12946" t="s">
        <v>1</v>
      </c>
      <c r="E12946" t="s">
        <v>1</v>
      </c>
      <c r="F12946" t="s">
        <v>0</v>
      </c>
      <c r="G12946" t="str">
        <f>"2018-10-13 13:08:01"</f>
        <v>2018-10-13 13:08:01</v>
      </c>
    </row>
    <row r="12947" spans="1:7" x14ac:dyDescent="0.2">
      <c r="A12947" t="s">
        <v>12939</v>
      </c>
      <c r="B12947" t="str">
        <f>"15526727771"</f>
        <v>15526727771</v>
      </c>
      <c r="C12947" t="str">
        <f>"222405199012201019"</f>
        <v>222405199012201019</v>
      </c>
      <c r="D12947" t="s">
        <v>1</v>
      </c>
      <c r="E12947" t="s">
        <v>1</v>
      </c>
      <c r="F12947" t="s">
        <v>0</v>
      </c>
      <c r="G12947" t="str">
        <f>"2018-10-13 13:26:33"</f>
        <v>2018-10-13 13:26:33</v>
      </c>
    </row>
    <row r="12948" spans="1:7" x14ac:dyDescent="0.2">
      <c r="A12948" t="s">
        <v>12940</v>
      </c>
      <c r="B12948" t="str">
        <f>"13766418517"</f>
        <v>13766418517</v>
      </c>
      <c r="C12948" t="str">
        <f>"362201196305224813"</f>
        <v>362201196305224813</v>
      </c>
      <c r="D12948" t="s">
        <v>1</v>
      </c>
      <c r="E12948" t="s">
        <v>1</v>
      </c>
      <c r="F12948" t="s">
        <v>0</v>
      </c>
      <c r="G12948" t="str">
        <f>"2018-10-13 13:08:29"</f>
        <v>2018-10-13 13:08:29</v>
      </c>
    </row>
    <row r="12949" spans="1:7" x14ac:dyDescent="0.2">
      <c r="A12949" t="s">
        <v>12941</v>
      </c>
      <c r="B12949" t="str">
        <f>"15989124117"</f>
        <v>15989124117</v>
      </c>
      <c r="C12949" t="str">
        <f>"440111198811121213"</f>
        <v>440111198811121213</v>
      </c>
      <c r="D12949" t="s">
        <v>1</v>
      </c>
      <c r="E12949" t="s">
        <v>1</v>
      </c>
      <c r="F12949" t="s">
        <v>0</v>
      </c>
      <c r="G12949" t="str">
        <f>"2018-10-13 13:06:53"</f>
        <v>2018-10-13 13:06:53</v>
      </c>
    </row>
    <row r="12950" spans="1:7" x14ac:dyDescent="0.2">
      <c r="A12950" t="s">
        <v>12942</v>
      </c>
      <c r="B12950" t="str">
        <f>"15034111617"</f>
        <v>15034111617</v>
      </c>
      <c r="C12950" t="str">
        <f>"140104197911161344"</f>
        <v>140104197911161344</v>
      </c>
      <c r="D12950" t="s">
        <v>1</v>
      </c>
      <c r="E12950" t="s">
        <v>1</v>
      </c>
      <c r="F12950" t="s">
        <v>0</v>
      </c>
      <c r="G12950" t="str">
        <f>"2018-10-13 14:07:54"</f>
        <v>2018-10-13 14:07:54</v>
      </c>
    </row>
    <row r="12951" spans="1:7" x14ac:dyDescent="0.2">
      <c r="A12951" t="s">
        <v>12943</v>
      </c>
      <c r="B12951" t="str">
        <f>"15052420034"</f>
        <v>15052420034</v>
      </c>
      <c r="C12951" t="str">
        <f>"320481199506294815"</f>
        <v>320481199506294815</v>
      </c>
      <c r="D12951" t="s">
        <v>1</v>
      </c>
      <c r="E12951" t="s">
        <v>1</v>
      </c>
      <c r="F12951" t="s">
        <v>0</v>
      </c>
      <c r="G12951" t="str">
        <f>"2018-11-01 13:24:51"</f>
        <v>2018-11-01 13:24:51</v>
      </c>
    </row>
    <row r="12952" spans="1:7" x14ac:dyDescent="0.2">
      <c r="A12952" t="s">
        <v>12944</v>
      </c>
      <c r="B12952" t="str">
        <f>"13634732865"</f>
        <v>13634732865</v>
      </c>
      <c r="C12952" t="str">
        <f>"130929198212115131"</f>
        <v>130929198212115131</v>
      </c>
      <c r="D12952" t="s">
        <v>1</v>
      </c>
      <c r="E12952" t="s">
        <v>1</v>
      </c>
      <c r="F12952" t="s">
        <v>0</v>
      </c>
      <c r="G12952" t="str">
        <f>"2018-10-13 13:02:39"</f>
        <v>2018-10-13 13:02:39</v>
      </c>
    </row>
    <row r="12953" spans="1:7" x14ac:dyDescent="0.2">
      <c r="A12953" t="s">
        <v>12945</v>
      </c>
      <c r="B12953" t="str">
        <f>"18262922760"</f>
        <v>18262922760</v>
      </c>
      <c r="C12953" t="str">
        <f>"321322199410189039"</f>
        <v>321322199410189039</v>
      </c>
      <c r="D12953" t="s">
        <v>1</v>
      </c>
      <c r="E12953" t="s">
        <v>1</v>
      </c>
      <c r="F12953" t="s">
        <v>0</v>
      </c>
      <c r="G12953" t="str">
        <f>"2018-10-13 13:03:24"</f>
        <v>2018-10-13 13:03:24</v>
      </c>
    </row>
    <row r="12954" spans="1:7" x14ac:dyDescent="0.2">
      <c r="A12954" t="s">
        <v>123</v>
      </c>
      <c r="B12954" t="str">
        <f>"15663223534"</f>
        <v>15663223534</v>
      </c>
      <c r="C12954" t="str">
        <f>"230204198810272119"</f>
        <v>230204198810272119</v>
      </c>
      <c r="D12954" t="s">
        <v>12946</v>
      </c>
      <c r="E12954" t="s">
        <v>12947</v>
      </c>
      <c r="F12954" t="s">
        <v>0</v>
      </c>
      <c r="G12954" t="str">
        <f>"2018-10-13 13:02:33"</f>
        <v>2018-10-13 13:02:33</v>
      </c>
    </row>
    <row r="12955" spans="1:7" x14ac:dyDescent="0.2">
      <c r="A12955" t="s">
        <v>12948</v>
      </c>
      <c r="B12955" t="str">
        <f>"18271181728"</f>
        <v>18271181728</v>
      </c>
      <c r="C12955" t="str">
        <f>"420982199607010049"</f>
        <v>420982199607010049</v>
      </c>
      <c r="D12955" t="s">
        <v>1</v>
      </c>
      <c r="E12955" t="s">
        <v>1</v>
      </c>
      <c r="F12955" t="s">
        <v>0</v>
      </c>
      <c r="G12955" t="str">
        <f>"2018-10-13 13:08:44"</f>
        <v>2018-10-13 13:08:44</v>
      </c>
    </row>
    <row r="12956" spans="1:7" x14ac:dyDescent="0.2">
      <c r="A12956" t="s">
        <v>12949</v>
      </c>
      <c r="B12956" t="str">
        <f>"18530818279"</f>
        <v>18530818279</v>
      </c>
      <c r="C12956" t="str">
        <f>"410184198412077617"</f>
        <v>410184198412077617</v>
      </c>
      <c r="D12956" t="s">
        <v>1</v>
      </c>
      <c r="E12956" t="s">
        <v>1</v>
      </c>
      <c r="F12956" t="s">
        <v>0</v>
      </c>
      <c r="G12956" t="str">
        <f>"2018-10-13 13:01:54"</f>
        <v>2018-10-13 13:01:54</v>
      </c>
    </row>
    <row r="12957" spans="1:7" x14ac:dyDescent="0.2">
      <c r="A12957" t="s">
        <v>1</v>
      </c>
      <c r="B12957" t="str">
        <f>"13836084443"</f>
        <v>13836084443</v>
      </c>
      <c r="C12957" t="s">
        <v>1</v>
      </c>
      <c r="D12957" t="s">
        <v>1</v>
      </c>
      <c r="E12957" t="s">
        <v>1</v>
      </c>
      <c r="F12957" t="s">
        <v>0</v>
      </c>
      <c r="G12957" t="str">
        <f>"2018-10-13 13:00:50"</f>
        <v>2018-10-13 13:00:50</v>
      </c>
    </row>
    <row r="12958" spans="1:7" x14ac:dyDescent="0.2">
      <c r="A12958" t="s">
        <v>12950</v>
      </c>
      <c r="B12958" t="str">
        <f>"15835430448"</f>
        <v>15835430448</v>
      </c>
      <c r="C12958" t="str">
        <f>"14070219921125707X"</f>
        <v>14070219921125707X</v>
      </c>
      <c r="D12958" t="s">
        <v>1</v>
      </c>
      <c r="E12958" t="s">
        <v>1</v>
      </c>
      <c r="F12958" t="s">
        <v>0</v>
      </c>
      <c r="G12958" t="str">
        <f>"2018-10-13 13:02:04"</f>
        <v>2018-10-13 13:02:04</v>
      </c>
    </row>
    <row r="12959" spans="1:7" x14ac:dyDescent="0.2">
      <c r="A12959" t="s">
        <v>1479</v>
      </c>
      <c r="B12959" t="str">
        <f>"13539400303"</f>
        <v>13539400303</v>
      </c>
      <c r="C12959" t="str">
        <f>"430529198706172311"</f>
        <v>430529198706172311</v>
      </c>
      <c r="D12959" t="s">
        <v>1</v>
      </c>
      <c r="E12959" t="s">
        <v>1</v>
      </c>
      <c r="F12959" t="s">
        <v>0</v>
      </c>
      <c r="G12959" t="str">
        <f>"2018-10-13 13:00:16"</f>
        <v>2018-10-13 13:00:16</v>
      </c>
    </row>
    <row r="12960" spans="1:7" x14ac:dyDescent="0.2">
      <c r="A12960" t="s">
        <v>87</v>
      </c>
      <c r="B12960" t="str">
        <f>"13932277472"</f>
        <v>13932277472</v>
      </c>
      <c r="C12960" t="str">
        <f>"130681198404200217"</f>
        <v>130681198404200217</v>
      </c>
      <c r="D12960" t="s">
        <v>1</v>
      </c>
      <c r="E12960" t="s">
        <v>1</v>
      </c>
      <c r="F12960" t="s">
        <v>0</v>
      </c>
      <c r="G12960" t="str">
        <f>"2018-10-13 13:26:36"</f>
        <v>2018-10-13 13:26:36</v>
      </c>
    </row>
    <row r="12961" spans="1:7" x14ac:dyDescent="0.2">
      <c r="A12961" t="s">
        <v>12951</v>
      </c>
      <c r="B12961" t="str">
        <f>"18392533359"</f>
        <v>18392533359</v>
      </c>
      <c r="C12961" t="str">
        <f>"610124198809052734"</f>
        <v>610124198809052734</v>
      </c>
      <c r="D12961" t="s">
        <v>1</v>
      </c>
      <c r="E12961" t="s">
        <v>1</v>
      </c>
      <c r="F12961" t="s">
        <v>0</v>
      </c>
      <c r="G12961" t="str">
        <f>"2018-10-13 13:01:44"</f>
        <v>2018-10-13 13:01:44</v>
      </c>
    </row>
    <row r="12962" spans="1:7" x14ac:dyDescent="0.2">
      <c r="A12962" t="s">
        <v>12952</v>
      </c>
      <c r="B12962" t="str">
        <f>"13906428228"</f>
        <v>13906428228</v>
      </c>
      <c r="C12962" t="str">
        <f>"37021419951007504X"</f>
        <v>37021419951007504X</v>
      </c>
      <c r="D12962" t="s">
        <v>1</v>
      </c>
      <c r="E12962" t="s">
        <v>1</v>
      </c>
      <c r="F12962" t="s">
        <v>0</v>
      </c>
      <c r="G12962" t="str">
        <f>"2018-10-14 13:23:48"</f>
        <v>2018-10-14 13:23:48</v>
      </c>
    </row>
    <row r="12963" spans="1:7" x14ac:dyDescent="0.2">
      <c r="A12963" t="s">
        <v>12953</v>
      </c>
      <c r="B12963" t="str">
        <f>"13613906093"</f>
        <v>13613906093</v>
      </c>
      <c r="C12963" t="str">
        <f>"410782198511284734"</f>
        <v>410782198511284734</v>
      </c>
      <c r="D12963" t="s">
        <v>1</v>
      </c>
      <c r="E12963" t="s">
        <v>1</v>
      </c>
      <c r="F12963" t="s">
        <v>0</v>
      </c>
      <c r="G12963" t="str">
        <f>"2018-10-13 13:00:27"</f>
        <v>2018-10-13 13:00:27</v>
      </c>
    </row>
    <row r="12964" spans="1:7" x14ac:dyDescent="0.2">
      <c r="A12964" t="s">
        <v>12954</v>
      </c>
      <c r="B12964" t="str">
        <f>"13889559528"</f>
        <v>13889559528</v>
      </c>
      <c r="C12964" t="str">
        <f>"210213199103015823"</f>
        <v>210213199103015823</v>
      </c>
      <c r="D12964" t="s">
        <v>1</v>
      </c>
      <c r="E12964" t="s">
        <v>1</v>
      </c>
      <c r="F12964" t="s">
        <v>0</v>
      </c>
      <c r="G12964" t="str">
        <f>"2018-10-13 13:06:36"</f>
        <v>2018-10-13 13:06:36</v>
      </c>
    </row>
    <row r="12965" spans="1:7" x14ac:dyDescent="0.2">
      <c r="A12965" t="s">
        <v>1</v>
      </c>
      <c r="B12965" t="str">
        <f>"15891011062"</f>
        <v>15891011062</v>
      </c>
      <c r="C12965" t="s">
        <v>1</v>
      </c>
      <c r="D12965" t="s">
        <v>1</v>
      </c>
      <c r="E12965" t="s">
        <v>1</v>
      </c>
      <c r="F12965" t="s">
        <v>0</v>
      </c>
      <c r="G12965" t="str">
        <f>"2018-10-13 12:58:54"</f>
        <v>2018-10-13 12:58:54</v>
      </c>
    </row>
    <row r="12966" spans="1:7" x14ac:dyDescent="0.2">
      <c r="A12966" t="s">
        <v>12955</v>
      </c>
      <c r="B12966" t="str">
        <f>"15568848812"</f>
        <v>15568848812</v>
      </c>
      <c r="C12966" t="str">
        <f>"342601199503188018"</f>
        <v>342601199503188018</v>
      </c>
      <c r="D12966" t="s">
        <v>1</v>
      </c>
      <c r="E12966" t="s">
        <v>1</v>
      </c>
      <c r="F12966" t="s">
        <v>0</v>
      </c>
      <c r="G12966" t="str">
        <f>"2018-10-13 13:05:45"</f>
        <v>2018-10-13 13:05:45</v>
      </c>
    </row>
    <row r="12967" spans="1:7" x14ac:dyDescent="0.2">
      <c r="A12967" t="s">
        <v>1</v>
      </c>
      <c r="B12967" t="str">
        <f>"13862637251"</f>
        <v>13862637251</v>
      </c>
      <c r="C12967" t="s">
        <v>1</v>
      </c>
      <c r="D12967" t="s">
        <v>1</v>
      </c>
      <c r="E12967" t="s">
        <v>1</v>
      </c>
      <c r="F12967" t="s">
        <v>0</v>
      </c>
      <c r="G12967" t="str">
        <f>"2018-10-13 12:58:40"</f>
        <v>2018-10-13 12:58:40</v>
      </c>
    </row>
    <row r="12968" spans="1:7" x14ac:dyDescent="0.2">
      <c r="A12968" t="s">
        <v>12956</v>
      </c>
      <c r="B12968" t="str">
        <f>"15082720102"</f>
        <v>15082720102</v>
      </c>
      <c r="C12968" t="str">
        <f>"513721199204077338"</f>
        <v>513721199204077338</v>
      </c>
      <c r="D12968" t="s">
        <v>1</v>
      </c>
      <c r="E12968" t="s">
        <v>1</v>
      </c>
      <c r="F12968" t="s">
        <v>0</v>
      </c>
      <c r="G12968" t="str">
        <f>"2018-10-13 12:58:56"</f>
        <v>2018-10-13 12:58:56</v>
      </c>
    </row>
    <row r="12969" spans="1:7" x14ac:dyDescent="0.2">
      <c r="A12969" t="s">
        <v>12957</v>
      </c>
      <c r="B12969" t="str">
        <f>"13700003036"</f>
        <v>13700003036</v>
      </c>
      <c r="C12969" t="str">
        <f>"420102198007120017"</f>
        <v>420102198007120017</v>
      </c>
      <c r="D12969" t="s">
        <v>12958</v>
      </c>
      <c r="E12969" t="s">
        <v>12959</v>
      </c>
      <c r="F12969" t="s">
        <v>0</v>
      </c>
      <c r="G12969" t="str">
        <f>"2018-10-14 19:36:05"</f>
        <v>2018-10-14 19:36:05</v>
      </c>
    </row>
    <row r="12970" spans="1:7" x14ac:dyDescent="0.2">
      <c r="A12970" t="s">
        <v>1</v>
      </c>
      <c r="B12970" t="str">
        <f>"15925359389"</f>
        <v>15925359389</v>
      </c>
      <c r="C12970" t="s">
        <v>1</v>
      </c>
      <c r="D12970" t="s">
        <v>1</v>
      </c>
      <c r="E12970" t="s">
        <v>1</v>
      </c>
      <c r="F12970" t="s">
        <v>0</v>
      </c>
      <c r="G12970" t="str">
        <f>"2018-10-13 12:58:04"</f>
        <v>2018-10-13 12:58:04</v>
      </c>
    </row>
    <row r="12971" spans="1:7" x14ac:dyDescent="0.2">
      <c r="A12971" t="s">
        <v>1</v>
      </c>
      <c r="B12971" t="str">
        <f>"13119604009"</f>
        <v>13119604009</v>
      </c>
      <c r="C12971" t="s">
        <v>1</v>
      </c>
      <c r="D12971" t="s">
        <v>1</v>
      </c>
      <c r="E12971" t="s">
        <v>1</v>
      </c>
      <c r="F12971" t="s">
        <v>0</v>
      </c>
      <c r="G12971" t="str">
        <f>"2018-10-13 12:57:48"</f>
        <v>2018-10-13 12:57:48</v>
      </c>
    </row>
    <row r="12972" spans="1:7" x14ac:dyDescent="0.2">
      <c r="A12972" t="s">
        <v>1</v>
      </c>
      <c r="B12972" t="str">
        <f>"15247707734"</f>
        <v>15247707734</v>
      </c>
      <c r="C12972" t="s">
        <v>1</v>
      </c>
      <c r="D12972" t="s">
        <v>1</v>
      </c>
      <c r="E12972" t="s">
        <v>1</v>
      </c>
      <c r="F12972" t="s">
        <v>0</v>
      </c>
      <c r="G12972" t="str">
        <f>"2018-10-13 12:57:07"</f>
        <v>2018-10-13 12:57:07</v>
      </c>
    </row>
    <row r="12973" spans="1:7" x14ac:dyDescent="0.2">
      <c r="A12973" t="s">
        <v>1</v>
      </c>
      <c r="B12973" t="str">
        <f>"13696190365"</f>
        <v>13696190365</v>
      </c>
      <c r="C12973" t="s">
        <v>1</v>
      </c>
      <c r="D12973" t="s">
        <v>1</v>
      </c>
      <c r="E12973" t="s">
        <v>1</v>
      </c>
      <c r="F12973" t="s">
        <v>0</v>
      </c>
      <c r="G12973" t="str">
        <f>"2018-10-13 12:59:11"</f>
        <v>2018-10-13 12:59:11</v>
      </c>
    </row>
    <row r="12974" spans="1:7" x14ac:dyDescent="0.2">
      <c r="A12974" t="s">
        <v>12960</v>
      </c>
      <c r="B12974" t="str">
        <f>"13390509936"</f>
        <v>13390509936</v>
      </c>
      <c r="C12974" t="str">
        <f>"210213199207243919"</f>
        <v>210213199207243919</v>
      </c>
      <c r="D12974" t="s">
        <v>1</v>
      </c>
      <c r="E12974" t="s">
        <v>1</v>
      </c>
      <c r="F12974" t="s">
        <v>0</v>
      </c>
      <c r="G12974" t="str">
        <f>"2018-10-13 12:56:46"</f>
        <v>2018-10-13 12:56:46</v>
      </c>
    </row>
    <row r="12975" spans="1:7" x14ac:dyDescent="0.2">
      <c r="A12975" t="s">
        <v>104</v>
      </c>
      <c r="B12975" t="str">
        <f>"18659980926"</f>
        <v>18659980926</v>
      </c>
      <c r="C12975" t="str">
        <f>"362523197008010017"</f>
        <v>362523197008010017</v>
      </c>
      <c r="D12975" t="s">
        <v>12961</v>
      </c>
      <c r="E12975" t="s">
        <v>12962</v>
      </c>
      <c r="F12975" t="s">
        <v>0</v>
      </c>
      <c r="G12975" t="str">
        <f>"2018-10-13 15:18:03"</f>
        <v>2018-10-13 15:18:03</v>
      </c>
    </row>
    <row r="12976" spans="1:7" x14ac:dyDescent="0.2">
      <c r="A12976" t="s">
        <v>1019</v>
      </c>
      <c r="B12976" t="str">
        <f>"17626971000"</f>
        <v>17626971000</v>
      </c>
      <c r="C12976" t="str">
        <f>"320721199110050259"</f>
        <v>320721199110050259</v>
      </c>
      <c r="D12976" t="s">
        <v>1</v>
      </c>
      <c r="E12976" t="s">
        <v>1</v>
      </c>
      <c r="F12976" t="s">
        <v>0</v>
      </c>
      <c r="G12976" t="str">
        <f>"2018-10-13 12:56:34"</f>
        <v>2018-10-13 12:56:34</v>
      </c>
    </row>
    <row r="12977" spans="1:7" x14ac:dyDescent="0.2">
      <c r="A12977" t="s">
        <v>12963</v>
      </c>
      <c r="B12977" t="str">
        <f>"13915085584"</f>
        <v>13915085584</v>
      </c>
      <c r="C12977" t="str">
        <f>"320405198612172562"</f>
        <v>320405198612172562</v>
      </c>
      <c r="D12977" t="s">
        <v>12964</v>
      </c>
      <c r="E12977" t="s">
        <v>12965</v>
      </c>
      <c r="F12977" t="s">
        <v>0</v>
      </c>
      <c r="G12977" t="str">
        <f>"2018-10-21 11:14:26"</f>
        <v>2018-10-21 11:14:26</v>
      </c>
    </row>
    <row r="12978" spans="1:7" x14ac:dyDescent="0.2">
      <c r="A12978" t="s">
        <v>1</v>
      </c>
      <c r="B12978" t="str">
        <f>"15221138308"</f>
        <v>15221138308</v>
      </c>
      <c r="C12978" t="s">
        <v>1</v>
      </c>
      <c r="D12978" t="s">
        <v>1</v>
      </c>
      <c r="E12978" t="s">
        <v>1</v>
      </c>
      <c r="F12978" t="s">
        <v>0</v>
      </c>
      <c r="G12978" t="str">
        <f>"2018-10-13 12:56:04"</f>
        <v>2018-10-13 12:56:04</v>
      </c>
    </row>
    <row r="12979" spans="1:7" x14ac:dyDescent="0.2">
      <c r="A12979" t="s">
        <v>1</v>
      </c>
      <c r="B12979" t="str">
        <f>"18370819120"</f>
        <v>18370819120</v>
      </c>
      <c r="C12979" t="s">
        <v>1</v>
      </c>
      <c r="D12979" t="s">
        <v>1</v>
      </c>
      <c r="E12979" t="s">
        <v>1</v>
      </c>
      <c r="F12979" t="s">
        <v>0</v>
      </c>
      <c r="G12979" t="str">
        <f>"2018-10-13 12:56:04"</f>
        <v>2018-10-13 12:56:04</v>
      </c>
    </row>
    <row r="12980" spans="1:7" x14ac:dyDescent="0.2">
      <c r="A12980" t="s">
        <v>1</v>
      </c>
      <c r="B12980" t="str">
        <f>"18885237979"</f>
        <v>18885237979</v>
      </c>
      <c r="C12980" t="s">
        <v>1</v>
      </c>
      <c r="D12980" t="s">
        <v>1</v>
      </c>
      <c r="E12980" t="s">
        <v>1</v>
      </c>
      <c r="F12980" t="s">
        <v>0</v>
      </c>
      <c r="G12980" t="str">
        <f>"2018-10-13 12:56:02"</f>
        <v>2018-10-13 12:56:02</v>
      </c>
    </row>
    <row r="12981" spans="1:7" x14ac:dyDescent="0.2">
      <c r="A12981" t="s">
        <v>12966</v>
      </c>
      <c r="B12981" t="str">
        <f>"18683350602"</f>
        <v>18683350602</v>
      </c>
      <c r="C12981" t="str">
        <f>"511181198606020614"</f>
        <v>511181198606020614</v>
      </c>
      <c r="D12981" t="s">
        <v>12967</v>
      </c>
      <c r="E12981" t="s">
        <v>12968</v>
      </c>
      <c r="F12981" t="s">
        <v>0</v>
      </c>
      <c r="G12981" t="str">
        <f>"2018-10-13 13:06:56"</f>
        <v>2018-10-13 13:06:56</v>
      </c>
    </row>
    <row r="12982" spans="1:7" x14ac:dyDescent="0.2">
      <c r="A12982" t="s">
        <v>1</v>
      </c>
      <c r="B12982" t="str">
        <f>"18585223667"</f>
        <v>18585223667</v>
      </c>
      <c r="C12982" t="s">
        <v>1</v>
      </c>
      <c r="D12982" t="s">
        <v>1</v>
      </c>
      <c r="E12982" t="s">
        <v>1</v>
      </c>
      <c r="F12982" t="s">
        <v>0</v>
      </c>
      <c r="G12982" t="str">
        <f>"2018-10-13 12:55:50"</f>
        <v>2018-10-13 12:55:50</v>
      </c>
    </row>
    <row r="12983" spans="1:7" x14ac:dyDescent="0.2">
      <c r="A12983" t="s">
        <v>1</v>
      </c>
      <c r="B12983" t="str">
        <f>"13087794112"</f>
        <v>13087794112</v>
      </c>
      <c r="C12983" t="s">
        <v>1</v>
      </c>
      <c r="D12983" t="s">
        <v>1</v>
      </c>
      <c r="E12983" t="s">
        <v>1</v>
      </c>
      <c r="F12983" t="s">
        <v>0</v>
      </c>
      <c r="G12983" t="str">
        <f>"2018-10-13 12:55:20"</f>
        <v>2018-10-13 12:55:20</v>
      </c>
    </row>
    <row r="12984" spans="1:7" x14ac:dyDescent="0.2">
      <c r="A12984" t="s">
        <v>12969</v>
      </c>
      <c r="B12984" t="str">
        <f>"13544680898"</f>
        <v>13544680898</v>
      </c>
      <c r="C12984" t="str">
        <f>"441900197903142434"</f>
        <v>441900197903142434</v>
      </c>
      <c r="D12984" t="s">
        <v>1</v>
      </c>
      <c r="E12984" t="s">
        <v>1</v>
      </c>
      <c r="F12984" t="s">
        <v>0</v>
      </c>
      <c r="G12984" t="str">
        <f>"2018-10-13 12:58:33"</f>
        <v>2018-10-13 12:58:33</v>
      </c>
    </row>
    <row r="12985" spans="1:7" x14ac:dyDescent="0.2">
      <c r="A12985" t="s">
        <v>1</v>
      </c>
      <c r="B12985" t="str">
        <f>"15206015861"</f>
        <v>15206015861</v>
      </c>
      <c r="C12985" t="s">
        <v>1</v>
      </c>
      <c r="D12985" t="s">
        <v>1</v>
      </c>
      <c r="E12985" t="s">
        <v>1</v>
      </c>
      <c r="F12985" t="s">
        <v>0</v>
      </c>
      <c r="G12985" t="str">
        <f>"2018-10-13 12:54:32"</f>
        <v>2018-10-13 12:54:32</v>
      </c>
    </row>
    <row r="12986" spans="1:7" x14ac:dyDescent="0.2">
      <c r="A12986" t="s">
        <v>12970</v>
      </c>
      <c r="B12986" t="str">
        <f>"13420232703"</f>
        <v>13420232703</v>
      </c>
      <c r="C12986" t="str">
        <f>"442000198208200213"</f>
        <v>442000198208200213</v>
      </c>
      <c r="D12986" t="s">
        <v>1</v>
      </c>
      <c r="E12986" t="s">
        <v>1</v>
      </c>
      <c r="F12986" t="s">
        <v>0</v>
      </c>
      <c r="G12986" t="str">
        <f>"2018-10-13 12:58:11"</f>
        <v>2018-10-13 12:58:11</v>
      </c>
    </row>
    <row r="12987" spans="1:7" x14ac:dyDescent="0.2">
      <c r="A12987" t="s">
        <v>12971</v>
      </c>
      <c r="B12987" t="str">
        <f>"13644371333"</f>
        <v>13644371333</v>
      </c>
      <c r="C12987" t="str">
        <f>"220421197110090032"</f>
        <v>220421197110090032</v>
      </c>
      <c r="D12987" t="s">
        <v>12972</v>
      </c>
      <c r="E12987" t="s">
        <v>12973</v>
      </c>
      <c r="F12987" t="s">
        <v>0</v>
      </c>
      <c r="G12987" t="str">
        <f>"2018-10-13 12:55:34"</f>
        <v>2018-10-13 12:55:34</v>
      </c>
    </row>
    <row r="12988" spans="1:7" x14ac:dyDescent="0.2">
      <c r="A12988" t="s">
        <v>481</v>
      </c>
      <c r="B12988" t="str">
        <f>"13247118539"</f>
        <v>13247118539</v>
      </c>
      <c r="C12988" t="str">
        <f>"420106196203204433"</f>
        <v>420106196203204433</v>
      </c>
      <c r="D12988" t="s">
        <v>1</v>
      </c>
      <c r="E12988" t="s">
        <v>1</v>
      </c>
      <c r="F12988" t="s">
        <v>0</v>
      </c>
      <c r="G12988" t="str">
        <f>"2018-10-13 13:01:50"</f>
        <v>2018-10-13 13:01:50</v>
      </c>
    </row>
    <row r="12989" spans="1:7" x14ac:dyDescent="0.2">
      <c r="A12989" t="s">
        <v>12974</v>
      </c>
      <c r="B12989" t="str">
        <f>"13880625798"</f>
        <v>13880625798</v>
      </c>
      <c r="C12989" t="str">
        <f>"510130197005150012"</f>
        <v>510130197005150012</v>
      </c>
      <c r="D12989" t="s">
        <v>1</v>
      </c>
      <c r="E12989" t="s">
        <v>1</v>
      </c>
      <c r="F12989" t="s">
        <v>0</v>
      </c>
      <c r="G12989" t="str">
        <f>"2018-10-13 12:55:15"</f>
        <v>2018-10-13 12:55:15</v>
      </c>
    </row>
    <row r="12990" spans="1:7" x14ac:dyDescent="0.2">
      <c r="A12990" t="s">
        <v>12975</v>
      </c>
      <c r="B12990" t="str">
        <f>"18523233182"</f>
        <v>18523233182</v>
      </c>
      <c r="C12990" t="str">
        <f>"500234199202063709"</f>
        <v>500234199202063709</v>
      </c>
      <c r="D12990" t="s">
        <v>1</v>
      </c>
      <c r="E12990" t="s">
        <v>1</v>
      </c>
      <c r="F12990" t="s">
        <v>0</v>
      </c>
      <c r="G12990" t="str">
        <f>"2018-10-13 12:53:46"</f>
        <v>2018-10-13 12:53:46</v>
      </c>
    </row>
    <row r="12991" spans="1:7" x14ac:dyDescent="0.2">
      <c r="A12991" t="s">
        <v>12976</v>
      </c>
      <c r="B12991" t="str">
        <f>"18321129305"</f>
        <v>18321129305</v>
      </c>
      <c r="C12991" t="str">
        <f>"340827199610202316"</f>
        <v>340827199610202316</v>
      </c>
      <c r="D12991" t="s">
        <v>12977</v>
      </c>
      <c r="E12991" t="s">
        <v>12978</v>
      </c>
      <c r="F12991" t="s">
        <v>0</v>
      </c>
      <c r="G12991" t="str">
        <f>"2018-10-13 12:55:07"</f>
        <v>2018-10-13 12:55:07</v>
      </c>
    </row>
    <row r="12992" spans="1:7" x14ac:dyDescent="0.2">
      <c r="A12992" t="s">
        <v>12979</v>
      </c>
      <c r="B12992" t="str">
        <f>"18870886190"</f>
        <v>18870886190</v>
      </c>
      <c r="C12992" t="str">
        <f>"360731199511101723"</f>
        <v>360731199511101723</v>
      </c>
      <c r="D12992" t="s">
        <v>1</v>
      </c>
      <c r="E12992" t="s">
        <v>1</v>
      </c>
      <c r="F12992" t="s">
        <v>0</v>
      </c>
      <c r="G12992" t="str">
        <f>"2018-10-13 12:53:19"</f>
        <v>2018-10-13 12:53:19</v>
      </c>
    </row>
    <row r="12993" spans="1:7" x14ac:dyDescent="0.2">
      <c r="A12993" t="s">
        <v>12980</v>
      </c>
      <c r="B12993" t="str">
        <f>"18155099990"</f>
        <v>18155099990</v>
      </c>
      <c r="C12993" t="str">
        <f>"34110219890418621X"</f>
        <v>34110219890418621X</v>
      </c>
      <c r="D12993" t="s">
        <v>1</v>
      </c>
      <c r="E12993" t="s">
        <v>1</v>
      </c>
      <c r="F12993" t="s">
        <v>0</v>
      </c>
      <c r="G12993" t="str">
        <f>"2018-10-13 13:05:19"</f>
        <v>2018-10-13 13:05:19</v>
      </c>
    </row>
    <row r="12994" spans="1:7" x14ac:dyDescent="0.2">
      <c r="A12994" t="s">
        <v>497</v>
      </c>
      <c r="B12994" t="str">
        <f>"13456378880"</f>
        <v>13456378880</v>
      </c>
      <c r="C12994" t="str">
        <f>"330402198309280918"</f>
        <v>330402198309280918</v>
      </c>
      <c r="D12994" t="s">
        <v>1</v>
      </c>
      <c r="E12994" t="s">
        <v>1</v>
      </c>
      <c r="F12994" t="s">
        <v>0</v>
      </c>
      <c r="G12994" t="str">
        <f>"2018-10-13 12:54:36"</f>
        <v>2018-10-13 12:54:36</v>
      </c>
    </row>
    <row r="12995" spans="1:7" x14ac:dyDescent="0.2">
      <c r="A12995" t="s">
        <v>12981</v>
      </c>
      <c r="B12995" t="str">
        <f>"15152898848"</f>
        <v>15152898848</v>
      </c>
      <c r="C12995" t="str">
        <f>"320625197504185675"</f>
        <v>320625197504185675</v>
      </c>
      <c r="D12995" t="s">
        <v>1</v>
      </c>
      <c r="E12995" t="s">
        <v>1</v>
      </c>
      <c r="F12995" t="s">
        <v>0</v>
      </c>
      <c r="G12995" t="str">
        <f>"2018-10-13 12:57:14"</f>
        <v>2018-10-13 12:57:14</v>
      </c>
    </row>
    <row r="12996" spans="1:7" x14ac:dyDescent="0.2">
      <c r="A12996" t="s">
        <v>12982</v>
      </c>
      <c r="B12996" t="str">
        <f>"18777665250"</f>
        <v>18777665250</v>
      </c>
      <c r="C12996" t="str">
        <f>"452626198406270042"</f>
        <v>452626198406270042</v>
      </c>
      <c r="D12996" t="s">
        <v>1</v>
      </c>
      <c r="E12996" t="s">
        <v>1</v>
      </c>
      <c r="F12996" t="s">
        <v>0</v>
      </c>
      <c r="G12996" t="str">
        <f>"2018-10-13 12:54:19"</f>
        <v>2018-10-13 12:54:19</v>
      </c>
    </row>
    <row r="12997" spans="1:7" x14ac:dyDescent="0.2">
      <c r="A12997" t="s">
        <v>12983</v>
      </c>
      <c r="B12997" t="str">
        <f>"13681519163"</f>
        <v>13681519163</v>
      </c>
      <c r="C12997" t="str">
        <f>"140227199412170528"</f>
        <v>140227199412170528</v>
      </c>
      <c r="D12997" t="s">
        <v>1</v>
      </c>
      <c r="E12997" t="s">
        <v>1</v>
      </c>
      <c r="F12997" t="s">
        <v>0</v>
      </c>
      <c r="G12997" t="str">
        <f>"2018-10-13 12:54:43"</f>
        <v>2018-10-13 12:54:43</v>
      </c>
    </row>
    <row r="12998" spans="1:7" x14ac:dyDescent="0.2">
      <c r="A12998" t="s">
        <v>1665</v>
      </c>
      <c r="B12998" t="str">
        <f>"18335732903"</f>
        <v>18335732903</v>
      </c>
      <c r="C12998" t="str">
        <f>"141082198012050025"</f>
        <v>141082198012050025</v>
      </c>
      <c r="D12998" t="s">
        <v>1</v>
      </c>
      <c r="E12998" t="s">
        <v>1</v>
      </c>
      <c r="F12998" t="s">
        <v>0</v>
      </c>
      <c r="G12998" t="str">
        <f>"2018-10-13 12:54:04"</f>
        <v>2018-10-13 12:54:04</v>
      </c>
    </row>
    <row r="12999" spans="1:7" x14ac:dyDescent="0.2">
      <c r="A12999" t="s">
        <v>12984</v>
      </c>
      <c r="B12999" t="str">
        <f>"13914075418"</f>
        <v>13914075418</v>
      </c>
      <c r="C12999" t="str">
        <f>"320586198601035072"</f>
        <v>320586198601035072</v>
      </c>
      <c r="D12999" t="s">
        <v>1</v>
      </c>
      <c r="E12999" t="s">
        <v>1</v>
      </c>
      <c r="F12999" t="s">
        <v>0</v>
      </c>
      <c r="G12999" t="str">
        <f>"2018-10-13 12:58:37"</f>
        <v>2018-10-13 12:58:37</v>
      </c>
    </row>
    <row r="13000" spans="1:7" x14ac:dyDescent="0.2">
      <c r="A13000" t="s">
        <v>1</v>
      </c>
      <c r="B13000" t="str">
        <f>"13521952162"</f>
        <v>13521952162</v>
      </c>
      <c r="C13000" t="s">
        <v>1</v>
      </c>
      <c r="D13000" t="s">
        <v>1</v>
      </c>
      <c r="E13000" t="s">
        <v>1</v>
      </c>
      <c r="F13000" t="s">
        <v>0</v>
      </c>
      <c r="G13000" t="str">
        <f>"2018-10-13 12:51:34"</f>
        <v>2018-10-13 12:51:34</v>
      </c>
    </row>
    <row r="13001" spans="1:7" x14ac:dyDescent="0.2">
      <c r="A13001" t="s">
        <v>12985</v>
      </c>
      <c r="B13001" t="str">
        <f>"18883548600"</f>
        <v>18883548600</v>
      </c>
      <c r="C13001" t="str">
        <f>"130626199303201712"</f>
        <v>130626199303201712</v>
      </c>
      <c r="D13001" t="s">
        <v>12986</v>
      </c>
      <c r="E13001" t="s">
        <v>12987</v>
      </c>
      <c r="F13001" t="s">
        <v>0</v>
      </c>
      <c r="G13001" t="str">
        <f>"2018-10-14 12:01:21"</f>
        <v>2018-10-14 12:01:21</v>
      </c>
    </row>
    <row r="13002" spans="1:7" x14ac:dyDescent="0.2">
      <c r="A13002" t="s">
        <v>1</v>
      </c>
      <c r="B13002" t="str">
        <f>"18696945312"</f>
        <v>18696945312</v>
      </c>
      <c r="C13002" t="s">
        <v>1</v>
      </c>
      <c r="D13002" t="s">
        <v>1</v>
      </c>
      <c r="E13002" t="s">
        <v>1</v>
      </c>
      <c r="F13002" t="s">
        <v>0</v>
      </c>
      <c r="G13002" t="str">
        <f>"2018-10-13 12:51:16"</f>
        <v>2018-10-13 12:51:16</v>
      </c>
    </row>
    <row r="13003" spans="1:7" x14ac:dyDescent="0.2">
      <c r="A13003" t="s">
        <v>822</v>
      </c>
      <c r="B13003" t="str">
        <f>"18754731127"</f>
        <v>18754731127</v>
      </c>
      <c r="C13003" t="str">
        <f>"370883198510251219"</f>
        <v>370883198510251219</v>
      </c>
      <c r="D13003" t="s">
        <v>1</v>
      </c>
      <c r="E13003" t="s">
        <v>1</v>
      </c>
      <c r="F13003" t="s">
        <v>0</v>
      </c>
      <c r="G13003" t="str">
        <f>"2018-10-13 12:51:58"</f>
        <v>2018-10-13 12:51:58</v>
      </c>
    </row>
    <row r="13004" spans="1:7" x14ac:dyDescent="0.2">
      <c r="A13004" t="s">
        <v>12988</v>
      </c>
      <c r="B13004" t="str">
        <f>"13699157535"</f>
        <v>13699157535</v>
      </c>
      <c r="C13004" t="str">
        <f>"110106198710201831"</f>
        <v>110106198710201831</v>
      </c>
      <c r="D13004" t="s">
        <v>1</v>
      </c>
      <c r="E13004" t="s">
        <v>1</v>
      </c>
      <c r="F13004" t="s">
        <v>0</v>
      </c>
      <c r="G13004" t="str">
        <f>"2018-10-13 12:51:02"</f>
        <v>2018-10-13 12:51:02</v>
      </c>
    </row>
    <row r="13005" spans="1:7" x14ac:dyDescent="0.2">
      <c r="A13005" t="s">
        <v>1</v>
      </c>
      <c r="B13005" t="str">
        <f>"13886067521"</f>
        <v>13886067521</v>
      </c>
      <c r="C13005" t="s">
        <v>1</v>
      </c>
      <c r="D13005" t="s">
        <v>1</v>
      </c>
      <c r="E13005" t="s">
        <v>1</v>
      </c>
      <c r="F13005" t="s">
        <v>0</v>
      </c>
      <c r="G13005" t="str">
        <f>"2018-10-13 12:50:52"</f>
        <v>2018-10-13 12:50:52</v>
      </c>
    </row>
    <row r="13006" spans="1:7" x14ac:dyDescent="0.2">
      <c r="A13006" t="s">
        <v>598</v>
      </c>
      <c r="B13006" t="str">
        <f>"18665046843"</f>
        <v>18665046843</v>
      </c>
      <c r="C13006" t="str">
        <f>"431124199008011053"</f>
        <v>431124199008011053</v>
      </c>
      <c r="D13006" t="s">
        <v>1</v>
      </c>
      <c r="E13006" t="s">
        <v>1</v>
      </c>
      <c r="F13006" t="s">
        <v>0</v>
      </c>
      <c r="G13006" t="str">
        <f>"2018-10-13 12:52:13"</f>
        <v>2018-10-13 12:52:13</v>
      </c>
    </row>
    <row r="13007" spans="1:7" x14ac:dyDescent="0.2">
      <c r="A13007" t="s">
        <v>12989</v>
      </c>
      <c r="B13007" t="str">
        <f>"17539589461"</f>
        <v>17539589461</v>
      </c>
      <c r="C13007" t="str">
        <f>"50023419971009523X"</f>
        <v>50023419971009523X</v>
      </c>
      <c r="D13007" t="s">
        <v>1</v>
      </c>
      <c r="E13007" t="s">
        <v>1</v>
      </c>
      <c r="F13007" t="s">
        <v>0</v>
      </c>
      <c r="G13007" t="str">
        <f>"2018-10-19 17:01:47"</f>
        <v>2018-10-19 17:01:47</v>
      </c>
    </row>
    <row r="13008" spans="1:7" x14ac:dyDescent="0.2">
      <c r="A13008" t="s">
        <v>1</v>
      </c>
      <c r="B13008" t="str">
        <f>"18638310858"</f>
        <v>18638310858</v>
      </c>
      <c r="C13008" t="s">
        <v>1</v>
      </c>
      <c r="D13008" t="s">
        <v>1</v>
      </c>
      <c r="E13008" t="s">
        <v>1</v>
      </c>
      <c r="F13008" t="s">
        <v>0</v>
      </c>
      <c r="G13008" t="str">
        <f>"2018-10-13 12:49:18"</f>
        <v>2018-10-13 12:49:18</v>
      </c>
    </row>
    <row r="13009" spans="1:7" x14ac:dyDescent="0.2">
      <c r="A13009" t="s">
        <v>12990</v>
      </c>
      <c r="B13009" t="str">
        <f>"15622908052"</f>
        <v>15622908052</v>
      </c>
      <c r="C13009" t="str">
        <f>"532528199002090733"</f>
        <v>532528199002090733</v>
      </c>
      <c r="D13009" t="s">
        <v>1</v>
      </c>
      <c r="E13009" t="s">
        <v>1</v>
      </c>
      <c r="F13009" t="s">
        <v>0</v>
      </c>
      <c r="G13009" t="str">
        <f>"2018-10-13 13:55:01"</f>
        <v>2018-10-13 13:55:01</v>
      </c>
    </row>
    <row r="13010" spans="1:7" x14ac:dyDescent="0.2">
      <c r="A13010" t="s">
        <v>12991</v>
      </c>
      <c r="B13010" t="str">
        <f>"13664503111"</f>
        <v>13664503111</v>
      </c>
      <c r="C13010" t="str">
        <f>"230121198505254433"</f>
        <v>230121198505254433</v>
      </c>
      <c r="D13010" t="s">
        <v>12992</v>
      </c>
      <c r="E13010" t="s">
        <v>12993</v>
      </c>
      <c r="F13010" t="s">
        <v>0</v>
      </c>
      <c r="G13010" t="str">
        <f>"2018-10-13 12:49:51"</f>
        <v>2018-10-13 12:49:51</v>
      </c>
    </row>
    <row r="13011" spans="1:7" x14ac:dyDescent="0.2">
      <c r="A13011" t="s">
        <v>1</v>
      </c>
      <c r="B13011" t="str">
        <f>"13730462803"</f>
        <v>13730462803</v>
      </c>
      <c r="C13011" t="s">
        <v>1</v>
      </c>
      <c r="D13011" t="s">
        <v>1</v>
      </c>
      <c r="E13011" t="s">
        <v>1</v>
      </c>
      <c r="F13011" t="s">
        <v>0</v>
      </c>
      <c r="G13011" t="str">
        <f>"2018-10-13 12:48:56"</f>
        <v>2018-10-13 12:48:56</v>
      </c>
    </row>
    <row r="13012" spans="1:7" x14ac:dyDescent="0.2">
      <c r="A13012" t="s">
        <v>1</v>
      </c>
      <c r="B13012" t="str">
        <f>"13886074753"</f>
        <v>13886074753</v>
      </c>
      <c r="C13012" t="s">
        <v>1</v>
      </c>
      <c r="D13012" t="s">
        <v>1</v>
      </c>
      <c r="E13012" t="s">
        <v>1</v>
      </c>
      <c r="F13012" t="s">
        <v>0</v>
      </c>
      <c r="G13012" t="str">
        <f>"2018-10-13 12:48:50"</f>
        <v>2018-10-13 12:48:50</v>
      </c>
    </row>
    <row r="13013" spans="1:7" x14ac:dyDescent="0.2">
      <c r="A13013" t="s">
        <v>1</v>
      </c>
      <c r="B13013" t="str">
        <f>"18228676182"</f>
        <v>18228676182</v>
      </c>
      <c r="C13013" t="s">
        <v>1</v>
      </c>
      <c r="D13013" t="s">
        <v>1</v>
      </c>
      <c r="E13013" t="s">
        <v>1</v>
      </c>
      <c r="F13013" t="s">
        <v>0</v>
      </c>
      <c r="G13013" t="str">
        <f>"2018-10-13 12:50:59"</f>
        <v>2018-10-13 12:50:59</v>
      </c>
    </row>
    <row r="13014" spans="1:7" x14ac:dyDescent="0.2">
      <c r="A13014" t="s">
        <v>1</v>
      </c>
      <c r="B13014" t="str">
        <f>"15533755777"</f>
        <v>15533755777</v>
      </c>
      <c r="C13014" t="s">
        <v>1</v>
      </c>
      <c r="D13014" t="s">
        <v>1</v>
      </c>
      <c r="E13014" t="s">
        <v>1</v>
      </c>
      <c r="F13014" t="s">
        <v>0</v>
      </c>
      <c r="G13014" t="str">
        <f>"2018-10-13 12:48:14"</f>
        <v>2018-10-13 12:48:14</v>
      </c>
    </row>
    <row r="13015" spans="1:7" x14ac:dyDescent="0.2">
      <c r="A13015" t="s">
        <v>12994</v>
      </c>
      <c r="B13015" t="str">
        <f>"18382874210"</f>
        <v>18382874210</v>
      </c>
      <c r="C13015" t="str">
        <f>"513701199701051213"</f>
        <v>513701199701051213</v>
      </c>
      <c r="D13015" t="s">
        <v>1</v>
      </c>
      <c r="E13015" t="s">
        <v>1</v>
      </c>
      <c r="F13015" t="s">
        <v>0</v>
      </c>
      <c r="G13015" t="str">
        <f>"2018-10-16 12:50:17"</f>
        <v>2018-10-16 12:50:17</v>
      </c>
    </row>
    <row r="13016" spans="1:7" x14ac:dyDescent="0.2">
      <c r="A13016" t="s">
        <v>12995</v>
      </c>
      <c r="B13016" t="str">
        <f>"15883647579"</f>
        <v>15883647579</v>
      </c>
      <c r="C13016" t="str">
        <f>"510603199308040512"</f>
        <v>510603199308040512</v>
      </c>
      <c r="D13016" t="s">
        <v>12996</v>
      </c>
      <c r="E13016" t="s">
        <v>12997</v>
      </c>
      <c r="F13016" t="s">
        <v>0</v>
      </c>
      <c r="G13016" t="str">
        <f>"2018-10-14 00:06:12"</f>
        <v>2018-10-14 00:06:12</v>
      </c>
    </row>
    <row r="13017" spans="1:7" x14ac:dyDescent="0.2">
      <c r="A13017" t="s">
        <v>1</v>
      </c>
      <c r="B13017" t="str">
        <f>"18213888309"</f>
        <v>18213888309</v>
      </c>
      <c r="C13017" t="s">
        <v>1</v>
      </c>
      <c r="D13017" t="s">
        <v>1</v>
      </c>
      <c r="E13017" t="s">
        <v>1</v>
      </c>
      <c r="F13017" t="s">
        <v>0</v>
      </c>
      <c r="G13017" t="str">
        <f>"2018-10-13 12:48:59"</f>
        <v>2018-10-13 12:48:59</v>
      </c>
    </row>
    <row r="13018" spans="1:7" x14ac:dyDescent="0.2">
      <c r="A13018" t="s">
        <v>1</v>
      </c>
      <c r="B13018" t="str">
        <f>"18859926166"</f>
        <v>18859926166</v>
      </c>
      <c r="C13018" t="s">
        <v>1</v>
      </c>
      <c r="D13018" t="s">
        <v>1</v>
      </c>
      <c r="E13018" t="s">
        <v>1</v>
      </c>
      <c r="F13018" t="s">
        <v>0</v>
      </c>
      <c r="G13018" t="str">
        <f>"2018-10-13 12:52:23"</f>
        <v>2018-10-13 12:52:23</v>
      </c>
    </row>
    <row r="13019" spans="1:7" x14ac:dyDescent="0.2">
      <c r="A13019" t="s">
        <v>12998</v>
      </c>
      <c r="B13019" t="str">
        <f>"15009243155"</f>
        <v>15009243155</v>
      </c>
      <c r="C13019" t="str">
        <f>"61012219960416171X"</f>
        <v>61012219960416171X</v>
      </c>
      <c r="D13019" t="s">
        <v>12999</v>
      </c>
      <c r="E13019" t="s">
        <v>13000</v>
      </c>
      <c r="F13019" t="s">
        <v>0</v>
      </c>
      <c r="G13019" t="str">
        <f>"2018-10-13 13:19:09"</f>
        <v>2018-10-13 13:19:09</v>
      </c>
    </row>
    <row r="13020" spans="1:7" x14ac:dyDescent="0.2">
      <c r="A13020" t="s">
        <v>13001</v>
      </c>
      <c r="B13020" t="str">
        <f>"15136881765"</f>
        <v>15136881765</v>
      </c>
      <c r="C13020" t="str">
        <f>"411023198706087012"</f>
        <v>411023198706087012</v>
      </c>
      <c r="D13020" t="s">
        <v>1</v>
      </c>
      <c r="E13020" t="s">
        <v>1</v>
      </c>
      <c r="F13020" t="s">
        <v>0</v>
      </c>
      <c r="G13020" t="str">
        <f>"2018-10-13 12:48:32"</f>
        <v>2018-10-13 12:48:32</v>
      </c>
    </row>
    <row r="13021" spans="1:7" x14ac:dyDescent="0.2">
      <c r="A13021" t="s">
        <v>13002</v>
      </c>
      <c r="B13021" t="str">
        <f>"13733891962"</f>
        <v>13733891962</v>
      </c>
      <c r="C13021" t="str">
        <f>"51082419850601425X"</f>
        <v>51082419850601425X</v>
      </c>
      <c r="D13021" t="s">
        <v>13003</v>
      </c>
      <c r="E13021" t="s">
        <v>13004</v>
      </c>
      <c r="F13021" t="s">
        <v>0</v>
      </c>
      <c r="G13021" t="str">
        <f>"2018-10-13 12:50:26"</f>
        <v>2018-10-13 12:50:26</v>
      </c>
    </row>
    <row r="13022" spans="1:7" x14ac:dyDescent="0.2">
      <c r="A13022" t="s">
        <v>26</v>
      </c>
      <c r="B13022" t="str">
        <f>"15912541323"</f>
        <v>15912541323</v>
      </c>
      <c r="C13022" t="str">
        <f>"530181198812302631"</f>
        <v>530181198812302631</v>
      </c>
      <c r="D13022" t="s">
        <v>1</v>
      </c>
      <c r="E13022" t="s">
        <v>1</v>
      </c>
      <c r="F13022" t="s">
        <v>0</v>
      </c>
      <c r="G13022" t="str">
        <f>"2018-10-13 12:47:17"</f>
        <v>2018-10-13 12:47:17</v>
      </c>
    </row>
    <row r="13023" spans="1:7" x14ac:dyDescent="0.2">
      <c r="A13023" t="s">
        <v>13005</v>
      </c>
      <c r="B13023" t="str">
        <f>"15836600118"</f>
        <v>15836600118</v>
      </c>
      <c r="C13023" t="str">
        <f>"412825198706027615"</f>
        <v>412825198706027615</v>
      </c>
      <c r="D13023" t="s">
        <v>1</v>
      </c>
      <c r="E13023" t="s">
        <v>1</v>
      </c>
      <c r="F13023" t="s">
        <v>0</v>
      </c>
      <c r="G13023" t="str">
        <f>"2018-10-13 12:47:07"</f>
        <v>2018-10-13 12:47:07</v>
      </c>
    </row>
    <row r="13024" spans="1:7" x14ac:dyDescent="0.2">
      <c r="A13024" t="s">
        <v>1</v>
      </c>
      <c r="B13024" t="str">
        <f>"15818515114"</f>
        <v>15818515114</v>
      </c>
      <c r="C13024" t="s">
        <v>1</v>
      </c>
      <c r="D13024" t="s">
        <v>1</v>
      </c>
      <c r="E13024" t="s">
        <v>1</v>
      </c>
      <c r="F13024" t="s">
        <v>0</v>
      </c>
      <c r="G13024" t="str">
        <f>"2018-10-13 12:45:43"</f>
        <v>2018-10-13 12:45:43</v>
      </c>
    </row>
    <row r="13025" spans="1:7" x14ac:dyDescent="0.2">
      <c r="A13025" t="s">
        <v>13006</v>
      </c>
      <c r="B13025" t="str">
        <f>"18293131326"</f>
        <v>18293131326</v>
      </c>
      <c r="C13025" t="str">
        <f>"620422198905076213"</f>
        <v>620422198905076213</v>
      </c>
      <c r="D13025" t="s">
        <v>1</v>
      </c>
      <c r="E13025" t="s">
        <v>1</v>
      </c>
      <c r="F13025" t="s">
        <v>0</v>
      </c>
      <c r="G13025" t="str">
        <f>"2018-10-13 13:20:23"</f>
        <v>2018-10-13 13:20:23</v>
      </c>
    </row>
    <row r="13026" spans="1:7" x14ac:dyDescent="0.2">
      <c r="A13026" t="s">
        <v>13007</v>
      </c>
      <c r="B13026" t="str">
        <f>"18780527317"</f>
        <v>18780527317</v>
      </c>
      <c r="C13026" t="str">
        <f>"410425198305154521"</f>
        <v>410425198305154521</v>
      </c>
      <c r="D13026" t="s">
        <v>13008</v>
      </c>
      <c r="E13026" t="s">
        <v>13009</v>
      </c>
      <c r="F13026" t="s">
        <v>0</v>
      </c>
      <c r="G13026" t="str">
        <f>"2018-10-13 12:46:26"</f>
        <v>2018-10-13 12:46:26</v>
      </c>
    </row>
    <row r="13027" spans="1:7" x14ac:dyDescent="0.2">
      <c r="A13027" t="s">
        <v>13010</v>
      </c>
      <c r="B13027" t="str">
        <f>"18279360902"</f>
        <v>18279360902</v>
      </c>
      <c r="C13027" t="str">
        <f>"362329198902067116"</f>
        <v>362329198902067116</v>
      </c>
      <c r="D13027" t="s">
        <v>1</v>
      </c>
      <c r="E13027" t="s">
        <v>1</v>
      </c>
      <c r="F13027" t="s">
        <v>0</v>
      </c>
      <c r="G13027" t="str">
        <f>"2018-10-13 14:53:11"</f>
        <v>2018-10-13 14:53:11</v>
      </c>
    </row>
    <row r="13028" spans="1:7" x14ac:dyDescent="0.2">
      <c r="A13028" t="s">
        <v>1</v>
      </c>
      <c r="B13028" t="str">
        <f>"13803330745"</f>
        <v>13803330745</v>
      </c>
      <c r="C13028" t="s">
        <v>1</v>
      </c>
      <c r="D13028" t="s">
        <v>1</v>
      </c>
      <c r="E13028" t="s">
        <v>1</v>
      </c>
      <c r="F13028" t="s">
        <v>0</v>
      </c>
      <c r="G13028" t="str">
        <f>"2018-10-13 12:44:20"</f>
        <v>2018-10-13 12:44:20</v>
      </c>
    </row>
    <row r="13029" spans="1:7" x14ac:dyDescent="0.2">
      <c r="A13029" t="s">
        <v>13011</v>
      </c>
      <c r="B13029" t="str">
        <f>"13818445375"</f>
        <v>13818445375</v>
      </c>
      <c r="C13029" t="str">
        <f>"513126198907292020"</f>
        <v>513126198907292020</v>
      </c>
      <c r="D13029" t="s">
        <v>1</v>
      </c>
      <c r="E13029" t="s">
        <v>1</v>
      </c>
      <c r="F13029" t="s">
        <v>0</v>
      </c>
      <c r="G13029" t="str">
        <f>"2018-10-13 12:56:54"</f>
        <v>2018-10-13 12:56:54</v>
      </c>
    </row>
    <row r="13030" spans="1:7" x14ac:dyDescent="0.2">
      <c r="A13030" t="s">
        <v>13012</v>
      </c>
      <c r="B13030" t="str">
        <f>"15171846637"</f>
        <v>15171846637</v>
      </c>
      <c r="C13030" t="str">
        <f>"42052119951203561X"</f>
        <v>42052119951203561X</v>
      </c>
      <c r="D13030" t="s">
        <v>1</v>
      </c>
      <c r="E13030" t="s">
        <v>1</v>
      </c>
      <c r="F13030" t="s">
        <v>0</v>
      </c>
      <c r="G13030" t="str">
        <f>"2018-10-13 15:25:27"</f>
        <v>2018-10-13 15:25:27</v>
      </c>
    </row>
    <row r="13031" spans="1:7" x14ac:dyDescent="0.2">
      <c r="A13031" t="s">
        <v>13013</v>
      </c>
      <c r="B13031" t="str">
        <f>"18286293511"</f>
        <v>18286293511</v>
      </c>
      <c r="C13031" t="str">
        <f>"522725198309063065"</f>
        <v>522725198309063065</v>
      </c>
      <c r="D13031" t="s">
        <v>1</v>
      </c>
      <c r="E13031" t="s">
        <v>1</v>
      </c>
      <c r="F13031" t="s">
        <v>0</v>
      </c>
      <c r="G13031" t="str">
        <f>"2018-10-14 10:38:13"</f>
        <v>2018-10-14 10:38:13</v>
      </c>
    </row>
    <row r="13032" spans="1:7" x14ac:dyDescent="0.2">
      <c r="A13032" t="s">
        <v>13014</v>
      </c>
      <c r="B13032" t="str">
        <f>"13589028138"</f>
        <v>13589028138</v>
      </c>
      <c r="C13032" t="str">
        <f>"152122198110232414"</f>
        <v>152122198110232414</v>
      </c>
      <c r="D13032" t="s">
        <v>1</v>
      </c>
      <c r="E13032" t="s">
        <v>1</v>
      </c>
      <c r="F13032" t="s">
        <v>0</v>
      </c>
      <c r="G13032" t="str">
        <f>"2018-10-13 13:10:51"</f>
        <v>2018-10-13 13:10:51</v>
      </c>
    </row>
    <row r="13033" spans="1:7" x14ac:dyDescent="0.2">
      <c r="A13033" t="s">
        <v>13015</v>
      </c>
      <c r="B13033" t="str">
        <f>"13138739019"</f>
        <v>13138739019</v>
      </c>
      <c r="C13033" t="str">
        <f>"440902196211100011"</f>
        <v>440902196211100011</v>
      </c>
      <c r="D13033" t="s">
        <v>1</v>
      </c>
      <c r="E13033" t="s">
        <v>1</v>
      </c>
      <c r="F13033" t="s">
        <v>0</v>
      </c>
      <c r="G13033" t="str">
        <f>"2018-10-13 12:45:11"</f>
        <v>2018-10-13 12:45:11</v>
      </c>
    </row>
    <row r="13034" spans="1:7" x14ac:dyDescent="0.2">
      <c r="A13034" t="s">
        <v>13016</v>
      </c>
      <c r="B13034" t="str">
        <f>"18759951352"</f>
        <v>18759951352</v>
      </c>
      <c r="C13034" t="str">
        <f>"350583198808263730"</f>
        <v>350583198808263730</v>
      </c>
      <c r="D13034" t="s">
        <v>1</v>
      </c>
      <c r="E13034" t="s">
        <v>1</v>
      </c>
      <c r="F13034" t="s">
        <v>0</v>
      </c>
      <c r="G13034" t="str">
        <f>"2018-10-13 12:44:24"</f>
        <v>2018-10-13 12:44:24</v>
      </c>
    </row>
    <row r="13035" spans="1:7" x14ac:dyDescent="0.2">
      <c r="A13035" t="s">
        <v>1750</v>
      </c>
      <c r="B13035" t="str">
        <f>"15142278858"</f>
        <v>15142278858</v>
      </c>
      <c r="C13035" t="str">
        <f>"211381198105223712"</f>
        <v>211381198105223712</v>
      </c>
      <c r="D13035" t="s">
        <v>1</v>
      </c>
      <c r="E13035" t="s">
        <v>1</v>
      </c>
      <c r="F13035" t="s">
        <v>0</v>
      </c>
      <c r="G13035" t="str">
        <f>"2018-10-13 12:44:28"</f>
        <v>2018-10-13 12:44:28</v>
      </c>
    </row>
    <row r="13036" spans="1:7" x14ac:dyDescent="0.2">
      <c r="A13036" t="s">
        <v>798</v>
      </c>
      <c r="B13036" t="str">
        <f>"15007173211"</f>
        <v>15007173211</v>
      </c>
      <c r="C13036" t="str">
        <f>"420702199501057057"</f>
        <v>420702199501057057</v>
      </c>
      <c r="D13036" t="s">
        <v>1</v>
      </c>
      <c r="E13036" t="s">
        <v>1</v>
      </c>
      <c r="F13036" t="s">
        <v>0</v>
      </c>
      <c r="G13036" t="str">
        <f>"2018-10-13 12:42:23"</f>
        <v>2018-10-13 12:42:23</v>
      </c>
    </row>
    <row r="13037" spans="1:7" x14ac:dyDescent="0.2">
      <c r="A13037" t="s">
        <v>1</v>
      </c>
      <c r="B13037" t="str">
        <f>"17156996405"</f>
        <v>17156996405</v>
      </c>
      <c r="C13037" t="s">
        <v>1</v>
      </c>
      <c r="D13037" t="s">
        <v>1</v>
      </c>
      <c r="E13037" t="s">
        <v>1</v>
      </c>
      <c r="F13037" t="s">
        <v>0</v>
      </c>
      <c r="G13037" t="str">
        <f>"2018-10-13 12:40:55"</f>
        <v>2018-10-13 12:40:55</v>
      </c>
    </row>
    <row r="13038" spans="1:7" x14ac:dyDescent="0.2">
      <c r="A13038" t="s">
        <v>13017</v>
      </c>
      <c r="B13038" t="str">
        <f>"18620048442"</f>
        <v>18620048442</v>
      </c>
      <c r="C13038" t="str">
        <f>"429006199505192411"</f>
        <v>429006199505192411</v>
      </c>
      <c r="D13038" t="s">
        <v>1</v>
      </c>
      <c r="E13038" t="s">
        <v>1</v>
      </c>
      <c r="F13038" t="s">
        <v>0</v>
      </c>
      <c r="G13038" t="str">
        <f>"2018-10-13 12:44:25"</f>
        <v>2018-10-13 12:44:25</v>
      </c>
    </row>
    <row r="13039" spans="1:7" x14ac:dyDescent="0.2">
      <c r="A13039" t="s">
        <v>13018</v>
      </c>
      <c r="B13039" t="str">
        <f>"13945786848"</f>
        <v>13945786848</v>
      </c>
      <c r="C13039" t="str">
        <f>"230502198105140739"</f>
        <v>230502198105140739</v>
      </c>
      <c r="D13039" t="s">
        <v>1</v>
      </c>
      <c r="E13039" t="s">
        <v>1</v>
      </c>
      <c r="F13039" t="s">
        <v>0</v>
      </c>
      <c r="G13039" t="str">
        <f>"2018-10-13 12:41:34"</f>
        <v>2018-10-13 12:41:34</v>
      </c>
    </row>
    <row r="13040" spans="1:7" x14ac:dyDescent="0.2">
      <c r="A13040" t="s">
        <v>1</v>
      </c>
      <c r="B13040" t="str">
        <f>"18276373739"</f>
        <v>18276373739</v>
      </c>
      <c r="C13040" t="s">
        <v>1</v>
      </c>
      <c r="D13040" t="s">
        <v>1</v>
      </c>
      <c r="E13040" t="s">
        <v>1</v>
      </c>
      <c r="F13040" t="s">
        <v>0</v>
      </c>
      <c r="G13040" t="str">
        <f>"2018-10-13 12:40:01"</f>
        <v>2018-10-13 12:40:01</v>
      </c>
    </row>
    <row r="13041" spans="1:7" x14ac:dyDescent="0.2">
      <c r="A13041" t="s">
        <v>13019</v>
      </c>
      <c r="B13041" t="str">
        <f>"17610010510"</f>
        <v>17610010510</v>
      </c>
      <c r="C13041" t="str">
        <f>"130531199402122636"</f>
        <v>130531199402122636</v>
      </c>
      <c r="D13041" t="s">
        <v>1</v>
      </c>
      <c r="E13041" t="s">
        <v>1</v>
      </c>
      <c r="F13041" t="s">
        <v>0</v>
      </c>
      <c r="G13041" t="str">
        <f>"2018-10-13 12:48:02"</f>
        <v>2018-10-13 12:48:02</v>
      </c>
    </row>
    <row r="13042" spans="1:7" x14ac:dyDescent="0.2">
      <c r="A13042" t="s">
        <v>1</v>
      </c>
      <c r="B13042" t="str">
        <f>"15183074791"</f>
        <v>15183074791</v>
      </c>
      <c r="C13042" t="s">
        <v>1</v>
      </c>
      <c r="D13042" t="s">
        <v>1</v>
      </c>
      <c r="E13042" t="s">
        <v>1</v>
      </c>
      <c r="F13042" t="s">
        <v>0</v>
      </c>
      <c r="G13042" t="str">
        <f>"2018-10-13 12:39:20"</f>
        <v>2018-10-13 12:39:20</v>
      </c>
    </row>
    <row r="13043" spans="1:7" x14ac:dyDescent="0.2">
      <c r="A13043" t="s">
        <v>378</v>
      </c>
      <c r="B13043" t="str">
        <f>"15870873070"</f>
        <v>15870873070</v>
      </c>
      <c r="C13043" t="str">
        <f>"360403198110201823"</f>
        <v>360403198110201823</v>
      </c>
      <c r="D13043" t="s">
        <v>13020</v>
      </c>
      <c r="E13043" t="s">
        <v>13021</v>
      </c>
      <c r="F13043" t="s">
        <v>0</v>
      </c>
      <c r="G13043" t="str">
        <f>"2018-10-13 12:40:05"</f>
        <v>2018-10-13 12:40:05</v>
      </c>
    </row>
    <row r="13044" spans="1:7" x14ac:dyDescent="0.2">
      <c r="A13044" t="s">
        <v>1</v>
      </c>
      <c r="B13044" t="str">
        <f>"13100611520"</f>
        <v>13100611520</v>
      </c>
      <c r="C13044" t="s">
        <v>1</v>
      </c>
      <c r="D13044" t="s">
        <v>1</v>
      </c>
      <c r="E13044" t="s">
        <v>1</v>
      </c>
      <c r="F13044" t="s">
        <v>0</v>
      </c>
      <c r="G13044" t="str">
        <f>"2018-10-13 12:40:31"</f>
        <v>2018-10-13 12:40:31</v>
      </c>
    </row>
    <row r="13045" spans="1:7" x14ac:dyDescent="0.2">
      <c r="A13045" t="s">
        <v>311</v>
      </c>
      <c r="B13045" t="str">
        <f>"13629399183"</f>
        <v>13629399183</v>
      </c>
      <c r="C13045" t="str">
        <f>"622621199106300814"</f>
        <v>622621199106300814</v>
      </c>
      <c r="D13045" t="s">
        <v>1</v>
      </c>
      <c r="E13045" t="s">
        <v>1</v>
      </c>
      <c r="F13045" t="s">
        <v>0</v>
      </c>
      <c r="G13045" t="str">
        <f>"2018-10-15 19:04:14"</f>
        <v>2018-10-15 19:04:14</v>
      </c>
    </row>
    <row r="13046" spans="1:7" x14ac:dyDescent="0.2">
      <c r="A13046" t="s">
        <v>13022</v>
      </c>
      <c r="B13046" t="str">
        <f>"18753990655"</f>
        <v>18753990655</v>
      </c>
      <c r="C13046" t="str">
        <f>"371326198706098558"</f>
        <v>371326198706098558</v>
      </c>
      <c r="D13046" t="s">
        <v>1</v>
      </c>
      <c r="E13046" t="s">
        <v>1</v>
      </c>
      <c r="F13046" t="s">
        <v>0</v>
      </c>
      <c r="G13046" t="str">
        <f>"2018-10-13 12:39:52"</f>
        <v>2018-10-13 12:39:52</v>
      </c>
    </row>
    <row r="13047" spans="1:7" x14ac:dyDescent="0.2">
      <c r="A13047" t="s">
        <v>1</v>
      </c>
      <c r="B13047" t="str">
        <f>"18674879480"</f>
        <v>18674879480</v>
      </c>
      <c r="C13047" t="s">
        <v>1</v>
      </c>
      <c r="D13047" t="s">
        <v>1</v>
      </c>
      <c r="E13047" t="s">
        <v>1</v>
      </c>
      <c r="F13047" t="s">
        <v>0</v>
      </c>
      <c r="G13047" t="str">
        <f>"2018-10-13 12:38:28"</f>
        <v>2018-10-13 12:38:28</v>
      </c>
    </row>
    <row r="13048" spans="1:7" x14ac:dyDescent="0.2">
      <c r="A13048" t="s">
        <v>13023</v>
      </c>
      <c r="B13048" t="str">
        <f>"18249533657"</f>
        <v>18249533657</v>
      </c>
      <c r="C13048" t="str">
        <f>"230621198812204855"</f>
        <v>230621198812204855</v>
      </c>
      <c r="D13048" t="s">
        <v>13024</v>
      </c>
      <c r="E13048" t="s">
        <v>13024</v>
      </c>
      <c r="F13048" t="s">
        <v>0</v>
      </c>
      <c r="G13048" t="str">
        <f>"2018-10-13 12:52:22"</f>
        <v>2018-10-13 12:52:22</v>
      </c>
    </row>
    <row r="13049" spans="1:7" x14ac:dyDescent="0.2">
      <c r="A13049" t="s">
        <v>13025</v>
      </c>
      <c r="B13049" t="str">
        <f>"15883542113"</f>
        <v>15883542113</v>
      </c>
      <c r="C13049" t="str">
        <f>"510811198811272915"</f>
        <v>510811198811272915</v>
      </c>
      <c r="D13049" t="s">
        <v>1</v>
      </c>
      <c r="E13049" t="s">
        <v>1</v>
      </c>
      <c r="F13049" t="s">
        <v>0</v>
      </c>
      <c r="G13049" t="str">
        <f>"2018-10-13 12:38:46"</f>
        <v>2018-10-13 12:38:46</v>
      </c>
    </row>
    <row r="13050" spans="1:7" x14ac:dyDescent="0.2">
      <c r="A13050" t="s">
        <v>1</v>
      </c>
      <c r="B13050" t="str">
        <f>"13175971945"</f>
        <v>13175971945</v>
      </c>
      <c r="C13050" t="s">
        <v>1</v>
      </c>
      <c r="D13050" t="s">
        <v>1</v>
      </c>
      <c r="E13050" t="s">
        <v>1</v>
      </c>
      <c r="F13050" t="s">
        <v>0</v>
      </c>
      <c r="G13050" t="str">
        <f>"2018-10-13 12:37:20"</f>
        <v>2018-10-13 12:37:20</v>
      </c>
    </row>
    <row r="13051" spans="1:7" x14ac:dyDescent="0.2">
      <c r="A13051" t="s">
        <v>13026</v>
      </c>
      <c r="B13051" t="str">
        <f>"13285415111"</f>
        <v>13285415111</v>
      </c>
      <c r="C13051" t="str">
        <f>"370124198102056563"</f>
        <v>370124198102056563</v>
      </c>
      <c r="D13051" t="s">
        <v>1</v>
      </c>
      <c r="E13051" t="s">
        <v>1</v>
      </c>
      <c r="F13051" t="s">
        <v>0</v>
      </c>
      <c r="G13051" t="str">
        <f>"2018-10-13 12:37:04"</f>
        <v>2018-10-13 12:37:04</v>
      </c>
    </row>
    <row r="13052" spans="1:7" x14ac:dyDescent="0.2">
      <c r="A13052" t="s">
        <v>1</v>
      </c>
      <c r="B13052" t="str">
        <f>"18793192328"</f>
        <v>18793192328</v>
      </c>
      <c r="C13052" t="s">
        <v>1</v>
      </c>
      <c r="D13052" t="s">
        <v>1</v>
      </c>
      <c r="E13052" t="s">
        <v>1</v>
      </c>
      <c r="F13052" t="s">
        <v>0</v>
      </c>
      <c r="G13052" t="str">
        <f>"2018-10-13 12:38:22"</f>
        <v>2018-10-13 12:38:22</v>
      </c>
    </row>
    <row r="13053" spans="1:7" x14ac:dyDescent="0.2">
      <c r="A13053" t="s">
        <v>13027</v>
      </c>
      <c r="B13053" t="str">
        <f>"15007031677"</f>
        <v>15007031677</v>
      </c>
      <c r="C13053" t="str">
        <f>"362324198908130014"</f>
        <v>362324198908130014</v>
      </c>
      <c r="D13053" t="s">
        <v>1</v>
      </c>
      <c r="E13053" t="s">
        <v>1</v>
      </c>
      <c r="F13053" t="s">
        <v>0</v>
      </c>
      <c r="G13053" t="str">
        <f>"2018-10-13 12:38:07"</f>
        <v>2018-10-13 12:38:07</v>
      </c>
    </row>
    <row r="13054" spans="1:7" x14ac:dyDescent="0.2">
      <c r="A13054" t="s">
        <v>13028</v>
      </c>
      <c r="B13054" t="str">
        <f>"13014506599"</f>
        <v>13014506599</v>
      </c>
      <c r="C13054" t="str">
        <f>"352101197412074213"</f>
        <v>352101197412074213</v>
      </c>
      <c r="D13054" t="s">
        <v>13029</v>
      </c>
      <c r="E13054" t="s">
        <v>13030</v>
      </c>
      <c r="F13054" t="s">
        <v>0</v>
      </c>
      <c r="G13054" t="str">
        <f>"2018-10-13 12:38:17"</f>
        <v>2018-10-13 12:38:17</v>
      </c>
    </row>
    <row r="13055" spans="1:7" x14ac:dyDescent="0.2">
      <c r="A13055" t="s">
        <v>13031</v>
      </c>
      <c r="B13055" t="str">
        <f>"13097916568"</f>
        <v>13097916568</v>
      </c>
      <c r="C13055" t="str">
        <f>"450512196907130510"</f>
        <v>450512196907130510</v>
      </c>
      <c r="D13055" t="s">
        <v>1</v>
      </c>
      <c r="E13055" t="s">
        <v>1</v>
      </c>
      <c r="F13055" t="s">
        <v>0</v>
      </c>
      <c r="G13055" t="str">
        <f>"2018-10-13 12:39:03"</f>
        <v>2018-10-13 12:39:03</v>
      </c>
    </row>
    <row r="13056" spans="1:7" x14ac:dyDescent="0.2">
      <c r="A13056" t="s">
        <v>1</v>
      </c>
      <c r="B13056" t="str">
        <f>"13040734628"</f>
        <v>13040734628</v>
      </c>
      <c r="C13056" t="s">
        <v>1</v>
      </c>
      <c r="D13056" t="s">
        <v>1</v>
      </c>
      <c r="E13056" t="s">
        <v>1</v>
      </c>
      <c r="F13056" t="s">
        <v>0</v>
      </c>
      <c r="G13056" t="str">
        <f>"2018-10-13 12:35:34"</f>
        <v>2018-10-13 12:35:34</v>
      </c>
    </row>
    <row r="13057" spans="1:7" x14ac:dyDescent="0.2">
      <c r="A13057" t="s">
        <v>454</v>
      </c>
      <c r="B13057" t="str">
        <f>"15141465627"</f>
        <v>15141465627</v>
      </c>
      <c r="C13057" t="str">
        <f>"211221199201112724"</f>
        <v>211221199201112724</v>
      </c>
      <c r="D13057" t="s">
        <v>1</v>
      </c>
      <c r="E13057" t="s">
        <v>1</v>
      </c>
      <c r="F13057" t="s">
        <v>0</v>
      </c>
      <c r="G13057" t="str">
        <f>"2018-10-13 12:36:58"</f>
        <v>2018-10-13 12:36:58</v>
      </c>
    </row>
    <row r="13058" spans="1:7" x14ac:dyDescent="0.2">
      <c r="A13058" t="s">
        <v>1</v>
      </c>
      <c r="B13058" t="str">
        <f>"18697164079"</f>
        <v>18697164079</v>
      </c>
      <c r="C13058" t="s">
        <v>1</v>
      </c>
      <c r="D13058" t="s">
        <v>1</v>
      </c>
      <c r="E13058" t="s">
        <v>1</v>
      </c>
      <c r="F13058" t="s">
        <v>0</v>
      </c>
      <c r="G13058" t="str">
        <f>"2018-10-13 12:35:06"</f>
        <v>2018-10-13 12:35:06</v>
      </c>
    </row>
    <row r="13059" spans="1:7" x14ac:dyDescent="0.2">
      <c r="A13059" t="s">
        <v>13032</v>
      </c>
      <c r="B13059" t="str">
        <f>"18249901343"</f>
        <v>18249901343</v>
      </c>
      <c r="C13059" t="str">
        <f>"450603198810023610"</f>
        <v>450603198810023610</v>
      </c>
      <c r="D13059" t="s">
        <v>13033</v>
      </c>
      <c r="E13059" t="s">
        <v>13034</v>
      </c>
      <c r="F13059" t="s">
        <v>0</v>
      </c>
      <c r="G13059" t="str">
        <f>"2018-10-13 13:36:28"</f>
        <v>2018-10-13 13:36:28</v>
      </c>
    </row>
    <row r="13060" spans="1:7" x14ac:dyDescent="0.2">
      <c r="A13060" t="s">
        <v>13035</v>
      </c>
      <c r="B13060" t="str">
        <f>"15681620568"</f>
        <v>15681620568</v>
      </c>
      <c r="C13060" t="str">
        <f>"513124198812240196"</f>
        <v>513124198812240196</v>
      </c>
      <c r="D13060" t="s">
        <v>1</v>
      </c>
      <c r="E13060" t="s">
        <v>1</v>
      </c>
      <c r="F13060" t="s">
        <v>0</v>
      </c>
      <c r="G13060" t="str">
        <f>"2018-10-13 12:35:36"</f>
        <v>2018-10-13 12:35:36</v>
      </c>
    </row>
    <row r="13061" spans="1:7" x14ac:dyDescent="0.2">
      <c r="A13061" t="s">
        <v>13036</v>
      </c>
      <c r="B13061" t="str">
        <f>"18867134531"</f>
        <v>18867134531</v>
      </c>
      <c r="C13061" t="str">
        <f>"532527197901062618"</f>
        <v>532527197901062618</v>
      </c>
      <c r="D13061" t="s">
        <v>1</v>
      </c>
      <c r="E13061" t="s">
        <v>1</v>
      </c>
      <c r="F13061" t="s">
        <v>0</v>
      </c>
      <c r="G13061" t="str">
        <f>"2018-10-13 12:40:24"</f>
        <v>2018-10-13 12:40:24</v>
      </c>
    </row>
    <row r="13062" spans="1:7" x14ac:dyDescent="0.2">
      <c r="A13062" t="s">
        <v>13037</v>
      </c>
      <c r="B13062" t="str">
        <f>"15183849297"</f>
        <v>15183849297</v>
      </c>
      <c r="C13062" t="str">
        <f>"510625198408295057"</f>
        <v>510625198408295057</v>
      </c>
      <c r="D13062" t="s">
        <v>1</v>
      </c>
      <c r="E13062" t="s">
        <v>1</v>
      </c>
      <c r="F13062" t="s">
        <v>0</v>
      </c>
      <c r="G13062" t="str">
        <f>"2018-10-13 12:38:00"</f>
        <v>2018-10-13 12:38:00</v>
      </c>
    </row>
    <row r="13063" spans="1:7" x14ac:dyDescent="0.2">
      <c r="A13063" t="s">
        <v>1</v>
      </c>
      <c r="B13063" t="str">
        <f>"13825106575"</f>
        <v>13825106575</v>
      </c>
      <c r="C13063" t="s">
        <v>1</v>
      </c>
      <c r="D13063" t="s">
        <v>1</v>
      </c>
      <c r="E13063" t="s">
        <v>1</v>
      </c>
      <c r="F13063" t="s">
        <v>0</v>
      </c>
      <c r="G13063" t="str">
        <f>"2018-10-13 12:33:53"</f>
        <v>2018-10-13 12:33:53</v>
      </c>
    </row>
    <row r="13064" spans="1:7" x14ac:dyDescent="0.2">
      <c r="A13064" t="s">
        <v>1</v>
      </c>
      <c r="B13064" t="str">
        <f>"15954845525"</f>
        <v>15954845525</v>
      </c>
      <c r="C13064" t="s">
        <v>1</v>
      </c>
      <c r="D13064" t="s">
        <v>1</v>
      </c>
      <c r="E13064" t="s">
        <v>1</v>
      </c>
      <c r="F13064" t="s">
        <v>0</v>
      </c>
      <c r="G13064" t="str">
        <f>"2018-10-13 12:33:22"</f>
        <v>2018-10-13 12:33:22</v>
      </c>
    </row>
    <row r="13065" spans="1:7" x14ac:dyDescent="0.2">
      <c r="A13065" t="s">
        <v>13038</v>
      </c>
      <c r="B13065" t="str">
        <f>"13165268078"</f>
        <v>13165268078</v>
      </c>
      <c r="C13065" t="str">
        <f>"370786198906192116"</f>
        <v>370786198906192116</v>
      </c>
      <c r="D13065" t="s">
        <v>13039</v>
      </c>
      <c r="E13065" t="s">
        <v>13040</v>
      </c>
      <c r="F13065" t="s">
        <v>0</v>
      </c>
      <c r="G13065" t="str">
        <f>"2018-10-13 12:35:49"</f>
        <v>2018-10-13 12:35:49</v>
      </c>
    </row>
    <row r="13066" spans="1:7" x14ac:dyDescent="0.2">
      <c r="A13066" t="s">
        <v>13041</v>
      </c>
      <c r="B13066" t="str">
        <f>"13967591825"</f>
        <v>13967591825</v>
      </c>
      <c r="C13066" t="str">
        <f>"330624197303020933"</f>
        <v>330624197303020933</v>
      </c>
      <c r="D13066" t="s">
        <v>1</v>
      </c>
      <c r="E13066" t="s">
        <v>1</v>
      </c>
      <c r="F13066" t="s">
        <v>0</v>
      </c>
      <c r="G13066" t="str">
        <f>"2018-10-13 12:35:44"</f>
        <v>2018-10-13 12:35:44</v>
      </c>
    </row>
    <row r="13067" spans="1:7" x14ac:dyDescent="0.2">
      <c r="A13067" t="s">
        <v>13042</v>
      </c>
      <c r="B13067" t="str">
        <f>"13170009788"</f>
        <v>13170009788</v>
      </c>
      <c r="C13067" t="str">
        <f>"34112519850209523X"</f>
        <v>34112519850209523X</v>
      </c>
      <c r="D13067" t="s">
        <v>1</v>
      </c>
      <c r="E13067" t="s">
        <v>1</v>
      </c>
      <c r="F13067" t="s">
        <v>0</v>
      </c>
      <c r="G13067" t="str">
        <f>"2018-10-13 12:32:56"</f>
        <v>2018-10-13 12:32:56</v>
      </c>
    </row>
    <row r="13068" spans="1:7" x14ac:dyDescent="0.2">
      <c r="A13068" t="s">
        <v>13043</v>
      </c>
      <c r="B13068" t="str">
        <f>"15063631882"</f>
        <v>15063631882</v>
      </c>
      <c r="C13068" t="str">
        <f>"370782199201036235"</f>
        <v>370782199201036235</v>
      </c>
      <c r="D13068" t="s">
        <v>13044</v>
      </c>
      <c r="E13068" t="s">
        <v>13045</v>
      </c>
      <c r="F13068" t="s">
        <v>0</v>
      </c>
      <c r="G13068" t="str">
        <f>"2018-10-13 12:58:15"</f>
        <v>2018-10-13 12:58:15</v>
      </c>
    </row>
    <row r="13069" spans="1:7" x14ac:dyDescent="0.2">
      <c r="A13069" t="s">
        <v>13046</v>
      </c>
      <c r="B13069" t="str">
        <f>"18692841118"</f>
        <v>18692841118</v>
      </c>
      <c r="C13069" t="str">
        <f>"432524199307255413"</f>
        <v>432524199307255413</v>
      </c>
      <c r="D13069" t="s">
        <v>1</v>
      </c>
      <c r="E13069" t="s">
        <v>1</v>
      </c>
      <c r="F13069" t="s">
        <v>0</v>
      </c>
      <c r="G13069" t="str">
        <f>"2018-10-13 13:11:52"</f>
        <v>2018-10-13 13:11:52</v>
      </c>
    </row>
    <row r="13070" spans="1:7" x14ac:dyDescent="0.2">
      <c r="A13070" t="s">
        <v>13047</v>
      </c>
      <c r="B13070" t="str">
        <f>"15624925309"</f>
        <v>15624925309</v>
      </c>
      <c r="C13070" t="str">
        <f>"130681198405182612"</f>
        <v>130681198405182612</v>
      </c>
      <c r="D13070" t="s">
        <v>1</v>
      </c>
      <c r="E13070" t="s">
        <v>1</v>
      </c>
      <c r="F13070" t="s">
        <v>0</v>
      </c>
      <c r="G13070" t="str">
        <f>"2018-10-13 13:22:52"</f>
        <v>2018-10-13 13:22:52</v>
      </c>
    </row>
    <row r="13071" spans="1:7" x14ac:dyDescent="0.2">
      <c r="A13071" t="s">
        <v>149</v>
      </c>
      <c r="B13071" t="str">
        <f>"13982057643"</f>
        <v>13982057643</v>
      </c>
      <c r="C13071" t="str">
        <f>"500112199009058090"</f>
        <v>500112199009058090</v>
      </c>
      <c r="D13071" t="s">
        <v>1</v>
      </c>
      <c r="E13071" t="s">
        <v>1</v>
      </c>
      <c r="F13071" t="s">
        <v>0</v>
      </c>
      <c r="G13071" t="str">
        <f>"2018-10-14 10:28:53"</f>
        <v>2018-10-14 10:28:53</v>
      </c>
    </row>
    <row r="13072" spans="1:7" x14ac:dyDescent="0.2">
      <c r="A13072" t="s">
        <v>13048</v>
      </c>
      <c r="B13072" t="str">
        <f>"18163665558"</f>
        <v>18163665558</v>
      </c>
      <c r="C13072" t="str">
        <f>"350524198810154031"</f>
        <v>350524198810154031</v>
      </c>
      <c r="D13072" t="s">
        <v>1</v>
      </c>
      <c r="E13072" t="s">
        <v>1</v>
      </c>
      <c r="F13072" t="s">
        <v>0</v>
      </c>
      <c r="G13072" t="str">
        <f>"2018-10-13 13:08:31"</f>
        <v>2018-10-13 13:08:31</v>
      </c>
    </row>
    <row r="13073" spans="1:7" x14ac:dyDescent="0.2">
      <c r="A13073" t="s">
        <v>1</v>
      </c>
      <c r="B13073" t="str">
        <f>"15093645044"</f>
        <v>15093645044</v>
      </c>
      <c r="C13073" t="s">
        <v>1</v>
      </c>
      <c r="D13073" t="s">
        <v>1</v>
      </c>
      <c r="E13073" t="s">
        <v>1</v>
      </c>
      <c r="F13073" t="s">
        <v>0</v>
      </c>
      <c r="G13073" t="str">
        <f>"2018-10-13 12:31:57"</f>
        <v>2018-10-13 12:31:57</v>
      </c>
    </row>
    <row r="13074" spans="1:7" x14ac:dyDescent="0.2">
      <c r="A13074" t="s">
        <v>13049</v>
      </c>
      <c r="B13074" t="str">
        <f>"18505963631"</f>
        <v>18505963631</v>
      </c>
      <c r="C13074" t="str">
        <f>"350723200006181316"</f>
        <v>350723200006181316</v>
      </c>
      <c r="D13074" t="s">
        <v>1</v>
      </c>
      <c r="E13074" t="s">
        <v>1</v>
      </c>
      <c r="F13074" t="s">
        <v>0</v>
      </c>
      <c r="G13074" t="str">
        <f>"2018-10-13 12:37:20"</f>
        <v>2018-10-13 12:37:20</v>
      </c>
    </row>
    <row r="13075" spans="1:7" x14ac:dyDescent="0.2">
      <c r="A13075" t="s">
        <v>13050</v>
      </c>
      <c r="B13075" t="str">
        <f>"18272508505"</f>
        <v>18272508505</v>
      </c>
      <c r="C13075" t="str">
        <f>"410621198705182041"</f>
        <v>410621198705182041</v>
      </c>
      <c r="D13075" t="s">
        <v>1</v>
      </c>
      <c r="E13075" t="s">
        <v>1</v>
      </c>
      <c r="F13075" t="s">
        <v>0</v>
      </c>
      <c r="G13075" t="str">
        <f>"2018-10-13 12:33:20"</f>
        <v>2018-10-13 12:33:20</v>
      </c>
    </row>
    <row r="13076" spans="1:7" x14ac:dyDescent="0.2">
      <c r="A13076" t="s">
        <v>13051</v>
      </c>
      <c r="B13076" t="str">
        <f>"13363921600"</f>
        <v>13363921600</v>
      </c>
      <c r="C13076" t="str">
        <f>"610111198601231539"</f>
        <v>610111198601231539</v>
      </c>
      <c r="D13076" t="s">
        <v>1</v>
      </c>
      <c r="E13076" t="s">
        <v>1</v>
      </c>
      <c r="F13076" t="s">
        <v>0</v>
      </c>
      <c r="G13076" t="str">
        <f>"2018-10-13 12:33:09"</f>
        <v>2018-10-13 12:33:09</v>
      </c>
    </row>
    <row r="13077" spans="1:7" x14ac:dyDescent="0.2">
      <c r="A13077" t="s">
        <v>1</v>
      </c>
      <c r="B13077" t="str">
        <f>"13576684878"</f>
        <v>13576684878</v>
      </c>
      <c r="C13077" t="s">
        <v>1</v>
      </c>
      <c r="D13077" t="s">
        <v>1</v>
      </c>
      <c r="E13077" t="s">
        <v>1</v>
      </c>
      <c r="F13077" t="s">
        <v>0</v>
      </c>
      <c r="G13077" t="str">
        <f>"2018-10-13 12:31:17"</f>
        <v>2018-10-13 12:31:17</v>
      </c>
    </row>
    <row r="13078" spans="1:7" x14ac:dyDescent="0.2">
      <c r="A13078" t="s">
        <v>1</v>
      </c>
      <c r="B13078" t="str">
        <f>"13657625171"</f>
        <v>13657625171</v>
      </c>
      <c r="C13078" t="s">
        <v>1</v>
      </c>
      <c r="D13078" t="s">
        <v>1</v>
      </c>
      <c r="E13078" t="s">
        <v>1</v>
      </c>
      <c r="F13078" t="s">
        <v>0</v>
      </c>
      <c r="G13078" t="str">
        <f>"2018-10-13 12:31:12"</f>
        <v>2018-10-13 12:31:12</v>
      </c>
    </row>
    <row r="13079" spans="1:7" x14ac:dyDescent="0.2">
      <c r="A13079" t="s">
        <v>618</v>
      </c>
      <c r="B13079" t="str">
        <f>"15663332909"</f>
        <v>15663332909</v>
      </c>
      <c r="C13079" t="str">
        <f>"230281199707262913"</f>
        <v>230281199707262913</v>
      </c>
      <c r="D13079" t="s">
        <v>1</v>
      </c>
      <c r="E13079" t="s">
        <v>1</v>
      </c>
      <c r="F13079" t="s">
        <v>0</v>
      </c>
      <c r="G13079" t="str">
        <f>"2018-10-13 12:43:03"</f>
        <v>2018-10-13 12:43:03</v>
      </c>
    </row>
    <row r="13080" spans="1:7" x14ac:dyDescent="0.2">
      <c r="A13080" t="s">
        <v>232</v>
      </c>
      <c r="B13080" t="str">
        <f>"18804784676"</f>
        <v>18804784676</v>
      </c>
      <c r="C13080" t="str">
        <f>"15280119890627531X"</f>
        <v>15280119890627531X</v>
      </c>
      <c r="D13080" t="s">
        <v>13052</v>
      </c>
      <c r="E13080" t="s">
        <v>13053</v>
      </c>
      <c r="F13080" t="s">
        <v>0</v>
      </c>
      <c r="G13080" t="str">
        <f>"2018-10-15 16:16:28"</f>
        <v>2018-10-15 16:16:28</v>
      </c>
    </row>
    <row r="13081" spans="1:7" x14ac:dyDescent="0.2">
      <c r="A13081" t="s">
        <v>1</v>
      </c>
      <c r="B13081" t="str">
        <f>"13399997763"</f>
        <v>13399997763</v>
      </c>
      <c r="C13081" t="s">
        <v>1</v>
      </c>
      <c r="D13081" t="s">
        <v>1</v>
      </c>
      <c r="E13081" t="s">
        <v>1</v>
      </c>
      <c r="F13081" t="s">
        <v>0</v>
      </c>
      <c r="G13081" t="str">
        <f>"2018-10-13 12:30:31"</f>
        <v>2018-10-13 12:30:31</v>
      </c>
    </row>
    <row r="13082" spans="1:7" x14ac:dyDescent="0.2">
      <c r="A13082" t="s">
        <v>1</v>
      </c>
      <c r="B13082" t="str">
        <f>"18623580611"</f>
        <v>18623580611</v>
      </c>
      <c r="C13082" t="s">
        <v>1</v>
      </c>
      <c r="D13082" t="s">
        <v>1</v>
      </c>
      <c r="E13082" t="s">
        <v>1</v>
      </c>
      <c r="F13082" t="s">
        <v>0</v>
      </c>
      <c r="G13082" t="str">
        <f>"2018-10-13 12:30:21"</f>
        <v>2018-10-13 12:30:21</v>
      </c>
    </row>
    <row r="13083" spans="1:7" x14ac:dyDescent="0.2">
      <c r="A13083" t="s">
        <v>1</v>
      </c>
      <c r="B13083" t="str">
        <f>"13427754660"</f>
        <v>13427754660</v>
      </c>
      <c r="C13083" t="s">
        <v>1</v>
      </c>
      <c r="D13083" t="s">
        <v>1</v>
      </c>
      <c r="E13083" t="s">
        <v>1</v>
      </c>
      <c r="F13083" t="s">
        <v>0</v>
      </c>
      <c r="G13083" t="str">
        <f>"2018-10-13 12:30:12"</f>
        <v>2018-10-13 12:30:12</v>
      </c>
    </row>
    <row r="13084" spans="1:7" x14ac:dyDescent="0.2">
      <c r="A13084" t="s">
        <v>1</v>
      </c>
      <c r="B13084" t="str">
        <f>"13921503659"</f>
        <v>13921503659</v>
      </c>
      <c r="C13084" t="s">
        <v>1</v>
      </c>
      <c r="D13084" t="s">
        <v>1</v>
      </c>
      <c r="E13084" t="s">
        <v>1</v>
      </c>
      <c r="F13084" t="s">
        <v>0</v>
      </c>
      <c r="G13084" t="str">
        <f>"2018-10-13 12:30:09"</f>
        <v>2018-10-13 12:30:09</v>
      </c>
    </row>
    <row r="13085" spans="1:7" x14ac:dyDescent="0.2">
      <c r="A13085" t="s">
        <v>13054</v>
      </c>
      <c r="B13085" t="str">
        <f>"13776055331"</f>
        <v>13776055331</v>
      </c>
      <c r="C13085" t="str">
        <f>"320503198802051019"</f>
        <v>320503198802051019</v>
      </c>
      <c r="D13085" t="s">
        <v>1</v>
      </c>
      <c r="E13085" t="s">
        <v>1</v>
      </c>
      <c r="F13085" t="s">
        <v>0</v>
      </c>
      <c r="G13085" t="str">
        <f>"2018-10-13 12:30:57"</f>
        <v>2018-10-13 12:30:57</v>
      </c>
    </row>
    <row r="13086" spans="1:7" x14ac:dyDescent="0.2">
      <c r="A13086" t="s">
        <v>13055</v>
      </c>
      <c r="B13086" t="str">
        <f>"13120562898"</f>
        <v>13120562898</v>
      </c>
      <c r="C13086" t="str">
        <f>"330623197607256877"</f>
        <v>330623197607256877</v>
      </c>
      <c r="D13086" t="s">
        <v>1</v>
      </c>
      <c r="E13086" t="s">
        <v>1</v>
      </c>
      <c r="F13086" t="s">
        <v>0</v>
      </c>
      <c r="G13086" t="str">
        <f>"2018-10-13 12:40:33"</f>
        <v>2018-10-13 12:40:33</v>
      </c>
    </row>
    <row r="13087" spans="1:7" x14ac:dyDescent="0.2">
      <c r="A13087" t="s">
        <v>13056</v>
      </c>
      <c r="B13087" t="str">
        <f>"18886025082"</f>
        <v>18886025082</v>
      </c>
      <c r="C13087" t="str">
        <f>"52252619760217251X"</f>
        <v>52252619760217251X</v>
      </c>
      <c r="D13087" t="s">
        <v>1</v>
      </c>
      <c r="E13087" t="s">
        <v>1</v>
      </c>
      <c r="F13087" t="s">
        <v>0</v>
      </c>
      <c r="G13087" t="str">
        <f>"2018-10-13 12:31:15"</f>
        <v>2018-10-13 12:31:15</v>
      </c>
    </row>
    <row r="13088" spans="1:7" x14ac:dyDescent="0.2">
      <c r="A13088" t="s">
        <v>1</v>
      </c>
      <c r="B13088" t="str">
        <f>"18030575616"</f>
        <v>18030575616</v>
      </c>
      <c r="C13088" t="s">
        <v>1</v>
      </c>
      <c r="D13088" t="s">
        <v>1</v>
      </c>
      <c r="E13088" t="s">
        <v>1</v>
      </c>
      <c r="F13088" t="s">
        <v>0</v>
      </c>
      <c r="G13088" t="str">
        <f>"2018-10-13 12:31:04"</f>
        <v>2018-10-13 12:31:04</v>
      </c>
    </row>
    <row r="13089" spans="1:7" x14ac:dyDescent="0.2">
      <c r="A13089" t="s">
        <v>13057</v>
      </c>
      <c r="B13089" t="str">
        <f>"17621667764"</f>
        <v>17621667764</v>
      </c>
      <c r="C13089" t="str">
        <f>"341125199512138293"</f>
        <v>341125199512138293</v>
      </c>
      <c r="D13089" t="s">
        <v>1</v>
      </c>
      <c r="E13089" t="s">
        <v>1</v>
      </c>
      <c r="F13089" t="s">
        <v>0</v>
      </c>
      <c r="G13089" t="str">
        <f>"2018-10-13 12:30:48"</f>
        <v>2018-10-13 12:30:48</v>
      </c>
    </row>
    <row r="13090" spans="1:7" x14ac:dyDescent="0.2">
      <c r="A13090" t="s">
        <v>13058</v>
      </c>
      <c r="B13090" t="str">
        <f>"15555553536"</f>
        <v>15555553536</v>
      </c>
      <c r="C13090" t="str">
        <f>"210102198405257212"</f>
        <v>210102198405257212</v>
      </c>
      <c r="D13090" t="s">
        <v>13059</v>
      </c>
      <c r="E13090" t="s">
        <v>13060</v>
      </c>
      <c r="F13090" t="s">
        <v>0</v>
      </c>
      <c r="G13090" t="str">
        <f>"2018-10-13 12:30:21"</f>
        <v>2018-10-13 12:30:21</v>
      </c>
    </row>
    <row r="13091" spans="1:7" x14ac:dyDescent="0.2">
      <c r="A13091" t="s">
        <v>1</v>
      </c>
      <c r="B13091" t="str">
        <f>"13104761328"</f>
        <v>13104761328</v>
      </c>
      <c r="C13091" t="s">
        <v>1</v>
      </c>
      <c r="D13091" t="s">
        <v>1</v>
      </c>
      <c r="E13091" t="s">
        <v>1</v>
      </c>
      <c r="F13091" t="s">
        <v>0</v>
      </c>
      <c r="G13091" t="str">
        <f>"2018-10-13 12:30:45"</f>
        <v>2018-10-13 12:30:45</v>
      </c>
    </row>
    <row r="13092" spans="1:7" x14ac:dyDescent="0.2">
      <c r="A13092" t="s">
        <v>13061</v>
      </c>
      <c r="B13092" t="str">
        <f>"18110750055"</f>
        <v>18110750055</v>
      </c>
      <c r="C13092" t="str">
        <f>"341181199003295814"</f>
        <v>341181199003295814</v>
      </c>
      <c r="D13092" t="s">
        <v>1</v>
      </c>
      <c r="E13092" t="s">
        <v>1</v>
      </c>
      <c r="F13092" t="s">
        <v>0</v>
      </c>
      <c r="G13092" t="str">
        <f>"2018-10-13 12:48:12"</f>
        <v>2018-10-13 12:48:12</v>
      </c>
    </row>
    <row r="13093" spans="1:7" x14ac:dyDescent="0.2">
      <c r="A13093" t="s">
        <v>13062</v>
      </c>
      <c r="B13093" t="str">
        <f>"15254301191"</f>
        <v>15254301191</v>
      </c>
      <c r="C13093" t="str">
        <f>"372323198701041810"</f>
        <v>372323198701041810</v>
      </c>
      <c r="D13093" t="s">
        <v>1</v>
      </c>
      <c r="E13093" t="s">
        <v>1</v>
      </c>
      <c r="F13093" t="s">
        <v>0</v>
      </c>
      <c r="G13093" t="str">
        <f>"2018-10-30 14:13:03"</f>
        <v>2018-10-30 14:13:03</v>
      </c>
    </row>
    <row r="13094" spans="1:7" x14ac:dyDescent="0.2">
      <c r="A13094" t="s">
        <v>13063</v>
      </c>
      <c r="B13094" t="str">
        <f>"13409676062"</f>
        <v>13409676062</v>
      </c>
      <c r="C13094" t="str">
        <f>"420124197706291222"</f>
        <v>420124197706291222</v>
      </c>
      <c r="D13094" t="s">
        <v>1</v>
      </c>
      <c r="E13094" t="s">
        <v>1</v>
      </c>
      <c r="F13094" t="s">
        <v>0</v>
      </c>
      <c r="G13094" t="str">
        <f>"2018-10-13 12:30:00"</f>
        <v>2018-10-13 12:30:00</v>
      </c>
    </row>
    <row r="13095" spans="1:7" x14ac:dyDescent="0.2">
      <c r="A13095" t="s">
        <v>1</v>
      </c>
      <c r="B13095" t="str">
        <f>"15238109800"</f>
        <v>15238109800</v>
      </c>
      <c r="C13095" t="s">
        <v>1</v>
      </c>
      <c r="D13095" t="s">
        <v>1</v>
      </c>
      <c r="E13095" t="s">
        <v>1</v>
      </c>
      <c r="F13095" t="s">
        <v>0</v>
      </c>
      <c r="G13095" t="str">
        <f>"2018-10-13 12:26:29"</f>
        <v>2018-10-13 12:26:29</v>
      </c>
    </row>
    <row r="13096" spans="1:7" x14ac:dyDescent="0.2">
      <c r="A13096" t="s">
        <v>13064</v>
      </c>
      <c r="B13096" t="str">
        <f>"18646506558"</f>
        <v>18646506558</v>
      </c>
      <c r="C13096" t="str">
        <f>"23118219860901602X"</f>
        <v>23118219860901602X</v>
      </c>
      <c r="D13096" t="s">
        <v>1</v>
      </c>
      <c r="E13096" t="s">
        <v>1</v>
      </c>
      <c r="F13096" t="s">
        <v>0</v>
      </c>
      <c r="G13096" t="str">
        <f>"2018-10-13 12:28:02"</f>
        <v>2018-10-13 12:28:02</v>
      </c>
    </row>
    <row r="13097" spans="1:7" x14ac:dyDescent="0.2">
      <c r="A13097" t="s">
        <v>1</v>
      </c>
      <c r="B13097" t="str">
        <f>"13182866777"</f>
        <v>13182866777</v>
      </c>
      <c r="C13097" t="s">
        <v>1</v>
      </c>
      <c r="D13097" t="s">
        <v>1</v>
      </c>
      <c r="E13097" t="s">
        <v>1</v>
      </c>
      <c r="F13097" t="s">
        <v>0</v>
      </c>
      <c r="G13097" t="str">
        <f>"2018-10-13 12:26:14"</f>
        <v>2018-10-13 12:26:14</v>
      </c>
    </row>
    <row r="13098" spans="1:7" x14ac:dyDescent="0.2">
      <c r="A13098" t="s">
        <v>1</v>
      </c>
      <c r="B13098" t="str">
        <f>"15059929850"</f>
        <v>15059929850</v>
      </c>
      <c r="C13098" t="s">
        <v>1</v>
      </c>
      <c r="D13098" t="s">
        <v>1</v>
      </c>
      <c r="E13098" t="s">
        <v>1</v>
      </c>
      <c r="F13098" t="s">
        <v>0</v>
      </c>
      <c r="G13098" t="str">
        <f>"2018-10-13 12:25:52"</f>
        <v>2018-10-13 12:25:52</v>
      </c>
    </row>
    <row r="13099" spans="1:7" x14ac:dyDescent="0.2">
      <c r="A13099" t="s">
        <v>13065</v>
      </c>
      <c r="B13099" t="str">
        <f>"15962966601"</f>
        <v>15962966601</v>
      </c>
      <c r="C13099" t="str">
        <f>"320611199102053136"</f>
        <v>320611199102053136</v>
      </c>
      <c r="D13099" t="s">
        <v>13066</v>
      </c>
      <c r="E13099" t="s">
        <v>13067</v>
      </c>
      <c r="F13099" t="s">
        <v>0</v>
      </c>
      <c r="G13099" t="str">
        <f>"2018-10-13 12:26:28"</f>
        <v>2018-10-13 12:26:28</v>
      </c>
    </row>
    <row r="13100" spans="1:7" x14ac:dyDescent="0.2">
      <c r="A13100" t="s">
        <v>1</v>
      </c>
      <c r="B13100" t="str">
        <f>"15218730331"</f>
        <v>15218730331</v>
      </c>
      <c r="C13100" t="s">
        <v>1</v>
      </c>
      <c r="D13100" t="s">
        <v>1</v>
      </c>
      <c r="E13100" t="s">
        <v>1</v>
      </c>
      <c r="F13100" t="s">
        <v>0</v>
      </c>
      <c r="G13100" t="str">
        <f>"2018-10-13 12:25:41"</f>
        <v>2018-10-13 12:25:41</v>
      </c>
    </row>
    <row r="13101" spans="1:7" x14ac:dyDescent="0.2">
      <c r="A13101" t="s">
        <v>1</v>
      </c>
      <c r="B13101" t="str">
        <f>"18696704280"</f>
        <v>18696704280</v>
      </c>
      <c r="C13101" t="s">
        <v>1</v>
      </c>
      <c r="D13101" t="s">
        <v>1</v>
      </c>
      <c r="E13101" t="s">
        <v>1</v>
      </c>
      <c r="F13101" t="s">
        <v>0</v>
      </c>
      <c r="G13101" t="str">
        <f>"2018-10-13 12:25:31"</f>
        <v>2018-10-13 12:25:31</v>
      </c>
    </row>
    <row r="13102" spans="1:7" x14ac:dyDescent="0.2">
      <c r="A13102" t="s">
        <v>13068</v>
      </c>
      <c r="B13102" t="str">
        <f>"15175786391"</f>
        <v>15175786391</v>
      </c>
      <c r="C13102" t="str">
        <f>"130824199504182042"</f>
        <v>130824199504182042</v>
      </c>
      <c r="D13102" t="s">
        <v>1</v>
      </c>
      <c r="E13102" t="s">
        <v>1</v>
      </c>
      <c r="F13102" t="s">
        <v>0</v>
      </c>
      <c r="G13102" t="str">
        <f>"2018-10-13 12:30:22"</f>
        <v>2018-10-13 12:30:22</v>
      </c>
    </row>
    <row r="13103" spans="1:7" x14ac:dyDescent="0.2">
      <c r="A13103" t="s">
        <v>1</v>
      </c>
      <c r="B13103" t="str">
        <f>"15736707888"</f>
        <v>15736707888</v>
      </c>
      <c r="C13103" t="s">
        <v>1</v>
      </c>
      <c r="D13103" t="s">
        <v>1</v>
      </c>
      <c r="E13103" t="s">
        <v>1</v>
      </c>
      <c r="F13103" t="s">
        <v>0</v>
      </c>
      <c r="G13103" t="str">
        <f>"2018-10-13 12:25:13"</f>
        <v>2018-10-13 12:25:13</v>
      </c>
    </row>
    <row r="13104" spans="1:7" x14ac:dyDescent="0.2">
      <c r="A13104" t="s">
        <v>1</v>
      </c>
      <c r="B13104" t="str">
        <f>"13993188436"</f>
        <v>13993188436</v>
      </c>
      <c r="C13104" t="s">
        <v>1</v>
      </c>
      <c r="D13104" t="s">
        <v>1</v>
      </c>
      <c r="E13104" t="s">
        <v>1</v>
      </c>
      <c r="F13104" t="s">
        <v>0</v>
      </c>
      <c r="G13104" t="str">
        <f>"2018-10-13 12:24:45"</f>
        <v>2018-10-13 12:24:45</v>
      </c>
    </row>
    <row r="13105" spans="1:7" x14ac:dyDescent="0.2">
      <c r="A13105" t="s">
        <v>1</v>
      </c>
      <c r="B13105" t="str">
        <f>"15036512063"</f>
        <v>15036512063</v>
      </c>
      <c r="C13105" t="s">
        <v>1</v>
      </c>
      <c r="D13105" t="s">
        <v>1</v>
      </c>
      <c r="E13105" t="s">
        <v>1</v>
      </c>
      <c r="F13105" t="s">
        <v>0</v>
      </c>
      <c r="G13105" t="str">
        <f>"2018-10-13 12:27:53"</f>
        <v>2018-10-13 12:27:53</v>
      </c>
    </row>
    <row r="13106" spans="1:7" x14ac:dyDescent="0.2">
      <c r="A13106" t="s">
        <v>13069</v>
      </c>
      <c r="B13106" t="str">
        <f>"15986830758"</f>
        <v>15986830758</v>
      </c>
      <c r="C13106" t="str">
        <f>"513027197802263924"</f>
        <v>513027197802263924</v>
      </c>
      <c r="D13106" t="s">
        <v>1</v>
      </c>
      <c r="E13106" t="s">
        <v>1</v>
      </c>
      <c r="F13106" t="s">
        <v>0</v>
      </c>
      <c r="G13106" t="str">
        <f>"2018-10-13 12:39:15"</f>
        <v>2018-10-13 12:39:15</v>
      </c>
    </row>
    <row r="13107" spans="1:7" x14ac:dyDescent="0.2">
      <c r="A13107" t="s">
        <v>1</v>
      </c>
      <c r="B13107" t="str">
        <f>"13049222840"</f>
        <v>13049222840</v>
      </c>
      <c r="C13107" t="s">
        <v>1</v>
      </c>
      <c r="D13107" t="s">
        <v>1</v>
      </c>
      <c r="E13107" t="s">
        <v>1</v>
      </c>
      <c r="F13107" t="s">
        <v>0</v>
      </c>
      <c r="G13107" t="str">
        <f>"2018-10-13 12:24:35"</f>
        <v>2018-10-13 12:24:35</v>
      </c>
    </row>
    <row r="13108" spans="1:7" x14ac:dyDescent="0.2">
      <c r="A13108" t="s">
        <v>13070</v>
      </c>
      <c r="B13108" t="str">
        <f>"15958414846"</f>
        <v>15958414846</v>
      </c>
      <c r="C13108" t="str">
        <f>"330719196707285989"</f>
        <v>330719196707285989</v>
      </c>
      <c r="D13108" t="s">
        <v>1</v>
      </c>
      <c r="E13108" t="s">
        <v>1</v>
      </c>
      <c r="F13108" t="s">
        <v>0</v>
      </c>
      <c r="G13108" t="str">
        <f>"2018-10-13 12:26:08"</f>
        <v>2018-10-13 12:26:08</v>
      </c>
    </row>
    <row r="13109" spans="1:7" x14ac:dyDescent="0.2">
      <c r="A13109" t="s">
        <v>13071</v>
      </c>
      <c r="B13109" t="str">
        <f>"18657253885"</f>
        <v>18657253885</v>
      </c>
      <c r="C13109" t="str">
        <f>"410522199102284415"</f>
        <v>410522199102284415</v>
      </c>
      <c r="D13109" t="s">
        <v>1</v>
      </c>
      <c r="E13109" t="s">
        <v>1</v>
      </c>
      <c r="F13109" t="s">
        <v>0</v>
      </c>
      <c r="G13109" t="str">
        <f>"2018-10-14 11:03:57"</f>
        <v>2018-10-14 11:03:57</v>
      </c>
    </row>
    <row r="13110" spans="1:7" x14ac:dyDescent="0.2">
      <c r="A13110" t="s">
        <v>1</v>
      </c>
      <c r="B13110" t="str">
        <f>"15319115200"</f>
        <v>15319115200</v>
      </c>
      <c r="C13110" t="s">
        <v>1</v>
      </c>
      <c r="D13110" t="s">
        <v>1</v>
      </c>
      <c r="E13110" t="s">
        <v>1</v>
      </c>
      <c r="F13110" t="s">
        <v>0</v>
      </c>
      <c r="G13110" t="str">
        <f>"2018-10-13 12:24:10"</f>
        <v>2018-10-13 12:24:10</v>
      </c>
    </row>
    <row r="13111" spans="1:7" x14ac:dyDescent="0.2">
      <c r="A13111" t="s">
        <v>13072</v>
      </c>
      <c r="B13111" t="str">
        <f>"13505287271"</f>
        <v>13505287271</v>
      </c>
      <c r="C13111" t="str">
        <f>"420683199208015213"</f>
        <v>420683199208015213</v>
      </c>
      <c r="D13111" t="s">
        <v>1</v>
      </c>
      <c r="E13111" t="s">
        <v>1</v>
      </c>
      <c r="F13111" t="s">
        <v>0</v>
      </c>
      <c r="G13111" t="str">
        <f>"2018-10-13 12:25:24"</f>
        <v>2018-10-13 12:25:24</v>
      </c>
    </row>
    <row r="13112" spans="1:7" x14ac:dyDescent="0.2">
      <c r="A13112" t="s">
        <v>1</v>
      </c>
      <c r="B13112" t="str">
        <f>"13836073889"</f>
        <v>13836073889</v>
      </c>
      <c r="C13112" t="s">
        <v>1</v>
      </c>
      <c r="D13112" t="s">
        <v>1</v>
      </c>
      <c r="E13112" t="s">
        <v>1</v>
      </c>
      <c r="F13112" t="s">
        <v>0</v>
      </c>
      <c r="G13112" t="str">
        <f>"2018-10-13 12:25:24"</f>
        <v>2018-10-13 12:25:24</v>
      </c>
    </row>
    <row r="13113" spans="1:7" x14ac:dyDescent="0.2">
      <c r="A13113" t="s">
        <v>13073</v>
      </c>
      <c r="B13113" t="str">
        <f>"15738382992"</f>
        <v>15738382992</v>
      </c>
      <c r="C13113" t="str">
        <f>"410102198209032013"</f>
        <v>410102198209032013</v>
      </c>
      <c r="D13113" t="s">
        <v>1</v>
      </c>
      <c r="E13113" t="s">
        <v>1</v>
      </c>
      <c r="F13113" t="s">
        <v>0</v>
      </c>
      <c r="G13113" t="str">
        <f>"2018-10-13 12:23:57"</f>
        <v>2018-10-13 12:23:57</v>
      </c>
    </row>
    <row r="13114" spans="1:7" x14ac:dyDescent="0.2">
      <c r="A13114" t="s">
        <v>13074</v>
      </c>
      <c r="B13114" t="str">
        <f>"17771114788"</f>
        <v>17771114788</v>
      </c>
      <c r="C13114" t="str">
        <f>"420683198406024212"</f>
        <v>420683198406024212</v>
      </c>
      <c r="D13114" t="s">
        <v>13075</v>
      </c>
      <c r="E13114" t="s">
        <v>13076</v>
      </c>
      <c r="F13114" t="s">
        <v>0</v>
      </c>
      <c r="G13114" t="str">
        <f>"2018-10-13 12:23:43"</f>
        <v>2018-10-13 12:23:43</v>
      </c>
    </row>
    <row r="13115" spans="1:7" x14ac:dyDescent="0.2">
      <c r="A13115" t="s">
        <v>906</v>
      </c>
      <c r="B13115" t="str">
        <f>"14747441141"</f>
        <v>14747441141</v>
      </c>
      <c r="C13115" t="str">
        <f>"152601197106120613"</f>
        <v>152601197106120613</v>
      </c>
      <c r="D13115" t="s">
        <v>1</v>
      </c>
      <c r="E13115" t="s">
        <v>1</v>
      </c>
      <c r="F13115" t="s">
        <v>0</v>
      </c>
      <c r="G13115" t="str">
        <f>"2018-10-13 12:24:41"</f>
        <v>2018-10-13 12:24:41</v>
      </c>
    </row>
    <row r="13116" spans="1:7" x14ac:dyDescent="0.2">
      <c r="A13116" t="s">
        <v>1</v>
      </c>
      <c r="B13116" t="str">
        <f>"13081489823"</f>
        <v>13081489823</v>
      </c>
      <c r="C13116" t="s">
        <v>1</v>
      </c>
      <c r="D13116" t="s">
        <v>1</v>
      </c>
      <c r="E13116" t="s">
        <v>1</v>
      </c>
      <c r="F13116" t="s">
        <v>0</v>
      </c>
      <c r="G13116" t="str">
        <f>"2018-10-13 12:23:22"</f>
        <v>2018-10-13 12:23:22</v>
      </c>
    </row>
    <row r="13117" spans="1:7" x14ac:dyDescent="0.2">
      <c r="A13117" t="s">
        <v>13077</v>
      </c>
      <c r="B13117" t="str">
        <f>"18602941772"</f>
        <v>18602941772</v>
      </c>
      <c r="C13117" t="str">
        <f>"610321199003281331"</f>
        <v>610321199003281331</v>
      </c>
      <c r="D13117" t="s">
        <v>1</v>
      </c>
      <c r="E13117" t="s">
        <v>1</v>
      </c>
      <c r="F13117" t="s">
        <v>0</v>
      </c>
      <c r="G13117" t="str">
        <f>"2018-10-13 12:24:13"</f>
        <v>2018-10-13 12:24:13</v>
      </c>
    </row>
    <row r="13118" spans="1:7" x14ac:dyDescent="0.2">
      <c r="A13118" t="s">
        <v>1</v>
      </c>
      <c r="B13118" t="str">
        <f>"15005056419"</f>
        <v>15005056419</v>
      </c>
      <c r="C13118" t="s">
        <v>1</v>
      </c>
      <c r="D13118" t="s">
        <v>1</v>
      </c>
      <c r="E13118" t="s">
        <v>1</v>
      </c>
      <c r="F13118" t="s">
        <v>0</v>
      </c>
      <c r="G13118" t="str">
        <f>"2018-10-13 12:22:55"</f>
        <v>2018-10-13 12:22:55</v>
      </c>
    </row>
    <row r="13119" spans="1:7" x14ac:dyDescent="0.2">
      <c r="A13119" t="s">
        <v>13078</v>
      </c>
      <c r="B13119" t="str">
        <f>"13507336404"</f>
        <v>13507336404</v>
      </c>
      <c r="C13119" t="str">
        <f>"452130197009010020"</f>
        <v>452130197009010020</v>
      </c>
      <c r="D13119" t="s">
        <v>1</v>
      </c>
      <c r="E13119" t="s">
        <v>1</v>
      </c>
      <c r="F13119" t="s">
        <v>0</v>
      </c>
      <c r="G13119" t="str">
        <f>"2018-10-13 12:23:34"</f>
        <v>2018-10-13 12:23:34</v>
      </c>
    </row>
    <row r="13120" spans="1:7" x14ac:dyDescent="0.2">
      <c r="A13120" t="s">
        <v>1</v>
      </c>
      <c r="B13120" t="str">
        <f>"15088214061"</f>
        <v>15088214061</v>
      </c>
      <c r="C13120" t="s">
        <v>1</v>
      </c>
      <c r="D13120" t="s">
        <v>1</v>
      </c>
      <c r="E13120" t="s">
        <v>1</v>
      </c>
      <c r="F13120" t="s">
        <v>0</v>
      </c>
      <c r="G13120" t="str">
        <f>"2018-10-13 12:21:30"</f>
        <v>2018-10-13 12:21:30</v>
      </c>
    </row>
    <row r="13121" spans="1:7" x14ac:dyDescent="0.2">
      <c r="A13121" t="s">
        <v>1</v>
      </c>
      <c r="B13121" t="str">
        <f>"18255275563"</f>
        <v>18255275563</v>
      </c>
      <c r="C13121" t="s">
        <v>1</v>
      </c>
      <c r="D13121" t="s">
        <v>1</v>
      </c>
      <c r="E13121" t="s">
        <v>1</v>
      </c>
      <c r="F13121" t="s">
        <v>0</v>
      </c>
      <c r="G13121" t="str">
        <f>"2018-10-13 12:21:19"</f>
        <v>2018-10-13 12:21:19</v>
      </c>
    </row>
    <row r="13122" spans="1:7" x14ac:dyDescent="0.2">
      <c r="A13122" t="s">
        <v>13079</v>
      </c>
      <c r="B13122" t="str">
        <f>"13848102656"</f>
        <v>13848102656</v>
      </c>
      <c r="C13122" t="str">
        <f>"150430197802060051"</f>
        <v>150430197802060051</v>
      </c>
      <c r="D13122" t="s">
        <v>13080</v>
      </c>
      <c r="E13122" t="s">
        <v>13081</v>
      </c>
      <c r="F13122" t="s">
        <v>0</v>
      </c>
      <c r="G13122" t="str">
        <f>"2018-10-24 05:53:47"</f>
        <v>2018-10-24 05:53:47</v>
      </c>
    </row>
    <row r="13123" spans="1:7" x14ac:dyDescent="0.2">
      <c r="A13123" t="s">
        <v>1</v>
      </c>
      <c r="B13123" t="str">
        <f>"13295400111"</f>
        <v>13295400111</v>
      </c>
      <c r="C13123" t="s">
        <v>1</v>
      </c>
      <c r="D13123" t="s">
        <v>1</v>
      </c>
      <c r="E13123" t="s">
        <v>1</v>
      </c>
      <c r="F13123" t="s">
        <v>0</v>
      </c>
      <c r="G13123" t="str">
        <f>"2018-10-13 12:21:16"</f>
        <v>2018-10-13 12:21:16</v>
      </c>
    </row>
    <row r="13124" spans="1:7" x14ac:dyDescent="0.2">
      <c r="A13124" t="s">
        <v>1</v>
      </c>
      <c r="B13124" t="str">
        <f>"18370771602"</f>
        <v>18370771602</v>
      </c>
      <c r="C13124" t="s">
        <v>1</v>
      </c>
      <c r="D13124" t="s">
        <v>1</v>
      </c>
      <c r="E13124" t="s">
        <v>1</v>
      </c>
      <c r="F13124" t="s">
        <v>0</v>
      </c>
      <c r="G13124" t="str">
        <f>"2018-10-13 13:59:49"</f>
        <v>2018-10-13 13:59:49</v>
      </c>
    </row>
    <row r="13125" spans="1:7" x14ac:dyDescent="0.2">
      <c r="A13125" t="s">
        <v>1</v>
      </c>
      <c r="B13125" t="str">
        <f>"17156996423"</f>
        <v>17156996423</v>
      </c>
      <c r="C13125" t="s">
        <v>1</v>
      </c>
      <c r="D13125" t="s">
        <v>1</v>
      </c>
      <c r="E13125" t="s">
        <v>1</v>
      </c>
      <c r="F13125" t="s">
        <v>0</v>
      </c>
      <c r="G13125" t="str">
        <f>"2018-10-13 12:21:01"</f>
        <v>2018-10-13 12:21:01</v>
      </c>
    </row>
    <row r="13126" spans="1:7" x14ac:dyDescent="0.2">
      <c r="A13126" t="s">
        <v>13082</v>
      </c>
      <c r="B13126" t="str">
        <f>"13603124045"</f>
        <v>13603124045</v>
      </c>
      <c r="C13126" t="str">
        <f>"130634197404243533"</f>
        <v>130634197404243533</v>
      </c>
      <c r="D13126" t="s">
        <v>1</v>
      </c>
      <c r="E13126" t="s">
        <v>1</v>
      </c>
      <c r="F13126" t="s">
        <v>0</v>
      </c>
      <c r="G13126" t="str">
        <f>"2018-10-13 12:28:43"</f>
        <v>2018-10-13 12:28:43</v>
      </c>
    </row>
    <row r="13127" spans="1:7" x14ac:dyDescent="0.2">
      <c r="A13127" t="s">
        <v>1</v>
      </c>
      <c r="B13127" t="str">
        <f>"18287070701"</f>
        <v>18287070701</v>
      </c>
      <c r="C13127" t="s">
        <v>1</v>
      </c>
      <c r="D13127" t="s">
        <v>1</v>
      </c>
      <c r="E13127" t="s">
        <v>1</v>
      </c>
      <c r="F13127" t="s">
        <v>0</v>
      </c>
      <c r="G13127" t="str">
        <f>"2018-10-13 12:20:43"</f>
        <v>2018-10-13 12:20:43</v>
      </c>
    </row>
    <row r="13128" spans="1:7" x14ac:dyDescent="0.2">
      <c r="A13128" t="s">
        <v>13083</v>
      </c>
      <c r="B13128" t="str">
        <f>"15913897341"</f>
        <v>15913897341</v>
      </c>
      <c r="C13128" t="str">
        <f>"360428197310082219"</f>
        <v>360428197310082219</v>
      </c>
      <c r="D13128" t="s">
        <v>1</v>
      </c>
      <c r="E13128" t="s">
        <v>1</v>
      </c>
      <c r="F13128" t="s">
        <v>0</v>
      </c>
      <c r="G13128" t="str">
        <f>"2018-10-13 12:23:30"</f>
        <v>2018-10-13 12:23:30</v>
      </c>
    </row>
    <row r="13129" spans="1:7" x14ac:dyDescent="0.2">
      <c r="A13129" t="s">
        <v>13084</v>
      </c>
      <c r="B13129" t="str">
        <f>"13953405215"</f>
        <v>13953405215</v>
      </c>
      <c r="C13129" t="str">
        <f>"371425198605174370"</f>
        <v>371425198605174370</v>
      </c>
      <c r="D13129" t="s">
        <v>13085</v>
      </c>
      <c r="E13129" t="s">
        <v>13086</v>
      </c>
      <c r="F13129" t="s">
        <v>0</v>
      </c>
      <c r="G13129" t="str">
        <f>"2018-10-13 12:21:53"</f>
        <v>2018-10-13 12:21:53</v>
      </c>
    </row>
    <row r="13130" spans="1:7" x14ac:dyDescent="0.2">
      <c r="A13130" t="s">
        <v>1</v>
      </c>
      <c r="B13130" t="str">
        <f>"13538754848"</f>
        <v>13538754848</v>
      </c>
      <c r="C13130" t="s">
        <v>1</v>
      </c>
      <c r="D13130" t="s">
        <v>1</v>
      </c>
      <c r="E13130" t="s">
        <v>1</v>
      </c>
      <c r="F13130" t="s">
        <v>0</v>
      </c>
      <c r="G13130" t="str">
        <f>"2018-10-13 12:20:29"</f>
        <v>2018-10-13 12:20:29</v>
      </c>
    </row>
    <row r="13131" spans="1:7" x14ac:dyDescent="0.2">
      <c r="A13131" t="s">
        <v>1285</v>
      </c>
      <c r="B13131" t="str">
        <f>"17683797002"</f>
        <v>17683797002</v>
      </c>
      <c r="C13131" t="str">
        <f>"430682199009066216"</f>
        <v>430682199009066216</v>
      </c>
      <c r="D13131" t="s">
        <v>1</v>
      </c>
      <c r="E13131" t="s">
        <v>1</v>
      </c>
      <c r="F13131" t="s">
        <v>0</v>
      </c>
      <c r="G13131" t="str">
        <f>"2018-10-13 12:21:35"</f>
        <v>2018-10-13 12:21:35</v>
      </c>
    </row>
    <row r="13132" spans="1:7" x14ac:dyDescent="0.2">
      <c r="A13132" t="s">
        <v>13087</v>
      </c>
      <c r="B13132" t="str">
        <f>"15164114339"</f>
        <v>15164114339</v>
      </c>
      <c r="C13132" t="str">
        <f>"211203198207122010"</f>
        <v>211203198207122010</v>
      </c>
      <c r="D13132" t="s">
        <v>1</v>
      </c>
      <c r="E13132" t="s">
        <v>1</v>
      </c>
      <c r="F13132" t="s">
        <v>0</v>
      </c>
      <c r="G13132" t="str">
        <f>"2018-10-13 12:24:36"</f>
        <v>2018-10-13 12:24:36</v>
      </c>
    </row>
    <row r="13133" spans="1:7" x14ac:dyDescent="0.2">
      <c r="A13133" t="s">
        <v>1</v>
      </c>
      <c r="B13133" t="str">
        <f>"13044278002"</f>
        <v>13044278002</v>
      </c>
      <c r="C13133" t="s">
        <v>1</v>
      </c>
      <c r="D13133" t="s">
        <v>1</v>
      </c>
      <c r="E13133" t="s">
        <v>1</v>
      </c>
      <c r="F13133" t="s">
        <v>0</v>
      </c>
      <c r="G13133" t="str">
        <f>"2018-10-13 12:20:14"</f>
        <v>2018-10-13 12:20:14</v>
      </c>
    </row>
    <row r="13134" spans="1:7" x14ac:dyDescent="0.2">
      <c r="A13134" t="s">
        <v>1</v>
      </c>
      <c r="B13134" t="str">
        <f>"15295238880"</f>
        <v>15295238880</v>
      </c>
      <c r="C13134" t="s">
        <v>1</v>
      </c>
      <c r="D13134" t="s">
        <v>1</v>
      </c>
      <c r="E13134" t="s">
        <v>1</v>
      </c>
      <c r="F13134" t="s">
        <v>0</v>
      </c>
      <c r="G13134" t="str">
        <f>"2018-10-13 12:19:43"</f>
        <v>2018-10-13 12:19:43</v>
      </c>
    </row>
    <row r="13135" spans="1:7" x14ac:dyDescent="0.2">
      <c r="A13135" t="s">
        <v>13088</v>
      </c>
      <c r="B13135" t="str">
        <f>"18003800279"</f>
        <v>18003800279</v>
      </c>
      <c r="C13135" t="str">
        <f>"410724198910291022"</f>
        <v>410724198910291022</v>
      </c>
      <c r="D13135" t="s">
        <v>1</v>
      </c>
      <c r="E13135" t="s">
        <v>1</v>
      </c>
      <c r="F13135" t="s">
        <v>0</v>
      </c>
      <c r="G13135" t="str">
        <f>"2018-10-13 15:19:18"</f>
        <v>2018-10-13 15:19:18</v>
      </c>
    </row>
    <row r="13136" spans="1:7" x14ac:dyDescent="0.2">
      <c r="A13136" t="s">
        <v>13089</v>
      </c>
      <c r="B13136" t="str">
        <f>"18152009577"</f>
        <v>18152009577</v>
      </c>
      <c r="C13136" t="str">
        <f>"620421198610021649"</f>
        <v>620421198610021649</v>
      </c>
      <c r="D13136" t="s">
        <v>1</v>
      </c>
      <c r="E13136" t="s">
        <v>1</v>
      </c>
      <c r="F13136" t="s">
        <v>0</v>
      </c>
      <c r="G13136" t="str">
        <f>"2018-10-15 12:45:45"</f>
        <v>2018-10-15 12:45:45</v>
      </c>
    </row>
    <row r="13137" spans="1:7" x14ac:dyDescent="0.2">
      <c r="A13137" t="s">
        <v>13090</v>
      </c>
      <c r="B13137" t="str">
        <f>"15856651287"</f>
        <v>15856651287</v>
      </c>
      <c r="C13137" t="str">
        <f>"341122198911021419"</f>
        <v>341122198911021419</v>
      </c>
      <c r="D13137" t="s">
        <v>1</v>
      </c>
      <c r="E13137" t="s">
        <v>1</v>
      </c>
      <c r="F13137" t="s">
        <v>0</v>
      </c>
      <c r="G13137" t="str">
        <f>"2018-10-13 12:21:03"</f>
        <v>2018-10-13 12:21:03</v>
      </c>
    </row>
    <row r="13138" spans="1:7" x14ac:dyDescent="0.2">
      <c r="A13138" t="s">
        <v>648</v>
      </c>
      <c r="B13138" t="str">
        <f>"15817699923"</f>
        <v>15817699923</v>
      </c>
      <c r="C13138" t="str">
        <f>"41132219911219451X"</f>
        <v>41132219911219451X</v>
      </c>
      <c r="D13138" t="s">
        <v>1</v>
      </c>
      <c r="E13138" t="s">
        <v>1</v>
      </c>
      <c r="F13138" t="s">
        <v>0</v>
      </c>
      <c r="G13138" t="str">
        <f>"2018-10-13 12:21:16"</f>
        <v>2018-10-13 12:21:16</v>
      </c>
    </row>
    <row r="13139" spans="1:7" x14ac:dyDescent="0.2">
      <c r="A13139" t="s">
        <v>1815</v>
      </c>
      <c r="B13139" t="str">
        <f>"18626312096"</f>
        <v>18626312096</v>
      </c>
      <c r="C13139" t="str">
        <f>"500381199001127817"</f>
        <v>500381199001127817</v>
      </c>
      <c r="D13139" t="s">
        <v>1</v>
      </c>
      <c r="E13139" t="s">
        <v>1</v>
      </c>
      <c r="F13139" t="s">
        <v>0</v>
      </c>
      <c r="G13139" t="str">
        <f>"2018-10-15 13:31:09"</f>
        <v>2018-10-15 13:31:09</v>
      </c>
    </row>
    <row r="13140" spans="1:7" x14ac:dyDescent="0.2">
      <c r="A13140" t="s">
        <v>1</v>
      </c>
      <c r="B13140" t="str">
        <f>"18640413909"</f>
        <v>18640413909</v>
      </c>
      <c r="C13140" t="s">
        <v>1</v>
      </c>
      <c r="D13140" t="s">
        <v>1</v>
      </c>
      <c r="E13140" t="s">
        <v>1</v>
      </c>
      <c r="F13140" t="s">
        <v>0</v>
      </c>
      <c r="G13140" t="str">
        <f>"2018-10-13 12:18:58"</f>
        <v>2018-10-13 12:18:58</v>
      </c>
    </row>
    <row r="13141" spans="1:7" x14ac:dyDescent="0.2">
      <c r="A13141" t="s">
        <v>13091</v>
      </c>
      <c r="B13141" t="str">
        <f>"13541478390"</f>
        <v>13541478390</v>
      </c>
      <c r="C13141" t="str">
        <f>"513321196807250034"</f>
        <v>513321196807250034</v>
      </c>
      <c r="D13141" t="s">
        <v>13092</v>
      </c>
      <c r="E13141" t="s">
        <v>13093</v>
      </c>
      <c r="F13141" t="s">
        <v>0</v>
      </c>
      <c r="G13141" t="str">
        <f>"2018-10-13 12:20:03"</f>
        <v>2018-10-13 12:20:03</v>
      </c>
    </row>
    <row r="13142" spans="1:7" x14ac:dyDescent="0.2">
      <c r="A13142" t="s">
        <v>13094</v>
      </c>
      <c r="B13142" t="str">
        <f>"15531399666"</f>
        <v>15531399666</v>
      </c>
      <c r="C13142" t="str">
        <f>"132525197803016928"</f>
        <v>132525197803016928</v>
      </c>
      <c r="D13142" t="s">
        <v>13095</v>
      </c>
      <c r="E13142" t="s">
        <v>13096</v>
      </c>
      <c r="F13142" t="s">
        <v>0</v>
      </c>
      <c r="G13142" t="str">
        <f>"2018-10-22 15:05:25"</f>
        <v>2018-10-22 15:05:25</v>
      </c>
    </row>
    <row r="13143" spans="1:7" x14ac:dyDescent="0.2">
      <c r="A13143" t="s">
        <v>13097</v>
      </c>
      <c r="B13143" t="str">
        <f>"15029016699"</f>
        <v>15029016699</v>
      </c>
      <c r="C13143" t="str">
        <f>"61011319811025267X"</f>
        <v>61011319811025267X</v>
      </c>
      <c r="D13143" t="s">
        <v>1</v>
      </c>
      <c r="E13143" t="s">
        <v>1</v>
      </c>
      <c r="F13143" t="s">
        <v>0</v>
      </c>
      <c r="G13143" t="str">
        <f>"2018-10-13 12:19:41"</f>
        <v>2018-10-13 12:19:41</v>
      </c>
    </row>
    <row r="13144" spans="1:7" x14ac:dyDescent="0.2">
      <c r="A13144" t="s">
        <v>13098</v>
      </c>
      <c r="B13144" t="str">
        <f>"15806660229"</f>
        <v>15806660229</v>
      </c>
      <c r="C13144" t="str">
        <f>"370123198903214748"</f>
        <v>370123198903214748</v>
      </c>
      <c r="D13144" t="s">
        <v>1</v>
      </c>
      <c r="E13144" t="s">
        <v>1</v>
      </c>
      <c r="F13144" t="s">
        <v>0</v>
      </c>
      <c r="G13144" t="str">
        <f>"2018-10-13 12:18:13"</f>
        <v>2018-10-13 12:18:13</v>
      </c>
    </row>
    <row r="13145" spans="1:7" x14ac:dyDescent="0.2">
      <c r="A13145" t="s">
        <v>1</v>
      </c>
      <c r="B13145" t="str">
        <f>"15859354082"</f>
        <v>15859354082</v>
      </c>
      <c r="C13145" t="s">
        <v>1</v>
      </c>
      <c r="D13145" t="s">
        <v>1</v>
      </c>
      <c r="E13145" t="s">
        <v>1</v>
      </c>
      <c r="F13145" t="s">
        <v>0</v>
      </c>
      <c r="G13145" t="str">
        <f>"2018-10-13 15:16:29"</f>
        <v>2018-10-13 15:16:29</v>
      </c>
    </row>
    <row r="13146" spans="1:7" x14ac:dyDescent="0.2">
      <c r="A13146" t="s">
        <v>13099</v>
      </c>
      <c r="B13146" t="str">
        <f>"18629908877"</f>
        <v>18629908877</v>
      </c>
      <c r="C13146" t="str">
        <f>"220221198908270116"</f>
        <v>220221198908270116</v>
      </c>
      <c r="D13146" t="s">
        <v>1</v>
      </c>
      <c r="E13146" t="s">
        <v>1</v>
      </c>
      <c r="F13146" t="s">
        <v>0</v>
      </c>
      <c r="G13146" t="str">
        <f>"2018-10-13 12:17:49"</f>
        <v>2018-10-13 12:17:49</v>
      </c>
    </row>
    <row r="13147" spans="1:7" x14ac:dyDescent="0.2">
      <c r="A13147" t="s">
        <v>13100</v>
      </c>
      <c r="B13147" t="str">
        <f>"15206116858"</f>
        <v>15206116858</v>
      </c>
      <c r="C13147" t="str">
        <f>"320925199506207423"</f>
        <v>320925199506207423</v>
      </c>
      <c r="D13147" t="s">
        <v>1</v>
      </c>
      <c r="E13147" t="s">
        <v>1</v>
      </c>
      <c r="F13147" t="s">
        <v>0</v>
      </c>
      <c r="G13147" t="str">
        <f>"2018-10-13 12:24:03"</f>
        <v>2018-10-13 12:24:03</v>
      </c>
    </row>
    <row r="13148" spans="1:7" x14ac:dyDescent="0.2">
      <c r="A13148" t="s">
        <v>13101</v>
      </c>
      <c r="B13148" t="str">
        <f>"15824027670"</f>
        <v>15824027670</v>
      </c>
      <c r="C13148" t="str">
        <f>"511011198803276796"</f>
        <v>511011198803276796</v>
      </c>
      <c r="D13148" t="s">
        <v>1</v>
      </c>
      <c r="E13148" t="s">
        <v>1</v>
      </c>
      <c r="F13148" t="s">
        <v>0</v>
      </c>
      <c r="G13148" t="str">
        <f>"2018-10-13 12:17:22"</f>
        <v>2018-10-13 12:17:22</v>
      </c>
    </row>
    <row r="13149" spans="1:7" x14ac:dyDescent="0.2">
      <c r="A13149" t="s">
        <v>13102</v>
      </c>
      <c r="B13149" t="str">
        <f>"15277107115"</f>
        <v>15277107115</v>
      </c>
      <c r="C13149" t="str">
        <f>"452730199603072912"</f>
        <v>452730199603072912</v>
      </c>
      <c r="D13149" t="s">
        <v>1</v>
      </c>
      <c r="E13149" t="s">
        <v>1</v>
      </c>
      <c r="F13149" t="s">
        <v>0</v>
      </c>
      <c r="G13149" t="str">
        <f>"2018-10-13 12:18:55"</f>
        <v>2018-10-13 12:18:55</v>
      </c>
    </row>
    <row r="13150" spans="1:7" x14ac:dyDescent="0.2">
      <c r="A13150" t="s">
        <v>1</v>
      </c>
      <c r="B13150" t="str">
        <f>"13567852912"</f>
        <v>13567852912</v>
      </c>
      <c r="C13150" t="s">
        <v>1</v>
      </c>
      <c r="D13150" t="s">
        <v>1</v>
      </c>
      <c r="E13150" t="s">
        <v>1</v>
      </c>
      <c r="F13150" t="s">
        <v>0</v>
      </c>
      <c r="G13150" t="str">
        <f>"2018-10-13 12:15:38"</f>
        <v>2018-10-13 12:15:38</v>
      </c>
    </row>
    <row r="13151" spans="1:7" x14ac:dyDescent="0.2">
      <c r="A13151" t="s">
        <v>1</v>
      </c>
      <c r="B13151" t="str">
        <f>"17865688708"</f>
        <v>17865688708</v>
      </c>
      <c r="C13151" t="s">
        <v>1</v>
      </c>
      <c r="D13151" t="s">
        <v>1</v>
      </c>
      <c r="E13151" t="s">
        <v>1</v>
      </c>
      <c r="F13151" t="s">
        <v>0</v>
      </c>
      <c r="G13151" t="str">
        <f>"2018-10-13 12:15:27"</f>
        <v>2018-10-13 12:15:27</v>
      </c>
    </row>
    <row r="13152" spans="1:7" x14ac:dyDescent="0.2">
      <c r="A13152" t="s">
        <v>13103</v>
      </c>
      <c r="B13152" t="str">
        <f>"18311659202"</f>
        <v>18311659202</v>
      </c>
      <c r="C13152" t="str">
        <f>"450881199010086079"</f>
        <v>450881199010086079</v>
      </c>
      <c r="D13152" t="s">
        <v>13104</v>
      </c>
      <c r="E13152" t="s">
        <v>13105</v>
      </c>
      <c r="F13152" t="s">
        <v>0</v>
      </c>
      <c r="G13152" t="str">
        <f>"2018-10-13 12:39:37"</f>
        <v>2018-10-13 12:39:37</v>
      </c>
    </row>
    <row r="13153" spans="1:7" x14ac:dyDescent="0.2">
      <c r="A13153" t="s">
        <v>58</v>
      </c>
      <c r="B13153" t="str">
        <f>"13958630628"</f>
        <v>13958630628</v>
      </c>
      <c r="C13153" t="str">
        <f>"331081199005208035"</f>
        <v>331081199005208035</v>
      </c>
      <c r="D13153" t="s">
        <v>1</v>
      </c>
      <c r="E13153" t="s">
        <v>1</v>
      </c>
      <c r="F13153" t="s">
        <v>0</v>
      </c>
      <c r="G13153" t="str">
        <f>"2018-10-13 12:16:10"</f>
        <v>2018-10-13 12:16:10</v>
      </c>
    </row>
    <row r="13154" spans="1:7" x14ac:dyDescent="0.2">
      <c r="A13154" t="s">
        <v>1</v>
      </c>
      <c r="B13154" t="str">
        <f>"18887091276"</f>
        <v>18887091276</v>
      </c>
      <c r="C13154" t="s">
        <v>1</v>
      </c>
      <c r="D13154" t="s">
        <v>1</v>
      </c>
      <c r="E13154" t="s">
        <v>1</v>
      </c>
      <c r="F13154" t="s">
        <v>0</v>
      </c>
      <c r="G13154" t="str">
        <f>"2018-10-13 12:14:48"</f>
        <v>2018-10-13 12:14:48</v>
      </c>
    </row>
    <row r="13155" spans="1:7" x14ac:dyDescent="0.2">
      <c r="A13155" t="s">
        <v>13106</v>
      </c>
      <c r="B13155" t="str">
        <f>"15066527113"</f>
        <v>15066527113</v>
      </c>
      <c r="C13155" t="str">
        <f>"371482199609286013"</f>
        <v>371482199609286013</v>
      </c>
      <c r="D13155" t="s">
        <v>1</v>
      </c>
      <c r="E13155" t="s">
        <v>1</v>
      </c>
      <c r="F13155" t="s">
        <v>0</v>
      </c>
      <c r="G13155" t="str">
        <f>"2018-10-13 12:14:38"</f>
        <v>2018-10-13 12:14:38</v>
      </c>
    </row>
    <row r="13156" spans="1:7" x14ac:dyDescent="0.2">
      <c r="A13156" t="s">
        <v>1</v>
      </c>
      <c r="B13156" t="str">
        <f>"15086046101"</f>
        <v>15086046101</v>
      </c>
      <c r="C13156" t="s">
        <v>1</v>
      </c>
      <c r="D13156" t="s">
        <v>1</v>
      </c>
      <c r="E13156" t="s">
        <v>1</v>
      </c>
      <c r="F13156" t="s">
        <v>0</v>
      </c>
      <c r="G13156" t="str">
        <f>"2018-10-13 12:14:37"</f>
        <v>2018-10-13 12:14:37</v>
      </c>
    </row>
    <row r="13157" spans="1:7" x14ac:dyDescent="0.2">
      <c r="A13157" t="s">
        <v>13107</v>
      </c>
      <c r="B13157" t="str">
        <f>"18260457725"</f>
        <v>18260457725</v>
      </c>
      <c r="C13157" t="str">
        <f>"360311198901140013"</f>
        <v>360311198901140013</v>
      </c>
      <c r="D13157" t="s">
        <v>1</v>
      </c>
      <c r="E13157" t="s">
        <v>1</v>
      </c>
      <c r="F13157" t="s">
        <v>0</v>
      </c>
      <c r="G13157" t="str">
        <f>"2018-10-28 09:51:16"</f>
        <v>2018-10-28 09:51:16</v>
      </c>
    </row>
    <row r="13158" spans="1:7" x14ac:dyDescent="0.2">
      <c r="A13158" t="s">
        <v>1261</v>
      </c>
      <c r="B13158" t="str">
        <f>"18176859003"</f>
        <v>18176859003</v>
      </c>
      <c r="C13158" t="str">
        <f>"450122198804101012"</f>
        <v>450122198804101012</v>
      </c>
      <c r="D13158" t="s">
        <v>1</v>
      </c>
      <c r="E13158" t="s">
        <v>1</v>
      </c>
      <c r="F13158" t="s">
        <v>0</v>
      </c>
      <c r="G13158" t="str">
        <f>"2018-11-04 16:53:51"</f>
        <v>2018-11-04 16:53:51</v>
      </c>
    </row>
    <row r="13159" spans="1:7" x14ac:dyDescent="0.2">
      <c r="A13159" t="s">
        <v>13108</v>
      </c>
      <c r="B13159" t="str">
        <f>"18238025202"</f>
        <v>18238025202</v>
      </c>
      <c r="C13159" t="str">
        <f>"411424199912203320"</f>
        <v>411424199912203320</v>
      </c>
      <c r="D13159" t="s">
        <v>1</v>
      </c>
      <c r="E13159" t="s">
        <v>1</v>
      </c>
      <c r="F13159" t="s">
        <v>0</v>
      </c>
      <c r="G13159" t="str">
        <f>"2018-10-13 13:10:43"</f>
        <v>2018-10-13 13:10:43</v>
      </c>
    </row>
    <row r="13160" spans="1:7" x14ac:dyDescent="0.2">
      <c r="A13160" t="s">
        <v>1</v>
      </c>
      <c r="B13160" t="str">
        <f>"13540979188"</f>
        <v>13540979188</v>
      </c>
      <c r="C13160" t="s">
        <v>1</v>
      </c>
      <c r="D13160" t="s">
        <v>1</v>
      </c>
      <c r="E13160" t="s">
        <v>1</v>
      </c>
      <c r="F13160" t="s">
        <v>0</v>
      </c>
      <c r="G13160" t="str">
        <f>"2018-10-13 12:13:57"</f>
        <v>2018-10-13 12:13:57</v>
      </c>
    </row>
    <row r="13161" spans="1:7" x14ac:dyDescent="0.2">
      <c r="A13161" t="s">
        <v>1</v>
      </c>
      <c r="B13161" t="str">
        <f>"18406969594"</f>
        <v>18406969594</v>
      </c>
      <c r="C13161" t="s">
        <v>1</v>
      </c>
      <c r="D13161" t="s">
        <v>1</v>
      </c>
      <c r="E13161" t="s">
        <v>1</v>
      </c>
      <c r="F13161" t="s">
        <v>0</v>
      </c>
      <c r="G13161" t="str">
        <f>"2018-10-13 12:16:32"</f>
        <v>2018-10-13 12:16:32</v>
      </c>
    </row>
    <row r="13162" spans="1:7" x14ac:dyDescent="0.2">
      <c r="A13162" t="s">
        <v>13109</v>
      </c>
      <c r="B13162" t="str">
        <f>"15919836515"</f>
        <v>15919836515</v>
      </c>
      <c r="C13162" t="str">
        <f>"410728199506029815"</f>
        <v>410728199506029815</v>
      </c>
      <c r="D13162" t="s">
        <v>1</v>
      </c>
      <c r="E13162" t="s">
        <v>1</v>
      </c>
      <c r="F13162" t="s">
        <v>0</v>
      </c>
      <c r="G13162" t="str">
        <f>"2018-10-13 12:24:07"</f>
        <v>2018-10-13 12:24:07</v>
      </c>
    </row>
    <row r="13163" spans="1:7" x14ac:dyDescent="0.2">
      <c r="A13163" t="s">
        <v>13110</v>
      </c>
      <c r="B13163" t="str">
        <f>"15824150057"</f>
        <v>15824150057</v>
      </c>
      <c r="C13163" t="str">
        <f>"430426198602289553"</f>
        <v>430426198602289553</v>
      </c>
      <c r="D13163" t="s">
        <v>1</v>
      </c>
      <c r="E13163" t="s">
        <v>1</v>
      </c>
      <c r="F13163" t="s">
        <v>0</v>
      </c>
      <c r="G13163" t="str">
        <f>"2018-10-13 12:19:59"</f>
        <v>2018-10-13 12:19:59</v>
      </c>
    </row>
    <row r="13164" spans="1:7" x14ac:dyDescent="0.2">
      <c r="A13164" t="s">
        <v>13111</v>
      </c>
      <c r="B13164" t="str">
        <f>"15998964368"</f>
        <v>15998964368</v>
      </c>
      <c r="C13164" t="str">
        <f>"500224198904165446"</f>
        <v>500224198904165446</v>
      </c>
      <c r="D13164" t="s">
        <v>1</v>
      </c>
      <c r="E13164" t="s">
        <v>1</v>
      </c>
      <c r="F13164" t="s">
        <v>0</v>
      </c>
      <c r="G13164" t="str">
        <f>"2018-10-19 16:22:02"</f>
        <v>2018-10-19 16:22:02</v>
      </c>
    </row>
    <row r="13165" spans="1:7" x14ac:dyDescent="0.2">
      <c r="A13165" t="s">
        <v>13112</v>
      </c>
      <c r="B13165" t="str">
        <f>"18696174339"</f>
        <v>18696174339</v>
      </c>
      <c r="C13165" t="str">
        <f>"421181199006101958"</f>
        <v>421181199006101958</v>
      </c>
      <c r="D13165" t="s">
        <v>13113</v>
      </c>
      <c r="E13165" t="s">
        <v>13114</v>
      </c>
      <c r="F13165" t="s">
        <v>0</v>
      </c>
      <c r="G13165" t="str">
        <f>"2018-10-13 12:29:48"</f>
        <v>2018-10-13 12:29:48</v>
      </c>
    </row>
    <row r="13166" spans="1:7" x14ac:dyDescent="0.2">
      <c r="A13166" t="s">
        <v>1</v>
      </c>
      <c r="B13166" t="str">
        <f>"15523937665"</f>
        <v>15523937665</v>
      </c>
      <c r="C13166" t="s">
        <v>1</v>
      </c>
      <c r="D13166" t="s">
        <v>1</v>
      </c>
      <c r="E13166" t="s">
        <v>1</v>
      </c>
      <c r="F13166" t="s">
        <v>0</v>
      </c>
      <c r="G13166" t="str">
        <f>"2018-10-13 12:12:36"</f>
        <v>2018-10-13 12:12:36</v>
      </c>
    </row>
    <row r="13167" spans="1:7" x14ac:dyDescent="0.2">
      <c r="A13167" t="s">
        <v>13115</v>
      </c>
      <c r="B13167" t="str">
        <f>"13556491913"</f>
        <v>13556491913</v>
      </c>
      <c r="C13167" t="str">
        <f>"411328198204057831"</f>
        <v>411328198204057831</v>
      </c>
      <c r="D13167" t="s">
        <v>1</v>
      </c>
      <c r="E13167" t="s">
        <v>1</v>
      </c>
      <c r="F13167" t="s">
        <v>0</v>
      </c>
      <c r="G13167" t="str">
        <f>"2018-10-13 12:51:09"</f>
        <v>2018-10-13 12:51:09</v>
      </c>
    </row>
    <row r="13168" spans="1:7" x14ac:dyDescent="0.2">
      <c r="A13168" t="s">
        <v>149</v>
      </c>
      <c r="B13168" t="str">
        <f>"13198028887"</f>
        <v>13198028887</v>
      </c>
      <c r="C13168" t="str">
        <f>"511011199005168779"</f>
        <v>511011199005168779</v>
      </c>
      <c r="D13168" t="s">
        <v>1</v>
      </c>
      <c r="E13168" t="s">
        <v>1</v>
      </c>
      <c r="F13168" t="s">
        <v>0</v>
      </c>
      <c r="G13168" t="str">
        <f>"2018-10-14 14:47:38"</f>
        <v>2018-10-14 14:47:38</v>
      </c>
    </row>
    <row r="13169" spans="1:7" x14ac:dyDescent="0.2">
      <c r="A13169" t="s">
        <v>1</v>
      </c>
      <c r="B13169" t="str">
        <f>"15677850754"</f>
        <v>15677850754</v>
      </c>
      <c r="C13169" t="s">
        <v>1</v>
      </c>
      <c r="D13169" t="s">
        <v>1</v>
      </c>
      <c r="E13169" t="s">
        <v>1</v>
      </c>
      <c r="F13169" t="s">
        <v>0</v>
      </c>
      <c r="G13169" t="str">
        <f>"2018-10-13 12:12:07"</f>
        <v>2018-10-13 12:12:07</v>
      </c>
    </row>
    <row r="13170" spans="1:7" x14ac:dyDescent="0.2">
      <c r="A13170" t="s">
        <v>1</v>
      </c>
      <c r="B13170" t="str">
        <f>"13395786872"</f>
        <v>13395786872</v>
      </c>
      <c r="C13170" t="s">
        <v>1</v>
      </c>
      <c r="D13170" t="s">
        <v>1</v>
      </c>
      <c r="E13170" t="s">
        <v>1</v>
      </c>
      <c r="F13170" t="s">
        <v>0</v>
      </c>
      <c r="G13170" t="str">
        <f>"2018-10-13 12:21:39"</f>
        <v>2018-10-13 12:21:39</v>
      </c>
    </row>
    <row r="13171" spans="1:7" x14ac:dyDescent="0.2">
      <c r="A13171" t="s">
        <v>13116</v>
      </c>
      <c r="B13171" t="str">
        <f>"18759036568"</f>
        <v>18759036568</v>
      </c>
      <c r="C13171" t="str">
        <f>"350822199412245526"</f>
        <v>350822199412245526</v>
      </c>
      <c r="D13171" t="s">
        <v>1</v>
      </c>
      <c r="E13171" t="s">
        <v>1</v>
      </c>
      <c r="F13171" t="s">
        <v>0</v>
      </c>
      <c r="G13171" t="str">
        <f>"2018-10-13 12:14:50"</f>
        <v>2018-10-13 12:14:50</v>
      </c>
    </row>
    <row r="13172" spans="1:7" x14ac:dyDescent="0.2">
      <c r="A13172" t="s">
        <v>13117</v>
      </c>
      <c r="B13172" t="str">
        <f>"13299163150"</f>
        <v>13299163150</v>
      </c>
      <c r="C13172" t="str">
        <f>"61010219880519311X"</f>
        <v>61010219880519311X</v>
      </c>
      <c r="D13172" t="s">
        <v>1</v>
      </c>
      <c r="E13172" t="s">
        <v>1</v>
      </c>
      <c r="F13172" t="s">
        <v>0</v>
      </c>
      <c r="G13172" t="str">
        <f>"2018-10-13 12:12:00"</f>
        <v>2018-10-13 12:12:00</v>
      </c>
    </row>
    <row r="13173" spans="1:7" x14ac:dyDescent="0.2">
      <c r="A13173" t="s">
        <v>13118</v>
      </c>
      <c r="B13173" t="str">
        <f>"15979691457"</f>
        <v>15979691457</v>
      </c>
      <c r="C13173" t="str">
        <f>"362402197711171018"</f>
        <v>362402197711171018</v>
      </c>
      <c r="D13173" t="s">
        <v>1</v>
      </c>
      <c r="E13173" t="s">
        <v>1</v>
      </c>
      <c r="F13173" t="s">
        <v>0</v>
      </c>
      <c r="G13173" t="str">
        <f>"2018-10-13 12:34:33"</f>
        <v>2018-10-13 12:34:33</v>
      </c>
    </row>
    <row r="13174" spans="1:7" x14ac:dyDescent="0.2">
      <c r="A13174" t="s">
        <v>1</v>
      </c>
      <c r="B13174" t="str">
        <f>"15023477444"</f>
        <v>15023477444</v>
      </c>
      <c r="C13174" t="s">
        <v>1</v>
      </c>
      <c r="D13174" t="s">
        <v>1</v>
      </c>
      <c r="E13174" t="s">
        <v>1</v>
      </c>
      <c r="F13174" t="s">
        <v>0</v>
      </c>
      <c r="G13174" t="str">
        <f>"2018-10-13 12:10:56"</f>
        <v>2018-10-13 12:10:56</v>
      </c>
    </row>
    <row r="13175" spans="1:7" x14ac:dyDescent="0.2">
      <c r="A13175" t="s">
        <v>13119</v>
      </c>
      <c r="B13175" t="str">
        <f>"15940395419"</f>
        <v>15940395419</v>
      </c>
      <c r="C13175" t="str">
        <f>"210102198605305039"</f>
        <v>210102198605305039</v>
      </c>
      <c r="D13175" t="s">
        <v>13120</v>
      </c>
      <c r="E13175" t="s">
        <v>13121</v>
      </c>
      <c r="F13175" t="s">
        <v>0</v>
      </c>
      <c r="G13175" t="str">
        <f>"2018-10-13 12:21:39"</f>
        <v>2018-10-13 12:21:39</v>
      </c>
    </row>
    <row r="13176" spans="1:7" x14ac:dyDescent="0.2">
      <c r="A13176" t="s">
        <v>1</v>
      </c>
      <c r="B13176" t="str">
        <f>"13830068826"</f>
        <v>13830068826</v>
      </c>
      <c r="C13176" t="s">
        <v>1</v>
      </c>
      <c r="D13176" t="s">
        <v>1</v>
      </c>
      <c r="E13176" t="s">
        <v>1</v>
      </c>
      <c r="F13176" t="s">
        <v>0</v>
      </c>
      <c r="G13176" t="str">
        <f>"2018-10-13 12:09:45"</f>
        <v>2018-10-13 12:09:45</v>
      </c>
    </row>
    <row r="13177" spans="1:7" x14ac:dyDescent="0.2">
      <c r="A13177" t="s">
        <v>1</v>
      </c>
      <c r="B13177" t="str">
        <f>"13666599135"</f>
        <v>13666599135</v>
      </c>
      <c r="C13177" t="s">
        <v>1</v>
      </c>
      <c r="D13177" t="s">
        <v>1</v>
      </c>
      <c r="E13177" t="s">
        <v>1</v>
      </c>
      <c r="F13177" t="s">
        <v>0</v>
      </c>
      <c r="G13177" t="str">
        <f>"2018-10-13 12:09:24"</f>
        <v>2018-10-13 12:09:24</v>
      </c>
    </row>
    <row r="13178" spans="1:7" x14ac:dyDescent="0.2">
      <c r="A13178" t="s">
        <v>13122</v>
      </c>
      <c r="B13178" t="str">
        <f>"13571817133"</f>
        <v>13571817133</v>
      </c>
      <c r="C13178" t="str">
        <f>"350824198211021831"</f>
        <v>350824198211021831</v>
      </c>
      <c r="D13178" t="s">
        <v>1</v>
      </c>
      <c r="E13178" t="s">
        <v>1</v>
      </c>
      <c r="F13178" t="s">
        <v>0</v>
      </c>
      <c r="G13178" t="str">
        <f>"2018-10-13 12:10:14"</f>
        <v>2018-10-13 12:10:14</v>
      </c>
    </row>
    <row r="13179" spans="1:7" x14ac:dyDescent="0.2">
      <c r="A13179" t="s">
        <v>13123</v>
      </c>
      <c r="B13179" t="str">
        <f>"15638650866"</f>
        <v>15638650866</v>
      </c>
      <c r="C13179" t="str">
        <f>"410481198412156072"</f>
        <v>410481198412156072</v>
      </c>
      <c r="D13179" t="s">
        <v>1</v>
      </c>
      <c r="E13179" t="s">
        <v>1</v>
      </c>
      <c r="F13179" t="s">
        <v>0</v>
      </c>
      <c r="G13179" t="str">
        <f>"2018-10-13 12:11:26"</f>
        <v>2018-10-13 12:11:26</v>
      </c>
    </row>
    <row r="13180" spans="1:7" x14ac:dyDescent="0.2">
      <c r="A13180" t="s">
        <v>13124</v>
      </c>
      <c r="B13180" t="str">
        <f>"18752651858"</f>
        <v>18752651858</v>
      </c>
      <c r="C13180" t="str">
        <f>"321281198512285515"</f>
        <v>321281198512285515</v>
      </c>
      <c r="D13180" t="s">
        <v>13125</v>
      </c>
      <c r="E13180" t="s">
        <v>13126</v>
      </c>
      <c r="F13180" t="s">
        <v>0</v>
      </c>
      <c r="G13180" t="str">
        <f>"2018-10-13 12:12:23"</f>
        <v>2018-10-13 12:12:23</v>
      </c>
    </row>
    <row r="13181" spans="1:7" x14ac:dyDescent="0.2">
      <c r="A13181" t="s">
        <v>13127</v>
      </c>
      <c r="B13181" t="str">
        <f>"17375858868"</f>
        <v>17375858868</v>
      </c>
      <c r="C13181" t="str">
        <f>"430121199007251514"</f>
        <v>430121199007251514</v>
      </c>
      <c r="D13181" t="s">
        <v>1</v>
      </c>
      <c r="E13181" t="s">
        <v>1</v>
      </c>
      <c r="F13181" t="s">
        <v>0</v>
      </c>
      <c r="G13181" t="str">
        <f>"2018-10-13 12:11:06"</f>
        <v>2018-10-13 12:11:06</v>
      </c>
    </row>
    <row r="13182" spans="1:7" x14ac:dyDescent="0.2">
      <c r="A13182" t="s">
        <v>578</v>
      </c>
      <c r="B13182" t="str">
        <f>"13087601818"</f>
        <v>13087601818</v>
      </c>
      <c r="C13182" t="str">
        <f>"610528199112160999"</f>
        <v>610528199112160999</v>
      </c>
      <c r="D13182" t="s">
        <v>13128</v>
      </c>
      <c r="E13182" t="s">
        <v>13128</v>
      </c>
      <c r="F13182" t="s">
        <v>0</v>
      </c>
      <c r="G13182" t="str">
        <f>"2018-10-13 12:09:22"</f>
        <v>2018-10-13 12:09:22</v>
      </c>
    </row>
    <row r="13183" spans="1:7" x14ac:dyDescent="0.2">
      <c r="A13183" t="s">
        <v>13129</v>
      </c>
      <c r="B13183" t="str">
        <f>"17613696255"</f>
        <v>17613696255</v>
      </c>
      <c r="C13183" t="str">
        <f>"411327198403151314"</f>
        <v>411327198403151314</v>
      </c>
      <c r="D13183" t="s">
        <v>1</v>
      </c>
      <c r="E13183" t="s">
        <v>1</v>
      </c>
      <c r="F13183" t="s">
        <v>0</v>
      </c>
      <c r="G13183" t="str">
        <f>"2018-10-13 12:07:52"</f>
        <v>2018-10-13 12:07:52</v>
      </c>
    </row>
    <row r="13184" spans="1:7" x14ac:dyDescent="0.2">
      <c r="A13184" t="s">
        <v>13130</v>
      </c>
      <c r="B13184" t="str">
        <f>"18242322550"</f>
        <v>18242322550</v>
      </c>
      <c r="C13184" t="str">
        <f>"210122198606080324"</f>
        <v>210122198606080324</v>
      </c>
      <c r="D13184" t="s">
        <v>13131</v>
      </c>
      <c r="E13184" t="s">
        <v>13132</v>
      </c>
      <c r="F13184" t="s">
        <v>0</v>
      </c>
      <c r="G13184" t="str">
        <f>"2018-10-31 19:10:33"</f>
        <v>2018-10-31 19:10:33</v>
      </c>
    </row>
    <row r="13185" spans="1:7" x14ac:dyDescent="0.2">
      <c r="A13185" t="s">
        <v>1</v>
      </c>
      <c r="B13185" t="str">
        <f>"13632941210"</f>
        <v>13632941210</v>
      </c>
      <c r="C13185" t="s">
        <v>1</v>
      </c>
      <c r="D13185" t="s">
        <v>1</v>
      </c>
      <c r="E13185" t="s">
        <v>1</v>
      </c>
      <c r="F13185" t="s">
        <v>0</v>
      </c>
      <c r="G13185" t="str">
        <f>"2018-10-13 12:07:18"</f>
        <v>2018-10-13 12:07:18</v>
      </c>
    </row>
    <row r="13186" spans="1:7" x14ac:dyDescent="0.2">
      <c r="A13186" t="s">
        <v>1162</v>
      </c>
      <c r="B13186" t="str">
        <f>"15213664168"</f>
        <v>15213664168</v>
      </c>
      <c r="C13186" t="str">
        <f>"512322196508030010"</f>
        <v>512322196508030010</v>
      </c>
      <c r="D13186" t="s">
        <v>1</v>
      </c>
      <c r="E13186" t="s">
        <v>1</v>
      </c>
      <c r="F13186" t="s">
        <v>0</v>
      </c>
      <c r="G13186" t="str">
        <f>"2018-10-13 12:08:48"</f>
        <v>2018-10-13 12:08:48</v>
      </c>
    </row>
    <row r="13187" spans="1:7" x14ac:dyDescent="0.2">
      <c r="A13187" t="s">
        <v>1</v>
      </c>
      <c r="B13187" t="str">
        <f>"18666358921"</f>
        <v>18666358921</v>
      </c>
      <c r="C13187" t="s">
        <v>1</v>
      </c>
      <c r="D13187" t="s">
        <v>1</v>
      </c>
      <c r="E13187" t="s">
        <v>1</v>
      </c>
      <c r="F13187" t="s">
        <v>0</v>
      </c>
      <c r="G13187" t="str">
        <f>"2018-10-13 12:07:06"</f>
        <v>2018-10-13 12:07:06</v>
      </c>
    </row>
    <row r="13188" spans="1:7" x14ac:dyDescent="0.2">
      <c r="A13188" t="s">
        <v>13133</v>
      </c>
      <c r="B13188" t="str">
        <f>"18627877876"</f>
        <v>18627877876</v>
      </c>
      <c r="C13188" t="str">
        <f>"420984198310274471"</f>
        <v>420984198310274471</v>
      </c>
      <c r="D13188" t="s">
        <v>1</v>
      </c>
      <c r="E13188" t="s">
        <v>1</v>
      </c>
      <c r="F13188" t="s">
        <v>0</v>
      </c>
      <c r="G13188" t="str">
        <f>"2018-10-13 12:08:13"</f>
        <v>2018-10-13 12:08:13</v>
      </c>
    </row>
    <row r="13189" spans="1:7" x14ac:dyDescent="0.2">
      <c r="A13189" t="s">
        <v>13134</v>
      </c>
      <c r="B13189" t="str">
        <f>"13786585151"</f>
        <v>13786585151</v>
      </c>
      <c r="C13189" t="str">
        <f>"431022199511201673"</f>
        <v>431022199511201673</v>
      </c>
      <c r="D13189" t="s">
        <v>1</v>
      </c>
      <c r="E13189" t="s">
        <v>1</v>
      </c>
      <c r="F13189" t="s">
        <v>0</v>
      </c>
      <c r="G13189" t="str">
        <f>"2018-10-13 12:08:12"</f>
        <v>2018-10-13 12:08:12</v>
      </c>
    </row>
    <row r="13190" spans="1:7" x14ac:dyDescent="0.2">
      <c r="A13190" t="s">
        <v>1</v>
      </c>
      <c r="B13190" t="str">
        <f>"15863489298"</f>
        <v>15863489298</v>
      </c>
      <c r="C13190" t="s">
        <v>1</v>
      </c>
      <c r="D13190" t="s">
        <v>1</v>
      </c>
      <c r="E13190" t="s">
        <v>1</v>
      </c>
      <c r="F13190" t="s">
        <v>0</v>
      </c>
      <c r="G13190" t="str">
        <f>"2018-10-13 14:39:15"</f>
        <v>2018-10-13 14:39:15</v>
      </c>
    </row>
    <row r="13191" spans="1:7" x14ac:dyDescent="0.2">
      <c r="A13191" t="s">
        <v>1</v>
      </c>
      <c r="B13191" t="str">
        <f>"13190455587"</f>
        <v>13190455587</v>
      </c>
      <c r="C13191" t="s">
        <v>1</v>
      </c>
      <c r="D13191" t="s">
        <v>1</v>
      </c>
      <c r="E13191" t="s">
        <v>1</v>
      </c>
      <c r="F13191" t="s">
        <v>0</v>
      </c>
      <c r="G13191" t="str">
        <f>"2018-10-13 12:08:22"</f>
        <v>2018-10-13 12:08:22</v>
      </c>
    </row>
    <row r="13192" spans="1:7" x14ac:dyDescent="0.2">
      <c r="A13192" t="s">
        <v>861</v>
      </c>
      <c r="B13192" t="str">
        <f>"13948225856"</f>
        <v>13948225856</v>
      </c>
      <c r="C13192" t="str">
        <f>"152224197902060511"</f>
        <v>152224197902060511</v>
      </c>
      <c r="D13192" t="s">
        <v>1</v>
      </c>
      <c r="E13192" t="s">
        <v>1</v>
      </c>
      <c r="F13192" t="s">
        <v>0</v>
      </c>
      <c r="G13192" t="str">
        <f>"2018-10-13 12:08:05"</f>
        <v>2018-10-13 12:08:05</v>
      </c>
    </row>
    <row r="13193" spans="1:7" x14ac:dyDescent="0.2">
      <c r="A13193" t="s">
        <v>1</v>
      </c>
      <c r="B13193" t="str">
        <f>"18688626737"</f>
        <v>18688626737</v>
      </c>
      <c r="C13193" t="s">
        <v>1</v>
      </c>
      <c r="D13193" t="s">
        <v>1</v>
      </c>
      <c r="E13193" t="s">
        <v>1</v>
      </c>
      <c r="F13193" t="s">
        <v>0</v>
      </c>
      <c r="G13193" t="str">
        <f>"2018-10-13 12:06:22"</f>
        <v>2018-10-13 12:06:22</v>
      </c>
    </row>
    <row r="13194" spans="1:7" x14ac:dyDescent="0.2">
      <c r="A13194" t="s">
        <v>13135</v>
      </c>
      <c r="B13194" t="str">
        <f>"17372284942"</f>
        <v>17372284942</v>
      </c>
      <c r="C13194" t="str">
        <f>"320124199310181217"</f>
        <v>320124199310181217</v>
      </c>
      <c r="D13194" t="s">
        <v>1</v>
      </c>
      <c r="E13194" t="s">
        <v>1</v>
      </c>
      <c r="F13194" t="s">
        <v>0</v>
      </c>
      <c r="G13194" t="str">
        <f>"2018-10-13 12:07:17"</f>
        <v>2018-10-13 12:07:17</v>
      </c>
    </row>
    <row r="13195" spans="1:7" x14ac:dyDescent="0.2">
      <c r="A13195" t="s">
        <v>273</v>
      </c>
      <c r="B13195" t="str">
        <f>"17787671073"</f>
        <v>17787671073</v>
      </c>
      <c r="C13195" t="str">
        <f>"532626197311070019"</f>
        <v>532626197311070019</v>
      </c>
      <c r="D13195" t="s">
        <v>1</v>
      </c>
      <c r="E13195" t="s">
        <v>1</v>
      </c>
      <c r="F13195" t="s">
        <v>0</v>
      </c>
      <c r="G13195" t="str">
        <f>"2018-10-13 12:07:37"</f>
        <v>2018-10-13 12:07:37</v>
      </c>
    </row>
    <row r="13196" spans="1:7" x14ac:dyDescent="0.2">
      <c r="A13196" t="s">
        <v>13136</v>
      </c>
      <c r="B13196" t="str">
        <f>"15070173895"</f>
        <v>15070173895</v>
      </c>
      <c r="C13196" t="str">
        <f>"36073119860718483X"</f>
        <v>36073119860718483X</v>
      </c>
      <c r="D13196" t="s">
        <v>1</v>
      </c>
      <c r="E13196" t="s">
        <v>1</v>
      </c>
      <c r="F13196" t="s">
        <v>0</v>
      </c>
      <c r="G13196" t="str">
        <f>"2018-10-13 12:07:18"</f>
        <v>2018-10-13 12:07:18</v>
      </c>
    </row>
    <row r="13197" spans="1:7" x14ac:dyDescent="0.2">
      <c r="A13197" t="s">
        <v>13137</v>
      </c>
      <c r="B13197" t="str">
        <f>"15585994188"</f>
        <v>15585994188</v>
      </c>
      <c r="C13197" t="str">
        <f>"522323198701028518"</f>
        <v>522323198701028518</v>
      </c>
      <c r="D13197" t="s">
        <v>13138</v>
      </c>
      <c r="E13197" t="s">
        <v>13139</v>
      </c>
      <c r="F13197" t="s">
        <v>0</v>
      </c>
      <c r="G13197" t="str">
        <f>"2018-10-13 12:06:47"</f>
        <v>2018-10-13 12:06:47</v>
      </c>
    </row>
    <row r="13198" spans="1:7" x14ac:dyDescent="0.2">
      <c r="A13198" t="s">
        <v>1</v>
      </c>
      <c r="B13198" t="str">
        <f>"13078719692"</f>
        <v>13078719692</v>
      </c>
      <c r="C13198" t="s">
        <v>1</v>
      </c>
      <c r="D13198" t="s">
        <v>1</v>
      </c>
      <c r="E13198" t="s">
        <v>1</v>
      </c>
      <c r="F13198" t="s">
        <v>0</v>
      </c>
      <c r="G13198" t="str">
        <f>"2018-10-13 12:05:15"</f>
        <v>2018-10-13 12:05:15</v>
      </c>
    </row>
    <row r="13199" spans="1:7" x14ac:dyDescent="0.2">
      <c r="A13199" t="s">
        <v>13140</v>
      </c>
      <c r="B13199" t="str">
        <f>"13023071122"</f>
        <v>13023071122</v>
      </c>
      <c r="C13199" t="str">
        <f>"340404197812022617"</f>
        <v>340404197812022617</v>
      </c>
      <c r="D13199" t="s">
        <v>1</v>
      </c>
      <c r="E13199" t="s">
        <v>1</v>
      </c>
      <c r="F13199" t="s">
        <v>0</v>
      </c>
      <c r="G13199" t="str">
        <f>"2018-10-13 12:05:07"</f>
        <v>2018-10-13 12:05:07</v>
      </c>
    </row>
    <row r="13200" spans="1:7" x14ac:dyDescent="0.2">
      <c r="A13200" t="s">
        <v>1</v>
      </c>
      <c r="B13200" t="str">
        <f>"15961908858"</f>
        <v>15961908858</v>
      </c>
      <c r="C13200" t="s">
        <v>1</v>
      </c>
      <c r="D13200" t="s">
        <v>1</v>
      </c>
      <c r="E13200" t="s">
        <v>1</v>
      </c>
      <c r="F13200" t="s">
        <v>0</v>
      </c>
      <c r="G13200" t="str">
        <f>"2018-10-13 12:04:59"</f>
        <v>2018-10-13 12:04:59</v>
      </c>
    </row>
    <row r="13201" spans="1:7" x14ac:dyDescent="0.2">
      <c r="A13201" t="s">
        <v>13141</v>
      </c>
      <c r="B13201" t="str">
        <f>"15015778400"</f>
        <v>15015778400</v>
      </c>
      <c r="C13201" t="str">
        <f>"45080319970202753X"</f>
        <v>45080319970202753X</v>
      </c>
      <c r="D13201" t="s">
        <v>1</v>
      </c>
      <c r="E13201" t="s">
        <v>1</v>
      </c>
      <c r="F13201" t="s">
        <v>0</v>
      </c>
      <c r="G13201" t="str">
        <f>"2018-10-13 12:07:11"</f>
        <v>2018-10-13 12:07:11</v>
      </c>
    </row>
    <row r="13202" spans="1:7" x14ac:dyDescent="0.2">
      <c r="A13202" t="s">
        <v>1</v>
      </c>
      <c r="B13202" t="str">
        <f>"13767869505"</f>
        <v>13767869505</v>
      </c>
      <c r="C13202" t="s">
        <v>1</v>
      </c>
      <c r="D13202" t="s">
        <v>1</v>
      </c>
      <c r="E13202" t="s">
        <v>1</v>
      </c>
      <c r="F13202" t="s">
        <v>0</v>
      </c>
      <c r="G13202" t="str">
        <f>"2018-10-13 12:04:38"</f>
        <v>2018-10-13 12:04:38</v>
      </c>
    </row>
    <row r="13203" spans="1:7" x14ac:dyDescent="0.2">
      <c r="A13203" t="s">
        <v>13142</v>
      </c>
      <c r="B13203" t="str">
        <f>"13999988198"</f>
        <v>13999988198</v>
      </c>
      <c r="C13203" t="str">
        <f>"650104197311221630"</f>
        <v>650104197311221630</v>
      </c>
      <c r="D13203" t="s">
        <v>1</v>
      </c>
      <c r="E13203" t="s">
        <v>1</v>
      </c>
      <c r="F13203" t="s">
        <v>0</v>
      </c>
      <c r="G13203" t="str">
        <f>"2018-10-13 12:08:32"</f>
        <v>2018-10-13 12:08:32</v>
      </c>
    </row>
    <row r="13204" spans="1:7" x14ac:dyDescent="0.2">
      <c r="A13204" t="s">
        <v>13143</v>
      </c>
      <c r="B13204" t="str">
        <f>"13738941595"</f>
        <v>13738941595</v>
      </c>
      <c r="C13204" t="str">
        <f>"330721198903284415"</f>
        <v>330721198903284415</v>
      </c>
      <c r="D13204" t="s">
        <v>1</v>
      </c>
      <c r="E13204" t="s">
        <v>1</v>
      </c>
      <c r="F13204" t="s">
        <v>0</v>
      </c>
      <c r="G13204" t="str">
        <f>"2018-10-13 14:26:59"</f>
        <v>2018-10-13 14:26:59</v>
      </c>
    </row>
    <row r="13205" spans="1:7" x14ac:dyDescent="0.2">
      <c r="A13205" t="s">
        <v>13144</v>
      </c>
      <c r="B13205" t="str">
        <f>"13789207118"</f>
        <v>13789207118</v>
      </c>
      <c r="C13205" t="str">
        <f>"432930197302090058"</f>
        <v>432930197302090058</v>
      </c>
      <c r="D13205" t="s">
        <v>13145</v>
      </c>
      <c r="E13205" t="s">
        <v>13146</v>
      </c>
      <c r="F13205" t="s">
        <v>0</v>
      </c>
      <c r="G13205" t="str">
        <f>"2018-10-13 12:08:47"</f>
        <v>2018-10-13 12:08:47</v>
      </c>
    </row>
    <row r="13206" spans="1:7" x14ac:dyDescent="0.2">
      <c r="A13206" t="s">
        <v>13147</v>
      </c>
      <c r="B13206" t="str">
        <f>"17707223371"</f>
        <v>17707223371</v>
      </c>
      <c r="C13206" t="str">
        <f>"420983199008309555"</f>
        <v>420983199008309555</v>
      </c>
      <c r="D13206" t="s">
        <v>1</v>
      </c>
      <c r="E13206" t="s">
        <v>1</v>
      </c>
      <c r="F13206" t="s">
        <v>0</v>
      </c>
      <c r="G13206" t="str">
        <f>"2018-10-13 12:05:39"</f>
        <v>2018-10-13 12:05:39</v>
      </c>
    </row>
    <row r="13207" spans="1:7" x14ac:dyDescent="0.2">
      <c r="A13207" t="s">
        <v>1</v>
      </c>
      <c r="B13207" t="str">
        <f>"13568744859"</f>
        <v>13568744859</v>
      </c>
      <c r="C13207" t="s">
        <v>1</v>
      </c>
      <c r="D13207" t="s">
        <v>1</v>
      </c>
      <c r="E13207" t="s">
        <v>1</v>
      </c>
      <c r="F13207" t="s">
        <v>0</v>
      </c>
      <c r="G13207" t="str">
        <f>"2018-10-14 02:16:51"</f>
        <v>2018-10-14 02:16:51</v>
      </c>
    </row>
    <row r="13208" spans="1:7" x14ac:dyDescent="0.2">
      <c r="A13208" t="s">
        <v>13148</v>
      </c>
      <c r="B13208" t="str">
        <f>"13599183130"</f>
        <v>13599183130</v>
      </c>
      <c r="C13208" t="str">
        <f>"352225198910055032"</f>
        <v>352225198910055032</v>
      </c>
      <c r="D13208" t="s">
        <v>1</v>
      </c>
      <c r="E13208" t="s">
        <v>1</v>
      </c>
      <c r="F13208" t="s">
        <v>0</v>
      </c>
      <c r="G13208" t="str">
        <f>"2018-10-13 12:08:51"</f>
        <v>2018-10-13 12:08:51</v>
      </c>
    </row>
    <row r="13209" spans="1:7" x14ac:dyDescent="0.2">
      <c r="A13209" t="s">
        <v>1</v>
      </c>
      <c r="B13209" t="str">
        <f>"17156996424"</f>
        <v>17156996424</v>
      </c>
      <c r="C13209" t="s">
        <v>1</v>
      </c>
      <c r="D13209" t="s">
        <v>1</v>
      </c>
      <c r="E13209" t="s">
        <v>1</v>
      </c>
      <c r="F13209" t="s">
        <v>0</v>
      </c>
      <c r="G13209" t="str">
        <f>"2018-10-13 12:03:12"</f>
        <v>2018-10-13 12:03:12</v>
      </c>
    </row>
    <row r="13210" spans="1:7" x14ac:dyDescent="0.2">
      <c r="A13210" t="s">
        <v>13149</v>
      </c>
      <c r="B13210" t="str">
        <f>"17623785706"</f>
        <v>17623785706</v>
      </c>
      <c r="C13210" t="str">
        <f>"500102199608152334"</f>
        <v>500102199608152334</v>
      </c>
      <c r="D13210" t="s">
        <v>1</v>
      </c>
      <c r="E13210" t="s">
        <v>1</v>
      </c>
      <c r="F13210" t="s">
        <v>0</v>
      </c>
      <c r="G13210" t="str">
        <f>"2018-10-13 12:43:51"</f>
        <v>2018-10-13 12:43:51</v>
      </c>
    </row>
    <row r="13211" spans="1:7" x14ac:dyDescent="0.2">
      <c r="A13211" t="s">
        <v>13150</v>
      </c>
      <c r="B13211" t="str">
        <f>"18783282582"</f>
        <v>18783282582</v>
      </c>
      <c r="C13211" t="str">
        <f>"511011199006137835"</f>
        <v>511011199006137835</v>
      </c>
      <c r="D13211" t="s">
        <v>13151</v>
      </c>
      <c r="E13211" t="s">
        <v>13152</v>
      </c>
      <c r="F13211" t="s">
        <v>0</v>
      </c>
      <c r="G13211" t="str">
        <f>"2018-10-13 12:45:39"</f>
        <v>2018-10-13 12:45:39</v>
      </c>
    </row>
    <row r="13212" spans="1:7" x14ac:dyDescent="0.2">
      <c r="A13212" t="s">
        <v>13153</v>
      </c>
      <c r="B13212" t="str">
        <f>"15240620130"</f>
        <v>15240620130</v>
      </c>
      <c r="C13212" t="str">
        <f>"450923199112060293"</f>
        <v>450923199112060293</v>
      </c>
      <c r="D13212" t="s">
        <v>1</v>
      </c>
      <c r="E13212" t="s">
        <v>1</v>
      </c>
      <c r="F13212" t="s">
        <v>0</v>
      </c>
      <c r="G13212" t="str">
        <f>"2018-10-13 12:04:04"</f>
        <v>2018-10-13 12:04:04</v>
      </c>
    </row>
    <row r="13213" spans="1:7" x14ac:dyDescent="0.2">
      <c r="A13213" t="s">
        <v>1</v>
      </c>
      <c r="B13213" t="str">
        <f>"18688895813"</f>
        <v>18688895813</v>
      </c>
      <c r="C13213" t="s">
        <v>1</v>
      </c>
      <c r="D13213" t="s">
        <v>1</v>
      </c>
      <c r="E13213" t="s">
        <v>1</v>
      </c>
      <c r="F13213" t="s">
        <v>0</v>
      </c>
      <c r="G13213" t="str">
        <f>"2018-10-13 12:03:53"</f>
        <v>2018-10-13 12:03:53</v>
      </c>
    </row>
    <row r="13214" spans="1:7" x14ac:dyDescent="0.2">
      <c r="A13214" t="s">
        <v>13154</v>
      </c>
      <c r="B13214" t="str">
        <f>"17670398305"</f>
        <v>17670398305</v>
      </c>
      <c r="C13214" t="str">
        <f>"430921199304103511"</f>
        <v>430921199304103511</v>
      </c>
      <c r="D13214" t="s">
        <v>1</v>
      </c>
      <c r="E13214" t="s">
        <v>1</v>
      </c>
      <c r="F13214" t="s">
        <v>0</v>
      </c>
      <c r="G13214" t="str">
        <f>"2018-10-13 12:05:11"</f>
        <v>2018-10-13 12:05:11</v>
      </c>
    </row>
    <row r="13215" spans="1:7" x14ac:dyDescent="0.2">
      <c r="A13215" t="s">
        <v>13155</v>
      </c>
      <c r="B13215" t="str">
        <f>"13115118825"</f>
        <v>13115118825</v>
      </c>
      <c r="C13215" t="str">
        <f>"420324199511265016"</f>
        <v>420324199511265016</v>
      </c>
      <c r="D13215" t="s">
        <v>1</v>
      </c>
      <c r="E13215" t="s">
        <v>1</v>
      </c>
      <c r="F13215" t="s">
        <v>0</v>
      </c>
      <c r="G13215" t="str">
        <f>"2018-10-13 12:06:53"</f>
        <v>2018-10-13 12:06:53</v>
      </c>
    </row>
    <row r="13216" spans="1:7" x14ac:dyDescent="0.2">
      <c r="A13216" t="s">
        <v>13156</v>
      </c>
      <c r="B13216" t="str">
        <f>"18134445035"</f>
        <v>18134445035</v>
      </c>
      <c r="C13216" t="str">
        <f>"410527199512230016"</f>
        <v>410527199512230016</v>
      </c>
      <c r="D13216" t="s">
        <v>1</v>
      </c>
      <c r="E13216" t="s">
        <v>1</v>
      </c>
      <c r="F13216" t="s">
        <v>0</v>
      </c>
      <c r="G13216" t="str">
        <f>"2018-10-25 10:21:51"</f>
        <v>2018-10-25 10:21:51</v>
      </c>
    </row>
    <row r="13217" spans="1:7" x14ac:dyDescent="0.2">
      <c r="A13217" t="s">
        <v>1</v>
      </c>
      <c r="B13217" t="str">
        <f>"15193732989"</f>
        <v>15193732989</v>
      </c>
      <c r="C13217" t="s">
        <v>1</v>
      </c>
      <c r="D13217" t="s">
        <v>1</v>
      </c>
      <c r="E13217" t="s">
        <v>1</v>
      </c>
      <c r="F13217" t="s">
        <v>0</v>
      </c>
      <c r="G13217" t="str">
        <f>"2018-10-13 12:03:45"</f>
        <v>2018-10-13 12:03:45</v>
      </c>
    </row>
    <row r="13218" spans="1:7" x14ac:dyDescent="0.2">
      <c r="A13218" t="s">
        <v>13157</v>
      </c>
      <c r="B13218" t="str">
        <f>"13884926688"</f>
        <v>13884926688</v>
      </c>
      <c r="C13218" t="str">
        <f>"372402197608177210"</f>
        <v>372402197608177210</v>
      </c>
      <c r="D13218" t="s">
        <v>1</v>
      </c>
      <c r="E13218" t="s">
        <v>1</v>
      </c>
      <c r="F13218" t="s">
        <v>0</v>
      </c>
      <c r="G13218" t="str">
        <f>"2018-10-13 12:04:02"</f>
        <v>2018-10-13 12:04:02</v>
      </c>
    </row>
    <row r="13219" spans="1:7" x14ac:dyDescent="0.2">
      <c r="A13219" t="s">
        <v>13158</v>
      </c>
      <c r="B13219" t="str">
        <f>"13998583053"</f>
        <v>13998583053</v>
      </c>
      <c r="C13219" t="str">
        <f>"210111198003050020"</f>
        <v>210111198003050020</v>
      </c>
      <c r="D13219" t="s">
        <v>1</v>
      </c>
      <c r="E13219" t="s">
        <v>1</v>
      </c>
      <c r="F13219" t="s">
        <v>0</v>
      </c>
      <c r="G13219" t="str">
        <f>"2018-10-13 12:06:29"</f>
        <v>2018-10-13 12:06:29</v>
      </c>
    </row>
    <row r="13220" spans="1:7" x14ac:dyDescent="0.2">
      <c r="A13220" t="s">
        <v>1</v>
      </c>
      <c r="B13220" t="str">
        <f>"17671172723"</f>
        <v>17671172723</v>
      </c>
      <c r="C13220" t="s">
        <v>1</v>
      </c>
      <c r="D13220" t="s">
        <v>1</v>
      </c>
      <c r="E13220" t="s">
        <v>1</v>
      </c>
      <c r="F13220" t="s">
        <v>0</v>
      </c>
      <c r="G13220" t="str">
        <f>"2018-10-13 12:02:12"</f>
        <v>2018-10-13 12:02:12</v>
      </c>
    </row>
    <row r="13221" spans="1:7" x14ac:dyDescent="0.2">
      <c r="A13221" t="s">
        <v>13159</v>
      </c>
      <c r="B13221" t="str">
        <f>"15969232564"</f>
        <v>15969232564</v>
      </c>
      <c r="C13221" t="str">
        <f>"533124197810300019"</f>
        <v>533124197810300019</v>
      </c>
      <c r="D13221" t="s">
        <v>1</v>
      </c>
      <c r="E13221" t="s">
        <v>1</v>
      </c>
      <c r="F13221" t="s">
        <v>0</v>
      </c>
      <c r="G13221" t="str">
        <f>"2018-10-16 10:32:35"</f>
        <v>2018-10-16 10:32:35</v>
      </c>
    </row>
    <row r="13222" spans="1:7" x14ac:dyDescent="0.2">
      <c r="A13222" t="s">
        <v>1</v>
      </c>
      <c r="B13222" t="str">
        <f>"18767193846"</f>
        <v>18767193846</v>
      </c>
      <c r="C13222" t="s">
        <v>1</v>
      </c>
      <c r="D13222" t="s">
        <v>1</v>
      </c>
      <c r="E13222" t="s">
        <v>1</v>
      </c>
      <c r="F13222" t="s">
        <v>0</v>
      </c>
      <c r="G13222" t="str">
        <f>"2018-10-13 12:01:56"</f>
        <v>2018-10-13 12:01:56</v>
      </c>
    </row>
    <row r="13223" spans="1:7" x14ac:dyDescent="0.2">
      <c r="A13223" t="s">
        <v>13160</v>
      </c>
      <c r="B13223" t="str">
        <f>"18687163796"</f>
        <v>18687163796</v>
      </c>
      <c r="C13223" t="str">
        <f>"530103198603261213"</f>
        <v>530103198603261213</v>
      </c>
      <c r="D13223" t="s">
        <v>13161</v>
      </c>
      <c r="E13223" t="s">
        <v>13162</v>
      </c>
      <c r="F13223" t="s">
        <v>0</v>
      </c>
      <c r="G13223" t="str">
        <f>"2018-10-13 12:06:54"</f>
        <v>2018-10-13 12:06:54</v>
      </c>
    </row>
    <row r="13224" spans="1:7" x14ac:dyDescent="0.2">
      <c r="A13224" t="s">
        <v>1</v>
      </c>
      <c r="B13224" t="str">
        <f>"17585115203"</f>
        <v>17585115203</v>
      </c>
      <c r="C13224" t="s">
        <v>1</v>
      </c>
      <c r="D13224" t="s">
        <v>1</v>
      </c>
      <c r="E13224" t="s">
        <v>1</v>
      </c>
      <c r="F13224" t="s">
        <v>0</v>
      </c>
      <c r="G13224" t="str">
        <f>"2018-10-13 12:01:33"</f>
        <v>2018-10-13 12:01:33</v>
      </c>
    </row>
    <row r="13225" spans="1:7" x14ac:dyDescent="0.2">
      <c r="A13225" t="s">
        <v>13163</v>
      </c>
      <c r="B13225" t="str">
        <f>"15340667485"</f>
        <v>15340667485</v>
      </c>
      <c r="C13225" t="str">
        <f>"140109198801266213"</f>
        <v>140109198801266213</v>
      </c>
      <c r="D13225" t="s">
        <v>1</v>
      </c>
      <c r="E13225" t="s">
        <v>1</v>
      </c>
      <c r="F13225" t="s">
        <v>0</v>
      </c>
      <c r="G13225" t="str">
        <f>"2018-10-13 12:06:05"</f>
        <v>2018-10-13 12:06:05</v>
      </c>
    </row>
    <row r="13226" spans="1:7" x14ac:dyDescent="0.2">
      <c r="A13226" t="s">
        <v>13164</v>
      </c>
      <c r="B13226" t="str">
        <f>"18700957654"</f>
        <v>18700957654</v>
      </c>
      <c r="C13226" t="str">
        <f>"610123198410032057"</f>
        <v>610123198410032057</v>
      </c>
      <c r="D13226" t="s">
        <v>1</v>
      </c>
      <c r="E13226" t="s">
        <v>1</v>
      </c>
      <c r="F13226" t="s">
        <v>0</v>
      </c>
      <c r="G13226" t="str">
        <f>"2018-10-13 12:02:37"</f>
        <v>2018-10-13 12:02:37</v>
      </c>
    </row>
    <row r="13227" spans="1:7" x14ac:dyDescent="0.2">
      <c r="A13227" t="s">
        <v>1</v>
      </c>
      <c r="B13227" t="str">
        <f>"18788450772"</f>
        <v>18788450772</v>
      </c>
      <c r="C13227" t="s">
        <v>1</v>
      </c>
      <c r="D13227" t="s">
        <v>1</v>
      </c>
      <c r="E13227" t="s">
        <v>1</v>
      </c>
      <c r="F13227" t="s">
        <v>0</v>
      </c>
      <c r="G13227" t="str">
        <f>"2018-10-13 12:16:11"</f>
        <v>2018-10-13 12:16:11</v>
      </c>
    </row>
    <row r="13228" spans="1:7" x14ac:dyDescent="0.2">
      <c r="A13228" t="s">
        <v>13165</v>
      </c>
      <c r="B13228" t="str">
        <f>"18183678735"</f>
        <v>18183678735</v>
      </c>
      <c r="C13228" t="str">
        <f>"513101197602014810"</f>
        <v>513101197602014810</v>
      </c>
      <c r="D13228" t="s">
        <v>1</v>
      </c>
      <c r="E13228" t="s">
        <v>1</v>
      </c>
      <c r="F13228" t="s">
        <v>0</v>
      </c>
      <c r="G13228" t="str">
        <f>"2018-10-13 12:02:52"</f>
        <v>2018-10-13 12:02:52</v>
      </c>
    </row>
    <row r="13229" spans="1:7" x14ac:dyDescent="0.2">
      <c r="A13229" t="s">
        <v>13166</v>
      </c>
      <c r="B13229" t="str">
        <f>"13584487368"</f>
        <v>13584487368</v>
      </c>
      <c r="C13229" t="str">
        <f>"342501199408181795"</f>
        <v>342501199408181795</v>
      </c>
      <c r="D13229" t="s">
        <v>13167</v>
      </c>
      <c r="E13229" t="s">
        <v>13168</v>
      </c>
      <c r="F13229" t="s">
        <v>0</v>
      </c>
      <c r="G13229" t="str">
        <f>"2018-10-13 12:02:45"</f>
        <v>2018-10-13 12:02:45</v>
      </c>
    </row>
    <row r="13230" spans="1:7" x14ac:dyDescent="0.2">
      <c r="A13230" t="s">
        <v>13169</v>
      </c>
      <c r="B13230" t="str">
        <f>"13435071571"</f>
        <v>13435071571</v>
      </c>
      <c r="C13230" t="str">
        <f>"440203198907101810"</f>
        <v>440203198907101810</v>
      </c>
      <c r="D13230" t="s">
        <v>1</v>
      </c>
      <c r="E13230" t="s">
        <v>1</v>
      </c>
      <c r="F13230" t="s">
        <v>0</v>
      </c>
      <c r="G13230" t="str">
        <f>"2018-10-13 12:02:14"</f>
        <v>2018-10-13 12:02:14</v>
      </c>
    </row>
    <row r="13231" spans="1:7" x14ac:dyDescent="0.2">
      <c r="A13231" t="s">
        <v>1</v>
      </c>
      <c r="B13231" t="str">
        <f>"15750294078"</f>
        <v>15750294078</v>
      </c>
      <c r="C13231" t="s">
        <v>1</v>
      </c>
      <c r="D13231" t="s">
        <v>1</v>
      </c>
      <c r="E13231" t="s">
        <v>1</v>
      </c>
      <c r="F13231" t="s">
        <v>0</v>
      </c>
      <c r="G13231" t="str">
        <f>"2018-10-13 12:00:25"</f>
        <v>2018-10-13 12:00:25</v>
      </c>
    </row>
    <row r="13232" spans="1:7" x14ac:dyDescent="0.2">
      <c r="A13232" t="s">
        <v>1</v>
      </c>
      <c r="B13232" t="str">
        <f>"13585965832"</f>
        <v>13585965832</v>
      </c>
      <c r="C13232" t="s">
        <v>1</v>
      </c>
      <c r="D13232" t="s">
        <v>1</v>
      </c>
      <c r="E13232" t="s">
        <v>1</v>
      </c>
      <c r="F13232" t="s">
        <v>0</v>
      </c>
      <c r="G13232" t="str">
        <f>"2018-10-13 12:03:12"</f>
        <v>2018-10-13 12:03:12</v>
      </c>
    </row>
    <row r="13233" spans="1:7" x14ac:dyDescent="0.2">
      <c r="A13233" t="s">
        <v>1</v>
      </c>
      <c r="B13233" t="str">
        <f>"13844243537"</f>
        <v>13844243537</v>
      </c>
      <c r="C13233" t="s">
        <v>1</v>
      </c>
      <c r="D13233" t="s">
        <v>1</v>
      </c>
      <c r="E13233" t="s">
        <v>1</v>
      </c>
      <c r="F13233" t="s">
        <v>0</v>
      </c>
      <c r="G13233" t="str">
        <f>"2018-10-13 12:01:05"</f>
        <v>2018-10-13 12:01:05</v>
      </c>
    </row>
    <row r="13234" spans="1:7" x14ac:dyDescent="0.2">
      <c r="A13234" t="s">
        <v>1</v>
      </c>
      <c r="B13234" t="str">
        <f>"13542870759"</f>
        <v>13542870759</v>
      </c>
      <c r="C13234" t="s">
        <v>1</v>
      </c>
      <c r="D13234" t="s">
        <v>1</v>
      </c>
      <c r="E13234" t="s">
        <v>1</v>
      </c>
      <c r="F13234" t="s">
        <v>0</v>
      </c>
      <c r="G13234" t="str">
        <f>"2018-10-13 11:59:37"</f>
        <v>2018-10-13 11:59:37</v>
      </c>
    </row>
    <row r="13235" spans="1:7" x14ac:dyDescent="0.2">
      <c r="A13235" t="s">
        <v>13170</v>
      </c>
      <c r="B13235" t="str">
        <f>"13265816751"</f>
        <v>13265816751</v>
      </c>
      <c r="C13235" t="str">
        <f>"421222199005132811"</f>
        <v>421222199005132811</v>
      </c>
      <c r="D13235" t="s">
        <v>1</v>
      </c>
      <c r="E13235" t="s">
        <v>1</v>
      </c>
      <c r="F13235" t="s">
        <v>0</v>
      </c>
      <c r="G13235" t="str">
        <f>"2018-10-14 12:06:06"</f>
        <v>2018-10-14 12:06:06</v>
      </c>
    </row>
    <row r="13236" spans="1:7" x14ac:dyDescent="0.2">
      <c r="A13236" t="s">
        <v>1</v>
      </c>
      <c r="B13236" t="str">
        <f>"13123851332"</f>
        <v>13123851332</v>
      </c>
      <c r="C13236" t="s">
        <v>1</v>
      </c>
      <c r="D13236" t="s">
        <v>1</v>
      </c>
      <c r="E13236" t="s">
        <v>1</v>
      </c>
      <c r="F13236" t="s">
        <v>0</v>
      </c>
      <c r="G13236" t="str">
        <f>"2018-10-13 11:59:10"</f>
        <v>2018-10-13 11:59:10</v>
      </c>
    </row>
    <row r="13237" spans="1:7" x14ac:dyDescent="0.2">
      <c r="A13237" t="s">
        <v>1</v>
      </c>
      <c r="B13237" t="str">
        <f>"15947009802"</f>
        <v>15947009802</v>
      </c>
      <c r="C13237" t="s">
        <v>1</v>
      </c>
      <c r="D13237" t="s">
        <v>1</v>
      </c>
      <c r="E13237" t="s">
        <v>1</v>
      </c>
      <c r="F13237" t="s">
        <v>0</v>
      </c>
      <c r="G13237" t="str">
        <f>"2018-10-13 11:58:59"</f>
        <v>2018-10-13 11:58:59</v>
      </c>
    </row>
    <row r="13238" spans="1:7" x14ac:dyDescent="0.2">
      <c r="A13238" t="s">
        <v>1</v>
      </c>
      <c r="B13238" t="str">
        <f>"13626092033"</f>
        <v>13626092033</v>
      </c>
      <c r="C13238" t="s">
        <v>1</v>
      </c>
      <c r="D13238" t="s">
        <v>1</v>
      </c>
      <c r="E13238" t="s">
        <v>1</v>
      </c>
      <c r="F13238" t="s">
        <v>0</v>
      </c>
      <c r="G13238" t="str">
        <f>"2018-10-13 12:00:53"</f>
        <v>2018-10-13 12:00:53</v>
      </c>
    </row>
    <row r="13239" spans="1:7" x14ac:dyDescent="0.2">
      <c r="A13239" t="s">
        <v>13171</v>
      </c>
      <c r="B13239" t="str">
        <f>"18911606070"</f>
        <v>18911606070</v>
      </c>
      <c r="C13239" t="str">
        <f>"430423198011096216"</f>
        <v>430423198011096216</v>
      </c>
      <c r="D13239" t="s">
        <v>1</v>
      </c>
      <c r="E13239" t="s">
        <v>1</v>
      </c>
      <c r="F13239" t="s">
        <v>0</v>
      </c>
      <c r="G13239" t="str">
        <f>"2018-10-13 12:00:05"</f>
        <v>2018-10-13 12:00:05</v>
      </c>
    </row>
    <row r="13240" spans="1:7" x14ac:dyDescent="0.2">
      <c r="A13240" t="s">
        <v>1</v>
      </c>
      <c r="B13240" t="str">
        <f>"15509915665"</f>
        <v>15509915665</v>
      </c>
      <c r="C13240" t="s">
        <v>1</v>
      </c>
      <c r="D13240" t="s">
        <v>1</v>
      </c>
      <c r="E13240" t="s">
        <v>1</v>
      </c>
      <c r="F13240" t="s">
        <v>0</v>
      </c>
      <c r="G13240" t="str">
        <f>"2018-10-13 12:00:10"</f>
        <v>2018-10-13 12:00:10</v>
      </c>
    </row>
    <row r="13241" spans="1:7" x14ac:dyDescent="0.2">
      <c r="A13241" t="s">
        <v>1</v>
      </c>
      <c r="B13241" t="str">
        <f>"13215648000"</f>
        <v>13215648000</v>
      </c>
      <c r="C13241" t="s">
        <v>1</v>
      </c>
      <c r="D13241" t="s">
        <v>1</v>
      </c>
      <c r="E13241" t="s">
        <v>1</v>
      </c>
      <c r="F13241" t="s">
        <v>0</v>
      </c>
      <c r="G13241" t="str">
        <f>"2018-10-13 11:58:37"</f>
        <v>2018-10-13 11:58:37</v>
      </c>
    </row>
    <row r="13242" spans="1:7" x14ac:dyDescent="0.2">
      <c r="A13242" t="s">
        <v>13172</v>
      </c>
      <c r="B13242" t="str">
        <f>"17641053246"</f>
        <v>17641053246</v>
      </c>
      <c r="C13242" t="str">
        <f>"21128219840831601X"</f>
        <v>21128219840831601X</v>
      </c>
      <c r="D13242" t="s">
        <v>1</v>
      </c>
      <c r="E13242" t="s">
        <v>1</v>
      </c>
      <c r="F13242" t="s">
        <v>0</v>
      </c>
      <c r="G13242" t="str">
        <f>"2018-10-13 12:01:45"</f>
        <v>2018-10-13 12:01:45</v>
      </c>
    </row>
    <row r="13243" spans="1:7" x14ac:dyDescent="0.2">
      <c r="A13243" t="s">
        <v>1</v>
      </c>
      <c r="B13243" t="str">
        <f>"13417993227"</f>
        <v>13417993227</v>
      </c>
      <c r="C13243" t="s">
        <v>1</v>
      </c>
      <c r="D13243" t="s">
        <v>1</v>
      </c>
      <c r="E13243" t="s">
        <v>1</v>
      </c>
      <c r="F13243" t="s">
        <v>0</v>
      </c>
      <c r="G13243" t="str">
        <f>"2018-10-13 11:57:51"</f>
        <v>2018-10-13 11:57:51</v>
      </c>
    </row>
    <row r="13244" spans="1:7" x14ac:dyDescent="0.2">
      <c r="A13244" t="s">
        <v>577</v>
      </c>
      <c r="B13244" t="str">
        <f>"15922988966"</f>
        <v>15922988966</v>
      </c>
      <c r="C13244" t="str">
        <f>"500113198802189418"</f>
        <v>500113198802189418</v>
      </c>
      <c r="D13244" t="s">
        <v>13173</v>
      </c>
      <c r="E13244" t="s">
        <v>13174</v>
      </c>
      <c r="F13244" t="s">
        <v>0</v>
      </c>
      <c r="G13244" t="str">
        <f>"2018-10-13 12:05:37"</f>
        <v>2018-10-13 12:05:37</v>
      </c>
    </row>
    <row r="13245" spans="1:7" x14ac:dyDescent="0.2">
      <c r="A13245" t="s">
        <v>13175</v>
      </c>
      <c r="B13245" t="str">
        <f>"13935837278"</f>
        <v>13935837278</v>
      </c>
      <c r="C13245" t="str">
        <f>"14232619971219301X"</f>
        <v>14232619971219301X</v>
      </c>
      <c r="D13245" t="s">
        <v>1</v>
      </c>
      <c r="E13245" t="s">
        <v>1</v>
      </c>
      <c r="F13245" t="s">
        <v>0</v>
      </c>
      <c r="G13245" t="str">
        <f>"2018-10-13 11:59:22"</f>
        <v>2018-10-13 11:59:22</v>
      </c>
    </row>
    <row r="13246" spans="1:7" x14ac:dyDescent="0.2">
      <c r="A13246" t="s">
        <v>13176</v>
      </c>
      <c r="B13246" t="str">
        <f>"13833711686"</f>
        <v>13833711686</v>
      </c>
      <c r="C13246" t="str">
        <f>"130929198604012254"</f>
        <v>130929198604012254</v>
      </c>
      <c r="D13246" t="s">
        <v>1</v>
      </c>
      <c r="E13246" t="s">
        <v>1</v>
      </c>
      <c r="F13246" t="s">
        <v>0</v>
      </c>
      <c r="G13246" t="str">
        <f>"2018-10-13 11:56:53"</f>
        <v>2018-10-13 11:56:53</v>
      </c>
    </row>
    <row r="13247" spans="1:7" x14ac:dyDescent="0.2">
      <c r="A13247" t="s">
        <v>1</v>
      </c>
      <c r="B13247" t="str">
        <f>"13588967976"</f>
        <v>13588967976</v>
      </c>
      <c r="C13247" t="s">
        <v>1</v>
      </c>
      <c r="D13247" t="s">
        <v>1</v>
      </c>
      <c r="E13247" t="s">
        <v>1</v>
      </c>
      <c r="F13247" t="s">
        <v>0</v>
      </c>
      <c r="G13247" t="str">
        <f>"2018-10-13 11:55:51"</f>
        <v>2018-10-13 11:55:51</v>
      </c>
    </row>
    <row r="13248" spans="1:7" x14ac:dyDescent="0.2">
      <c r="A13248" t="s">
        <v>13177</v>
      </c>
      <c r="B13248" t="str">
        <f>"13853940696"</f>
        <v>13853940696</v>
      </c>
      <c r="C13248" t="str">
        <f>"371324199301131518"</f>
        <v>371324199301131518</v>
      </c>
      <c r="D13248" t="s">
        <v>1</v>
      </c>
      <c r="E13248" t="s">
        <v>1</v>
      </c>
      <c r="F13248" t="s">
        <v>0</v>
      </c>
      <c r="G13248" t="str">
        <f>"2018-10-13 11:57:52"</f>
        <v>2018-10-13 11:57:52</v>
      </c>
    </row>
    <row r="13249" spans="1:7" x14ac:dyDescent="0.2">
      <c r="A13249" t="s">
        <v>326</v>
      </c>
      <c r="B13249" t="str">
        <f>"15759969843"</f>
        <v>15759969843</v>
      </c>
      <c r="C13249" t="str">
        <f>"350725199110261540"</f>
        <v>350725199110261540</v>
      </c>
      <c r="D13249" t="s">
        <v>1</v>
      </c>
      <c r="E13249" t="s">
        <v>1</v>
      </c>
      <c r="F13249" t="s">
        <v>0</v>
      </c>
      <c r="G13249" t="str">
        <f>"2018-10-14 12:04:04"</f>
        <v>2018-10-14 12:04:04</v>
      </c>
    </row>
    <row r="13250" spans="1:7" x14ac:dyDescent="0.2">
      <c r="A13250" t="s">
        <v>1</v>
      </c>
      <c r="B13250" t="str">
        <f>"18818503484"</f>
        <v>18818503484</v>
      </c>
      <c r="C13250" t="s">
        <v>1</v>
      </c>
      <c r="D13250" t="s">
        <v>1</v>
      </c>
      <c r="E13250" t="s">
        <v>1</v>
      </c>
      <c r="F13250" t="s">
        <v>0</v>
      </c>
      <c r="G13250" t="str">
        <f>"2018-10-13 11:55:12"</f>
        <v>2018-10-13 11:55:12</v>
      </c>
    </row>
    <row r="13251" spans="1:7" x14ac:dyDescent="0.2">
      <c r="A13251" t="s">
        <v>1</v>
      </c>
      <c r="B13251" t="str">
        <f>"15990670549"</f>
        <v>15990670549</v>
      </c>
      <c r="C13251" t="s">
        <v>1</v>
      </c>
      <c r="D13251" t="s">
        <v>1</v>
      </c>
      <c r="E13251" t="s">
        <v>1</v>
      </c>
      <c r="F13251" t="s">
        <v>0</v>
      </c>
      <c r="G13251" t="str">
        <f>"2018-10-13 11:56:18"</f>
        <v>2018-10-13 11:56:18</v>
      </c>
    </row>
    <row r="13252" spans="1:7" x14ac:dyDescent="0.2">
      <c r="A13252" t="s">
        <v>1</v>
      </c>
      <c r="B13252" t="str">
        <f>"18207732666"</f>
        <v>18207732666</v>
      </c>
      <c r="C13252" t="s">
        <v>1</v>
      </c>
      <c r="D13252" t="s">
        <v>1</v>
      </c>
      <c r="E13252" t="s">
        <v>1</v>
      </c>
      <c r="F13252" t="s">
        <v>0</v>
      </c>
      <c r="G13252" t="str">
        <f>"2018-10-13 11:54:42"</f>
        <v>2018-10-13 11:54:42</v>
      </c>
    </row>
    <row r="13253" spans="1:7" x14ac:dyDescent="0.2">
      <c r="A13253" t="s">
        <v>13178</v>
      </c>
      <c r="B13253" t="str">
        <f>"15148999561"</f>
        <v>15148999561</v>
      </c>
      <c r="C13253" t="str">
        <f>"15263419861006451X"</f>
        <v>15263419861006451X</v>
      </c>
      <c r="D13253" t="s">
        <v>1</v>
      </c>
      <c r="E13253" t="s">
        <v>1</v>
      </c>
      <c r="F13253" t="s">
        <v>0</v>
      </c>
      <c r="G13253" t="str">
        <f>"2018-10-13 12:02:35"</f>
        <v>2018-10-13 12:02:35</v>
      </c>
    </row>
    <row r="13254" spans="1:7" x14ac:dyDescent="0.2">
      <c r="A13254" t="s">
        <v>13179</v>
      </c>
      <c r="B13254" t="str">
        <f>"15353050619"</f>
        <v>15353050619</v>
      </c>
      <c r="C13254" t="str">
        <f>"610324196402240014"</f>
        <v>610324196402240014</v>
      </c>
      <c r="D13254" t="s">
        <v>1</v>
      </c>
      <c r="E13254" t="s">
        <v>1</v>
      </c>
      <c r="F13254" t="s">
        <v>0</v>
      </c>
      <c r="G13254" t="str">
        <f>"2018-10-13 11:56:20"</f>
        <v>2018-10-13 11:56:20</v>
      </c>
    </row>
    <row r="13255" spans="1:7" x14ac:dyDescent="0.2">
      <c r="A13255" t="s">
        <v>1</v>
      </c>
      <c r="B13255" t="str">
        <f>"13567801574"</f>
        <v>13567801574</v>
      </c>
      <c r="C13255" t="s">
        <v>1</v>
      </c>
      <c r="D13255" t="s">
        <v>1</v>
      </c>
      <c r="E13255" t="s">
        <v>1</v>
      </c>
      <c r="F13255" t="s">
        <v>0</v>
      </c>
      <c r="G13255" t="str">
        <f>"2018-10-13 11:53:51"</f>
        <v>2018-10-13 11:53:51</v>
      </c>
    </row>
    <row r="13256" spans="1:7" x14ac:dyDescent="0.2">
      <c r="A13256" t="s">
        <v>13180</v>
      </c>
      <c r="B13256" t="str">
        <f>"18862221678"</f>
        <v>18862221678</v>
      </c>
      <c r="C13256" t="str">
        <f>"513701199512195015"</f>
        <v>513701199512195015</v>
      </c>
      <c r="D13256" t="s">
        <v>13181</v>
      </c>
      <c r="E13256" t="s">
        <v>13182</v>
      </c>
      <c r="F13256" t="s">
        <v>0</v>
      </c>
      <c r="G13256" t="str">
        <f>"2018-10-13 11:54:49"</f>
        <v>2018-10-13 11:54:49</v>
      </c>
    </row>
    <row r="13257" spans="1:7" x14ac:dyDescent="0.2">
      <c r="A13257" t="s">
        <v>13183</v>
      </c>
      <c r="B13257" t="str">
        <f>"15119521690"</f>
        <v>15119521690</v>
      </c>
      <c r="C13257" t="str">
        <f>"440881198611046113"</f>
        <v>440881198611046113</v>
      </c>
      <c r="D13257" t="s">
        <v>1</v>
      </c>
      <c r="E13257" t="s">
        <v>1</v>
      </c>
      <c r="F13257" t="s">
        <v>0</v>
      </c>
      <c r="G13257" t="str">
        <f>"2018-10-13 11:55:19"</f>
        <v>2018-10-13 11:55:19</v>
      </c>
    </row>
    <row r="13258" spans="1:7" x14ac:dyDescent="0.2">
      <c r="A13258" t="s">
        <v>13184</v>
      </c>
      <c r="B13258" t="str">
        <f>"13791297995"</f>
        <v>13791297995</v>
      </c>
      <c r="C13258" t="str">
        <f>"412726198906094522"</f>
        <v>412726198906094522</v>
      </c>
      <c r="D13258" t="s">
        <v>13185</v>
      </c>
      <c r="E13258" t="s">
        <v>13186</v>
      </c>
      <c r="F13258" t="s">
        <v>0</v>
      </c>
      <c r="G13258" t="str">
        <f>"2018-10-13 11:55:20"</f>
        <v>2018-10-13 11:55:20</v>
      </c>
    </row>
    <row r="13259" spans="1:7" x14ac:dyDescent="0.2">
      <c r="A13259" t="s">
        <v>13187</v>
      </c>
      <c r="B13259" t="str">
        <f>"13819956168"</f>
        <v>13819956168</v>
      </c>
      <c r="C13259" t="str">
        <f>"44152219891227339X"</f>
        <v>44152219891227339X</v>
      </c>
      <c r="D13259" t="s">
        <v>13188</v>
      </c>
      <c r="E13259" t="s">
        <v>13189</v>
      </c>
      <c r="F13259" t="s">
        <v>0</v>
      </c>
      <c r="G13259" t="str">
        <f>"2018-10-13 11:54:07"</f>
        <v>2018-10-13 11:54:07</v>
      </c>
    </row>
    <row r="13260" spans="1:7" x14ac:dyDescent="0.2">
      <c r="A13260" t="s">
        <v>13190</v>
      </c>
      <c r="B13260" t="str">
        <f>"15254985520"</f>
        <v>15254985520</v>
      </c>
      <c r="C13260" t="str">
        <f>"371302199406220447"</f>
        <v>371302199406220447</v>
      </c>
      <c r="D13260" t="s">
        <v>1</v>
      </c>
      <c r="E13260" t="s">
        <v>1</v>
      </c>
      <c r="F13260" t="s">
        <v>0</v>
      </c>
      <c r="G13260" t="str">
        <f>"2018-10-13 11:52:08"</f>
        <v>2018-10-13 11:52:08</v>
      </c>
    </row>
    <row r="13261" spans="1:7" x14ac:dyDescent="0.2">
      <c r="A13261" t="s">
        <v>1</v>
      </c>
      <c r="B13261" t="str">
        <f>"13389708218"</f>
        <v>13389708218</v>
      </c>
      <c r="C13261" t="s">
        <v>1</v>
      </c>
      <c r="D13261" t="s">
        <v>1</v>
      </c>
      <c r="E13261" t="s">
        <v>1</v>
      </c>
      <c r="F13261" t="s">
        <v>0</v>
      </c>
      <c r="G13261" t="str">
        <f>"2018-10-13 11:51:59"</f>
        <v>2018-10-13 11:51:59</v>
      </c>
    </row>
    <row r="13262" spans="1:7" x14ac:dyDescent="0.2">
      <c r="A13262" t="s">
        <v>13191</v>
      </c>
      <c r="B13262" t="str">
        <f>"13799409107"</f>
        <v>13799409107</v>
      </c>
      <c r="C13262" t="str">
        <f>"35042619771226001X"</f>
        <v>35042619771226001X</v>
      </c>
      <c r="D13262" t="s">
        <v>1</v>
      </c>
      <c r="E13262" t="s">
        <v>1</v>
      </c>
      <c r="F13262" t="s">
        <v>0</v>
      </c>
      <c r="G13262" t="str">
        <f>"2018-10-18 14:08:58"</f>
        <v>2018-10-18 14:08:58</v>
      </c>
    </row>
    <row r="13263" spans="1:7" x14ac:dyDescent="0.2">
      <c r="A13263" t="s">
        <v>13192</v>
      </c>
      <c r="B13263" t="str">
        <f>"13518202154"</f>
        <v>13518202154</v>
      </c>
      <c r="C13263" t="str">
        <f>"510122198507265930"</f>
        <v>510122198507265930</v>
      </c>
      <c r="D13263" t="s">
        <v>1</v>
      </c>
      <c r="E13263" t="s">
        <v>1</v>
      </c>
      <c r="F13263" t="s">
        <v>0</v>
      </c>
      <c r="G13263" t="str">
        <f>"2018-10-13 11:54:18"</f>
        <v>2018-10-13 11:54:18</v>
      </c>
    </row>
    <row r="13264" spans="1:7" x14ac:dyDescent="0.2">
      <c r="A13264" t="s">
        <v>13193</v>
      </c>
      <c r="B13264" t="str">
        <f>"13531887964"</f>
        <v>13531887964</v>
      </c>
      <c r="C13264" t="str">
        <f>"442000199008150850"</f>
        <v>442000199008150850</v>
      </c>
      <c r="D13264" t="s">
        <v>1</v>
      </c>
      <c r="E13264" t="s">
        <v>1</v>
      </c>
      <c r="F13264" t="s">
        <v>0</v>
      </c>
      <c r="G13264" t="str">
        <f>"2018-10-13 12:51:49"</f>
        <v>2018-10-13 12:51:49</v>
      </c>
    </row>
    <row r="13265" spans="1:7" x14ac:dyDescent="0.2">
      <c r="A13265" t="s">
        <v>13194</v>
      </c>
      <c r="B13265" t="str">
        <f>"18368879994"</f>
        <v>18368879994</v>
      </c>
      <c r="C13265" t="str">
        <f>"341003198507244018"</f>
        <v>341003198507244018</v>
      </c>
      <c r="D13265" t="s">
        <v>1</v>
      </c>
      <c r="E13265" t="s">
        <v>1</v>
      </c>
      <c r="F13265" t="s">
        <v>0</v>
      </c>
      <c r="G13265" t="str">
        <f>"2018-10-13 11:53:02"</f>
        <v>2018-10-13 11:53:02</v>
      </c>
    </row>
    <row r="13266" spans="1:7" x14ac:dyDescent="0.2">
      <c r="A13266" t="s">
        <v>1563</v>
      </c>
      <c r="B13266" t="str">
        <f>"18633519944"</f>
        <v>18633519944</v>
      </c>
      <c r="C13266" t="str">
        <f>"13030219870524043X"</f>
        <v>13030219870524043X</v>
      </c>
      <c r="D13266" t="s">
        <v>1</v>
      </c>
      <c r="E13266" t="s">
        <v>1</v>
      </c>
      <c r="F13266" t="s">
        <v>0</v>
      </c>
      <c r="G13266" t="str">
        <f>"2018-10-13 11:51:44"</f>
        <v>2018-10-13 11:51:44</v>
      </c>
    </row>
    <row r="13267" spans="1:7" x14ac:dyDescent="0.2">
      <c r="A13267" t="s">
        <v>34</v>
      </c>
      <c r="B13267" t="str">
        <f>"18859578947"</f>
        <v>18859578947</v>
      </c>
      <c r="C13267" t="str">
        <f>"513922199207010873"</f>
        <v>513922199207010873</v>
      </c>
      <c r="D13267" t="s">
        <v>13195</v>
      </c>
      <c r="E13267" t="s">
        <v>13196</v>
      </c>
      <c r="F13267" t="s">
        <v>0</v>
      </c>
      <c r="G13267" t="str">
        <f>"2018-10-13 11:51:50"</f>
        <v>2018-10-13 11:51:50</v>
      </c>
    </row>
    <row r="13268" spans="1:7" x14ac:dyDescent="0.2">
      <c r="A13268" t="s">
        <v>13197</v>
      </c>
      <c r="B13268" t="str">
        <f>"15161301183"</f>
        <v>15161301183</v>
      </c>
      <c r="C13268" t="str">
        <f>"320723199501052035"</f>
        <v>320723199501052035</v>
      </c>
      <c r="D13268" t="s">
        <v>13198</v>
      </c>
      <c r="E13268" t="s">
        <v>13198</v>
      </c>
      <c r="F13268" t="s">
        <v>0</v>
      </c>
      <c r="G13268" t="str">
        <f>"2018-10-13 11:57:13"</f>
        <v>2018-10-13 11:57:13</v>
      </c>
    </row>
    <row r="13269" spans="1:7" x14ac:dyDescent="0.2">
      <c r="A13269" t="s">
        <v>1</v>
      </c>
      <c r="B13269" t="str">
        <f>"17156996420"</f>
        <v>17156996420</v>
      </c>
      <c r="C13269" t="s">
        <v>1</v>
      </c>
      <c r="D13269" t="s">
        <v>1</v>
      </c>
      <c r="E13269" t="s">
        <v>1</v>
      </c>
      <c r="F13269" t="s">
        <v>0</v>
      </c>
      <c r="G13269" t="str">
        <f>"2018-10-13 11:49:59"</f>
        <v>2018-10-13 11:49:59</v>
      </c>
    </row>
    <row r="13270" spans="1:7" x14ac:dyDescent="0.2">
      <c r="A13270" t="s">
        <v>13199</v>
      </c>
      <c r="B13270" t="str">
        <f>"13233537774"</f>
        <v>13233537774</v>
      </c>
      <c r="C13270" t="str">
        <f>"140303198906120424"</f>
        <v>140303198906120424</v>
      </c>
      <c r="D13270" t="s">
        <v>13200</v>
      </c>
      <c r="E13270" t="s">
        <v>13201</v>
      </c>
      <c r="F13270" t="s">
        <v>0</v>
      </c>
      <c r="G13270" t="str">
        <f>"2018-10-13 11:49:51"</f>
        <v>2018-10-13 11:49:51</v>
      </c>
    </row>
    <row r="13271" spans="1:7" x14ac:dyDescent="0.2">
      <c r="A13271" t="s">
        <v>13202</v>
      </c>
      <c r="B13271" t="str">
        <f>"13066054659"</f>
        <v>13066054659</v>
      </c>
      <c r="C13271" t="str">
        <f>"371121199405040426"</f>
        <v>371121199405040426</v>
      </c>
      <c r="D13271" t="s">
        <v>1</v>
      </c>
      <c r="E13271" t="s">
        <v>1</v>
      </c>
      <c r="F13271" t="s">
        <v>0</v>
      </c>
      <c r="G13271" t="str">
        <f>"2018-10-13 18:09:17"</f>
        <v>2018-10-13 18:09:17</v>
      </c>
    </row>
    <row r="13272" spans="1:7" x14ac:dyDescent="0.2">
      <c r="A13272" t="s">
        <v>1</v>
      </c>
      <c r="B13272" t="str">
        <f>"15503431010"</f>
        <v>15503431010</v>
      </c>
      <c r="C13272" t="s">
        <v>1</v>
      </c>
      <c r="D13272" t="s">
        <v>1</v>
      </c>
      <c r="E13272" t="s">
        <v>1</v>
      </c>
      <c r="F13272" t="s">
        <v>0</v>
      </c>
      <c r="G13272" t="str">
        <f>"2018-10-13 11:50:34"</f>
        <v>2018-10-13 11:50:34</v>
      </c>
    </row>
    <row r="13273" spans="1:7" x14ac:dyDescent="0.2">
      <c r="A13273" t="s">
        <v>1</v>
      </c>
      <c r="B13273" t="str">
        <f>"15889891948"</f>
        <v>15889891948</v>
      </c>
      <c r="C13273" t="s">
        <v>1</v>
      </c>
      <c r="D13273" t="s">
        <v>1</v>
      </c>
      <c r="E13273" t="s">
        <v>1</v>
      </c>
      <c r="F13273" t="s">
        <v>0</v>
      </c>
      <c r="G13273" t="str">
        <f>"2018-10-13 11:50:29"</f>
        <v>2018-10-13 11:50:29</v>
      </c>
    </row>
    <row r="13274" spans="1:7" x14ac:dyDescent="0.2">
      <c r="A13274" t="s">
        <v>13203</v>
      </c>
      <c r="B13274" t="str">
        <f>"13562770979"</f>
        <v>13562770979</v>
      </c>
      <c r="C13274" t="str">
        <f>"140431198908190064"</f>
        <v>140431198908190064</v>
      </c>
      <c r="D13274" t="s">
        <v>1</v>
      </c>
      <c r="E13274" t="s">
        <v>1</v>
      </c>
      <c r="F13274" t="s">
        <v>0</v>
      </c>
      <c r="G13274" t="str">
        <f>"2018-10-13 11:50:37"</f>
        <v>2018-10-13 11:50:37</v>
      </c>
    </row>
    <row r="13275" spans="1:7" x14ac:dyDescent="0.2">
      <c r="A13275" t="s">
        <v>13204</v>
      </c>
      <c r="B13275" t="str">
        <f>"18231114645"</f>
        <v>18231114645</v>
      </c>
      <c r="C13275" t="str">
        <f>"130121198709193018"</f>
        <v>130121198709193018</v>
      </c>
      <c r="D13275" t="s">
        <v>1</v>
      </c>
      <c r="E13275" t="s">
        <v>1</v>
      </c>
      <c r="F13275" t="s">
        <v>0</v>
      </c>
      <c r="G13275" t="str">
        <f>"2018-10-14 08:50:01"</f>
        <v>2018-10-14 08:50:01</v>
      </c>
    </row>
    <row r="13276" spans="1:7" x14ac:dyDescent="0.2">
      <c r="A13276" t="s">
        <v>13205</v>
      </c>
      <c r="B13276" t="str">
        <f>"13850550020"</f>
        <v>13850550020</v>
      </c>
      <c r="C13276" t="str">
        <f>"35068119900227354X"</f>
        <v>35068119900227354X</v>
      </c>
      <c r="D13276" t="s">
        <v>1</v>
      </c>
      <c r="E13276" t="s">
        <v>1</v>
      </c>
      <c r="F13276" t="s">
        <v>0</v>
      </c>
      <c r="G13276" t="str">
        <f>"2018-10-13 13:04:07"</f>
        <v>2018-10-13 13:04:07</v>
      </c>
    </row>
    <row r="13277" spans="1:7" x14ac:dyDescent="0.2">
      <c r="A13277" t="s">
        <v>1</v>
      </c>
      <c r="B13277" t="str">
        <f>"18250394725"</f>
        <v>18250394725</v>
      </c>
      <c r="C13277" t="s">
        <v>1</v>
      </c>
      <c r="D13277" t="s">
        <v>1</v>
      </c>
      <c r="E13277" t="s">
        <v>1</v>
      </c>
      <c r="F13277" t="s">
        <v>0</v>
      </c>
      <c r="G13277" t="str">
        <f>"2018-10-13 11:47:35"</f>
        <v>2018-10-13 11:47:35</v>
      </c>
    </row>
    <row r="13278" spans="1:7" x14ac:dyDescent="0.2">
      <c r="A13278" t="s">
        <v>1</v>
      </c>
      <c r="B13278" t="str">
        <f>"17684175653"</f>
        <v>17684175653</v>
      </c>
      <c r="C13278" t="s">
        <v>1</v>
      </c>
      <c r="D13278" t="s">
        <v>1</v>
      </c>
      <c r="E13278" t="s">
        <v>1</v>
      </c>
      <c r="F13278" t="s">
        <v>0</v>
      </c>
      <c r="G13278" t="str">
        <f>"2018-10-13 11:47:32"</f>
        <v>2018-10-13 11:47:32</v>
      </c>
    </row>
    <row r="13279" spans="1:7" x14ac:dyDescent="0.2">
      <c r="A13279" t="s">
        <v>13206</v>
      </c>
      <c r="B13279" t="str">
        <f>"13436012492"</f>
        <v>13436012492</v>
      </c>
      <c r="C13279" t="str">
        <f>"500113199001153444"</f>
        <v>500113199001153444</v>
      </c>
      <c r="D13279" t="s">
        <v>13207</v>
      </c>
      <c r="E13279" t="s">
        <v>13208</v>
      </c>
      <c r="F13279" t="s">
        <v>0</v>
      </c>
      <c r="G13279" t="str">
        <f>"2018-10-13 12:28:57"</f>
        <v>2018-10-13 12:28:57</v>
      </c>
    </row>
    <row r="13280" spans="1:7" x14ac:dyDescent="0.2">
      <c r="A13280" t="s">
        <v>13209</v>
      </c>
      <c r="B13280" t="str">
        <f>"15081033444"</f>
        <v>15081033444</v>
      </c>
      <c r="C13280" t="str">
        <f>"130433198206080929"</f>
        <v>130433198206080929</v>
      </c>
      <c r="D13280" t="s">
        <v>1</v>
      </c>
      <c r="E13280" t="s">
        <v>1</v>
      </c>
      <c r="F13280" t="s">
        <v>0</v>
      </c>
      <c r="G13280" t="str">
        <f>"2018-10-13 11:48:48"</f>
        <v>2018-10-13 11:48:48</v>
      </c>
    </row>
    <row r="13281" spans="1:7" x14ac:dyDescent="0.2">
      <c r="A13281" t="s">
        <v>13210</v>
      </c>
      <c r="B13281" t="str">
        <f>"18846848458"</f>
        <v>18846848458</v>
      </c>
      <c r="C13281" t="str">
        <f>"230402197902060045"</f>
        <v>230402197902060045</v>
      </c>
      <c r="D13281" t="s">
        <v>1</v>
      </c>
      <c r="E13281" t="s">
        <v>1</v>
      </c>
      <c r="F13281" t="s">
        <v>0</v>
      </c>
      <c r="G13281" t="str">
        <f>"2018-10-13 11:45:47"</f>
        <v>2018-10-13 11:45:47</v>
      </c>
    </row>
    <row r="13282" spans="1:7" x14ac:dyDescent="0.2">
      <c r="A13282" t="s">
        <v>13211</v>
      </c>
      <c r="B13282" t="str">
        <f>"15688393638"</f>
        <v>15688393638</v>
      </c>
      <c r="C13282" t="str">
        <f>"654126199205314711"</f>
        <v>654126199205314711</v>
      </c>
      <c r="D13282" t="s">
        <v>13212</v>
      </c>
      <c r="E13282" t="s">
        <v>13213</v>
      </c>
      <c r="F13282" t="s">
        <v>0</v>
      </c>
      <c r="G13282" t="str">
        <f>"2018-10-27 19:44:04"</f>
        <v>2018-10-27 19:44:04</v>
      </c>
    </row>
    <row r="13283" spans="1:7" x14ac:dyDescent="0.2">
      <c r="A13283" t="s">
        <v>13214</v>
      </c>
      <c r="B13283" t="str">
        <f>"18784144353"</f>
        <v>18784144353</v>
      </c>
      <c r="C13283" t="str">
        <f>"512532198005211816"</f>
        <v>512532198005211816</v>
      </c>
      <c r="D13283" t="s">
        <v>1</v>
      </c>
      <c r="E13283" t="s">
        <v>1</v>
      </c>
      <c r="F13283" t="s">
        <v>0</v>
      </c>
      <c r="G13283" t="str">
        <f>"2018-10-13 11:47:00"</f>
        <v>2018-10-13 11:47:00</v>
      </c>
    </row>
    <row r="13284" spans="1:7" x14ac:dyDescent="0.2">
      <c r="A13284" t="s">
        <v>1</v>
      </c>
      <c r="B13284" t="str">
        <f>"13519688670"</f>
        <v>13519688670</v>
      </c>
      <c r="C13284" t="s">
        <v>1</v>
      </c>
      <c r="D13284" t="s">
        <v>1</v>
      </c>
      <c r="E13284" t="s">
        <v>1</v>
      </c>
      <c r="F13284" t="s">
        <v>0</v>
      </c>
      <c r="G13284" t="str">
        <f>"2018-10-13 11:45:32"</f>
        <v>2018-10-13 11:45:32</v>
      </c>
    </row>
    <row r="13285" spans="1:7" x14ac:dyDescent="0.2">
      <c r="A13285" t="s">
        <v>4640</v>
      </c>
      <c r="B13285" t="str">
        <f>"15222579733"</f>
        <v>15222579733</v>
      </c>
      <c r="C13285" t="str">
        <f>"120101197711165532"</f>
        <v>120101197711165532</v>
      </c>
      <c r="D13285" t="s">
        <v>1</v>
      </c>
      <c r="E13285" t="s">
        <v>1</v>
      </c>
      <c r="F13285" t="s">
        <v>0</v>
      </c>
      <c r="G13285" t="str">
        <f>"2018-10-13 11:45:51"</f>
        <v>2018-10-13 11:45:51</v>
      </c>
    </row>
    <row r="13286" spans="1:7" x14ac:dyDescent="0.2">
      <c r="A13286" t="s">
        <v>154</v>
      </c>
      <c r="B13286" t="str">
        <f>"13643576243"</f>
        <v>13643576243</v>
      </c>
      <c r="C13286" t="str">
        <f>"142627199004230433"</f>
        <v>142627199004230433</v>
      </c>
      <c r="D13286" t="s">
        <v>13215</v>
      </c>
      <c r="E13286" t="s">
        <v>13216</v>
      </c>
      <c r="F13286" t="s">
        <v>0</v>
      </c>
      <c r="G13286" t="str">
        <f>"2018-10-19 09:59:45"</f>
        <v>2018-10-19 09:59:45</v>
      </c>
    </row>
    <row r="13287" spans="1:7" x14ac:dyDescent="0.2">
      <c r="A13287" t="s">
        <v>1</v>
      </c>
      <c r="B13287" t="str">
        <f>"15006095032"</f>
        <v>15006095032</v>
      </c>
      <c r="C13287" t="s">
        <v>1</v>
      </c>
      <c r="D13287" t="s">
        <v>1</v>
      </c>
      <c r="E13287" t="s">
        <v>1</v>
      </c>
      <c r="F13287" t="s">
        <v>0</v>
      </c>
      <c r="G13287" t="str">
        <f>"2018-10-13 11:44:25"</f>
        <v>2018-10-13 11:44:25</v>
      </c>
    </row>
    <row r="13288" spans="1:7" x14ac:dyDescent="0.2">
      <c r="A13288" t="s">
        <v>13217</v>
      </c>
      <c r="B13288" t="str">
        <f>"18287663639"</f>
        <v>18287663639</v>
      </c>
      <c r="C13288" t="str">
        <f>"532621198910191317"</f>
        <v>532621198910191317</v>
      </c>
      <c r="D13288" t="s">
        <v>1</v>
      </c>
      <c r="E13288" t="s">
        <v>1</v>
      </c>
      <c r="F13288" t="s">
        <v>0</v>
      </c>
      <c r="G13288" t="str">
        <f>"2018-10-13 11:45:27"</f>
        <v>2018-10-13 11:45:27</v>
      </c>
    </row>
    <row r="13289" spans="1:7" x14ac:dyDescent="0.2">
      <c r="A13289" t="s">
        <v>1</v>
      </c>
      <c r="B13289" t="str">
        <f>"13608533305"</f>
        <v>13608533305</v>
      </c>
      <c r="C13289" t="s">
        <v>1</v>
      </c>
      <c r="D13289" t="s">
        <v>1</v>
      </c>
      <c r="E13289" t="s">
        <v>1</v>
      </c>
      <c r="F13289" t="s">
        <v>0</v>
      </c>
      <c r="G13289" t="str">
        <f>"2018-10-13 11:46:12"</f>
        <v>2018-10-13 11:46:12</v>
      </c>
    </row>
    <row r="13290" spans="1:7" x14ac:dyDescent="0.2">
      <c r="A13290" t="s">
        <v>1</v>
      </c>
      <c r="B13290" t="str">
        <f>"18712207766"</f>
        <v>18712207766</v>
      </c>
      <c r="C13290" t="s">
        <v>1</v>
      </c>
      <c r="D13290" t="s">
        <v>1</v>
      </c>
      <c r="E13290" t="s">
        <v>1</v>
      </c>
      <c r="F13290" t="s">
        <v>0</v>
      </c>
      <c r="G13290" t="str">
        <f>"2018-10-13 11:43:06"</f>
        <v>2018-10-13 11:43:06</v>
      </c>
    </row>
    <row r="13291" spans="1:7" x14ac:dyDescent="0.2">
      <c r="A13291" t="s">
        <v>1</v>
      </c>
      <c r="B13291" t="str">
        <f>"18019070813"</f>
        <v>18019070813</v>
      </c>
      <c r="C13291" t="s">
        <v>1</v>
      </c>
      <c r="D13291" t="s">
        <v>1</v>
      </c>
      <c r="E13291" t="s">
        <v>1</v>
      </c>
      <c r="F13291" t="s">
        <v>0</v>
      </c>
      <c r="G13291" t="str">
        <f>"2018-10-13 11:42:46"</f>
        <v>2018-10-13 11:42:46</v>
      </c>
    </row>
    <row r="13292" spans="1:7" x14ac:dyDescent="0.2">
      <c r="A13292" t="s">
        <v>13218</v>
      </c>
      <c r="B13292" t="str">
        <f>"17687060923"</f>
        <v>17687060923</v>
      </c>
      <c r="C13292" t="str">
        <f>"532501199404171210"</f>
        <v>532501199404171210</v>
      </c>
      <c r="D13292" t="s">
        <v>1</v>
      </c>
      <c r="E13292" t="s">
        <v>1</v>
      </c>
      <c r="F13292" t="s">
        <v>0</v>
      </c>
      <c r="G13292" t="str">
        <f>"2018-10-23 17:08:26"</f>
        <v>2018-10-23 17:08:26</v>
      </c>
    </row>
    <row r="13293" spans="1:7" x14ac:dyDescent="0.2">
      <c r="A13293" t="s">
        <v>13219</v>
      </c>
      <c r="B13293" t="str">
        <f>"13757086482"</f>
        <v>13757086482</v>
      </c>
      <c r="C13293" t="str">
        <f>"330522199005044532"</f>
        <v>330522199005044532</v>
      </c>
      <c r="D13293" t="s">
        <v>1</v>
      </c>
      <c r="E13293" t="s">
        <v>1</v>
      </c>
      <c r="F13293" t="s">
        <v>0</v>
      </c>
      <c r="G13293" t="str">
        <f>"2018-10-19 12:02:35"</f>
        <v>2018-10-19 12:02:35</v>
      </c>
    </row>
    <row r="13294" spans="1:7" x14ac:dyDescent="0.2">
      <c r="A13294" t="s">
        <v>13220</v>
      </c>
      <c r="B13294" t="str">
        <f>"18704022821"</f>
        <v>18704022821</v>
      </c>
      <c r="C13294" t="str">
        <f>"211402199601044240"</f>
        <v>211402199601044240</v>
      </c>
      <c r="D13294" t="s">
        <v>1</v>
      </c>
      <c r="E13294" t="s">
        <v>1</v>
      </c>
      <c r="F13294" t="s">
        <v>0</v>
      </c>
      <c r="G13294" t="str">
        <f>"2018-10-13 12:06:31"</f>
        <v>2018-10-13 12:06:31</v>
      </c>
    </row>
    <row r="13295" spans="1:7" x14ac:dyDescent="0.2">
      <c r="A13295" t="s">
        <v>13221</v>
      </c>
      <c r="B13295" t="str">
        <f>"18398819153"</f>
        <v>18398819153</v>
      </c>
      <c r="C13295" t="str">
        <f>"513002198604223750"</f>
        <v>513002198604223750</v>
      </c>
      <c r="D13295" t="s">
        <v>13222</v>
      </c>
      <c r="E13295" t="s">
        <v>13223</v>
      </c>
      <c r="F13295" t="s">
        <v>0</v>
      </c>
      <c r="G13295" t="str">
        <f>"2018-10-13 11:43:14"</f>
        <v>2018-10-13 11:43:14</v>
      </c>
    </row>
    <row r="13296" spans="1:7" x14ac:dyDescent="0.2">
      <c r="A13296" t="s">
        <v>216</v>
      </c>
      <c r="B13296" t="str">
        <f>"15961388630"</f>
        <v>15961388630</v>
      </c>
      <c r="C13296" t="str">
        <f>"320704198806203056"</f>
        <v>320704198806203056</v>
      </c>
      <c r="D13296" t="s">
        <v>13224</v>
      </c>
      <c r="E13296" t="s">
        <v>13225</v>
      </c>
      <c r="F13296" t="s">
        <v>0</v>
      </c>
      <c r="G13296" t="str">
        <f>"2018-10-13 11:43:29"</f>
        <v>2018-10-13 11:43:29</v>
      </c>
    </row>
    <row r="13297" spans="1:7" x14ac:dyDescent="0.2">
      <c r="A13297" t="s">
        <v>1</v>
      </c>
      <c r="B13297" t="str">
        <f>"13330003777"</f>
        <v>13330003777</v>
      </c>
      <c r="C13297" t="s">
        <v>1</v>
      </c>
      <c r="D13297" t="s">
        <v>1</v>
      </c>
      <c r="E13297" t="s">
        <v>1</v>
      </c>
      <c r="F13297" t="s">
        <v>0</v>
      </c>
      <c r="G13297" t="str">
        <f>"2018-10-13 11:41:08"</f>
        <v>2018-10-13 11:41:08</v>
      </c>
    </row>
    <row r="13298" spans="1:7" x14ac:dyDescent="0.2">
      <c r="A13298" t="s">
        <v>13226</v>
      </c>
      <c r="B13298" t="str">
        <f>"13930068078"</f>
        <v>13930068078</v>
      </c>
      <c r="C13298" t="str">
        <f>"132123198010151564"</f>
        <v>132123198010151564</v>
      </c>
      <c r="D13298" t="s">
        <v>1</v>
      </c>
      <c r="E13298" t="s">
        <v>1</v>
      </c>
      <c r="F13298" t="s">
        <v>0</v>
      </c>
      <c r="G13298" t="str">
        <f>"2018-10-13 11:43:59"</f>
        <v>2018-10-13 11:43:59</v>
      </c>
    </row>
    <row r="13299" spans="1:7" x14ac:dyDescent="0.2">
      <c r="A13299" t="s">
        <v>270</v>
      </c>
      <c r="B13299" t="str">
        <f>"15972455999"</f>
        <v>15972455999</v>
      </c>
      <c r="C13299" t="str">
        <f>"500242198701124356"</f>
        <v>500242198701124356</v>
      </c>
      <c r="D13299" t="s">
        <v>13227</v>
      </c>
      <c r="E13299" t="s">
        <v>13228</v>
      </c>
      <c r="F13299" t="s">
        <v>0</v>
      </c>
      <c r="G13299" t="str">
        <f>"2018-10-13 11:43:08"</f>
        <v>2018-10-13 11:43:08</v>
      </c>
    </row>
    <row r="13300" spans="1:7" x14ac:dyDescent="0.2">
      <c r="A13300" t="s">
        <v>13229</v>
      </c>
      <c r="B13300" t="str">
        <f>"15558173866"</f>
        <v>15558173866</v>
      </c>
      <c r="C13300" t="str">
        <f>"340823198812144425"</f>
        <v>340823198812144425</v>
      </c>
      <c r="D13300" t="s">
        <v>1</v>
      </c>
      <c r="E13300" t="s">
        <v>1</v>
      </c>
      <c r="F13300" t="s">
        <v>0</v>
      </c>
      <c r="G13300" t="str">
        <f>"2018-10-13 11:41:42"</f>
        <v>2018-10-13 11:41:42</v>
      </c>
    </row>
    <row r="13301" spans="1:7" x14ac:dyDescent="0.2">
      <c r="A13301" t="s">
        <v>1</v>
      </c>
      <c r="B13301" t="str">
        <f>"18859108725"</f>
        <v>18859108725</v>
      </c>
      <c r="C13301" t="s">
        <v>1</v>
      </c>
      <c r="D13301" t="s">
        <v>1</v>
      </c>
      <c r="E13301" t="s">
        <v>1</v>
      </c>
      <c r="F13301" t="s">
        <v>0</v>
      </c>
      <c r="G13301" t="str">
        <f>"2018-10-13 11:40:01"</f>
        <v>2018-10-13 11:40:01</v>
      </c>
    </row>
    <row r="13302" spans="1:7" x14ac:dyDescent="0.2">
      <c r="A13302" t="s">
        <v>13230</v>
      </c>
      <c r="B13302" t="str">
        <f>"18003301371"</f>
        <v>18003301371</v>
      </c>
      <c r="C13302" t="str">
        <f>"130403199601041520"</f>
        <v>130403199601041520</v>
      </c>
      <c r="D13302" t="s">
        <v>1</v>
      </c>
      <c r="E13302" t="s">
        <v>1</v>
      </c>
      <c r="F13302" t="s">
        <v>0</v>
      </c>
      <c r="G13302" t="str">
        <f>"2018-10-13 11:40:39"</f>
        <v>2018-10-13 11:40:39</v>
      </c>
    </row>
    <row r="13303" spans="1:7" x14ac:dyDescent="0.2">
      <c r="A13303" t="s">
        <v>244</v>
      </c>
      <c r="B13303" t="str">
        <f>"13891512770"</f>
        <v>13891512770</v>
      </c>
      <c r="C13303" t="str">
        <f>"612424197712150032"</f>
        <v>612424197712150032</v>
      </c>
      <c r="D13303" t="s">
        <v>13231</v>
      </c>
      <c r="E13303" t="s">
        <v>13232</v>
      </c>
      <c r="F13303" t="s">
        <v>0</v>
      </c>
      <c r="G13303" t="str">
        <f>"2018-10-13 11:39:13"</f>
        <v>2018-10-13 11:39:13</v>
      </c>
    </row>
    <row r="13304" spans="1:7" x14ac:dyDescent="0.2">
      <c r="A13304" t="s">
        <v>1</v>
      </c>
      <c r="B13304" t="str">
        <f>"18565127389"</f>
        <v>18565127389</v>
      </c>
      <c r="C13304" t="s">
        <v>1</v>
      </c>
      <c r="D13304" t="s">
        <v>1</v>
      </c>
      <c r="E13304" t="s">
        <v>1</v>
      </c>
      <c r="F13304" t="s">
        <v>0</v>
      </c>
      <c r="G13304" t="str">
        <f>"2018-10-13 11:38:39"</f>
        <v>2018-10-13 11:38:39</v>
      </c>
    </row>
    <row r="13305" spans="1:7" x14ac:dyDescent="0.2">
      <c r="A13305" t="s">
        <v>9189</v>
      </c>
      <c r="B13305" t="str">
        <f>"18631677531"</f>
        <v>18631677531</v>
      </c>
      <c r="C13305" t="str">
        <f>"511381199907170523"</f>
        <v>511381199907170523</v>
      </c>
      <c r="D13305" t="s">
        <v>1</v>
      </c>
      <c r="E13305" t="s">
        <v>1</v>
      </c>
      <c r="F13305" t="s">
        <v>0</v>
      </c>
      <c r="G13305" t="str">
        <f>"2018-10-13 11:41:39"</f>
        <v>2018-10-13 11:41:39</v>
      </c>
    </row>
    <row r="13306" spans="1:7" x14ac:dyDescent="0.2">
      <c r="A13306" t="s">
        <v>1</v>
      </c>
      <c r="B13306" t="str">
        <f>"15822390313"</f>
        <v>15822390313</v>
      </c>
      <c r="C13306" t="s">
        <v>1</v>
      </c>
      <c r="D13306" t="s">
        <v>1</v>
      </c>
      <c r="E13306" t="s">
        <v>1</v>
      </c>
      <c r="F13306" t="s">
        <v>0</v>
      </c>
      <c r="G13306" t="str">
        <f>"2018-10-13 11:38:26"</f>
        <v>2018-10-13 11:38:26</v>
      </c>
    </row>
    <row r="13307" spans="1:7" x14ac:dyDescent="0.2">
      <c r="A13307" t="s">
        <v>13233</v>
      </c>
      <c r="B13307" t="str">
        <f>"18666555425"</f>
        <v>18666555425</v>
      </c>
      <c r="C13307" t="str">
        <f>"440224199407070479"</f>
        <v>440224199407070479</v>
      </c>
      <c r="D13307" t="s">
        <v>1</v>
      </c>
      <c r="E13307" t="s">
        <v>1</v>
      </c>
      <c r="F13307" t="s">
        <v>0</v>
      </c>
      <c r="G13307" t="str">
        <f>"2018-10-13 13:22:02"</f>
        <v>2018-10-13 13:22:02</v>
      </c>
    </row>
    <row r="13308" spans="1:7" x14ac:dyDescent="0.2">
      <c r="A13308" t="s">
        <v>13234</v>
      </c>
      <c r="B13308" t="str">
        <f>"18290355671"</f>
        <v>18290355671</v>
      </c>
      <c r="C13308" t="str">
        <f>"500239199012207654"</f>
        <v>500239199012207654</v>
      </c>
      <c r="D13308" t="s">
        <v>1</v>
      </c>
      <c r="E13308" t="s">
        <v>1</v>
      </c>
      <c r="F13308" t="s">
        <v>0</v>
      </c>
      <c r="G13308" t="str">
        <f>"2018-10-13 11:38:10"</f>
        <v>2018-10-13 11:38:10</v>
      </c>
    </row>
    <row r="13309" spans="1:7" x14ac:dyDescent="0.2">
      <c r="A13309" t="s">
        <v>13235</v>
      </c>
      <c r="B13309" t="str">
        <f>"18877203878"</f>
        <v>18877203878</v>
      </c>
      <c r="C13309" t="str">
        <f>"450221198406080032"</f>
        <v>450221198406080032</v>
      </c>
      <c r="D13309" t="s">
        <v>13236</v>
      </c>
      <c r="E13309" t="s">
        <v>13237</v>
      </c>
      <c r="F13309" t="s">
        <v>0</v>
      </c>
      <c r="G13309" t="str">
        <f>"2018-10-13 11:38:07"</f>
        <v>2018-10-13 11:38:07</v>
      </c>
    </row>
    <row r="13310" spans="1:7" x14ac:dyDescent="0.2">
      <c r="A13310" t="s">
        <v>1</v>
      </c>
      <c r="B13310" t="str">
        <f>"15933994222"</f>
        <v>15933994222</v>
      </c>
      <c r="C13310" t="s">
        <v>1</v>
      </c>
      <c r="D13310" t="s">
        <v>1</v>
      </c>
      <c r="E13310" t="s">
        <v>1</v>
      </c>
      <c r="F13310" t="s">
        <v>0</v>
      </c>
      <c r="G13310" t="str">
        <f>"2018-10-13 11:40:38"</f>
        <v>2018-10-13 11:40:38</v>
      </c>
    </row>
    <row r="13311" spans="1:7" x14ac:dyDescent="0.2">
      <c r="A13311" t="s">
        <v>1</v>
      </c>
      <c r="B13311" t="str">
        <f>"13297889304"</f>
        <v>13297889304</v>
      </c>
      <c r="C13311" t="s">
        <v>1</v>
      </c>
      <c r="D13311" t="s">
        <v>1</v>
      </c>
      <c r="E13311" t="s">
        <v>1</v>
      </c>
      <c r="F13311" t="s">
        <v>0</v>
      </c>
      <c r="G13311" t="str">
        <f>"2018-10-13 11:38:52"</f>
        <v>2018-10-13 11:38:52</v>
      </c>
    </row>
    <row r="13312" spans="1:7" x14ac:dyDescent="0.2">
      <c r="A13312" t="s">
        <v>13238</v>
      </c>
      <c r="B13312" t="str">
        <f>"15530735885"</f>
        <v>15530735885</v>
      </c>
      <c r="C13312" t="str">
        <f>"411323199207211729"</f>
        <v>411323199207211729</v>
      </c>
      <c r="D13312" t="s">
        <v>1</v>
      </c>
      <c r="E13312" t="s">
        <v>1</v>
      </c>
      <c r="F13312" t="s">
        <v>0</v>
      </c>
      <c r="G13312" t="str">
        <f>"2018-10-13 13:02:27"</f>
        <v>2018-10-13 13:02:27</v>
      </c>
    </row>
    <row r="13313" spans="1:7" x14ac:dyDescent="0.2">
      <c r="A13313" t="s">
        <v>13239</v>
      </c>
      <c r="B13313" t="str">
        <f>"15060799508"</f>
        <v>15060799508</v>
      </c>
      <c r="C13313" t="str">
        <f>"350824199108133215"</f>
        <v>350824199108133215</v>
      </c>
      <c r="D13313" t="s">
        <v>1</v>
      </c>
      <c r="E13313" t="s">
        <v>1</v>
      </c>
      <c r="F13313" t="s">
        <v>0</v>
      </c>
      <c r="G13313" t="str">
        <f>"2018-10-13 11:38:15"</f>
        <v>2018-10-13 11:38:15</v>
      </c>
    </row>
    <row r="13314" spans="1:7" x14ac:dyDescent="0.2">
      <c r="A13314" t="s">
        <v>13240</v>
      </c>
      <c r="B13314" t="str">
        <f>"13826081429"</f>
        <v>13826081429</v>
      </c>
      <c r="C13314" t="str">
        <f>"441223198812172911"</f>
        <v>441223198812172911</v>
      </c>
      <c r="D13314" t="s">
        <v>1</v>
      </c>
      <c r="E13314" t="s">
        <v>1</v>
      </c>
      <c r="F13314" t="s">
        <v>0</v>
      </c>
      <c r="G13314" t="str">
        <f>"2018-10-28 16:40:07"</f>
        <v>2018-10-28 16:40:07</v>
      </c>
    </row>
    <row r="13315" spans="1:7" x14ac:dyDescent="0.2">
      <c r="A13315" t="s">
        <v>13241</v>
      </c>
      <c r="B13315" t="str">
        <f>"13802703304"</f>
        <v>13802703304</v>
      </c>
      <c r="C13315" t="str">
        <f>"320322199110162511"</f>
        <v>320322199110162511</v>
      </c>
      <c r="D13315" t="s">
        <v>1</v>
      </c>
      <c r="E13315" t="s">
        <v>1</v>
      </c>
      <c r="F13315" t="s">
        <v>0</v>
      </c>
      <c r="G13315" t="str">
        <f>"2018-10-14 10:50:19"</f>
        <v>2018-10-14 10:50:19</v>
      </c>
    </row>
    <row r="13316" spans="1:7" x14ac:dyDescent="0.2">
      <c r="A13316" t="s">
        <v>13242</v>
      </c>
      <c r="B13316" t="str">
        <f>"18292117569"</f>
        <v>18292117569</v>
      </c>
      <c r="C13316" t="str">
        <f>"610621198807251615"</f>
        <v>610621198807251615</v>
      </c>
      <c r="D13316" t="s">
        <v>13243</v>
      </c>
      <c r="E13316" t="s">
        <v>13244</v>
      </c>
      <c r="F13316" t="s">
        <v>0</v>
      </c>
      <c r="G13316" t="str">
        <f>"2018-10-13 11:37:37"</f>
        <v>2018-10-13 11:37:37</v>
      </c>
    </row>
    <row r="13317" spans="1:7" x14ac:dyDescent="0.2">
      <c r="A13317" t="s">
        <v>1</v>
      </c>
      <c r="B13317" t="str">
        <f>"15767149370"</f>
        <v>15767149370</v>
      </c>
      <c r="C13317" t="s">
        <v>1</v>
      </c>
      <c r="D13317" t="s">
        <v>1</v>
      </c>
      <c r="E13317" t="s">
        <v>1</v>
      </c>
      <c r="F13317" t="s">
        <v>0</v>
      </c>
      <c r="G13317" t="str">
        <f>"2018-10-13 12:19:59"</f>
        <v>2018-10-13 12:19:59</v>
      </c>
    </row>
    <row r="13318" spans="1:7" x14ac:dyDescent="0.2">
      <c r="A13318" t="s">
        <v>959</v>
      </c>
      <c r="B13318" t="str">
        <f>"18200398013"</f>
        <v>18200398013</v>
      </c>
      <c r="C13318" t="str">
        <f>"511123198810145816"</f>
        <v>511123198810145816</v>
      </c>
      <c r="D13318" t="s">
        <v>13245</v>
      </c>
      <c r="E13318" t="s">
        <v>13246</v>
      </c>
      <c r="F13318" t="s">
        <v>0</v>
      </c>
      <c r="G13318" t="str">
        <f>"2018-10-13 11:36:59"</f>
        <v>2018-10-13 11:36:59</v>
      </c>
    </row>
    <row r="13319" spans="1:7" x14ac:dyDescent="0.2">
      <c r="A13319" t="s">
        <v>13247</v>
      </c>
      <c r="B13319" t="str">
        <f>"13996029051"</f>
        <v>13996029051</v>
      </c>
      <c r="C13319" t="str">
        <f>"500112198510145257"</f>
        <v>500112198510145257</v>
      </c>
      <c r="D13319" t="s">
        <v>13248</v>
      </c>
      <c r="E13319" t="s">
        <v>13249</v>
      </c>
      <c r="F13319" t="s">
        <v>0</v>
      </c>
      <c r="G13319" t="str">
        <f>"2018-10-13 11:35:59"</f>
        <v>2018-10-13 11:35:59</v>
      </c>
    </row>
    <row r="13320" spans="1:7" x14ac:dyDescent="0.2">
      <c r="A13320" t="s">
        <v>13250</v>
      </c>
      <c r="B13320" t="str">
        <f>"13468729695"</f>
        <v>13468729695</v>
      </c>
      <c r="C13320" t="str">
        <f>"610112198201082032"</f>
        <v>610112198201082032</v>
      </c>
      <c r="D13320" t="s">
        <v>1</v>
      </c>
      <c r="E13320" t="s">
        <v>1</v>
      </c>
      <c r="F13320" t="s">
        <v>0</v>
      </c>
      <c r="G13320" t="str">
        <f>"2018-10-13 11:42:45"</f>
        <v>2018-10-13 11:42:45</v>
      </c>
    </row>
    <row r="13321" spans="1:7" x14ac:dyDescent="0.2">
      <c r="A13321" t="s">
        <v>1</v>
      </c>
      <c r="B13321" t="str">
        <f>"18159946996"</f>
        <v>18159946996</v>
      </c>
      <c r="C13321" t="s">
        <v>1</v>
      </c>
      <c r="D13321" t="s">
        <v>1</v>
      </c>
      <c r="E13321" t="s">
        <v>1</v>
      </c>
      <c r="F13321" t="s">
        <v>0</v>
      </c>
      <c r="G13321" t="str">
        <f>"2018-10-13 11:35:54"</f>
        <v>2018-10-13 11:35:54</v>
      </c>
    </row>
    <row r="13322" spans="1:7" x14ac:dyDescent="0.2">
      <c r="A13322" t="s">
        <v>1</v>
      </c>
      <c r="B13322" t="str">
        <f>"13858711892"</f>
        <v>13858711892</v>
      </c>
      <c r="C13322" t="s">
        <v>1</v>
      </c>
      <c r="D13322" t="s">
        <v>1</v>
      </c>
      <c r="E13322" t="s">
        <v>1</v>
      </c>
      <c r="F13322" t="s">
        <v>0</v>
      </c>
      <c r="G13322" t="str">
        <f>"2018-10-13 11:35:15"</f>
        <v>2018-10-13 11:35:15</v>
      </c>
    </row>
    <row r="13323" spans="1:7" x14ac:dyDescent="0.2">
      <c r="A13323" t="s">
        <v>1</v>
      </c>
      <c r="B13323" t="str">
        <f>"15241059668"</f>
        <v>15241059668</v>
      </c>
      <c r="C13323" t="s">
        <v>1</v>
      </c>
      <c r="D13323" t="s">
        <v>1</v>
      </c>
      <c r="E13323" t="s">
        <v>1</v>
      </c>
      <c r="F13323" t="s">
        <v>0</v>
      </c>
      <c r="G13323" t="str">
        <f>"2018-10-13 11:34:56"</f>
        <v>2018-10-13 11:34:56</v>
      </c>
    </row>
    <row r="13324" spans="1:7" x14ac:dyDescent="0.2">
      <c r="A13324" t="s">
        <v>1</v>
      </c>
      <c r="B13324" t="str">
        <f>"18287808127"</f>
        <v>18287808127</v>
      </c>
      <c r="C13324" t="s">
        <v>1</v>
      </c>
      <c r="D13324" t="s">
        <v>1</v>
      </c>
      <c r="E13324" t="s">
        <v>1</v>
      </c>
      <c r="F13324" t="s">
        <v>0</v>
      </c>
      <c r="G13324" t="str">
        <f>"2018-10-13 11:36:04"</f>
        <v>2018-10-13 11:36:04</v>
      </c>
    </row>
    <row r="13325" spans="1:7" x14ac:dyDescent="0.2">
      <c r="A13325" t="s">
        <v>1529</v>
      </c>
      <c r="B13325" t="str">
        <f>"18887264187"</f>
        <v>18887264187</v>
      </c>
      <c r="C13325" t="str">
        <f>"532923198709260017"</f>
        <v>532923198709260017</v>
      </c>
      <c r="D13325" t="s">
        <v>1</v>
      </c>
      <c r="E13325" t="s">
        <v>1</v>
      </c>
      <c r="F13325" t="s">
        <v>0</v>
      </c>
      <c r="G13325" t="str">
        <f>"2018-10-13 11:36:12"</f>
        <v>2018-10-13 11:36:12</v>
      </c>
    </row>
    <row r="13326" spans="1:7" x14ac:dyDescent="0.2">
      <c r="A13326" t="s">
        <v>1</v>
      </c>
      <c r="B13326" t="str">
        <f>"18688885584"</f>
        <v>18688885584</v>
      </c>
      <c r="C13326" t="s">
        <v>1</v>
      </c>
      <c r="D13326" t="s">
        <v>1</v>
      </c>
      <c r="E13326" t="s">
        <v>1</v>
      </c>
      <c r="F13326" t="s">
        <v>0</v>
      </c>
      <c r="G13326" t="str">
        <f>"2018-10-13 11:34:49"</f>
        <v>2018-10-13 11:34:49</v>
      </c>
    </row>
    <row r="13327" spans="1:7" x14ac:dyDescent="0.2">
      <c r="A13327" t="s">
        <v>1</v>
      </c>
      <c r="B13327" t="str">
        <f>"17156996421"</f>
        <v>17156996421</v>
      </c>
      <c r="C13327" t="s">
        <v>1</v>
      </c>
      <c r="D13327" t="s">
        <v>1</v>
      </c>
      <c r="E13327" t="s">
        <v>1</v>
      </c>
      <c r="F13327" t="s">
        <v>0</v>
      </c>
      <c r="G13327" t="str">
        <f>"2018-10-13 11:34:05"</f>
        <v>2018-10-13 11:34:05</v>
      </c>
    </row>
    <row r="13328" spans="1:7" x14ac:dyDescent="0.2">
      <c r="A13328" t="s">
        <v>13251</v>
      </c>
      <c r="B13328" t="str">
        <f>"13925873479"</f>
        <v>13925873479</v>
      </c>
      <c r="C13328" t="str">
        <f>"50023419900109869X"</f>
        <v>50023419900109869X</v>
      </c>
      <c r="D13328" t="s">
        <v>1</v>
      </c>
      <c r="E13328" t="s">
        <v>1</v>
      </c>
      <c r="F13328" t="s">
        <v>0</v>
      </c>
      <c r="G13328" t="str">
        <f>"2018-10-13 11:39:57"</f>
        <v>2018-10-13 11:39:57</v>
      </c>
    </row>
    <row r="13329" spans="1:7" x14ac:dyDescent="0.2">
      <c r="A13329" t="s">
        <v>13252</v>
      </c>
      <c r="B13329" t="str">
        <f>"15069626110"</f>
        <v>15069626110</v>
      </c>
      <c r="C13329" t="str">
        <f>"370785198706299617"</f>
        <v>370785198706299617</v>
      </c>
      <c r="D13329" t="s">
        <v>1</v>
      </c>
      <c r="E13329" t="s">
        <v>1</v>
      </c>
      <c r="F13329" t="s">
        <v>0</v>
      </c>
      <c r="G13329" t="str">
        <f>"2018-10-13 11:33:49"</f>
        <v>2018-10-13 11:33:49</v>
      </c>
    </row>
    <row r="13330" spans="1:7" x14ac:dyDescent="0.2">
      <c r="A13330" t="s">
        <v>13253</v>
      </c>
      <c r="B13330" t="str">
        <f>"15025113894"</f>
        <v>15025113894</v>
      </c>
      <c r="C13330" t="str">
        <f>"530127199710145221"</f>
        <v>530127199710145221</v>
      </c>
      <c r="D13330" t="s">
        <v>1</v>
      </c>
      <c r="E13330" t="s">
        <v>1</v>
      </c>
      <c r="F13330" t="s">
        <v>0</v>
      </c>
      <c r="G13330" t="str">
        <f>"2018-10-13 12:22:48"</f>
        <v>2018-10-13 12:22:48</v>
      </c>
    </row>
    <row r="13331" spans="1:7" x14ac:dyDescent="0.2">
      <c r="A13331" t="s">
        <v>13254</v>
      </c>
      <c r="B13331" t="str">
        <f>"13541086893"</f>
        <v>13541086893</v>
      </c>
      <c r="C13331" t="str">
        <f>"51013219910317161X"</f>
        <v>51013219910317161X</v>
      </c>
      <c r="D13331" t="s">
        <v>1</v>
      </c>
      <c r="E13331" t="s">
        <v>1</v>
      </c>
      <c r="F13331" t="s">
        <v>0</v>
      </c>
      <c r="G13331" t="str">
        <f>"2018-10-13 11:35:05"</f>
        <v>2018-10-13 11:35:05</v>
      </c>
    </row>
    <row r="13332" spans="1:7" x14ac:dyDescent="0.2">
      <c r="A13332" t="s">
        <v>13255</v>
      </c>
      <c r="B13332" t="str">
        <f>"18227720980"</f>
        <v>18227720980</v>
      </c>
      <c r="C13332" t="str">
        <f>"513223199001011414"</f>
        <v>513223199001011414</v>
      </c>
      <c r="D13332" t="s">
        <v>1</v>
      </c>
      <c r="E13332" t="s">
        <v>1</v>
      </c>
      <c r="F13332" t="s">
        <v>0</v>
      </c>
      <c r="G13332" t="str">
        <f>"2018-10-13 11:36:33"</f>
        <v>2018-10-13 11:36:33</v>
      </c>
    </row>
    <row r="13333" spans="1:7" x14ac:dyDescent="0.2">
      <c r="A13333" t="s">
        <v>13256</v>
      </c>
      <c r="B13333" t="str">
        <f>"15988135606"</f>
        <v>15988135606</v>
      </c>
      <c r="C13333" t="str">
        <f>"33010419860727271X"</f>
        <v>33010419860727271X</v>
      </c>
      <c r="D13333" t="s">
        <v>13257</v>
      </c>
      <c r="E13333" t="s">
        <v>13258</v>
      </c>
      <c r="F13333" t="s">
        <v>0</v>
      </c>
      <c r="G13333" t="str">
        <f>"2018-10-13 11:35:30"</f>
        <v>2018-10-13 11:35:30</v>
      </c>
    </row>
    <row r="13334" spans="1:7" x14ac:dyDescent="0.2">
      <c r="A13334" t="s">
        <v>13259</v>
      </c>
      <c r="B13334" t="str">
        <f>"18870806283"</f>
        <v>18870806283</v>
      </c>
      <c r="C13334" t="str">
        <f>"360101199406036076"</f>
        <v>360101199406036076</v>
      </c>
      <c r="D13334" t="s">
        <v>1</v>
      </c>
      <c r="E13334" t="s">
        <v>1</v>
      </c>
      <c r="F13334" t="s">
        <v>0</v>
      </c>
      <c r="G13334" t="str">
        <f>"2018-10-13 11:33:47"</f>
        <v>2018-10-13 11:33:47</v>
      </c>
    </row>
    <row r="13335" spans="1:7" x14ac:dyDescent="0.2">
      <c r="A13335" t="s">
        <v>13260</v>
      </c>
      <c r="B13335" t="str">
        <f>"18305766321"</f>
        <v>18305766321</v>
      </c>
      <c r="C13335" t="str">
        <f>"331022199104112610"</f>
        <v>331022199104112610</v>
      </c>
      <c r="D13335" t="s">
        <v>13261</v>
      </c>
      <c r="E13335" t="s">
        <v>13262</v>
      </c>
      <c r="F13335" t="s">
        <v>0</v>
      </c>
      <c r="G13335" t="str">
        <f>"2018-10-13 11:33:34"</f>
        <v>2018-10-13 11:33:34</v>
      </c>
    </row>
    <row r="13336" spans="1:7" x14ac:dyDescent="0.2">
      <c r="A13336" t="s">
        <v>1</v>
      </c>
      <c r="B13336" t="str">
        <f>"18733718777"</f>
        <v>18733718777</v>
      </c>
      <c r="C13336" t="s">
        <v>1</v>
      </c>
      <c r="D13336" t="s">
        <v>1</v>
      </c>
      <c r="E13336" t="s">
        <v>1</v>
      </c>
      <c r="F13336" t="s">
        <v>0</v>
      </c>
      <c r="G13336" t="str">
        <f>"2018-10-13 11:32:09"</f>
        <v>2018-10-13 11:32:09</v>
      </c>
    </row>
    <row r="13337" spans="1:7" x14ac:dyDescent="0.2">
      <c r="A13337" t="s">
        <v>13263</v>
      </c>
      <c r="B13337" t="str">
        <f>"18870343320"</f>
        <v>18870343320</v>
      </c>
      <c r="C13337" t="str">
        <f>"362323199410026525"</f>
        <v>362323199410026525</v>
      </c>
      <c r="D13337" t="s">
        <v>1</v>
      </c>
      <c r="E13337" t="s">
        <v>1</v>
      </c>
      <c r="F13337" t="s">
        <v>0</v>
      </c>
      <c r="G13337" t="str">
        <f>"2018-10-13 11:43:18"</f>
        <v>2018-10-13 11:43:18</v>
      </c>
    </row>
    <row r="13338" spans="1:7" x14ac:dyDescent="0.2">
      <c r="A13338" t="s">
        <v>1</v>
      </c>
      <c r="B13338" t="str">
        <f>"15167366000"</f>
        <v>15167366000</v>
      </c>
      <c r="C13338" t="s">
        <v>1</v>
      </c>
      <c r="D13338" t="s">
        <v>1</v>
      </c>
      <c r="E13338" t="s">
        <v>1</v>
      </c>
      <c r="F13338" t="s">
        <v>0</v>
      </c>
      <c r="G13338" t="str">
        <f>"2018-10-13 11:30:59"</f>
        <v>2018-10-13 11:30:59</v>
      </c>
    </row>
    <row r="13339" spans="1:7" x14ac:dyDescent="0.2">
      <c r="A13339" t="s">
        <v>1</v>
      </c>
      <c r="B13339" t="str">
        <f>"15843305058"</f>
        <v>15843305058</v>
      </c>
      <c r="C13339" t="s">
        <v>1</v>
      </c>
      <c r="D13339" t="s">
        <v>1</v>
      </c>
      <c r="E13339" t="s">
        <v>1</v>
      </c>
      <c r="F13339" t="s">
        <v>0</v>
      </c>
      <c r="G13339" t="str">
        <f>"2018-10-13 11:30:46"</f>
        <v>2018-10-13 11:30:46</v>
      </c>
    </row>
    <row r="13340" spans="1:7" x14ac:dyDescent="0.2">
      <c r="A13340" t="s">
        <v>1</v>
      </c>
      <c r="B13340" t="str">
        <f>"13564197514"</f>
        <v>13564197514</v>
      </c>
      <c r="C13340" t="s">
        <v>1</v>
      </c>
      <c r="D13340" t="s">
        <v>1</v>
      </c>
      <c r="E13340" t="s">
        <v>1</v>
      </c>
      <c r="F13340" t="s">
        <v>0</v>
      </c>
      <c r="G13340" t="str">
        <f>"2018-10-13 11:32:53"</f>
        <v>2018-10-13 11:32:53</v>
      </c>
    </row>
    <row r="13341" spans="1:7" x14ac:dyDescent="0.2">
      <c r="A13341" t="s">
        <v>13264</v>
      </c>
      <c r="B13341" t="str">
        <f>"15996715333"</f>
        <v>15996715333</v>
      </c>
      <c r="C13341" t="str">
        <f>"320823197511013618"</f>
        <v>320823197511013618</v>
      </c>
      <c r="D13341" t="s">
        <v>13265</v>
      </c>
      <c r="E13341" t="s">
        <v>13266</v>
      </c>
      <c r="F13341" t="s">
        <v>0</v>
      </c>
      <c r="G13341" t="str">
        <f>"2018-10-13 11:32:06"</f>
        <v>2018-10-13 11:32:06</v>
      </c>
    </row>
    <row r="13342" spans="1:7" x14ac:dyDescent="0.2">
      <c r="A13342" t="s">
        <v>13267</v>
      </c>
      <c r="B13342" t="str">
        <f>"18944685312"</f>
        <v>18944685312</v>
      </c>
      <c r="C13342" t="str">
        <f>"230421198909232018"</f>
        <v>230421198909232018</v>
      </c>
      <c r="D13342" t="s">
        <v>1</v>
      </c>
      <c r="E13342" t="s">
        <v>1</v>
      </c>
      <c r="F13342" t="s">
        <v>0</v>
      </c>
      <c r="G13342" t="str">
        <f>"2018-10-13 11:35:03"</f>
        <v>2018-10-13 11:35:03</v>
      </c>
    </row>
    <row r="13343" spans="1:7" x14ac:dyDescent="0.2">
      <c r="A13343" t="s">
        <v>1</v>
      </c>
      <c r="B13343" t="str">
        <f>"15166852000"</f>
        <v>15166852000</v>
      </c>
      <c r="C13343" t="s">
        <v>1</v>
      </c>
      <c r="D13343" t="s">
        <v>1</v>
      </c>
      <c r="E13343" t="s">
        <v>1</v>
      </c>
      <c r="F13343" t="s">
        <v>0</v>
      </c>
      <c r="G13343" t="str">
        <f>"2018-10-13 11:29:32"</f>
        <v>2018-10-13 11:29:32</v>
      </c>
    </row>
    <row r="13344" spans="1:7" x14ac:dyDescent="0.2">
      <c r="A13344" t="s">
        <v>1</v>
      </c>
      <c r="B13344" t="str">
        <f>"13553537750"</f>
        <v>13553537750</v>
      </c>
      <c r="C13344" t="s">
        <v>1</v>
      </c>
      <c r="D13344" t="s">
        <v>1</v>
      </c>
      <c r="E13344" t="s">
        <v>1</v>
      </c>
      <c r="F13344" t="s">
        <v>0</v>
      </c>
      <c r="G13344" t="str">
        <f>"2018-10-13 11:32:11"</f>
        <v>2018-10-13 11:32:11</v>
      </c>
    </row>
    <row r="13345" spans="1:7" x14ac:dyDescent="0.2">
      <c r="A13345" t="s">
        <v>1</v>
      </c>
      <c r="B13345" t="str">
        <f>"13553126518"</f>
        <v>13553126518</v>
      </c>
      <c r="C13345" t="s">
        <v>1</v>
      </c>
      <c r="D13345" t="s">
        <v>1</v>
      </c>
      <c r="E13345" t="s">
        <v>1</v>
      </c>
      <c r="F13345" t="s">
        <v>0</v>
      </c>
      <c r="G13345" t="str">
        <f>"2018-10-13 11:38:36"</f>
        <v>2018-10-13 11:38:36</v>
      </c>
    </row>
    <row r="13346" spans="1:7" x14ac:dyDescent="0.2">
      <c r="A13346" t="s">
        <v>13268</v>
      </c>
      <c r="B13346" t="str">
        <f>"18005865202"</f>
        <v>18005865202</v>
      </c>
      <c r="C13346" t="str">
        <f>"331023198811173131"</f>
        <v>331023198811173131</v>
      </c>
      <c r="D13346" t="s">
        <v>1</v>
      </c>
      <c r="E13346" t="s">
        <v>1</v>
      </c>
      <c r="F13346" t="s">
        <v>0</v>
      </c>
      <c r="G13346" t="str">
        <f>"2018-10-13 11:31:55"</f>
        <v>2018-10-13 11:31:55</v>
      </c>
    </row>
    <row r="13347" spans="1:7" x14ac:dyDescent="0.2">
      <c r="A13347" t="s">
        <v>4814</v>
      </c>
      <c r="B13347" t="str">
        <f>"18246460113"</f>
        <v>18246460113</v>
      </c>
      <c r="C13347" t="str">
        <f>"230123198401133357"</f>
        <v>230123198401133357</v>
      </c>
      <c r="D13347" t="s">
        <v>1</v>
      </c>
      <c r="E13347" t="s">
        <v>1</v>
      </c>
      <c r="F13347" t="s">
        <v>0</v>
      </c>
      <c r="G13347" t="str">
        <f>"2018-10-13 11:31:19"</f>
        <v>2018-10-13 11:31:19</v>
      </c>
    </row>
    <row r="13348" spans="1:7" x14ac:dyDescent="0.2">
      <c r="A13348" t="s">
        <v>13269</v>
      </c>
      <c r="B13348" t="str">
        <f>"18605981840"</f>
        <v>18605981840</v>
      </c>
      <c r="C13348" t="str">
        <f>"350429198603250019"</f>
        <v>350429198603250019</v>
      </c>
      <c r="D13348" t="s">
        <v>1</v>
      </c>
      <c r="E13348" t="s">
        <v>1</v>
      </c>
      <c r="F13348" t="s">
        <v>0</v>
      </c>
      <c r="G13348" t="str">
        <f>"2018-10-13 11:30:43"</f>
        <v>2018-10-13 11:30:43</v>
      </c>
    </row>
    <row r="13349" spans="1:7" x14ac:dyDescent="0.2">
      <c r="A13349" t="s">
        <v>13270</v>
      </c>
      <c r="B13349" t="str">
        <f>"13695739510"</f>
        <v>13695739510</v>
      </c>
      <c r="C13349" t="str">
        <f>"34122619790307105X"</f>
        <v>34122619790307105X</v>
      </c>
      <c r="D13349" t="s">
        <v>1</v>
      </c>
      <c r="E13349" t="s">
        <v>1</v>
      </c>
      <c r="F13349" t="s">
        <v>0</v>
      </c>
      <c r="G13349" t="str">
        <f>"2018-10-13 11:30:36"</f>
        <v>2018-10-13 11:30:36</v>
      </c>
    </row>
    <row r="13350" spans="1:7" x14ac:dyDescent="0.2">
      <c r="A13350" t="s">
        <v>1</v>
      </c>
      <c r="B13350" t="str">
        <f>"13557896311"</f>
        <v>13557896311</v>
      </c>
      <c r="C13350" t="s">
        <v>1</v>
      </c>
      <c r="D13350" t="s">
        <v>1</v>
      </c>
      <c r="E13350" t="s">
        <v>1</v>
      </c>
      <c r="F13350" t="s">
        <v>0</v>
      </c>
      <c r="G13350" t="str">
        <f>"2018-10-13 11:29:06"</f>
        <v>2018-10-13 11:29:06</v>
      </c>
    </row>
    <row r="13351" spans="1:7" x14ac:dyDescent="0.2">
      <c r="A13351" t="s">
        <v>1</v>
      </c>
      <c r="B13351" t="str">
        <f>"13931728172"</f>
        <v>13931728172</v>
      </c>
      <c r="C13351" t="s">
        <v>1</v>
      </c>
      <c r="D13351" t="s">
        <v>1</v>
      </c>
      <c r="E13351" t="s">
        <v>1</v>
      </c>
      <c r="F13351" t="s">
        <v>0</v>
      </c>
      <c r="G13351" t="str">
        <f>"2018-10-13 11:28:57"</f>
        <v>2018-10-13 11:28:57</v>
      </c>
    </row>
    <row r="13352" spans="1:7" x14ac:dyDescent="0.2">
      <c r="A13352" t="s">
        <v>1</v>
      </c>
      <c r="B13352" t="str">
        <f>"17074975798"</f>
        <v>17074975798</v>
      </c>
      <c r="C13352" t="s">
        <v>1</v>
      </c>
      <c r="D13352" t="s">
        <v>1</v>
      </c>
      <c r="E13352" t="s">
        <v>1</v>
      </c>
      <c r="F13352" t="s">
        <v>0</v>
      </c>
      <c r="G13352" t="str">
        <f>"2018-10-13 11:28:55"</f>
        <v>2018-10-13 11:28:55</v>
      </c>
    </row>
    <row r="13353" spans="1:7" x14ac:dyDescent="0.2">
      <c r="A13353" t="s">
        <v>1244</v>
      </c>
      <c r="B13353" t="str">
        <f>"15893207788"</f>
        <v>15893207788</v>
      </c>
      <c r="C13353" t="str">
        <f>"410901198404260019"</f>
        <v>410901198404260019</v>
      </c>
      <c r="D13353" t="s">
        <v>1</v>
      </c>
      <c r="E13353" t="s">
        <v>1</v>
      </c>
      <c r="F13353" t="s">
        <v>0</v>
      </c>
      <c r="G13353" t="str">
        <f>"2018-10-13 11:30:25"</f>
        <v>2018-10-13 11:30:25</v>
      </c>
    </row>
    <row r="13354" spans="1:7" x14ac:dyDescent="0.2">
      <c r="A13354" t="s">
        <v>13271</v>
      </c>
      <c r="B13354" t="str">
        <f>"15272755096"</f>
        <v>15272755096</v>
      </c>
      <c r="C13354" t="str">
        <f>"420921199110185713"</f>
        <v>420921199110185713</v>
      </c>
      <c r="D13354" t="s">
        <v>1</v>
      </c>
      <c r="E13354" t="s">
        <v>1</v>
      </c>
      <c r="F13354" t="s">
        <v>0</v>
      </c>
      <c r="G13354" t="str">
        <f>"2018-10-13 11:28:08"</f>
        <v>2018-10-13 11:28:08</v>
      </c>
    </row>
    <row r="13355" spans="1:7" x14ac:dyDescent="0.2">
      <c r="A13355" t="s">
        <v>13272</v>
      </c>
      <c r="B13355" t="str">
        <f>"13995692137"</f>
        <v>13995692137</v>
      </c>
      <c r="C13355" t="str">
        <f>"420102198411232811"</f>
        <v>420102198411232811</v>
      </c>
      <c r="D13355" t="s">
        <v>1</v>
      </c>
      <c r="E13355" t="s">
        <v>1</v>
      </c>
      <c r="F13355" t="s">
        <v>0</v>
      </c>
      <c r="G13355" t="str">
        <f>"2018-10-22 20:50:23"</f>
        <v>2018-10-22 20:50:23</v>
      </c>
    </row>
    <row r="13356" spans="1:7" x14ac:dyDescent="0.2">
      <c r="A13356" t="s">
        <v>13273</v>
      </c>
      <c r="B13356" t="str">
        <f>"15068549215"</f>
        <v>15068549215</v>
      </c>
      <c r="C13356" t="str">
        <f>"330621199702028692"</f>
        <v>330621199702028692</v>
      </c>
      <c r="D13356" t="s">
        <v>1</v>
      </c>
      <c r="E13356" t="s">
        <v>1</v>
      </c>
      <c r="F13356" t="s">
        <v>0</v>
      </c>
      <c r="G13356" t="str">
        <f>"2018-10-13 11:28:27"</f>
        <v>2018-10-13 11:28:27</v>
      </c>
    </row>
    <row r="13357" spans="1:7" x14ac:dyDescent="0.2">
      <c r="A13357" t="s">
        <v>13274</v>
      </c>
      <c r="B13357" t="str">
        <f>"18678779985"</f>
        <v>18678779985</v>
      </c>
      <c r="C13357" t="str">
        <f>"370105198209293316"</f>
        <v>370105198209293316</v>
      </c>
      <c r="D13357" t="s">
        <v>1</v>
      </c>
      <c r="E13357" t="s">
        <v>1</v>
      </c>
      <c r="F13357" t="s">
        <v>0</v>
      </c>
      <c r="G13357" t="str">
        <f>"2018-10-13 11:28:01"</f>
        <v>2018-10-13 11:28:01</v>
      </c>
    </row>
    <row r="13358" spans="1:7" x14ac:dyDescent="0.2">
      <c r="A13358" t="s">
        <v>13275</v>
      </c>
      <c r="B13358" t="str">
        <f>"15924039091"</f>
        <v>15924039091</v>
      </c>
      <c r="C13358" t="str">
        <f>"321102198301146311"</f>
        <v>321102198301146311</v>
      </c>
      <c r="D13358" t="s">
        <v>1</v>
      </c>
      <c r="E13358" t="s">
        <v>1</v>
      </c>
      <c r="F13358" t="s">
        <v>0</v>
      </c>
      <c r="G13358" t="str">
        <f>"2018-10-13 11:28:35"</f>
        <v>2018-10-13 11:28:35</v>
      </c>
    </row>
    <row r="13359" spans="1:7" x14ac:dyDescent="0.2">
      <c r="A13359" t="s">
        <v>13276</v>
      </c>
      <c r="B13359" t="str">
        <f>"13218070518"</f>
        <v>13218070518</v>
      </c>
      <c r="C13359" t="str">
        <f>"32012219970422001X"</f>
        <v>32012219970422001X</v>
      </c>
      <c r="D13359" t="s">
        <v>1</v>
      </c>
      <c r="E13359" t="s">
        <v>1</v>
      </c>
      <c r="F13359" t="s">
        <v>0</v>
      </c>
      <c r="G13359" t="str">
        <f>"2018-10-13 11:27:03"</f>
        <v>2018-10-13 11:27:03</v>
      </c>
    </row>
    <row r="13360" spans="1:7" x14ac:dyDescent="0.2">
      <c r="A13360" t="s">
        <v>13277</v>
      </c>
      <c r="B13360" t="str">
        <f>"18778707175"</f>
        <v>18778707175</v>
      </c>
      <c r="C13360" t="str">
        <f>"45072219890505473X"</f>
        <v>45072219890505473X</v>
      </c>
      <c r="D13360" t="s">
        <v>1</v>
      </c>
      <c r="E13360" t="s">
        <v>1</v>
      </c>
      <c r="F13360" t="s">
        <v>0</v>
      </c>
      <c r="G13360" t="str">
        <f>"2018-10-13 11:29:46"</f>
        <v>2018-10-13 11:29:46</v>
      </c>
    </row>
    <row r="13361" spans="1:7" x14ac:dyDescent="0.2">
      <c r="A13361" t="s">
        <v>1</v>
      </c>
      <c r="B13361" t="str">
        <f>"15278306108"</f>
        <v>15278306108</v>
      </c>
      <c r="C13361" t="s">
        <v>1</v>
      </c>
      <c r="D13361" t="s">
        <v>1</v>
      </c>
      <c r="E13361" t="s">
        <v>1</v>
      </c>
      <c r="F13361" t="s">
        <v>0</v>
      </c>
      <c r="G13361" t="str">
        <f>"2018-10-13 11:25:47"</f>
        <v>2018-10-13 11:25:47</v>
      </c>
    </row>
    <row r="13362" spans="1:7" x14ac:dyDescent="0.2">
      <c r="A13362" t="s">
        <v>13278</v>
      </c>
      <c r="B13362" t="str">
        <f>"18610631906"</f>
        <v>18610631906</v>
      </c>
      <c r="C13362" t="str">
        <f>"131126198909272450"</f>
        <v>131126198909272450</v>
      </c>
      <c r="D13362" t="s">
        <v>1</v>
      </c>
      <c r="E13362" t="s">
        <v>1</v>
      </c>
      <c r="F13362" t="s">
        <v>0</v>
      </c>
      <c r="G13362" t="str">
        <f>"2018-10-13 12:53:23"</f>
        <v>2018-10-13 12:53:23</v>
      </c>
    </row>
    <row r="13363" spans="1:7" x14ac:dyDescent="0.2">
      <c r="A13363" t="s">
        <v>13279</v>
      </c>
      <c r="B13363" t="str">
        <f>"13339331319"</f>
        <v>13339331319</v>
      </c>
      <c r="C13363" t="str">
        <f>"230502199404200011"</f>
        <v>230502199404200011</v>
      </c>
      <c r="D13363" t="s">
        <v>1</v>
      </c>
      <c r="E13363" t="s">
        <v>1</v>
      </c>
      <c r="F13363" t="s">
        <v>0</v>
      </c>
      <c r="G13363" t="str">
        <f>"2018-10-14 19:11:19"</f>
        <v>2018-10-14 19:11:19</v>
      </c>
    </row>
    <row r="13364" spans="1:7" x14ac:dyDescent="0.2">
      <c r="A13364" t="s">
        <v>13280</v>
      </c>
      <c r="B13364" t="str">
        <f>"15969766665"</f>
        <v>15969766665</v>
      </c>
      <c r="C13364" t="str">
        <f>"371482198701170326"</f>
        <v>371482198701170326</v>
      </c>
      <c r="D13364" t="s">
        <v>1</v>
      </c>
      <c r="E13364" t="s">
        <v>1</v>
      </c>
      <c r="F13364" t="s">
        <v>0</v>
      </c>
      <c r="G13364" t="str">
        <f>"2018-10-13 18:27:31"</f>
        <v>2018-10-13 18:27:31</v>
      </c>
    </row>
    <row r="13365" spans="1:7" x14ac:dyDescent="0.2">
      <c r="A13365" t="s">
        <v>13281</v>
      </c>
      <c r="B13365" t="str">
        <f>"18711014622"</f>
        <v>18711014622</v>
      </c>
      <c r="C13365" t="str">
        <f>"430181198208077059"</f>
        <v>430181198208077059</v>
      </c>
      <c r="D13365" t="s">
        <v>1</v>
      </c>
      <c r="E13365" t="s">
        <v>1</v>
      </c>
      <c r="F13365" t="s">
        <v>0</v>
      </c>
      <c r="G13365" t="str">
        <f>"2018-10-13 11:27:13"</f>
        <v>2018-10-13 11:27:13</v>
      </c>
    </row>
    <row r="13366" spans="1:7" x14ac:dyDescent="0.2">
      <c r="A13366" t="s">
        <v>13282</v>
      </c>
      <c r="B13366" t="str">
        <f>"13794419744"</f>
        <v>13794419744</v>
      </c>
      <c r="C13366" t="str">
        <f>"445281198406131038"</f>
        <v>445281198406131038</v>
      </c>
      <c r="D13366" t="s">
        <v>1</v>
      </c>
      <c r="E13366" t="s">
        <v>1</v>
      </c>
      <c r="F13366" t="s">
        <v>0</v>
      </c>
      <c r="G13366" t="str">
        <f>"2018-10-13 11:28:06"</f>
        <v>2018-10-13 11:28:06</v>
      </c>
    </row>
    <row r="13367" spans="1:7" x14ac:dyDescent="0.2">
      <c r="A13367" t="s">
        <v>13283</v>
      </c>
      <c r="B13367" t="str">
        <f>"15806142817"</f>
        <v>15806142817</v>
      </c>
      <c r="C13367" t="str">
        <f>"320481199003172445"</f>
        <v>320481199003172445</v>
      </c>
      <c r="D13367" t="s">
        <v>13284</v>
      </c>
      <c r="E13367" t="s">
        <v>13285</v>
      </c>
      <c r="F13367" t="s">
        <v>0</v>
      </c>
      <c r="G13367" t="str">
        <f>"2018-10-13 11:26:39"</f>
        <v>2018-10-13 11:26:39</v>
      </c>
    </row>
    <row r="13368" spans="1:7" x14ac:dyDescent="0.2">
      <c r="A13368" t="s">
        <v>13286</v>
      </c>
      <c r="B13368" t="str">
        <f>"13811184370"</f>
        <v>13811184370</v>
      </c>
      <c r="C13368" t="str">
        <f>"110111198910114012"</f>
        <v>110111198910114012</v>
      </c>
      <c r="D13368" t="s">
        <v>1</v>
      </c>
      <c r="E13368" t="s">
        <v>1</v>
      </c>
      <c r="F13368" t="s">
        <v>0</v>
      </c>
      <c r="G13368" t="str">
        <f>"2018-10-13 16:46:55"</f>
        <v>2018-10-13 16:46:55</v>
      </c>
    </row>
    <row r="13369" spans="1:7" x14ac:dyDescent="0.2">
      <c r="A13369" t="s">
        <v>13287</v>
      </c>
      <c r="B13369" t="str">
        <f>"18075677961"</f>
        <v>18075677961</v>
      </c>
      <c r="C13369" t="str">
        <f>"432503200002283599"</f>
        <v>432503200002283599</v>
      </c>
      <c r="D13369" t="s">
        <v>1</v>
      </c>
      <c r="E13369" t="s">
        <v>1</v>
      </c>
      <c r="F13369" t="s">
        <v>0</v>
      </c>
      <c r="G13369" t="str">
        <f>"2018-10-13 11:23:50"</f>
        <v>2018-10-13 11:23:50</v>
      </c>
    </row>
    <row r="13370" spans="1:7" x14ac:dyDescent="0.2">
      <c r="A13370" t="s">
        <v>1</v>
      </c>
      <c r="B13370" t="str">
        <f>"15820989648"</f>
        <v>15820989648</v>
      </c>
      <c r="C13370" t="s">
        <v>1</v>
      </c>
      <c r="D13370" t="s">
        <v>1</v>
      </c>
      <c r="E13370" t="s">
        <v>1</v>
      </c>
      <c r="F13370" t="s">
        <v>0</v>
      </c>
      <c r="G13370" t="str">
        <f>"2018-10-13 11:25:20"</f>
        <v>2018-10-13 11:25:20</v>
      </c>
    </row>
    <row r="13371" spans="1:7" x14ac:dyDescent="0.2">
      <c r="A13371" t="s">
        <v>13288</v>
      </c>
      <c r="B13371" t="str">
        <f>"18205282801"</f>
        <v>18205282801</v>
      </c>
      <c r="C13371" t="str">
        <f>"321182198205023217"</f>
        <v>321182198205023217</v>
      </c>
      <c r="D13371" t="s">
        <v>1</v>
      </c>
      <c r="E13371" t="s">
        <v>1</v>
      </c>
      <c r="F13371" t="s">
        <v>0</v>
      </c>
      <c r="G13371" t="str">
        <f>"2018-10-13 11:22:55"</f>
        <v>2018-10-13 11:22:55</v>
      </c>
    </row>
    <row r="13372" spans="1:7" x14ac:dyDescent="0.2">
      <c r="A13372" t="s">
        <v>13289</v>
      </c>
      <c r="B13372" t="str">
        <f>"13613483466"</f>
        <v>13613483466</v>
      </c>
      <c r="C13372" t="str">
        <f>"140105199407121816"</f>
        <v>140105199407121816</v>
      </c>
      <c r="D13372" t="s">
        <v>1</v>
      </c>
      <c r="E13372" t="s">
        <v>1</v>
      </c>
      <c r="F13372" t="s">
        <v>0</v>
      </c>
      <c r="G13372" t="str">
        <f>"2018-10-13 12:16:13"</f>
        <v>2018-10-13 12:16:13</v>
      </c>
    </row>
    <row r="13373" spans="1:7" x14ac:dyDescent="0.2">
      <c r="A13373" t="s">
        <v>1571</v>
      </c>
      <c r="B13373" t="str">
        <f>"13982300251"</f>
        <v>13982300251</v>
      </c>
      <c r="C13373" t="str">
        <f>"341225198911266832"</f>
        <v>341225198911266832</v>
      </c>
      <c r="D13373" t="s">
        <v>1</v>
      </c>
      <c r="E13373" t="s">
        <v>1</v>
      </c>
      <c r="F13373" t="s">
        <v>0</v>
      </c>
      <c r="G13373" t="str">
        <f>"2018-10-13 11:29:43"</f>
        <v>2018-10-13 11:29:43</v>
      </c>
    </row>
    <row r="13374" spans="1:7" x14ac:dyDescent="0.2">
      <c r="A13374" t="s">
        <v>13290</v>
      </c>
      <c r="B13374" t="str">
        <f>"13966187222"</f>
        <v>13966187222</v>
      </c>
      <c r="C13374" t="str">
        <f>"342501198312301532"</f>
        <v>342501198312301532</v>
      </c>
      <c r="D13374" t="s">
        <v>1</v>
      </c>
      <c r="E13374" t="s">
        <v>1</v>
      </c>
      <c r="F13374" t="s">
        <v>0</v>
      </c>
      <c r="G13374" t="str">
        <f>"2018-10-13 11:23:50"</f>
        <v>2018-10-13 11:23:50</v>
      </c>
    </row>
    <row r="13375" spans="1:7" x14ac:dyDescent="0.2">
      <c r="A13375" t="s">
        <v>13291</v>
      </c>
      <c r="B13375" t="str">
        <f>"13964774433"</f>
        <v>13964774433</v>
      </c>
      <c r="C13375" t="str">
        <f>"370784198810052634"</f>
        <v>370784198810052634</v>
      </c>
      <c r="D13375" t="s">
        <v>1</v>
      </c>
      <c r="E13375" t="s">
        <v>1</v>
      </c>
      <c r="F13375" t="s">
        <v>0</v>
      </c>
      <c r="G13375" t="str">
        <f>"2018-10-13 11:22:26"</f>
        <v>2018-10-13 11:22:26</v>
      </c>
    </row>
    <row r="13376" spans="1:7" x14ac:dyDescent="0.2">
      <c r="A13376" t="s">
        <v>13158</v>
      </c>
      <c r="B13376" t="str">
        <f>"15881658906"</f>
        <v>15881658906</v>
      </c>
      <c r="C13376" t="str">
        <f>"510722198308088866"</f>
        <v>510722198308088866</v>
      </c>
      <c r="D13376" t="s">
        <v>1</v>
      </c>
      <c r="E13376" t="s">
        <v>1</v>
      </c>
      <c r="F13376" t="s">
        <v>0</v>
      </c>
      <c r="G13376" t="str">
        <f>"2018-10-16 09:32:49"</f>
        <v>2018-10-16 09:32:49</v>
      </c>
    </row>
    <row r="13377" spans="1:7" x14ac:dyDescent="0.2">
      <c r="A13377" t="s">
        <v>13292</v>
      </c>
      <c r="B13377" t="str">
        <f>"13047167241"</f>
        <v>13047167241</v>
      </c>
      <c r="C13377" t="str">
        <f>"420581198405021812"</f>
        <v>420581198405021812</v>
      </c>
      <c r="D13377" t="s">
        <v>1</v>
      </c>
      <c r="E13377" t="s">
        <v>1</v>
      </c>
      <c r="F13377" t="s">
        <v>0</v>
      </c>
      <c r="G13377" t="str">
        <f>"2018-10-13 16:36:13"</f>
        <v>2018-10-13 16:36:13</v>
      </c>
    </row>
    <row r="13378" spans="1:7" x14ac:dyDescent="0.2">
      <c r="A13378" t="s">
        <v>1</v>
      </c>
      <c r="B13378" t="str">
        <f>"15120204637"</f>
        <v>15120204637</v>
      </c>
      <c r="C13378" t="s">
        <v>1</v>
      </c>
      <c r="D13378" t="s">
        <v>1</v>
      </c>
      <c r="E13378" t="s">
        <v>1</v>
      </c>
      <c r="F13378" t="s">
        <v>0</v>
      </c>
      <c r="G13378" t="str">
        <f>"2018-10-13 11:20:29"</f>
        <v>2018-10-13 11:20:29</v>
      </c>
    </row>
    <row r="13379" spans="1:7" x14ac:dyDescent="0.2">
      <c r="A13379" t="s">
        <v>13293</v>
      </c>
      <c r="B13379" t="str">
        <f>"15803410450"</f>
        <v>15803410450</v>
      </c>
      <c r="C13379" t="str">
        <f>"142402199408256324"</f>
        <v>142402199408256324</v>
      </c>
      <c r="D13379" t="s">
        <v>1</v>
      </c>
      <c r="E13379" t="s">
        <v>1</v>
      </c>
      <c r="F13379" t="s">
        <v>0</v>
      </c>
      <c r="G13379" t="str">
        <f>"2018-10-13 11:21:39"</f>
        <v>2018-10-13 11:21:39</v>
      </c>
    </row>
    <row r="13380" spans="1:7" x14ac:dyDescent="0.2">
      <c r="A13380" t="s">
        <v>13294</v>
      </c>
      <c r="B13380" t="str">
        <f>"18750180756"</f>
        <v>18750180756</v>
      </c>
      <c r="C13380" t="str">
        <f>"350181198911252736"</f>
        <v>350181198911252736</v>
      </c>
      <c r="D13380" t="s">
        <v>1</v>
      </c>
      <c r="E13380" t="s">
        <v>1</v>
      </c>
      <c r="F13380" t="s">
        <v>0</v>
      </c>
      <c r="G13380" t="str">
        <f>"2018-10-14 12:18:11"</f>
        <v>2018-10-14 12:18:11</v>
      </c>
    </row>
    <row r="13381" spans="1:7" x14ac:dyDescent="0.2">
      <c r="A13381" t="s">
        <v>285</v>
      </c>
      <c r="B13381" t="str">
        <f>"13610796141"</f>
        <v>13610796141</v>
      </c>
      <c r="C13381" t="str">
        <f>"152104198801114617"</f>
        <v>152104198801114617</v>
      </c>
      <c r="D13381" t="s">
        <v>1</v>
      </c>
      <c r="E13381" t="s">
        <v>1</v>
      </c>
      <c r="F13381" t="s">
        <v>0</v>
      </c>
      <c r="G13381" t="str">
        <f>"2018-10-13 11:37:39"</f>
        <v>2018-10-13 11:37:39</v>
      </c>
    </row>
    <row r="13382" spans="1:7" x14ac:dyDescent="0.2">
      <c r="A13382" t="s">
        <v>2768</v>
      </c>
      <c r="B13382" t="str">
        <f>"13527658651"</f>
        <v>13527658651</v>
      </c>
      <c r="C13382" t="str">
        <f>"511321199512103610"</f>
        <v>511321199512103610</v>
      </c>
      <c r="D13382" t="s">
        <v>1</v>
      </c>
      <c r="E13382" t="s">
        <v>1</v>
      </c>
      <c r="F13382" t="s">
        <v>0</v>
      </c>
      <c r="G13382" t="str">
        <f>"2018-10-13 11:54:27"</f>
        <v>2018-10-13 11:54:27</v>
      </c>
    </row>
    <row r="13383" spans="1:7" x14ac:dyDescent="0.2">
      <c r="A13383" t="s">
        <v>1</v>
      </c>
      <c r="B13383" t="str">
        <f>"17156996430"</f>
        <v>17156996430</v>
      </c>
      <c r="C13383" t="s">
        <v>1</v>
      </c>
      <c r="D13383" t="s">
        <v>1</v>
      </c>
      <c r="E13383" t="s">
        <v>1</v>
      </c>
      <c r="F13383" t="s">
        <v>0</v>
      </c>
      <c r="G13383" t="str">
        <f>"2018-10-13 11:19:06"</f>
        <v>2018-10-13 11:19:06</v>
      </c>
    </row>
    <row r="13384" spans="1:7" x14ac:dyDescent="0.2">
      <c r="A13384" t="s">
        <v>13295</v>
      </c>
      <c r="B13384" t="str">
        <f>"13478784948"</f>
        <v>13478784948</v>
      </c>
      <c r="C13384" t="str">
        <f>"210213199407203313"</f>
        <v>210213199407203313</v>
      </c>
      <c r="D13384" t="s">
        <v>13296</v>
      </c>
      <c r="E13384" t="s">
        <v>13297</v>
      </c>
      <c r="F13384" t="s">
        <v>0</v>
      </c>
      <c r="G13384" t="str">
        <f>"2018-10-13 14:40:29"</f>
        <v>2018-10-13 14:40:29</v>
      </c>
    </row>
    <row r="13385" spans="1:7" x14ac:dyDescent="0.2">
      <c r="A13385" t="s">
        <v>13298</v>
      </c>
      <c r="B13385" t="str">
        <f>"17863669399"</f>
        <v>17863669399</v>
      </c>
      <c r="C13385" t="str">
        <f>"372330199601161872"</f>
        <v>372330199601161872</v>
      </c>
      <c r="D13385" t="s">
        <v>1</v>
      </c>
      <c r="E13385" t="s">
        <v>1</v>
      </c>
      <c r="F13385" t="s">
        <v>0</v>
      </c>
      <c r="G13385" t="str">
        <f>"2018-10-13 11:18:54"</f>
        <v>2018-10-13 11:18:54</v>
      </c>
    </row>
    <row r="13386" spans="1:7" x14ac:dyDescent="0.2">
      <c r="A13386" t="s">
        <v>1276</v>
      </c>
      <c r="B13386" t="str">
        <f>"13640549224"</f>
        <v>13640549224</v>
      </c>
      <c r="C13386" t="str">
        <f>"511681199602236217"</f>
        <v>511681199602236217</v>
      </c>
      <c r="D13386" t="s">
        <v>13299</v>
      </c>
      <c r="E13386" t="s">
        <v>13300</v>
      </c>
      <c r="F13386" t="s">
        <v>0</v>
      </c>
      <c r="G13386" t="str">
        <f>"2018-10-22 15:37:33"</f>
        <v>2018-10-22 15:37:33</v>
      </c>
    </row>
    <row r="13387" spans="1:7" x14ac:dyDescent="0.2">
      <c r="A13387" t="s">
        <v>1</v>
      </c>
      <c r="B13387" t="str">
        <f>"18289112288"</f>
        <v>18289112288</v>
      </c>
      <c r="C13387" t="s">
        <v>1</v>
      </c>
      <c r="D13387" t="s">
        <v>1</v>
      </c>
      <c r="E13387" t="s">
        <v>1</v>
      </c>
      <c r="F13387" t="s">
        <v>0</v>
      </c>
      <c r="G13387" t="str">
        <f>"2018-10-13 11:18:29"</f>
        <v>2018-10-13 11:18:29</v>
      </c>
    </row>
    <row r="13388" spans="1:7" x14ac:dyDescent="0.2">
      <c r="A13388" t="s">
        <v>13301</v>
      </c>
      <c r="B13388" t="str">
        <f>"18084511818"</f>
        <v>18084511818</v>
      </c>
      <c r="C13388" t="str">
        <f>"522625198809163382"</f>
        <v>522625198809163382</v>
      </c>
      <c r="D13388" t="s">
        <v>1</v>
      </c>
      <c r="E13388" t="s">
        <v>1</v>
      </c>
      <c r="F13388" t="s">
        <v>0</v>
      </c>
      <c r="G13388" t="str">
        <f>"2018-10-13 11:32:01"</f>
        <v>2018-10-13 11:32:01</v>
      </c>
    </row>
    <row r="13389" spans="1:7" x14ac:dyDescent="0.2">
      <c r="A13389" t="s">
        <v>1</v>
      </c>
      <c r="B13389" t="str">
        <f>"13411857100"</f>
        <v>13411857100</v>
      </c>
      <c r="C13389" t="s">
        <v>1</v>
      </c>
      <c r="D13389" t="s">
        <v>1</v>
      </c>
      <c r="E13389" t="s">
        <v>1</v>
      </c>
      <c r="F13389" t="s">
        <v>0</v>
      </c>
      <c r="G13389" t="str">
        <f>"2018-10-13 11:17:56"</f>
        <v>2018-10-13 11:17:56</v>
      </c>
    </row>
    <row r="13390" spans="1:7" x14ac:dyDescent="0.2">
      <c r="A13390" t="s">
        <v>1</v>
      </c>
      <c r="B13390" t="str">
        <f>"18566120235"</f>
        <v>18566120235</v>
      </c>
      <c r="C13390" t="s">
        <v>1</v>
      </c>
      <c r="D13390" t="s">
        <v>1</v>
      </c>
      <c r="E13390" t="s">
        <v>1</v>
      </c>
      <c r="F13390" t="s">
        <v>0</v>
      </c>
      <c r="G13390" t="str">
        <f>"2018-10-13 11:17:33"</f>
        <v>2018-10-13 11:17:33</v>
      </c>
    </row>
    <row r="13391" spans="1:7" x14ac:dyDescent="0.2">
      <c r="A13391" t="s">
        <v>829</v>
      </c>
      <c r="B13391" t="str">
        <f>"18787307190"</f>
        <v>18787307190</v>
      </c>
      <c r="C13391" t="str">
        <f>"532501199005090632"</f>
        <v>532501199005090632</v>
      </c>
      <c r="D13391" t="s">
        <v>13302</v>
      </c>
      <c r="E13391" t="s">
        <v>13303</v>
      </c>
      <c r="F13391" t="s">
        <v>0</v>
      </c>
      <c r="G13391" t="str">
        <f>"2018-10-13 11:30:58"</f>
        <v>2018-10-13 11:30:58</v>
      </c>
    </row>
    <row r="13392" spans="1:7" x14ac:dyDescent="0.2">
      <c r="A13392" t="s">
        <v>1</v>
      </c>
      <c r="B13392" t="str">
        <f>"13984039234"</f>
        <v>13984039234</v>
      </c>
      <c r="C13392" t="s">
        <v>1</v>
      </c>
      <c r="D13392" t="s">
        <v>1</v>
      </c>
      <c r="E13392" t="s">
        <v>1</v>
      </c>
      <c r="F13392" t="s">
        <v>0</v>
      </c>
      <c r="G13392" t="str">
        <f>"2018-10-13 11:19:17"</f>
        <v>2018-10-13 11:19:17</v>
      </c>
    </row>
    <row r="13393" spans="1:7" x14ac:dyDescent="0.2">
      <c r="A13393" t="s">
        <v>1</v>
      </c>
      <c r="B13393" t="str">
        <f>"13880440434"</f>
        <v>13880440434</v>
      </c>
      <c r="C13393" t="s">
        <v>1</v>
      </c>
      <c r="D13393" t="s">
        <v>1</v>
      </c>
      <c r="E13393" t="s">
        <v>1</v>
      </c>
      <c r="F13393" t="s">
        <v>0</v>
      </c>
      <c r="G13393" t="str">
        <f>"2018-10-13 11:17:18"</f>
        <v>2018-10-13 11:17:18</v>
      </c>
    </row>
    <row r="13394" spans="1:7" x14ac:dyDescent="0.2">
      <c r="A13394" t="s">
        <v>1</v>
      </c>
      <c r="B13394" t="str">
        <f>"18839030785"</f>
        <v>18839030785</v>
      </c>
      <c r="C13394" t="s">
        <v>1</v>
      </c>
      <c r="D13394" t="s">
        <v>1</v>
      </c>
      <c r="E13394" t="s">
        <v>1</v>
      </c>
      <c r="F13394" t="s">
        <v>0</v>
      </c>
      <c r="G13394" t="str">
        <f>"2018-10-13 11:17:18"</f>
        <v>2018-10-13 11:17:18</v>
      </c>
    </row>
    <row r="13395" spans="1:7" x14ac:dyDescent="0.2">
      <c r="A13395" t="s">
        <v>13304</v>
      </c>
      <c r="B13395" t="str">
        <f>"13954486300"</f>
        <v>13954486300</v>
      </c>
      <c r="C13395" t="str">
        <f>"371326198507173711"</f>
        <v>371326198507173711</v>
      </c>
      <c r="D13395" t="s">
        <v>1</v>
      </c>
      <c r="E13395" t="s">
        <v>1</v>
      </c>
      <c r="F13395" t="s">
        <v>0</v>
      </c>
      <c r="G13395" t="str">
        <f>"2018-10-13 11:21:02"</f>
        <v>2018-10-13 11:21:02</v>
      </c>
    </row>
    <row r="13396" spans="1:7" x14ac:dyDescent="0.2">
      <c r="A13396" t="s">
        <v>949</v>
      </c>
      <c r="B13396" t="str">
        <f>"15110337358"</f>
        <v>15110337358</v>
      </c>
      <c r="C13396" t="str">
        <f>"412827199410147623"</f>
        <v>412827199410147623</v>
      </c>
      <c r="D13396" t="s">
        <v>1</v>
      </c>
      <c r="E13396" t="s">
        <v>1</v>
      </c>
      <c r="F13396" t="s">
        <v>0</v>
      </c>
      <c r="G13396" t="str">
        <f>"2018-10-13 11:40:09"</f>
        <v>2018-10-13 11:40:09</v>
      </c>
    </row>
    <row r="13397" spans="1:7" x14ac:dyDescent="0.2">
      <c r="A13397" t="s">
        <v>13305</v>
      </c>
      <c r="B13397" t="str">
        <f>"13064918409"</f>
        <v>13064918409</v>
      </c>
      <c r="C13397" t="str">
        <f>"320811198902283032"</f>
        <v>320811198902283032</v>
      </c>
      <c r="D13397" t="s">
        <v>1</v>
      </c>
      <c r="E13397" t="s">
        <v>1</v>
      </c>
      <c r="F13397" t="s">
        <v>0</v>
      </c>
      <c r="G13397" t="str">
        <f>"2018-10-20 15:14:04"</f>
        <v>2018-10-20 15:14:04</v>
      </c>
    </row>
    <row r="13398" spans="1:7" x14ac:dyDescent="0.2">
      <c r="A13398" t="s">
        <v>13306</v>
      </c>
      <c r="B13398" t="str">
        <f>"15085202528"</f>
        <v>15085202528</v>
      </c>
      <c r="C13398" t="str">
        <f>"522631199006171786"</f>
        <v>522631199006171786</v>
      </c>
      <c r="D13398" t="s">
        <v>1</v>
      </c>
      <c r="E13398" t="s">
        <v>1</v>
      </c>
      <c r="F13398" t="s">
        <v>0</v>
      </c>
      <c r="G13398" t="str">
        <f>"2018-10-13 11:18:03"</f>
        <v>2018-10-13 11:18:03</v>
      </c>
    </row>
    <row r="13399" spans="1:7" x14ac:dyDescent="0.2">
      <c r="A13399" t="s">
        <v>1</v>
      </c>
      <c r="B13399" t="str">
        <f>"15935578451"</f>
        <v>15935578451</v>
      </c>
      <c r="C13399" t="s">
        <v>1</v>
      </c>
      <c r="D13399" t="s">
        <v>1</v>
      </c>
      <c r="E13399" t="s">
        <v>1</v>
      </c>
      <c r="F13399" t="s">
        <v>0</v>
      </c>
      <c r="G13399" t="str">
        <f>"2018-10-13 11:16:39"</f>
        <v>2018-10-13 11:16:39</v>
      </c>
    </row>
    <row r="13400" spans="1:7" x14ac:dyDescent="0.2">
      <c r="A13400" t="s">
        <v>13307</v>
      </c>
      <c r="B13400" t="str">
        <f>"18561616489"</f>
        <v>18561616489</v>
      </c>
      <c r="C13400" t="str">
        <f>"370305199103256248"</f>
        <v>370305199103256248</v>
      </c>
      <c r="D13400" t="s">
        <v>13308</v>
      </c>
      <c r="E13400" t="s">
        <v>13309</v>
      </c>
      <c r="F13400" t="s">
        <v>0</v>
      </c>
      <c r="G13400" t="str">
        <f>"2018-10-13 11:18:11"</f>
        <v>2018-10-13 11:18:11</v>
      </c>
    </row>
    <row r="13401" spans="1:7" x14ac:dyDescent="0.2">
      <c r="A13401" t="s">
        <v>13307</v>
      </c>
      <c r="B13401" t="str">
        <f>"18561616489"</f>
        <v>18561616489</v>
      </c>
      <c r="C13401" t="str">
        <f>"370305199103256248"</f>
        <v>370305199103256248</v>
      </c>
      <c r="D13401" t="s">
        <v>13308</v>
      </c>
      <c r="E13401" t="s">
        <v>13309</v>
      </c>
      <c r="F13401" t="s">
        <v>0</v>
      </c>
      <c r="G13401" t="str">
        <f>"2018-10-13 11:18:11"</f>
        <v>2018-10-13 11:18:11</v>
      </c>
    </row>
    <row r="13402" spans="1:7" x14ac:dyDescent="0.2">
      <c r="A13402" t="s">
        <v>13310</v>
      </c>
      <c r="B13402" t="str">
        <f>"13970787464"</f>
        <v>13970787464</v>
      </c>
      <c r="C13402" t="str">
        <f>"362132197905123411"</f>
        <v>362132197905123411</v>
      </c>
      <c r="D13402" t="s">
        <v>13311</v>
      </c>
      <c r="E13402" t="s">
        <v>13312</v>
      </c>
      <c r="F13402" t="s">
        <v>0</v>
      </c>
      <c r="G13402" t="str">
        <f>"2018-10-13 11:16:16"</f>
        <v>2018-10-13 11:16:16</v>
      </c>
    </row>
    <row r="13403" spans="1:7" x14ac:dyDescent="0.2">
      <c r="A13403" t="s">
        <v>13313</v>
      </c>
      <c r="B13403" t="str">
        <f>"13093682727"</f>
        <v>13093682727</v>
      </c>
      <c r="C13403" t="str">
        <f>"341702199611051618"</f>
        <v>341702199611051618</v>
      </c>
      <c r="D13403" t="s">
        <v>1</v>
      </c>
      <c r="E13403" t="s">
        <v>1</v>
      </c>
      <c r="F13403" t="s">
        <v>0</v>
      </c>
      <c r="G13403" t="str">
        <f>"2018-10-13 11:36:16"</f>
        <v>2018-10-13 11:36:16</v>
      </c>
    </row>
    <row r="13404" spans="1:7" x14ac:dyDescent="0.2">
      <c r="A13404" t="s">
        <v>1837</v>
      </c>
      <c r="B13404" t="str">
        <f>"15179194585"</f>
        <v>15179194585</v>
      </c>
      <c r="C13404" t="str">
        <f>"620422198911086434"</f>
        <v>620422198911086434</v>
      </c>
      <c r="D13404" t="s">
        <v>13314</v>
      </c>
      <c r="E13404" t="s">
        <v>13315</v>
      </c>
      <c r="F13404" t="s">
        <v>0</v>
      </c>
      <c r="G13404" t="str">
        <f>"2018-10-13 11:17:38"</f>
        <v>2018-10-13 11:17:38</v>
      </c>
    </row>
    <row r="13405" spans="1:7" x14ac:dyDescent="0.2">
      <c r="A13405" t="s">
        <v>1</v>
      </c>
      <c r="B13405" t="str">
        <f>"18747473531"</f>
        <v>18747473531</v>
      </c>
      <c r="C13405" t="s">
        <v>1</v>
      </c>
      <c r="D13405" t="s">
        <v>1</v>
      </c>
      <c r="E13405" t="s">
        <v>1</v>
      </c>
      <c r="F13405" t="s">
        <v>0</v>
      </c>
      <c r="G13405" t="str">
        <f>"2018-10-13 11:17:44"</f>
        <v>2018-10-13 11:17:44</v>
      </c>
    </row>
    <row r="13406" spans="1:7" x14ac:dyDescent="0.2">
      <c r="A13406" t="s">
        <v>13316</v>
      </c>
      <c r="B13406" t="str">
        <f>"18881810886"</f>
        <v>18881810886</v>
      </c>
      <c r="C13406" t="str">
        <f>"513030198204168030"</f>
        <v>513030198204168030</v>
      </c>
      <c r="D13406" t="s">
        <v>13317</v>
      </c>
      <c r="E13406" t="s">
        <v>13318</v>
      </c>
      <c r="F13406" t="s">
        <v>0</v>
      </c>
      <c r="G13406" t="str">
        <f>"2018-10-13 11:16:17"</f>
        <v>2018-10-13 11:16:17</v>
      </c>
    </row>
    <row r="13407" spans="1:7" x14ac:dyDescent="0.2">
      <c r="A13407" t="s">
        <v>13319</v>
      </c>
      <c r="B13407" t="str">
        <f>"18702631076"</f>
        <v>18702631076</v>
      </c>
      <c r="C13407" t="str">
        <f>"420802199611190612"</f>
        <v>420802199611190612</v>
      </c>
      <c r="D13407" t="s">
        <v>1</v>
      </c>
      <c r="E13407" t="s">
        <v>1</v>
      </c>
      <c r="F13407" t="s">
        <v>0</v>
      </c>
      <c r="G13407" t="str">
        <f>"2018-10-13 11:17:29"</f>
        <v>2018-10-13 11:17:29</v>
      </c>
    </row>
    <row r="13408" spans="1:7" x14ac:dyDescent="0.2">
      <c r="A13408" t="s">
        <v>13320</v>
      </c>
      <c r="B13408" t="str">
        <f>"13006602391"</f>
        <v>13006602391</v>
      </c>
      <c r="C13408" t="str">
        <f>"430407198907144516"</f>
        <v>430407198907144516</v>
      </c>
      <c r="D13408" t="s">
        <v>1</v>
      </c>
      <c r="E13408" t="s">
        <v>1</v>
      </c>
      <c r="F13408" t="s">
        <v>0</v>
      </c>
      <c r="G13408" t="str">
        <f>"2018-10-13 12:06:05"</f>
        <v>2018-10-13 12:06:05</v>
      </c>
    </row>
    <row r="13409" spans="1:7" x14ac:dyDescent="0.2">
      <c r="A13409" t="s">
        <v>495</v>
      </c>
      <c r="B13409" t="str">
        <f>"15831022699"</f>
        <v>15831022699</v>
      </c>
      <c r="C13409" t="str">
        <f>"130427198807172119"</f>
        <v>130427198807172119</v>
      </c>
      <c r="D13409" t="s">
        <v>13321</v>
      </c>
      <c r="E13409" t="s">
        <v>13322</v>
      </c>
      <c r="F13409" t="s">
        <v>0</v>
      </c>
      <c r="G13409" t="str">
        <f>"2018-10-13 11:21:34"</f>
        <v>2018-10-13 11:21:34</v>
      </c>
    </row>
    <row r="13410" spans="1:7" x14ac:dyDescent="0.2">
      <c r="A13410" t="s">
        <v>13323</v>
      </c>
      <c r="B13410" t="str">
        <f>"18954349494"</f>
        <v>18954349494</v>
      </c>
      <c r="C13410" t="str">
        <f>"372323199102192435"</f>
        <v>372323199102192435</v>
      </c>
      <c r="D13410" t="s">
        <v>1</v>
      </c>
      <c r="E13410" t="s">
        <v>1</v>
      </c>
      <c r="F13410" t="s">
        <v>0</v>
      </c>
      <c r="G13410" t="str">
        <f>"2018-10-13 11:13:58"</f>
        <v>2018-10-13 11:13:58</v>
      </c>
    </row>
    <row r="13411" spans="1:7" x14ac:dyDescent="0.2">
      <c r="A13411" t="s">
        <v>1</v>
      </c>
      <c r="B13411" t="str">
        <f>"13802196504"</f>
        <v>13802196504</v>
      </c>
      <c r="C13411" t="s">
        <v>1</v>
      </c>
      <c r="D13411" t="s">
        <v>1</v>
      </c>
      <c r="E13411" t="s">
        <v>1</v>
      </c>
      <c r="F13411" t="s">
        <v>0</v>
      </c>
      <c r="G13411" t="str">
        <f>"2018-10-13 11:13:21"</f>
        <v>2018-10-13 11:13:21</v>
      </c>
    </row>
    <row r="13412" spans="1:7" x14ac:dyDescent="0.2">
      <c r="A13412" t="s">
        <v>13324</v>
      </c>
      <c r="B13412" t="str">
        <f>"13917243058"</f>
        <v>13917243058</v>
      </c>
      <c r="C13412" t="str">
        <f>"32091119650501031X"</f>
        <v>32091119650501031X</v>
      </c>
      <c r="D13412" t="s">
        <v>1</v>
      </c>
      <c r="E13412" t="s">
        <v>1</v>
      </c>
      <c r="F13412" t="s">
        <v>0</v>
      </c>
      <c r="G13412" t="str">
        <f>"2018-10-13 11:13:04"</f>
        <v>2018-10-13 11:13:04</v>
      </c>
    </row>
    <row r="13413" spans="1:7" x14ac:dyDescent="0.2">
      <c r="A13413" t="s">
        <v>13325</v>
      </c>
      <c r="B13413" t="str">
        <f>"13513956848"</f>
        <v>13513956848</v>
      </c>
      <c r="C13413" t="str">
        <f>"412821198012090016"</f>
        <v>412821198012090016</v>
      </c>
      <c r="D13413" t="s">
        <v>1</v>
      </c>
      <c r="E13413" t="s">
        <v>1</v>
      </c>
      <c r="F13413" t="s">
        <v>0</v>
      </c>
      <c r="G13413" t="str">
        <f>"2018-10-14 10:14:57"</f>
        <v>2018-10-14 10:14:57</v>
      </c>
    </row>
    <row r="13414" spans="1:7" x14ac:dyDescent="0.2">
      <c r="A13414" t="s">
        <v>1</v>
      </c>
      <c r="B13414" t="str">
        <f>"15921825303"</f>
        <v>15921825303</v>
      </c>
      <c r="C13414" t="s">
        <v>1</v>
      </c>
      <c r="D13414" t="s">
        <v>1</v>
      </c>
      <c r="E13414" t="s">
        <v>1</v>
      </c>
      <c r="F13414" t="s">
        <v>0</v>
      </c>
      <c r="G13414" t="str">
        <f>"2018-10-13 11:12:26"</f>
        <v>2018-10-13 11:12:26</v>
      </c>
    </row>
    <row r="13415" spans="1:7" x14ac:dyDescent="0.2">
      <c r="A13415" t="s">
        <v>13326</v>
      </c>
      <c r="B13415" t="str">
        <f>"15127286786"</f>
        <v>15127286786</v>
      </c>
      <c r="C13415" t="str">
        <f>"130634198806042114"</f>
        <v>130634198806042114</v>
      </c>
      <c r="D13415" t="s">
        <v>13327</v>
      </c>
      <c r="E13415" t="s">
        <v>13328</v>
      </c>
      <c r="F13415" t="s">
        <v>0</v>
      </c>
      <c r="G13415" t="str">
        <f>"2018-11-01 14:37:22"</f>
        <v>2018-11-01 14:37:22</v>
      </c>
    </row>
    <row r="13416" spans="1:7" x14ac:dyDescent="0.2">
      <c r="A13416" t="s">
        <v>13329</v>
      </c>
      <c r="B13416" t="str">
        <f>"13338582565"</f>
        <v>13338582565</v>
      </c>
      <c r="C13416" t="str">
        <f>"350521197906272047"</f>
        <v>350521197906272047</v>
      </c>
      <c r="D13416" t="s">
        <v>13330</v>
      </c>
      <c r="E13416" t="s">
        <v>13331</v>
      </c>
      <c r="F13416" t="s">
        <v>0</v>
      </c>
      <c r="G13416" t="str">
        <f>"2018-10-13 11:13:11"</f>
        <v>2018-10-13 11:13:11</v>
      </c>
    </row>
    <row r="13417" spans="1:7" x14ac:dyDescent="0.2">
      <c r="A13417" t="s">
        <v>13332</v>
      </c>
      <c r="B13417" t="str">
        <f>"15288488580"</f>
        <v>15288488580</v>
      </c>
      <c r="C13417" t="str">
        <f>"522122198608265212"</f>
        <v>522122198608265212</v>
      </c>
      <c r="D13417" t="s">
        <v>13333</v>
      </c>
      <c r="E13417" t="s">
        <v>13334</v>
      </c>
      <c r="F13417" t="s">
        <v>0</v>
      </c>
      <c r="G13417" t="str">
        <f>"2018-10-13 11:13:10"</f>
        <v>2018-10-13 11:13:10</v>
      </c>
    </row>
    <row r="13418" spans="1:7" x14ac:dyDescent="0.2">
      <c r="A13418" t="s">
        <v>1</v>
      </c>
      <c r="B13418" t="str">
        <f>"15588046279"</f>
        <v>15588046279</v>
      </c>
      <c r="C13418" t="s">
        <v>1</v>
      </c>
      <c r="D13418" t="s">
        <v>1</v>
      </c>
      <c r="E13418" t="s">
        <v>1</v>
      </c>
      <c r="F13418" t="s">
        <v>0</v>
      </c>
      <c r="G13418" t="str">
        <f>"2018-10-13 11:10:58"</f>
        <v>2018-10-13 11:10:58</v>
      </c>
    </row>
    <row r="13419" spans="1:7" x14ac:dyDescent="0.2">
      <c r="A13419" t="s">
        <v>13335</v>
      </c>
      <c r="B13419" t="str">
        <f>"13437554740"</f>
        <v>13437554740</v>
      </c>
      <c r="C13419" t="str">
        <f>"440982198804241216"</f>
        <v>440982198804241216</v>
      </c>
      <c r="D13419" t="s">
        <v>13336</v>
      </c>
      <c r="E13419" t="s">
        <v>13337</v>
      </c>
      <c r="F13419" t="s">
        <v>0</v>
      </c>
      <c r="G13419" t="str">
        <f>"2018-10-13 11:12:19"</f>
        <v>2018-10-13 11:12:19</v>
      </c>
    </row>
    <row r="13420" spans="1:7" x14ac:dyDescent="0.2">
      <c r="A13420" t="s">
        <v>13338</v>
      </c>
      <c r="B13420" t="str">
        <f>"18811400222"</f>
        <v>18811400222</v>
      </c>
      <c r="C13420" t="str">
        <f>"150429198306086315"</f>
        <v>150429198306086315</v>
      </c>
      <c r="D13420" t="s">
        <v>1</v>
      </c>
      <c r="E13420" t="s">
        <v>1</v>
      </c>
      <c r="F13420" t="s">
        <v>0</v>
      </c>
      <c r="G13420" t="str">
        <f>"2018-10-13 11:10:42"</f>
        <v>2018-10-13 11:10:42</v>
      </c>
    </row>
    <row r="13421" spans="1:7" x14ac:dyDescent="0.2">
      <c r="A13421" t="s">
        <v>13339</v>
      </c>
      <c r="B13421" t="str">
        <f>"15923146198"</f>
        <v>15923146198</v>
      </c>
      <c r="C13421" t="str">
        <f>"500113199308288319"</f>
        <v>500113199308288319</v>
      </c>
      <c r="D13421" t="s">
        <v>13340</v>
      </c>
      <c r="E13421" t="s">
        <v>13341</v>
      </c>
      <c r="F13421" t="s">
        <v>0</v>
      </c>
      <c r="G13421" t="str">
        <f>"2018-10-13 11:10:31"</f>
        <v>2018-10-13 11:10:31</v>
      </c>
    </row>
    <row r="13422" spans="1:7" x14ac:dyDescent="0.2">
      <c r="A13422" t="s">
        <v>1</v>
      </c>
      <c r="B13422" t="str">
        <f>"13430613567"</f>
        <v>13430613567</v>
      </c>
      <c r="C13422" t="s">
        <v>1</v>
      </c>
      <c r="D13422" t="s">
        <v>1</v>
      </c>
      <c r="E13422" t="s">
        <v>1</v>
      </c>
      <c r="F13422" t="s">
        <v>0</v>
      </c>
      <c r="G13422" t="str">
        <f>"2018-10-13 12:02:23"</f>
        <v>2018-10-13 12:02:23</v>
      </c>
    </row>
    <row r="13423" spans="1:7" x14ac:dyDescent="0.2">
      <c r="A13423" t="s">
        <v>13342</v>
      </c>
      <c r="B13423" t="str">
        <f>"18307533810"</f>
        <v>18307533810</v>
      </c>
      <c r="C13423" t="str">
        <f>"44142319650804233X"</f>
        <v>44142319650804233X</v>
      </c>
      <c r="D13423" t="s">
        <v>13343</v>
      </c>
      <c r="E13423" t="s">
        <v>13343</v>
      </c>
      <c r="F13423" t="s">
        <v>0</v>
      </c>
      <c r="G13423" t="str">
        <f>"2018-10-13 11:11:31"</f>
        <v>2018-10-13 11:11:31</v>
      </c>
    </row>
    <row r="13424" spans="1:7" x14ac:dyDescent="0.2">
      <c r="A13424" t="s">
        <v>13344</v>
      </c>
      <c r="B13424" t="str">
        <f>"15269475651"</f>
        <v>15269475651</v>
      </c>
      <c r="C13424" t="str">
        <f>"371427199104073712"</f>
        <v>371427199104073712</v>
      </c>
      <c r="D13424" t="s">
        <v>13345</v>
      </c>
      <c r="E13424" t="s">
        <v>13346</v>
      </c>
      <c r="F13424" t="s">
        <v>0</v>
      </c>
      <c r="G13424" t="str">
        <f>"2018-10-13 11:13:00"</f>
        <v>2018-10-13 11:13:00</v>
      </c>
    </row>
    <row r="13425" spans="1:7" x14ac:dyDescent="0.2">
      <c r="A13425" t="s">
        <v>13347</v>
      </c>
      <c r="B13425" t="str">
        <f>"15584333656"</f>
        <v>15584333656</v>
      </c>
      <c r="C13425" t="str">
        <f>"220183199106057012"</f>
        <v>220183199106057012</v>
      </c>
      <c r="D13425" t="s">
        <v>1</v>
      </c>
      <c r="E13425" t="s">
        <v>1</v>
      </c>
      <c r="F13425" t="s">
        <v>0</v>
      </c>
      <c r="G13425" t="str">
        <f>"2018-10-13 11:11:22"</f>
        <v>2018-10-13 11:11:22</v>
      </c>
    </row>
    <row r="13426" spans="1:7" x14ac:dyDescent="0.2">
      <c r="A13426" t="s">
        <v>13348</v>
      </c>
      <c r="B13426" t="str">
        <f>"17705907061"</f>
        <v>17705907061</v>
      </c>
      <c r="C13426" t="str">
        <f>"35010419831111541X"</f>
        <v>35010419831111541X</v>
      </c>
      <c r="D13426" t="s">
        <v>1</v>
      </c>
      <c r="E13426" t="s">
        <v>1</v>
      </c>
      <c r="F13426" t="s">
        <v>0</v>
      </c>
      <c r="G13426" t="str">
        <f>"2018-10-13 11:12:49"</f>
        <v>2018-10-13 11:12:49</v>
      </c>
    </row>
    <row r="13427" spans="1:7" x14ac:dyDescent="0.2">
      <c r="A13427" t="s">
        <v>1</v>
      </c>
      <c r="B13427" t="str">
        <f>"15119787413"</f>
        <v>15119787413</v>
      </c>
      <c r="C13427" t="s">
        <v>1</v>
      </c>
      <c r="D13427" t="s">
        <v>1</v>
      </c>
      <c r="E13427" t="s">
        <v>1</v>
      </c>
      <c r="F13427" t="s">
        <v>0</v>
      </c>
      <c r="G13427" t="str">
        <f>"2018-10-13 11:09:25"</f>
        <v>2018-10-13 11:09:25</v>
      </c>
    </row>
    <row r="13428" spans="1:7" x14ac:dyDescent="0.2">
      <c r="A13428" t="s">
        <v>1</v>
      </c>
      <c r="B13428" t="str">
        <f>"13375228133"</f>
        <v>13375228133</v>
      </c>
      <c r="C13428" t="s">
        <v>1</v>
      </c>
      <c r="D13428" t="s">
        <v>1</v>
      </c>
      <c r="E13428" t="s">
        <v>1</v>
      </c>
      <c r="F13428" t="s">
        <v>0</v>
      </c>
      <c r="G13428" t="str">
        <f>"2018-10-13 11:09:29"</f>
        <v>2018-10-13 11:09:29</v>
      </c>
    </row>
    <row r="13429" spans="1:7" x14ac:dyDescent="0.2">
      <c r="A13429" t="s">
        <v>1</v>
      </c>
      <c r="B13429" t="str">
        <f>"13860152322"</f>
        <v>13860152322</v>
      </c>
      <c r="C13429" t="s">
        <v>1</v>
      </c>
      <c r="D13429" t="s">
        <v>1</v>
      </c>
      <c r="E13429" t="s">
        <v>1</v>
      </c>
      <c r="F13429" t="s">
        <v>0</v>
      </c>
      <c r="G13429" t="str">
        <f>"2018-10-13 11:08:25"</f>
        <v>2018-10-13 11:08:25</v>
      </c>
    </row>
    <row r="13430" spans="1:7" x14ac:dyDescent="0.2">
      <c r="A13430" t="s">
        <v>1</v>
      </c>
      <c r="B13430" t="str">
        <f>"18600664315"</f>
        <v>18600664315</v>
      </c>
      <c r="C13430" t="s">
        <v>1</v>
      </c>
      <c r="D13430" t="s">
        <v>1</v>
      </c>
      <c r="E13430" t="s">
        <v>1</v>
      </c>
      <c r="F13430" t="s">
        <v>0</v>
      </c>
      <c r="G13430" t="str">
        <f>"2018-10-13 11:08:13"</f>
        <v>2018-10-13 11:08:13</v>
      </c>
    </row>
    <row r="13431" spans="1:7" x14ac:dyDescent="0.2">
      <c r="A13431" t="s">
        <v>13349</v>
      </c>
      <c r="B13431" t="str">
        <f>"13864178787"</f>
        <v>13864178787</v>
      </c>
      <c r="C13431" t="str">
        <f>"370105197910314117"</f>
        <v>370105197910314117</v>
      </c>
      <c r="D13431" t="s">
        <v>1</v>
      </c>
      <c r="E13431" t="s">
        <v>1</v>
      </c>
      <c r="F13431" t="s">
        <v>0</v>
      </c>
      <c r="G13431" t="str">
        <f>"2018-10-13 11:10:01"</f>
        <v>2018-10-13 11:10:01</v>
      </c>
    </row>
    <row r="13432" spans="1:7" x14ac:dyDescent="0.2">
      <c r="A13432" t="s">
        <v>13350</v>
      </c>
      <c r="B13432" t="str">
        <f>"18665978474"</f>
        <v>18665978474</v>
      </c>
      <c r="C13432" t="str">
        <f>"513030199503107312"</f>
        <v>513030199503107312</v>
      </c>
      <c r="D13432" t="s">
        <v>1</v>
      </c>
      <c r="E13432" t="s">
        <v>1</v>
      </c>
      <c r="F13432" t="s">
        <v>0</v>
      </c>
      <c r="G13432" t="str">
        <f>"2018-10-13 11:10:31"</f>
        <v>2018-10-13 11:10:31</v>
      </c>
    </row>
    <row r="13433" spans="1:7" x14ac:dyDescent="0.2">
      <c r="A13433" t="s">
        <v>1</v>
      </c>
      <c r="B13433" t="str">
        <f>"18500103161"</f>
        <v>18500103161</v>
      </c>
      <c r="C13433" t="s">
        <v>1</v>
      </c>
      <c r="D13433" t="s">
        <v>1</v>
      </c>
      <c r="E13433" t="s">
        <v>1</v>
      </c>
      <c r="F13433" t="s">
        <v>0</v>
      </c>
      <c r="G13433" t="str">
        <f>"2018-10-13 11:07:29"</f>
        <v>2018-10-13 11:07:29</v>
      </c>
    </row>
    <row r="13434" spans="1:7" x14ac:dyDescent="0.2">
      <c r="A13434" t="s">
        <v>13351</v>
      </c>
      <c r="B13434" t="str">
        <f>"13790649925"</f>
        <v>13790649925</v>
      </c>
      <c r="C13434" t="str">
        <f>"450422199012124014"</f>
        <v>450422199012124014</v>
      </c>
      <c r="D13434" t="s">
        <v>1</v>
      </c>
      <c r="E13434" t="s">
        <v>1</v>
      </c>
      <c r="F13434" t="s">
        <v>0</v>
      </c>
      <c r="G13434" t="str">
        <f>"2018-10-13 11:23:25"</f>
        <v>2018-10-13 11:23:25</v>
      </c>
    </row>
    <row r="13435" spans="1:7" x14ac:dyDescent="0.2">
      <c r="A13435" t="s">
        <v>13352</v>
      </c>
      <c r="B13435" t="str">
        <f>"18268962017"</f>
        <v>18268962017</v>
      </c>
      <c r="C13435" t="str">
        <f>"330802198806245015"</f>
        <v>330802198806245015</v>
      </c>
      <c r="D13435" t="s">
        <v>1</v>
      </c>
      <c r="E13435" t="s">
        <v>1</v>
      </c>
      <c r="F13435" t="s">
        <v>0</v>
      </c>
      <c r="G13435" t="str">
        <f>"2018-10-13 11:08:16"</f>
        <v>2018-10-13 11:08:16</v>
      </c>
    </row>
    <row r="13436" spans="1:7" x14ac:dyDescent="0.2">
      <c r="A13436" t="s">
        <v>13353</v>
      </c>
      <c r="B13436" t="str">
        <f>"18053982370"</f>
        <v>18053982370</v>
      </c>
      <c r="C13436" t="str">
        <f>"371327199307130910"</f>
        <v>371327199307130910</v>
      </c>
      <c r="D13436" t="s">
        <v>1</v>
      </c>
      <c r="E13436" t="s">
        <v>1</v>
      </c>
      <c r="F13436" t="s">
        <v>0</v>
      </c>
      <c r="G13436" t="str">
        <f>"2018-10-13 11:07:32"</f>
        <v>2018-10-13 11:07:32</v>
      </c>
    </row>
    <row r="13437" spans="1:7" x14ac:dyDescent="0.2">
      <c r="A13437" t="s">
        <v>13354</v>
      </c>
      <c r="B13437" t="str">
        <f>"13267929916"</f>
        <v>13267929916</v>
      </c>
      <c r="C13437" t="str">
        <f>"430726199208285213"</f>
        <v>430726199208285213</v>
      </c>
      <c r="D13437" t="s">
        <v>1</v>
      </c>
      <c r="E13437" t="s">
        <v>1</v>
      </c>
      <c r="F13437" t="s">
        <v>0</v>
      </c>
      <c r="G13437" t="str">
        <f>"2018-10-13 11:07:42"</f>
        <v>2018-10-13 11:07:42</v>
      </c>
    </row>
    <row r="13438" spans="1:7" x14ac:dyDescent="0.2">
      <c r="A13438" t="s">
        <v>1</v>
      </c>
      <c r="B13438" t="str">
        <f>"18731433978"</f>
        <v>18731433978</v>
      </c>
      <c r="C13438" t="s">
        <v>1</v>
      </c>
      <c r="D13438" t="s">
        <v>1</v>
      </c>
      <c r="E13438" t="s">
        <v>1</v>
      </c>
      <c r="F13438" t="s">
        <v>0</v>
      </c>
      <c r="G13438" t="str">
        <f>"2018-10-13 11:07:13"</f>
        <v>2018-10-13 11:07:13</v>
      </c>
    </row>
    <row r="13439" spans="1:7" x14ac:dyDescent="0.2">
      <c r="A13439" t="s">
        <v>13355</v>
      </c>
      <c r="B13439" t="str">
        <f>"18355409267"</f>
        <v>18355409267</v>
      </c>
      <c r="C13439" t="str">
        <f>"340404198908210625"</f>
        <v>340404198908210625</v>
      </c>
      <c r="D13439" t="s">
        <v>1</v>
      </c>
      <c r="E13439" t="s">
        <v>1</v>
      </c>
      <c r="F13439" t="s">
        <v>0</v>
      </c>
      <c r="G13439" t="str">
        <f>"2018-10-20 09:51:26"</f>
        <v>2018-10-20 09:51:26</v>
      </c>
    </row>
    <row r="13440" spans="1:7" x14ac:dyDescent="0.2">
      <c r="A13440" t="s">
        <v>13356</v>
      </c>
      <c r="B13440" t="str">
        <f>"15048540624"</f>
        <v>15048540624</v>
      </c>
      <c r="C13440" t="str">
        <f>"152323197409202714"</f>
        <v>152323197409202714</v>
      </c>
      <c r="D13440" t="s">
        <v>1</v>
      </c>
      <c r="E13440" t="s">
        <v>1</v>
      </c>
      <c r="F13440" t="s">
        <v>0</v>
      </c>
      <c r="G13440" t="str">
        <f>"2018-10-13 11:11:06"</f>
        <v>2018-10-13 11:11:06</v>
      </c>
    </row>
    <row r="13441" spans="1:7" x14ac:dyDescent="0.2">
      <c r="A13441" t="s">
        <v>1</v>
      </c>
      <c r="B13441" t="str">
        <f>"17156996416"</f>
        <v>17156996416</v>
      </c>
      <c r="C13441" t="s">
        <v>1</v>
      </c>
      <c r="D13441" t="s">
        <v>1</v>
      </c>
      <c r="E13441" t="s">
        <v>1</v>
      </c>
      <c r="F13441" t="s">
        <v>0</v>
      </c>
      <c r="G13441" t="str">
        <f>"2018-10-13 11:05:51"</f>
        <v>2018-10-13 11:05:51</v>
      </c>
    </row>
    <row r="13442" spans="1:7" x14ac:dyDescent="0.2">
      <c r="A13442" t="s">
        <v>13357</v>
      </c>
      <c r="B13442" t="str">
        <f>"13659716135"</f>
        <v>13659716135</v>
      </c>
      <c r="C13442" t="str">
        <f>"440804198809260518"</f>
        <v>440804198809260518</v>
      </c>
      <c r="D13442" t="s">
        <v>1</v>
      </c>
      <c r="E13442" t="s">
        <v>1</v>
      </c>
      <c r="F13442" t="s">
        <v>0</v>
      </c>
      <c r="G13442" t="str">
        <f>"2018-10-13 11:05:13"</f>
        <v>2018-10-13 11:05:13</v>
      </c>
    </row>
    <row r="13443" spans="1:7" x14ac:dyDescent="0.2">
      <c r="A13443" t="s">
        <v>13358</v>
      </c>
      <c r="B13443" t="str">
        <f>"13823429218"</f>
        <v>13823429218</v>
      </c>
      <c r="C13443" t="str">
        <f>"44022419920523181X"</f>
        <v>44022419920523181X</v>
      </c>
      <c r="D13443" t="s">
        <v>1</v>
      </c>
      <c r="E13443" t="s">
        <v>1</v>
      </c>
      <c r="F13443" t="s">
        <v>0</v>
      </c>
      <c r="G13443" t="str">
        <f>"2018-10-13 11:06:54"</f>
        <v>2018-10-13 11:06:54</v>
      </c>
    </row>
    <row r="13444" spans="1:7" x14ac:dyDescent="0.2">
      <c r="A13444" t="s">
        <v>1</v>
      </c>
      <c r="B13444" t="str">
        <f>"13560571686"</f>
        <v>13560571686</v>
      </c>
      <c r="C13444" t="s">
        <v>1</v>
      </c>
      <c r="D13444" t="s">
        <v>1</v>
      </c>
      <c r="E13444" t="s">
        <v>1</v>
      </c>
      <c r="F13444" t="s">
        <v>0</v>
      </c>
      <c r="G13444" t="str">
        <f>"2018-10-13 11:03:33"</f>
        <v>2018-10-13 11:03:33</v>
      </c>
    </row>
    <row r="13445" spans="1:7" x14ac:dyDescent="0.2">
      <c r="A13445" t="s">
        <v>1671</v>
      </c>
      <c r="B13445" t="str">
        <f>"18231110108"</f>
        <v>18231110108</v>
      </c>
      <c r="C13445" t="str">
        <f>"130185198101040015"</f>
        <v>130185198101040015</v>
      </c>
      <c r="D13445" t="s">
        <v>13359</v>
      </c>
      <c r="E13445" t="s">
        <v>13360</v>
      </c>
      <c r="F13445" t="s">
        <v>0</v>
      </c>
      <c r="G13445" t="str">
        <f>"2018-10-30 15:14:54"</f>
        <v>2018-10-30 15:14:54</v>
      </c>
    </row>
    <row r="13446" spans="1:7" x14ac:dyDescent="0.2">
      <c r="A13446" t="s">
        <v>13361</v>
      </c>
      <c r="B13446" t="str">
        <f>"13233268080"</f>
        <v>13233268080</v>
      </c>
      <c r="C13446" t="str">
        <f>"142732197603226417"</f>
        <v>142732197603226417</v>
      </c>
      <c r="D13446" t="s">
        <v>1</v>
      </c>
      <c r="E13446" t="s">
        <v>1</v>
      </c>
      <c r="F13446" t="s">
        <v>0</v>
      </c>
      <c r="G13446" t="str">
        <f>"2018-10-13 11:05:24"</f>
        <v>2018-10-13 11:05:24</v>
      </c>
    </row>
    <row r="13447" spans="1:7" x14ac:dyDescent="0.2">
      <c r="A13447" t="s">
        <v>13362</v>
      </c>
      <c r="B13447" t="str">
        <f>"13585259680"</f>
        <v>13585259680</v>
      </c>
      <c r="C13447" t="str">
        <f>"320829198902192038"</f>
        <v>320829198902192038</v>
      </c>
      <c r="D13447" t="s">
        <v>1</v>
      </c>
      <c r="E13447" t="s">
        <v>1</v>
      </c>
      <c r="F13447" t="s">
        <v>0</v>
      </c>
      <c r="G13447" t="str">
        <f>"2018-10-13 11:03:02"</f>
        <v>2018-10-13 11:03:02</v>
      </c>
    </row>
    <row r="13448" spans="1:7" x14ac:dyDescent="0.2">
      <c r="A13448" t="s">
        <v>13363</v>
      </c>
      <c r="B13448" t="str">
        <f>"15125872753"</f>
        <v>15125872753</v>
      </c>
      <c r="C13448" t="str">
        <f>"532326197810101848"</f>
        <v>532326197810101848</v>
      </c>
      <c r="D13448" t="s">
        <v>1</v>
      </c>
      <c r="E13448" t="s">
        <v>1</v>
      </c>
      <c r="F13448" t="s">
        <v>0</v>
      </c>
      <c r="G13448" t="str">
        <f>"2018-10-13 11:13:50"</f>
        <v>2018-10-13 11:13:50</v>
      </c>
    </row>
    <row r="13449" spans="1:7" x14ac:dyDescent="0.2">
      <c r="A13449" t="s">
        <v>1</v>
      </c>
      <c r="B13449" t="str">
        <f>"18104373764"</f>
        <v>18104373764</v>
      </c>
      <c r="C13449" t="s">
        <v>1</v>
      </c>
      <c r="D13449" t="s">
        <v>1</v>
      </c>
      <c r="E13449" t="s">
        <v>1</v>
      </c>
      <c r="F13449" t="s">
        <v>0</v>
      </c>
      <c r="G13449" t="str">
        <f>"2018-10-13 11:08:06"</f>
        <v>2018-10-13 11:08:06</v>
      </c>
    </row>
    <row r="13450" spans="1:7" x14ac:dyDescent="0.2">
      <c r="A13450" t="s">
        <v>13364</v>
      </c>
      <c r="B13450" t="str">
        <f>"15863623616"</f>
        <v>15863623616</v>
      </c>
      <c r="C13450" t="str">
        <f>"370781199204132592"</f>
        <v>370781199204132592</v>
      </c>
      <c r="D13450" t="s">
        <v>1</v>
      </c>
      <c r="E13450" t="s">
        <v>1</v>
      </c>
      <c r="F13450" t="s">
        <v>0</v>
      </c>
      <c r="G13450" t="str">
        <f>"2018-10-13 20:28:55"</f>
        <v>2018-10-13 20:28:55</v>
      </c>
    </row>
    <row r="13451" spans="1:7" x14ac:dyDescent="0.2">
      <c r="A13451" t="s">
        <v>1</v>
      </c>
      <c r="B13451" t="str">
        <f>"18755932725"</f>
        <v>18755932725</v>
      </c>
      <c r="C13451" t="s">
        <v>1</v>
      </c>
      <c r="D13451" t="s">
        <v>1</v>
      </c>
      <c r="E13451" t="s">
        <v>1</v>
      </c>
      <c r="F13451" t="s">
        <v>0</v>
      </c>
      <c r="G13451" t="str">
        <f>"2018-10-13 11:02:24"</f>
        <v>2018-10-13 11:02:24</v>
      </c>
    </row>
    <row r="13452" spans="1:7" x14ac:dyDescent="0.2">
      <c r="A13452" t="s">
        <v>13</v>
      </c>
      <c r="B13452" t="str">
        <f>"15935454426"</f>
        <v>15935454426</v>
      </c>
      <c r="C13452" t="str">
        <f>"142429198307111519"</f>
        <v>142429198307111519</v>
      </c>
      <c r="D13452" t="s">
        <v>1</v>
      </c>
      <c r="E13452" t="s">
        <v>1</v>
      </c>
      <c r="F13452" t="s">
        <v>0</v>
      </c>
      <c r="G13452" t="str">
        <f>"2018-10-15 13:41:51"</f>
        <v>2018-10-15 13:41:51</v>
      </c>
    </row>
    <row r="13453" spans="1:7" x14ac:dyDescent="0.2">
      <c r="A13453" t="s">
        <v>1</v>
      </c>
      <c r="B13453" t="str">
        <f>"15883667015"</f>
        <v>15883667015</v>
      </c>
      <c r="C13453" t="s">
        <v>1</v>
      </c>
      <c r="D13453" t="s">
        <v>1</v>
      </c>
      <c r="E13453" t="s">
        <v>1</v>
      </c>
      <c r="F13453" t="s">
        <v>0</v>
      </c>
      <c r="G13453" t="str">
        <f>"2018-10-13 11:01:58"</f>
        <v>2018-10-13 11:01:58</v>
      </c>
    </row>
    <row r="13454" spans="1:7" x14ac:dyDescent="0.2">
      <c r="A13454" t="s">
        <v>1</v>
      </c>
      <c r="B13454" t="str">
        <f>"15805566432"</f>
        <v>15805566432</v>
      </c>
      <c r="C13454" t="s">
        <v>1</v>
      </c>
      <c r="D13454" t="s">
        <v>1</v>
      </c>
      <c r="E13454" t="s">
        <v>1</v>
      </c>
      <c r="F13454" t="s">
        <v>0</v>
      </c>
      <c r="G13454" t="str">
        <f>"2018-10-13 11:01:51"</f>
        <v>2018-10-13 11:01:51</v>
      </c>
    </row>
    <row r="13455" spans="1:7" x14ac:dyDescent="0.2">
      <c r="A13455" t="s">
        <v>13365</v>
      </c>
      <c r="B13455" t="str">
        <f>"15152664312"</f>
        <v>15152664312</v>
      </c>
      <c r="C13455" t="str">
        <f>"340321198104239271"</f>
        <v>340321198104239271</v>
      </c>
      <c r="D13455" t="s">
        <v>13366</v>
      </c>
      <c r="E13455" t="s">
        <v>13367</v>
      </c>
      <c r="F13455" t="s">
        <v>0</v>
      </c>
      <c r="G13455" t="str">
        <f>"2018-10-13 11:12:35"</f>
        <v>2018-10-13 11:12:35</v>
      </c>
    </row>
    <row r="13456" spans="1:7" x14ac:dyDescent="0.2">
      <c r="A13456" t="s">
        <v>1</v>
      </c>
      <c r="B13456" t="str">
        <f>"13199692226"</f>
        <v>13199692226</v>
      </c>
      <c r="C13456" t="s">
        <v>1</v>
      </c>
      <c r="D13456" t="s">
        <v>1</v>
      </c>
      <c r="E13456" t="s">
        <v>1</v>
      </c>
      <c r="F13456" t="s">
        <v>0</v>
      </c>
      <c r="G13456" t="str">
        <f>"2018-10-13 11:01:28"</f>
        <v>2018-10-13 11:01:28</v>
      </c>
    </row>
    <row r="13457" spans="1:7" x14ac:dyDescent="0.2">
      <c r="A13457" t="s">
        <v>13368</v>
      </c>
      <c r="B13457" t="str">
        <f>"13938363115"</f>
        <v>13938363115</v>
      </c>
      <c r="C13457" t="str">
        <f>"41282520000206686X"</f>
        <v>41282520000206686X</v>
      </c>
      <c r="D13457" t="s">
        <v>1</v>
      </c>
      <c r="E13457" t="s">
        <v>1</v>
      </c>
      <c r="F13457" t="s">
        <v>0</v>
      </c>
      <c r="G13457" t="str">
        <f>"2018-10-13 11:03:06"</f>
        <v>2018-10-13 11:03:06</v>
      </c>
    </row>
    <row r="13458" spans="1:7" x14ac:dyDescent="0.2">
      <c r="A13458" t="s">
        <v>13369</v>
      </c>
      <c r="B13458" t="str">
        <f>"18607310251"</f>
        <v>18607310251</v>
      </c>
      <c r="C13458" t="str">
        <f>"430121198412201567"</f>
        <v>430121198412201567</v>
      </c>
      <c r="D13458" t="s">
        <v>1</v>
      </c>
      <c r="E13458" t="s">
        <v>1</v>
      </c>
      <c r="F13458" t="s">
        <v>0</v>
      </c>
      <c r="G13458" t="str">
        <f>"2018-10-13 11:05:41"</f>
        <v>2018-10-13 11:05:41</v>
      </c>
    </row>
    <row r="13459" spans="1:7" x14ac:dyDescent="0.2">
      <c r="A13459" t="s">
        <v>13370</v>
      </c>
      <c r="B13459" t="str">
        <f>"15935000734"</f>
        <v>15935000734</v>
      </c>
      <c r="C13459" t="str">
        <f>"142202199408292113"</f>
        <v>142202199408292113</v>
      </c>
      <c r="D13459" t="s">
        <v>1</v>
      </c>
      <c r="E13459" t="s">
        <v>1</v>
      </c>
      <c r="F13459" t="s">
        <v>0</v>
      </c>
      <c r="G13459" t="str">
        <f>"2018-10-13 11:03:10"</f>
        <v>2018-10-13 11:03:10</v>
      </c>
    </row>
    <row r="13460" spans="1:7" x14ac:dyDescent="0.2">
      <c r="A13460" t="s">
        <v>1</v>
      </c>
      <c r="B13460" t="str">
        <f>"15012109335"</f>
        <v>15012109335</v>
      </c>
      <c r="C13460" t="s">
        <v>1</v>
      </c>
      <c r="D13460" t="s">
        <v>1</v>
      </c>
      <c r="E13460" t="s">
        <v>1</v>
      </c>
      <c r="F13460" t="s">
        <v>0</v>
      </c>
      <c r="G13460" t="str">
        <f>"2018-10-13 14:10:26"</f>
        <v>2018-10-13 14:10:26</v>
      </c>
    </row>
    <row r="13461" spans="1:7" x14ac:dyDescent="0.2">
      <c r="A13461" t="s">
        <v>774</v>
      </c>
      <c r="B13461" t="str">
        <f>"18351321642"</f>
        <v>18351321642</v>
      </c>
      <c r="C13461" t="str">
        <f>"320683199305157156"</f>
        <v>320683199305157156</v>
      </c>
      <c r="D13461" t="s">
        <v>13371</v>
      </c>
      <c r="E13461" t="s">
        <v>13372</v>
      </c>
      <c r="F13461" t="s">
        <v>0</v>
      </c>
      <c r="G13461" t="str">
        <f>"2018-10-13 11:01:10"</f>
        <v>2018-10-13 11:01:10</v>
      </c>
    </row>
    <row r="13462" spans="1:7" x14ac:dyDescent="0.2">
      <c r="A13462" t="s">
        <v>13373</v>
      </c>
      <c r="B13462" t="str">
        <f>"18652446542"</f>
        <v>18652446542</v>
      </c>
      <c r="C13462" t="str">
        <f>"410425199410151095"</f>
        <v>410425199410151095</v>
      </c>
      <c r="D13462" t="s">
        <v>13374</v>
      </c>
      <c r="E13462" t="s">
        <v>13375</v>
      </c>
      <c r="F13462" t="s">
        <v>0</v>
      </c>
      <c r="G13462" t="str">
        <f>"2018-10-13 11:01:16"</f>
        <v>2018-10-13 11:01:16</v>
      </c>
    </row>
    <row r="13463" spans="1:7" x14ac:dyDescent="0.2">
      <c r="A13463" t="s">
        <v>1</v>
      </c>
      <c r="B13463" t="str">
        <f>"13454045071"</f>
        <v>13454045071</v>
      </c>
      <c r="C13463" t="s">
        <v>1</v>
      </c>
      <c r="D13463" t="s">
        <v>1</v>
      </c>
      <c r="E13463" t="s">
        <v>1</v>
      </c>
      <c r="F13463" t="s">
        <v>0</v>
      </c>
      <c r="G13463" t="str">
        <f>"2018-10-13 11:01:52"</f>
        <v>2018-10-13 11:01:52</v>
      </c>
    </row>
    <row r="13464" spans="1:7" x14ac:dyDescent="0.2">
      <c r="A13464" t="s">
        <v>1</v>
      </c>
      <c r="B13464" t="str">
        <f>"15912572995"</f>
        <v>15912572995</v>
      </c>
      <c r="C13464" t="s">
        <v>1</v>
      </c>
      <c r="D13464" t="s">
        <v>1</v>
      </c>
      <c r="E13464" t="s">
        <v>1</v>
      </c>
      <c r="F13464" t="s">
        <v>0</v>
      </c>
      <c r="G13464" t="str">
        <f>"2018-10-13 10:59:21"</f>
        <v>2018-10-13 10:59:21</v>
      </c>
    </row>
    <row r="13465" spans="1:7" x14ac:dyDescent="0.2">
      <c r="A13465" t="s">
        <v>13376</v>
      </c>
      <c r="B13465" t="str">
        <f>"18104379681"</f>
        <v>18104379681</v>
      </c>
      <c r="C13465" t="str">
        <f>"220402199310293619"</f>
        <v>220402199310293619</v>
      </c>
      <c r="D13465" t="s">
        <v>1</v>
      </c>
      <c r="E13465" t="s">
        <v>1</v>
      </c>
      <c r="F13465" t="s">
        <v>0</v>
      </c>
      <c r="G13465" t="str">
        <f>"2018-10-14 13:59:11"</f>
        <v>2018-10-14 13:59:11</v>
      </c>
    </row>
    <row r="13466" spans="1:7" x14ac:dyDescent="0.2">
      <c r="A13466" t="s">
        <v>13377</v>
      </c>
      <c r="B13466" t="str">
        <f>"15823851228"</f>
        <v>15823851228</v>
      </c>
      <c r="C13466" t="str">
        <f>"500227199203195726"</f>
        <v>500227199203195726</v>
      </c>
      <c r="D13466" t="s">
        <v>1</v>
      </c>
      <c r="E13466" t="s">
        <v>1</v>
      </c>
      <c r="F13466" t="s">
        <v>0</v>
      </c>
      <c r="G13466" t="str">
        <f>"2018-10-13 11:00:59"</f>
        <v>2018-10-13 11:00:59</v>
      </c>
    </row>
    <row r="13467" spans="1:7" x14ac:dyDescent="0.2">
      <c r="A13467" t="s">
        <v>1</v>
      </c>
      <c r="B13467" t="str">
        <f>"13277747894"</f>
        <v>13277747894</v>
      </c>
      <c r="C13467" t="s">
        <v>1</v>
      </c>
      <c r="D13467" t="s">
        <v>1</v>
      </c>
      <c r="E13467" t="s">
        <v>1</v>
      </c>
      <c r="F13467" t="s">
        <v>0</v>
      </c>
      <c r="G13467" t="str">
        <f>"2018-10-13 11:00:34"</f>
        <v>2018-10-13 11:00:34</v>
      </c>
    </row>
    <row r="13468" spans="1:7" x14ac:dyDescent="0.2">
      <c r="A13468" t="s">
        <v>1</v>
      </c>
      <c r="B13468" t="str">
        <f>"17688960347"</f>
        <v>17688960347</v>
      </c>
      <c r="C13468" t="s">
        <v>1</v>
      </c>
      <c r="D13468" t="s">
        <v>1</v>
      </c>
      <c r="E13468" t="s">
        <v>1</v>
      </c>
      <c r="F13468" t="s">
        <v>0</v>
      </c>
      <c r="G13468" t="str">
        <f>"2018-10-18 14:49:14"</f>
        <v>2018-10-18 14:49:14</v>
      </c>
    </row>
    <row r="13469" spans="1:7" x14ac:dyDescent="0.2">
      <c r="A13469" t="s">
        <v>1</v>
      </c>
      <c r="B13469" t="str">
        <f>"13933777114"</f>
        <v>13933777114</v>
      </c>
      <c r="C13469" t="s">
        <v>1</v>
      </c>
      <c r="D13469" t="s">
        <v>1</v>
      </c>
      <c r="E13469" t="s">
        <v>1</v>
      </c>
      <c r="F13469" t="s">
        <v>0</v>
      </c>
      <c r="G13469" t="str">
        <f>"2018-10-13 10:58:22"</f>
        <v>2018-10-13 10:58:22</v>
      </c>
    </row>
    <row r="13470" spans="1:7" x14ac:dyDescent="0.2">
      <c r="A13470" t="s">
        <v>1</v>
      </c>
      <c r="B13470" t="str">
        <f>"18340170102"</f>
        <v>18340170102</v>
      </c>
      <c r="C13470" t="s">
        <v>1</v>
      </c>
      <c r="D13470" t="s">
        <v>1</v>
      </c>
      <c r="E13470" t="s">
        <v>1</v>
      </c>
      <c r="F13470" t="s">
        <v>0</v>
      </c>
      <c r="G13470" t="str">
        <f>"2018-10-13 10:58:19"</f>
        <v>2018-10-13 10:58:19</v>
      </c>
    </row>
    <row r="13471" spans="1:7" x14ac:dyDescent="0.2">
      <c r="A13471" t="s">
        <v>13378</v>
      </c>
      <c r="B13471" t="str">
        <f>"18558953891"</f>
        <v>18558953891</v>
      </c>
      <c r="C13471" t="str">
        <f>"350525199808204918"</f>
        <v>350525199808204918</v>
      </c>
      <c r="D13471" t="s">
        <v>13379</v>
      </c>
      <c r="E13471" t="s">
        <v>13380</v>
      </c>
      <c r="F13471" t="s">
        <v>0</v>
      </c>
      <c r="G13471" t="str">
        <f>"2018-10-13 11:00:27"</f>
        <v>2018-10-13 11:00:27</v>
      </c>
    </row>
    <row r="13472" spans="1:7" x14ac:dyDescent="0.2">
      <c r="A13472" t="s">
        <v>13381</v>
      </c>
      <c r="B13472" t="str">
        <f>"18887201846"</f>
        <v>18887201846</v>
      </c>
      <c r="C13472" t="str">
        <f>"532928198406270041"</f>
        <v>532928198406270041</v>
      </c>
      <c r="D13472" t="s">
        <v>1</v>
      </c>
      <c r="E13472" t="s">
        <v>1</v>
      </c>
      <c r="F13472" t="s">
        <v>0</v>
      </c>
      <c r="G13472" t="str">
        <f>"2018-10-13 10:59:25"</f>
        <v>2018-10-13 10:59:25</v>
      </c>
    </row>
    <row r="13473" spans="1:7" x14ac:dyDescent="0.2">
      <c r="A13473" t="s">
        <v>1022</v>
      </c>
      <c r="B13473" t="str">
        <f>"18770769268"</f>
        <v>18770769268</v>
      </c>
      <c r="C13473" t="str">
        <f>"360702198808071338"</f>
        <v>360702198808071338</v>
      </c>
      <c r="D13473" t="s">
        <v>13382</v>
      </c>
      <c r="E13473" t="s">
        <v>13383</v>
      </c>
      <c r="F13473" t="s">
        <v>0</v>
      </c>
      <c r="G13473" t="str">
        <f>"2018-10-13 11:00:24"</f>
        <v>2018-10-13 11:00:24</v>
      </c>
    </row>
    <row r="13474" spans="1:7" x14ac:dyDescent="0.2">
      <c r="A13474" t="s">
        <v>1</v>
      </c>
      <c r="B13474" t="str">
        <f>"18407455939"</f>
        <v>18407455939</v>
      </c>
      <c r="C13474" t="s">
        <v>1</v>
      </c>
      <c r="D13474" t="s">
        <v>1</v>
      </c>
      <c r="E13474" t="s">
        <v>1</v>
      </c>
      <c r="F13474" t="s">
        <v>0</v>
      </c>
      <c r="G13474" t="str">
        <f>"2018-10-13 10:57:39"</f>
        <v>2018-10-13 10:57:39</v>
      </c>
    </row>
    <row r="13475" spans="1:7" x14ac:dyDescent="0.2">
      <c r="A13475" t="s">
        <v>584</v>
      </c>
      <c r="B13475" t="str">
        <f>"15191850855"</f>
        <v>15191850855</v>
      </c>
      <c r="C13475" t="str">
        <f>"61020219841224281X"</f>
        <v>61020219841224281X</v>
      </c>
      <c r="D13475" t="s">
        <v>13384</v>
      </c>
      <c r="E13475" t="s">
        <v>13385</v>
      </c>
      <c r="F13475" t="s">
        <v>0</v>
      </c>
      <c r="G13475" t="str">
        <f>"2018-10-13 11:00:04"</f>
        <v>2018-10-13 11:00:04</v>
      </c>
    </row>
    <row r="13476" spans="1:7" x14ac:dyDescent="0.2">
      <c r="A13476" t="s">
        <v>1</v>
      </c>
      <c r="B13476" t="str">
        <f>"18786221152"</f>
        <v>18786221152</v>
      </c>
      <c r="C13476" t="s">
        <v>1</v>
      </c>
      <c r="D13476" t="s">
        <v>1</v>
      </c>
      <c r="E13476" t="s">
        <v>1</v>
      </c>
      <c r="F13476" t="s">
        <v>0</v>
      </c>
      <c r="G13476" t="str">
        <f>"2018-10-13 10:57:20"</f>
        <v>2018-10-13 10:57:20</v>
      </c>
    </row>
    <row r="13477" spans="1:7" x14ac:dyDescent="0.2">
      <c r="A13477" t="s">
        <v>13386</v>
      </c>
      <c r="B13477" t="str">
        <f>"15852209108"</f>
        <v>15852209108</v>
      </c>
      <c r="C13477" t="str">
        <f>"320323197001265818"</f>
        <v>320323197001265818</v>
      </c>
      <c r="D13477" t="s">
        <v>1</v>
      </c>
      <c r="E13477" t="s">
        <v>1</v>
      </c>
      <c r="F13477" t="s">
        <v>0</v>
      </c>
      <c r="G13477" t="str">
        <f>"2018-10-13 10:59:17"</f>
        <v>2018-10-13 10:59:17</v>
      </c>
    </row>
    <row r="13478" spans="1:7" x14ac:dyDescent="0.2">
      <c r="A13478" t="s">
        <v>13387</v>
      </c>
      <c r="B13478" t="str">
        <f>"15121236158"</f>
        <v>15121236158</v>
      </c>
      <c r="C13478" t="str">
        <f>"522130198411161655"</f>
        <v>522130198411161655</v>
      </c>
      <c r="D13478" t="s">
        <v>1</v>
      </c>
      <c r="E13478" t="s">
        <v>1</v>
      </c>
      <c r="F13478" t="s">
        <v>0</v>
      </c>
      <c r="G13478" t="str">
        <f>"2018-10-13 10:59:26"</f>
        <v>2018-10-13 10:59:26</v>
      </c>
    </row>
    <row r="13479" spans="1:7" x14ac:dyDescent="0.2">
      <c r="A13479" t="s">
        <v>445</v>
      </c>
      <c r="B13479" t="str">
        <f>"13019992321"</f>
        <v>13019992321</v>
      </c>
      <c r="C13479" t="str">
        <f>"211422199104172618"</f>
        <v>211422199104172618</v>
      </c>
      <c r="D13479" t="s">
        <v>1</v>
      </c>
      <c r="E13479" t="s">
        <v>1</v>
      </c>
      <c r="F13479" t="s">
        <v>0</v>
      </c>
      <c r="G13479" t="str">
        <f>"2018-10-16 10:51:25"</f>
        <v>2018-10-16 10:51:25</v>
      </c>
    </row>
    <row r="13480" spans="1:7" x14ac:dyDescent="0.2">
      <c r="A13480" t="s">
        <v>13388</v>
      </c>
      <c r="B13480" t="str">
        <f>"15845449544"</f>
        <v>15845449544</v>
      </c>
      <c r="C13480" t="str">
        <f>"230506198902041130"</f>
        <v>230506198902041130</v>
      </c>
      <c r="D13480" t="s">
        <v>13389</v>
      </c>
      <c r="E13480" t="s">
        <v>13390</v>
      </c>
      <c r="F13480" t="s">
        <v>0</v>
      </c>
      <c r="G13480" t="str">
        <f>"2018-10-21 10:25:27"</f>
        <v>2018-10-21 10:25:27</v>
      </c>
    </row>
    <row r="13481" spans="1:7" x14ac:dyDescent="0.2">
      <c r="A13481" t="s">
        <v>642</v>
      </c>
      <c r="B13481" t="str">
        <f>"15937358119"</f>
        <v>15937358119</v>
      </c>
      <c r="C13481" t="str">
        <f>"410726198203153870"</f>
        <v>410726198203153870</v>
      </c>
      <c r="D13481" t="s">
        <v>13391</v>
      </c>
      <c r="E13481" t="s">
        <v>13392</v>
      </c>
      <c r="F13481" t="s">
        <v>0</v>
      </c>
      <c r="G13481" t="str">
        <f>"2018-10-13 15:11:40"</f>
        <v>2018-10-13 15:11:40</v>
      </c>
    </row>
    <row r="13482" spans="1:7" x14ac:dyDescent="0.2">
      <c r="A13482" t="s">
        <v>13393</v>
      </c>
      <c r="B13482" t="str">
        <f>"18943783434"</f>
        <v>18943783434</v>
      </c>
      <c r="C13482" t="str">
        <f>"220802199108263338"</f>
        <v>220802199108263338</v>
      </c>
      <c r="D13482" t="s">
        <v>1</v>
      </c>
      <c r="E13482" t="s">
        <v>1</v>
      </c>
      <c r="F13482" t="s">
        <v>0</v>
      </c>
      <c r="G13482" t="str">
        <f>"2018-10-13 10:57:40"</f>
        <v>2018-10-13 10:57:40</v>
      </c>
    </row>
    <row r="13483" spans="1:7" x14ac:dyDescent="0.2">
      <c r="A13483" t="s">
        <v>1</v>
      </c>
      <c r="B13483" t="str">
        <f>"13257807968"</f>
        <v>13257807968</v>
      </c>
      <c r="C13483" t="s">
        <v>1</v>
      </c>
      <c r="D13483" t="s">
        <v>1</v>
      </c>
      <c r="E13483" t="s">
        <v>1</v>
      </c>
      <c r="F13483" t="s">
        <v>0</v>
      </c>
      <c r="G13483" t="str">
        <f>"2018-10-13 10:55:18"</f>
        <v>2018-10-13 10:55:18</v>
      </c>
    </row>
    <row r="13484" spans="1:7" x14ac:dyDescent="0.2">
      <c r="A13484" t="s">
        <v>13394</v>
      </c>
      <c r="B13484" t="str">
        <f>"18580829790"</f>
        <v>18580829790</v>
      </c>
      <c r="C13484" t="str">
        <f>"511203197904273179"</f>
        <v>511203197904273179</v>
      </c>
      <c r="D13484" t="s">
        <v>13395</v>
      </c>
      <c r="E13484" t="s">
        <v>13396</v>
      </c>
      <c r="F13484" t="s">
        <v>0</v>
      </c>
      <c r="G13484" t="str">
        <f>"2018-10-18 19:34:05"</f>
        <v>2018-10-18 19:34:05</v>
      </c>
    </row>
    <row r="13485" spans="1:7" x14ac:dyDescent="0.2">
      <c r="A13485" t="s">
        <v>1</v>
      </c>
      <c r="B13485" t="str">
        <f>"15286231811"</f>
        <v>15286231811</v>
      </c>
      <c r="C13485" t="s">
        <v>1</v>
      </c>
      <c r="D13485" t="s">
        <v>1</v>
      </c>
      <c r="E13485" t="s">
        <v>1</v>
      </c>
      <c r="F13485" t="s">
        <v>0</v>
      </c>
      <c r="G13485" t="str">
        <f>"2018-10-13 10:55:00"</f>
        <v>2018-10-13 10:55:00</v>
      </c>
    </row>
    <row r="13486" spans="1:7" x14ac:dyDescent="0.2">
      <c r="A13486" t="s">
        <v>13397</v>
      </c>
      <c r="B13486" t="str">
        <f>"18693324855"</f>
        <v>18693324855</v>
      </c>
      <c r="C13486" t="str">
        <f>"430602199204041119"</f>
        <v>430602199204041119</v>
      </c>
      <c r="D13486" t="s">
        <v>1</v>
      </c>
      <c r="E13486" t="s">
        <v>1</v>
      </c>
      <c r="F13486" t="s">
        <v>0</v>
      </c>
      <c r="G13486" t="str">
        <f>"2018-10-19 12:52:47"</f>
        <v>2018-10-19 12:52:47</v>
      </c>
    </row>
    <row r="13487" spans="1:7" x14ac:dyDescent="0.2">
      <c r="A13487" t="s">
        <v>1</v>
      </c>
      <c r="B13487" t="str">
        <f>"18259678670"</f>
        <v>18259678670</v>
      </c>
      <c r="C13487" t="s">
        <v>1</v>
      </c>
      <c r="D13487" t="s">
        <v>1</v>
      </c>
      <c r="E13487" t="s">
        <v>1</v>
      </c>
      <c r="F13487" t="s">
        <v>0</v>
      </c>
      <c r="G13487" t="str">
        <f>"2018-10-13 10:54:55"</f>
        <v>2018-10-13 10:54:55</v>
      </c>
    </row>
    <row r="13488" spans="1:7" x14ac:dyDescent="0.2">
      <c r="A13488" t="s">
        <v>1</v>
      </c>
      <c r="B13488" t="str">
        <f>"18868212717"</f>
        <v>18868212717</v>
      </c>
      <c r="C13488" t="s">
        <v>1</v>
      </c>
      <c r="D13488" t="s">
        <v>1</v>
      </c>
      <c r="E13488" t="s">
        <v>1</v>
      </c>
      <c r="F13488" t="s">
        <v>0</v>
      </c>
      <c r="G13488" t="str">
        <f>"2018-10-13 10:54:50"</f>
        <v>2018-10-13 10:54:50</v>
      </c>
    </row>
    <row r="13489" spans="1:7" x14ac:dyDescent="0.2">
      <c r="A13489" t="s">
        <v>1507</v>
      </c>
      <c r="B13489" t="str">
        <f>"13980862209"</f>
        <v>13980862209</v>
      </c>
      <c r="C13489" t="str">
        <f>"51010319740105164X"</f>
        <v>51010319740105164X</v>
      </c>
      <c r="D13489" t="s">
        <v>1</v>
      </c>
      <c r="E13489" t="s">
        <v>1</v>
      </c>
      <c r="F13489" t="s">
        <v>0</v>
      </c>
      <c r="G13489" t="str">
        <f>"2018-10-13 11:58:32"</f>
        <v>2018-10-13 11:58:32</v>
      </c>
    </row>
    <row r="13490" spans="1:7" x14ac:dyDescent="0.2">
      <c r="A13490" t="s">
        <v>1</v>
      </c>
      <c r="B13490" t="str">
        <f>"18538319775"</f>
        <v>18538319775</v>
      </c>
      <c r="C13490" t="s">
        <v>1</v>
      </c>
      <c r="D13490" t="s">
        <v>1</v>
      </c>
      <c r="E13490" t="s">
        <v>1</v>
      </c>
      <c r="F13490" t="s">
        <v>0</v>
      </c>
      <c r="G13490" t="str">
        <f>"2018-10-13 10:54:23"</f>
        <v>2018-10-13 10:54:23</v>
      </c>
    </row>
    <row r="13491" spans="1:7" x14ac:dyDescent="0.2">
      <c r="A13491" t="s">
        <v>13398</v>
      </c>
      <c r="B13491" t="str">
        <f>"18639655836"</f>
        <v>18639655836</v>
      </c>
      <c r="C13491" t="str">
        <f>"412823199002271654"</f>
        <v>412823199002271654</v>
      </c>
      <c r="D13491" t="s">
        <v>1</v>
      </c>
      <c r="E13491" t="s">
        <v>1</v>
      </c>
      <c r="F13491" t="s">
        <v>0</v>
      </c>
      <c r="G13491" t="str">
        <f>"2018-10-13 11:02:37"</f>
        <v>2018-10-13 11:02:37</v>
      </c>
    </row>
    <row r="13492" spans="1:7" x14ac:dyDescent="0.2">
      <c r="A13492" t="s">
        <v>1</v>
      </c>
      <c r="B13492" t="str">
        <f>"17156996436"</f>
        <v>17156996436</v>
      </c>
      <c r="C13492" t="s">
        <v>1</v>
      </c>
      <c r="D13492" t="s">
        <v>1</v>
      </c>
      <c r="E13492" t="s">
        <v>1</v>
      </c>
      <c r="F13492" t="s">
        <v>0</v>
      </c>
      <c r="G13492" t="str">
        <f>"2018-10-13 10:53:22"</f>
        <v>2018-10-13 10:53:22</v>
      </c>
    </row>
    <row r="13493" spans="1:7" x14ac:dyDescent="0.2">
      <c r="A13493" t="s">
        <v>1206</v>
      </c>
      <c r="B13493" t="str">
        <f>"13663548400"</f>
        <v>13663548400</v>
      </c>
      <c r="C13493" t="str">
        <f>"142430199106231215"</f>
        <v>142430199106231215</v>
      </c>
      <c r="D13493" t="s">
        <v>1</v>
      </c>
      <c r="E13493" t="s">
        <v>1</v>
      </c>
      <c r="F13493" t="s">
        <v>0</v>
      </c>
      <c r="G13493" t="str">
        <f>"2018-10-13 10:55:56"</f>
        <v>2018-10-13 10:55:56</v>
      </c>
    </row>
    <row r="13494" spans="1:7" x14ac:dyDescent="0.2">
      <c r="A13494" t="s">
        <v>13399</v>
      </c>
      <c r="B13494" t="str">
        <f>"18757454760"</f>
        <v>18757454760</v>
      </c>
      <c r="C13494" t="str">
        <f>"330225197312112914"</f>
        <v>330225197312112914</v>
      </c>
      <c r="D13494" t="s">
        <v>13400</v>
      </c>
      <c r="E13494" t="s">
        <v>13401</v>
      </c>
      <c r="F13494" t="s">
        <v>0</v>
      </c>
      <c r="G13494" t="str">
        <f>"2018-10-13 11:13:02"</f>
        <v>2018-10-13 11:13:02</v>
      </c>
    </row>
    <row r="13495" spans="1:7" x14ac:dyDescent="0.2">
      <c r="A13495" t="s">
        <v>1</v>
      </c>
      <c r="B13495" t="str">
        <f>"13600334227"</f>
        <v>13600334227</v>
      </c>
      <c r="C13495" t="s">
        <v>1</v>
      </c>
      <c r="D13495" t="s">
        <v>1</v>
      </c>
      <c r="E13495" t="s">
        <v>1</v>
      </c>
      <c r="F13495" t="s">
        <v>0</v>
      </c>
      <c r="G13495" t="str">
        <f>"2018-10-13 10:53:03"</f>
        <v>2018-10-13 10:53:03</v>
      </c>
    </row>
    <row r="13496" spans="1:7" x14ac:dyDescent="0.2">
      <c r="A13496" t="s">
        <v>306</v>
      </c>
      <c r="B13496" t="str">
        <f>"15892622131"</f>
        <v>15892622131</v>
      </c>
      <c r="C13496" t="str">
        <f>"510722199009077299"</f>
        <v>510722199009077299</v>
      </c>
      <c r="D13496" t="s">
        <v>1</v>
      </c>
      <c r="E13496" t="s">
        <v>1</v>
      </c>
      <c r="F13496" t="s">
        <v>0</v>
      </c>
      <c r="G13496" t="str">
        <f>"2018-10-13 10:54:17"</f>
        <v>2018-10-13 10:54:17</v>
      </c>
    </row>
    <row r="13497" spans="1:7" x14ac:dyDescent="0.2">
      <c r="A13497" t="s">
        <v>13402</v>
      </c>
      <c r="B13497" t="str">
        <f>"18869712343"</f>
        <v>18869712343</v>
      </c>
      <c r="C13497" t="str">
        <f>"530427199903021731"</f>
        <v>530427199903021731</v>
      </c>
      <c r="D13497" t="s">
        <v>1</v>
      </c>
      <c r="E13497" t="s">
        <v>1</v>
      </c>
      <c r="F13497" t="s">
        <v>0</v>
      </c>
      <c r="G13497" t="str">
        <f>"2018-10-13 10:54:03"</f>
        <v>2018-10-13 10:54:03</v>
      </c>
    </row>
    <row r="13498" spans="1:7" x14ac:dyDescent="0.2">
      <c r="A13498" t="s">
        <v>13403</v>
      </c>
      <c r="B13498" t="str">
        <f>"15037906790"</f>
        <v>15037906790</v>
      </c>
      <c r="C13498" t="str">
        <f>"410311198907180010"</f>
        <v>410311198907180010</v>
      </c>
      <c r="D13498" t="s">
        <v>1</v>
      </c>
      <c r="E13498" t="s">
        <v>1</v>
      </c>
      <c r="F13498" t="s">
        <v>0</v>
      </c>
      <c r="G13498" t="str">
        <f>"2018-10-13 10:52:44"</f>
        <v>2018-10-13 10:52:44</v>
      </c>
    </row>
    <row r="13499" spans="1:7" x14ac:dyDescent="0.2">
      <c r="A13499" t="s">
        <v>13404</v>
      </c>
      <c r="B13499" t="str">
        <f>"13922765835"</f>
        <v>13922765835</v>
      </c>
      <c r="C13499" t="str">
        <f>"469003198807058414"</f>
        <v>469003198807058414</v>
      </c>
      <c r="D13499" t="s">
        <v>1</v>
      </c>
      <c r="E13499" t="s">
        <v>1</v>
      </c>
      <c r="F13499" t="s">
        <v>0</v>
      </c>
      <c r="G13499" t="str">
        <f>"2018-10-13 10:55:09"</f>
        <v>2018-10-13 10:55:09</v>
      </c>
    </row>
    <row r="13500" spans="1:7" x14ac:dyDescent="0.2">
      <c r="A13500" t="s">
        <v>1</v>
      </c>
      <c r="B13500" t="str">
        <f>"15215023901"</f>
        <v>15215023901</v>
      </c>
      <c r="C13500" t="s">
        <v>1</v>
      </c>
      <c r="D13500" t="s">
        <v>1</v>
      </c>
      <c r="E13500" t="s">
        <v>1</v>
      </c>
      <c r="F13500" t="s">
        <v>0</v>
      </c>
      <c r="G13500" t="str">
        <f>"2018-10-13 10:52:21"</f>
        <v>2018-10-13 10:52:21</v>
      </c>
    </row>
    <row r="13501" spans="1:7" x14ac:dyDescent="0.2">
      <c r="A13501" t="s">
        <v>13405</v>
      </c>
      <c r="B13501" t="str">
        <f>"18835932237"</f>
        <v>18835932237</v>
      </c>
      <c r="C13501" t="str">
        <f>"142729199109011219"</f>
        <v>142729199109011219</v>
      </c>
      <c r="D13501" t="s">
        <v>1</v>
      </c>
      <c r="E13501" t="s">
        <v>1</v>
      </c>
      <c r="F13501" t="s">
        <v>0</v>
      </c>
      <c r="G13501" t="str">
        <f>"2018-10-13 11:02:11"</f>
        <v>2018-10-13 11:02:11</v>
      </c>
    </row>
    <row r="13502" spans="1:7" x14ac:dyDescent="0.2">
      <c r="A13502" t="s">
        <v>1</v>
      </c>
      <c r="B13502" t="str">
        <f>"13893087872"</f>
        <v>13893087872</v>
      </c>
      <c r="C13502" t="s">
        <v>1</v>
      </c>
      <c r="D13502" t="s">
        <v>1</v>
      </c>
      <c r="E13502" t="s">
        <v>1</v>
      </c>
      <c r="F13502" t="s">
        <v>0</v>
      </c>
      <c r="G13502" t="str">
        <f>"2018-10-13 10:52:15"</f>
        <v>2018-10-13 10:52:15</v>
      </c>
    </row>
    <row r="13503" spans="1:7" x14ac:dyDescent="0.2">
      <c r="A13503" t="s">
        <v>13406</v>
      </c>
      <c r="B13503" t="str">
        <f>"13210255358"</f>
        <v>13210255358</v>
      </c>
      <c r="C13503" t="str">
        <f>"370203199306017919"</f>
        <v>370203199306017919</v>
      </c>
      <c r="D13503" t="s">
        <v>13407</v>
      </c>
      <c r="E13503" t="s">
        <v>13408</v>
      </c>
      <c r="F13503" t="s">
        <v>0</v>
      </c>
      <c r="G13503" t="str">
        <f>"2018-10-13 11:42:54"</f>
        <v>2018-10-13 11:42:54</v>
      </c>
    </row>
    <row r="13504" spans="1:7" x14ac:dyDescent="0.2">
      <c r="A13504" t="s">
        <v>13409</v>
      </c>
      <c r="B13504" t="str">
        <f>"18896730916"</f>
        <v>18896730916</v>
      </c>
      <c r="C13504" t="str">
        <f>"340521199209226819"</f>
        <v>340521199209226819</v>
      </c>
      <c r="D13504" t="s">
        <v>1</v>
      </c>
      <c r="E13504" t="s">
        <v>1</v>
      </c>
      <c r="F13504" t="s">
        <v>0</v>
      </c>
      <c r="G13504" t="str">
        <f>"2018-10-13 10:54:26"</f>
        <v>2018-10-13 10:54:26</v>
      </c>
    </row>
    <row r="13505" spans="1:7" x14ac:dyDescent="0.2">
      <c r="A13505" t="s">
        <v>1</v>
      </c>
      <c r="B13505" t="str">
        <f>"13579923215"</f>
        <v>13579923215</v>
      </c>
      <c r="C13505" t="s">
        <v>1</v>
      </c>
      <c r="D13505" t="s">
        <v>1</v>
      </c>
      <c r="E13505" t="s">
        <v>1</v>
      </c>
      <c r="F13505" t="s">
        <v>0</v>
      </c>
      <c r="G13505" t="str">
        <f>"2018-10-13 10:51:01"</f>
        <v>2018-10-13 10:51:01</v>
      </c>
    </row>
    <row r="13506" spans="1:7" x14ac:dyDescent="0.2">
      <c r="A13506" t="s">
        <v>13410</v>
      </c>
      <c r="B13506" t="str">
        <f>"18671222321"</f>
        <v>18671222321</v>
      </c>
      <c r="C13506" t="str">
        <f>"420902199112012139"</f>
        <v>420902199112012139</v>
      </c>
      <c r="D13506" t="s">
        <v>1</v>
      </c>
      <c r="E13506" t="s">
        <v>1</v>
      </c>
      <c r="F13506" t="s">
        <v>0</v>
      </c>
      <c r="G13506" t="str">
        <f>"2018-10-13 13:21:19"</f>
        <v>2018-10-13 13:21:19</v>
      </c>
    </row>
    <row r="13507" spans="1:7" x14ac:dyDescent="0.2">
      <c r="A13507" t="s">
        <v>1</v>
      </c>
      <c r="B13507" t="str">
        <f>"17871137520"</f>
        <v>17871137520</v>
      </c>
      <c r="C13507" t="s">
        <v>1</v>
      </c>
      <c r="D13507" t="s">
        <v>1</v>
      </c>
      <c r="E13507" t="s">
        <v>1</v>
      </c>
      <c r="F13507" t="s">
        <v>0</v>
      </c>
      <c r="G13507" t="str">
        <f>"2018-10-13 10:50:42"</f>
        <v>2018-10-13 10:50:42</v>
      </c>
    </row>
    <row r="13508" spans="1:7" x14ac:dyDescent="0.2">
      <c r="A13508" t="s">
        <v>13411</v>
      </c>
      <c r="B13508" t="str">
        <f>"13885494947"</f>
        <v>13885494947</v>
      </c>
      <c r="C13508" t="str">
        <f>"522730199109090419"</f>
        <v>522730199109090419</v>
      </c>
      <c r="D13508" t="s">
        <v>1</v>
      </c>
      <c r="E13508" t="s">
        <v>1</v>
      </c>
      <c r="F13508" t="s">
        <v>0</v>
      </c>
      <c r="G13508" t="str">
        <f>"2018-11-01 17:46:10"</f>
        <v>2018-11-01 17:46:10</v>
      </c>
    </row>
    <row r="13509" spans="1:7" x14ac:dyDescent="0.2">
      <c r="A13509" t="s">
        <v>1</v>
      </c>
      <c r="B13509" t="str">
        <f>"13860253578"</f>
        <v>13860253578</v>
      </c>
      <c r="C13509" t="s">
        <v>1</v>
      </c>
      <c r="D13509" t="s">
        <v>1</v>
      </c>
      <c r="E13509" t="s">
        <v>1</v>
      </c>
      <c r="F13509" t="s">
        <v>0</v>
      </c>
      <c r="G13509" t="str">
        <f>"2018-10-13 10:50:11"</f>
        <v>2018-10-13 10:50:11</v>
      </c>
    </row>
    <row r="13510" spans="1:7" x14ac:dyDescent="0.2">
      <c r="A13510" t="s">
        <v>1175</v>
      </c>
      <c r="B13510" t="str">
        <f>"13564668557"</f>
        <v>13564668557</v>
      </c>
      <c r="C13510" t="str">
        <f>"330623197110125898"</f>
        <v>330623197110125898</v>
      </c>
      <c r="D13510" t="s">
        <v>1</v>
      </c>
      <c r="E13510" t="s">
        <v>1</v>
      </c>
      <c r="F13510" t="s">
        <v>0</v>
      </c>
      <c r="G13510" t="str">
        <f>"2018-10-13 10:51:20"</f>
        <v>2018-10-13 10:51:20</v>
      </c>
    </row>
    <row r="13511" spans="1:7" x14ac:dyDescent="0.2">
      <c r="A13511" t="s">
        <v>13412</v>
      </c>
      <c r="B13511" t="str">
        <f>"17849130991"</f>
        <v>17849130991</v>
      </c>
      <c r="C13511" t="str">
        <f>"320923199411044534"</f>
        <v>320923199411044534</v>
      </c>
      <c r="D13511" t="s">
        <v>1</v>
      </c>
      <c r="E13511" t="s">
        <v>1</v>
      </c>
      <c r="F13511" t="s">
        <v>0</v>
      </c>
      <c r="G13511" t="str">
        <f>"2018-10-13 10:51:22"</f>
        <v>2018-10-13 10:51:22</v>
      </c>
    </row>
    <row r="13512" spans="1:7" x14ac:dyDescent="0.2">
      <c r="A13512" t="s">
        <v>13413</v>
      </c>
      <c r="B13512" t="str">
        <f>"13477280627"</f>
        <v>13477280627</v>
      </c>
      <c r="C13512" t="str">
        <f>"422802199310026052"</f>
        <v>422802199310026052</v>
      </c>
      <c r="D13512" t="s">
        <v>1</v>
      </c>
      <c r="E13512" t="s">
        <v>1</v>
      </c>
      <c r="F13512" t="s">
        <v>0</v>
      </c>
      <c r="G13512" t="str">
        <f>"2018-10-13 10:51:13"</f>
        <v>2018-10-13 10:51:13</v>
      </c>
    </row>
    <row r="13513" spans="1:7" x14ac:dyDescent="0.2">
      <c r="A13513" t="s">
        <v>13414</v>
      </c>
      <c r="B13513" t="str">
        <f>"13073790316"</f>
        <v>13073790316</v>
      </c>
      <c r="C13513" t="str">
        <f>"410184199109125617"</f>
        <v>410184199109125617</v>
      </c>
      <c r="D13513" t="s">
        <v>1</v>
      </c>
      <c r="E13513" t="s">
        <v>1</v>
      </c>
      <c r="F13513" t="s">
        <v>0</v>
      </c>
      <c r="G13513" t="str">
        <f>"2018-10-13 10:51:46"</f>
        <v>2018-10-13 10:51:46</v>
      </c>
    </row>
    <row r="13514" spans="1:7" x14ac:dyDescent="0.2">
      <c r="A13514" t="s">
        <v>108</v>
      </c>
      <c r="B13514" t="str">
        <f>"13505188269"</f>
        <v>13505188269</v>
      </c>
      <c r="C13514" t="str">
        <f>"320705197101170014"</f>
        <v>320705197101170014</v>
      </c>
      <c r="D13514" t="s">
        <v>1</v>
      </c>
      <c r="E13514" t="s">
        <v>1</v>
      </c>
      <c r="F13514" t="s">
        <v>0</v>
      </c>
      <c r="G13514" t="str">
        <f>"2018-10-13 10:53:48"</f>
        <v>2018-10-13 10:53:48</v>
      </c>
    </row>
    <row r="13515" spans="1:7" x14ac:dyDescent="0.2">
      <c r="A13515" t="s">
        <v>13415</v>
      </c>
      <c r="B13515" t="str">
        <f>"15240213928"</f>
        <v>15240213928</v>
      </c>
      <c r="C13515" t="str">
        <f>"320103199202270595"</f>
        <v>320103199202270595</v>
      </c>
      <c r="D13515" t="s">
        <v>1</v>
      </c>
      <c r="E13515" t="s">
        <v>1</v>
      </c>
      <c r="F13515" t="s">
        <v>0</v>
      </c>
      <c r="G13515" t="str">
        <f>"2018-10-23 09:07:29"</f>
        <v>2018-10-23 09:07:29</v>
      </c>
    </row>
    <row r="13516" spans="1:7" x14ac:dyDescent="0.2">
      <c r="A13516" t="s">
        <v>13416</v>
      </c>
      <c r="B13516" t="str">
        <f>"15858230910"</f>
        <v>15858230910</v>
      </c>
      <c r="C13516" t="str">
        <f>"330183199206054316"</f>
        <v>330183199206054316</v>
      </c>
      <c r="D13516" t="s">
        <v>1</v>
      </c>
      <c r="E13516" t="s">
        <v>1</v>
      </c>
      <c r="F13516" t="s">
        <v>0</v>
      </c>
      <c r="G13516" t="str">
        <f>"2018-10-14 09:31:45"</f>
        <v>2018-10-14 09:31:45</v>
      </c>
    </row>
    <row r="13517" spans="1:7" x14ac:dyDescent="0.2">
      <c r="A13517" t="s">
        <v>1</v>
      </c>
      <c r="B13517" t="str">
        <f>"13959039691"</f>
        <v>13959039691</v>
      </c>
      <c r="C13517" t="s">
        <v>1</v>
      </c>
      <c r="D13517" t="s">
        <v>1</v>
      </c>
      <c r="E13517" t="s">
        <v>1</v>
      </c>
      <c r="F13517" t="s">
        <v>0</v>
      </c>
      <c r="G13517" t="str">
        <f>"2018-10-13 10:49:03"</f>
        <v>2018-10-13 10:49:03</v>
      </c>
    </row>
    <row r="13518" spans="1:7" x14ac:dyDescent="0.2">
      <c r="A13518" t="s">
        <v>13417</v>
      </c>
      <c r="B13518" t="str">
        <f>"13813504530"</f>
        <v>13813504530</v>
      </c>
      <c r="C13518" t="str">
        <f>"320482198801200502"</f>
        <v>320482198801200502</v>
      </c>
      <c r="D13518" t="s">
        <v>1</v>
      </c>
      <c r="E13518" t="s">
        <v>1</v>
      </c>
      <c r="F13518" t="s">
        <v>0</v>
      </c>
      <c r="G13518" t="str">
        <f>"2018-10-13 11:03:25"</f>
        <v>2018-10-13 11:03:25</v>
      </c>
    </row>
    <row r="13519" spans="1:7" x14ac:dyDescent="0.2">
      <c r="A13519" t="s">
        <v>1179</v>
      </c>
      <c r="B13519" t="str">
        <f>"18391299995"</f>
        <v>18391299995</v>
      </c>
      <c r="C13519" t="str">
        <f>"612701198212192830"</f>
        <v>612701198212192830</v>
      </c>
      <c r="D13519" t="s">
        <v>1</v>
      </c>
      <c r="E13519" t="s">
        <v>1</v>
      </c>
      <c r="F13519" t="s">
        <v>0</v>
      </c>
      <c r="G13519" t="str">
        <f>"2018-10-13 10:48:50"</f>
        <v>2018-10-13 10:48:50</v>
      </c>
    </row>
    <row r="13520" spans="1:7" x14ac:dyDescent="0.2">
      <c r="A13520" t="s">
        <v>1</v>
      </c>
      <c r="B13520" t="str">
        <f>"18700477928"</f>
        <v>18700477928</v>
      </c>
      <c r="C13520" t="s">
        <v>1</v>
      </c>
      <c r="D13520" t="s">
        <v>1</v>
      </c>
      <c r="E13520" t="s">
        <v>1</v>
      </c>
      <c r="F13520" t="s">
        <v>0</v>
      </c>
      <c r="G13520" t="str">
        <f>"2018-10-13 10:50:05"</f>
        <v>2018-10-13 10:50:05</v>
      </c>
    </row>
    <row r="13521" spans="1:7" x14ac:dyDescent="0.2">
      <c r="A13521" t="s">
        <v>1</v>
      </c>
      <c r="B13521" t="str">
        <f>"18503781066"</f>
        <v>18503781066</v>
      </c>
      <c r="C13521" t="s">
        <v>1</v>
      </c>
      <c r="D13521" t="s">
        <v>1</v>
      </c>
      <c r="E13521" t="s">
        <v>1</v>
      </c>
      <c r="F13521" t="s">
        <v>0</v>
      </c>
      <c r="G13521" t="str">
        <f>"2018-10-13 10:48:38"</f>
        <v>2018-10-13 10:48:38</v>
      </c>
    </row>
    <row r="13522" spans="1:7" x14ac:dyDescent="0.2">
      <c r="A13522" t="s">
        <v>1</v>
      </c>
      <c r="B13522" t="str">
        <f>"18204533533"</f>
        <v>18204533533</v>
      </c>
      <c r="C13522" t="s">
        <v>1</v>
      </c>
      <c r="D13522" t="s">
        <v>1</v>
      </c>
      <c r="E13522" t="s">
        <v>1</v>
      </c>
      <c r="F13522" t="s">
        <v>0</v>
      </c>
      <c r="G13522" t="str">
        <f>"2018-10-13 10:48:32"</f>
        <v>2018-10-13 10:48:32</v>
      </c>
    </row>
    <row r="13523" spans="1:7" x14ac:dyDescent="0.2">
      <c r="A13523" t="s">
        <v>1</v>
      </c>
      <c r="B13523" t="str">
        <f>"18752618272"</f>
        <v>18752618272</v>
      </c>
      <c r="C13523" t="s">
        <v>1</v>
      </c>
      <c r="D13523" t="s">
        <v>1</v>
      </c>
      <c r="E13523" t="s">
        <v>1</v>
      </c>
      <c r="F13523" t="s">
        <v>0</v>
      </c>
      <c r="G13523" t="str">
        <f>"2018-10-13 10:51:15"</f>
        <v>2018-10-13 10:51:15</v>
      </c>
    </row>
    <row r="13524" spans="1:7" x14ac:dyDescent="0.2">
      <c r="A13524" t="s">
        <v>1</v>
      </c>
      <c r="B13524" t="str">
        <f>"15894510093"</f>
        <v>15894510093</v>
      </c>
      <c r="C13524" t="s">
        <v>1</v>
      </c>
      <c r="D13524" t="s">
        <v>1</v>
      </c>
      <c r="E13524" t="s">
        <v>1</v>
      </c>
      <c r="F13524" t="s">
        <v>0</v>
      </c>
      <c r="G13524" t="str">
        <f>"2018-10-13 10:48:09"</f>
        <v>2018-10-13 10:48:09</v>
      </c>
    </row>
    <row r="13525" spans="1:7" x14ac:dyDescent="0.2">
      <c r="A13525" t="s">
        <v>1</v>
      </c>
      <c r="B13525" t="str">
        <f>"13606989755"</f>
        <v>13606989755</v>
      </c>
      <c r="C13525" t="s">
        <v>1</v>
      </c>
      <c r="D13525" t="s">
        <v>1</v>
      </c>
      <c r="E13525" t="s">
        <v>1</v>
      </c>
      <c r="F13525" t="s">
        <v>0</v>
      </c>
      <c r="G13525" t="str">
        <f>"2018-10-13 10:48:07"</f>
        <v>2018-10-13 10:48:07</v>
      </c>
    </row>
    <row r="13526" spans="1:7" x14ac:dyDescent="0.2">
      <c r="A13526" t="s">
        <v>13418</v>
      </c>
      <c r="B13526" t="str">
        <f>"15959356890"</f>
        <v>15959356890</v>
      </c>
      <c r="C13526" t="str">
        <f>"35082119881115361X"</f>
        <v>35082119881115361X</v>
      </c>
      <c r="D13526" t="s">
        <v>1</v>
      </c>
      <c r="E13526" t="s">
        <v>1</v>
      </c>
      <c r="F13526" t="s">
        <v>0</v>
      </c>
      <c r="G13526" t="str">
        <f>"2018-10-13 10:50:40"</f>
        <v>2018-10-13 10:50:40</v>
      </c>
    </row>
    <row r="13527" spans="1:7" x14ac:dyDescent="0.2">
      <c r="A13527" t="s">
        <v>1095</v>
      </c>
      <c r="B13527" t="str">
        <f>"15774634421"</f>
        <v>15774634421</v>
      </c>
      <c r="C13527" t="str">
        <f>"231005199203254825"</f>
        <v>231005199203254825</v>
      </c>
      <c r="D13527" t="s">
        <v>1</v>
      </c>
      <c r="E13527" t="s">
        <v>1</v>
      </c>
      <c r="F13527" t="s">
        <v>0</v>
      </c>
      <c r="G13527" t="str">
        <f>"2018-10-13 10:49:53"</f>
        <v>2018-10-13 10:49:53</v>
      </c>
    </row>
    <row r="13528" spans="1:7" x14ac:dyDescent="0.2">
      <c r="A13528" t="s">
        <v>13419</v>
      </c>
      <c r="B13528" t="str">
        <f>"13401630200"</f>
        <v>13401630200</v>
      </c>
      <c r="C13528" t="str">
        <f>"342423198710146219"</f>
        <v>342423198710146219</v>
      </c>
      <c r="D13528" t="s">
        <v>1</v>
      </c>
      <c r="E13528" t="s">
        <v>1</v>
      </c>
      <c r="F13528" t="s">
        <v>0</v>
      </c>
      <c r="G13528" t="str">
        <f>"2018-10-13 10:49:03"</f>
        <v>2018-10-13 10:49:03</v>
      </c>
    </row>
    <row r="13529" spans="1:7" x14ac:dyDescent="0.2">
      <c r="A13529" t="s">
        <v>268</v>
      </c>
      <c r="B13529" t="str">
        <f>"15683021322"</f>
        <v>15683021322</v>
      </c>
      <c r="C13529" t="str">
        <f>"500383199507284310"</f>
        <v>500383199507284310</v>
      </c>
      <c r="D13529" t="s">
        <v>13420</v>
      </c>
      <c r="E13529" t="s">
        <v>13421</v>
      </c>
      <c r="F13529" t="s">
        <v>0</v>
      </c>
      <c r="G13529" t="str">
        <f>"2018-10-13 10:47:52"</f>
        <v>2018-10-13 10:47:52</v>
      </c>
    </row>
    <row r="13530" spans="1:7" x14ac:dyDescent="0.2">
      <c r="A13530" t="s">
        <v>13422</v>
      </c>
      <c r="B13530" t="str">
        <f>"18820317686"</f>
        <v>18820317686</v>
      </c>
      <c r="C13530" t="str">
        <f>"362426199002052817"</f>
        <v>362426199002052817</v>
      </c>
      <c r="D13530" t="s">
        <v>1</v>
      </c>
      <c r="E13530" t="s">
        <v>1</v>
      </c>
      <c r="F13530" t="s">
        <v>0</v>
      </c>
      <c r="G13530" t="str">
        <f>"2018-10-13 10:50:23"</f>
        <v>2018-10-13 10:50:23</v>
      </c>
    </row>
    <row r="13531" spans="1:7" x14ac:dyDescent="0.2">
      <c r="A13531" t="s">
        <v>1</v>
      </c>
      <c r="B13531" t="str">
        <f>"18728718688"</f>
        <v>18728718688</v>
      </c>
      <c r="C13531" t="s">
        <v>1</v>
      </c>
      <c r="D13531" t="s">
        <v>1</v>
      </c>
      <c r="E13531" t="s">
        <v>1</v>
      </c>
      <c r="F13531" t="s">
        <v>0</v>
      </c>
      <c r="G13531" t="str">
        <f>"2018-10-13 10:47:18"</f>
        <v>2018-10-13 10:47:18</v>
      </c>
    </row>
    <row r="13532" spans="1:7" x14ac:dyDescent="0.2">
      <c r="A13532" t="s">
        <v>13423</v>
      </c>
      <c r="B13532" t="str">
        <f>"18732422254"</f>
        <v>18732422254</v>
      </c>
      <c r="C13532" t="str">
        <f>"130803197801011054"</f>
        <v>130803197801011054</v>
      </c>
      <c r="D13532" t="s">
        <v>1</v>
      </c>
      <c r="E13532" t="s">
        <v>1</v>
      </c>
      <c r="F13532" t="s">
        <v>0</v>
      </c>
      <c r="G13532" t="str">
        <f>"2018-10-13 10:48:32"</f>
        <v>2018-10-13 10:48:32</v>
      </c>
    </row>
    <row r="13533" spans="1:7" x14ac:dyDescent="0.2">
      <c r="A13533" t="s">
        <v>13424</v>
      </c>
      <c r="B13533" t="str">
        <f>"15033299744"</f>
        <v>15033299744</v>
      </c>
      <c r="C13533" t="str">
        <f>"132432198611055036"</f>
        <v>132432198611055036</v>
      </c>
      <c r="D13533" t="s">
        <v>1</v>
      </c>
      <c r="E13533" t="s">
        <v>1</v>
      </c>
      <c r="F13533" t="s">
        <v>0</v>
      </c>
      <c r="G13533" t="str">
        <f>"2018-10-13 13:02:36"</f>
        <v>2018-10-13 13:02:36</v>
      </c>
    </row>
    <row r="13534" spans="1:7" x14ac:dyDescent="0.2">
      <c r="A13534" t="s">
        <v>13425</v>
      </c>
      <c r="B13534" t="str">
        <f>"13315738331"</f>
        <v>13315738331</v>
      </c>
      <c r="C13534" t="str">
        <f>"130982198506120528"</f>
        <v>130982198506120528</v>
      </c>
      <c r="D13534" t="s">
        <v>1</v>
      </c>
      <c r="E13534" t="s">
        <v>1</v>
      </c>
      <c r="F13534" t="s">
        <v>0</v>
      </c>
      <c r="G13534" t="str">
        <f>"2018-10-13 10:47:58"</f>
        <v>2018-10-13 10:47:58</v>
      </c>
    </row>
    <row r="13535" spans="1:7" x14ac:dyDescent="0.2">
      <c r="A13535" t="s">
        <v>13426</v>
      </c>
      <c r="B13535" t="str">
        <f>"18323616299"</f>
        <v>18323616299</v>
      </c>
      <c r="C13535" t="str">
        <f>"500101199210228806"</f>
        <v>500101199210228806</v>
      </c>
      <c r="D13535" t="s">
        <v>13427</v>
      </c>
      <c r="E13535" t="s">
        <v>13428</v>
      </c>
      <c r="F13535" t="s">
        <v>0</v>
      </c>
      <c r="G13535" t="str">
        <f>"2018-10-13 10:51:46"</f>
        <v>2018-10-13 10:51:46</v>
      </c>
    </row>
    <row r="13536" spans="1:7" x14ac:dyDescent="0.2">
      <c r="A13536" t="s">
        <v>13429</v>
      </c>
      <c r="B13536" t="str">
        <f>"18732665123"</f>
        <v>18732665123</v>
      </c>
      <c r="C13536" t="str">
        <f>"131002199306181515"</f>
        <v>131002199306181515</v>
      </c>
      <c r="D13536" t="s">
        <v>1</v>
      </c>
      <c r="E13536" t="s">
        <v>1</v>
      </c>
      <c r="F13536" t="s">
        <v>0</v>
      </c>
      <c r="G13536" t="str">
        <f>"2018-10-13 10:47:31"</f>
        <v>2018-10-13 10:47:31</v>
      </c>
    </row>
    <row r="13537" spans="1:7" x14ac:dyDescent="0.2">
      <c r="A13537" t="s">
        <v>13430</v>
      </c>
      <c r="B13537" t="str">
        <f>"17839613710"</f>
        <v>17839613710</v>
      </c>
      <c r="C13537" t="str">
        <f>"410621197009132011"</f>
        <v>410621197009132011</v>
      </c>
      <c r="D13537" t="s">
        <v>1</v>
      </c>
      <c r="E13537" t="s">
        <v>1</v>
      </c>
      <c r="F13537" t="s">
        <v>0</v>
      </c>
      <c r="G13537" t="str">
        <f>"2018-10-13 10:46:51"</f>
        <v>2018-10-13 10:46:51</v>
      </c>
    </row>
    <row r="13538" spans="1:7" x14ac:dyDescent="0.2">
      <c r="A13538" t="s">
        <v>1</v>
      </c>
      <c r="B13538" t="str">
        <f>"18827349236"</f>
        <v>18827349236</v>
      </c>
      <c r="C13538" t="s">
        <v>1</v>
      </c>
      <c r="D13538" t="s">
        <v>1</v>
      </c>
      <c r="E13538" t="s">
        <v>1</v>
      </c>
      <c r="F13538" t="s">
        <v>0</v>
      </c>
      <c r="G13538" t="str">
        <f>"2018-10-13 10:45:26"</f>
        <v>2018-10-13 10:45:26</v>
      </c>
    </row>
    <row r="13539" spans="1:7" x14ac:dyDescent="0.2">
      <c r="A13539" t="s">
        <v>238</v>
      </c>
      <c r="B13539" t="str">
        <f>"13944440294"</f>
        <v>13944440294</v>
      </c>
      <c r="C13539" t="str">
        <f>"220381199307037411"</f>
        <v>220381199307037411</v>
      </c>
      <c r="D13539" t="s">
        <v>1</v>
      </c>
      <c r="E13539" t="s">
        <v>1</v>
      </c>
      <c r="F13539" t="s">
        <v>0</v>
      </c>
      <c r="G13539" t="str">
        <f>"2018-10-22 16:55:11"</f>
        <v>2018-10-22 16:55:11</v>
      </c>
    </row>
    <row r="13540" spans="1:7" x14ac:dyDescent="0.2">
      <c r="A13540" t="s">
        <v>267</v>
      </c>
      <c r="B13540" t="str">
        <f>"18657260558"</f>
        <v>18657260558</v>
      </c>
      <c r="C13540" t="str">
        <f>"330522199011021054"</f>
        <v>330522199011021054</v>
      </c>
      <c r="D13540" t="s">
        <v>1</v>
      </c>
      <c r="E13540" t="s">
        <v>1</v>
      </c>
      <c r="F13540" t="s">
        <v>0</v>
      </c>
      <c r="G13540" t="str">
        <f>"2018-10-13 10:46:42"</f>
        <v>2018-10-13 10:46:42</v>
      </c>
    </row>
    <row r="13541" spans="1:7" x14ac:dyDescent="0.2">
      <c r="A13541" t="s">
        <v>13431</v>
      </c>
      <c r="B13541" t="str">
        <f>"18229992302"</f>
        <v>18229992302</v>
      </c>
      <c r="C13541" t="str">
        <f>"431027199109296012"</f>
        <v>431027199109296012</v>
      </c>
      <c r="D13541" t="s">
        <v>1</v>
      </c>
      <c r="E13541" t="s">
        <v>1</v>
      </c>
      <c r="F13541" t="s">
        <v>0</v>
      </c>
      <c r="G13541" t="str">
        <f>"2018-11-01 12:33:57"</f>
        <v>2018-11-01 12:33:57</v>
      </c>
    </row>
    <row r="13542" spans="1:7" x14ac:dyDescent="0.2">
      <c r="A13542" t="s">
        <v>1</v>
      </c>
      <c r="B13542" t="str">
        <f>"13432343675"</f>
        <v>13432343675</v>
      </c>
      <c r="C13542" t="s">
        <v>1</v>
      </c>
      <c r="D13542" t="s">
        <v>1</v>
      </c>
      <c r="E13542" t="s">
        <v>1</v>
      </c>
      <c r="F13542" t="s">
        <v>0</v>
      </c>
      <c r="G13542" t="str">
        <f>"2018-10-13 10:44:39"</f>
        <v>2018-10-13 10:44:39</v>
      </c>
    </row>
    <row r="13543" spans="1:7" x14ac:dyDescent="0.2">
      <c r="A13543" t="s">
        <v>1</v>
      </c>
      <c r="B13543" t="str">
        <f>"15966448586"</f>
        <v>15966448586</v>
      </c>
      <c r="C13543" t="s">
        <v>1</v>
      </c>
      <c r="D13543" t="s">
        <v>1</v>
      </c>
      <c r="E13543" t="s">
        <v>1</v>
      </c>
      <c r="F13543" t="s">
        <v>0</v>
      </c>
      <c r="G13543" t="str">
        <f>"2018-10-13 10:44:33"</f>
        <v>2018-10-13 10:44:33</v>
      </c>
    </row>
    <row r="13544" spans="1:7" x14ac:dyDescent="0.2">
      <c r="A13544" t="s">
        <v>1</v>
      </c>
      <c r="B13544" t="str">
        <f>"15766997770"</f>
        <v>15766997770</v>
      </c>
      <c r="C13544" t="s">
        <v>1</v>
      </c>
      <c r="D13544" t="s">
        <v>1</v>
      </c>
      <c r="E13544" t="s">
        <v>1</v>
      </c>
      <c r="F13544" t="s">
        <v>0</v>
      </c>
      <c r="G13544" t="str">
        <f>"2018-10-13 10:44:26"</f>
        <v>2018-10-13 10:44:26</v>
      </c>
    </row>
    <row r="13545" spans="1:7" x14ac:dyDescent="0.2">
      <c r="A13545" t="s">
        <v>1164</v>
      </c>
      <c r="B13545" t="str">
        <f>"15178878966"</f>
        <v>15178878966</v>
      </c>
      <c r="C13545" t="str">
        <f>"500112198702225278"</f>
        <v>500112198702225278</v>
      </c>
      <c r="D13545" t="s">
        <v>1</v>
      </c>
      <c r="E13545" t="s">
        <v>1</v>
      </c>
      <c r="F13545" t="s">
        <v>0</v>
      </c>
      <c r="G13545" t="str">
        <f>"2018-10-13 10:49:07"</f>
        <v>2018-10-13 10:49:07</v>
      </c>
    </row>
    <row r="13546" spans="1:7" x14ac:dyDescent="0.2">
      <c r="A13546" t="s">
        <v>1</v>
      </c>
      <c r="B13546" t="str">
        <f>"14758665651"</f>
        <v>14758665651</v>
      </c>
      <c r="C13546" t="s">
        <v>1</v>
      </c>
      <c r="D13546" t="s">
        <v>1</v>
      </c>
      <c r="E13546" t="s">
        <v>1</v>
      </c>
      <c r="F13546" t="s">
        <v>0</v>
      </c>
      <c r="G13546" t="str">
        <f>"2018-10-13 10:46:54"</f>
        <v>2018-10-13 10:46:54</v>
      </c>
    </row>
    <row r="13547" spans="1:7" x14ac:dyDescent="0.2">
      <c r="A13547" t="s">
        <v>13432</v>
      </c>
      <c r="B13547" t="str">
        <f>"15903606369"</f>
        <v>15903606369</v>
      </c>
      <c r="C13547" t="str">
        <f>"410185199102224512"</f>
        <v>410185199102224512</v>
      </c>
      <c r="D13547" t="s">
        <v>1</v>
      </c>
      <c r="E13547" t="s">
        <v>1</v>
      </c>
      <c r="F13547" t="s">
        <v>0</v>
      </c>
      <c r="G13547" t="str">
        <f>"2018-10-13 10:43:19"</f>
        <v>2018-10-13 10:43:19</v>
      </c>
    </row>
    <row r="13548" spans="1:7" x14ac:dyDescent="0.2">
      <c r="A13548" t="s">
        <v>13433</v>
      </c>
      <c r="B13548" t="str">
        <f>"18821899190"</f>
        <v>18821899190</v>
      </c>
      <c r="C13548" t="str">
        <f>"430624198911283153"</f>
        <v>430624198911283153</v>
      </c>
      <c r="D13548" t="s">
        <v>1</v>
      </c>
      <c r="E13548" t="s">
        <v>1</v>
      </c>
      <c r="F13548" t="s">
        <v>0</v>
      </c>
      <c r="G13548" t="str">
        <f>"2018-10-13 10:59:26"</f>
        <v>2018-10-13 10:59:26</v>
      </c>
    </row>
    <row r="13549" spans="1:7" x14ac:dyDescent="0.2">
      <c r="A13549" t="s">
        <v>13434</v>
      </c>
      <c r="B13549" t="str">
        <f>"18142002872"</f>
        <v>18142002872</v>
      </c>
      <c r="C13549" t="str">
        <f>"421127199508213927"</f>
        <v>421127199508213927</v>
      </c>
      <c r="D13549" t="s">
        <v>13435</v>
      </c>
      <c r="E13549" t="s">
        <v>13436</v>
      </c>
      <c r="F13549" t="s">
        <v>0</v>
      </c>
      <c r="G13549" t="str">
        <f>"2018-10-13 10:44:15"</f>
        <v>2018-10-13 10:44:15</v>
      </c>
    </row>
    <row r="13550" spans="1:7" x14ac:dyDescent="0.2">
      <c r="A13550" t="s">
        <v>13437</v>
      </c>
      <c r="B13550" t="str">
        <f>"15096562726"</f>
        <v>15096562726</v>
      </c>
      <c r="C13550" t="str">
        <f>"532131198910140531"</f>
        <v>532131198910140531</v>
      </c>
      <c r="D13550" t="s">
        <v>1</v>
      </c>
      <c r="E13550" t="s">
        <v>1</v>
      </c>
      <c r="F13550" t="s">
        <v>0</v>
      </c>
      <c r="G13550" t="str">
        <f>"2018-10-13 10:46:53"</f>
        <v>2018-10-13 10:46:53</v>
      </c>
    </row>
    <row r="13551" spans="1:7" x14ac:dyDescent="0.2">
      <c r="A13551" t="s">
        <v>13438</v>
      </c>
      <c r="B13551" t="str">
        <f>"13699000154"</f>
        <v>13699000154</v>
      </c>
      <c r="C13551" t="str">
        <f>"51082319790614313X"</f>
        <v>51082319790614313X</v>
      </c>
      <c r="D13551" t="s">
        <v>1</v>
      </c>
      <c r="E13551" t="s">
        <v>1</v>
      </c>
      <c r="F13551" t="s">
        <v>0</v>
      </c>
      <c r="G13551" t="str">
        <f>"2018-10-13 10:44:27"</f>
        <v>2018-10-13 10:44:27</v>
      </c>
    </row>
    <row r="13552" spans="1:7" x14ac:dyDescent="0.2">
      <c r="A13552" t="s">
        <v>13439</v>
      </c>
      <c r="B13552" t="str">
        <f>"18778378876"</f>
        <v>18778378876</v>
      </c>
      <c r="C13552" t="str">
        <f>"452331197912250116"</f>
        <v>452331197912250116</v>
      </c>
      <c r="D13552" t="s">
        <v>13440</v>
      </c>
      <c r="E13552" t="s">
        <v>13441</v>
      </c>
      <c r="F13552" t="s">
        <v>0</v>
      </c>
      <c r="G13552" t="str">
        <f>"2018-10-13 10:44:55"</f>
        <v>2018-10-13 10:44:55</v>
      </c>
    </row>
    <row r="13553" spans="1:7" x14ac:dyDescent="0.2">
      <c r="A13553" t="s">
        <v>1</v>
      </c>
      <c r="B13553" t="str">
        <f>"13673161907"</f>
        <v>13673161907</v>
      </c>
      <c r="C13553" t="s">
        <v>1</v>
      </c>
      <c r="D13553" t="s">
        <v>1</v>
      </c>
      <c r="E13553" t="s">
        <v>1</v>
      </c>
      <c r="F13553" t="s">
        <v>0</v>
      </c>
      <c r="G13553" t="str">
        <f>"2018-10-13 10:42:08"</f>
        <v>2018-10-13 10:42:08</v>
      </c>
    </row>
    <row r="13554" spans="1:7" x14ac:dyDescent="0.2">
      <c r="A13554" t="s">
        <v>13442</v>
      </c>
      <c r="B13554" t="str">
        <f>"15624177257"</f>
        <v>15624177257</v>
      </c>
      <c r="C13554" t="str">
        <f>"370784198701278618"</f>
        <v>370784198701278618</v>
      </c>
      <c r="D13554" t="s">
        <v>13443</v>
      </c>
      <c r="E13554" t="s">
        <v>13444</v>
      </c>
      <c r="F13554" t="s">
        <v>0</v>
      </c>
      <c r="G13554" t="str">
        <f>"2018-10-13 12:57:20"</f>
        <v>2018-10-13 12:57:20</v>
      </c>
    </row>
    <row r="13555" spans="1:7" x14ac:dyDescent="0.2">
      <c r="A13555" t="s">
        <v>13445</v>
      </c>
      <c r="B13555" t="str">
        <f>"15873479322"</f>
        <v>15873479322</v>
      </c>
      <c r="C13555" t="str">
        <f>"430422199404171414"</f>
        <v>430422199404171414</v>
      </c>
      <c r="D13555" t="s">
        <v>1</v>
      </c>
      <c r="E13555" t="s">
        <v>1</v>
      </c>
      <c r="F13555" t="s">
        <v>0</v>
      </c>
      <c r="G13555" t="str">
        <f>"2018-10-13 10:44:25"</f>
        <v>2018-10-13 10:44:25</v>
      </c>
    </row>
    <row r="13556" spans="1:7" x14ac:dyDescent="0.2">
      <c r="A13556" t="s">
        <v>13446</v>
      </c>
      <c r="B13556" t="str">
        <f>"13648875241"</f>
        <v>13648875241</v>
      </c>
      <c r="C13556" t="str">
        <f>"530113199005060312"</f>
        <v>530113199005060312</v>
      </c>
      <c r="D13556" t="s">
        <v>1</v>
      </c>
      <c r="E13556" t="s">
        <v>1</v>
      </c>
      <c r="F13556" t="s">
        <v>0</v>
      </c>
      <c r="G13556" t="str">
        <f>"2018-10-13 11:00:08"</f>
        <v>2018-10-13 11:00:08</v>
      </c>
    </row>
    <row r="13557" spans="1:7" x14ac:dyDescent="0.2">
      <c r="A13557" t="s">
        <v>1</v>
      </c>
      <c r="B13557" t="str">
        <f>"18317995898"</f>
        <v>18317995898</v>
      </c>
      <c r="C13557" t="s">
        <v>1</v>
      </c>
      <c r="D13557" t="s">
        <v>1</v>
      </c>
      <c r="E13557" t="s">
        <v>1</v>
      </c>
      <c r="F13557" t="s">
        <v>0</v>
      </c>
      <c r="G13557" t="str">
        <f>"2018-10-13 10:41:42"</f>
        <v>2018-10-13 10:41:42</v>
      </c>
    </row>
    <row r="13558" spans="1:7" x14ac:dyDescent="0.2">
      <c r="A13558" t="s">
        <v>13447</v>
      </c>
      <c r="B13558" t="str">
        <f>"15840036662"</f>
        <v>15840036662</v>
      </c>
      <c r="C13558" t="str">
        <f>"210181198906302419"</f>
        <v>210181198906302419</v>
      </c>
      <c r="D13558" t="s">
        <v>1</v>
      </c>
      <c r="E13558" t="s">
        <v>1</v>
      </c>
      <c r="F13558" t="s">
        <v>0</v>
      </c>
      <c r="G13558" t="str">
        <f>"2018-10-13 10:45:53"</f>
        <v>2018-10-13 10:45:53</v>
      </c>
    </row>
    <row r="13559" spans="1:7" x14ac:dyDescent="0.2">
      <c r="A13559" t="s">
        <v>13448</v>
      </c>
      <c r="B13559" t="str">
        <f>"13529618899"</f>
        <v>13529618899</v>
      </c>
      <c r="C13559" t="str">
        <f>"53352419760430001X"</f>
        <v>53352419760430001X</v>
      </c>
      <c r="D13559" t="s">
        <v>1</v>
      </c>
      <c r="E13559" t="s">
        <v>1</v>
      </c>
      <c r="F13559" t="s">
        <v>0</v>
      </c>
      <c r="G13559" t="str">
        <f>"2018-10-13 10:43:07"</f>
        <v>2018-10-13 10:43:07</v>
      </c>
    </row>
    <row r="13560" spans="1:7" x14ac:dyDescent="0.2">
      <c r="A13560" t="s">
        <v>13449</v>
      </c>
      <c r="B13560" t="str">
        <f>"13840506054"</f>
        <v>13840506054</v>
      </c>
      <c r="C13560" t="str">
        <f>"21010219690603064X"</f>
        <v>21010219690603064X</v>
      </c>
      <c r="D13560" t="s">
        <v>13450</v>
      </c>
      <c r="E13560" t="s">
        <v>13451</v>
      </c>
      <c r="F13560" t="s">
        <v>0</v>
      </c>
      <c r="G13560" t="str">
        <f>"2018-10-13 10:42:29"</f>
        <v>2018-10-13 10:42:29</v>
      </c>
    </row>
    <row r="13561" spans="1:7" x14ac:dyDescent="0.2">
      <c r="A13561" t="s">
        <v>13452</v>
      </c>
      <c r="B13561" t="str">
        <f>"18505050556"</f>
        <v>18505050556</v>
      </c>
      <c r="C13561" t="str">
        <f>"350128198807074923"</f>
        <v>350128198807074923</v>
      </c>
      <c r="D13561" t="s">
        <v>1</v>
      </c>
      <c r="E13561" t="s">
        <v>1</v>
      </c>
      <c r="F13561" t="s">
        <v>0</v>
      </c>
      <c r="G13561" t="str">
        <f>"2018-10-13 10:42:52"</f>
        <v>2018-10-13 10:42:52</v>
      </c>
    </row>
    <row r="13562" spans="1:7" x14ac:dyDescent="0.2">
      <c r="A13562" t="s">
        <v>7143</v>
      </c>
      <c r="B13562" t="str">
        <f>"18274012261"</f>
        <v>18274012261</v>
      </c>
      <c r="C13562" t="str">
        <f>"430682198702261920"</f>
        <v>430682198702261920</v>
      </c>
      <c r="D13562" t="s">
        <v>1</v>
      </c>
      <c r="E13562" t="s">
        <v>1</v>
      </c>
      <c r="F13562" t="s">
        <v>0</v>
      </c>
      <c r="G13562" t="str">
        <f>"2018-10-13 10:43:45"</f>
        <v>2018-10-13 10:43:45</v>
      </c>
    </row>
    <row r="13563" spans="1:7" x14ac:dyDescent="0.2">
      <c r="A13563" t="s">
        <v>13453</v>
      </c>
      <c r="B13563" t="str">
        <f>"13118019359"</f>
        <v>13118019359</v>
      </c>
      <c r="C13563" t="str">
        <f>"500234199211185249"</f>
        <v>500234199211185249</v>
      </c>
      <c r="D13563" t="s">
        <v>1</v>
      </c>
      <c r="E13563" t="s">
        <v>1</v>
      </c>
      <c r="F13563" t="s">
        <v>0</v>
      </c>
      <c r="G13563" t="str">
        <f>"2018-10-13 10:46:19"</f>
        <v>2018-10-13 10:46:19</v>
      </c>
    </row>
    <row r="13564" spans="1:7" x14ac:dyDescent="0.2">
      <c r="A13564" t="s">
        <v>272</v>
      </c>
      <c r="B13564" t="str">
        <f>"15138665433"</f>
        <v>15138665433</v>
      </c>
      <c r="C13564" t="str">
        <f>"410182198903193775"</f>
        <v>410182198903193775</v>
      </c>
      <c r="D13564" t="s">
        <v>1</v>
      </c>
      <c r="E13564" t="s">
        <v>1</v>
      </c>
      <c r="F13564" t="s">
        <v>0</v>
      </c>
      <c r="G13564" t="str">
        <f>"2018-10-13 10:41:14"</f>
        <v>2018-10-13 10:41:14</v>
      </c>
    </row>
    <row r="13565" spans="1:7" x14ac:dyDescent="0.2">
      <c r="A13565" t="s">
        <v>13454</v>
      </c>
      <c r="B13565" t="str">
        <f>"13753911133"</f>
        <v>13753911133</v>
      </c>
      <c r="C13565" t="str">
        <f>"142701199312036626"</f>
        <v>142701199312036626</v>
      </c>
      <c r="D13565" t="s">
        <v>1</v>
      </c>
      <c r="E13565" t="s">
        <v>1</v>
      </c>
      <c r="F13565" t="s">
        <v>0</v>
      </c>
      <c r="G13565" t="str">
        <f>"2018-10-13 10:43:02"</f>
        <v>2018-10-13 10:43:02</v>
      </c>
    </row>
    <row r="13566" spans="1:7" x14ac:dyDescent="0.2">
      <c r="A13566" t="s">
        <v>609</v>
      </c>
      <c r="B13566" t="str">
        <f>"18516502363"</f>
        <v>18516502363</v>
      </c>
      <c r="C13566" t="str">
        <f>"421181199007288072"</f>
        <v>421181199007288072</v>
      </c>
      <c r="D13566" t="s">
        <v>1</v>
      </c>
      <c r="E13566" t="s">
        <v>1</v>
      </c>
      <c r="F13566" t="s">
        <v>0</v>
      </c>
      <c r="G13566" t="str">
        <f>"2018-10-13 10:59:42"</f>
        <v>2018-10-13 10:59:42</v>
      </c>
    </row>
    <row r="13567" spans="1:7" x14ac:dyDescent="0.2">
      <c r="A13567" t="s">
        <v>1</v>
      </c>
      <c r="B13567" t="str">
        <f>"18771176887"</f>
        <v>18771176887</v>
      </c>
      <c r="C13567" t="s">
        <v>1</v>
      </c>
      <c r="D13567" t="s">
        <v>1</v>
      </c>
      <c r="E13567" t="s">
        <v>1</v>
      </c>
      <c r="F13567" t="s">
        <v>0</v>
      </c>
      <c r="G13567" t="str">
        <f>"2018-10-13 10:39:46"</f>
        <v>2018-10-13 10:39:46</v>
      </c>
    </row>
    <row r="13568" spans="1:7" x14ac:dyDescent="0.2">
      <c r="A13568" t="s">
        <v>13455</v>
      </c>
      <c r="B13568" t="str">
        <f>"13881636831"</f>
        <v>13881636831</v>
      </c>
      <c r="C13568" t="str">
        <f>"513123199203040621"</f>
        <v>513123199203040621</v>
      </c>
      <c r="D13568" t="s">
        <v>1</v>
      </c>
      <c r="E13568" t="s">
        <v>1</v>
      </c>
      <c r="F13568" t="s">
        <v>0</v>
      </c>
      <c r="G13568" t="str">
        <f>"2018-10-13 10:40:42"</f>
        <v>2018-10-13 10:40:42</v>
      </c>
    </row>
    <row r="13569" spans="1:7" x14ac:dyDescent="0.2">
      <c r="A13569" t="s">
        <v>13456</v>
      </c>
      <c r="B13569" t="str">
        <f>"15731083282"</f>
        <v>15731083282</v>
      </c>
      <c r="C13569" t="str">
        <f>"130432199206010136"</f>
        <v>130432199206010136</v>
      </c>
      <c r="D13569" t="s">
        <v>1</v>
      </c>
      <c r="E13569" t="s">
        <v>1</v>
      </c>
      <c r="F13569" t="s">
        <v>0</v>
      </c>
      <c r="G13569" t="str">
        <f>"2018-10-13 10:46:38"</f>
        <v>2018-10-13 10:46:38</v>
      </c>
    </row>
    <row r="13570" spans="1:7" x14ac:dyDescent="0.2">
      <c r="A13570" t="s">
        <v>13457</v>
      </c>
      <c r="B13570" t="str">
        <f>"13409681941"</f>
        <v>13409681941</v>
      </c>
      <c r="C13570" t="str">
        <f>"421182199603141719"</f>
        <v>421182199603141719</v>
      </c>
      <c r="D13570" t="s">
        <v>1</v>
      </c>
      <c r="E13570" t="s">
        <v>1</v>
      </c>
      <c r="F13570" t="s">
        <v>0</v>
      </c>
      <c r="G13570" t="str">
        <f>"2018-10-13 10:51:23"</f>
        <v>2018-10-13 10:51:23</v>
      </c>
    </row>
    <row r="13571" spans="1:7" x14ac:dyDescent="0.2">
      <c r="A13571" t="s">
        <v>13458</v>
      </c>
      <c r="B13571" t="str">
        <f>"15231251791"</f>
        <v>15231251791</v>
      </c>
      <c r="C13571" t="str">
        <f>"130683199409218018"</f>
        <v>130683199409218018</v>
      </c>
      <c r="D13571" t="s">
        <v>1</v>
      </c>
      <c r="E13571" t="s">
        <v>1</v>
      </c>
      <c r="F13571" t="s">
        <v>0</v>
      </c>
      <c r="G13571" t="str">
        <f>"2018-10-13 10:41:13"</f>
        <v>2018-10-13 10:41:13</v>
      </c>
    </row>
    <row r="13572" spans="1:7" x14ac:dyDescent="0.2">
      <c r="A13572" t="s">
        <v>13459</v>
      </c>
      <c r="B13572" t="str">
        <f>"15712432217"</f>
        <v>15712432217</v>
      </c>
      <c r="C13572" t="str">
        <f>"230702197603140930"</f>
        <v>230702197603140930</v>
      </c>
      <c r="D13572" t="s">
        <v>1</v>
      </c>
      <c r="E13572" t="s">
        <v>1</v>
      </c>
      <c r="F13572" t="s">
        <v>0</v>
      </c>
      <c r="G13572" t="str">
        <f>"2018-10-13 10:40:36"</f>
        <v>2018-10-13 10:40:36</v>
      </c>
    </row>
    <row r="13573" spans="1:7" x14ac:dyDescent="0.2">
      <c r="A13573" t="s">
        <v>13460</v>
      </c>
      <c r="B13573" t="str">
        <f>"13648884038"</f>
        <v>13648884038</v>
      </c>
      <c r="C13573" t="str">
        <f>"53212619900606313X"</f>
        <v>53212619900606313X</v>
      </c>
      <c r="D13573" t="s">
        <v>1</v>
      </c>
      <c r="E13573" t="s">
        <v>1</v>
      </c>
      <c r="F13573" t="s">
        <v>0</v>
      </c>
      <c r="G13573" t="str">
        <f>"2018-10-13 10:40:36"</f>
        <v>2018-10-13 10:40:36</v>
      </c>
    </row>
    <row r="13574" spans="1:7" x14ac:dyDescent="0.2">
      <c r="A13574" t="s">
        <v>1</v>
      </c>
      <c r="B13574" t="str">
        <f>"18885266137"</f>
        <v>18885266137</v>
      </c>
      <c r="C13574" t="s">
        <v>1</v>
      </c>
      <c r="D13574" t="s">
        <v>1</v>
      </c>
      <c r="E13574" t="s">
        <v>1</v>
      </c>
      <c r="F13574" t="s">
        <v>0</v>
      </c>
      <c r="G13574" t="str">
        <f>"2018-10-13 10:40:37"</f>
        <v>2018-10-13 10:40:37</v>
      </c>
    </row>
    <row r="13575" spans="1:7" x14ac:dyDescent="0.2">
      <c r="A13575" t="s">
        <v>13461</v>
      </c>
      <c r="B13575" t="str">
        <f>"13519256203"</f>
        <v>13519256203</v>
      </c>
      <c r="C13575" t="str">
        <f>"642127196604200411"</f>
        <v>642127196604200411</v>
      </c>
      <c r="D13575" t="s">
        <v>1</v>
      </c>
      <c r="E13575" t="s">
        <v>1</v>
      </c>
      <c r="F13575" t="s">
        <v>0</v>
      </c>
      <c r="G13575" t="str">
        <f>"2018-10-30 17:14:47"</f>
        <v>2018-10-30 17:14:47</v>
      </c>
    </row>
    <row r="13576" spans="1:7" x14ac:dyDescent="0.2">
      <c r="A13576" t="s">
        <v>13462</v>
      </c>
      <c r="B13576" t="str">
        <f>"18776450023"</f>
        <v>18776450023</v>
      </c>
      <c r="C13576" t="str">
        <f>"45252819720218775X"</f>
        <v>45252819720218775X</v>
      </c>
      <c r="D13576" t="s">
        <v>1</v>
      </c>
      <c r="E13576" t="s">
        <v>1</v>
      </c>
      <c r="F13576" t="s">
        <v>0</v>
      </c>
      <c r="G13576" t="str">
        <f>"2018-10-21 15:23:51"</f>
        <v>2018-10-21 15:23:51</v>
      </c>
    </row>
    <row r="13577" spans="1:7" x14ac:dyDescent="0.2">
      <c r="A13577" t="s">
        <v>13463</v>
      </c>
      <c r="B13577" t="str">
        <f>"18785613352"</f>
        <v>18785613352</v>
      </c>
      <c r="C13577" t="str">
        <f>"522229198605075018"</f>
        <v>522229198605075018</v>
      </c>
      <c r="D13577" t="s">
        <v>1</v>
      </c>
      <c r="E13577" t="s">
        <v>1</v>
      </c>
      <c r="F13577" t="s">
        <v>0</v>
      </c>
      <c r="G13577" t="str">
        <f>"2018-10-13 10:39:08"</f>
        <v>2018-10-13 10:39:08</v>
      </c>
    </row>
    <row r="13578" spans="1:7" x14ac:dyDescent="0.2">
      <c r="A13578" t="s">
        <v>1</v>
      </c>
      <c r="B13578" t="str">
        <f>"13722008979"</f>
        <v>13722008979</v>
      </c>
      <c r="C13578" t="s">
        <v>1</v>
      </c>
      <c r="D13578" t="s">
        <v>1</v>
      </c>
      <c r="E13578" t="s">
        <v>1</v>
      </c>
      <c r="F13578" t="s">
        <v>0</v>
      </c>
      <c r="G13578" t="str">
        <f>"2018-10-13 10:37:56"</f>
        <v>2018-10-13 10:37:56</v>
      </c>
    </row>
    <row r="13579" spans="1:7" x14ac:dyDescent="0.2">
      <c r="A13579" t="s">
        <v>13464</v>
      </c>
      <c r="B13579" t="str">
        <f>"13700096400"</f>
        <v>13700096400</v>
      </c>
      <c r="C13579" t="str">
        <f>"210904197902162013"</f>
        <v>210904197902162013</v>
      </c>
      <c r="D13579" t="s">
        <v>1</v>
      </c>
      <c r="E13579" t="s">
        <v>1</v>
      </c>
      <c r="F13579" t="s">
        <v>0</v>
      </c>
      <c r="G13579" t="str">
        <f>"2018-10-13 10:42:10"</f>
        <v>2018-10-13 10:42:10</v>
      </c>
    </row>
    <row r="13580" spans="1:7" x14ac:dyDescent="0.2">
      <c r="A13580" t="s">
        <v>750</v>
      </c>
      <c r="B13580" t="str">
        <f>"15083656717"</f>
        <v>15083656717</v>
      </c>
      <c r="C13580" t="str">
        <f>"360622198110170027"</f>
        <v>360622198110170027</v>
      </c>
      <c r="D13580" t="s">
        <v>13465</v>
      </c>
      <c r="E13580" t="s">
        <v>13466</v>
      </c>
      <c r="F13580" t="s">
        <v>0</v>
      </c>
      <c r="G13580" t="str">
        <f>"2018-10-13 10:53:16"</f>
        <v>2018-10-13 10:53:16</v>
      </c>
    </row>
    <row r="13581" spans="1:7" x14ac:dyDescent="0.2">
      <c r="A13581" t="s">
        <v>13136</v>
      </c>
      <c r="B13581" t="str">
        <f>"13486984805"</f>
        <v>13486984805</v>
      </c>
      <c r="C13581" t="str">
        <f>"33072519780712501X"</f>
        <v>33072519780712501X</v>
      </c>
      <c r="D13581" t="s">
        <v>1</v>
      </c>
      <c r="E13581" t="s">
        <v>1</v>
      </c>
      <c r="F13581" t="s">
        <v>0</v>
      </c>
      <c r="G13581" t="str">
        <f>"2018-10-13 10:38:58"</f>
        <v>2018-10-13 10:38:58</v>
      </c>
    </row>
    <row r="13582" spans="1:7" x14ac:dyDescent="0.2">
      <c r="A13582" t="s">
        <v>1399</v>
      </c>
      <c r="B13582" t="str">
        <f>"13604609350"</f>
        <v>13604609350</v>
      </c>
      <c r="C13582" t="str">
        <f>"210504198905021614"</f>
        <v>210504198905021614</v>
      </c>
      <c r="D13582" t="s">
        <v>13467</v>
      </c>
      <c r="E13582" t="s">
        <v>13468</v>
      </c>
      <c r="F13582" t="s">
        <v>0</v>
      </c>
      <c r="G13582" t="str">
        <f>"2018-10-13 10:38:52"</f>
        <v>2018-10-13 10:38:52</v>
      </c>
    </row>
    <row r="13583" spans="1:7" x14ac:dyDescent="0.2">
      <c r="A13583" t="s">
        <v>155</v>
      </c>
      <c r="B13583" t="str">
        <f>"15848046729"</f>
        <v>15848046729</v>
      </c>
      <c r="C13583" t="str">
        <f>"152601197703043572"</f>
        <v>152601197703043572</v>
      </c>
      <c r="D13583" t="s">
        <v>1</v>
      </c>
      <c r="E13583" t="s">
        <v>1</v>
      </c>
      <c r="F13583" t="s">
        <v>0</v>
      </c>
      <c r="G13583" t="str">
        <f>"2018-10-13 10:46:08"</f>
        <v>2018-10-13 10:46:08</v>
      </c>
    </row>
    <row r="13584" spans="1:7" x14ac:dyDescent="0.2">
      <c r="A13584" t="s">
        <v>1</v>
      </c>
      <c r="B13584" t="str">
        <f>"15150785131"</f>
        <v>15150785131</v>
      </c>
      <c r="C13584" t="s">
        <v>1</v>
      </c>
      <c r="D13584" t="s">
        <v>1</v>
      </c>
      <c r="E13584" t="s">
        <v>1</v>
      </c>
      <c r="F13584" t="s">
        <v>0</v>
      </c>
      <c r="G13584" t="str">
        <f>"2018-10-13 10:37:26"</f>
        <v>2018-10-13 10:37:26</v>
      </c>
    </row>
    <row r="13585" spans="1:7" x14ac:dyDescent="0.2">
      <c r="A13585" t="s">
        <v>13469</v>
      </c>
      <c r="B13585" t="str">
        <f>"13696763840"</f>
        <v>13696763840</v>
      </c>
      <c r="C13585" t="str">
        <f>"340403198107101641"</f>
        <v>340403198107101641</v>
      </c>
      <c r="D13585" t="s">
        <v>1</v>
      </c>
      <c r="E13585" t="s">
        <v>1</v>
      </c>
      <c r="F13585" t="s">
        <v>0</v>
      </c>
      <c r="G13585" t="str">
        <f>"2018-10-13 10:38:26"</f>
        <v>2018-10-13 10:38:26</v>
      </c>
    </row>
    <row r="13586" spans="1:7" x14ac:dyDescent="0.2">
      <c r="A13586" t="s">
        <v>1</v>
      </c>
      <c r="B13586" t="str">
        <f>"18364016065"</f>
        <v>18364016065</v>
      </c>
      <c r="C13586" t="s">
        <v>1</v>
      </c>
      <c r="D13586" t="s">
        <v>1</v>
      </c>
      <c r="E13586" t="s">
        <v>1</v>
      </c>
      <c r="F13586" t="s">
        <v>0</v>
      </c>
      <c r="G13586" t="str">
        <f>"2018-10-13 10:37:26"</f>
        <v>2018-10-13 10:37:26</v>
      </c>
    </row>
    <row r="13587" spans="1:7" x14ac:dyDescent="0.2">
      <c r="A13587" t="s">
        <v>1</v>
      </c>
      <c r="B13587" t="str">
        <f>"18266537607"</f>
        <v>18266537607</v>
      </c>
      <c r="C13587" t="s">
        <v>1</v>
      </c>
      <c r="D13587" t="s">
        <v>1</v>
      </c>
      <c r="E13587" t="s">
        <v>1</v>
      </c>
      <c r="F13587" t="s">
        <v>0</v>
      </c>
      <c r="G13587" t="str">
        <f>"2018-10-13 10:38:37"</f>
        <v>2018-10-13 10:38:37</v>
      </c>
    </row>
    <row r="13588" spans="1:7" x14ac:dyDescent="0.2">
      <c r="A13588" t="s">
        <v>1</v>
      </c>
      <c r="B13588" t="str">
        <f>"18375678434"</f>
        <v>18375678434</v>
      </c>
      <c r="C13588" t="s">
        <v>1</v>
      </c>
      <c r="D13588" t="s">
        <v>1</v>
      </c>
      <c r="E13588" t="s">
        <v>1</v>
      </c>
      <c r="F13588" t="s">
        <v>0</v>
      </c>
      <c r="G13588" t="str">
        <f>"2018-10-13 10:37:21"</f>
        <v>2018-10-13 10:37:21</v>
      </c>
    </row>
    <row r="13589" spans="1:7" x14ac:dyDescent="0.2">
      <c r="A13589" t="s">
        <v>13470</v>
      </c>
      <c r="B13589" t="str">
        <f>"13459106130"</f>
        <v>13459106130</v>
      </c>
      <c r="C13589" t="str">
        <f>"411503199504044213"</f>
        <v>411503199504044213</v>
      </c>
      <c r="D13589" t="s">
        <v>1</v>
      </c>
      <c r="E13589" t="s">
        <v>1</v>
      </c>
      <c r="F13589" t="s">
        <v>0</v>
      </c>
      <c r="G13589" t="str">
        <f>"2018-10-13 10:37:21"</f>
        <v>2018-10-13 10:37:21</v>
      </c>
    </row>
    <row r="13590" spans="1:7" x14ac:dyDescent="0.2">
      <c r="A13590" t="s">
        <v>1</v>
      </c>
      <c r="B13590" t="str">
        <f>"18391875599"</f>
        <v>18391875599</v>
      </c>
      <c r="C13590" t="s">
        <v>1</v>
      </c>
      <c r="D13590" t="s">
        <v>1</v>
      </c>
      <c r="E13590" t="s">
        <v>1</v>
      </c>
      <c r="F13590" t="s">
        <v>0</v>
      </c>
      <c r="G13590" t="str">
        <f>"2018-10-13 10:37:15"</f>
        <v>2018-10-13 10:37:15</v>
      </c>
    </row>
    <row r="13591" spans="1:7" x14ac:dyDescent="0.2">
      <c r="A13591" t="s">
        <v>13471</v>
      </c>
      <c r="B13591" t="str">
        <f>"13967574907"</f>
        <v>13967574907</v>
      </c>
      <c r="C13591" t="str">
        <f>"33068119921018840X"</f>
        <v>33068119921018840X</v>
      </c>
      <c r="D13591" t="s">
        <v>13472</v>
      </c>
      <c r="E13591" t="s">
        <v>13473</v>
      </c>
      <c r="F13591" t="s">
        <v>0</v>
      </c>
      <c r="G13591" t="str">
        <f>"2018-10-20 11:10:55"</f>
        <v>2018-10-20 11:10:55</v>
      </c>
    </row>
    <row r="13592" spans="1:7" x14ac:dyDescent="0.2">
      <c r="A13592" t="s">
        <v>13474</v>
      </c>
      <c r="B13592" t="str">
        <f>"15890029113"</f>
        <v>15890029113</v>
      </c>
      <c r="C13592" t="str">
        <f>"410185198607207027"</f>
        <v>410185198607207027</v>
      </c>
      <c r="D13592" t="s">
        <v>13475</v>
      </c>
      <c r="E13592" t="s">
        <v>13476</v>
      </c>
      <c r="F13592" t="s">
        <v>0</v>
      </c>
      <c r="G13592" t="str">
        <f>"2018-10-13 10:38:26"</f>
        <v>2018-10-13 10:38:26</v>
      </c>
    </row>
    <row r="13593" spans="1:7" x14ac:dyDescent="0.2">
      <c r="A13593" t="s">
        <v>1656</v>
      </c>
      <c r="B13593" t="str">
        <f>"13182496148"</f>
        <v>13182496148</v>
      </c>
      <c r="C13593" t="str">
        <f>"32068219950310485X"</f>
        <v>32068219950310485X</v>
      </c>
      <c r="D13593" t="s">
        <v>1</v>
      </c>
      <c r="E13593" t="s">
        <v>1</v>
      </c>
      <c r="F13593" t="s">
        <v>0</v>
      </c>
      <c r="G13593" t="str">
        <f>"2018-10-15 12:30:19"</f>
        <v>2018-10-15 12:30:19</v>
      </c>
    </row>
    <row r="13594" spans="1:7" x14ac:dyDescent="0.2">
      <c r="A13594" t="s">
        <v>13477</v>
      </c>
      <c r="B13594" t="str">
        <f>"15297517997"</f>
        <v>15297517997</v>
      </c>
      <c r="C13594" t="str">
        <f>"130426199606264218"</f>
        <v>130426199606264218</v>
      </c>
      <c r="D13594" t="s">
        <v>1</v>
      </c>
      <c r="E13594" t="s">
        <v>1</v>
      </c>
      <c r="F13594" t="s">
        <v>0</v>
      </c>
      <c r="G13594" t="str">
        <f>"2018-10-13 10:37:41"</f>
        <v>2018-10-13 10:37:41</v>
      </c>
    </row>
    <row r="13595" spans="1:7" x14ac:dyDescent="0.2">
      <c r="A13595" t="s">
        <v>8328</v>
      </c>
      <c r="B13595" t="str">
        <f>"15731667277"</f>
        <v>15731667277</v>
      </c>
      <c r="C13595" t="str">
        <f>"131081199106012739"</f>
        <v>131081199106012739</v>
      </c>
      <c r="D13595" t="s">
        <v>1</v>
      </c>
      <c r="E13595" t="s">
        <v>1</v>
      </c>
      <c r="F13595" t="s">
        <v>0</v>
      </c>
      <c r="G13595" t="str">
        <f>"2018-10-13 10:36:55"</f>
        <v>2018-10-13 10:36:55</v>
      </c>
    </row>
    <row r="13596" spans="1:7" x14ac:dyDescent="0.2">
      <c r="A13596" t="s">
        <v>1</v>
      </c>
      <c r="B13596" t="str">
        <f>"18782033889"</f>
        <v>18782033889</v>
      </c>
      <c r="C13596" t="s">
        <v>1</v>
      </c>
      <c r="D13596" t="s">
        <v>1</v>
      </c>
      <c r="E13596" t="s">
        <v>1</v>
      </c>
      <c r="F13596" t="s">
        <v>0</v>
      </c>
      <c r="G13596" t="str">
        <f>"2018-10-13 10:35:50"</f>
        <v>2018-10-13 10:35:50</v>
      </c>
    </row>
    <row r="13597" spans="1:7" x14ac:dyDescent="0.2">
      <c r="A13597" t="s">
        <v>1</v>
      </c>
      <c r="B13597" t="str">
        <f>"15523422828"</f>
        <v>15523422828</v>
      </c>
      <c r="C13597" t="s">
        <v>1</v>
      </c>
      <c r="D13597" t="s">
        <v>1</v>
      </c>
      <c r="E13597" t="s">
        <v>1</v>
      </c>
      <c r="F13597" t="s">
        <v>0</v>
      </c>
      <c r="G13597" t="str">
        <f>"2018-10-13 10:35:47"</f>
        <v>2018-10-13 10:35:47</v>
      </c>
    </row>
    <row r="13598" spans="1:7" x14ac:dyDescent="0.2">
      <c r="A13598" t="s">
        <v>13478</v>
      </c>
      <c r="B13598" t="str">
        <f>"18208445144"</f>
        <v>18208445144</v>
      </c>
      <c r="C13598" t="str">
        <f>"522127199611095062"</f>
        <v>522127199611095062</v>
      </c>
      <c r="D13598" t="s">
        <v>13479</v>
      </c>
      <c r="E13598" t="s">
        <v>13480</v>
      </c>
      <c r="F13598" t="s">
        <v>0</v>
      </c>
      <c r="G13598" t="str">
        <f>"2018-10-13 10:37:11"</f>
        <v>2018-10-13 10:37:11</v>
      </c>
    </row>
    <row r="13599" spans="1:7" x14ac:dyDescent="0.2">
      <c r="A13599" t="s">
        <v>13481</v>
      </c>
      <c r="B13599" t="str">
        <f>"15253567972"</f>
        <v>15253567972</v>
      </c>
      <c r="C13599" t="str">
        <f>"370685198808081752"</f>
        <v>370685198808081752</v>
      </c>
      <c r="D13599" t="s">
        <v>1</v>
      </c>
      <c r="E13599" t="s">
        <v>1</v>
      </c>
      <c r="F13599" t="s">
        <v>0</v>
      </c>
      <c r="G13599" t="str">
        <f>"2018-10-13 10:44:08"</f>
        <v>2018-10-13 10:44:08</v>
      </c>
    </row>
    <row r="13600" spans="1:7" x14ac:dyDescent="0.2">
      <c r="A13600" t="s">
        <v>13482</v>
      </c>
      <c r="B13600" t="str">
        <f>"18807201524"</f>
        <v>18807201524</v>
      </c>
      <c r="C13600" t="str">
        <f>"422801199705182213"</f>
        <v>422801199705182213</v>
      </c>
      <c r="D13600" t="s">
        <v>1</v>
      </c>
      <c r="E13600" t="s">
        <v>1</v>
      </c>
      <c r="F13600" t="s">
        <v>0</v>
      </c>
      <c r="G13600" t="str">
        <f>"2018-10-13 10:37:44"</f>
        <v>2018-10-13 10:37:44</v>
      </c>
    </row>
    <row r="13601" spans="1:7" x14ac:dyDescent="0.2">
      <c r="A13601" t="s">
        <v>13483</v>
      </c>
      <c r="B13601" t="str">
        <f>"15553777866"</f>
        <v>15553777866</v>
      </c>
      <c r="C13601" t="str">
        <f>"370811198101143012"</f>
        <v>370811198101143012</v>
      </c>
      <c r="D13601" t="s">
        <v>1</v>
      </c>
      <c r="E13601" t="s">
        <v>1</v>
      </c>
      <c r="F13601" t="s">
        <v>0</v>
      </c>
      <c r="G13601" t="str">
        <f>"2018-10-13 10:35:48"</f>
        <v>2018-10-13 10:35:48</v>
      </c>
    </row>
    <row r="13602" spans="1:7" x14ac:dyDescent="0.2">
      <c r="A13602" t="s">
        <v>13484</v>
      </c>
      <c r="B13602" t="str">
        <f>"18424265663"</f>
        <v>18424265663</v>
      </c>
      <c r="C13602" t="str">
        <f>"211381199509064118"</f>
        <v>211381199509064118</v>
      </c>
      <c r="D13602" t="s">
        <v>1</v>
      </c>
      <c r="E13602" t="s">
        <v>1</v>
      </c>
      <c r="F13602" t="s">
        <v>0</v>
      </c>
      <c r="G13602" t="str">
        <f>"2018-10-13 10:34:00"</f>
        <v>2018-10-13 10:34:00</v>
      </c>
    </row>
    <row r="13603" spans="1:7" x14ac:dyDescent="0.2">
      <c r="A13603" t="s">
        <v>13485</v>
      </c>
      <c r="B13603" t="str">
        <f>"13547004800"</f>
        <v>13547004800</v>
      </c>
      <c r="C13603" t="str">
        <f>"51062319821123782X"</f>
        <v>51062319821123782X</v>
      </c>
      <c r="D13603" t="s">
        <v>1</v>
      </c>
      <c r="E13603" t="s">
        <v>1</v>
      </c>
      <c r="F13603" t="s">
        <v>0</v>
      </c>
      <c r="G13603" t="str">
        <f>"2018-10-13 10:46:31"</f>
        <v>2018-10-13 10:46:31</v>
      </c>
    </row>
    <row r="13604" spans="1:7" x14ac:dyDescent="0.2">
      <c r="A13604" t="s">
        <v>1</v>
      </c>
      <c r="B13604" t="str">
        <f>"15619320076"</f>
        <v>15619320076</v>
      </c>
      <c r="C13604" t="s">
        <v>1</v>
      </c>
      <c r="D13604" t="s">
        <v>1</v>
      </c>
      <c r="E13604" t="s">
        <v>1</v>
      </c>
      <c r="F13604" t="s">
        <v>0</v>
      </c>
      <c r="G13604" t="str">
        <f>"2018-10-13 10:35:27"</f>
        <v>2018-10-13 10:35:27</v>
      </c>
    </row>
    <row r="13605" spans="1:7" x14ac:dyDescent="0.2">
      <c r="A13605" t="s">
        <v>13486</v>
      </c>
      <c r="B13605" t="str">
        <f>"18021352866"</f>
        <v>18021352866</v>
      </c>
      <c r="C13605" t="str">
        <f>"320323198206285892"</f>
        <v>320323198206285892</v>
      </c>
      <c r="D13605" t="s">
        <v>13487</v>
      </c>
      <c r="E13605" t="s">
        <v>13488</v>
      </c>
      <c r="F13605" t="s">
        <v>0</v>
      </c>
      <c r="G13605" t="str">
        <f>"2018-10-13 10:37:38"</f>
        <v>2018-10-13 10:37:38</v>
      </c>
    </row>
    <row r="13606" spans="1:7" x14ac:dyDescent="0.2">
      <c r="A13606" t="s">
        <v>13489</v>
      </c>
      <c r="B13606" t="str">
        <f>"15287309455"</f>
        <v>15287309455</v>
      </c>
      <c r="C13606" t="str">
        <f>"532523198412210826"</f>
        <v>532523198412210826</v>
      </c>
      <c r="D13606" t="s">
        <v>13490</v>
      </c>
      <c r="E13606" t="s">
        <v>13491</v>
      </c>
      <c r="F13606" t="s">
        <v>0</v>
      </c>
      <c r="G13606" t="str">
        <f>"2018-10-13 10:38:29"</f>
        <v>2018-10-13 10:38:29</v>
      </c>
    </row>
    <row r="13607" spans="1:7" x14ac:dyDescent="0.2">
      <c r="A13607" t="s">
        <v>13492</v>
      </c>
      <c r="B13607" t="str">
        <f>"17740811601"</f>
        <v>17740811601</v>
      </c>
      <c r="C13607" t="str">
        <f>"310112199312044315"</f>
        <v>310112199312044315</v>
      </c>
      <c r="D13607" t="s">
        <v>1</v>
      </c>
      <c r="E13607" t="s">
        <v>1</v>
      </c>
      <c r="F13607" t="s">
        <v>0</v>
      </c>
      <c r="G13607" t="str">
        <f>"2018-10-13 10:45:30"</f>
        <v>2018-10-13 10:45:30</v>
      </c>
    </row>
    <row r="13608" spans="1:7" x14ac:dyDescent="0.2">
      <c r="A13608" t="s">
        <v>13493</v>
      </c>
      <c r="B13608" t="str">
        <f>"15205366391"</f>
        <v>15205366391</v>
      </c>
      <c r="C13608" t="str">
        <f>"370781198706124395"</f>
        <v>370781198706124395</v>
      </c>
      <c r="D13608" t="s">
        <v>1</v>
      </c>
      <c r="E13608" t="s">
        <v>1</v>
      </c>
      <c r="F13608" t="s">
        <v>0</v>
      </c>
      <c r="G13608" t="str">
        <f>"2018-10-22 15:37:03"</f>
        <v>2018-10-22 15:37:03</v>
      </c>
    </row>
    <row r="13609" spans="1:7" x14ac:dyDescent="0.2">
      <c r="A13609" t="s">
        <v>13494</v>
      </c>
      <c r="B13609" t="str">
        <f>"15917505502"</f>
        <v>15917505502</v>
      </c>
      <c r="C13609" t="str">
        <f>"441802199302283852"</f>
        <v>441802199302283852</v>
      </c>
      <c r="D13609" t="s">
        <v>1</v>
      </c>
      <c r="E13609" t="s">
        <v>1</v>
      </c>
      <c r="F13609" t="s">
        <v>0</v>
      </c>
      <c r="G13609" t="str">
        <f>"2018-10-13 10:49:49"</f>
        <v>2018-10-13 10:49:49</v>
      </c>
    </row>
    <row r="13610" spans="1:7" x14ac:dyDescent="0.2">
      <c r="A13610" t="s">
        <v>1</v>
      </c>
      <c r="B13610" t="str">
        <f>"15900049270"</f>
        <v>15900049270</v>
      </c>
      <c r="C13610" t="s">
        <v>1</v>
      </c>
      <c r="D13610" t="s">
        <v>1</v>
      </c>
      <c r="E13610" t="s">
        <v>1</v>
      </c>
      <c r="F13610" t="s">
        <v>0</v>
      </c>
      <c r="G13610" t="str">
        <f>"2018-10-13 10:32:30"</f>
        <v>2018-10-13 10:32:30</v>
      </c>
    </row>
    <row r="13611" spans="1:7" x14ac:dyDescent="0.2">
      <c r="A13611" t="s">
        <v>13495</v>
      </c>
      <c r="B13611" t="str">
        <f>"13799996240"</f>
        <v>13799996240</v>
      </c>
      <c r="C13611" t="str">
        <f>"350124199202154014"</f>
        <v>350124199202154014</v>
      </c>
      <c r="D13611" t="s">
        <v>1</v>
      </c>
      <c r="E13611" t="s">
        <v>1</v>
      </c>
      <c r="F13611" t="s">
        <v>0</v>
      </c>
      <c r="G13611" t="str">
        <f>"2018-10-14 12:17:34"</f>
        <v>2018-10-14 12:17:34</v>
      </c>
    </row>
    <row r="13612" spans="1:7" x14ac:dyDescent="0.2">
      <c r="A13612" t="s">
        <v>1</v>
      </c>
      <c r="B13612" t="str">
        <f>"13917782777"</f>
        <v>13917782777</v>
      </c>
      <c r="C13612" t="s">
        <v>1</v>
      </c>
      <c r="D13612" t="s">
        <v>1</v>
      </c>
      <c r="E13612" t="s">
        <v>1</v>
      </c>
      <c r="F13612" t="s">
        <v>0</v>
      </c>
      <c r="G13612" t="str">
        <f>"2018-10-13 10:35:33"</f>
        <v>2018-10-13 10:35:33</v>
      </c>
    </row>
    <row r="13613" spans="1:7" x14ac:dyDescent="0.2">
      <c r="A13613" t="s">
        <v>1634</v>
      </c>
      <c r="B13613" t="str">
        <f>"13967780845"</f>
        <v>13967780845</v>
      </c>
      <c r="C13613" t="str">
        <f>"511522199101102776"</f>
        <v>511522199101102776</v>
      </c>
      <c r="D13613" t="s">
        <v>1</v>
      </c>
      <c r="E13613" t="s">
        <v>1</v>
      </c>
      <c r="F13613" t="s">
        <v>0</v>
      </c>
      <c r="G13613" t="str">
        <f>"2018-10-13 10:31:57"</f>
        <v>2018-10-13 10:31:57</v>
      </c>
    </row>
    <row r="13614" spans="1:7" x14ac:dyDescent="0.2">
      <c r="A13614" t="s">
        <v>1</v>
      </c>
      <c r="B13614" t="str">
        <f>"13724279115"</f>
        <v>13724279115</v>
      </c>
      <c r="C13614" t="s">
        <v>1</v>
      </c>
      <c r="D13614" t="s">
        <v>1</v>
      </c>
      <c r="E13614" t="s">
        <v>1</v>
      </c>
      <c r="F13614" t="s">
        <v>0</v>
      </c>
      <c r="G13614" t="str">
        <f>"2018-10-13 10:33:50"</f>
        <v>2018-10-13 10:33:50</v>
      </c>
    </row>
    <row r="13615" spans="1:7" x14ac:dyDescent="0.2">
      <c r="A13615" t="s">
        <v>1</v>
      </c>
      <c r="B13615" t="str">
        <f>"15153979201"</f>
        <v>15153979201</v>
      </c>
      <c r="C13615" t="s">
        <v>1</v>
      </c>
      <c r="D13615" t="s">
        <v>1</v>
      </c>
      <c r="E13615" t="s">
        <v>1</v>
      </c>
      <c r="F13615" t="s">
        <v>0</v>
      </c>
      <c r="G13615" t="str">
        <f>"2018-10-13 10:35:12"</f>
        <v>2018-10-13 10:35:12</v>
      </c>
    </row>
    <row r="13616" spans="1:7" x14ac:dyDescent="0.2">
      <c r="A13616" t="s">
        <v>1702</v>
      </c>
      <c r="B13616" t="str">
        <f>"15364839044"</f>
        <v>15364839044</v>
      </c>
      <c r="C13616" t="str">
        <f>"142231199707030027"</f>
        <v>142231199707030027</v>
      </c>
      <c r="D13616" t="s">
        <v>1</v>
      </c>
      <c r="E13616" t="s">
        <v>1</v>
      </c>
      <c r="F13616" t="s">
        <v>0</v>
      </c>
      <c r="G13616" t="str">
        <f>"2018-11-01 10:41:17"</f>
        <v>2018-11-01 10:41:17</v>
      </c>
    </row>
    <row r="13617" spans="1:7" x14ac:dyDescent="0.2">
      <c r="A13617" t="s">
        <v>13496</v>
      </c>
      <c r="B13617" t="str">
        <f>"13942668789"</f>
        <v>13942668789</v>
      </c>
      <c r="C13617" t="str">
        <f>"210204199012150716"</f>
        <v>210204199012150716</v>
      </c>
      <c r="D13617" t="s">
        <v>1818</v>
      </c>
      <c r="E13617" t="s">
        <v>13497</v>
      </c>
      <c r="F13617" t="s">
        <v>0</v>
      </c>
      <c r="G13617" t="str">
        <f>"2018-10-22 14:18:17"</f>
        <v>2018-10-22 14:18:17</v>
      </c>
    </row>
    <row r="13618" spans="1:7" x14ac:dyDescent="0.2">
      <c r="A13618" t="s">
        <v>13498</v>
      </c>
      <c r="B13618" t="str">
        <f>"17770128776"</f>
        <v>17770128776</v>
      </c>
      <c r="C13618" t="str">
        <f>"360732198902145813"</f>
        <v>360732198902145813</v>
      </c>
      <c r="D13618" t="s">
        <v>1</v>
      </c>
      <c r="E13618" t="s">
        <v>1</v>
      </c>
      <c r="F13618" t="s">
        <v>0</v>
      </c>
      <c r="G13618" t="str">
        <f>"2018-10-13 10:32:02"</f>
        <v>2018-10-13 10:32:02</v>
      </c>
    </row>
    <row r="13619" spans="1:7" x14ac:dyDescent="0.2">
      <c r="A13619" t="s">
        <v>1</v>
      </c>
      <c r="B13619" t="str">
        <f>"18661210683"</f>
        <v>18661210683</v>
      </c>
      <c r="C13619" t="s">
        <v>1</v>
      </c>
      <c r="D13619" t="s">
        <v>1</v>
      </c>
      <c r="E13619" t="s">
        <v>1</v>
      </c>
      <c r="F13619" t="s">
        <v>0</v>
      </c>
      <c r="G13619" t="str">
        <f>"2018-10-13 10:30:35"</f>
        <v>2018-10-13 10:30:35</v>
      </c>
    </row>
    <row r="13620" spans="1:7" x14ac:dyDescent="0.2">
      <c r="A13620" t="s">
        <v>13499</v>
      </c>
      <c r="B13620" t="str">
        <f>"18347070354"</f>
        <v>18347070354</v>
      </c>
      <c r="C13620" t="str">
        <f>"152101199002090351"</f>
        <v>152101199002090351</v>
      </c>
      <c r="D13620" t="s">
        <v>1</v>
      </c>
      <c r="E13620" t="s">
        <v>1</v>
      </c>
      <c r="F13620" t="s">
        <v>0</v>
      </c>
      <c r="G13620" t="str">
        <f>"2018-10-13 10:30:34"</f>
        <v>2018-10-13 10:30:34</v>
      </c>
    </row>
    <row r="13621" spans="1:7" x14ac:dyDescent="0.2">
      <c r="A13621" t="s">
        <v>13500</v>
      </c>
      <c r="B13621" t="str">
        <f>"13575730526"</f>
        <v>13575730526</v>
      </c>
      <c r="C13621" t="str">
        <f>"330122199407303419"</f>
        <v>330122199407303419</v>
      </c>
      <c r="D13621" t="s">
        <v>13501</v>
      </c>
      <c r="E13621" t="s">
        <v>13502</v>
      </c>
      <c r="F13621" t="s">
        <v>0</v>
      </c>
      <c r="G13621" t="str">
        <f>"2018-10-13 10:33:32"</f>
        <v>2018-10-13 10:33:32</v>
      </c>
    </row>
    <row r="13622" spans="1:7" x14ac:dyDescent="0.2">
      <c r="A13622" t="s">
        <v>13503</v>
      </c>
      <c r="B13622" t="str">
        <f>"15172234341"</f>
        <v>15172234341</v>
      </c>
      <c r="C13622" t="str">
        <f>"420921199603014656"</f>
        <v>420921199603014656</v>
      </c>
      <c r="D13622" t="s">
        <v>13504</v>
      </c>
      <c r="E13622" t="s">
        <v>13505</v>
      </c>
      <c r="F13622" t="s">
        <v>0</v>
      </c>
      <c r="G13622" t="str">
        <f>"2018-11-01 17:16:30"</f>
        <v>2018-11-01 17:16:30</v>
      </c>
    </row>
    <row r="13623" spans="1:7" x14ac:dyDescent="0.2">
      <c r="A13623" t="s">
        <v>2786</v>
      </c>
      <c r="B13623" t="str">
        <f>"13521840637"</f>
        <v>13521840637</v>
      </c>
      <c r="C13623" t="str">
        <f>"11022819930104321X"</f>
        <v>11022819930104321X</v>
      </c>
      <c r="D13623" t="s">
        <v>1</v>
      </c>
      <c r="E13623" t="s">
        <v>1</v>
      </c>
      <c r="F13623" t="s">
        <v>0</v>
      </c>
      <c r="G13623" t="str">
        <f>"2018-10-18 08:43:05"</f>
        <v>2018-10-18 08:43:05</v>
      </c>
    </row>
    <row r="13624" spans="1:7" x14ac:dyDescent="0.2">
      <c r="A13624" t="s">
        <v>1056</v>
      </c>
      <c r="B13624" t="str">
        <f>"13799082221"</f>
        <v>13799082221</v>
      </c>
      <c r="C13624" t="str">
        <f>"350824198802230811"</f>
        <v>350824198802230811</v>
      </c>
      <c r="D13624" t="s">
        <v>1</v>
      </c>
      <c r="E13624" t="s">
        <v>1</v>
      </c>
      <c r="F13624" t="s">
        <v>0</v>
      </c>
      <c r="G13624" t="str">
        <f>"2018-10-13 10:31:00"</f>
        <v>2018-10-13 10:31:00</v>
      </c>
    </row>
    <row r="13625" spans="1:7" x14ac:dyDescent="0.2">
      <c r="A13625" t="s">
        <v>1</v>
      </c>
      <c r="B13625" t="str">
        <f>"18601557714"</f>
        <v>18601557714</v>
      </c>
      <c r="C13625" t="s">
        <v>1</v>
      </c>
      <c r="D13625" t="s">
        <v>1</v>
      </c>
      <c r="E13625" t="s">
        <v>1</v>
      </c>
      <c r="F13625" t="s">
        <v>0</v>
      </c>
      <c r="G13625" t="str">
        <f>"2018-10-13 10:29:29"</f>
        <v>2018-10-13 10:29:29</v>
      </c>
    </row>
    <row r="13626" spans="1:7" x14ac:dyDescent="0.2">
      <c r="A13626" t="s">
        <v>1625</v>
      </c>
      <c r="B13626" t="str">
        <f>"15074911715"</f>
        <v>15074911715</v>
      </c>
      <c r="C13626" t="str">
        <f>"430121199109120013"</f>
        <v>430121199109120013</v>
      </c>
      <c r="D13626" t="s">
        <v>1</v>
      </c>
      <c r="E13626" t="s">
        <v>1</v>
      </c>
      <c r="F13626" t="s">
        <v>0</v>
      </c>
      <c r="G13626" t="str">
        <f>"2018-10-13 10:30:35"</f>
        <v>2018-10-13 10:30:35</v>
      </c>
    </row>
    <row r="13627" spans="1:7" x14ac:dyDescent="0.2">
      <c r="A13627" t="s">
        <v>1</v>
      </c>
      <c r="B13627" t="str">
        <f>"15204047490"</f>
        <v>15204047490</v>
      </c>
      <c r="C13627" t="s">
        <v>1</v>
      </c>
      <c r="D13627" t="s">
        <v>1</v>
      </c>
      <c r="E13627" t="s">
        <v>1</v>
      </c>
      <c r="F13627" t="s">
        <v>0</v>
      </c>
      <c r="G13627" t="str">
        <f>"2018-10-13 10:29:19"</f>
        <v>2018-10-13 10:29:19</v>
      </c>
    </row>
    <row r="13628" spans="1:7" x14ac:dyDescent="0.2">
      <c r="A13628" t="s">
        <v>1</v>
      </c>
      <c r="B13628" t="str">
        <f>"18674178555"</f>
        <v>18674178555</v>
      </c>
      <c r="C13628" t="s">
        <v>1</v>
      </c>
      <c r="D13628" t="s">
        <v>1</v>
      </c>
      <c r="E13628" t="s">
        <v>1</v>
      </c>
      <c r="F13628" t="s">
        <v>0</v>
      </c>
      <c r="G13628" t="str">
        <f>"2018-10-13 10:31:39"</f>
        <v>2018-10-13 10:31:39</v>
      </c>
    </row>
    <row r="13629" spans="1:7" x14ac:dyDescent="0.2">
      <c r="A13629" t="s">
        <v>1</v>
      </c>
      <c r="B13629" t="str">
        <f>"13385606400"</f>
        <v>13385606400</v>
      </c>
      <c r="C13629" t="s">
        <v>1</v>
      </c>
      <c r="D13629" t="s">
        <v>1</v>
      </c>
      <c r="E13629" t="s">
        <v>1</v>
      </c>
      <c r="F13629" t="s">
        <v>0</v>
      </c>
      <c r="G13629" t="str">
        <f>"2018-10-13 10:31:30"</f>
        <v>2018-10-13 10:31:30</v>
      </c>
    </row>
    <row r="13630" spans="1:7" x14ac:dyDescent="0.2">
      <c r="A13630" t="s">
        <v>13506</v>
      </c>
      <c r="B13630" t="str">
        <f>"13908577065"</f>
        <v>13908577065</v>
      </c>
      <c r="C13630" t="str">
        <f>"522426199208055618"</f>
        <v>522426199208055618</v>
      </c>
      <c r="D13630" t="s">
        <v>1</v>
      </c>
      <c r="E13630" t="s">
        <v>1</v>
      </c>
      <c r="F13630" t="s">
        <v>0</v>
      </c>
      <c r="G13630" t="str">
        <f>"2018-10-13 10:28:20"</f>
        <v>2018-10-13 10:28:20</v>
      </c>
    </row>
    <row r="13631" spans="1:7" x14ac:dyDescent="0.2">
      <c r="A13631" t="s">
        <v>13507</v>
      </c>
      <c r="B13631" t="str">
        <f>"13587684821"</f>
        <v>13587684821</v>
      </c>
      <c r="C13631" t="str">
        <f>"342901198310101213"</f>
        <v>342901198310101213</v>
      </c>
      <c r="D13631" t="s">
        <v>1</v>
      </c>
      <c r="E13631" t="s">
        <v>1</v>
      </c>
      <c r="F13631" t="s">
        <v>0</v>
      </c>
      <c r="G13631" t="str">
        <f>"2018-10-13 10:30:29"</f>
        <v>2018-10-13 10:30:29</v>
      </c>
    </row>
    <row r="13632" spans="1:7" x14ac:dyDescent="0.2">
      <c r="A13632" t="s">
        <v>13508</v>
      </c>
      <c r="B13632" t="str">
        <f>"18775098000"</f>
        <v>18775098000</v>
      </c>
      <c r="C13632" t="str">
        <f>"45252419800818583X"</f>
        <v>45252419800818583X</v>
      </c>
      <c r="D13632" t="s">
        <v>1</v>
      </c>
      <c r="E13632" t="s">
        <v>1</v>
      </c>
      <c r="F13632" t="s">
        <v>0</v>
      </c>
      <c r="G13632" t="str">
        <f>"2018-10-13 10:32:34"</f>
        <v>2018-10-13 10:32:34</v>
      </c>
    </row>
    <row r="13633" spans="1:7" x14ac:dyDescent="0.2">
      <c r="A13633" t="s">
        <v>910</v>
      </c>
      <c r="B13633" t="str">
        <f>"18115147177"</f>
        <v>18115147177</v>
      </c>
      <c r="C13633" t="str">
        <f>"321324199408084855"</f>
        <v>321324199408084855</v>
      </c>
      <c r="D13633" t="s">
        <v>1</v>
      </c>
      <c r="E13633" t="s">
        <v>1</v>
      </c>
      <c r="F13633" t="s">
        <v>0</v>
      </c>
      <c r="G13633" t="str">
        <f>"2018-10-13 10:29:59"</f>
        <v>2018-10-13 10:29:59</v>
      </c>
    </row>
    <row r="13634" spans="1:7" x14ac:dyDescent="0.2">
      <c r="A13634" t="s">
        <v>295</v>
      </c>
      <c r="B13634" t="str">
        <f>"18522011416"</f>
        <v>18522011416</v>
      </c>
      <c r="C13634" t="str">
        <f>"220122199307015510"</f>
        <v>220122199307015510</v>
      </c>
      <c r="D13634" t="s">
        <v>13509</v>
      </c>
      <c r="E13634" t="s">
        <v>13510</v>
      </c>
      <c r="F13634" t="s">
        <v>0</v>
      </c>
      <c r="G13634" t="str">
        <f>"2018-10-13 10:34:38"</f>
        <v>2018-10-13 10:34:38</v>
      </c>
    </row>
    <row r="13635" spans="1:7" x14ac:dyDescent="0.2">
      <c r="A13635" t="s">
        <v>13511</v>
      </c>
      <c r="B13635" t="str">
        <f>"15926765466"</f>
        <v>15926765466</v>
      </c>
      <c r="C13635" t="str">
        <f>"421127199609094795"</f>
        <v>421127199609094795</v>
      </c>
      <c r="D13635" t="s">
        <v>1</v>
      </c>
      <c r="E13635" t="s">
        <v>1</v>
      </c>
      <c r="F13635" t="s">
        <v>0</v>
      </c>
      <c r="G13635" t="str">
        <f>"2018-10-13 10:29:42"</f>
        <v>2018-10-13 10:29:42</v>
      </c>
    </row>
    <row r="13636" spans="1:7" x14ac:dyDescent="0.2">
      <c r="A13636" t="s">
        <v>13512</v>
      </c>
      <c r="B13636" t="str">
        <f>"18229929838"</f>
        <v>18229929838</v>
      </c>
      <c r="C13636" t="str">
        <f>"430102199307310513"</f>
        <v>430102199307310513</v>
      </c>
      <c r="D13636" t="s">
        <v>1</v>
      </c>
      <c r="E13636" t="s">
        <v>1</v>
      </c>
      <c r="F13636" t="s">
        <v>0</v>
      </c>
      <c r="G13636" t="str">
        <f>"2018-10-13 10:31:08"</f>
        <v>2018-10-13 10:31:08</v>
      </c>
    </row>
    <row r="13637" spans="1:7" x14ac:dyDescent="0.2">
      <c r="A13637" t="s">
        <v>1</v>
      </c>
      <c r="B13637" t="str">
        <f>"15959397721"</f>
        <v>15959397721</v>
      </c>
      <c r="C13637" t="s">
        <v>1</v>
      </c>
      <c r="D13637" t="s">
        <v>1</v>
      </c>
      <c r="E13637" t="s">
        <v>1</v>
      </c>
      <c r="F13637" t="s">
        <v>0</v>
      </c>
      <c r="G13637" t="str">
        <f>"2018-10-13 10:26:04"</f>
        <v>2018-10-13 10:26:04</v>
      </c>
    </row>
    <row r="13638" spans="1:7" x14ac:dyDescent="0.2">
      <c r="A13638" t="s">
        <v>13513</v>
      </c>
      <c r="B13638" t="str">
        <f>"18698083755"</f>
        <v>18698083755</v>
      </c>
      <c r="C13638" t="str">
        <f>"120107197904085123"</f>
        <v>120107197904085123</v>
      </c>
      <c r="D13638" t="s">
        <v>1</v>
      </c>
      <c r="E13638" t="s">
        <v>1</v>
      </c>
      <c r="F13638" t="s">
        <v>0</v>
      </c>
      <c r="G13638" t="str">
        <f>"2018-10-13 10:28:15"</f>
        <v>2018-10-13 10:28:15</v>
      </c>
    </row>
    <row r="13639" spans="1:7" x14ac:dyDescent="0.2">
      <c r="A13639" t="s">
        <v>1</v>
      </c>
      <c r="B13639" t="str">
        <f>"18234873339"</f>
        <v>18234873339</v>
      </c>
      <c r="C13639" t="s">
        <v>1</v>
      </c>
      <c r="D13639" t="s">
        <v>1</v>
      </c>
      <c r="E13639" t="s">
        <v>1</v>
      </c>
      <c r="F13639" t="s">
        <v>0</v>
      </c>
      <c r="G13639" t="str">
        <f>"2018-10-13 10:26:10"</f>
        <v>2018-10-13 10:26:10</v>
      </c>
    </row>
    <row r="13640" spans="1:7" x14ac:dyDescent="0.2">
      <c r="A13640" t="s">
        <v>13514</v>
      </c>
      <c r="B13640" t="str">
        <f>"18205703404"</f>
        <v>18205703404</v>
      </c>
      <c r="C13640" t="str">
        <f>"330881199603082711"</f>
        <v>330881199603082711</v>
      </c>
      <c r="D13640" t="s">
        <v>1</v>
      </c>
      <c r="E13640" t="s">
        <v>1</v>
      </c>
      <c r="F13640" t="s">
        <v>0</v>
      </c>
      <c r="G13640" t="str">
        <f>"2018-10-13 10:26:46"</f>
        <v>2018-10-13 10:26:46</v>
      </c>
    </row>
    <row r="13641" spans="1:7" x14ac:dyDescent="0.2">
      <c r="A13641" t="s">
        <v>5259</v>
      </c>
      <c r="B13641" t="str">
        <f>"15027178536"</f>
        <v>15027178536</v>
      </c>
      <c r="C13641" t="str">
        <f>"42102219960702362X"</f>
        <v>42102219960702362X</v>
      </c>
      <c r="D13641" t="s">
        <v>1</v>
      </c>
      <c r="E13641" t="s">
        <v>1</v>
      </c>
      <c r="F13641" t="s">
        <v>0</v>
      </c>
      <c r="G13641" t="str">
        <f>"2018-10-13 10:42:55"</f>
        <v>2018-10-13 10:42:55</v>
      </c>
    </row>
    <row r="13642" spans="1:7" x14ac:dyDescent="0.2">
      <c r="A13642" t="s">
        <v>1</v>
      </c>
      <c r="B13642" t="str">
        <f>"13465883806"</f>
        <v>13465883806</v>
      </c>
      <c r="C13642" t="s">
        <v>1</v>
      </c>
      <c r="D13642" t="s">
        <v>1</v>
      </c>
      <c r="E13642" t="s">
        <v>1</v>
      </c>
      <c r="F13642" t="s">
        <v>0</v>
      </c>
      <c r="G13642" t="str">
        <f>"2018-10-13 10:25:04"</f>
        <v>2018-10-13 10:25:04</v>
      </c>
    </row>
    <row r="13643" spans="1:7" x14ac:dyDescent="0.2">
      <c r="A13643" t="s">
        <v>13515</v>
      </c>
      <c r="B13643" t="str">
        <f>"15939212975"</f>
        <v>15939212975</v>
      </c>
      <c r="C13643" t="str">
        <f>"410621198611261099"</f>
        <v>410621198611261099</v>
      </c>
      <c r="D13643" t="s">
        <v>1</v>
      </c>
      <c r="E13643" t="s">
        <v>1</v>
      </c>
      <c r="F13643" t="s">
        <v>0</v>
      </c>
      <c r="G13643" t="str">
        <f>"2018-10-13 13:45:58"</f>
        <v>2018-10-13 13:45:58</v>
      </c>
    </row>
    <row r="13644" spans="1:7" x14ac:dyDescent="0.2">
      <c r="A13644" t="s">
        <v>13516</v>
      </c>
      <c r="B13644" t="str">
        <f>"13700647831"</f>
        <v>13700647831</v>
      </c>
      <c r="C13644" t="str">
        <f>"53011319910801372X"</f>
        <v>53011319910801372X</v>
      </c>
      <c r="D13644" t="s">
        <v>1</v>
      </c>
      <c r="E13644" t="s">
        <v>1</v>
      </c>
      <c r="F13644" t="s">
        <v>0</v>
      </c>
      <c r="G13644" t="str">
        <f>"2018-10-13 10:44:38"</f>
        <v>2018-10-13 10:44:38</v>
      </c>
    </row>
    <row r="13645" spans="1:7" x14ac:dyDescent="0.2">
      <c r="A13645" t="s">
        <v>13517</v>
      </c>
      <c r="B13645" t="str">
        <f>"15766368837"</f>
        <v>15766368837</v>
      </c>
      <c r="C13645" t="str">
        <f>"441426199004200026"</f>
        <v>441426199004200026</v>
      </c>
      <c r="D13645" t="s">
        <v>1</v>
      </c>
      <c r="E13645" t="s">
        <v>1</v>
      </c>
      <c r="F13645" t="s">
        <v>0</v>
      </c>
      <c r="G13645" t="str">
        <f>"2018-10-13 10:36:10"</f>
        <v>2018-10-13 10:36:10</v>
      </c>
    </row>
    <row r="13646" spans="1:7" x14ac:dyDescent="0.2">
      <c r="A13646" t="s">
        <v>13518</v>
      </c>
      <c r="B13646" t="str">
        <f>"18305132637"</f>
        <v>18305132637</v>
      </c>
      <c r="C13646" t="str">
        <f>"32070619890920154X"</f>
        <v>32070619890920154X</v>
      </c>
      <c r="D13646" t="s">
        <v>1</v>
      </c>
      <c r="E13646" t="s">
        <v>1</v>
      </c>
      <c r="F13646" t="s">
        <v>0</v>
      </c>
      <c r="G13646" t="str">
        <f>"2018-10-20 14:53:51"</f>
        <v>2018-10-20 14:53:51</v>
      </c>
    </row>
    <row r="13647" spans="1:7" x14ac:dyDescent="0.2">
      <c r="A13647" t="s">
        <v>13519</v>
      </c>
      <c r="B13647" t="str">
        <f>"15130892001"</f>
        <v>15130892001</v>
      </c>
      <c r="C13647" t="str">
        <f>"131102199310212025"</f>
        <v>131102199310212025</v>
      </c>
      <c r="D13647" t="s">
        <v>1</v>
      </c>
      <c r="E13647" t="s">
        <v>1</v>
      </c>
      <c r="F13647" t="s">
        <v>0</v>
      </c>
      <c r="G13647" t="str">
        <f>"2018-11-05 13:11:56"</f>
        <v>2018-11-05 13:11:56</v>
      </c>
    </row>
    <row r="13648" spans="1:7" x14ac:dyDescent="0.2">
      <c r="A13648" t="s">
        <v>13520</v>
      </c>
      <c r="B13648" t="str">
        <f>"15114134000"</f>
        <v>15114134000</v>
      </c>
      <c r="C13648" t="str">
        <f>"210623198107054491"</f>
        <v>210623198107054491</v>
      </c>
      <c r="D13648" t="s">
        <v>1</v>
      </c>
      <c r="E13648" t="s">
        <v>1</v>
      </c>
      <c r="F13648" t="s">
        <v>0</v>
      </c>
      <c r="G13648" t="str">
        <f>"2018-10-13 10:24:48"</f>
        <v>2018-10-13 10:24:48</v>
      </c>
    </row>
    <row r="13649" spans="1:7" x14ac:dyDescent="0.2">
      <c r="A13649" t="s">
        <v>13521</v>
      </c>
      <c r="B13649" t="str">
        <f>"13567180783"</f>
        <v>13567180783</v>
      </c>
      <c r="C13649" t="str">
        <f>"33018419810728031X"</f>
        <v>33018419810728031X</v>
      </c>
      <c r="D13649" t="s">
        <v>1</v>
      </c>
      <c r="E13649" t="s">
        <v>1</v>
      </c>
      <c r="F13649" t="s">
        <v>0</v>
      </c>
      <c r="G13649" t="str">
        <f>"2018-10-13 10:23:57"</f>
        <v>2018-10-13 10:23:57</v>
      </c>
    </row>
    <row r="13650" spans="1:7" x14ac:dyDescent="0.2">
      <c r="A13650" t="s">
        <v>13522</v>
      </c>
      <c r="B13650" t="str">
        <f>"15818101317"</f>
        <v>15818101317</v>
      </c>
      <c r="C13650" t="str">
        <f>"440582199412176331"</f>
        <v>440582199412176331</v>
      </c>
      <c r="D13650" t="s">
        <v>13523</v>
      </c>
      <c r="E13650" t="s">
        <v>13524</v>
      </c>
      <c r="F13650" t="s">
        <v>0</v>
      </c>
      <c r="G13650" t="str">
        <f>"2018-10-13 10:24:04"</f>
        <v>2018-10-13 10:24:04</v>
      </c>
    </row>
    <row r="13651" spans="1:7" x14ac:dyDescent="0.2">
      <c r="A13651" t="s">
        <v>1</v>
      </c>
      <c r="B13651" t="str">
        <f>"18847619123"</f>
        <v>18847619123</v>
      </c>
      <c r="C13651" t="s">
        <v>1</v>
      </c>
      <c r="D13651" t="s">
        <v>1</v>
      </c>
      <c r="E13651" t="s">
        <v>1</v>
      </c>
      <c r="F13651" t="s">
        <v>0</v>
      </c>
      <c r="G13651" t="str">
        <f>"2018-10-13 11:03:38"</f>
        <v>2018-10-13 11:03:38</v>
      </c>
    </row>
    <row r="13652" spans="1:7" x14ac:dyDescent="0.2">
      <c r="A13652" t="s">
        <v>1</v>
      </c>
      <c r="B13652" t="str">
        <f>"13974713883"</f>
        <v>13974713883</v>
      </c>
      <c r="C13652" t="s">
        <v>1</v>
      </c>
      <c r="D13652" t="s">
        <v>1</v>
      </c>
      <c r="E13652" t="s">
        <v>1</v>
      </c>
      <c r="F13652" t="s">
        <v>0</v>
      </c>
      <c r="G13652" t="str">
        <f>"2018-10-13 10:22:25"</f>
        <v>2018-10-13 10:22:25</v>
      </c>
    </row>
    <row r="13653" spans="1:7" x14ac:dyDescent="0.2">
      <c r="A13653" t="s">
        <v>1</v>
      </c>
      <c r="B13653" t="str">
        <f>"13912623411"</f>
        <v>13912623411</v>
      </c>
      <c r="C13653" t="s">
        <v>1</v>
      </c>
      <c r="D13653" t="s">
        <v>1</v>
      </c>
      <c r="E13653" t="s">
        <v>1</v>
      </c>
      <c r="F13653" t="s">
        <v>0</v>
      </c>
      <c r="G13653" t="str">
        <f>"2018-10-13 10:21:59"</f>
        <v>2018-10-13 10:21:59</v>
      </c>
    </row>
    <row r="13654" spans="1:7" x14ac:dyDescent="0.2">
      <c r="A13654" t="s">
        <v>13525</v>
      </c>
      <c r="B13654" t="str">
        <f>"15215075890"</f>
        <v>15215075890</v>
      </c>
      <c r="C13654" t="str">
        <f>"510104198103052872"</f>
        <v>510104198103052872</v>
      </c>
      <c r="D13654" t="s">
        <v>1</v>
      </c>
      <c r="E13654" t="s">
        <v>1</v>
      </c>
      <c r="F13654" t="s">
        <v>0</v>
      </c>
      <c r="G13654" t="str">
        <f>"2018-10-13 10:34:48"</f>
        <v>2018-10-13 10:34:48</v>
      </c>
    </row>
    <row r="13655" spans="1:7" x14ac:dyDescent="0.2">
      <c r="A13655" t="s">
        <v>1</v>
      </c>
      <c r="B13655" t="str">
        <f>"15880359336"</f>
        <v>15880359336</v>
      </c>
      <c r="C13655" t="s">
        <v>1</v>
      </c>
      <c r="D13655" t="s">
        <v>1</v>
      </c>
      <c r="E13655" t="s">
        <v>1</v>
      </c>
      <c r="F13655" t="s">
        <v>0</v>
      </c>
      <c r="G13655" t="str">
        <f>"2018-10-13 10:21:23"</f>
        <v>2018-10-13 10:21:23</v>
      </c>
    </row>
    <row r="13656" spans="1:7" x14ac:dyDescent="0.2">
      <c r="A13656" t="s">
        <v>276</v>
      </c>
      <c r="B13656" t="str">
        <f>"15770373775"</f>
        <v>15770373775</v>
      </c>
      <c r="C13656" t="str">
        <f>"533001199711121233"</f>
        <v>533001199711121233</v>
      </c>
      <c r="D13656" t="s">
        <v>1</v>
      </c>
      <c r="E13656" t="s">
        <v>1</v>
      </c>
      <c r="F13656" t="s">
        <v>0</v>
      </c>
      <c r="G13656" t="str">
        <f>"2018-10-13 10:32:06"</f>
        <v>2018-10-13 10:32:06</v>
      </c>
    </row>
    <row r="13657" spans="1:7" x14ac:dyDescent="0.2">
      <c r="A13657" t="s">
        <v>13526</v>
      </c>
      <c r="B13657" t="str">
        <f>"13993360684"</f>
        <v>13993360684</v>
      </c>
      <c r="C13657" t="str">
        <f>"622701197010020165"</f>
        <v>622701197010020165</v>
      </c>
      <c r="D13657" t="s">
        <v>1</v>
      </c>
      <c r="E13657" t="s">
        <v>1</v>
      </c>
      <c r="F13657" t="s">
        <v>0</v>
      </c>
      <c r="G13657" t="str">
        <f>"2018-10-13 10:23:13"</f>
        <v>2018-10-13 10:23:13</v>
      </c>
    </row>
    <row r="13658" spans="1:7" x14ac:dyDescent="0.2">
      <c r="A13658" t="s">
        <v>13527</v>
      </c>
      <c r="B13658" t="str">
        <f>"18202366235"</f>
        <v>18202366235</v>
      </c>
      <c r="C13658" t="str">
        <f>"500221198502120430"</f>
        <v>500221198502120430</v>
      </c>
      <c r="D13658" t="s">
        <v>1</v>
      </c>
      <c r="E13658" t="s">
        <v>1</v>
      </c>
      <c r="F13658" t="s">
        <v>0</v>
      </c>
      <c r="G13658" t="str">
        <f>"2018-10-13 10:22:21"</f>
        <v>2018-10-13 10:22:21</v>
      </c>
    </row>
    <row r="13659" spans="1:7" x14ac:dyDescent="0.2">
      <c r="A13659" t="s">
        <v>13528</v>
      </c>
      <c r="B13659" t="str">
        <f>"17862349972"</f>
        <v>17862349972</v>
      </c>
      <c r="C13659" t="str">
        <f>"510824199607283875"</f>
        <v>510824199607283875</v>
      </c>
      <c r="D13659" t="s">
        <v>1</v>
      </c>
      <c r="E13659" t="s">
        <v>1</v>
      </c>
      <c r="F13659" t="s">
        <v>0</v>
      </c>
      <c r="G13659" t="str">
        <f>"2018-10-13 10:21:53"</f>
        <v>2018-10-13 10:21:53</v>
      </c>
    </row>
    <row r="13660" spans="1:7" x14ac:dyDescent="0.2">
      <c r="A13660" t="s">
        <v>13529</v>
      </c>
      <c r="B13660" t="str">
        <f>"13333750700"</f>
        <v>13333750700</v>
      </c>
      <c r="C13660" t="str">
        <f>"410422199203190017"</f>
        <v>410422199203190017</v>
      </c>
      <c r="D13660" t="s">
        <v>1</v>
      </c>
      <c r="E13660" t="s">
        <v>1</v>
      </c>
      <c r="F13660" t="s">
        <v>0</v>
      </c>
      <c r="G13660" t="str">
        <f>"2018-10-13 10:20:30"</f>
        <v>2018-10-13 10:20:30</v>
      </c>
    </row>
    <row r="13661" spans="1:7" x14ac:dyDescent="0.2">
      <c r="A13661" t="s">
        <v>13530</v>
      </c>
      <c r="B13661" t="str">
        <f>"13846642795"</f>
        <v>13846642795</v>
      </c>
      <c r="C13661" t="str">
        <f>"230702198305240321"</f>
        <v>230702198305240321</v>
      </c>
      <c r="D13661" t="s">
        <v>1</v>
      </c>
      <c r="E13661" t="s">
        <v>1</v>
      </c>
      <c r="F13661" t="s">
        <v>0</v>
      </c>
      <c r="G13661" t="str">
        <f>"2018-10-13 10:32:21"</f>
        <v>2018-10-13 10:32:21</v>
      </c>
    </row>
    <row r="13662" spans="1:7" x14ac:dyDescent="0.2">
      <c r="A13662" t="s">
        <v>1</v>
      </c>
      <c r="B13662" t="str">
        <f>"18915283663"</f>
        <v>18915283663</v>
      </c>
      <c r="C13662" t="s">
        <v>1</v>
      </c>
      <c r="D13662" t="s">
        <v>1</v>
      </c>
      <c r="E13662" t="s">
        <v>1</v>
      </c>
      <c r="F13662" t="s">
        <v>0</v>
      </c>
      <c r="G13662" t="str">
        <f>"2018-10-13 10:19:33"</f>
        <v>2018-10-13 10:19:33</v>
      </c>
    </row>
    <row r="13663" spans="1:7" x14ac:dyDescent="0.2">
      <c r="A13663" t="s">
        <v>13531</v>
      </c>
      <c r="B13663" t="str">
        <f>"13950809182"</f>
        <v>13950809182</v>
      </c>
      <c r="C13663" t="str">
        <f>"352623198007170025"</f>
        <v>352623198007170025</v>
      </c>
      <c r="D13663" t="s">
        <v>1</v>
      </c>
      <c r="E13663" t="s">
        <v>1</v>
      </c>
      <c r="F13663" t="s">
        <v>0</v>
      </c>
      <c r="G13663" t="str">
        <f>"2018-10-13 10:21:01"</f>
        <v>2018-10-13 10:21:01</v>
      </c>
    </row>
    <row r="13664" spans="1:7" x14ac:dyDescent="0.2">
      <c r="A13664" t="s">
        <v>1</v>
      </c>
      <c r="B13664" t="str">
        <f>"13782146825"</f>
        <v>13782146825</v>
      </c>
      <c r="C13664" t="s">
        <v>1</v>
      </c>
      <c r="D13664" t="s">
        <v>1</v>
      </c>
      <c r="E13664" t="s">
        <v>1</v>
      </c>
      <c r="F13664" t="s">
        <v>0</v>
      </c>
      <c r="G13664" t="str">
        <f>"2018-10-13 10:19:11"</f>
        <v>2018-10-13 10:19:11</v>
      </c>
    </row>
    <row r="13665" spans="1:7" x14ac:dyDescent="0.2">
      <c r="A13665" t="s">
        <v>24</v>
      </c>
      <c r="B13665" t="str">
        <f>"18857440235"</f>
        <v>18857440235</v>
      </c>
      <c r="C13665" t="str">
        <f>"411422199712244811"</f>
        <v>411422199712244811</v>
      </c>
      <c r="D13665" t="s">
        <v>1</v>
      </c>
      <c r="E13665" t="s">
        <v>1</v>
      </c>
      <c r="F13665" t="s">
        <v>0</v>
      </c>
      <c r="G13665" t="str">
        <f>"2018-10-13 10:18:49"</f>
        <v>2018-10-13 10:18:49</v>
      </c>
    </row>
    <row r="13666" spans="1:7" x14ac:dyDescent="0.2">
      <c r="A13666" t="s">
        <v>13532</v>
      </c>
      <c r="B13666" t="str">
        <f>"18787215752"</f>
        <v>18787215752</v>
      </c>
      <c r="C13666" t="str">
        <f>"533325198611060616"</f>
        <v>533325198611060616</v>
      </c>
      <c r="D13666" t="s">
        <v>13533</v>
      </c>
      <c r="E13666" t="s">
        <v>13534</v>
      </c>
      <c r="F13666" t="s">
        <v>0</v>
      </c>
      <c r="G13666" t="str">
        <f>"2018-10-13 10:18:20"</f>
        <v>2018-10-13 10:18:20</v>
      </c>
    </row>
    <row r="13667" spans="1:7" x14ac:dyDescent="0.2">
      <c r="A13667" t="s">
        <v>13535</v>
      </c>
      <c r="B13667" t="str">
        <f>"18956546988"</f>
        <v>18956546988</v>
      </c>
      <c r="C13667" t="str">
        <f>"342626199604256136"</f>
        <v>342626199604256136</v>
      </c>
      <c r="D13667" t="s">
        <v>1</v>
      </c>
      <c r="E13667" t="s">
        <v>1</v>
      </c>
      <c r="F13667" t="s">
        <v>0</v>
      </c>
      <c r="G13667" t="str">
        <f>"2018-10-13 10:36:13"</f>
        <v>2018-10-13 10:36:13</v>
      </c>
    </row>
    <row r="13668" spans="1:7" x14ac:dyDescent="0.2">
      <c r="A13668" t="s">
        <v>13536</v>
      </c>
      <c r="B13668" t="str">
        <f>"18808966346"</f>
        <v>18808966346</v>
      </c>
      <c r="C13668" t="str">
        <f>"460004198409022027"</f>
        <v>460004198409022027</v>
      </c>
      <c r="D13668" t="s">
        <v>1</v>
      </c>
      <c r="E13668" t="s">
        <v>1</v>
      </c>
      <c r="F13668" t="s">
        <v>0</v>
      </c>
      <c r="G13668" t="str">
        <f>"2018-10-13 10:18:09"</f>
        <v>2018-10-13 10:18:09</v>
      </c>
    </row>
    <row r="13669" spans="1:7" x14ac:dyDescent="0.2">
      <c r="A13669" t="s">
        <v>13537</v>
      </c>
      <c r="B13669" t="str">
        <f>"15056009559"</f>
        <v>15056009559</v>
      </c>
      <c r="C13669" t="str">
        <f>"340122198506066612"</f>
        <v>340122198506066612</v>
      </c>
      <c r="D13669" t="s">
        <v>1</v>
      </c>
      <c r="E13669" t="s">
        <v>1</v>
      </c>
      <c r="F13669" t="s">
        <v>0</v>
      </c>
      <c r="G13669" t="str">
        <f>"2018-10-13 10:17:59"</f>
        <v>2018-10-13 10:17:59</v>
      </c>
    </row>
    <row r="13670" spans="1:7" x14ac:dyDescent="0.2">
      <c r="A13670" t="s">
        <v>13538</v>
      </c>
      <c r="B13670" t="str">
        <f>"18636668792"</f>
        <v>18636668792</v>
      </c>
      <c r="C13670" t="str">
        <f>"140107199007093628"</f>
        <v>140107199007093628</v>
      </c>
      <c r="D13670" t="s">
        <v>1</v>
      </c>
      <c r="E13670" t="s">
        <v>1</v>
      </c>
      <c r="F13670" t="s">
        <v>0</v>
      </c>
      <c r="G13670" t="str">
        <f>"2018-10-13 10:17:11"</f>
        <v>2018-10-13 10:17:11</v>
      </c>
    </row>
    <row r="13671" spans="1:7" x14ac:dyDescent="0.2">
      <c r="A13671" t="s">
        <v>1</v>
      </c>
      <c r="B13671" t="str">
        <f>"18857909781"</f>
        <v>18857909781</v>
      </c>
      <c r="C13671" t="s">
        <v>1</v>
      </c>
      <c r="D13671" t="s">
        <v>1</v>
      </c>
      <c r="E13671" t="s">
        <v>1</v>
      </c>
      <c r="F13671" t="s">
        <v>0</v>
      </c>
      <c r="G13671" t="str">
        <f>"2018-10-13 10:16:49"</f>
        <v>2018-10-13 10:16:49</v>
      </c>
    </row>
    <row r="13672" spans="1:7" x14ac:dyDescent="0.2">
      <c r="A13672" t="s">
        <v>1</v>
      </c>
      <c r="B13672" t="str">
        <f>"15637888837"</f>
        <v>15637888837</v>
      </c>
      <c r="C13672" t="s">
        <v>1</v>
      </c>
      <c r="D13672" t="s">
        <v>1</v>
      </c>
      <c r="E13672" t="s">
        <v>1</v>
      </c>
      <c r="F13672" t="s">
        <v>0</v>
      </c>
      <c r="G13672" t="str">
        <f>"2018-10-13 10:15:24"</f>
        <v>2018-10-13 10:15:24</v>
      </c>
    </row>
    <row r="13673" spans="1:7" x14ac:dyDescent="0.2">
      <c r="A13673" t="s">
        <v>1282</v>
      </c>
      <c r="B13673" t="str">
        <f>"15111854198"</f>
        <v>15111854198</v>
      </c>
      <c r="C13673" t="str">
        <f>"510322199411077316"</f>
        <v>510322199411077316</v>
      </c>
      <c r="D13673" t="s">
        <v>1</v>
      </c>
      <c r="E13673" t="s">
        <v>1</v>
      </c>
      <c r="F13673" t="s">
        <v>0</v>
      </c>
      <c r="G13673" t="str">
        <f>"2018-10-13 10:16:08"</f>
        <v>2018-10-13 10:16:08</v>
      </c>
    </row>
    <row r="13674" spans="1:7" x14ac:dyDescent="0.2">
      <c r="A13674" t="s">
        <v>13539</v>
      </c>
      <c r="B13674" t="str">
        <f>"18797972077"</f>
        <v>18797972077</v>
      </c>
      <c r="C13674" t="str">
        <f>"360722199408260383"</f>
        <v>360722199408260383</v>
      </c>
      <c r="D13674" t="s">
        <v>1</v>
      </c>
      <c r="E13674" t="s">
        <v>1</v>
      </c>
      <c r="F13674" t="s">
        <v>0</v>
      </c>
      <c r="G13674" t="str">
        <f>"2018-10-25 12:58:08"</f>
        <v>2018-10-25 12:58:08</v>
      </c>
    </row>
    <row r="13675" spans="1:7" x14ac:dyDescent="0.2">
      <c r="A13675" t="s">
        <v>13540</v>
      </c>
      <c r="B13675" t="str">
        <f>"18299882508"</f>
        <v>18299882508</v>
      </c>
      <c r="C13675" t="str">
        <f>"412724197601012525"</f>
        <v>412724197601012525</v>
      </c>
      <c r="D13675" t="s">
        <v>1</v>
      </c>
      <c r="E13675" t="s">
        <v>1</v>
      </c>
      <c r="F13675" t="s">
        <v>0</v>
      </c>
      <c r="G13675" t="str">
        <f>"2018-10-13 10:16:25"</f>
        <v>2018-10-13 10:16:25</v>
      </c>
    </row>
    <row r="13676" spans="1:7" x14ac:dyDescent="0.2">
      <c r="A13676" t="s">
        <v>13541</v>
      </c>
      <c r="B13676" t="str">
        <f>"18888765474"</f>
        <v>18888765474</v>
      </c>
      <c r="C13676" t="str">
        <f>"330681199710109018"</f>
        <v>330681199710109018</v>
      </c>
      <c r="D13676" t="s">
        <v>1</v>
      </c>
      <c r="E13676" t="s">
        <v>1</v>
      </c>
      <c r="F13676" t="s">
        <v>0</v>
      </c>
      <c r="G13676" t="str">
        <f>"2018-10-13 10:18:48"</f>
        <v>2018-10-13 10:18:48</v>
      </c>
    </row>
    <row r="13677" spans="1:7" x14ac:dyDescent="0.2">
      <c r="A13677" t="s">
        <v>13542</v>
      </c>
      <c r="B13677" t="str">
        <f>"18063777357"</f>
        <v>18063777357</v>
      </c>
      <c r="C13677" t="str">
        <f>"352202198406281570"</f>
        <v>352202198406281570</v>
      </c>
      <c r="D13677" t="s">
        <v>1</v>
      </c>
      <c r="E13677" t="s">
        <v>1</v>
      </c>
      <c r="F13677" t="s">
        <v>0</v>
      </c>
      <c r="G13677" t="str">
        <f>"2018-10-13 10:14:32"</f>
        <v>2018-10-13 10:14:32</v>
      </c>
    </row>
    <row r="13678" spans="1:7" x14ac:dyDescent="0.2">
      <c r="A13678" t="s">
        <v>13543</v>
      </c>
      <c r="B13678" t="str">
        <f>"13892977679"</f>
        <v>13892977679</v>
      </c>
      <c r="C13678" t="str">
        <f>"61042819871001502X"</f>
        <v>61042819871001502X</v>
      </c>
      <c r="D13678" t="s">
        <v>1</v>
      </c>
      <c r="E13678" t="s">
        <v>1</v>
      </c>
      <c r="F13678" t="s">
        <v>0</v>
      </c>
      <c r="G13678" t="str">
        <f>"2018-10-13 10:35:11"</f>
        <v>2018-10-13 10:35:11</v>
      </c>
    </row>
    <row r="13679" spans="1:7" x14ac:dyDescent="0.2">
      <c r="A13679" t="s">
        <v>1</v>
      </c>
      <c r="B13679" t="str">
        <f>"17606129082"</f>
        <v>17606129082</v>
      </c>
      <c r="C13679" t="s">
        <v>1</v>
      </c>
      <c r="D13679" t="s">
        <v>1</v>
      </c>
      <c r="E13679" t="s">
        <v>1</v>
      </c>
      <c r="F13679" t="s">
        <v>0</v>
      </c>
      <c r="G13679" t="str">
        <f>"2018-10-13 10:14:47"</f>
        <v>2018-10-13 10:14:47</v>
      </c>
    </row>
    <row r="13680" spans="1:7" x14ac:dyDescent="0.2">
      <c r="A13680" t="s">
        <v>316</v>
      </c>
      <c r="B13680" t="str">
        <f>"18351397808"</f>
        <v>18351397808</v>
      </c>
      <c r="C13680" t="str">
        <f>"321323199101182833"</f>
        <v>321323199101182833</v>
      </c>
      <c r="D13680" t="s">
        <v>1</v>
      </c>
      <c r="E13680" t="s">
        <v>1</v>
      </c>
      <c r="F13680" t="s">
        <v>0</v>
      </c>
      <c r="G13680" t="str">
        <f>"2018-10-13 10:14:21"</f>
        <v>2018-10-13 10:14:21</v>
      </c>
    </row>
    <row r="13681" spans="1:7" x14ac:dyDescent="0.2">
      <c r="A13681" t="s">
        <v>13544</v>
      </c>
      <c r="B13681" t="str">
        <f>"13504713666"</f>
        <v>13504713666</v>
      </c>
      <c r="C13681" t="str">
        <f>"220702198104190231"</f>
        <v>220702198104190231</v>
      </c>
      <c r="D13681" t="s">
        <v>1</v>
      </c>
      <c r="E13681" t="s">
        <v>1</v>
      </c>
      <c r="F13681" t="s">
        <v>0</v>
      </c>
      <c r="G13681" t="str">
        <f>"2018-10-13 10:22:45"</f>
        <v>2018-10-13 10:22:45</v>
      </c>
    </row>
    <row r="13682" spans="1:7" x14ac:dyDescent="0.2">
      <c r="A13682" t="s">
        <v>13545</v>
      </c>
      <c r="B13682" t="str">
        <f>"15187783447"</f>
        <v>15187783447</v>
      </c>
      <c r="C13682" t="str">
        <f>"530402199309192012"</f>
        <v>530402199309192012</v>
      </c>
      <c r="D13682" t="s">
        <v>1</v>
      </c>
      <c r="E13682" t="s">
        <v>1</v>
      </c>
      <c r="F13682" t="s">
        <v>0</v>
      </c>
      <c r="G13682" t="str">
        <f>"2018-10-13 10:22:57"</f>
        <v>2018-10-13 10:22:57</v>
      </c>
    </row>
    <row r="13683" spans="1:7" x14ac:dyDescent="0.2">
      <c r="A13683" t="s">
        <v>13546</v>
      </c>
      <c r="B13683" t="str">
        <f>"15150260500"</f>
        <v>15150260500</v>
      </c>
      <c r="C13683" t="str">
        <f>"320525199003266518"</f>
        <v>320525199003266518</v>
      </c>
      <c r="D13683" t="s">
        <v>1</v>
      </c>
      <c r="E13683" t="s">
        <v>1</v>
      </c>
      <c r="F13683" t="s">
        <v>0</v>
      </c>
      <c r="G13683" t="str">
        <f>"2018-10-13 10:13:20"</f>
        <v>2018-10-13 10:13:20</v>
      </c>
    </row>
    <row r="13684" spans="1:7" x14ac:dyDescent="0.2">
      <c r="A13684" t="s">
        <v>7283</v>
      </c>
      <c r="B13684" t="str">
        <f>"15046321986"</f>
        <v>15046321986</v>
      </c>
      <c r="C13684" t="str">
        <f>"231085199407162721"</f>
        <v>231085199407162721</v>
      </c>
      <c r="D13684" t="s">
        <v>1</v>
      </c>
      <c r="E13684" t="s">
        <v>1</v>
      </c>
      <c r="F13684" t="s">
        <v>0</v>
      </c>
      <c r="G13684" t="str">
        <f>"2018-10-13 10:57:44"</f>
        <v>2018-10-13 10:57:44</v>
      </c>
    </row>
    <row r="13685" spans="1:7" x14ac:dyDescent="0.2">
      <c r="A13685" t="s">
        <v>1</v>
      </c>
      <c r="B13685" t="str">
        <f>"18286660897"</f>
        <v>18286660897</v>
      </c>
      <c r="C13685" t="s">
        <v>1</v>
      </c>
      <c r="D13685" t="s">
        <v>1</v>
      </c>
      <c r="E13685" t="s">
        <v>1</v>
      </c>
      <c r="F13685" t="s">
        <v>0</v>
      </c>
      <c r="G13685" t="str">
        <f>"2018-10-13 10:13:47"</f>
        <v>2018-10-13 10:13:47</v>
      </c>
    </row>
    <row r="13686" spans="1:7" x14ac:dyDescent="0.2">
      <c r="A13686" t="s">
        <v>13547</v>
      </c>
      <c r="B13686" t="str">
        <f>"15971823972"</f>
        <v>15971823972</v>
      </c>
      <c r="C13686" t="str">
        <f>"422801198812113411"</f>
        <v>422801198812113411</v>
      </c>
      <c r="D13686" t="s">
        <v>13548</v>
      </c>
      <c r="E13686" t="s">
        <v>13549</v>
      </c>
      <c r="F13686" t="s">
        <v>0</v>
      </c>
      <c r="G13686" t="str">
        <f>"2018-10-22 12:30:38"</f>
        <v>2018-10-22 12:30:38</v>
      </c>
    </row>
    <row r="13687" spans="1:7" x14ac:dyDescent="0.2">
      <c r="A13687" t="s">
        <v>1</v>
      </c>
      <c r="B13687" t="str">
        <f>"13523360529"</f>
        <v>13523360529</v>
      </c>
      <c r="C13687" t="s">
        <v>1</v>
      </c>
      <c r="D13687" t="s">
        <v>1</v>
      </c>
      <c r="E13687" t="s">
        <v>1</v>
      </c>
      <c r="F13687" t="s">
        <v>0</v>
      </c>
      <c r="G13687" t="str">
        <f>"2018-10-13 10:11:15"</f>
        <v>2018-10-13 10:11:15</v>
      </c>
    </row>
    <row r="13688" spans="1:7" x14ac:dyDescent="0.2">
      <c r="A13688" t="s">
        <v>13550</v>
      </c>
      <c r="B13688" t="str">
        <f>"13571681913"</f>
        <v>13571681913</v>
      </c>
      <c r="C13688" t="str">
        <f>"612321198711291415"</f>
        <v>612321198711291415</v>
      </c>
      <c r="D13688" t="s">
        <v>1</v>
      </c>
      <c r="E13688" t="s">
        <v>1</v>
      </c>
      <c r="F13688" t="s">
        <v>0</v>
      </c>
      <c r="G13688" t="str">
        <f>"2018-10-13 13:42:36"</f>
        <v>2018-10-13 13:42:36</v>
      </c>
    </row>
    <row r="13689" spans="1:7" x14ac:dyDescent="0.2">
      <c r="A13689" t="s">
        <v>13551</v>
      </c>
      <c r="B13689" t="str">
        <f>"18961111256"</f>
        <v>18961111256</v>
      </c>
      <c r="C13689" t="str">
        <f>"513427198604120849"</f>
        <v>513427198604120849</v>
      </c>
      <c r="D13689" t="s">
        <v>1</v>
      </c>
      <c r="E13689" t="s">
        <v>1</v>
      </c>
      <c r="F13689" t="s">
        <v>0</v>
      </c>
      <c r="G13689" t="str">
        <f>"2018-10-13 10:11:57"</f>
        <v>2018-10-13 10:11:57</v>
      </c>
    </row>
    <row r="13690" spans="1:7" x14ac:dyDescent="0.2">
      <c r="A13690" t="s">
        <v>1155</v>
      </c>
      <c r="B13690" t="str">
        <f>"18631015482"</f>
        <v>18631015482</v>
      </c>
      <c r="C13690" t="str">
        <f>"130406198009061519"</f>
        <v>130406198009061519</v>
      </c>
      <c r="D13690" t="s">
        <v>1</v>
      </c>
      <c r="E13690" t="s">
        <v>1</v>
      </c>
      <c r="F13690" t="s">
        <v>0</v>
      </c>
      <c r="G13690" t="str">
        <f>"2018-10-13 10:16:23"</f>
        <v>2018-10-13 10:16:23</v>
      </c>
    </row>
    <row r="13691" spans="1:7" x14ac:dyDescent="0.2">
      <c r="A13691" t="s">
        <v>13552</v>
      </c>
      <c r="B13691" t="str">
        <f>"15896186700"</f>
        <v>15896186700</v>
      </c>
      <c r="C13691" t="str">
        <f>"320882199607040214"</f>
        <v>320882199607040214</v>
      </c>
      <c r="D13691" t="s">
        <v>1</v>
      </c>
      <c r="E13691" t="s">
        <v>1</v>
      </c>
      <c r="F13691" t="s">
        <v>0</v>
      </c>
      <c r="G13691" t="str">
        <f>"2018-10-13 10:12:39"</f>
        <v>2018-10-13 10:12:39</v>
      </c>
    </row>
    <row r="13692" spans="1:7" x14ac:dyDescent="0.2">
      <c r="A13692" t="s">
        <v>1</v>
      </c>
      <c r="B13692" t="str">
        <f>"13891651132"</f>
        <v>13891651132</v>
      </c>
      <c r="C13692" t="s">
        <v>1</v>
      </c>
      <c r="D13692" t="s">
        <v>1</v>
      </c>
      <c r="E13692" t="s">
        <v>1</v>
      </c>
      <c r="F13692" t="s">
        <v>0</v>
      </c>
      <c r="G13692" t="str">
        <f>"2018-10-13 10:11:46"</f>
        <v>2018-10-13 10:11:46</v>
      </c>
    </row>
    <row r="13693" spans="1:7" x14ac:dyDescent="0.2">
      <c r="A13693" t="s">
        <v>13553</v>
      </c>
      <c r="B13693" t="str">
        <f>"15762799227"</f>
        <v>15762799227</v>
      </c>
      <c r="C13693" t="str">
        <f>"370612199002072546"</f>
        <v>370612199002072546</v>
      </c>
      <c r="D13693" t="s">
        <v>1</v>
      </c>
      <c r="E13693" t="s">
        <v>1</v>
      </c>
      <c r="F13693" t="s">
        <v>0</v>
      </c>
      <c r="G13693" t="str">
        <f>"2018-10-13 10:56:56"</f>
        <v>2018-10-13 10:56:56</v>
      </c>
    </row>
    <row r="13694" spans="1:7" x14ac:dyDescent="0.2">
      <c r="A13694" t="s">
        <v>1113</v>
      </c>
      <c r="B13694" t="str">
        <f>"15045049189"</f>
        <v>15045049189</v>
      </c>
      <c r="C13694" t="str">
        <f>"23230319970807682X"</f>
        <v>23230319970807682X</v>
      </c>
      <c r="D13694" t="s">
        <v>1</v>
      </c>
      <c r="E13694" t="s">
        <v>1</v>
      </c>
      <c r="F13694" t="s">
        <v>0</v>
      </c>
      <c r="G13694" t="str">
        <f>"2018-10-20 14:40:57"</f>
        <v>2018-10-20 14:40:57</v>
      </c>
    </row>
    <row r="13695" spans="1:7" x14ac:dyDescent="0.2">
      <c r="A13695" t="s">
        <v>13554</v>
      </c>
      <c r="B13695" t="str">
        <f>"15524577112"</f>
        <v>15524577112</v>
      </c>
      <c r="C13695" t="str">
        <f>"210522198501250528"</f>
        <v>210522198501250528</v>
      </c>
      <c r="D13695" t="s">
        <v>1</v>
      </c>
      <c r="E13695" t="s">
        <v>1</v>
      </c>
      <c r="F13695" t="s">
        <v>0</v>
      </c>
      <c r="G13695" t="str">
        <f>"2018-10-13 10:09:53"</f>
        <v>2018-10-13 10:09:53</v>
      </c>
    </row>
    <row r="13696" spans="1:7" x14ac:dyDescent="0.2">
      <c r="A13696" t="s">
        <v>13555</v>
      </c>
      <c r="B13696" t="str">
        <f>"15357431893"</f>
        <v>15357431893</v>
      </c>
      <c r="C13696" t="str">
        <f>"34240119910325031X"</f>
        <v>34240119910325031X</v>
      </c>
      <c r="D13696" t="s">
        <v>1</v>
      </c>
      <c r="E13696" t="s">
        <v>1</v>
      </c>
      <c r="F13696" t="s">
        <v>0</v>
      </c>
      <c r="G13696" t="str">
        <f>"2018-10-13 10:35:27"</f>
        <v>2018-10-13 10:35:27</v>
      </c>
    </row>
    <row r="13697" spans="1:7" x14ac:dyDescent="0.2">
      <c r="A13697" t="s">
        <v>13556</v>
      </c>
      <c r="B13697" t="str">
        <f>"18688746415"</f>
        <v>18688746415</v>
      </c>
      <c r="C13697" t="str">
        <f>"450922199106203490"</f>
        <v>450922199106203490</v>
      </c>
      <c r="D13697" t="s">
        <v>1</v>
      </c>
      <c r="E13697" t="s">
        <v>1</v>
      </c>
      <c r="F13697" t="s">
        <v>0</v>
      </c>
      <c r="G13697" t="str">
        <f>"2018-10-13 10:46:09"</f>
        <v>2018-10-13 10:46:09</v>
      </c>
    </row>
    <row r="13698" spans="1:7" x14ac:dyDescent="0.2">
      <c r="A13698" t="s">
        <v>1769</v>
      </c>
      <c r="B13698" t="str">
        <f>"13685118488"</f>
        <v>13685118488</v>
      </c>
      <c r="C13698" t="str">
        <f>"320304198410085813"</f>
        <v>320304198410085813</v>
      </c>
      <c r="D13698" t="s">
        <v>1</v>
      </c>
      <c r="E13698" t="s">
        <v>1</v>
      </c>
      <c r="F13698" t="s">
        <v>0</v>
      </c>
      <c r="G13698" t="str">
        <f>"2018-10-13 10:13:25"</f>
        <v>2018-10-13 10:13:25</v>
      </c>
    </row>
    <row r="13699" spans="1:7" x14ac:dyDescent="0.2">
      <c r="A13699" t="s">
        <v>13557</v>
      </c>
      <c r="B13699" t="str">
        <f>"18840763447"</f>
        <v>18840763447</v>
      </c>
      <c r="C13699" t="str">
        <f>"210882198010146411"</f>
        <v>210882198010146411</v>
      </c>
      <c r="D13699" t="s">
        <v>13558</v>
      </c>
      <c r="E13699" t="s">
        <v>13559</v>
      </c>
      <c r="F13699" t="s">
        <v>0</v>
      </c>
      <c r="G13699" t="str">
        <f>"2018-10-13 10:10:05"</f>
        <v>2018-10-13 10:10:05</v>
      </c>
    </row>
    <row r="13700" spans="1:7" x14ac:dyDescent="0.2">
      <c r="A13700" t="s">
        <v>13560</v>
      </c>
      <c r="B13700" t="str">
        <f>"13895491996"</f>
        <v>13895491996</v>
      </c>
      <c r="C13700" t="str">
        <f>"232602197409243924"</f>
        <v>232602197409243924</v>
      </c>
      <c r="D13700" t="s">
        <v>1</v>
      </c>
      <c r="E13700" t="s">
        <v>1</v>
      </c>
      <c r="F13700" t="s">
        <v>0</v>
      </c>
      <c r="G13700" t="str">
        <f>"2018-10-13 10:09:30"</f>
        <v>2018-10-13 10:09:30</v>
      </c>
    </row>
    <row r="13701" spans="1:7" x14ac:dyDescent="0.2">
      <c r="A13701" t="s">
        <v>13561</v>
      </c>
      <c r="B13701" t="str">
        <f>"15766818896"</f>
        <v>15766818896</v>
      </c>
      <c r="C13701" t="str">
        <f>"440881198207211439"</f>
        <v>440881198207211439</v>
      </c>
      <c r="D13701" t="s">
        <v>1</v>
      </c>
      <c r="E13701" t="s">
        <v>1</v>
      </c>
      <c r="F13701" t="s">
        <v>0</v>
      </c>
      <c r="G13701" t="str">
        <f>"2018-10-13 10:15:15"</f>
        <v>2018-10-13 10:15:15</v>
      </c>
    </row>
    <row r="13702" spans="1:7" x14ac:dyDescent="0.2">
      <c r="A13702" t="s">
        <v>13562</v>
      </c>
      <c r="B13702" t="str">
        <f>"13151348236"</f>
        <v>13151348236</v>
      </c>
      <c r="C13702" t="str">
        <f>"320821199610030110"</f>
        <v>320821199610030110</v>
      </c>
      <c r="D13702" t="s">
        <v>1</v>
      </c>
      <c r="E13702" t="s">
        <v>1</v>
      </c>
      <c r="F13702" t="s">
        <v>0</v>
      </c>
      <c r="G13702" t="str">
        <f>"2018-10-13 10:09:19"</f>
        <v>2018-10-13 10:09:19</v>
      </c>
    </row>
    <row r="13703" spans="1:7" x14ac:dyDescent="0.2">
      <c r="A13703" t="s">
        <v>13563</v>
      </c>
      <c r="B13703" t="str">
        <f>"15230003702"</f>
        <v>15230003702</v>
      </c>
      <c r="C13703" t="str">
        <f>"130434199607145261"</f>
        <v>130434199607145261</v>
      </c>
      <c r="D13703" t="s">
        <v>1</v>
      </c>
      <c r="E13703" t="s">
        <v>1</v>
      </c>
      <c r="F13703" t="s">
        <v>0</v>
      </c>
      <c r="G13703" t="str">
        <f>"2018-10-13 10:08:08"</f>
        <v>2018-10-13 10:08:08</v>
      </c>
    </row>
    <row r="13704" spans="1:7" x14ac:dyDescent="0.2">
      <c r="A13704" t="s">
        <v>13564</v>
      </c>
      <c r="B13704" t="str">
        <f>"18217933599"</f>
        <v>18217933599</v>
      </c>
      <c r="C13704" t="str">
        <f>"460002198906210050"</f>
        <v>460002198906210050</v>
      </c>
      <c r="D13704" t="s">
        <v>13565</v>
      </c>
      <c r="E13704" t="s">
        <v>13566</v>
      </c>
      <c r="F13704" t="s">
        <v>0</v>
      </c>
      <c r="G13704" t="str">
        <f>"2018-10-13 10:18:20"</f>
        <v>2018-10-13 10:18:20</v>
      </c>
    </row>
    <row r="13705" spans="1:7" x14ac:dyDescent="0.2">
      <c r="A13705" t="s">
        <v>13567</v>
      </c>
      <c r="B13705" t="str">
        <f>"15903065006"</f>
        <v>15903065006</v>
      </c>
      <c r="C13705" t="str">
        <f>"410782198110011575"</f>
        <v>410782198110011575</v>
      </c>
      <c r="D13705" t="s">
        <v>1</v>
      </c>
      <c r="E13705" t="s">
        <v>1</v>
      </c>
      <c r="F13705" t="s">
        <v>0</v>
      </c>
      <c r="G13705" t="str">
        <f>"2018-10-13 10:45:12"</f>
        <v>2018-10-13 10:45:12</v>
      </c>
    </row>
    <row r="13706" spans="1:7" x14ac:dyDescent="0.2">
      <c r="A13706" t="s">
        <v>1</v>
      </c>
      <c r="B13706" t="str">
        <f>"18601384388"</f>
        <v>18601384388</v>
      </c>
      <c r="C13706" t="s">
        <v>1</v>
      </c>
      <c r="D13706" t="s">
        <v>1</v>
      </c>
      <c r="E13706" t="s">
        <v>1</v>
      </c>
      <c r="F13706" t="s">
        <v>0</v>
      </c>
      <c r="G13706" t="str">
        <f>"2018-10-13 10:07:22"</f>
        <v>2018-10-13 10:07:22</v>
      </c>
    </row>
    <row r="13707" spans="1:7" x14ac:dyDescent="0.2">
      <c r="A13707" t="s">
        <v>664</v>
      </c>
      <c r="B13707" t="str">
        <f>"18382959839"</f>
        <v>18382959839</v>
      </c>
      <c r="C13707" t="str">
        <f>"513721199302156312"</f>
        <v>513721199302156312</v>
      </c>
      <c r="D13707" t="s">
        <v>13568</v>
      </c>
      <c r="E13707" t="s">
        <v>13569</v>
      </c>
      <c r="F13707" t="s">
        <v>0</v>
      </c>
      <c r="G13707" t="str">
        <f>"2018-10-13 10:12:10"</f>
        <v>2018-10-13 10:12:10</v>
      </c>
    </row>
    <row r="13708" spans="1:7" x14ac:dyDescent="0.2">
      <c r="A13708" t="s">
        <v>13570</v>
      </c>
      <c r="B13708" t="str">
        <f>"13889871717"</f>
        <v>13889871717</v>
      </c>
      <c r="C13708" t="str">
        <f>"210106198011124017"</f>
        <v>210106198011124017</v>
      </c>
      <c r="D13708" t="s">
        <v>13571</v>
      </c>
      <c r="E13708" t="s">
        <v>13572</v>
      </c>
      <c r="F13708" t="s">
        <v>0</v>
      </c>
      <c r="G13708" t="str">
        <f>"2018-10-13 10:56:51"</f>
        <v>2018-10-13 10:56:51</v>
      </c>
    </row>
    <row r="13709" spans="1:7" x14ac:dyDescent="0.2">
      <c r="A13709" t="s">
        <v>13573</v>
      </c>
      <c r="B13709" t="str">
        <f>"15155098854"</f>
        <v>15155098854</v>
      </c>
      <c r="C13709" t="str">
        <f>"340803198705292320"</f>
        <v>340803198705292320</v>
      </c>
      <c r="D13709" t="s">
        <v>13574</v>
      </c>
      <c r="E13709" t="s">
        <v>13575</v>
      </c>
      <c r="F13709" t="s">
        <v>0</v>
      </c>
      <c r="G13709" t="str">
        <f>"2018-10-26 22:01:18"</f>
        <v>2018-10-26 22:01:18</v>
      </c>
    </row>
    <row r="13710" spans="1:7" x14ac:dyDescent="0.2">
      <c r="A13710" t="s">
        <v>1830</v>
      </c>
      <c r="B13710" t="str">
        <f>"15171455122"</f>
        <v>15171455122</v>
      </c>
      <c r="C13710" t="str">
        <f>"420116199105122756"</f>
        <v>420116199105122756</v>
      </c>
      <c r="D13710" t="s">
        <v>1</v>
      </c>
      <c r="E13710" t="s">
        <v>1</v>
      </c>
      <c r="F13710" t="s">
        <v>0</v>
      </c>
      <c r="G13710" t="str">
        <f>"2018-10-13 10:24:38"</f>
        <v>2018-10-13 10:24:38</v>
      </c>
    </row>
    <row r="13711" spans="1:7" x14ac:dyDescent="0.2">
      <c r="A13711" t="s">
        <v>13576</v>
      </c>
      <c r="B13711" t="str">
        <f>"18907390988"</f>
        <v>18907390988</v>
      </c>
      <c r="C13711" t="str">
        <f>"430502199809272512"</f>
        <v>430502199809272512</v>
      </c>
      <c r="D13711" t="s">
        <v>1</v>
      </c>
      <c r="E13711" t="s">
        <v>1</v>
      </c>
      <c r="F13711" t="s">
        <v>0</v>
      </c>
      <c r="G13711" t="str">
        <f>"2018-10-13 10:16:11"</f>
        <v>2018-10-13 10:16:11</v>
      </c>
    </row>
    <row r="13712" spans="1:7" x14ac:dyDescent="0.2">
      <c r="A13712" t="s">
        <v>13577</v>
      </c>
      <c r="B13712" t="str">
        <f>"15038990030"</f>
        <v>15038990030</v>
      </c>
      <c r="C13712" t="str">
        <f>"410426199101192017"</f>
        <v>410426199101192017</v>
      </c>
      <c r="D13712" t="s">
        <v>13578</v>
      </c>
      <c r="E13712" t="s">
        <v>13579</v>
      </c>
      <c r="F13712" t="s">
        <v>0</v>
      </c>
      <c r="G13712" t="str">
        <f>"2018-10-13 10:10:44"</f>
        <v>2018-10-13 10:10:44</v>
      </c>
    </row>
    <row r="13713" spans="1:7" x14ac:dyDescent="0.2">
      <c r="A13713" t="s">
        <v>1</v>
      </c>
      <c r="B13713" t="str">
        <f>"13526869158"</f>
        <v>13526869158</v>
      </c>
      <c r="C13713" t="s">
        <v>1</v>
      </c>
      <c r="D13713" t="s">
        <v>1</v>
      </c>
      <c r="E13713" t="s">
        <v>1</v>
      </c>
      <c r="F13713" t="s">
        <v>0</v>
      </c>
      <c r="G13713" t="str">
        <f>"2018-10-13 10:06:29"</f>
        <v>2018-10-13 10:06:29</v>
      </c>
    </row>
    <row r="13714" spans="1:7" x14ac:dyDescent="0.2">
      <c r="A13714" t="s">
        <v>13580</v>
      </c>
      <c r="B13714" t="str">
        <f>"17386437970"</f>
        <v>17386437970</v>
      </c>
      <c r="C13714" t="str">
        <f>"422801198912014656"</f>
        <v>422801198912014656</v>
      </c>
      <c r="D13714" t="s">
        <v>13581</v>
      </c>
      <c r="E13714" t="s">
        <v>13582</v>
      </c>
      <c r="F13714" t="s">
        <v>0</v>
      </c>
      <c r="G13714" t="str">
        <f>"2018-10-13 15:35:28"</f>
        <v>2018-10-13 15:35:28</v>
      </c>
    </row>
    <row r="13715" spans="1:7" x14ac:dyDescent="0.2">
      <c r="A13715" t="s">
        <v>13583</v>
      </c>
      <c r="B13715" t="str">
        <f>"13469858162"</f>
        <v>13469858162</v>
      </c>
      <c r="C13715" t="str">
        <f>"420581199808200633"</f>
        <v>420581199808200633</v>
      </c>
      <c r="D13715" t="s">
        <v>1</v>
      </c>
      <c r="E13715" t="s">
        <v>1</v>
      </c>
      <c r="F13715" t="s">
        <v>0</v>
      </c>
      <c r="G13715" t="str">
        <f>"2018-10-13 10:07:05"</f>
        <v>2018-10-13 10:07:05</v>
      </c>
    </row>
    <row r="13716" spans="1:7" x14ac:dyDescent="0.2">
      <c r="A13716" t="s">
        <v>13584</v>
      </c>
      <c r="B13716" t="str">
        <f>"13475225559"</f>
        <v>13475225559</v>
      </c>
      <c r="C13716" t="str">
        <f>"370421198005052250"</f>
        <v>370421198005052250</v>
      </c>
      <c r="D13716" t="s">
        <v>13585</v>
      </c>
      <c r="E13716" t="s">
        <v>13586</v>
      </c>
      <c r="F13716" t="s">
        <v>0</v>
      </c>
      <c r="G13716" t="str">
        <f>"2018-10-13 10:05:40"</f>
        <v>2018-10-13 10:05:40</v>
      </c>
    </row>
    <row r="13717" spans="1:7" x14ac:dyDescent="0.2">
      <c r="A13717" t="s">
        <v>13587</v>
      </c>
      <c r="B13717" t="str">
        <f>"13774096858"</f>
        <v>13774096858</v>
      </c>
      <c r="C13717" t="str">
        <f>"429001198712053338"</f>
        <v>429001198712053338</v>
      </c>
      <c r="D13717" t="s">
        <v>1</v>
      </c>
      <c r="E13717" t="s">
        <v>1</v>
      </c>
      <c r="F13717" t="s">
        <v>0</v>
      </c>
      <c r="G13717" t="str">
        <f>"2018-10-13 10:08:17"</f>
        <v>2018-10-13 10:08:17</v>
      </c>
    </row>
    <row r="13718" spans="1:7" x14ac:dyDescent="0.2">
      <c r="A13718" t="s">
        <v>1</v>
      </c>
      <c r="B13718" t="str">
        <f>"13958546627"</f>
        <v>13958546627</v>
      </c>
      <c r="C13718" t="s">
        <v>1</v>
      </c>
      <c r="D13718" t="s">
        <v>1</v>
      </c>
      <c r="E13718" t="s">
        <v>1</v>
      </c>
      <c r="F13718" t="s">
        <v>0</v>
      </c>
      <c r="G13718" t="str">
        <f>"2018-10-13 10:05:29"</f>
        <v>2018-10-13 10:05:29</v>
      </c>
    </row>
    <row r="13719" spans="1:7" x14ac:dyDescent="0.2">
      <c r="A13719" t="s">
        <v>1</v>
      </c>
      <c r="B13719" t="str">
        <f>"15238406218"</f>
        <v>15238406218</v>
      </c>
      <c r="C13719" t="s">
        <v>1</v>
      </c>
      <c r="D13719" t="s">
        <v>1</v>
      </c>
      <c r="E13719" t="s">
        <v>1</v>
      </c>
      <c r="F13719" t="s">
        <v>0</v>
      </c>
      <c r="G13719" t="str">
        <f>"2018-10-13 10:05:22"</f>
        <v>2018-10-13 10:05:22</v>
      </c>
    </row>
    <row r="13720" spans="1:7" x14ac:dyDescent="0.2">
      <c r="A13720" t="s">
        <v>13588</v>
      </c>
      <c r="B13720" t="str">
        <f>"17877002204"</f>
        <v>17877002204</v>
      </c>
      <c r="C13720" t="str">
        <f>"452122198709152737"</f>
        <v>452122198709152737</v>
      </c>
      <c r="D13720" t="s">
        <v>1</v>
      </c>
      <c r="E13720" t="s">
        <v>1</v>
      </c>
      <c r="F13720" t="s">
        <v>0</v>
      </c>
      <c r="G13720" t="str">
        <f>"2018-10-17 11:32:03"</f>
        <v>2018-10-17 11:32:03</v>
      </c>
    </row>
    <row r="13721" spans="1:7" x14ac:dyDescent="0.2">
      <c r="A13721" t="s">
        <v>14</v>
      </c>
      <c r="B13721" t="str">
        <f>"15098765347"</f>
        <v>15098765347</v>
      </c>
      <c r="C13721" t="str">
        <f>"370112198311142059"</f>
        <v>370112198311142059</v>
      </c>
      <c r="D13721" t="s">
        <v>1</v>
      </c>
      <c r="E13721" t="s">
        <v>1</v>
      </c>
      <c r="F13721" t="s">
        <v>0</v>
      </c>
      <c r="G13721" t="str">
        <f>"2018-10-13 10:07:10"</f>
        <v>2018-10-13 10:07:10</v>
      </c>
    </row>
    <row r="13722" spans="1:7" x14ac:dyDescent="0.2">
      <c r="A13722" t="s">
        <v>1</v>
      </c>
      <c r="B13722" t="str">
        <f>"15881611664"</f>
        <v>15881611664</v>
      </c>
      <c r="C13722" t="s">
        <v>1</v>
      </c>
      <c r="D13722" t="s">
        <v>1</v>
      </c>
      <c r="E13722" t="s">
        <v>1</v>
      </c>
      <c r="F13722" t="s">
        <v>0</v>
      </c>
      <c r="G13722" t="str">
        <f>"2018-10-13 10:04:10"</f>
        <v>2018-10-13 10:04:10</v>
      </c>
    </row>
    <row r="13723" spans="1:7" x14ac:dyDescent="0.2">
      <c r="A13723" t="s">
        <v>13589</v>
      </c>
      <c r="B13723" t="str">
        <f>"13550612301"</f>
        <v>13550612301</v>
      </c>
      <c r="C13723" t="str">
        <f>"510626199408024055"</f>
        <v>510626199408024055</v>
      </c>
      <c r="D13723" t="s">
        <v>1</v>
      </c>
      <c r="E13723" t="s">
        <v>1</v>
      </c>
      <c r="F13723" t="s">
        <v>0</v>
      </c>
      <c r="G13723" t="str">
        <f>"2018-10-13 10:14:30"</f>
        <v>2018-10-13 10:14:30</v>
      </c>
    </row>
    <row r="13724" spans="1:7" x14ac:dyDescent="0.2">
      <c r="A13724" t="s">
        <v>13590</v>
      </c>
      <c r="B13724" t="str">
        <f>"15078605429"</f>
        <v>15078605429</v>
      </c>
      <c r="C13724" t="str">
        <f>"452724198610103156"</f>
        <v>452724198610103156</v>
      </c>
      <c r="D13724" t="s">
        <v>1</v>
      </c>
      <c r="E13724" t="s">
        <v>1</v>
      </c>
      <c r="F13724" t="s">
        <v>0</v>
      </c>
      <c r="G13724" t="str">
        <f>"2018-10-13 10:07:52"</f>
        <v>2018-10-13 10:07:52</v>
      </c>
    </row>
    <row r="13725" spans="1:7" x14ac:dyDescent="0.2">
      <c r="A13725" t="s">
        <v>1</v>
      </c>
      <c r="B13725" t="str">
        <f>"15152701912"</f>
        <v>15152701912</v>
      </c>
      <c r="C13725" t="s">
        <v>1</v>
      </c>
      <c r="D13725" t="s">
        <v>1</v>
      </c>
      <c r="E13725" t="s">
        <v>1</v>
      </c>
      <c r="F13725" t="s">
        <v>0</v>
      </c>
      <c r="G13725" t="str">
        <f>"2018-10-13 10:02:37"</f>
        <v>2018-10-13 10:02:37</v>
      </c>
    </row>
    <row r="13726" spans="1:7" x14ac:dyDescent="0.2">
      <c r="A13726" t="s">
        <v>1</v>
      </c>
      <c r="B13726" t="str">
        <f>"18290258559"</f>
        <v>18290258559</v>
      </c>
      <c r="C13726" t="s">
        <v>1</v>
      </c>
      <c r="D13726" t="s">
        <v>1</v>
      </c>
      <c r="E13726" t="s">
        <v>1</v>
      </c>
      <c r="F13726" t="s">
        <v>0</v>
      </c>
      <c r="G13726" t="str">
        <f>"2018-10-13 10:03:43"</f>
        <v>2018-10-13 10:03:43</v>
      </c>
    </row>
    <row r="13727" spans="1:7" x14ac:dyDescent="0.2">
      <c r="A13727" t="s">
        <v>69</v>
      </c>
      <c r="B13727" t="str">
        <f>"13688092167"</f>
        <v>13688092167</v>
      </c>
      <c r="C13727" t="str">
        <f>"510184199306242170"</f>
        <v>510184199306242170</v>
      </c>
      <c r="D13727" t="s">
        <v>1</v>
      </c>
      <c r="E13727" t="s">
        <v>1</v>
      </c>
      <c r="F13727" t="s">
        <v>0</v>
      </c>
      <c r="G13727" t="str">
        <f>"2018-10-14 15:09:15"</f>
        <v>2018-10-14 15:09:15</v>
      </c>
    </row>
    <row r="13728" spans="1:7" x14ac:dyDescent="0.2">
      <c r="A13728" t="s">
        <v>1</v>
      </c>
      <c r="B13728" t="str">
        <f>"13799897192"</f>
        <v>13799897192</v>
      </c>
      <c r="C13728" t="s">
        <v>1</v>
      </c>
      <c r="D13728" t="s">
        <v>1</v>
      </c>
      <c r="E13728" t="s">
        <v>1</v>
      </c>
      <c r="F13728" t="s">
        <v>0</v>
      </c>
      <c r="G13728" t="str">
        <f>"2018-10-13 10:02:21"</f>
        <v>2018-10-13 10:02:21</v>
      </c>
    </row>
    <row r="13729" spans="1:7" x14ac:dyDescent="0.2">
      <c r="A13729" t="s">
        <v>13591</v>
      </c>
      <c r="B13729" t="str">
        <f>"13730981085"</f>
        <v>13730981085</v>
      </c>
      <c r="C13729" t="str">
        <f>"370281199608020039"</f>
        <v>370281199608020039</v>
      </c>
      <c r="D13729" t="s">
        <v>1</v>
      </c>
      <c r="E13729" t="s">
        <v>1</v>
      </c>
      <c r="F13729" t="s">
        <v>0</v>
      </c>
      <c r="G13729" t="str">
        <f>"2018-10-20 11:12:48"</f>
        <v>2018-10-20 11:12:48</v>
      </c>
    </row>
    <row r="13730" spans="1:7" x14ac:dyDescent="0.2">
      <c r="A13730" t="s">
        <v>1</v>
      </c>
      <c r="B13730" t="str">
        <f>"18957215155"</f>
        <v>18957215155</v>
      </c>
      <c r="C13730" t="s">
        <v>1</v>
      </c>
      <c r="D13730" t="s">
        <v>1</v>
      </c>
      <c r="E13730" t="s">
        <v>1</v>
      </c>
      <c r="F13730" t="s">
        <v>0</v>
      </c>
      <c r="G13730" t="str">
        <f>"2018-10-13 10:04:29"</f>
        <v>2018-10-13 10:04:29</v>
      </c>
    </row>
    <row r="13731" spans="1:7" x14ac:dyDescent="0.2">
      <c r="A13731" t="s">
        <v>6163</v>
      </c>
      <c r="B13731" t="str">
        <f>"15194262675"</f>
        <v>15194262675</v>
      </c>
      <c r="C13731" t="str">
        <f>"370283199307311214"</f>
        <v>370283199307311214</v>
      </c>
      <c r="D13731" t="s">
        <v>1</v>
      </c>
      <c r="E13731" t="s">
        <v>1</v>
      </c>
      <c r="F13731" t="s">
        <v>0</v>
      </c>
      <c r="G13731" t="str">
        <f>"2018-10-13 10:03:40"</f>
        <v>2018-10-13 10:03:40</v>
      </c>
    </row>
    <row r="13732" spans="1:7" x14ac:dyDescent="0.2">
      <c r="A13732" t="s">
        <v>13592</v>
      </c>
      <c r="B13732" t="str">
        <f>"15020206372"</f>
        <v>15020206372</v>
      </c>
      <c r="C13732" t="str">
        <f>"372924199412133026"</f>
        <v>372924199412133026</v>
      </c>
      <c r="D13732" t="s">
        <v>1</v>
      </c>
      <c r="E13732" t="s">
        <v>1</v>
      </c>
      <c r="F13732" t="s">
        <v>0</v>
      </c>
      <c r="G13732" t="str">
        <f>"2018-10-25 17:36:51"</f>
        <v>2018-10-25 17:36:51</v>
      </c>
    </row>
    <row r="13733" spans="1:7" x14ac:dyDescent="0.2">
      <c r="A13733" t="s">
        <v>1</v>
      </c>
      <c r="B13733" t="str">
        <f>"18586389409"</f>
        <v>18586389409</v>
      </c>
      <c r="C13733" t="s">
        <v>1</v>
      </c>
      <c r="D13733" t="s">
        <v>1</v>
      </c>
      <c r="E13733" t="s">
        <v>1</v>
      </c>
      <c r="F13733" t="s">
        <v>0</v>
      </c>
      <c r="G13733" t="str">
        <f>"2018-10-13 10:01:39"</f>
        <v>2018-10-13 10:01:39</v>
      </c>
    </row>
    <row r="13734" spans="1:7" x14ac:dyDescent="0.2">
      <c r="A13734" t="s">
        <v>13593</v>
      </c>
      <c r="B13734" t="str">
        <f>"17612822770"</f>
        <v>17612822770</v>
      </c>
      <c r="C13734" t="str">
        <f>"511303199111282256"</f>
        <v>511303199111282256</v>
      </c>
      <c r="D13734" t="s">
        <v>1</v>
      </c>
      <c r="E13734" t="s">
        <v>1</v>
      </c>
      <c r="F13734" t="s">
        <v>0</v>
      </c>
      <c r="G13734" t="str">
        <f>"2018-10-13 10:02:20"</f>
        <v>2018-10-13 10:02:20</v>
      </c>
    </row>
    <row r="13735" spans="1:7" x14ac:dyDescent="0.2">
      <c r="A13735" t="s">
        <v>13594</v>
      </c>
      <c r="B13735" t="str">
        <f>"13451401362"</f>
        <v>13451401362</v>
      </c>
      <c r="C13735" t="str">
        <f>"131181199204131913"</f>
        <v>131181199204131913</v>
      </c>
      <c r="D13735" t="s">
        <v>1</v>
      </c>
      <c r="E13735" t="s">
        <v>1</v>
      </c>
      <c r="F13735" t="s">
        <v>0</v>
      </c>
      <c r="G13735" t="str">
        <f>"2018-10-13 10:02:32"</f>
        <v>2018-10-13 10:02:32</v>
      </c>
    </row>
    <row r="13736" spans="1:7" x14ac:dyDescent="0.2">
      <c r="A13736" t="s">
        <v>13595</v>
      </c>
      <c r="B13736" t="str">
        <f>"18302544572"</f>
        <v>18302544572</v>
      </c>
      <c r="C13736" t="str">
        <f>"522121199005164218"</f>
        <v>522121199005164218</v>
      </c>
      <c r="D13736" t="s">
        <v>1</v>
      </c>
      <c r="E13736" t="s">
        <v>1</v>
      </c>
      <c r="F13736" t="s">
        <v>0</v>
      </c>
      <c r="G13736" t="str">
        <f>"2018-10-13 10:03:32"</f>
        <v>2018-10-13 10:03:32</v>
      </c>
    </row>
    <row r="13737" spans="1:7" x14ac:dyDescent="0.2">
      <c r="A13737" t="s">
        <v>13596</v>
      </c>
      <c r="B13737" t="str">
        <f>"15161361153"</f>
        <v>15161361153</v>
      </c>
      <c r="C13737" t="str">
        <f>"320721198805302438"</f>
        <v>320721198805302438</v>
      </c>
      <c r="D13737" t="s">
        <v>13597</v>
      </c>
      <c r="E13737" t="s">
        <v>13598</v>
      </c>
      <c r="F13737" t="s">
        <v>0</v>
      </c>
      <c r="G13737" t="str">
        <f>"2018-10-13 10:02:59"</f>
        <v>2018-10-13 10:02:59</v>
      </c>
    </row>
    <row r="13738" spans="1:7" x14ac:dyDescent="0.2">
      <c r="A13738" t="s">
        <v>13599</v>
      </c>
      <c r="B13738" t="str">
        <f>"13664160466"</f>
        <v>13664160466</v>
      </c>
      <c r="C13738" t="str">
        <f>"210502199312031536"</f>
        <v>210502199312031536</v>
      </c>
      <c r="D13738" t="s">
        <v>13600</v>
      </c>
      <c r="E13738" t="s">
        <v>13601</v>
      </c>
      <c r="F13738" t="s">
        <v>0</v>
      </c>
      <c r="G13738" t="str">
        <f>"2018-10-13 11:12:13"</f>
        <v>2018-10-13 11:12:13</v>
      </c>
    </row>
    <row r="13739" spans="1:7" x14ac:dyDescent="0.2">
      <c r="A13739" t="s">
        <v>101</v>
      </c>
      <c r="B13739" t="str">
        <f>"13033778078"</f>
        <v>13033778078</v>
      </c>
      <c r="C13739" t="str">
        <f>"411502198902029018"</f>
        <v>411502198902029018</v>
      </c>
      <c r="D13739" t="s">
        <v>1</v>
      </c>
      <c r="E13739" t="s">
        <v>1</v>
      </c>
      <c r="F13739" t="s">
        <v>0</v>
      </c>
      <c r="G13739" t="str">
        <f>"2018-10-18 15:27:38"</f>
        <v>2018-10-18 15:27:38</v>
      </c>
    </row>
    <row r="13740" spans="1:7" x14ac:dyDescent="0.2">
      <c r="A13740" t="s">
        <v>208</v>
      </c>
      <c r="B13740" t="str">
        <f>"18807286695"</f>
        <v>18807286695</v>
      </c>
      <c r="C13740" t="str">
        <f>"420381199205203949"</f>
        <v>420381199205203949</v>
      </c>
      <c r="D13740" t="s">
        <v>1</v>
      </c>
      <c r="E13740" t="s">
        <v>1</v>
      </c>
      <c r="F13740" t="s">
        <v>0</v>
      </c>
      <c r="G13740" t="str">
        <f>"2018-10-13 09:59:51"</f>
        <v>2018-10-13 09:59:51</v>
      </c>
    </row>
    <row r="13741" spans="1:7" x14ac:dyDescent="0.2">
      <c r="A13741" t="s">
        <v>747</v>
      </c>
      <c r="B13741" t="str">
        <f>"18671440488"</f>
        <v>18671440488</v>
      </c>
      <c r="C13741" t="str">
        <f>"422721197404170084"</f>
        <v>422721197404170084</v>
      </c>
      <c r="D13741" t="s">
        <v>1</v>
      </c>
      <c r="E13741" t="s">
        <v>1</v>
      </c>
      <c r="F13741" t="s">
        <v>0</v>
      </c>
      <c r="G13741" t="str">
        <f>"2018-10-14 09:00:25"</f>
        <v>2018-10-14 09:00:25</v>
      </c>
    </row>
    <row r="13742" spans="1:7" x14ac:dyDescent="0.2">
      <c r="A13742" t="s">
        <v>797</v>
      </c>
      <c r="B13742" t="str">
        <f>"13756049762"</f>
        <v>13756049762</v>
      </c>
      <c r="C13742" t="str">
        <f>"220182199203205527"</f>
        <v>220182199203205527</v>
      </c>
      <c r="D13742" t="s">
        <v>1</v>
      </c>
      <c r="E13742" t="s">
        <v>1</v>
      </c>
      <c r="F13742" t="s">
        <v>0</v>
      </c>
      <c r="G13742" t="str">
        <f>"2018-10-13 10:21:50"</f>
        <v>2018-10-13 10:21:50</v>
      </c>
    </row>
    <row r="13743" spans="1:7" x14ac:dyDescent="0.2">
      <c r="A13743" t="s">
        <v>1</v>
      </c>
      <c r="B13743" t="str">
        <f>"15222177561"</f>
        <v>15222177561</v>
      </c>
      <c r="C13743" t="s">
        <v>1</v>
      </c>
      <c r="D13743" t="s">
        <v>1</v>
      </c>
      <c r="E13743" t="s">
        <v>1</v>
      </c>
      <c r="F13743" t="s">
        <v>0</v>
      </c>
      <c r="G13743" t="str">
        <f>"2018-10-13 10:09:35"</f>
        <v>2018-10-13 10:09:35</v>
      </c>
    </row>
    <row r="13744" spans="1:7" x14ac:dyDescent="0.2">
      <c r="A13744" t="s">
        <v>101</v>
      </c>
      <c r="B13744" t="str">
        <f>"13212130727"</f>
        <v>13212130727</v>
      </c>
      <c r="C13744" t="str">
        <f>"120105199501094814"</f>
        <v>120105199501094814</v>
      </c>
      <c r="D13744" t="s">
        <v>1</v>
      </c>
      <c r="E13744" t="s">
        <v>1</v>
      </c>
      <c r="F13744" t="s">
        <v>0</v>
      </c>
      <c r="G13744" t="str">
        <f>"2018-10-13 09:59:19"</f>
        <v>2018-10-13 09:59:19</v>
      </c>
    </row>
    <row r="13745" spans="1:7" x14ac:dyDescent="0.2">
      <c r="A13745" t="s">
        <v>13602</v>
      </c>
      <c r="B13745" t="str">
        <f>"13559242284"</f>
        <v>13559242284</v>
      </c>
      <c r="C13745" t="str">
        <f>"350624198610310015"</f>
        <v>350624198610310015</v>
      </c>
      <c r="D13745" t="s">
        <v>1</v>
      </c>
      <c r="E13745" t="s">
        <v>1</v>
      </c>
      <c r="F13745" t="s">
        <v>0</v>
      </c>
      <c r="G13745" t="str">
        <f>"2018-10-13 09:57:13"</f>
        <v>2018-10-13 09:57:13</v>
      </c>
    </row>
    <row r="13746" spans="1:7" x14ac:dyDescent="0.2">
      <c r="A13746" t="s">
        <v>13603</v>
      </c>
      <c r="B13746" t="str">
        <f>"18682429170"</f>
        <v>18682429170</v>
      </c>
      <c r="C13746" t="str">
        <f>"440902199512243626"</f>
        <v>440902199512243626</v>
      </c>
      <c r="D13746" t="s">
        <v>1</v>
      </c>
      <c r="E13746" t="s">
        <v>1</v>
      </c>
      <c r="F13746" t="s">
        <v>0</v>
      </c>
      <c r="G13746" t="str">
        <f>"2018-10-13 09:57:03"</f>
        <v>2018-10-13 09:57:03</v>
      </c>
    </row>
    <row r="13747" spans="1:7" x14ac:dyDescent="0.2">
      <c r="A13747" t="s">
        <v>13604</v>
      </c>
      <c r="B13747" t="str">
        <f>"15124141152"</f>
        <v>15124141152</v>
      </c>
      <c r="C13747" t="str">
        <f>"210303198607152010"</f>
        <v>210303198607152010</v>
      </c>
      <c r="D13747" t="s">
        <v>1</v>
      </c>
      <c r="E13747" t="s">
        <v>1</v>
      </c>
      <c r="F13747" t="s">
        <v>0</v>
      </c>
      <c r="G13747" t="str">
        <f>"2018-10-13 10:02:00"</f>
        <v>2018-10-13 10:02:00</v>
      </c>
    </row>
    <row r="13748" spans="1:7" x14ac:dyDescent="0.2">
      <c r="A13748" t="s">
        <v>124</v>
      </c>
      <c r="B13748" t="str">
        <f>"13833405900"</f>
        <v>13833405900</v>
      </c>
      <c r="C13748" t="str">
        <f>"130828199611260224"</f>
        <v>130828199611260224</v>
      </c>
      <c r="D13748" t="s">
        <v>13605</v>
      </c>
      <c r="E13748" t="s">
        <v>13606</v>
      </c>
      <c r="F13748" t="s">
        <v>0</v>
      </c>
      <c r="G13748" t="str">
        <f>"2018-10-13 10:04:16"</f>
        <v>2018-10-13 10:04:16</v>
      </c>
    </row>
    <row r="13749" spans="1:7" x14ac:dyDescent="0.2">
      <c r="A13749" t="s">
        <v>1731</v>
      </c>
      <c r="B13749" t="str">
        <f>"13652222611"</f>
        <v>13652222611</v>
      </c>
      <c r="C13749" t="str">
        <f>"362322199101030639"</f>
        <v>362322199101030639</v>
      </c>
      <c r="D13749" t="s">
        <v>1</v>
      </c>
      <c r="E13749" t="s">
        <v>1</v>
      </c>
      <c r="F13749" t="s">
        <v>0</v>
      </c>
      <c r="G13749" t="str">
        <f>"2018-10-13 09:58:20"</f>
        <v>2018-10-13 09:58:20</v>
      </c>
    </row>
    <row r="13750" spans="1:7" x14ac:dyDescent="0.2">
      <c r="A13750" t="s">
        <v>13607</v>
      </c>
      <c r="B13750" t="str">
        <f>"18670759731"</f>
        <v>18670759731</v>
      </c>
      <c r="C13750" t="str">
        <f>"430181198301237096"</f>
        <v>430181198301237096</v>
      </c>
      <c r="D13750" t="s">
        <v>1</v>
      </c>
      <c r="E13750" t="s">
        <v>1</v>
      </c>
      <c r="F13750" t="s">
        <v>0</v>
      </c>
      <c r="G13750" t="str">
        <f>"2018-10-13 09:57:20"</f>
        <v>2018-10-13 09:57:20</v>
      </c>
    </row>
    <row r="13751" spans="1:7" x14ac:dyDescent="0.2">
      <c r="A13751" t="s">
        <v>13608</v>
      </c>
      <c r="B13751" t="str">
        <f>"15950525586"</f>
        <v>15950525586</v>
      </c>
      <c r="C13751" t="str">
        <f>"320121199802153918"</f>
        <v>320121199802153918</v>
      </c>
      <c r="D13751" t="s">
        <v>1</v>
      </c>
      <c r="E13751" t="s">
        <v>1</v>
      </c>
      <c r="F13751" t="s">
        <v>0</v>
      </c>
      <c r="G13751" t="str">
        <f>"2018-10-13 09:57:18"</f>
        <v>2018-10-13 09:57:18</v>
      </c>
    </row>
    <row r="13752" spans="1:7" x14ac:dyDescent="0.2">
      <c r="A13752" t="s">
        <v>13609</v>
      </c>
      <c r="B13752" t="str">
        <f>"13588247864"</f>
        <v>13588247864</v>
      </c>
      <c r="C13752" t="str">
        <f>"330184199312252822"</f>
        <v>330184199312252822</v>
      </c>
      <c r="D13752" t="s">
        <v>1</v>
      </c>
      <c r="E13752" t="s">
        <v>1</v>
      </c>
      <c r="F13752" t="s">
        <v>0</v>
      </c>
      <c r="G13752" t="str">
        <f>"2018-10-13 09:57:14"</f>
        <v>2018-10-13 09:57:14</v>
      </c>
    </row>
    <row r="13753" spans="1:7" x14ac:dyDescent="0.2">
      <c r="A13753" t="s">
        <v>13610</v>
      </c>
      <c r="B13753" t="str">
        <f>"18878715699"</f>
        <v>18878715699</v>
      </c>
      <c r="C13753" t="str">
        <f>"452223199412234017"</f>
        <v>452223199412234017</v>
      </c>
      <c r="D13753" t="s">
        <v>1</v>
      </c>
      <c r="E13753" t="s">
        <v>1</v>
      </c>
      <c r="F13753" t="s">
        <v>0</v>
      </c>
      <c r="G13753" t="str">
        <f>"2018-10-13 15:44:18"</f>
        <v>2018-10-13 15:44:18</v>
      </c>
    </row>
    <row r="13754" spans="1:7" x14ac:dyDescent="0.2">
      <c r="A13754" t="s">
        <v>13611</v>
      </c>
      <c r="B13754" t="str">
        <f>"13194369293"</f>
        <v>13194369293</v>
      </c>
      <c r="C13754" t="str">
        <f>"220881198705291119"</f>
        <v>220881198705291119</v>
      </c>
      <c r="D13754" t="s">
        <v>1</v>
      </c>
      <c r="E13754" t="s">
        <v>1</v>
      </c>
      <c r="F13754" t="s">
        <v>0</v>
      </c>
      <c r="G13754" t="str">
        <f>"2018-10-13 09:57:44"</f>
        <v>2018-10-13 09:57:44</v>
      </c>
    </row>
    <row r="13755" spans="1:7" x14ac:dyDescent="0.2">
      <c r="A13755" t="s">
        <v>8507</v>
      </c>
      <c r="B13755" t="str">
        <f>"13657872422"</f>
        <v>13657872422</v>
      </c>
      <c r="C13755" t="str">
        <f>"450122198703044514"</f>
        <v>450122198703044514</v>
      </c>
      <c r="D13755" t="s">
        <v>13612</v>
      </c>
      <c r="E13755" t="s">
        <v>13613</v>
      </c>
      <c r="F13755" t="s">
        <v>0</v>
      </c>
      <c r="G13755" t="str">
        <f>"2018-10-13 09:55:30"</f>
        <v>2018-10-13 09:55:30</v>
      </c>
    </row>
    <row r="13756" spans="1:7" x14ac:dyDescent="0.2">
      <c r="A13756" t="s">
        <v>13614</v>
      </c>
      <c r="B13756" t="str">
        <f>"15136399601"</f>
        <v>15136399601</v>
      </c>
      <c r="C13756" t="str">
        <f>"410329198305059612"</f>
        <v>410329198305059612</v>
      </c>
      <c r="D13756" t="s">
        <v>13615</v>
      </c>
      <c r="E13756" t="s">
        <v>13616</v>
      </c>
      <c r="F13756" t="s">
        <v>0</v>
      </c>
      <c r="G13756" t="str">
        <f>"2018-10-13 09:57:27"</f>
        <v>2018-10-13 09:57:27</v>
      </c>
    </row>
    <row r="13757" spans="1:7" x14ac:dyDescent="0.2">
      <c r="A13757" t="s">
        <v>1</v>
      </c>
      <c r="B13757" t="str">
        <f>"18657154898"</f>
        <v>18657154898</v>
      </c>
      <c r="C13757" t="s">
        <v>1</v>
      </c>
      <c r="D13757" t="s">
        <v>1</v>
      </c>
      <c r="E13757" t="s">
        <v>1</v>
      </c>
      <c r="F13757" t="s">
        <v>0</v>
      </c>
      <c r="G13757" t="str">
        <f>"2018-10-13 09:57:45"</f>
        <v>2018-10-13 09:57:45</v>
      </c>
    </row>
    <row r="13758" spans="1:7" x14ac:dyDescent="0.2">
      <c r="A13758" t="s">
        <v>13617</v>
      </c>
      <c r="B13758" t="str">
        <f>"13815859542"</f>
        <v>13815859542</v>
      </c>
      <c r="C13758" t="str">
        <f>"320102198206262436"</f>
        <v>320102198206262436</v>
      </c>
      <c r="D13758" t="s">
        <v>1</v>
      </c>
      <c r="E13758" t="s">
        <v>1</v>
      </c>
      <c r="F13758" t="s">
        <v>0</v>
      </c>
      <c r="G13758" t="str">
        <f>"2018-10-23 11:02:10"</f>
        <v>2018-10-23 11:02:10</v>
      </c>
    </row>
    <row r="13759" spans="1:7" x14ac:dyDescent="0.2">
      <c r="A13759" t="s">
        <v>13618</v>
      </c>
      <c r="B13759" t="str">
        <f>"13889945955"</f>
        <v>13889945955</v>
      </c>
      <c r="C13759" t="str">
        <f>"350321198704035231"</f>
        <v>350321198704035231</v>
      </c>
      <c r="D13759" t="s">
        <v>1</v>
      </c>
      <c r="E13759" t="s">
        <v>1</v>
      </c>
      <c r="F13759" t="s">
        <v>0</v>
      </c>
      <c r="G13759" t="str">
        <f>"2018-10-13 10:05:23"</f>
        <v>2018-10-13 10:05:23</v>
      </c>
    </row>
    <row r="13760" spans="1:7" x14ac:dyDescent="0.2">
      <c r="A13760" t="s">
        <v>1</v>
      </c>
      <c r="B13760" t="str">
        <f>"15976277182"</f>
        <v>15976277182</v>
      </c>
      <c r="C13760" t="s">
        <v>1</v>
      </c>
      <c r="D13760" t="s">
        <v>1</v>
      </c>
      <c r="E13760" t="s">
        <v>1</v>
      </c>
      <c r="F13760" t="s">
        <v>0</v>
      </c>
      <c r="G13760" t="str">
        <f>"2018-10-13 09:55:26"</f>
        <v>2018-10-13 09:55:26</v>
      </c>
    </row>
    <row r="13761" spans="1:7" x14ac:dyDescent="0.2">
      <c r="A13761" t="s">
        <v>1</v>
      </c>
      <c r="B13761" t="str">
        <f>"17339888623"</f>
        <v>17339888623</v>
      </c>
      <c r="C13761" t="s">
        <v>1</v>
      </c>
      <c r="D13761" t="s">
        <v>1</v>
      </c>
      <c r="E13761" t="s">
        <v>1</v>
      </c>
      <c r="F13761" t="s">
        <v>0</v>
      </c>
      <c r="G13761" t="str">
        <f>"2018-10-13 09:55:03"</f>
        <v>2018-10-13 09:55:03</v>
      </c>
    </row>
    <row r="13762" spans="1:7" x14ac:dyDescent="0.2">
      <c r="A13762" t="s">
        <v>13619</v>
      </c>
      <c r="B13762" t="str">
        <f>"13967032853"</f>
        <v>13967032853</v>
      </c>
      <c r="C13762" t="str">
        <f>"330824197809172417"</f>
        <v>330824197809172417</v>
      </c>
      <c r="D13762" t="s">
        <v>1</v>
      </c>
      <c r="E13762" t="s">
        <v>1</v>
      </c>
      <c r="F13762" t="s">
        <v>0</v>
      </c>
      <c r="G13762" t="str">
        <f>"2018-10-13 09:54:49"</f>
        <v>2018-10-13 09:54:49</v>
      </c>
    </row>
    <row r="13763" spans="1:7" x14ac:dyDescent="0.2">
      <c r="A13763" t="s">
        <v>13620</v>
      </c>
      <c r="B13763" t="str">
        <f>"13421660072"</f>
        <v>13421660072</v>
      </c>
      <c r="C13763" t="str">
        <f>"441522199006083054"</f>
        <v>441522199006083054</v>
      </c>
      <c r="D13763" t="s">
        <v>1</v>
      </c>
      <c r="E13763" t="s">
        <v>1</v>
      </c>
      <c r="F13763" t="s">
        <v>0</v>
      </c>
      <c r="G13763" t="str">
        <f>"2018-10-13 09:53:05"</f>
        <v>2018-10-13 09:53:05</v>
      </c>
    </row>
    <row r="13764" spans="1:7" x14ac:dyDescent="0.2">
      <c r="A13764" t="s">
        <v>13621</v>
      </c>
      <c r="B13764" t="str">
        <f>"13912578261"</f>
        <v>13912578261</v>
      </c>
      <c r="C13764" t="str">
        <f>"320925198501020614"</f>
        <v>320925198501020614</v>
      </c>
      <c r="D13764" t="s">
        <v>13622</v>
      </c>
      <c r="E13764" t="s">
        <v>13623</v>
      </c>
      <c r="F13764" t="s">
        <v>0</v>
      </c>
      <c r="G13764" t="str">
        <f>"2018-10-23 13:49:19"</f>
        <v>2018-10-23 13:49:19</v>
      </c>
    </row>
    <row r="13765" spans="1:7" x14ac:dyDescent="0.2">
      <c r="A13765" t="s">
        <v>13624</v>
      </c>
      <c r="B13765" t="str">
        <f>"15840752536"</f>
        <v>15840752536</v>
      </c>
      <c r="C13765" t="str">
        <f>"210882197807146414"</f>
        <v>210882197807146414</v>
      </c>
      <c r="D13765" t="s">
        <v>1</v>
      </c>
      <c r="E13765" t="s">
        <v>1</v>
      </c>
      <c r="F13765" t="s">
        <v>0</v>
      </c>
      <c r="G13765" t="str">
        <f>"2018-11-02 08:50:45"</f>
        <v>2018-11-02 08:50:45</v>
      </c>
    </row>
    <row r="13766" spans="1:7" x14ac:dyDescent="0.2">
      <c r="A13766" t="s">
        <v>13625</v>
      </c>
      <c r="B13766" t="str">
        <f>"15000569975"</f>
        <v>15000569975</v>
      </c>
      <c r="C13766" t="str">
        <f>"321281199809195013"</f>
        <v>321281199809195013</v>
      </c>
      <c r="D13766" t="s">
        <v>1</v>
      </c>
      <c r="E13766" t="s">
        <v>1</v>
      </c>
      <c r="F13766" t="s">
        <v>0</v>
      </c>
      <c r="G13766" t="str">
        <f>"2018-10-13 10:22:28"</f>
        <v>2018-10-13 10:22:28</v>
      </c>
    </row>
    <row r="13767" spans="1:7" x14ac:dyDescent="0.2">
      <c r="A13767" t="s">
        <v>13626</v>
      </c>
      <c r="B13767" t="str">
        <f>"18642177477"</f>
        <v>18642177477</v>
      </c>
      <c r="C13767" t="str">
        <f>"211382197810242419"</f>
        <v>211382197810242419</v>
      </c>
      <c r="D13767" t="s">
        <v>1</v>
      </c>
      <c r="E13767" t="s">
        <v>1</v>
      </c>
      <c r="F13767" t="s">
        <v>0</v>
      </c>
      <c r="G13767" t="str">
        <f>"2018-10-13 09:53:45"</f>
        <v>2018-10-13 09:53:45</v>
      </c>
    </row>
    <row r="13768" spans="1:7" x14ac:dyDescent="0.2">
      <c r="A13768" t="s">
        <v>13627</v>
      </c>
      <c r="B13768" t="str">
        <f>"15955395855"</f>
        <v>15955395855</v>
      </c>
      <c r="C13768" t="str">
        <f>"34022119880520157X"</f>
        <v>34022119880520157X</v>
      </c>
      <c r="D13768" t="s">
        <v>1</v>
      </c>
      <c r="E13768" t="s">
        <v>1</v>
      </c>
      <c r="F13768" t="s">
        <v>0</v>
      </c>
      <c r="G13768" t="str">
        <f>"2018-10-13 09:52:17"</f>
        <v>2018-10-13 09:52:17</v>
      </c>
    </row>
    <row r="13769" spans="1:7" x14ac:dyDescent="0.2">
      <c r="A13769" t="s">
        <v>649</v>
      </c>
      <c r="B13769" t="str">
        <f>"15840363543"</f>
        <v>15840363543</v>
      </c>
      <c r="C13769" t="str">
        <f>"230826199701051224"</f>
        <v>230826199701051224</v>
      </c>
      <c r="D13769" t="s">
        <v>13628</v>
      </c>
      <c r="E13769" t="s">
        <v>13629</v>
      </c>
      <c r="F13769" t="s">
        <v>0</v>
      </c>
      <c r="G13769" t="str">
        <f>"2018-10-13 10:44:17"</f>
        <v>2018-10-13 10:44:17</v>
      </c>
    </row>
    <row r="13770" spans="1:7" x14ac:dyDescent="0.2">
      <c r="A13770" t="s">
        <v>1</v>
      </c>
      <c r="B13770" t="str">
        <f>"18704808596"</f>
        <v>18704808596</v>
      </c>
      <c r="C13770" t="s">
        <v>1</v>
      </c>
      <c r="D13770" t="s">
        <v>1</v>
      </c>
      <c r="E13770" t="s">
        <v>1</v>
      </c>
      <c r="F13770" t="s">
        <v>0</v>
      </c>
      <c r="G13770" t="str">
        <f>"2018-10-13 09:49:26"</f>
        <v>2018-10-13 09:49:26</v>
      </c>
    </row>
    <row r="13771" spans="1:7" x14ac:dyDescent="0.2">
      <c r="A13771" t="s">
        <v>13630</v>
      </c>
      <c r="B13771" t="str">
        <f>"13644441321"</f>
        <v>13644441321</v>
      </c>
      <c r="C13771" t="str">
        <f>"220322199809014279"</f>
        <v>220322199809014279</v>
      </c>
      <c r="D13771" t="s">
        <v>1</v>
      </c>
      <c r="E13771" t="s">
        <v>1</v>
      </c>
      <c r="F13771" t="s">
        <v>0</v>
      </c>
      <c r="G13771" t="str">
        <f>"2018-10-13 09:49:58"</f>
        <v>2018-10-13 09:49:58</v>
      </c>
    </row>
    <row r="13772" spans="1:7" x14ac:dyDescent="0.2">
      <c r="A13772" t="s">
        <v>13631</v>
      </c>
      <c r="B13772" t="str">
        <f>"15034270297"</f>
        <v>15034270297</v>
      </c>
      <c r="C13772" t="str">
        <f>"142323198408205158"</f>
        <v>142323198408205158</v>
      </c>
      <c r="D13772" t="s">
        <v>1</v>
      </c>
      <c r="E13772" t="s">
        <v>1</v>
      </c>
      <c r="F13772" t="s">
        <v>0</v>
      </c>
      <c r="G13772" t="str">
        <f>"2018-10-13 10:59:32"</f>
        <v>2018-10-13 10:59:32</v>
      </c>
    </row>
    <row r="13773" spans="1:7" x14ac:dyDescent="0.2">
      <c r="A13773" t="s">
        <v>13632</v>
      </c>
      <c r="B13773" t="str">
        <f>"13861059033"</f>
        <v>13861059033</v>
      </c>
      <c r="C13773" t="str">
        <f>"320324198902042583"</f>
        <v>320324198902042583</v>
      </c>
      <c r="D13773" t="s">
        <v>13633</v>
      </c>
      <c r="E13773" t="s">
        <v>13634</v>
      </c>
      <c r="F13773" t="s">
        <v>0</v>
      </c>
      <c r="G13773" t="str">
        <f>"2018-10-13 09:49:36"</f>
        <v>2018-10-13 09:49:36</v>
      </c>
    </row>
    <row r="13774" spans="1:7" x14ac:dyDescent="0.2">
      <c r="A13774" t="s">
        <v>13635</v>
      </c>
      <c r="B13774" t="str">
        <f>"18633956759"</f>
        <v>18633956759</v>
      </c>
      <c r="C13774" t="str">
        <f>"130230199505163323"</f>
        <v>130230199505163323</v>
      </c>
      <c r="D13774" t="s">
        <v>1</v>
      </c>
      <c r="E13774" t="s">
        <v>1</v>
      </c>
      <c r="F13774" t="s">
        <v>0</v>
      </c>
      <c r="G13774" t="str">
        <f>"2018-10-27 16:46:37"</f>
        <v>2018-10-27 16:46:37</v>
      </c>
    </row>
    <row r="13775" spans="1:7" x14ac:dyDescent="0.2">
      <c r="A13775" t="s">
        <v>13636</v>
      </c>
      <c r="B13775" t="str">
        <f>"13426169877"</f>
        <v>13426169877</v>
      </c>
      <c r="C13775" t="str">
        <f>"220519197010110589"</f>
        <v>220519197010110589</v>
      </c>
      <c r="D13775" t="s">
        <v>1</v>
      </c>
      <c r="E13775" t="s">
        <v>1</v>
      </c>
      <c r="F13775" t="s">
        <v>0</v>
      </c>
      <c r="G13775" t="str">
        <f>"2018-10-13 09:49:13"</f>
        <v>2018-10-13 09:49:13</v>
      </c>
    </row>
    <row r="13776" spans="1:7" x14ac:dyDescent="0.2">
      <c r="A13776" t="s">
        <v>13637</v>
      </c>
      <c r="B13776" t="str">
        <f>"15765111783"</f>
        <v>15765111783</v>
      </c>
      <c r="C13776" t="str">
        <f>"230182199609200429"</f>
        <v>230182199609200429</v>
      </c>
      <c r="D13776" t="s">
        <v>1</v>
      </c>
      <c r="E13776" t="s">
        <v>1</v>
      </c>
      <c r="F13776" t="s">
        <v>0</v>
      </c>
      <c r="G13776" t="str">
        <f>"2018-10-13 09:48:52"</f>
        <v>2018-10-13 09:48:52</v>
      </c>
    </row>
    <row r="13777" spans="1:7" x14ac:dyDescent="0.2">
      <c r="A13777" t="s">
        <v>1</v>
      </c>
      <c r="B13777" t="str">
        <f>"13735958279"</f>
        <v>13735958279</v>
      </c>
      <c r="C13777" t="s">
        <v>1</v>
      </c>
      <c r="D13777" t="s">
        <v>1</v>
      </c>
      <c r="E13777" t="s">
        <v>1</v>
      </c>
      <c r="F13777" t="s">
        <v>0</v>
      </c>
      <c r="G13777" t="str">
        <f>"2018-10-13 09:47:29"</f>
        <v>2018-10-13 09:47:29</v>
      </c>
    </row>
    <row r="13778" spans="1:7" x14ac:dyDescent="0.2">
      <c r="A13778" t="s">
        <v>13638</v>
      </c>
      <c r="B13778" t="str">
        <f>"13598733120"</f>
        <v>13598733120</v>
      </c>
      <c r="C13778" t="str">
        <f>"410782199511039557"</f>
        <v>410782199511039557</v>
      </c>
      <c r="D13778" t="s">
        <v>1</v>
      </c>
      <c r="E13778" t="s">
        <v>1</v>
      </c>
      <c r="F13778" t="s">
        <v>0</v>
      </c>
      <c r="G13778" t="str">
        <f>"2018-10-13 09:49:18"</f>
        <v>2018-10-13 09:49:18</v>
      </c>
    </row>
    <row r="13779" spans="1:7" x14ac:dyDescent="0.2">
      <c r="A13779" t="s">
        <v>276</v>
      </c>
      <c r="B13779" t="str">
        <f>"18672442616"</f>
        <v>18672442616</v>
      </c>
      <c r="C13779" t="str">
        <f>"42282519810929109X"</f>
        <v>42282519810929109X</v>
      </c>
      <c r="D13779" t="s">
        <v>1</v>
      </c>
      <c r="E13779" t="s">
        <v>1</v>
      </c>
      <c r="F13779" t="s">
        <v>0</v>
      </c>
      <c r="G13779" t="str">
        <f>"2018-10-13 09:48:37"</f>
        <v>2018-10-13 09:48:37</v>
      </c>
    </row>
    <row r="13780" spans="1:7" x14ac:dyDescent="0.2">
      <c r="A13780" t="s">
        <v>13639</v>
      </c>
      <c r="B13780" t="str">
        <f>"13235397932"</f>
        <v>13235397932</v>
      </c>
      <c r="C13780" t="str">
        <f>"220721198802262211"</f>
        <v>220721198802262211</v>
      </c>
      <c r="D13780" t="s">
        <v>1</v>
      </c>
      <c r="E13780" t="s">
        <v>1</v>
      </c>
      <c r="F13780" t="s">
        <v>0</v>
      </c>
      <c r="G13780" t="str">
        <f>"2018-10-13 09:49:11"</f>
        <v>2018-10-13 09:49:11</v>
      </c>
    </row>
    <row r="13781" spans="1:7" x14ac:dyDescent="0.2">
      <c r="A13781" t="s">
        <v>1</v>
      </c>
      <c r="B13781" t="str">
        <f>"15750241135"</f>
        <v>15750241135</v>
      </c>
      <c r="C13781" t="s">
        <v>1</v>
      </c>
      <c r="D13781" t="s">
        <v>1</v>
      </c>
      <c r="E13781" t="s">
        <v>1</v>
      </c>
      <c r="F13781" t="s">
        <v>0</v>
      </c>
      <c r="G13781" t="str">
        <f>"2018-10-13 09:46:21"</f>
        <v>2018-10-13 09:46:21</v>
      </c>
    </row>
    <row r="13782" spans="1:7" x14ac:dyDescent="0.2">
      <c r="A13782" t="s">
        <v>1537</v>
      </c>
      <c r="B13782" t="str">
        <f>"15257331763"</f>
        <v>15257331763</v>
      </c>
      <c r="C13782" t="str">
        <f>"330483199411221810"</f>
        <v>330483199411221810</v>
      </c>
      <c r="D13782" t="s">
        <v>1</v>
      </c>
      <c r="E13782" t="s">
        <v>1</v>
      </c>
      <c r="F13782" t="s">
        <v>0</v>
      </c>
      <c r="G13782" t="str">
        <f>"2018-10-13 09:48:13"</f>
        <v>2018-10-13 09:48:13</v>
      </c>
    </row>
    <row r="13783" spans="1:7" x14ac:dyDescent="0.2">
      <c r="A13783" t="s">
        <v>836</v>
      </c>
      <c r="B13783" t="str">
        <f>"18297533520"</f>
        <v>18297533520</v>
      </c>
      <c r="C13783" t="str">
        <f>"34252919830117663X"</f>
        <v>34252919830117663X</v>
      </c>
      <c r="D13783" t="s">
        <v>1</v>
      </c>
      <c r="E13783" t="s">
        <v>1</v>
      </c>
      <c r="F13783" t="s">
        <v>0</v>
      </c>
      <c r="G13783" t="str">
        <f>"2018-10-13 09:56:23"</f>
        <v>2018-10-13 09:56:23</v>
      </c>
    </row>
    <row r="13784" spans="1:7" x14ac:dyDescent="0.2">
      <c r="A13784" t="s">
        <v>13640</v>
      </c>
      <c r="B13784" t="str">
        <f>"15055125103"</f>
        <v>15055125103</v>
      </c>
      <c r="C13784" t="str">
        <f>"340121199211030020"</f>
        <v>340121199211030020</v>
      </c>
      <c r="D13784" t="s">
        <v>1</v>
      </c>
      <c r="E13784" t="s">
        <v>1</v>
      </c>
      <c r="F13784" t="s">
        <v>0</v>
      </c>
      <c r="G13784" t="str">
        <f>"2018-10-13 12:23:27"</f>
        <v>2018-10-13 12:23:27</v>
      </c>
    </row>
    <row r="13785" spans="1:7" x14ac:dyDescent="0.2">
      <c r="A13785" t="s">
        <v>580</v>
      </c>
      <c r="B13785" t="str">
        <f>"13887501665"</f>
        <v>13887501665</v>
      </c>
      <c r="C13785" t="str">
        <f>"532625198710010935"</f>
        <v>532625198710010935</v>
      </c>
      <c r="D13785" t="s">
        <v>13641</v>
      </c>
      <c r="E13785" t="s">
        <v>13642</v>
      </c>
      <c r="F13785" t="s">
        <v>0</v>
      </c>
      <c r="G13785" t="str">
        <f>"2018-10-13 09:47:37"</f>
        <v>2018-10-13 09:47:37</v>
      </c>
    </row>
    <row r="13786" spans="1:7" x14ac:dyDescent="0.2">
      <c r="A13786" t="s">
        <v>1</v>
      </c>
      <c r="B13786" t="str">
        <f>"13994178315"</f>
        <v>13994178315</v>
      </c>
      <c r="C13786" t="s">
        <v>1</v>
      </c>
      <c r="D13786" t="s">
        <v>1</v>
      </c>
      <c r="E13786" t="s">
        <v>1</v>
      </c>
      <c r="F13786" t="s">
        <v>0</v>
      </c>
      <c r="G13786" t="str">
        <f>"2018-10-13 09:44:52"</f>
        <v>2018-10-13 09:44:52</v>
      </c>
    </row>
    <row r="13787" spans="1:7" x14ac:dyDescent="0.2">
      <c r="A13787" t="s">
        <v>13643</v>
      </c>
      <c r="B13787" t="str">
        <f>"18200364298"</f>
        <v>18200364298</v>
      </c>
      <c r="C13787" t="str">
        <f>"513701198910163866"</f>
        <v>513701198910163866</v>
      </c>
      <c r="D13787" t="s">
        <v>1</v>
      </c>
      <c r="E13787" t="s">
        <v>1</v>
      </c>
      <c r="F13787" t="s">
        <v>0</v>
      </c>
      <c r="G13787" t="str">
        <f>"2018-10-24 15:16:45"</f>
        <v>2018-10-24 15:16:45</v>
      </c>
    </row>
    <row r="13788" spans="1:7" x14ac:dyDescent="0.2">
      <c r="A13788" t="s">
        <v>1</v>
      </c>
      <c r="B13788" t="str">
        <f>"13728773042"</f>
        <v>13728773042</v>
      </c>
      <c r="C13788" t="s">
        <v>1</v>
      </c>
      <c r="D13788" t="s">
        <v>1</v>
      </c>
      <c r="E13788" t="s">
        <v>1</v>
      </c>
      <c r="F13788" t="s">
        <v>0</v>
      </c>
      <c r="G13788" t="str">
        <f>"2018-10-13 09:44:16"</f>
        <v>2018-10-13 09:44:16</v>
      </c>
    </row>
    <row r="13789" spans="1:7" x14ac:dyDescent="0.2">
      <c r="A13789" t="s">
        <v>88</v>
      </c>
      <c r="B13789" t="str">
        <f>"18330957795"</f>
        <v>18330957795</v>
      </c>
      <c r="C13789" t="str">
        <f>"130529199311184944"</f>
        <v>130529199311184944</v>
      </c>
      <c r="D13789" t="s">
        <v>1</v>
      </c>
      <c r="E13789" t="s">
        <v>1</v>
      </c>
      <c r="F13789" t="s">
        <v>0</v>
      </c>
      <c r="G13789" t="str">
        <f>"2018-10-13 09:45:21"</f>
        <v>2018-10-13 09:45:21</v>
      </c>
    </row>
    <row r="13790" spans="1:7" x14ac:dyDescent="0.2">
      <c r="A13790" t="s">
        <v>1</v>
      </c>
      <c r="B13790" t="str">
        <f>"13262580391"</f>
        <v>13262580391</v>
      </c>
      <c r="C13790" t="s">
        <v>1</v>
      </c>
      <c r="D13790" t="s">
        <v>1</v>
      </c>
      <c r="E13790" t="s">
        <v>1</v>
      </c>
      <c r="F13790" t="s">
        <v>0</v>
      </c>
      <c r="G13790" t="str">
        <f>"2018-10-13 09:53:00"</f>
        <v>2018-10-13 09:53:00</v>
      </c>
    </row>
    <row r="13791" spans="1:7" x14ac:dyDescent="0.2">
      <c r="A13791" t="s">
        <v>1</v>
      </c>
      <c r="B13791" t="str">
        <f>"15031670001"</f>
        <v>15031670001</v>
      </c>
      <c r="C13791" t="s">
        <v>1</v>
      </c>
      <c r="D13791" t="s">
        <v>1</v>
      </c>
      <c r="E13791" t="s">
        <v>1</v>
      </c>
      <c r="F13791" t="s">
        <v>0</v>
      </c>
      <c r="G13791" t="str">
        <f>"2018-10-13 09:42:37"</f>
        <v>2018-10-13 09:42:37</v>
      </c>
    </row>
    <row r="13792" spans="1:7" x14ac:dyDescent="0.2">
      <c r="A13792" t="s">
        <v>24</v>
      </c>
      <c r="B13792" t="str">
        <f>"15142749903"</f>
        <v>15142749903</v>
      </c>
      <c r="C13792" t="str">
        <f>"210727199508166916"</f>
        <v>210727199508166916</v>
      </c>
      <c r="D13792" t="s">
        <v>1</v>
      </c>
      <c r="E13792" t="s">
        <v>1</v>
      </c>
      <c r="F13792" t="s">
        <v>0</v>
      </c>
      <c r="G13792" t="str">
        <f>"2018-10-19 00:33:34"</f>
        <v>2018-10-19 00:33:34</v>
      </c>
    </row>
    <row r="13793" spans="1:7" x14ac:dyDescent="0.2">
      <c r="A13793" t="s">
        <v>13644</v>
      </c>
      <c r="B13793" t="str">
        <f>"18265385654"</f>
        <v>18265385654</v>
      </c>
      <c r="C13793" t="str">
        <f>"370902199005261215"</f>
        <v>370902199005261215</v>
      </c>
      <c r="D13793" t="s">
        <v>1</v>
      </c>
      <c r="E13793" t="s">
        <v>1</v>
      </c>
      <c r="F13793" t="s">
        <v>0</v>
      </c>
      <c r="G13793" t="str">
        <f>"2018-10-13 09:43:21"</f>
        <v>2018-10-13 09:43:21</v>
      </c>
    </row>
    <row r="13794" spans="1:7" x14ac:dyDescent="0.2">
      <c r="A13794" t="s">
        <v>13645</v>
      </c>
      <c r="B13794" t="str">
        <f>"15927896805"</f>
        <v>15927896805</v>
      </c>
      <c r="C13794" t="str">
        <f>"421081197002103417"</f>
        <v>421081197002103417</v>
      </c>
      <c r="D13794" t="s">
        <v>1</v>
      </c>
      <c r="E13794" t="s">
        <v>1</v>
      </c>
      <c r="F13794" t="s">
        <v>0</v>
      </c>
      <c r="G13794" t="str">
        <f>"2018-10-13 09:43:26"</f>
        <v>2018-10-13 09:43:26</v>
      </c>
    </row>
    <row r="13795" spans="1:7" x14ac:dyDescent="0.2">
      <c r="A13795" t="s">
        <v>1</v>
      </c>
      <c r="B13795" t="str">
        <f>"13461584098"</f>
        <v>13461584098</v>
      </c>
      <c r="C13795" t="s">
        <v>1</v>
      </c>
      <c r="D13795" t="s">
        <v>1</v>
      </c>
      <c r="E13795" t="s">
        <v>1</v>
      </c>
      <c r="F13795" t="s">
        <v>0</v>
      </c>
      <c r="G13795" t="str">
        <f>"2018-10-13 09:41:55"</f>
        <v>2018-10-13 09:41:55</v>
      </c>
    </row>
    <row r="13796" spans="1:7" x14ac:dyDescent="0.2">
      <c r="A13796" t="s">
        <v>13646</v>
      </c>
      <c r="B13796" t="str">
        <f>"15037850064"</f>
        <v>15037850064</v>
      </c>
      <c r="C13796" t="str">
        <f>"410224198911244618"</f>
        <v>410224198911244618</v>
      </c>
      <c r="D13796" t="s">
        <v>13647</v>
      </c>
      <c r="E13796" t="s">
        <v>13648</v>
      </c>
      <c r="F13796" t="s">
        <v>0</v>
      </c>
      <c r="G13796" t="str">
        <f>"2018-10-13 09:41:26"</f>
        <v>2018-10-13 09:41:26</v>
      </c>
    </row>
    <row r="13797" spans="1:7" x14ac:dyDescent="0.2">
      <c r="A13797" t="s">
        <v>1</v>
      </c>
      <c r="B13797" t="str">
        <f>"15983530822"</f>
        <v>15983530822</v>
      </c>
      <c r="C13797" t="s">
        <v>1</v>
      </c>
      <c r="D13797" t="s">
        <v>1</v>
      </c>
      <c r="E13797" t="s">
        <v>1</v>
      </c>
      <c r="F13797" t="s">
        <v>0</v>
      </c>
      <c r="G13797" t="str">
        <f>"2018-10-13 09:53:11"</f>
        <v>2018-10-13 09:53:11</v>
      </c>
    </row>
    <row r="13798" spans="1:7" x14ac:dyDescent="0.2">
      <c r="A13798" t="s">
        <v>13649</v>
      </c>
      <c r="B13798" t="str">
        <f>"13464534400"</f>
        <v>13464534400</v>
      </c>
      <c r="C13798" t="str">
        <f>"210882198706105618"</f>
        <v>210882198706105618</v>
      </c>
      <c r="D13798" t="s">
        <v>1</v>
      </c>
      <c r="E13798" t="s">
        <v>1</v>
      </c>
      <c r="F13798" t="s">
        <v>0</v>
      </c>
      <c r="G13798" t="str">
        <f>"2018-10-13 09:42:05"</f>
        <v>2018-10-13 09:42:05</v>
      </c>
    </row>
    <row r="13799" spans="1:7" x14ac:dyDescent="0.2">
      <c r="A13799" t="s">
        <v>1340</v>
      </c>
      <c r="B13799" t="str">
        <f>"17766799430"</f>
        <v>17766799430</v>
      </c>
      <c r="C13799" t="str">
        <f>"51032219860930070X"</f>
        <v>51032219860930070X</v>
      </c>
      <c r="D13799" t="s">
        <v>13650</v>
      </c>
      <c r="E13799" t="s">
        <v>13651</v>
      </c>
      <c r="F13799" t="s">
        <v>0</v>
      </c>
      <c r="G13799" t="str">
        <f>"2018-10-13 09:48:15"</f>
        <v>2018-10-13 09:48:15</v>
      </c>
    </row>
    <row r="13800" spans="1:7" x14ac:dyDescent="0.2">
      <c r="A13800" t="s">
        <v>13652</v>
      </c>
      <c r="B13800" t="str">
        <f>"13620989230"</f>
        <v>13620989230</v>
      </c>
      <c r="C13800" t="str">
        <f>"430626199711228536"</f>
        <v>430626199711228536</v>
      </c>
      <c r="D13800" t="s">
        <v>1</v>
      </c>
      <c r="E13800" t="s">
        <v>1</v>
      </c>
      <c r="F13800" t="s">
        <v>0</v>
      </c>
      <c r="G13800" t="str">
        <f>"2018-10-13 09:41:17"</f>
        <v>2018-10-13 09:41:17</v>
      </c>
    </row>
    <row r="13801" spans="1:7" x14ac:dyDescent="0.2">
      <c r="A13801" t="s">
        <v>85</v>
      </c>
      <c r="B13801" t="str">
        <f>"15029122611"</f>
        <v>15029122611</v>
      </c>
      <c r="C13801" t="str">
        <f>"612722198902184872"</f>
        <v>612722198902184872</v>
      </c>
      <c r="D13801" t="s">
        <v>13653</v>
      </c>
      <c r="E13801" t="s">
        <v>13654</v>
      </c>
      <c r="F13801" t="s">
        <v>0</v>
      </c>
      <c r="G13801" t="str">
        <f>"2018-10-13 09:41:31"</f>
        <v>2018-10-13 09:41:31</v>
      </c>
    </row>
    <row r="13802" spans="1:7" x14ac:dyDescent="0.2">
      <c r="A13802" t="s">
        <v>13655</v>
      </c>
      <c r="B13802" t="str">
        <f>"15295710764"</f>
        <v>15295710764</v>
      </c>
      <c r="C13802" t="str">
        <f>"321323199104064517"</f>
        <v>321323199104064517</v>
      </c>
      <c r="D13802" t="s">
        <v>13656</v>
      </c>
      <c r="E13802" t="s">
        <v>13657</v>
      </c>
      <c r="F13802" t="s">
        <v>0</v>
      </c>
      <c r="G13802" t="str">
        <f>"2018-10-13 09:42:16"</f>
        <v>2018-10-13 09:42:16</v>
      </c>
    </row>
    <row r="13803" spans="1:7" x14ac:dyDescent="0.2">
      <c r="A13803" t="s">
        <v>13658</v>
      </c>
      <c r="B13803" t="str">
        <f>"13413819241"</f>
        <v>13413819241</v>
      </c>
      <c r="C13803" t="str">
        <f>"441229197510090025"</f>
        <v>441229197510090025</v>
      </c>
      <c r="D13803" t="s">
        <v>1</v>
      </c>
      <c r="E13803" t="s">
        <v>1</v>
      </c>
      <c r="F13803" t="s">
        <v>0</v>
      </c>
      <c r="G13803" t="str">
        <f>"2018-10-13 09:46:14"</f>
        <v>2018-10-13 09:46:14</v>
      </c>
    </row>
    <row r="13804" spans="1:7" x14ac:dyDescent="0.2">
      <c r="A13804" t="s">
        <v>1</v>
      </c>
      <c r="B13804" t="str">
        <f>"15887165929"</f>
        <v>15887165929</v>
      </c>
      <c r="C13804" t="s">
        <v>1</v>
      </c>
      <c r="D13804" t="s">
        <v>1</v>
      </c>
      <c r="E13804" t="s">
        <v>1</v>
      </c>
      <c r="F13804" t="s">
        <v>0</v>
      </c>
      <c r="G13804" t="str">
        <f>"2018-10-13 10:11:00"</f>
        <v>2018-10-13 10:11:00</v>
      </c>
    </row>
    <row r="13805" spans="1:7" x14ac:dyDescent="0.2">
      <c r="A13805" t="s">
        <v>13659</v>
      </c>
      <c r="B13805" t="str">
        <f>"17770391310"</f>
        <v>17770391310</v>
      </c>
      <c r="C13805" t="str">
        <f>"360121199504098516"</f>
        <v>360121199504098516</v>
      </c>
      <c r="D13805" t="s">
        <v>1</v>
      </c>
      <c r="E13805" t="s">
        <v>1</v>
      </c>
      <c r="F13805" t="s">
        <v>0</v>
      </c>
      <c r="G13805" t="str">
        <f>"2018-10-20 11:02:59"</f>
        <v>2018-10-20 11:02:59</v>
      </c>
    </row>
    <row r="13806" spans="1:7" x14ac:dyDescent="0.2">
      <c r="A13806" t="s">
        <v>1620</v>
      </c>
      <c r="B13806" t="str">
        <f>"18629364321"</f>
        <v>18629364321</v>
      </c>
      <c r="C13806" t="str">
        <f>"610481199008150033"</f>
        <v>610481199008150033</v>
      </c>
      <c r="D13806" t="s">
        <v>1</v>
      </c>
      <c r="E13806" t="s">
        <v>1</v>
      </c>
      <c r="F13806" t="s">
        <v>0</v>
      </c>
      <c r="G13806" t="str">
        <f>"2018-10-13 09:40:30"</f>
        <v>2018-10-13 09:40:30</v>
      </c>
    </row>
    <row r="13807" spans="1:7" x14ac:dyDescent="0.2">
      <c r="A13807" t="s">
        <v>13660</v>
      </c>
      <c r="B13807" t="str">
        <f>"15998186848"</f>
        <v>15998186848</v>
      </c>
      <c r="C13807" t="str">
        <f>"210113198309021110"</f>
        <v>210113198309021110</v>
      </c>
      <c r="D13807" t="s">
        <v>1</v>
      </c>
      <c r="E13807" t="s">
        <v>1</v>
      </c>
      <c r="F13807" t="s">
        <v>0</v>
      </c>
      <c r="G13807" t="str">
        <f>"2018-11-01 13:22:21"</f>
        <v>2018-11-01 13:22:21</v>
      </c>
    </row>
    <row r="13808" spans="1:7" x14ac:dyDescent="0.2">
      <c r="A13808" t="s">
        <v>13661</v>
      </c>
      <c r="B13808" t="str">
        <f>"13509693997"</f>
        <v>13509693997</v>
      </c>
      <c r="C13808" t="str">
        <f>"440783198102037259"</f>
        <v>440783198102037259</v>
      </c>
      <c r="D13808" t="s">
        <v>1</v>
      </c>
      <c r="E13808" t="s">
        <v>1</v>
      </c>
      <c r="F13808" t="s">
        <v>0</v>
      </c>
      <c r="G13808" t="str">
        <f>"2018-10-13 12:13:48"</f>
        <v>2018-10-13 12:13:48</v>
      </c>
    </row>
    <row r="13809" spans="1:7" x14ac:dyDescent="0.2">
      <c r="A13809" t="s">
        <v>13662</v>
      </c>
      <c r="B13809" t="str">
        <f>"15244672446"</f>
        <v>15244672446</v>
      </c>
      <c r="C13809" t="str">
        <f>"231123199209090241"</f>
        <v>231123199209090241</v>
      </c>
      <c r="D13809" t="s">
        <v>13663</v>
      </c>
      <c r="E13809" t="s">
        <v>13664</v>
      </c>
      <c r="F13809" t="s">
        <v>0</v>
      </c>
      <c r="G13809" t="str">
        <f>"2018-10-13 10:50:21"</f>
        <v>2018-10-13 10:50:21</v>
      </c>
    </row>
    <row r="13810" spans="1:7" x14ac:dyDescent="0.2">
      <c r="A13810" t="s">
        <v>13665</v>
      </c>
      <c r="B13810" t="str">
        <f>"13915709688"</f>
        <v>13915709688</v>
      </c>
      <c r="C13810" t="str">
        <f>"320582198112312627"</f>
        <v>320582198112312627</v>
      </c>
      <c r="D13810" t="s">
        <v>1</v>
      </c>
      <c r="E13810" t="s">
        <v>1</v>
      </c>
      <c r="F13810" t="s">
        <v>0</v>
      </c>
      <c r="G13810" t="str">
        <f>"2018-10-13 09:39:41"</f>
        <v>2018-10-13 09:39:41</v>
      </c>
    </row>
    <row r="13811" spans="1:7" x14ac:dyDescent="0.2">
      <c r="A13811" t="s">
        <v>13666</v>
      </c>
      <c r="B13811" t="str">
        <f>"15360271283"</f>
        <v>15360271283</v>
      </c>
      <c r="C13811" t="str">
        <f>"352227198211265615"</f>
        <v>352227198211265615</v>
      </c>
      <c r="D13811" t="s">
        <v>1</v>
      </c>
      <c r="E13811" t="s">
        <v>1</v>
      </c>
      <c r="F13811" t="s">
        <v>0</v>
      </c>
      <c r="G13811" t="str">
        <f>"2018-10-13 09:39:42"</f>
        <v>2018-10-13 09:39:42</v>
      </c>
    </row>
    <row r="13812" spans="1:7" x14ac:dyDescent="0.2">
      <c r="A13812" t="s">
        <v>13667</v>
      </c>
      <c r="B13812" t="str">
        <f>"13274380531"</f>
        <v>13274380531</v>
      </c>
      <c r="C13812" t="str">
        <f>"220702199705312016"</f>
        <v>220702199705312016</v>
      </c>
      <c r="D13812" t="s">
        <v>1</v>
      </c>
      <c r="E13812" t="s">
        <v>1</v>
      </c>
      <c r="F13812" t="s">
        <v>0</v>
      </c>
      <c r="G13812" t="str">
        <f>"2018-10-13 09:39:08"</f>
        <v>2018-10-13 09:39:08</v>
      </c>
    </row>
    <row r="13813" spans="1:7" x14ac:dyDescent="0.2">
      <c r="A13813" t="s">
        <v>13668</v>
      </c>
      <c r="B13813" t="str">
        <f>"17631440217"</f>
        <v>17631440217</v>
      </c>
      <c r="C13813" t="str">
        <f>"130803199507140217"</f>
        <v>130803199507140217</v>
      </c>
      <c r="D13813" t="s">
        <v>1</v>
      </c>
      <c r="E13813" t="s">
        <v>1</v>
      </c>
      <c r="F13813" t="s">
        <v>0</v>
      </c>
      <c r="G13813" t="str">
        <f>"2018-10-13 09:43:43"</f>
        <v>2018-10-13 09:43:43</v>
      </c>
    </row>
    <row r="13814" spans="1:7" x14ac:dyDescent="0.2">
      <c r="A13814" t="s">
        <v>13669</v>
      </c>
      <c r="B13814" t="str">
        <f>"13849519771"</f>
        <v>13849519771</v>
      </c>
      <c r="C13814" t="str">
        <f>"410804197811132718"</f>
        <v>410804197811132718</v>
      </c>
      <c r="D13814" t="s">
        <v>1</v>
      </c>
      <c r="E13814" t="s">
        <v>1</v>
      </c>
      <c r="F13814" t="s">
        <v>0</v>
      </c>
      <c r="G13814" t="str">
        <f>"2018-10-13 09:38:56"</f>
        <v>2018-10-13 09:38:56</v>
      </c>
    </row>
    <row r="13815" spans="1:7" x14ac:dyDescent="0.2">
      <c r="A13815" t="s">
        <v>13670</v>
      </c>
      <c r="B13815" t="str">
        <f>"13635770524"</f>
        <v>13635770524</v>
      </c>
      <c r="C13815" t="str">
        <f>"422801198410120010"</f>
        <v>422801198410120010</v>
      </c>
      <c r="D13815" t="s">
        <v>13671</v>
      </c>
      <c r="E13815" t="s">
        <v>13672</v>
      </c>
      <c r="F13815" t="s">
        <v>0</v>
      </c>
      <c r="G13815" t="str">
        <f>"2018-10-13 09:37:56"</f>
        <v>2018-10-13 09:37:56</v>
      </c>
    </row>
    <row r="13816" spans="1:7" x14ac:dyDescent="0.2">
      <c r="A13816" t="s">
        <v>13673</v>
      </c>
      <c r="B13816" t="str">
        <f>"13512253190"</f>
        <v>13512253190</v>
      </c>
      <c r="C13816" t="str">
        <f>"120222198801103118"</f>
        <v>120222198801103118</v>
      </c>
      <c r="D13816" t="s">
        <v>1</v>
      </c>
      <c r="E13816" t="s">
        <v>1</v>
      </c>
      <c r="F13816" t="s">
        <v>0</v>
      </c>
      <c r="G13816" t="str">
        <f>"2018-10-13 09:37:29"</f>
        <v>2018-10-13 09:37:29</v>
      </c>
    </row>
    <row r="13817" spans="1:7" x14ac:dyDescent="0.2">
      <c r="A13817" t="s">
        <v>1</v>
      </c>
      <c r="B13817" t="str">
        <f>"13523187722"</f>
        <v>13523187722</v>
      </c>
      <c r="C13817" t="s">
        <v>1</v>
      </c>
      <c r="D13817" t="s">
        <v>1</v>
      </c>
      <c r="E13817" t="s">
        <v>1</v>
      </c>
      <c r="F13817" t="s">
        <v>0</v>
      </c>
      <c r="G13817" t="str">
        <f>"2018-10-13 09:35:20"</f>
        <v>2018-10-13 09:35:20</v>
      </c>
    </row>
    <row r="13818" spans="1:7" x14ac:dyDescent="0.2">
      <c r="A13818" t="s">
        <v>13674</v>
      </c>
      <c r="B13818" t="str">
        <f>"18753949816"</f>
        <v>18753949816</v>
      </c>
      <c r="C13818" t="str">
        <f>"371323199511267628"</f>
        <v>371323199511267628</v>
      </c>
      <c r="D13818" t="s">
        <v>13675</v>
      </c>
      <c r="E13818" t="s">
        <v>13676</v>
      </c>
      <c r="F13818" t="s">
        <v>0</v>
      </c>
      <c r="G13818" t="str">
        <f>"2018-10-13 09:35:20"</f>
        <v>2018-10-13 09:35:20</v>
      </c>
    </row>
    <row r="13819" spans="1:7" x14ac:dyDescent="0.2">
      <c r="A13819" t="s">
        <v>1</v>
      </c>
      <c r="B13819" t="str">
        <f>"15911318275"</f>
        <v>15911318275</v>
      </c>
      <c r="C13819" t="s">
        <v>1</v>
      </c>
      <c r="D13819" t="s">
        <v>1</v>
      </c>
      <c r="E13819" t="s">
        <v>1</v>
      </c>
      <c r="F13819" t="s">
        <v>0</v>
      </c>
      <c r="G13819" t="str">
        <f>"2018-10-13 09:34:21"</f>
        <v>2018-10-13 09:34:21</v>
      </c>
    </row>
    <row r="13820" spans="1:7" x14ac:dyDescent="0.2">
      <c r="A13820" t="s">
        <v>13677</v>
      </c>
      <c r="B13820" t="str">
        <f>"13588365668"</f>
        <v>13588365668</v>
      </c>
      <c r="C13820" t="str">
        <f>"330182198209180018"</f>
        <v>330182198209180018</v>
      </c>
      <c r="D13820" t="s">
        <v>1</v>
      </c>
      <c r="E13820" t="s">
        <v>1</v>
      </c>
      <c r="F13820" t="s">
        <v>0</v>
      </c>
      <c r="G13820" t="str">
        <f>"2018-10-13 09:34:02"</f>
        <v>2018-10-13 09:34:02</v>
      </c>
    </row>
    <row r="13821" spans="1:7" x14ac:dyDescent="0.2">
      <c r="A13821" t="s">
        <v>13678</v>
      </c>
      <c r="B13821" t="str">
        <f>"15831131792"</f>
        <v>15831131792</v>
      </c>
      <c r="C13821" t="str">
        <f>"130129198309130043"</f>
        <v>130129198309130043</v>
      </c>
      <c r="D13821" t="s">
        <v>1</v>
      </c>
      <c r="E13821" t="s">
        <v>1</v>
      </c>
      <c r="F13821" t="s">
        <v>0</v>
      </c>
      <c r="G13821" t="str">
        <f>"2018-10-13 09:34:52"</f>
        <v>2018-10-13 09:34:52</v>
      </c>
    </row>
    <row r="13822" spans="1:7" x14ac:dyDescent="0.2">
      <c r="A13822" t="s">
        <v>1</v>
      </c>
      <c r="B13822" t="str">
        <f>"15259078601"</f>
        <v>15259078601</v>
      </c>
      <c r="C13822" t="s">
        <v>1</v>
      </c>
      <c r="D13822" t="s">
        <v>1</v>
      </c>
      <c r="E13822" t="s">
        <v>1</v>
      </c>
      <c r="F13822" t="s">
        <v>0</v>
      </c>
      <c r="G13822" t="str">
        <f>"2018-10-13 09:33:44"</f>
        <v>2018-10-13 09:33:44</v>
      </c>
    </row>
    <row r="13823" spans="1:7" x14ac:dyDescent="0.2">
      <c r="A13823" t="s">
        <v>13679</v>
      </c>
      <c r="B13823" t="str">
        <f>"13646209825"</f>
        <v>13646209825</v>
      </c>
      <c r="C13823" t="str">
        <f>"512903198701076160"</f>
        <v>512903198701076160</v>
      </c>
      <c r="D13823" t="s">
        <v>1</v>
      </c>
      <c r="E13823" t="s">
        <v>1</v>
      </c>
      <c r="F13823" t="s">
        <v>0</v>
      </c>
      <c r="G13823" t="str">
        <f>"2018-10-13 09:38:01"</f>
        <v>2018-10-13 09:38:01</v>
      </c>
    </row>
    <row r="13824" spans="1:7" x14ac:dyDescent="0.2">
      <c r="A13824" t="s">
        <v>1</v>
      </c>
      <c r="B13824" t="str">
        <f>"13825265148"</f>
        <v>13825265148</v>
      </c>
      <c r="C13824" t="s">
        <v>1</v>
      </c>
      <c r="D13824" t="s">
        <v>1</v>
      </c>
      <c r="E13824" t="s">
        <v>1</v>
      </c>
      <c r="F13824" t="s">
        <v>0</v>
      </c>
      <c r="G13824" t="str">
        <f>"2018-10-13 10:43:21"</f>
        <v>2018-10-13 10:43:21</v>
      </c>
    </row>
    <row r="13825" spans="1:7" x14ac:dyDescent="0.2">
      <c r="A13825" t="s">
        <v>13680</v>
      </c>
      <c r="B13825" t="str">
        <f>"15998829537"</f>
        <v>15998829537</v>
      </c>
      <c r="C13825" t="str">
        <f>"210181198411273118"</f>
        <v>210181198411273118</v>
      </c>
      <c r="D13825" t="s">
        <v>1</v>
      </c>
      <c r="E13825" t="s">
        <v>1</v>
      </c>
      <c r="F13825" t="s">
        <v>0</v>
      </c>
      <c r="G13825" t="str">
        <f>"2018-10-13 09:35:11"</f>
        <v>2018-10-13 09:35:11</v>
      </c>
    </row>
    <row r="13826" spans="1:7" x14ac:dyDescent="0.2">
      <c r="A13826" t="s">
        <v>13681</v>
      </c>
      <c r="B13826" t="str">
        <f>"18377674179"</f>
        <v>18377674179</v>
      </c>
      <c r="C13826" t="str">
        <f>"44088119930225110X"</f>
        <v>44088119930225110X</v>
      </c>
      <c r="D13826" t="s">
        <v>1</v>
      </c>
      <c r="E13826" t="s">
        <v>1</v>
      </c>
      <c r="F13826" t="s">
        <v>0</v>
      </c>
      <c r="G13826" t="str">
        <f>"2018-10-30 15:39:28"</f>
        <v>2018-10-30 15:39:28</v>
      </c>
    </row>
    <row r="13827" spans="1:7" x14ac:dyDescent="0.2">
      <c r="A13827" t="s">
        <v>1</v>
      </c>
      <c r="B13827" t="str">
        <f>"18609964475"</f>
        <v>18609964475</v>
      </c>
      <c r="C13827" t="s">
        <v>1</v>
      </c>
      <c r="D13827" t="s">
        <v>1</v>
      </c>
      <c r="E13827" t="s">
        <v>1</v>
      </c>
      <c r="F13827" t="s">
        <v>0</v>
      </c>
      <c r="G13827" t="str">
        <f>"2018-10-13 09:32:48"</f>
        <v>2018-10-13 09:32:48</v>
      </c>
    </row>
    <row r="13828" spans="1:7" x14ac:dyDescent="0.2">
      <c r="A13828" t="s">
        <v>13682</v>
      </c>
      <c r="B13828" t="str">
        <f>"18788825559"</f>
        <v>18788825559</v>
      </c>
      <c r="C13828" t="str">
        <f>"342401198702021872"</f>
        <v>342401198702021872</v>
      </c>
      <c r="D13828" t="s">
        <v>1</v>
      </c>
      <c r="E13828" t="s">
        <v>1</v>
      </c>
      <c r="F13828" t="s">
        <v>0</v>
      </c>
      <c r="G13828" t="str">
        <f>"2018-10-13 09:34:22"</f>
        <v>2018-10-13 09:34:22</v>
      </c>
    </row>
    <row r="13829" spans="1:7" x14ac:dyDescent="0.2">
      <c r="A13829" t="s">
        <v>1</v>
      </c>
      <c r="B13829" t="str">
        <f>"14704103060"</f>
        <v>14704103060</v>
      </c>
      <c r="C13829" t="s">
        <v>1</v>
      </c>
      <c r="D13829" t="s">
        <v>1</v>
      </c>
      <c r="E13829" t="s">
        <v>1</v>
      </c>
      <c r="F13829" t="s">
        <v>0</v>
      </c>
      <c r="G13829" t="str">
        <f>"2018-10-13 09:36:22"</f>
        <v>2018-10-13 09:36:22</v>
      </c>
    </row>
    <row r="13830" spans="1:7" x14ac:dyDescent="0.2">
      <c r="A13830" t="s">
        <v>1</v>
      </c>
      <c r="B13830" t="str">
        <f>"17737390389"</f>
        <v>17737390389</v>
      </c>
      <c r="C13830" t="s">
        <v>1</v>
      </c>
      <c r="D13830" t="s">
        <v>1</v>
      </c>
      <c r="E13830" t="s">
        <v>1</v>
      </c>
      <c r="F13830" t="s">
        <v>0</v>
      </c>
      <c r="G13830" t="str">
        <f>"2018-10-13 09:33:41"</f>
        <v>2018-10-13 09:33:41</v>
      </c>
    </row>
    <row r="13831" spans="1:7" x14ac:dyDescent="0.2">
      <c r="A13831" t="s">
        <v>13683</v>
      </c>
      <c r="B13831" t="str">
        <f>"15964038234"</f>
        <v>15964038234</v>
      </c>
      <c r="C13831" t="str">
        <f>"370781199008234815"</f>
        <v>370781199008234815</v>
      </c>
      <c r="D13831" t="s">
        <v>1</v>
      </c>
      <c r="E13831" t="s">
        <v>1</v>
      </c>
      <c r="F13831" t="s">
        <v>0</v>
      </c>
      <c r="G13831" t="str">
        <f>"2018-10-13 17:24:36"</f>
        <v>2018-10-13 17:24:36</v>
      </c>
    </row>
    <row r="13832" spans="1:7" x14ac:dyDescent="0.2">
      <c r="A13832" t="s">
        <v>13684</v>
      </c>
      <c r="B13832" t="str">
        <f>"15033706542"</f>
        <v>15033706542</v>
      </c>
      <c r="C13832" t="str">
        <f>"130631199912180022"</f>
        <v>130631199912180022</v>
      </c>
      <c r="D13832" t="s">
        <v>1</v>
      </c>
      <c r="E13832" t="s">
        <v>1</v>
      </c>
      <c r="F13832" t="s">
        <v>0</v>
      </c>
      <c r="G13832" t="str">
        <f>"2018-10-13 09:33:20"</f>
        <v>2018-10-13 09:33:20</v>
      </c>
    </row>
    <row r="13833" spans="1:7" x14ac:dyDescent="0.2">
      <c r="A13833" t="s">
        <v>1</v>
      </c>
      <c r="B13833" t="str">
        <f>"15818727566"</f>
        <v>15818727566</v>
      </c>
      <c r="C13833" t="s">
        <v>1</v>
      </c>
      <c r="D13833" t="s">
        <v>1</v>
      </c>
      <c r="E13833" t="s">
        <v>1</v>
      </c>
      <c r="F13833" t="s">
        <v>0</v>
      </c>
      <c r="G13833" t="str">
        <f>"2018-10-13 09:33:24"</f>
        <v>2018-10-13 09:33:24</v>
      </c>
    </row>
    <row r="13834" spans="1:7" x14ac:dyDescent="0.2">
      <c r="A13834" t="s">
        <v>13685</v>
      </c>
      <c r="B13834" t="str">
        <f>"18717850948"</f>
        <v>18717850948</v>
      </c>
      <c r="C13834" t="str">
        <f>"421181199209121916"</f>
        <v>421181199209121916</v>
      </c>
      <c r="D13834" t="s">
        <v>1</v>
      </c>
      <c r="E13834" t="s">
        <v>1</v>
      </c>
      <c r="F13834" t="s">
        <v>0</v>
      </c>
      <c r="G13834" t="str">
        <f>"2018-10-13 09:35:29"</f>
        <v>2018-10-13 09:35:29</v>
      </c>
    </row>
    <row r="13835" spans="1:7" x14ac:dyDescent="0.2">
      <c r="A13835" t="s">
        <v>13686</v>
      </c>
      <c r="B13835" t="str">
        <f>"13343185380"</f>
        <v>13343185380</v>
      </c>
      <c r="C13835" t="str">
        <f>"13112819810104129X"</f>
        <v>13112819810104129X</v>
      </c>
      <c r="D13835" t="s">
        <v>1</v>
      </c>
      <c r="E13835" t="s">
        <v>1</v>
      </c>
      <c r="F13835" t="s">
        <v>0</v>
      </c>
      <c r="G13835" t="str">
        <f>"2018-10-13 09:33:23"</f>
        <v>2018-10-13 09:33:23</v>
      </c>
    </row>
    <row r="13836" spans="1:7" x14ac:dyDescent="0.2">
      <c r="A13836" t="s">
        <v>1208</v>
      </c>
      <c r="B13836" t="str">
        <f>"15861190631"</f>
        <v>15861190631</v>
      </c>
      <c r="C13836" t="str">
        <f>"321283199411141042"</f>
        <v>321283199411141042</v>
      </c>
      <c r="D13836" t="s">
        <v>1</v>
      </c>
      <c r="E13836" t="s">
        <v>1</v>
      </c>
      <c r="F13836" t="s">
        <v>0</v>
      </c>
      <c r="G13836" t="str">
        <f>"2018-10-13 09:35:27"</f>
        <v>2018-10-13 09:35:27</v>
      </c>
    </row>
    <row r="13837" spans="1:7" x14ac:dyDescent="0.2">
      <c r="A13837" t="s">
        <v>1</v>
      </c>
      <c r="B13837" t="str">
        <f>"13476311123"</f>
        <v>13476311123</v>
      </c>
      <c r="C13837" t="s">
        <v>1</v>
      </c>
      <c r="D13837" t="s">
        <v>1</v>
      </c>
      <c r="E13837" t="s">
        <v>1</v>
      </c>
      <c r="F13837" t="s">
        <v>0</v>
      </c>
      <c r="G13837" t="str">
        <f>"2018-10-13 09:30:14"</f>
        <v>2018-10-13 09:30:14</v>
      </c>
    </row>
    <row r="13838" spans="1:7" x14ac:dyDescent="0.2">
      <c r="A13838" t="s">
        <v>1</v>
      </c>
      <c r="B13838" t="str">
        <f>"13013735531"</f>
        <v>13013735531</v>
      </c>
      <c r="C13838" t="s">
        <v>1</v>
      </c>
      <c r="D13838" t="s">
        <v>1</v>
      </c>
      <c r="E13838" t="s">
        <v>1</v>
      </c>
      <c r="F13838" t="s">
        <v>0</v>
      </c>
      <c r="G13838" t="str">
        <f>"2018-10-13 09:30:11"</f>
        <v>2018-10-13 09:30:11</v>
      </c>
    </row>
    <row r="13839" spans="1:7" x14ac:dyDescent="0.2">
      <c r="A13839" t="s">
        <v>13687</v>
      </c>
      <c r="B13839" t="str">
        <f>"13123597890"</f>
        <v>13123597890</v>
      </c>
      <c r="C13839" t="str">
        <f>"371002199407095514"</f>
        <v>371002199407095514</v>
      </c>
      <c r="D13839" t="s">
        <v>1</v>
      </c>
      <c r="E13839" t="s">
        <v>1</v>
      </c>
      <c r="F13839" t="s">
        <v>0</v>
      </c>
      <c r="G13839" t="str">
        <f>"2018-10-13 09:30:33"</f>
        <v>2018-10-13 09:30:33</v>
      </c>
    </row>
    <row r="13840" spans="1:7" x14ac:dyDescent="0.2">
      <c r="A13840" t="s">
        <v>13688</v>
      </c>
      <c r="B13840" t="str">
        <f>"13976967082"</f>
        <v>13976967082</v>
      </c>
      <c r="C13840" t="str">
        <f>"460034197409021511"</f>
        <v>460034197409021511</v>
      </c>
      <c r="D13840" t="s">
        <v>1</v>
      </c>
      <c r="E13840" t="s">
        <v>1</v>
      </c>
      <c r="F13840" t="s">
        <v>0</v>
      </c>
      <c r="G13840" t="str">
        <f>"2018-10-13 10:42:21"</f>
        <v>2018-10-13 10:42:21</v>
      </c>
    </row>
    <row r="13841" spans="1:7" x14ac:dyDescent="0.2">
      <c r="A13841" t="s">
        <v>13689</v>
      </c>
      <c r="B13841" t="str">
        <f>"18121718789"</f>
        <v>18121718789</v>
      </c>
      <c r="C13841" t="str">
        <f>"321281199210025018"</f>
        <v>321281199210025018</v>
      </c>
      <c r="D13841" t="s">
        <v>1</v>
      </c>
      <c r="E13841" t="s">
        <v>1</v>
      </c>
      <c r="F13841" t="s">
        <v>0</v>
      </c>
      <c r="G13841" t="str">
        <f>"2018-10-20 15:23:14"</f>
        <v>2018-10-20 15:23:14</v>
      </c>
    </row>
    <row r="13842" spans="1:7" x14ac:dyDescent="0.2">
      <c r="A13842" t="s">
        <v>13690</v>
      </c>
      <c r="B13842" t="str">
        <f>"13937395844"</f>
        <v>13937395844</v>
      </c>
      <c r="C13842" t="str">
        <f>"410702197405262025"</f>
        <v>410702197405262025</v>
      </c>
      <c r="D13842" t="s">
        <v>1</v>
      </c>
      <c r="E13842" t="s">
        <v>1</v>
      </c>
      <c r="F13842" t="s">
        <v>0</v>
      </c>
      <c r="G13842" t="str">
        <f>"2018-10-21 14:41:51"</f>
        <v>2018-10-21 14:41:51</v>
      </c>
    </row>
    <row r="13843" spans="1:7" x14ac:dyDescent="0.2">
      <c r="A13843" t="s">
        <v>107</v>
      </c>
      <c r="B13843" t="str">
        <f>"18754869182"</f>
        <v>18754869182</v>
      </c>
      <c r="C13843" t="str">
        <f>"37098219811011103X"</f>
        <v>37098219811011103X</v>
      </c>
      <c r="D13843" t="s">
        <v>1</v>
      </c>
      <c r="E13843" t="s">
        <v>1</v>
      </c>
      <c r="F13843" t="s">
        <v>0</v>
      </c>
      <c r="G13843" t="str">
        <f>"2018-10-13 09:29:01"</f>
        <v>2018-10-13 09:29:01</v>
      </c>
    </row>
    <row r="13844" spans="1:7" x14ac:dyDescent="0.2">
      <c r="A13844" t="s">
        <v>3794</v>
      </c>
      <c r="B13844" t="str">
        <f>"18263049663"</f>
        <v>18263049663</v>
      </c>
      <c r="C13844" t="str">
        <f>"371427199611262817"</f>
        <v>371427199611262817</v>
      </c>
      <c r="D13844" t="s">
        <v>1</v>
      </c>
      <c r="E13844" t="s">
        <v>1</v>
      </c>
      <c r="F13844" t="s">
        <v>0</v>
      </c>
      <c r="G13844" t="str">
        <f>"2018-10-13 09:29:24"</f>
        <v>2018-10-13 09:29:24</v>
      </c>
    </row>
    <row r="13845" spans="1:7" x14ac:dyDescent="0.2">
      <c r="A13845" t="s">
        <v>476</v>
      </c>
      <c r="B13845" t="str">
        <f>"15205151265"</f>
        <v>15205151265</v>
      </c>
      <c r="C13845" t="str">
        <f>"320107198903133420"</f>
        <v>320107198903133420</v>
      </c>
      <c r="D13845" t="s">
        <v>1</v>
      </c>
      <c r="E13845" t="s">
        <v>1</v>
      </c>
      <c r="F13845" t="s">
        <v>0</v>
      </c>
      <c r="G13845" t="str">
        <f>"2018-10-27 19:26:40"</f>
        <v>2018-10-27 19:26:40</v>
      </c>
    </row>
    <row r="13846" spans="1:7" x14ac:dyDescent="0.2">
      <c r="A13846" t="s">
        <v>13691</v>
      </c>
      <c r="B13846" t="str">
        <f>"15715361027"</f>
        <v>15715361027</v>
      </c>
      <c r="C13846" t="str">
        <f>"370782199908093700"</f>
        <v>370782199908093700</v>
      </c>
      <c r="D13846" t="s">
        <v>1</v>
      </c>
      <c r="E13846" t="s">
        <v>1</v>
      </c>
      <c r="F13846" t="s">
        <v>0</v>
      </c>
      <c r="G13846" t="str">
        <f>"2018-10-13 10:12:26"</f>
        <v>2018-10-13 10:12:26</v>
      </c>
    </row>
    <row r="13847" spans="1:7" x14ac:dyDescent="0.2">
      <c r="A13847" t="s">
        <v>13692</v>
      </c>
      <c r="B13847" t="str">
        <f>"15204887664"</f>
        <v>15204887664</v>
      </c>
      <c r="C13847" t="str">
        <f>"152326198902014841"</f>
        <v>152326198902014841</v>
      </c>
      <c r="D13847" t="s">
        <v>1</v>
      </c>
      <c r="E13847" t="s">
        <v>1</v>
      </c>
      <c r="F13847" t="s">
        <v>0</v>
      </c>
      <c r="G13847" t="str">
        <f>"2018-10-13 09:27:03"</f>
        <v>2018-10-13 09:27:03</v>
      </c>
    </row>
    <row r="13848" spans="1:7" x14ac:dyDescent="0.2">
      <c r="A13848" t="s">
        <v>13693</v>
      </c>
      <c r="B13848" t="str">
        <f>"15126100275"</f>
        <v>15126100275</v>
      </c>
      <c r="C13848" t="str">
        <f>"532528199001071119"</f>
        <v>532528199001071119</v>
      </c>
      <c r="D13848" t="s">
        <v>1</v>
      </c>
      <c r="E13848" t="s">
        <v>1</v>
      </c>
      <c r="F13848" t="s">
        <v>0</v>
      </c>
      <c r="G13848" t="str">
        <f>"2018-10-17 15:05:22"</f>
        <v>2018-10-17 15:05:22</v>
      </c>
    </row>
    <row r="13849" spans="1:7" x14ac:dyDescent="0.2">
      <c r="A13849" t="s">
        <v>13694</v>
      </c>
      <c r="B13849" t="str">
        <f>"15029277242"</f>
        <v>15029277242</v>
      </c>
      <c r="C13849" t="str">
        <f>"610122198711162828"</f>
        <v>610122198711162828</v>
      </c>
      <c r="D13849" t="s">
        <v>1</v>
      </c>
      <c r="E13849" t="s">
        <v>1</v>
      </c>
      <c r="F13849" t="s">
        <v>0</v>
      </c>
      <c r="G13849" t="str">
        <f>"2018-10-13 09:27:52"</f>
        <v>2018-10-13 09:27:52</v>
      </c>
    </row>
    <row r="13850" spans="1:7" x14ac:dyDescent="0.2">
      <c r="A13850" t="s">
        <v>13695</v>
      </c>
      <c r="B13850" t="str">
        <f>"15595134893"</f>
        <v>15595134893</v>
      </c>
      <c r="C13850" t="str">
        <f>"640300197912010074"</f>
        <v>640300197912010074</v>
      </c>
      <c r="D13850" t="s">
        <v>1</v>
      </c>
      <c r="E13850" t="s">
        <v>1</v>
      </c>
      <c r="F13850" t="s">
        <v>0</v>
      </c>
      <c r="G13850" t="str">
        <f>"2018-10-13 09:30:00"</f>
        <v>2018-10-13 09:30:00</v>
      </c>
    </row>
    <row r="13851" spans="1:7" x14ac:dyDescent="0.2">
      <c r="A13851" t="s">
        <v>13696</v>
      </c>
      <c r="B13851" t="str">
        <f>"15957965218"</f>
        <v>15957965218</v>
      </c>
      <c r="C13851" t="str">
        <f>"330721198012106615"</f>
        <v>330721198012106615</v>
      </c>
      <c r="D13851" t="s">
        <v>1</v>
      </c>
      <c r="E13851" t="s">
        <v>1</v>
      </c>
      <c r="F13851" t="s">
        <v>0</v>
      </c>
      <c r="G13851" t="str">
        <f>"2018-10-13 09:44:05"</f>
        <v>2018-10-13 09:44:05</v>
      </c>
    </row>
    <row r="13852" spans="1:7" x14ac:dyDescent="0.2">
      <c r="A13852" t="s">
        <v>13697</v>
      </c>
      <c r="B13852" t="str">
        <f>"13832423034"</f>
        <v>13832423034</v>
      </c>
      <c r="C13852" t="str">
        <f>"130822198203303018"</f>
        <v>130822198203303018</v>
      </c>
      <c r="D13852" t="s">
        <v>1</v>
      </c>
      <c r="E13852" t="s">
        <v>1</v>
      </c>
      <c r="F13852" t="s">
        <v>0</v>
      </c>
      <c r="G13852" t="str">
        <f>"2018-10-13 09:31:22"</f>
        <v>2018-10-13 09:31:22</v>
      </c>
    </row>
    <row r="13853" spans="1:7" x14ac:dyDescent="0.2">
      <c r="A13853" t="s">
        <v>1</v>
      </c>
      <c r="B13853" t="str">
        <f>"15245677710"</f>
        <v>15245677710</v>
      </c>
      <c r="C13853" t="s">
        <v>1</v>
      </c>
      <c r="D13853" t="s">
        <v>1</v>
      </c>
      <c r="E13853" t="s">
        <v>1</v>
      </c>
      <c r="F13853" t="s">
        <v>0</v>
      </c>
      <c r="G13853" t="str">
        <f>"2018-10-13 09:25:13"</f>
        <v>2018-10-13 09:25:13</v>
      </c>
    </row>
    <row r="13854" spans="1:7" x14ac:dyDescent="0.2">
      <c r="A13854" t="s">
        <v>767</v>
      </c>
      <c r="B13854" t="str">
        <f>"18561357889"</f>
        <v>18561357889</v>
      </c>
      <c r="C13854" t="str">
        <f>"370285197301170039"</f>
        <v>370285197301170039</v>
      </c>
      <c r="D13854" t="s">
        <v>1</v>
      </c>
      <c r="E13854" t="s">
        <v>1</v>
      </c>
      <c r="F13854" t="s">
        <v>0</v>
      </c>
      <c r="G13854" t="str">
        <f>"2018-10-13 09:27:15"</f>
        <v>2018-10-13 09:27:15</v>
      </c>
    </row>
    <row r="13855" spans="1:7" x14ac:dyDescent="0.2">
      <c r="A13855" t="s">
        <v>1085</v>
      </c>
      <c r="B13855" t="str">
        <f>"13943999821"</f>
        <v>13943999821</v>
      </c>
      <c r="C13855" t="str">
        <f>"220625198804191541"</f>
        <v>220625198804191541</v>
      </c>
      <c r="D13855" t="s">
        <v>13698</v>
      </c>
      <c r="E13855" t="s">
        <v>13699</v>
      </c>
      <c r="F13855" t="s">
        <v>0</v>
      </c>
      <c r="G13855" t="str">
        <f>"2018-10-13 10:31:01"</f>
        <v>2018-10-13 10:31:01</v>
      </c>
    </row>
    <row r="13856" spans="1:7" x14ac:dyDescent="0.2">
      <c r="A13856" t="s">
        <v>1591</v>
      </c>
      <c r="B13856" t="str">
        <f>"17792579518"</f>
        <v>17792579518</v>
      </c>
      <c r="C13856" t="str">
        <f>"610328199603080933"</f>
        <v>610328199603080933</v>
      </c>
      <c r="D13856" t="s">
        <v>13700</v>
      </c>
      <c r="E13856" t="s">
        <v>13701</v>
      </c>
      <c r="F13856" t="s">
        <v>0</v>
      </c>
      <c r="G13856" t="str">
        <f>"2018-10-13 16:57:12"</f>
        <v>2018-10-13 16:57:12</v>
      </c>
    </row>
    <row r="13857" spans="1:7" x14ac:dyDescent="0.2">
      <c r="A13857" t="s">
        <v>1</v>
      </c>
      <c r="B13857" t="str">
        <f>"18677220041"</f>
        <v>18677220041</v>
      </c>
      <c r="C13857" t="s">
        <v>1</v>
      </c>
      <c r="D13857" t="s">
        <v>1</v>
      </c>
      <c r="E13857" t="s">
        <v>1</v>
      </c>
      <c r="F13857" t="s">
        <v>0</v>
      </c>
      <c r="G13857" t="str">
        <f>"2018-10-13 09:24:10"</f>
        <v>2018-10-13 09:24:10</v>
      </c>
    </row>
    <row r="13858" spans="1:7" x14ac:dyDescent="0.2">
      <c r="A13858" t="s">
        <v>274</v>
      </c>
      <c r="B13858" t="str">
        <f>"18734404851"</f>
        <v>18734404851</v>
      </c>
      <c r="C13858" t="str">
        <f>"140781198701070049"</f>
        <v>140781198701070049</v>
      </c>
      <c r="D13858" t="s">
        <v>1</v>
      </c>
      <c r="E13858" t="s">
        <v>1</v>
      </c>
      <c r="F13858" t="s">
        <v>0</v>
      </c>
      <c r="G13858" t="str">
        <f>"2018-10-13 09:25:32"</f>
        <v>2018-10-13 09:25:32</v>
      </c>
    </row>
    <row r="13859" spans="1:7" x14ac:dyDescent="0.2">
      <c r="A13859" t="s">
        <v>1</v>
      </c>
      <c r="B13859" t="str">
        <f>"13719054657"</f>
        <v>13719054657</v>
      </c>
      <c r="C13859" t="s">
        <v>1</v>
      </c>
      <c r="D13859" t="s">
        <v>1</v>
      </c>
      <c r="E13859" t="s">
        <v>1</v>
      </c>
      <c r="F13859" t="s">
        <v>0</v>
      </c>
      <c r="G13859" t="str">
        <f>"2018-10-13 14:47:55"</f>
        <v>2018-10-13 14:47:55</v>
      </c>
    </row>
    <row r="13860" spans="1:7" x14ac:dyDescent="0.2">
      <c r="A13860" t="s">
        <v>1</v>
      </c>
      <c r="B13860" t="str">
        <f>"15063671185"</f>
        <v>15063671185</v>
      </c>
      <c r="C13860" t="s">
        <v>1</v>
      </c>
      <c r="D13860" t="s">
        <v>1</v>
      </c>
      <c r="E13860" t="s">
        <v>1</v>
      </c>
      <c r="F13860" t="s">
        <v>0</v>
      </c>
      <c r="G13860" t="str">
        <f>"2018-10-13 09:22:49"</f>
        <v>2018-10-13 09:22:49</v>
      </c>
    </row>
    <row r="13861" spans="1:7" x14ac:dyDescent="0.2">
      <c r="A13861" t="s">
        <v>5941</v>
      </c>
      <c r="B13861" t="str">
        <f>"13733893034"</f>
        <v>13733893034</v>
      </c>
      <c r="C13861" t="str">
        <f>"411381198612170413"</f>
        <v>411381198612170413</v>
      </c>
      <c r="D13861" t="s">
        <v>1</v>
      </c>
      <c r="E13861" t="s">
        <v>1</v>
      </c>
      <c r="F13861" t="s">
        <v>0</v>
      </c>
      <c r="G13861" t="str">
        <f>"2018-10-13 09:24:01"</f>
        <v>2018-10-13 09:24:01</v>
      </c>
    </row>
    <row r="13862" spans="1:7" x14ac:dyDescent="0.2">
      <c r="A13862" t="s">
        <v>13702</v>
      </c>
      <c r="B13862" t="str">
        <f>"13398260438"</f>
        <v>13398260438</v>
      </c>
      <c r="C13862" t="str">
        <f>"510522199409126917"</f>
        <v>510522199409126917</v>
      </c>
      <c r="D13862" t="s">
        <v>1</v>
      </c>
      <c r="E13862" t="s">
        <v>1</v>
      </c>
      <c r="F13862" t="s">
        <v>0</v>
      </c>
      <c r="G13862" t="str">
        <f>"2018-10-13 09:25:00"</f>
        <v>2018-10-13 09:25:00</v>
      </c>
    </row>
    <row r="13863" spans="1:7" x14ac:dyDescent="0.2">
      <c r="A13863" t="s">
        <v>1378</v>
      </c>
      <c r="B13863" t="str">
        <f>"13155105525"</f>
        <v>13155105525</v>
      </c>
      <c r="C13863" t="str">
        <f>"342922198712263778"</f>
        <v>342922198712263778</v>
      </c>
      <c r="D13863" t="s">
        <v>1</v>
      </c>
      <c r="E13863" t="s">
        <v>1</v>
      </c>
      <c r="F13863" t="s">
        <v>0</v>
      </c>
      <c r="G13863" t="str">
        <f>"2018-10-13 10:57:04"</f>
        <v>2018-10-13 10:57:04</v>
      </c>
    </row>
    <row r="13864" spans="1:7" x14ac:dyDescent="0.2">
      <c r="A13864" t="s">
        <v>13703</v>
      </c>
      <c r="B13864" t="str">
        <f>"13529154305"</f>
        <v>13529154305</v>
      </c>
      <c r="C13864" t="str">
        <f>"511023198001089695"</f>
        <v>511023198001089695</v>
      </c>
      <c r="D13864" t="s">
        <v>1</v>
      </c>
      <c r="E13864" t="s">
        <v>1</v>
      </c>
      <c r="F13864" t="s">
        <v>0</v>
      </c>
      <c r="G13864" t="str">
        <f>"2018-10-13 13:02:36"</f>
        <v>2018-10-13 13:02:36</v>
      </c>
    </row>
    <row r="13865" spans="1:7" x14ac:dyDescent="0.2">
      <c r="A13865" t="s">
        <v>201</v>
      </c>
      <c r="B13865" t="str">
        <f>"13624096624"</f>
        <v>13624096624</v>
      </c>
      <c r="C13865" t="str">
        <f>"232301198402160642"</f>
        <v>232301198402160642</v>
      </c>
      <c r="D13865" t="s">
        <v>1</v>
      </c>
      <c r="E13865" t="s">
        <v>1</v>
      </c>
      <c r="F13865" t="s">
        <v>0</v>
      </c>
      <c r="G13865" t="str">
        <f>"2018-10-13 10:00:28"</f>
        <v>2018-10-13 10:00:28</v>
      </c>
    </row>
    <row r="13866" spans="1:7" x14ac:dyDescent="0.2">
      <c r="A13866" t="s">
        <v>13704</v>
      </c>
      <c r="B13866" t="str">
        <f>"13699675306"</f>
        <v>13699675306</v>
      </c>
      <c r="C13866" t="str">
        <f>"511325199206240719"</f>
        <v>511325199206240719</v>
      </c>
      <c r="D13866" t="s">
        <v>1</v>
      </c>
      <c r="E13866" t="s">
        <v>1</v>
      </c>
      <c r="F13866" t="s">
        <v>0</v>
      </c>
      <c r="G13866" t="str">
        <f>"2018-10-13 09:28:26"</f>
        <v>2018-10-13 09:28:26</v>
      </c>
    </row>
    <row r="13867" spans="1:7" x14ac:dyDescent="0.2">
      <c r="A13867" t="s">
        <v>13705</v>
      </c>
      <c r="B13867" t="str">
        <f>"13427727984"</f>
        <v>13427727984</v>
      </c>
      <c r="C13867" t="str">
        <f>"430181198306286655"</f>
        <v>430181198306286655</v>
      </c>
      <c r="D13867" t="s">
        <v>1</v>
      </c>
      <c r="E13867" t="s">
        <v>1</v>
      </c>
      <c r="F13867" t="s">
        <v>0</v>
      </c>
      <c r="G13867" t="str">
        <f>"2018-10-13 14:09:28"</f>
        <v>2018-10-13 14:09:28</v>
      </c>
    </row>
    <row r="13868" spans="1:7" x14ac:dyDescent="0.2">
      <c r="A13868" t="s">
        <v>1</v>
      </c>
      <c r="B13868" t="str">
        <f>"13850108814"</f>
        <v>13850108814</v>
      </c>
      <c r="C13868" t="s">
        <v>1</v>
      </c>
      <c r="D13868" t="s">
        <v>1</v>
      </c>
      <c r="E13868" t="s">
        <v>1</v>
      </c>
      <c r="F13868" t="s">
        <v>0</v>
      </c>
      <c r="G13868" t="str">
        <f>"2018-10-13 09:21:37"</f>
        <v>2018-10-13 09:21:37</v>
      </c>
    </row>
    <row r="13869" spans="1:7" x14ac:dyDescent="0.2">
      <c r="A13869" t="s">
        <v>13706</v>
      </c>
      <c r="B13869" t="str">
        <f>"15305793007"</f>
        <v>15305793007</v>
      </c>
      <c r="C13869" t="str">
        <f>"330723198510200025"</f>
        <v>330723198510200025</v>
      </c>
      <c r="D13869" t="s">
        <v>13707</v>
      </c>
      <c r="E13869" t="s">
        <v>13708</v>
      </c>
      <c r="F13869" t="s">
        <v>0</v>
      </c>
      <c r="G13869" t="str">
        <f>"2018-10-13 09:36:01"</f>
        <v>2018-10-13 09:36:01</v>
      </c>
    </row>
    <row r="13870" spans="1:7" x14ac:dyDescent="0.2">
      <c r="A13870" t="s">
        <v>13709</v>
      </c>
      <c r="B13870" t="str">
        <f>"15128188658"</f>
        <v>15128188658</v>
      </c>
      <c r="C13870" t="str">
        <f>"370983199102020534"</f>
        <v>370983199102020534</v>
      </c>
      <c r="D13870" t="s">
        <v>1</v>
      </c>
      <c r="E13870" t="s">
        <v>1</v>
      </c>
      <c r="F13870" t="s">
        <v>0</v>
      </c>
      <c r="G13870" t="str">
        <f>"2018-10-13 09:21:07"</f>
        <v>2018-10-13 09:21:07</v>
      </c>
    </row>
    <row r="13871" spans="1:7" x14ac:dyDescent="0.2">
      <c r="A13871" t="s">
        <v>13710</v>
      </c>
      <c r="B13871" t="str">
        <f>"15123403014"</f>
        <v>15123403014</v>
      </c>
      <c r="C13871" t="str">
        <f>"500233199005110119"</f>
        <v>500233199005110119</v>
      </c>
      <c r="D13871" t="s">
        <v>1</v>
      </c>
      <c r="E13871" t="s">
        <v>1</v>
      </c>
      <c r="F13871" t="s">
        <v>0</v>
      </c>
      <c r="G13871" t="str">
        <f>"2018-10-19 14:53:35"</f>
        <v>2018-10-19 14:53:35</v>
      </c>
    </row>
    <row r="13872" spans="1:7" x14ac:dyDescent="0.2">
      <c r="A13872" t="s">
        <v>1</v>
      </c>
      <c r="B13872" t="str">
        <f>"15939632007"</f>
        <v>15939632007</v>
      </c>
      <c r="C13872" t="s">
        <v>1</v>
      </c>
      <c r="D13872" t="s">
        <v>1</v>
      </c>
      <c r="E13872" t="s">
        <v>1</v>
      </c>
      <c r="F13872" t="s">
        <v>0</v>
      </c>
      <c r="G13872" t="str">
        <f>"2018-10-13 09:20:47"</f>
        <v>2018-10-13 09:20:47</v>
      </c>
    </row>
    <row r="13873" spans="1:7" x14ac:dyDescent="0.2">
      <c r="A13873" t="s">
        <v>1</v>
      </c>
      <c r="B13873" t="str">
        <f>"15777762789"</f>
        <v>15777762789</v>
      </c>
      <c r="C13873" t="s">
        <v>1</v>
      </c>
      <c r="D13873" t="s">
        <v>1</v>
      </c>
      <c r="E13873" t="s">
        <v>1</v>
      </c>
      <c r="F13873" t="s">
        <v>0</v>
      </c>
      <c r="G13873" t="str">
        <f>"2018-10-13 09:20:33"</f>
        <v>2018-10-13 09:20:33</v>
      </c>
    </row>
    <row r="13874" spans="1:7" x14ac:dyDescent="0.2">
      <c r="A13874" t="s">
        <v>13711</v>
      </c>
      <c r="B13874" t="str">
        <f>"15233663935"</f>
        <v>15233663935</v>
      </c>
      <c r="C13874" t="str">
        <f>"131081198506203214"</f>
        <v>131081198506203214</v>
      </c>
      <c r="D13874" t="s">
        <v>1</v>
      </c>
      <c r="E13874" t="s">
        <v>1</v>
      </c>
      <c r="F13874" t="s">
        <v>0</v>
      </c>
      <c r="G13874" t="str">
        <f>"2018-11-01 13:21:40"</f>
        <v>2018-11-01 13:21:40</v>
      </c>
    </row>
    <row r="13875" spans="1:7" x14ac:dyDescent="0.2">
      <c r="A13875" t="s">
        <v>1</v>
      </c>
      <c r="B13875" t="str">
        <f>"18817302627"</f>
        <v>18817302627</v>
      </c>
      <c r="C13875" t="s">
        <v>1</v>
      </c>
      <c r="D13875" t="s">
        <v>1</v>
      </c>
      <c r="E13875" t="s">
        <v>1</v>
      </c>
      <c r="F13875" t="s">
        <v>0</v>
      </c>
      <c r="G13875" t="str">
        <f>"2018-10-13 10:19:52"</f>
        <v>2018-10-13 10:19:52</v>
      </c>
    </row>
    <row r="13876" spans="1:7" x14ac:dyDescent="0.2">
      <c r="A13876" t="s">
        <v>13712</v>
      </c>
      <c r="B13876" t="str">
        <f>"13786591556"</f>
        <v>13786591556</v>
      </c>
      <c r="C13876" t="str">
        <f>"431023198401156228"</f>
        <v>431023198401156228</v>
      </c>
      <c r="D13876" t="s">
        <v>1</v>
      </c>
      <c r="E13876" t="s">
        <v>1</v>
      </c>
      <c r="F13876" t="s">
        <v>0</v>
      </c>
      <c r="G13876" t="str">
        <f>"2018-10-13 10:20:59"</f>
        <v>2018-10-13 10:20:59</v>
      </c>
    </row>
    <row r="13877" spans="1:7" x14ac:dyDescent="0.2">
      <c r="A13877" t="s">
        <v>13713</v>
      </c>
      <c r="B13877" t="str">
        <f>"18602958884"</f>
        <v>18602958884</v>
      </c>
      <c r="C13877" t="str">
        <f>"610102199010280011"</f>
        <v>610102199010280011</v>
      </c>
      <c r="D13877" t="s">
        <v>1</v>
      </c>
      <c r="E13877" t="s">
        <v>1</v>
      </c>
      <c r="F13877" t="s">
        <v>0</v>
      </c>
      <c r="G13877" t="str">
        <f>"2018-10-13 09:20:39"</f>
        <v>2018-10-13 09:20:39</v>
      </c>
    </row>
    <row r="13878" spans="1:7" x14ac:dyDescent="0.2">
      <c r="A13878" t="s">
        <v>13714</v>
      </c>
      <c r="B13878" t="str">
        <f>"13705839940"</f>
        <v>13705839940</v>
      </c>
      <c r="C13878" t="str">
        <f>"330421198612160520"</f>
        <v>330421198612160520</v>
      </c>
      <c r="D13878" t="s">
        <v>1</v>
      </c>
      <c r="E13878" t="s">
        <v>1</v>
      </c>
      <c r="F13878" t="s">
        <v>0</v>
      </c>
      <c r="G13878" t="str">
        <f>"2018-10-14 14:11:31"</f>
        <v>2018-10-14 14:11:31</v>
      </c>
    </row>
    <row r="13879" spans="1:7" x14ac:dyDescent="0.2">
      <c r="A13879" t="s">
        <v>13715</v>
      </c>
      <c r="B13879" t="str">
        <f>"18570716146"</f>
        <v>18570716146</v>
      </c>
      <c r="C13879" t="str">
        <f>"430524199406225971"</f>
        <v>430524199406225971</v>
      </c>
      <c r="D13879" t="s">
        <v>1</v>
      </c>
      <c r="E13879" t="s">
        <v>1</v>
      </c>
      <c r="F13879" t="s">
        <v>0</v>
      </c>
      <c r="G13879" t="str">
        <f>"2018-10-13 09:19:31"</f>
        <v>2018-10-13 09:19:31</v>
      </c>
    </row>
    <row r="13880" spans="1:7" x14ac:dyDescent="0.2">
      <c r="A13880" t="s">
        <v>1</v>
      </c>
      <c r="B13880" t="str">
        <f>"15380166600"</f>
        <v>15380166600</v>
      </c>
      <c r="C13880" t="s">
        <v>1</v>
      </c>
      <c r="D13880" t="s">
        <v>1</v>
      </c>
      <c r="E13880" t="s">
        <v>1</v>
      </c>
      <c r="F13880" t="s">
        <v>0</v>
      </c>
      <c r="G13880" t="str">
        <f>"2018-10-13 09:17:25"</f>
        <v>2018-10-13 09:17:25</v>
      </c>
    </row>
    <row r="13881" spans="1:7" x14ac:dyDescent="0.2">
      <c r="A13881" t="s">
        <v>1127</v>
      </c>
      <c r="B13881" t="str">
        <f>"17701451037"</f>
        <v>17701451037</v>
      </c>
      <c r="C13881" t="str">
        <f>"321027199205024521"</f>
        <v>321027199205024521</v>
      </c>
      <c r="D13881" t="s">
        <v>1</v>
      </c>
      <c r="E13881" t="s">
        <v>1</v>
      </c>
      <c r="F13881" t="s">
        <v>0</v>
      </c>
      <c r="G13881" t="str">
        <f>"2018-10-13 10:02:31"</f>
        <v>2018-10-13 10:02:31</v>
      </c>
    </row>
    <row r="13882" spans="1:7" x14ac:dyDescent="0.2">
      <c r="A13882" t="s">
        <v>13716</v>
      </c>
      <c r="B13882" t="str">
        <f>"18377380484"</f>
        <v>18377380484</v>
      </c>
      <c r="C13882" t="str">
        <f>"450323198610101257"</f>
        <v>450323198610101257</v>
      </c>
      <c r="D13882" t="s">
        <v>1</v>
      </c>
      <c r="E13882" t="s">
        <v>1</v>
      </c>
      <c r="F13882" t="s">
        <v>0</v>
      </c>
      <c r="G13882" t="str">
        <f>"2018-10-13 09:44:38"</f>
        <v>2018-10-13 09:44:38</v>
      </c>
    </row>
    <row r="13883" spans="1:7" x14ac:dyDescent="0.2">
      <c r="A13883" t="s">
        <v>13717</v>
      </c>
      <c r="B13883" t="str">
        <f>"15156930285"</f>
        <v>15156930285</v>
      </c>
      <c r="C13883" t="str">
        <f>"34242619950218322X"</f>
        <v>34242619950218322X</v>
      </c>
      <c r="D13883" t="s">
        <v>13718</v>
      </c>
      <c r="E13883" t="s">
        <v>13719</v>
      </c>
      <c r="F13883" t="s">
        <v>0</v>
      </c>
      <c r="G13883" t="str">
        <f>"2018-10-13 09:16:41"</f>
        <v>2018-10-13 09:16:41</v>
      </c>
    </row>
    <row r="13884" spans="1:7" x14ac:dyDescent="0.2">
      <c r="A13884" t="s">
        <v>1</v>
      </c>
      <c r="B13884" t="str">
        <f>"15706622250"</f>
        <v>15706622250</v>
      </c>
      <c r="C13884" t="s">
        <v>1</v>
      </c>
      <c r="D13884" t="s">
        <v>1</v>
      </c>
      <c r="E13884" t="s">
        <v>1</v>
      </c>
      <c r="F13884" t="s">
        <v>0</v>
      </c>
      <c r="G13884" t="str">
        <f>"2018-10-13 09:15:54"</f>
        <v>2018-10-13 09:15:54</v>
      </c>
    </row>
    <row r="13885" spans="1:7" x14ac:dyDescent="0.2">
      <c r="A13885" t="s">
        <v>1</v>
      </c>
      <c r="B13885" t="str">
        <f>"15822219308"</f>
        <v>15822219308</v>
      </c>
      <c r="C13885" t="s">
        <v>1</v>
      </c>
      <c r="D13885" t="s">
        <v>1</v>
      </c>
      <c r="E13885" t="s">
        <v>1</v>
      </c>
      <c r="F13885" t="s">
        <v>0</v>
      </c>
      <c r="G13885" t="str">
        <f>"2018-10-13 09:17:11"</f>
        <v>2018-10-13 09:17:11</v>
      </c>
    </row>
    <row r="13886" spans="1:7" x14ac:dyDescent="0.2">
      <c r="A13886" t="s">
        <v>1</v>
      </c>
      <c r="B13886" t="str">
        <f>"18346702809"</f>
        <v>18346702809</v>
      </c>
      <c r="C13886" t="s">
        <v>1</v>
      </c>
      <c r="D13886" t="s">
        <v>1</v>
      </c>
      <c r="E13886" t="s">
        <v>1</v>
      </c>
      <c r="F13886" t="s">
        <v>0</v>
      </c>
      <c r="G13886" t="str">
        <f>"2018-10-13 09:15:47"</f>
        <v>2018-10-13 09:15:47</v>
      </c>
    </row>
    <row r="13887" spans="1:7" x14ac:dyDescent="0.2">
      <c r="A13887" t="s">
        <v>1</v>
      </c>
      <c r="B13887" t="str">
        <f>"15840674004"</f>
        <v>15840674004</v>
      </c>
      <c r="C13887" t="s">
        <v>1</v>
      </c>
      <c r="D13887" t="s">
        <v>1</v>
      </c>
      <c r="E13887" t="s">
        <v>1</v>
      </c>
      <c r="F13887" t="s">
        <v>0</v>
      </c>
      <c r="G13887" t="str">
        <f>"2018-10-13 09:15:39"</f>
        <v>2018-10-13 09:15:39</v>
      </c>
    </row>
    <row r="13888" spans="1:7" x14ac:dyDescent="0.2">
      <c r="A13888" t="s">
        <v>13720</v>
      </c>
      <c r="B13888" t="str">
        <f>"15043403711"</f>
        <v>15043403711</v>
      </c>
      <c r="C13888" t="str">
        <f>"22030219950521062X"</f>
        <v>22030219950521062X</v>
      </c>
      <c r="D13888" t="s">
        <v>1</v>
      </c>
      <c r="E13888" t="s">
        <v>1</v>
      </c>
      <c r="F13888" t="s">
        <v>0</v>
      </c>
      <c r="G13888" t="str">
        <f>"2018-11-03 22:04:15"</f>
        <v>2018-11-03 22:04:15</v>
      </c>
    </row>
    <row r="13889" spans="1:7" x14ac:dyDescent="0.2">
      <c r="A13889" t="s">
        <v>1056</v>
      </c>
      <c r="B13889" t="str">
        <f>"15238706751"</f>
        <v>15238706751</v>
      </c>
      <c r="C13889" t="str">
        <f>"410881198303081536"</f>
        <v>410881198303081536</v>
      </c>
      <c r="D13889" t="s">
        <v>1</v>
      </c>
      <c r="E13889" t="s">
        <v>1</v>
      </c>
      <c r="F13889" t="s">
        <v>0</v>
      </c>
      <c r="G13889" t="str">
        <f>"2018-10-13 09:26:23"</f>
        <v>2018-10-13 09:26:23</v>
      </c>
    </row>
    <row r="13890" spans="1:7" x14ac:dyDescent="0.2">
      <c r="A13890" t="s">
        <v>374</v>
      </c>
      <c r="B13890" t="str">
        <f>"15103933413"</f>
        <v>15103933413</v>
      </c>
      <c r="C13890" t="str">
        <f>"622226199409212037"</f>
        <v>622226199409212037</v>
      </c>
      <c r="D13890" t="s">
        <v>13721</v>
      </c>
      <c r="E13890" t="s">
        <v>13722</v>
      </c>
      <c r="F13890" t="s">
        <v>0</v>
      </c>
      <c r="G13890" t="str">
        <f>"2018-10-13 09:15:06"</f>
        <v>2018-10-13 09:15:06</v>
      </c>
    </row>
    <row r="13891" spans="1:7" x14ac:dyDescent="0.2">
      <c r="A13891" t="s">
        <v>1</v>
      </c>
      <c r="B13891" t="str">
        <f>"18035434560"</f>
        <v>18035434560</v>
      </c>
      <c r="C13891" t="s">
        <v>1</v>
      </c>
      <c r="D13891" t="s">
        <v>1</v>
      </c>
      <c r="E13891" t="s">
        <v>1</v>
      </c>
      <c r="F13891" t="s">
        <v>0</v>
      </c>
      <c r="G13891" t="str">
        <f>"2018-10-13 09:14:04"</f>
        <v>2018-10-13 09:14:04</v>
      </c>
    </row>
    <row r="13892" spans="1:7" x14ac:dyDescent="0.2">
      <c r="A13892" t="s">
        <v>563</v>
      </c>
      <c r="B13892" t="str">
        <f>"13651750072"</f>
        <v>13651750072</v>
      </c>
      <c r="C13892" t="str">
        <f>"330719197912026315"</f>
        <v>330719197912026315</v>
      </c>
      <c r="D13892" t="s">
        <v>1</v>
      </c>
      <c r="E13892" t="s">
        <v>1</v>
      </c>
      <c r="F13892" t="s">
        <v>0</v>
      </c>
      <c r="G13892" t="str">
        <f>"2018-10-31 11:17:11"</f>
        <v>2018-10-31 11:17:11</v>
      </c>
    </row>
    <row r="13893" spans="1:7" x14ac:dyDescent="0.2">
      <c r="A13893" t="s">
        <v>1</v>
      </c>
      <c r="B13893" t="str">
        <f>"13136328555"</f>
        <v>13136328555</v>
      </c>
      <c r="C13893" t="s">
        <v>1</v>
      </c>
      <c r="D13893" t="s">
        <v>1</v>
      </c>
      <c r="E13893" t="s">
        <v>1</v>
      </c>
      <c r="F13893" t="s">
        <v>0</v>
      </c>
      <c r="G13893" t="str">
        <f>"2018-10-13 09:13:45"</f>
        <v>2018-10-13 09:13:45</v>
      </c>
    </row>
    <row r="13894" spans="1:7" x14ac:dyDescent="0.2">
      <c r="A13894" t="s">
        <v>13723</v>
      </c>
      <c r="B13894" t="str">
        <f>"18708990012"</f>
        <v>18708990012</v>
      </c>
      <c r="C13894" t="str">
        <f>"410923199011156205"</f>
        <v>410923199011156205</v>
      </c>
      <c r="D13894" t="s">
        <v>1</v>
      </c>
      <c r="E13894" t="s">
        <v>1</v>
      </c>
      <c r="F13894" t="s">
        <v>0</v>
      </c>
      <c r="G13894" t="str">
        <f>"2018-10-13 09:52:18"</f>
        <v>2018-10-13 09:52:18</v>
      </c>
    </row>
    <row r="13895" spans="1:7" x14ac:dyDescent="0.2">
      <c r="A13895" t="s">
        <v>13724</v>
      </c>
      <c r="B13895" t="str">
        <f>"15822753004"</f>
        <v>15822753004</v>
      </c>
      <c r="C13895" t="str">
        <f>"12022419881121501X"</f>
        <v>12022419881121501X</v>
      </c>
      <c r="D13895" t="s">
        <v>1</v>
      </c>
      <c r="E13895" t="s">
        <v>1</v>
      </c>
      <c r="F13895" t="s">
        <v>0</v>
      </c>
      <c r="G13895" t="str">
        <f>"2018-10-13 09:13:39"</f>
        <v>2018-10-13 09:13:39</v>
      </c>
    </row>
    <row r="13896" spans="1:7" x14ac:dyDescent="0.2">
      <c r="A13896" t="s">
        <v>13725</v>
      </c>
      <c r="B13896" t="str">
        <f>"15633185159"</f>
        <v>15633185159</v>
      </c>
      <c r="C13896" t="str">
        <f>"131122199005082813"</f>
        <v>131122199005082813</v>
      </c>
      <c r="D13896" t="s">
        <v>1</v>
      </c>
      <c r="E13896" t="s">
        <v>1</v>
      </c>
      <c r="F13896" t="s">
        <v>0</v>
      </c>
      <c r="G13896" t="str">
        <f>"2018-10-13 09:58:03"</f>
        <v>2018-10-13 09:58:03</v>
      </c>
    </row>
    <row r="13897" spans="1:7" x14ac:dyDescent="0.2">
      <c r="A13897" t="s">
        <v>413</v>
      </c>
      <c r="B13897" t="str">
        <f>"15765851241"</f>
        <v>15765851241</v>
      </c>
      <c r="C13897" t="str">
        <f>"230224199611163120"</f>
        <v>230224199611163120</v>
      </c>
      <c r="D13897" t="s">
        <v>1</v>
      </c>
      <c r="E13897" t="s">
        <v>1</v>
      </c>
      <c r="F13897" t="s">
        <v>0</v>
      </c>
      <c r="G13897" t="str">
        <f>"2018-10-13 09:13:21"</f>
        <v>2018-10-13 09:13:21</v>
      </c>
    </row>
    <row r="13898" spans="1:7" x14ac:dyDescent="0.2">
      <c r="A13898" t="s">
        <v>13726</v>
      </c>
      <c r="B13898" t="str">
        <f>"18922401135"</f>
        <v>18922401135</v>
      </c>
      <c r="C13898" t="str">
        <f>"445302199001080011"</f>
        <v>445302199001080011</v>
      </c>
      <c r="D13898" t="s">
        <v>1</v>
      </c>
      <c r="E13898" t="s">
        <v>1</v>
      </c>
      <c r="F13898" t="s">
        <v>0</v>
      </c>
      <c r="G13898" t="str">
        <f>"2018-10-14 09:37:19"</f>
        <v>2018-10-14 09:37:19</v>
      </c>
    </row>
    <row r="13899" spans="1:7" x14ac:dyDescent="0.2">
      <c r="A13899" t="s">
        <v>13727</v>
      </c>
      <c r="B13899" t="str">
        <f>"18623405717"</f>
        <v>18623405717</v>
      </c>
      <c r="C13899" t="str">
        <f>"500112198708240997"</f>
        <v>500112198708240997</v>
      </c>
      <c r="D13899" t="s">
        <v>1</v>
      </c>
      <c r="E13899" t="s">
        <v>1</v>
      </c>
      <c r="F13899" t="s">
        <v>0</v>
      </c>
      <c r="G13899" t="str">
        <f>"2018-10-13 09:14:12"</f>
        <v>2018-10-13 09:14:12</v>
      </c>
    </row>
    <row r="13900" spans="1:7" x14ac:dyDescent="0.2">
      <c r="A13900" t="s">
        <v>1</v>
      </c>
      <c r="B13900" t="str">
        <f>"13729886841"</f>
        <v>13729886841</v>
      </c>
      <c r="C13900" t="s">
        <v>1</v>
      </c>
      <c r="D13900" t="s">
        <v>1</v>
      </c>
      <c r="E13900" t="s">
        <v>1</v>
      </c>
      <c r="F13900" t="s">
        <v>0</v>
      </c>
      <c r="G13900" t="str">
        <f>"2018-10-13 09:12:29"</f>
        <v>2018-10-13 09:12:29</v>
      </c>
    </row>
    <row r="13901" spans="1:7" x14ac:dyDescent="0.2">
      <c r="A13901" t="s">
        <v>13728</v>
      </c>
      <c r="B13901" t="str">
        <f>"17609330802"</f>
        <v>17609330802</v>
      </c>
      <c r="C13901" t="str">
        <f>"320623199201241875"</f>
        <v>320623199201241875</v>
      </c>
      <c r="D13901" t="s">
        <v>1</v>
      </c>
      <c r="E13901" t="s">
        <v>1</v>
      </c>
      <c r="F13901" t="s">
        <v>0</v>
      </c>
      <c r="G13901" t="str">
        <f>"2018-10-13 09:13:48"</f>
        <v>2018-10-13 09:13:48</v>
      </c>
    </row>
    <row r="13902" spans="1:7" x14ac:dyDescent="0.2">
      <c r="A13902" t="s">
        <v>13729</v>
      </c>
      <c r="B13902" t="str">
        <f>"17711626087"</f>
        <v>17711626087</v>
      </c>
      <c r="C13902" t="str">
        <f>"430321198710203350"</f>
        <v>430321198710203350</v>
      </c>
      <c r="D13902" t="s">
        <v>1</v>
      </c>
      <c r="E13902" t="s">
        <v>1</v>
      </c>
      <c r="F13902" t="s">
        <v>0</v>
      </c>
      <c r="G13902" t="str">
        <f>"2018-10-13 09:42:39"</f>
        <v>2018-10-13 09:42:39</v>
      </c>
    </row>
    <row r="13903" spans="1:7" x14ac:dyDescent="0.2">
      <c r="A13903" t="s">
        <v>1</v>
      </c>
      <c r="B13903" t="str">
        <f>"13195265470"</f>
        <v>13195265470</v>
      </c>
      <c r="C13903" t="s">
        <v>1</v>
      </c>
      <c r="D13903" t="s">
        <v>1</v>
      </c>
      <c r="E13903" t="s">
        <v>1</v>
      </c>
      <c r="F13903" t="s">
        <v>0</v>
      </c>
      <c r="G13903" t="str">
        <f>"2018-10-13 09:13:35"</f>
        <v>2018-10-13 09:13:35</v>
      </c>
    </row>
    <row r="13904" spans="1:7" x14ac:dyDescent="0.2">
      <c r="A13904" t="s">
        <v>13730</v>
      </c>
      <c r="B13904" t="str">
        <f>"15578781469"</f>
        <v>15578781469</v>
      </c>
      <c r="C13904" t="str">
        <f>"130634197904013734"</f>
        <v>130634197904013734</v>
      </c>
      <c r="D13904" t="s">
        <v>13731</v>
      </c>
      <c r="E13904" t="s">
        <v>13732</v>
      </c>
      <c r="F13904" t="s">
        <v>0</v>
      </c>
      <c r="G13904" t="str">
        <f>"2018-10-13 11:01:43"</f>
        <v>2018-10-13 11:01:43</v>
      </c>
    </row>
    <row r="13905" spans="1:7" x14ac:dyDescent="0.2">
      <c r="A13905" t="s">
        <v>1</v>
      </c>
      <c r="B13905" t="str">
        <f>"15684550345"</f>
        <v>15684550345</v>
      </c>
      <c r="C13905" t="s">
        <v>1</v>
      </c>
      <c r="D13905" t="s">
        <v>1</v>
      </c>
      <c r="E13905" t="s">
        <v>1</v>
      </c>
      <c r="F13905" t="s">
        <v>0</v>
      </c>
      <c r="G13905" t="str">
        <f>"2018-10-13 09:11:12"</f>
        <v>2018-10-13 09:11:12</v>
      </c>
    </row>
    <row r="13906" spans="1:7" x14ac:dyDescent="0.2">
      <c r="A13906" t="s">
        <v>13733</v>
      </c>
      <c r="B13906" t="str">
        <f>"13593065364"</f>
        <v>13593065364</v>
      </c>
      <c r="C13906" t="str">
        <f>"140781199603160045"</f>
        <v>140781199603160045</v>
      </c>
      <c r="D13906" t="s">
        <v>1</v>
      </c>
      <c r="E13906" t="s">
        <v>1</v>
      </c>
      <c r="F13906" t="s">
        <v>0</v>
      </c>
      <c r="G13906" t="str">
        <f>"2018-10-13 09:13:55"</f>
        <v>2018-10-13 09:13:55</v>
      </c>
    </row>
    <row r="13907" spans="1:7" x14ac:dyDescent="0.2">
      <c r="A13907" t="s">
        <v>1359</v>
      </c>
      <c r="B13907" t="str">
        <f>"17787573706"</f>
        <v>17787573706</v>
      </c>
      <c r="C13907" t="str">
        <f>"210922199003220314"</f>
        <v>210922199003220314</v>
      </c>
      <c r="D13907" t="s">
        <v>1</v>
      </c>
      <c r="E13907" t="s">
        <v>1</v>
      </c>
      <c r="F13907" t="s">
        <v>0</v>
      </c>
      <c r="G13907" t="str">
        <f>"2018-10-13 09:45:40"</f>
        <v>2018-10-13 09:45:40</v>
      </c>
    </row>
    <row r="13908" spans="1:7" x14ac:dyDescent="0.2">
      <c r="A13908" t="s">
        <v>13734</v>
      </c>
      <c r="B13908" t="str">
        <f>"15348077155"</f>
        <v>15348077155</v>
      </c>
      <c r="C13908" t="str">
        <f>"622123197902251220"</f>
        <v>622123197902251220</v>
      </c>
      <c r="D13908" t="s">
        <v>1</v>
      </c>
      <c r="E13908" t="s">
        <v>1</v>
      </c>
      <c r="F13908" t="s">
        <v>0</v>
      </c>
      <c r="G13908" t="str">
        <f>"2018-10-13 09:15:52"</f>
        <v>2018-10-13 09:15:52</v>
      </c>
    </row>
    <row r="13909" spans="1:7" x14ac:dyDescent="0.2">
      <c r="A13909" t="s">
        <v>13735</v>
      </c>
      <c r="B13909" t="str">
        <f>"13852322742"</f>
        <v>13852322742</v>
      </c>
      <c r="C13909" t="str">
        <f>"320831197512020238"</f>
        <v>320831197512020238</v>
      </c>
      <c r="D13909" t="s">
        <v>13736</v>
      </c>
      <c r="E13909" t="s">
        <v>13737</v>
      </c>
      <c r="F13909" t="s">
        <v>0</v>
      </c>
      <c r="G13909" t="str">
        <f>"2018-10-13 09:12:01"</f>
        <v>2018-10-13 09:12:01</v>
      </c>
    </row>
    <row r="13910" spans="1:7" x14ac:dyDescent="0.2">
      <c r="A13910" t="s">
        <v>13738</v>
      </c>
      <c r="B13910" t="str">
        <f>"13770189142"</f>
        <v>13770189142</v>
      </c>
      <c r="C13910" t="str">
        <f>"320924198606140878"</f>
        <v>320924198606140878</v>
      </c>
      <c r="D13910" t="s">
        <v>1</v>
      </c>
      <c r="E13910" t="s">
        <v>1</v>
      </c>
      <c r="F13910" t="s">
        <v>0</v>
      </c>
      <c r="G13910" t="str">
        <f>"2018-10-13 09:54:35"</f>
        <v>2018-10-13 09:54:35</v>
      </c>
    </row>
    <row r="13911" spans="1:7" x14ac:dyDescent="0.2">
      <c r="A13911" t="s">
        <v>13739</v>
      </c>
      <c r="B13911" t="str">
        <f>"15012315582"</f>
        <v>15012315582</v>
      </c>
      <c r="C13911" t="str">
        <f>"510322197701077315"</f>
        <v>510322197701077315</v>
      </c>
      <c r="D13911" t="s">
        <v>13740</v>
      </c>
      <c r="E13911" t="s">
        <v>13741</v>
      </c>
      <c r="F13911" t="s">
        <v>0</v>
      </c>
      <c r="G13911" t="str">
        <f>"2018-10-13 09:31:55"</f>
        <v>2018-10-13 09:31:55</v>
      </c>
    </row>
    <row r="13912" spans="1:7" x14ac:dyDescent="0.2">
      <c r="A13912" t="s">
        <v>1</v>
      </c>
      <c r="B13912" t="str">
        <f>"17851353847"</f>
        <v>17851353847</v>
      </c>
      <c r="C13912" t="s">
        <v>1</v>
      </c>
      <c r="D13912" t="s">
        <v>1</v>
      </c>
      <c r="E13912" t="s">
        <v>1</v>
      </c>
      <c r="F13912" t="s">
        <v>0</v>
      </c>
      <c r="G13912" t="str">
        <f>"2018-10-13 09:08:33"</f>
        <v>2018-10-13 09:08:33</v>
      </c>
    </row>
    <row r="13913" spans="1:7" x14ac:dyDescent="0.2">
      <c r="A13913" t="s">
        <v>13742</v>
      </c>
      <c r="B13913" t="str">
        <f>"18735972751"</f>
        <v>18735972751</v>
      </c>
      <c r="C13913" t="str">
        <f>"140824199503050023"</f>
        <v>140824199503050023</v>
      </c>
      <c r="D13913" t="s">
        <v>1</v>
      </c>
      <c r="E13913" t="s">
        <v>1</v>
      </c>
      <c r="F13913" t="s">
        <v>0</v>
      </c>
      <c r="G13913" t="str">
        <f>"2018-10-19 10:52:30"</f>
        <v>2018-10-19 10:52:30</v>
      </c>
    </row>
    <row r="13914" spans="1:7" x14ac:dyDescent="0.2">
      <c r="A13914" t="s">
        <v>13743</v>
      </c>
      <c r="B13914" t="str">
        <f>"18505452644"</f>
        <v>18505452644</v>
      </c>
      <c r="C13914" t="str">
        <f>"500234198712276064"</f>
        <v>500234198712276064</v>
      </c>
      <c r="D13914" t="s">
        <v>1</v>
      </c>
      <c r="E13914" t="s">
        <v>1</v>
      </c>
      <c r="F13914" t="s">
        <v>0</v>
      </c>
      <c r="G13914" t="str">
        <f>"2018-10-13 09:22:55"</f>
        <v>2018-10-13 09:22:55</v>
      </c>
    </row>
    <row r="13915" spans="1:7" x14ac:dyDescent="0.2">
      <c r="A13915" t="s">
        <v>1</v>
      </c>
      <c r="B13915" t="str">
        <f>"15046152812"</f>
        <v>15046152812</v>
      </c>
      <c r="C13915" t="s">
        <v>1</v>
      </c>
      <c r="D13915" t="s">
        <v>1</v>
      </c>
      <c r="E13915" t="s">
        <v>1</v>
      </c>
      <c r="F13915" t="s">
        <v>0</v>
      </c>
      <c r="G13915" t="str">
        <f>"2018-10-13 09:06:32"</f>
        <v>2018-10-13 09:06:32</v>
      </c>
    </row>
    <row r="13916" spans="1:7" x14ac:dyDescent="0.2">
      <c r="A13916" t="s">
        <v>13744</v>
      </c>
      <c r="B13916" t="str">
        <f>"13923070323"</f>
        <v>13923070323</v>
      </c>
      <c r="C13916" t="str">
        <f>"440702198811181562"</f>
        <v>440702198811181562</v>
      </c>
      <c r="D13916" t="s">
        <v>13745</v>
      </c>
      <c r="E13916" t="s">
        <v>13746</v>
      </c>
      <c r="F13916" t="s">
        <v>0</v>
      </c>
      <c r="G13916" t="str">
        <f>"2018-10-13 09:21:45"</f>
        <v>2018-10-13 09:21:45</v>
      </c>
    </row>
    <row r="13917" spans="1:7" x14ac:dyDescent="0.2">
      <c r="A13917" t="s">
        <v>1</v>
      </c>
      <c r="B13917" t="str">
        <f>"15032863515"</f>
        <v>15032863515</v>
      </c>
      <c r="C13917" t="s">
        <v>1</v>
      </c>
      <c r="D13917" t="s">
        <v>1</v>
      </c>
      <c r="E13917" t="s">
        <v>1</v>
      </c>
      <c r="F13917" t="s">
        <v>0</v>
      </c>
      <c r="G13917" t="str">
        <f>"2018-10-13 09:06:08"</f>
        <v>2018-10-13 09:06:08</v>
      </c>
    </row>
    <row r="13918" spans="1:7" x14ac:dyDescent="0.2">
      <c r="A13918" t="s">
        <v>1</v>
      </c>
      <c r="B13918" t="str">
        <f>"17601342864"</f>
        <v>17601342864</v>
      </c>
      <c r="C13918" t="s">
        <v>1</v>
      </c>
      <c r="D13918" t="s">
        <v>1</v>
      </c>
      <c r="E13918" t="s">
        <v>1</v>
      </c>
      <c r="F13918" t="s">
        <v>0</v>
      </c>
      <c r="G13918" t="str">
        <f>"2018-10-13 09:05:51"</f>
        <v>2018-10-13 09:05:51</v>
      </c>
    </row>
    <row r="13919" spans="1:7" x14ac:dyDescent="0.2">
      <c r="A13919" t="s">
        <v>13747</v>
      </c>
      <c r="B13919" t="str">
        <f>"18335004807"</f>
        <v>18335004807</v>
      </c>
      <c r="C13919" t="str">
        <f>"142202200006274321"</f>
        <v>142202200006274321</v>
      </c>
      <c r="D13919" t="s">
        <v>1</v>
      </c>
      <c r="E13919" t="s">
        <v>1</v>
      </c>
      <c r="F13919" t="s">
        <v>0</v>
      </c>
      <c r="G13919" t="str">
        <f>"2018-10-13 09:07:04"</f>
        <v>2018-10-13 09:07:04</v>
      </c>
    </row>
    <row r="13920" spans="1:7" x14ac:dyDescent="0.2">
      <c r="A13920" t="s">
        <v>741</v>
      </c>
      <c r="B13920" t="str">
        <f>"18005668387"</f>
        <v>18005668387</v>
      </c>
      <c r="C13920" t="str">
        <f>"340224196807094819"</f>
        <v>340224196807094819</v>
      </c>
      <c r="D13920" t="s">
        <v>1</v>
      </c>
      <c r="E13920" t="s">
        <v>1</v>
      </c>
      <c r="F13920" t="s">
        <v>0</v>
      </c>
      <c r="G13920" t="str">
        <f>"2018-10-13 09:24:02"</f>
        <v>2018-10-13 09:24:02</v>
      </c>
    </row>
    <row r="13921" spans="1:7" x14ac:dyDescent="0.2">
      <c r="A13921" t="s">
        <v>1</v>
      </c>
      <c r="B13921" t="str">
        <f>"15968384606"</f>
        <v>15968384606</v>
      </c>
      <c r="C13921" t="s">
        <v>1</v>
      </c>
      <c r="D13921" t="s">
        <v>1</v>
      </c>
      <c r="E13921" t="s">
        <v>1</v>
      </c>
      <c r="F13921" t="s">
        <v>0</v>
      </c>
      <c r="G13921" t="str">
        <f>"2018-10-13 09:05:04"</f>
        <v>2018-10-13 09:05:04</v>
      </c>
    </row>
    <row r="13922" spans="1:7" x14ac:dyDescent="0.2">
      <c r="A13922" t="s">
        <v>126</v>
      </c>
      <c r="B13922" t="str">
        <f>"18269991163"</f>
        <v>18269991163</v>
      </c>
      <c r="C13922" t="str">
        <f>"341202198503071919"</f>
        <v>341202198503071919</v>
      </c>
      <c r="D13922" t="s">
        <v>13748</v>
      </c>
      <c r="E13922" t="s">
        <v>13749</v>
      </c>
      <c r="F13922" t="s">
        <v>0</v>
      </c>
      <c r="G13922" t="str">
        <f>"2018-10-13 10:08:56"</f>
        <v>2018-10-13 10:08:56</v>
      </c>
    </row>
    <row r="13923" spans="1:7" x14ac:dyDescent="0.2">
      <c r="A13923" t="s">
        <v>13750</v>
      </c>
      <c r="B13923" t="str">
        <f>"13755477057"</f>
        <v>13755477057</v>
      </c>
      <c r="C13923" t="str">
        <f>"362421199407044119"</f>
        <v>362421199407044119</v>
      </c>
      <c r="D13923" t="s">
        <v>13751</v>
      </c>
      <c r="E13923" t="s">
        <v>13752</v>
      </c>
      <c r="F13923" t="s">
        <v>0</v>
      </c>
      <c r="G13923" t="str">
        <f>"2018-10-13 09:05:02"</f>
        <v>2018-10-13 09:05:02</v>
      </c>
    </row>
    <row r="13924" spans="1:7" x14ac:dyDescent="0.2">
      <c r="A13924" t="s">
        <v>1</v>
      </c>
      <c r="B13924" t="str">
        <f>"13072666111"</f>
        <v>13072666111</v>
      </c>
      <c r="C13924" t="s">
        <v>1</v>
      </c>
      <c r="D13924" t="s">
        <v>1</v>
      </c>
      <c r="E13924" t="s">
        <v>1</v>
      </c>
      <c r="F13924" t="s">
        <v>0</v>
      </c>
      <c r="G13924" t="str">
        <f>"2018-10-13 09:03:50"</f>
        <v>2018-10-13 09:03:50</v>
      </c>
    </row>
    <row r="13925" spans="1:7" x14ac:dyDescent="0.2">
      <c r="A13925" t="s">
        <v>13753</v>
      </c>
      <c r="B13925" t="str">
        <f>"15281495318"</f>
        <v>15281495318</v>
      </c>
      <c r="C13925" t="str">
        <f>"510623199102261518"</f>
        <v>510623199102261518</v>
      </c>
      <c r="D13925" t="s">
        <v>1</v>
      </c>
      <c r="E13925" t="s">
        <v>1</v>
      </c>
      <c r="F13925" t="s">
        <v>0</v>
      </c>
      <c r="G13925" t="str">
        <f>"2018-10-13 09:05:30"</f>
        <v>2018-10-13 09:05:30</v>
      </c>
    </row>
    <row r="13926" spans="1:7" x14ac:dyDescent="0.2">
      <c r="A13926" t="s">
        <v>1460</v>
      </c>
      <c r="B13926" t="str">
        <f>"18725475233"</f>
        <v>18725475233</v>
      </c>
      <c r="C13926" t="str">
        <f>"530302199311150924"</f>
        <v>530302199311150924</v>
      </c>
      <c r="D13926" t="s">
        <v>1</v>
      </c>
      <c r="E13926" t="s">
        <v>1</v>
      </c>
      <c r="F13926" t="s">
        <v>0</v>
      </c>
      <c r="G13926" t="str">
        <f>"2018-10-20 11:41:23"</f>
        <v>2018-10-20 11:41:23</v>
      </c>
    </row>
    <row r="13927" spans="1:7" x14ac:dyDescent="0.2">
      <c r="A13927" t="s">
        <v>13754</v>
      </c>
      <c r="B13927" t="str">
        <f>"13737417071"</f>
        <v>13737417071</v>
      </c>
      <c r="C13927" t="str">
        <f>"452402199309092777"</f>
        <v>452402199309092777</v>
      </c>
      <c r="D13927" t="s">
        <v>13755</v>
      </c>
      <c r="E13927" t="s">
        <v>13756</v>
      </c>
      <c r="F13927" t="s">
        <v>0</v>
      </c>
      <c r="G13927" t="str">
        <f>"2018-10-13 09:04:20"</f>
        <v>2018-10-13 09:04:20</v>
      </c>
    </row>
    <row r="13928" spans="1:7" x14ac:dyDescent="0.2">
      <c r="A13928" t="s">
        <v>13757</v>
      </c>
      <c r="B13928" t="str">
        <f>"15708476360"</f>
        <v>15708476360</v>
      </c>
      <c r="C13928" t="str">
        <f>"370826198805235112"</f>
        <v>370826198805235112</v>
      </c>
      <c r="D13928" t="s">
        <v>13758</v>
      </c>
      <c r="E13928" t="s">
        <v>13759</v>
      </c>
      <c r="F13928" t="s">
        <v>0</v>
      </c>
      <c r="G13928" t="str">
        <f>"2018-10-13 09:03:57"</f>
        <v>2018-10-13 09:03:57</v>
      </c>
    </row>
    <row r="13929" spans="1:7" x14ac:dyDescent="0.2">
      <c r="A13929" t="s">
        <v>13760</v>
      </c>
      <c r="B13929" t="str">
        <f>"13996171352"</f>
        <v>13996171352</v>
      </c>
      <c r="C13929" t="str">
        <f>"441282198308165413"</f>
        <v>441282198308165413</v>
      </c>
      <c r="D13929" t="s">
        <v>1</v>
      </c>
      <c r="E13929" t="s">
        <v>1</v>
      </c>
      <c r="F13929" t="s">
        <v>0</v>
      </c>
      <c r="G13929" t="str">
        <f>"2018-10-13 10:24:45"</f>
        <v>2018-10-13 10:24:45</v>
      </c>
    </row>
    <row r="13930" spans="1:7" x14ac:dyDescent="0.2">
      <c r="A13930" t="s">
        <v>13761</v>
      </c>
      <c r="B13930" t="str">
        <f>"14737608881"</f>
        <v>14737608881</v>
      </c>
      <c r="C13930" t="str">
        <f>"350624199510273012"</f>
        <v>350624199510273012</v>
      </c>
      <c r="D13930" t="s">
        <v>1</v>
      </c>
      <c r="E13930" t="s">
        <v>1</v>
      </c>
      <c r="F13930" t="s">
        <v>0</v>
      </c>
      <c r="G13930" t="str">
        <f>"2018-10-22 19:47:26"</f>
        <v>2018-10-22 19:47:26</v>
      </c>
    </row>
    <row r="13931" spans="1:7" x14ac:dyDescent="0.2">
      <c r="A13931" t="s">
        <v>13762</v>
      </c>
      <c r="B13931" t="str">
        <f>"13917481043"</f>
        <v>13917481043</v>
      </c>
      <c r="C13931" t="str">
        <f>"34040419951023121X"</f>
        <v>34040419951023121X</v>
      </c>
      <c r="D13931" t="s">
        <v>1</v>
      </c>
      <c r="E13931" t="s">
        <v>1</v>
      </c>
      <c r="F13931" t="s">
        <v>0</v>
      </c>
      <c r="G13931" t="str">
        <f>"2018-10-13 09:02:46"</f>
        <v>2018-10-13 09:02:46</v>
      </c>
    </row>
    <row r="13932" spans="1:7" x14ac:dyDescent="0.2">
      <c r="A13932" t="s">
        <v>13763</v>
      </c>
      <c r="B13932" t="str">
        <f>"15001120647"</f>
        <v>15001120647</v>
      </c>
      <c r="C13932" t="str">
        <f>"110228198809202926"</f>
        <v>110228198809202926</v>
      </c>
      <c r="D13932" t="s">
        <v>13764</v>
      </c>
      <c r="E13932" t="s">
        <v>13765</v>
      </c>
      <c r="F13932" t="s">
        <v>0</v>
      </c>
      <c r="G13932" t="str">
        <f>"2018-10-13 09:02:30"</f>
        <v>2018-10-13 09:02:30</v>
      </c>
    </row>
    <row r="13933" spans="1:7" x14ac:dyDescent="0.2">
      <c r="A13933" t="s">
        <v>13766</v>
      </c>
      <c r="B13933" t="str">
        <f>"18455680581"</f>
        <v>18455680581</v>
      </c>
      <c r="C13933" t="str">
        <f>"422126198609138014"</f>
        <v>422126198609138014</v>
      </c>
      <c r="D13933" t="s">
        <v>1</v>
      </c>
      <c r="E13933" t="s">
        <v>1</v>
      </c>
      <c r="F13933" t="s">
        <v>0</v>
      </c>
      <c r="G13933" t="str">
        <f>"2018-10-13 09:44:13"</f>
        <v>2018-10-13 09:44:13</v>
      </c>
    </row>
    <row r="13934" spans="1:7" x14ac:dyDescent="0.2">
      <c r="A13934" t="s">
        <v>1</v>
      </c>
      <c r="B13934" t="str">
        <f>"18296564283"</f>
        <v>18296564283</v>
      </c>
      <c r="C13934" t="s">
        <v>1</v>
      </c>
      <c r="D13934" t="s">
        <v>1</v>
      </c>
      <c r="E13934" t="s">
        <v>1</v>
      </c>
      <c r="F13934" t="s">
        <v>0</v>
      </c>
      <c r="G13934" t="str">
        <f>"2018-10-13 09:09:11"</f>
        <v>2018-10-13 09:09:11</v>
      </c>
    </row>
    <row r="13935" spans="1:7" x14ac:dyDescent="0.2">
      <c r="A13935" t="s">
        <v>13767</v>
      </c>
      <c r="B13935" t="str">
        <f>"15109502018"</f>
        <v>15109502018</v>
      </c>
      <c r="C13935" t="str">
        <f>"320322198406296848"</f>
        <v>320322198406296848</v>
      </c>
      <c r="D13935" t="s">
        <v>1</v>
      </c>
      <c r="E13935" t="s">
        <v>1</v>
      </c>
      <c r="F13935" t="s">
        <v>0</v>
      </c>
      <c r="G13935" t="str">
        <f>"2018-10-13 09:00:38"</f>
        <v>2018-10-13 09:00:38</v>
      </c>
    </row>
    <row r="13936" spans="1:7" x14ac:dyDescent="0.2">
      <c r="A13936" t="s">
        <v>13768</v>
      </c>
      <c r="B13936" t="str">
        <f>"18295769136"</f>
        <v>18295769136</v>
      </c>
      <c r="C13936" t="str">
        <f>"14270119920125812X"</f>
        <v>14270119920125812X</v>
      </c>
      <c r="D13936" t="s">
        <v>13769</v>
      </c>
      <c r="E13936" t="s">
        <v>13770</v>
      </c>
      <c r="F13936" t="s">
        <v>0</v>
      </c>
      <c r="G13936" t="str">
        <f>"2018-11-01 11:49:53"</f>
        <v>2018-11-01 11:49:53</v>
      </c>
    </row>
    <row r="13937" spans="1:7" x14ac:dyDescent="0.2">
      <c r="A13937" t="s">
        <v>13771</v>
      </c>
      <c r="B13937" t="str">
        <f>"15921423397"</f>
        <v>15921423397</v>
      </c>
      <c r="C13937" t="str">
        <f>"330625197309108393"</f>
        <v>330625197309108393</v>
      </c>
      <c r="D13937" t="s">
        <v>1</v>
      </c>
      <c r="E13937" t="s">
        <v>1</v>
      </c>
      <c r="F13937" t="s">
        <v>0</v>
      </c>
      <c r="G13937" t="str">
        <f>"2018-10-13 09:01:12"</f>
        <v>2018-10-13 09:01:12</v>
      </c>
    </row>
    <row r="13938" spans="1:7" x14ac:dyDescent="0.2">
      <c r="A13938" t="s">
        <v>1</v>
      </c>
      <c r="B13938" t="str">
        <f>"17609833512"</f>
        <v>17609833512</v>
      </c>
      <c r="C13938" t="s">
        <v>1</v>
      </c>
      <c r="D13938" t="s">
        <v>1</v>
      </c>
      <c r="E13938" t="s">
        <v>1</v>
      </c>
      <c r="F13938" t="s">
        <v>0</v>
      </c>
      <c r="G13938" t="str">
        <f>"2018-10-13 08:59:21"</f>
        <v>2018-10-13 08:59:21</v>
      </c>
    </row>
    <row r="13939" spans="1:7" x14ac:dyDescent="0.2">
      <c r="A13939" t="s">
        <v>1</v>
      </c>
      <c r="B13939" t="str">
        <f>"13985389617"</f>
        <v>13985389617</v>
      </c>
      <c r="C13939" t="s">
        <v>1</v>
      </c>
      <c r="D13939" t="s">
        <v>1</v>
      </c>
      <c r="E13939" t="s">
        <v>1</v>
      </c>
      <c r="F13939" t="s">
        <v>0</v>
      </c>
      <c r="G13939" t="str">
        <f>"2018-10-13 08:59:06"</f>
        <v>2018-10-13 08:59:06</v>
      </c>
    </row>
    <row r="13940" spans="1:7" x14ac:dyDescent="0.2">
      <c r="A13940" t="s">
        <v>1</v>
      </c>
      <c r="B13940" t="str">
        <f>"18322465037"</f>
        <v>18322465037</v>
      </c>
      <c r="C13940" t="s">
        <v>1</v>
      </c>
      <c r="D13940" t="s">
        <v>1</v>
      </c>
      <c r="E13940" t="s">
        <v>1</v>
      </c>
      <c r="F13940" t="s">
        <v>0</v>
      </c>
      <c r="G13940" t="str">
        <f>"2018-10-13 10:00:20"</f>
        <v>2018-10-13 10:00:20</v>
      </c>
    </row>
    <row r="13941" spans="1:7" x14ac:dyDescent="0.2">
      <c r="A13941" t="s">
        <v>13772</v>
      </c>
      <c r="B13941" t="str">
        <f>"13791594633"</f>
        <v>13791594633</v>
      </c>
      <c r="C13941" t="str">
        <f>"371321198910303924"</f>
        <v>371321198910303924</v>
      </c>
      <c r="D13941" t="s">
        <v>13773</v>
      </c>
      <c r="E13941" t="s">
        <v>13774</v>
      </c>
      <c r="F13941" t="s">
        <v>0</v>
      </c>
      <c r="G13941" t="str">
        <f>"2018-10-13 09:00:37"</f>
        <v>2018-10-13 09:00:37</v>
      </c>
    </row>
    <row r="13942" spans="1:7" x14ac:dyDescent="0.2">
      <c r="A13942" t="s">
        <v>13775</v>
      </c>
      <c r="B13942" t="str">
        <f>"13453812061"</f>
        <v>13453812061</v>
      </c>
      <c r="C13942" t="str">
        <f>"142327199208011754"</f>
        <v>142327199208011754</v>
      </c>
      <c r="D13942" t="s">
        <v>1</v>
      </c>
      <c r="E13942" t="s">
        <v>1</v>
      </c>
      <c r="F13942" t="s">
        <v>0</v>
      </c>
      <c r="G13942" t="str">
        <f>"2018-10-13 08:59:02"</f>
        <v>2018-10-13 08:59:02</v>
      </c>
    </row>
    <row r="13943" spans="1:7" x14ac:dyDescent="0.2">
      <c r="A13943" t="s">
        <v>1293</v>
      </c>
      <c r="B13943" t="str">
        <f>"13754375001"</f>
        <v>13754375001</v>
      </c>
      <c r="C13943" t="str">
        <f>"330622197612036717"</f>
        <v>330622197612036717</v>
      </c>
      <c r="D13943" t="s">
        <v>1</v>
      </c>
      <c r="E13943" t="s">
        <v>1</v>
      </c>
      <c r="F13943" t="s">
        <v>0</v>
      </c>
      <c r="G13943" t="str">
        <f>"2018-10-13 09:01:28"</f>
        <v>2018-10-13 09:01:28</v>
      </c>
    </row>
    <row r="13944" spans="1:7" x14ac:dyDescent="0.2">
      <c r="A13944" t="s">
        <v>13776</v>
      </c>
      <c r="B13944" t="str">
        <f>"15271707152"</f>
        <v>15271707152</v>
      </c>
      <c r="C13944" t="str">
        <f>"420704198411040313"</f>
        <v>420704198411040313</v>
      </c>
      <c r="D13944" t="s">
        <v>1</v>
      </c>
      <c r="E13944" t="s">
        <v>1</v>
      </c>
      <c r="F13944" t="s">
        <v>0</v>
      </c>
      <c r="G13944" t="str">
        <f>"2018-10-13 08:58:07"</f>
        <v>2018-10-13 08:58:07</v>
      </c>
    </row>
    <row r="13945" spans="1:7" x14ac:dyDescent="0.2">
      <c r="A13945" t="s">
        <v>13777</v>
      </c>
      <c r="B13945" t="str">
        <f>"15278027670"</f>
        <v>15278027670</v>
      </c>
      <c r="C13945" t="str">
        <f>"452122199002055719"</f>
        <v>452122199002055719</v>
      </c>
      <c r="D13945" t="s">
        <v>13778</v>
      </c>
      <c r="E13945" t="s">
        <v>13779</v>
      </c>
      <c r="F13945" t="s">
        <v>0</v>
      </c>
      <c r="G13945" t="str">
        <f>"2018-10-13 09:00:07"</f>
        <v>2018-10-13 09:00:07</v>
      </c>
    </row>
    <row r="13946" spans="1:7" x14ac:dyDescent="0.2">
      <c r="A13946" t="s">
        <v>13780</v>
      </c>
      <c r="B13946" t="str">
        <f>"15233085352"</f>
        <v>15233085352</v>
      </c>
      <c r="C13946" t="str">
        <f>"131128199104063632"</f>
        <v>131128199104063632</v>
      </c>
      <c r="D13946" t="s">
        <v>13781</v>
      </c>
      <c r="E13946" t="s">
        <v>13782</v>
      </c>
      <c r="F13946" t="s">
        <v>0</v>
      </c>
      <c r="G13946" t="str">
        <f>"2018-10-13 09:01:43"</f>
        <v>2018-10-13 09:01:43</v>
      </c>
    </row>
    <row r="13947" spans="1:7" x14ac:dyDescent="0.2">
      <c r="A13947" t="s">
        <v>1</v>
      </c>
      <c r="B13947" t="str">
        <f>"18869757995"</f>
        <v>18869757995</v>
      </c>
      <c r="C13947" t="s">
        <v>1</v>
      </c>
      <c r="D13947" t="s">
        <v>1</v>
      </c>
      <c r="E13947" t="s">
        <v>1</v>
      </c>
      <c r="F13947" t="s">
        <v>0</v>
      </c>
      <c r="G13947" t="str">
        <f>"2018-10-13 08:57:34"</f>
        <v>2018-10-13 08:57:34</v>
      </c>
    </row>
    <row r="13948" spans="1:7" x14ac:dyDescent="0.2">
      <c r="A13948" t="s">
        <v>13783</v>
      </c>
      <c r="B13948" t="str">
        <f>"13755148260"</f>
        <v>13755148260</v>
      </c>
      <c r="C13948" t="str">
        <f>"430923199106043514"</f>
        <v>430923199106043514</v>
      </c>
      <c r="D13948" t="s">
        <v>13784</v>
      </c>
      <c r="E13948" t="s">
        <v>13785</v>
      </c>
      <c r="F13948" t="s">
        <v>0</v>
      </c>
      <c r="G13948" t="str">
        <f>"2018-10-13 11:50:12"</f>
        <v>2018-10-13 11:50:12</v>
      </c>
    </row>
    <row r="13949" spans="1:7" x14ac:dyDescent="0.2">
      <c r="A13949" t="s">
        <v>13786</v>
      </c>
      <c r="B13949" t="str">
        <f>"13836349884"</f>
        <v>13836349884</v>
      </c>
      <c r="C13949" t="str">
        <f>"231085198211073319"</f>
        <v>231085198211073319</v>
      </c>
      <c r="D13949" t="s">
        <v>1</v>
      </c>
      <c r="E13949" t="s">
        <v>1</v>
      </c>
      <c r="F13949" t="s">
        <v>0</v>
      </c>
      <c r="G13949" t="str">
        <f>"2018-10-13 08:58:21"</f>
        <v>2018-10-13 08:58:21</v>
      </c>
    </row>
    <row r="13950" spans="1:7" x14ac:dyDescent="0.2">
      <c r="A13950" t="s">
        <v>13787</v>
      </c>
      <c r="B13950" t="str">
        <f>"15155185857"</f>
        <v>15155185857</v>
      </c>
      <c r="C13950" t="str">
        <f>"340121198610184639"</f>
        <v>340121198610184639</v>
      </c>
      <c r="D13950" t="s">
        <v>1</v>
      </c>
      <c r="E13950" t="s">
        <v>1</v>
      </c>
      <c r="F13950" t="s">
        <v>0</v>
      </c>
      <c r="G13950" t="str">
        <f>"2018-10-13 09:02:01"</f>
        <v>2018-10-13 09:02:01</v>
      </c>
    </row>
    <row r="13951" spans="1:7" x14ac:dyDescent="0.2">
      <c r="A13951" t="s">
        <v>1</v>
      </c>
      <c r="B13951" t="str">
        <f>"15751680250"</f>
        <v>15751680250</v>
      </c>
      <c r="C13951" t="s">
        <v>1</v>
      </c>
      <c r="D13951" t="s">
        <v>1</v>
      </c>
      <c r="E13951" t="s">
        <v>1</v>
      </c>
      <c r="F13951" t="s">
        <v>0</v>
      </c>
      <c r="G13951" t="str">
        <f>"2018-10-13 08:56:21"</f>
        <v>2018-10-13 08:56:21</v>
      </c>
    </row>
    <row r="13952" spans="1:7" x14ac:dyDescent="0.2">
      <c r="A13952" t="s">
        <v>13788</v>
      </c>
      <c r="B13952" t="str">
        <f>"13543137221"</f>
        <v>13543137221</v>
      </c>
      <c r="C13952" t="str">
        <f>"441502199410253013"</f>
        <v>441502199410253013</v>
      </c>
      <c r="D13952" t="s">
        <v>1</v>
      </c>
      <c r="E13952" t="s">
        <v>1</v>
      </c>
      <c r="F13952" t="s">
        <v>0</v>
      </c>
      <c r="G13952" t="str">
        <f>"2018-10-13 08:57:14"</f>
        <v>2018-10-13 08:57:14</v>
      </c>
    </row>
    <row r="13953" spans="1:7" x14ac:dyDescent="0.2">
      <c r="A13953" t="s">
        <v>1</v>
      </c>
      <c r="B13953" t="str">
        <f>"18776126628"</f>
        <v>18776126628</v>
      </c>
      <c r="C13953" t="s">
        <v>1</v>
      </c>
      <c r="D13953" t="s">
        <v>1</v>
      </c>
      <c r="E13953" t="s">
        <v>1</v>
      </c>
      <c r="F13953" t="s">
        <v>0</v>
      </c>
      <c r="G13953" t="str">
        <f>"2018-10-13 08:55:46"</f>
        <v>2018-10-13 08:55:46</v>
      </c>
    </row>
    <row r="13954" spans="1:7" x14ac:dyDescent="0.2">
      <c r="A13954" t="s">
        <v>611</v>
      </c>
      <c r="B13954" t="str">
        <f>"15048591671"</f>
        <v>15048591671</v>
      </c>
      <c r="C13954" t="str">
        <f>"152822198707217223"</f>
        <v>152822198707217223</v>
      </c>
      <c r="D13954" t="s">
        <v>1</v>
      </c>
      <c r="E13954" t="s">
        <v>1</v>
      </c>
      <c r="F13954" t="s">
        <v>0</v>
      </c>
      <c r="G13954" t="str">
        <f>"2018-10-13 08:56:55"</f>
        <v>2018-10-13 08:56:55</v>
      </c>
    </row>
    <row r="13955" spans="1:7" x14ac:dyDescent="0.2">
      <c r="A13955" t="s">
        <v>1760</v>
      </c>
      <c r="B13955" t="str">
        <f>"18639999117"</f>
        <v>18639999117</v>
      </c>
      <c r="C13955" t="str">
        <f>"411122198510287513"</f>
        <v>411122198510287513</v>
      </c>
      <c r="D13955" t="s">
        <v>1</v>
      </c>
      <c r="E13955" t="s">
        <v>1</v>
      </c>
      <c r="F13955" t="s">
        <v>0</v>
      </c>
      <c r="G13955" t="str">
        <f>"2018-10-13 08:56:35"</f>
        <v>2018-10-13 08:56:35</v>
      </c>
    </row>
    <row r="13956" spans="1:7" x14ac:dyDescent="0.2">
      <c r="A13956" t="s">
        <v>1</v>
      </c>
      <c r="B13956" t="str">
        <f>"17334301925"</f>
        <v>17334301925</v>
      </c>
      <c r="C13956" t="s">
        <v>1</v>
      </c>
      <c r="D13956" t="s">
        <v>1</v>
      </c>
      <c r="E13956" t="s">
        <v>1</v>
      </c>
      <c r="F13956" t="s">
        <v>0</v>
      </c>
      <c r="G13956" t="str">
        <f>"2018-10-13 08:55:00"</f>
        <v>2018-10-13 08:55:00</v>
      </c>
    </row>
    <row r="13957" spans="1:7" x14ac:dyDescent="0.2">
      <c r="A13957" t="s">
        <v>13789</v>
      </c>
      <c r="B13957" t="str">
        <f>"15060694563"</f>
        <v>15060694563</v>
      </c>
      <c r="C13957" t="str">
        <f>"350821199002043028"</f>
        <v>350821199002043028</v>
      </c>
      <c r="D13957" t="s">
        <v>1</v>
      </c>
      <c r="E13957" t="s">
        <v>1</v>
      </c>
      <c r="F13957" t="s">
        <v>0</v>
      </c>
      <c r="G13957" t="str">
        <f>"2018-10-19 07:11:08"</f>
        <v>2018-10-19 07:11:08</v>
      </c>
    </row>
    <row r="13958" spans="1:7" x14ac:dyDescent="0.2">
      <c r="A13958" t="s">
        <v>1</v>
      </c>
      <c r="B13958" t="str">
        <f>"13987891778"</f>
        <v>13987891778</v>
      </c>
      <c r="C13958" t="s">
        <v>1</v>
      </c>
      <c r="D13958" t="s">
        <v>1</v>
      </c>
      <c r="E13958" t="s">
        <v>1</v>
      </c>
      <c r="F13958" t="s">
        <v>0</v>
      </c>
      <c r="G13958" t="str">
        <f>"2018-10-13 08:54:59"</f>
        <v>2018-10-13 08:54:59</v>
      </c>
    </row>
    <row r="13959" spans="1:7" x14ac:dyDescent="0.2">
      <c r="A13959" t="s">
        <v>13790</v>
      </c>
      <c r="B13959" t="str">
        <f>"18329404927"</f>
        <v>18329404927</v>
      </c>
      <c r="C13959" t="str">
        <f>"610404199306293515"</f>
        <v>610404199306293515</v>
      </c>
      <c r="D13959" t="s">
        <v>1</v>
      </c>
      <c r="E13959" t="s">
        <v>1</v>
      </c>
      <c r="F13959" t="s">
        <v>0</v>
      </c>
      <c r="G13959" t="str">
        <f>"2018-10-13 08:56:01"</f>
        <v>2018-10-13 08:56:01</v>
      </c>
    </row>
    <row r="13960" spans="1:7" x14ac:dyDescent="0.2">
      <c r="A13960" t="s">
        <v>1</v>
      </c>
      <c r="B13960" t="str">
        <f>"13887181706"</f>
        <v>13887181706</v>
      </c>
      <c r="C13960" t="s">
        <v>1</v>
      </c>
      <c r="D13960" t="s">
        <v>1</v>
      </c>
      <c r="E13960" t="s">
        <v>1</v>
      </c>
      <c r="F13960" t="s">
        <v>0</v>
      </c>
      <c r="G13960" t="str">
        <f>"2018-10-13 08:53:08"</f>
        <v>2018-10-13 08:53:08</v>
      </c>
    </row>
    <row r="13961" spans="1:7" x14ac:dyDescent="0.2">
      <c r="A13961" t="s">
        <v>13791</v>
      </c>
      <c r="B13961" t="str">
        <f>"18008830017"</f>
        <v>18008830017</v>
      </c>
      <c r="C13961" t="str">
        <f>"533524199603041238"</f>
        <v>533524199603041238</v>
      </c>
      <c r="D13961" t="s">
        <v>1</v>
      </c>
      <c r="E13961" t="s">
        <v>1</v>
      </c>
      <c r="F13961" t="s">
        <v>0</v>
      </c>
      <c r="G13961" t="str">
        <f>"2018-10-13 10:03:54"</f>
        <v>2018-10-13 10:03:54</v>
      </c>
    </row>
    <row r="13962" spans="1:7" x14ac:dyDescent="0.2">
      <c r="A13962" t="s">
        <v>13792</v>
      </c>
      <c r="B13962" t="str">
        <f>"15589753682"</f>
        <v>15589753682</v>
      </c>
      <c r="C13962" t="str">
        <f>"370827199406083538"</f>
        <v>370827199406083538</v>
      </c>
      <c r="D13962" t="s">
        <v>1</v>
      </c>
      <c r="E13962" t="s">
        <v>1</v>
      </c>
      <c r="F13962" t="s">
        <v>0</v>
      </c>
      <c r="G13962" t="str">
        <f>"2018-10-13 08:52:46"</f>
        <v>2018-10-13 08:52:46</v>
      </c>
    </row>
    <row r="13963" spans="1:7" x14ac:dyDescent="0.2">
      <c r="A13963" t="s">
        <v>13793</v>
      </c>
      <c r="B13963" t="str">
        <f>"15705026392"</f>
        <v>15705026392</v>
      </c>
      <c r="C13963" t="str">
        <f>"152223199412105214"</f>
        <v>152223199412105214</v>
      </c>
      <c r="D13963" t="s">
        <v>1</v>
      </c>
      <c r="E13963" t="s">
        <v>1</v>
      </c>
      <c r="F13963" t="s">
        <v>0</v>
      </c>
      <c r="G13963" t="str">
        <f>"2018-10-13 08:52:24"</f>
        <v>2018-10-13 08:52:24</v>
      </c>
    </row>
    <row r="13964" spans="1:7" x14ac:dyDescent="0.2">
      <c r="A13964" t="s">
        <v>1</v>
      </c>
      <c r="B13964" t="str">
        <f>"13507727297"</f>
        <v>13507727297</v>
      </c>
      <c r="C13964" t="s">
        <v>1</v>
      </c>
      <c r="D13964" t="s">
        <v>1</v>
      </c>
      <c r="E13964" t="s">
        <v>1</v>
      </c>
      <c r="F13964" t="s">
        <v>0</v>
      </c>
      <c r="G13964" t="str">
        <f>"2018-10-13 08:52:23"</f>
        <v>2018-10-13 08:52:23</v>
      </c>
    </row>
    <row r="13965" spans="1:7" x14ac:dyDescent="0.2">
      <c r="A13965" t="s">
        <v>1</v>
      </c>
      <c r="B13965" t="str">
        <f>"13655815769"</f>
        <v>13655815769</v>
      </c>
      <c r="C13965" t="s">
        <v>1</v>
      </c>
      <c r="D13965" t="s">
        <v>1</v>
      </c>
      <c r="E13965" t="s">
        <v>1</v>
      </c>
      <c r="F13965" t="s">
        <v>0</v>
      </c>
      <c r="G13965" t="str">
        <f>"2018-10-13 08:52:10"</f>
        <v>2018-10-13 08:52:10</v>
      </c>
    </row>
    <row r="13966" spans="1:7" x14ac:dyDescent="0.2">
      <c r="A13966" t="s">
        <v>13794</v>
      </c>
      <c r="B13966" t="str">
        <f>"15253694931"</f>
        <v>15253694931</v>
      </c>
      <c r="C13966" t="str">
        <f>"371321198409104753"</f>
        <v>371321198409104753</v>
      </c>
      <c r="D13966" t="s">
        <v>1</v>
      </c>
      <c r="E13966" t="s">
        <v>1</v>
      </c>
      <c r="F13966" t="s">
        <v>0</v>
      </c>
      <c r="G13966" t="str">
        <f>"2018-10-13 08:53:01"</f>
        <v>2018-10-13 08:53:01</v>
      </c>
    </row>
    <row r="13967" spans="1:7" x14ac:dyDescent="0.2">
      <c r="A13967" t="s">
        <v>1</v>
      </c>
      <c r="B13967" t="str">
        <f>"13351179016"</f>
        <v>13351179016</v>
      </c>
      <c r="C13967" t="s">
        <v>1</v>
      </c>
      <c r="D13967" t="s">
        <v>1</v>
      </c>
      <c r="E13967" t="s">
        <v>1</v>
      </c>
      <c r="F13967" t="s">
        <v>0</v>
      </c>
      <c r="G13967" t="str">
        <f>"2018-10-13 08:51:33"</f>
        <v>2018-10-13 08:51:33</v>
      </c>
    </row>
    <row r="13968" spans="1:7" x14ac:dyDescent="0.2">
      <c r="A13968" t="s">
        <v>13795</v>
      </c>
      <c r="B13968" t="str">
        <f>"15504998554"</f>
        <v>15504998554</v>
      </c>
      <c r="C13968" t="str">
        <f>"131182199012206649"</f>
        <v>131182199012206649</v>
      </c>
      <c r="D13968" t="s">
        <v>1</v>
      </c>
      <c r="E13968" t="s">
        <v>1</v>
      </c>
      <c r="F13968" t="s">
        <v>0</v>
      </c>
      <c r="G13968" t="str">
        <f>"2018-10-13 08:53:51"</f>
        <v>2018-10-13 08:53:51</v>
      </c>
    </row>
    <row r="13969" spans="1:7" x14ac:dyDescent="0.2">
      <c r="A13969" t="s">
        <v>13796</v>
      </c>
      <c r="B13969" t="str">
        <f>"15223248678"</f>
        <v>15223248678</v>
      </c>
      <c r="C13969" t="str">
        <f>"500109198908100421"</f>
        <v>500109198908100421</v>
      </c>
      <c r="D13969" t="s">
        <v>1</v>
      </c>
      <c r="E13969" t="s">
        <v>1</v>
      </c>
      <c r="F13969" t="s">
        <v>0</v>
      </c>
      <c r="G13969" t="str">
        <f>"2018-10-13 09:08:08"</f>
        <v>2018-10-13 09:08:08</v>
      </c>
    </row>
    <row r="13970" spans="1:7" x14ac:dyDescent="0.2">
      <c r="A13970" t="s">
        <v>13797</v>
      </c>
      <c r="B13970" t="str">
        <f>"18295788152"</f>
        <v>18295788152</v>
      </c>
      <c r="C13970" t="str">
        <f>"142731198710220318"</f>
        <v>142731198710220318</v>
      </c>
      <c r="D13970" t="s">
        <v>1</v>
      </c>
      <c r="E13970" t="s">
        <v>1</v>
      </c>
      <c r="F13970" t="s">
        <v>0</v>
      </c>
      <c r="G13970" t="str">
        <f>"2018-10-13 09:06:05"</f>
        <v>2018-10-13 09:06:05</v>
      </c>
    </row>
    <row r="13971" spans="1:7" x14ac:dyDescent="0.2">
      <c r="A13971" t="s">
        <v>1</v>
      </c>
      <c r="B13971" t="str">
        <f>"15908012101"</f>
        <v>15908012101</v>
      </c>
      <c r="C13971" t="s">
        <v>1</v>
      </c>
      <c r="D13971" t="s">
        <v>1</v>
      </c>
      <c r="E13971" t="s">
        <v>1</v>
      </c>
      <c r="F13971" t="s">
        <v>0</v>
      </c>
      <c r="G13971" t="str">
        <f>"2018-10-13 08:50:36"</f>
        <v>2018-10-13 08:50:36</v>
      </c>
    </row>
    <row r="13972" spans="1:7" x14ac:dyDescent="0.2">
      <c r="A13972" t="s">
        <v>13798</v>
      </c>
      <c r="B13972" t="str">
        <f>"18321721962"</f>
        <v>18321721962</v>
      </c>
      <c r="C13972" t="str">
        <f>"411424198602062812"</f>
        <v>411424198602062812</v>
      </c>
      <c r="D13972" t="s">
        <v>1</v>
      </c>
      <c r="E13972" t="s">
        <v>1</v>
      </c>
      <c r="F13972" t="s">
        <v>0</v>
      </c>
      <c r="G13972" t="str">
        <f>"2018-10-13 08:53:06"</f>
        <v>2018-10-13 08:53:06</v>
      </c>
    </row>
    <row r="13973" spans="1:7" x14ac:dyDescent="0.2">
      <c r="A13973" t="s">
        <v>13799</v>
      </c>
      <c r="B13973" t="str">
        <f>"13937299577"</f>
        <v>13937299577</v>
      </c>
      <c r="C13973" t="str">
        <f>"410511197911190031"</f>
        <v>410511197911190031</v>
      </c>
      <c r="D13973" t="s">
        <v>1</v>
      </c>
      <c r="E13973" t="s">
        <v>1</v>
      </c>
      <c r="F13973" t="s">
        <v>0</v>
      </c>
      <c r="G13973" t="str">
        <f>"2018-10-13 08:52:19"</f>
        <v>2018-10-13 08:52:19</v>
      </c>
    </row>
    <row r="13974" spans="1:7" x14ac:dyDescent="0.2">
      <c r="A13974" t="s">
        <v>13800</v>
      </c>
      <c r="B13974" t="str">
        <f>"15078567274"</f>
        <v>15078567274</v>
      </c>
      <c r="C13974" t="str">
        <f>"452702199412073271"</f>
        <v>452702199412073271</v>
      </c>
      <c r="D13974" t="s">
        <v>1</v>
      </c>
      <c r="E13974" t="s">
        <v>1</v>
      </c>
      <c r="F13974" t="s">
        <v>0</v>
      </c>
      <c r="G13974" t="str">
        <f>"2018-10-13 08:58:44"</f>
        <v>2018-10-13 08:58:44</v>
      </c>
    </row>
    <row r="13975" spans="1:7" x14ac:dyDescent="0.2">
      <c r="A13975" t="s">
        <v>13801</v>
      </c>
      <c r="B13975" t="str">
        <f>"18322699802"</f>
        <v>18322699802</v>
      </c>
      <c r="C13975" t="str">
        <f>"371522199005083919"</f>
        <v>371522199005083919</v>
      </c>
      <c r="D13975" t="s">
        <v>13802</v>
      </c>
      <c r="E13975" t="s">
        <v>13803</v>
      </c>
      <c r="F13975" t="s">
        <v>0</v>
      </c>
      <c r="G13975" t="str">
        <f>"2018-10-13 08:50:31"</f>
        <v>2018-10-13 08:50:31</v>
      </c>
    </row>
    <row r="13976" spans="1:7" x14ac:dyDescent="0.2">
      <c r="A13976" t="s">
        <v>1674</v>
      </c>
      <c r="B13976" t="str">
        <f>"13951123462"</f>
        <v>13951123462</v>
      </c>
      <c r="C13976" t="str">
        <f>"320525198003163012"</f>
        <v>320525198003163012</v>
      </c>
      <c r="D13976" t="s">
        <v>13804</v>
      </c>
      <c r="E13976" t="s">
        <v>13805</v>
      </c>
      <c r="F13976" t="s">
        <v>0</v>
      </c>
      <c r="G13976" t="str">
        <f>"2018-10-27 15:05:47"</f>
        <v>2018-10-27 15:05:47</v>
      </c>
    </row>
    <row r="13977" spans="1:7" x14ac:dyDescent="0.2">
      <c r="A13977" t="s">
        <v>13806</v>
      </c>
      <c r="B13977" t="str">
        <f>"15714298433"</f>
        <v>15714298433</v>
      </c>
      <c r="C13977" t="str">
        <f>"211402199604262614"</f>
        <v>211402199604262614</v>
      </c>
      <c r="D13977" t="s">
        <v>1</v>
      </c>
      <c r="E13977" t="s">
        <v>1</v>
      </c>
      <c r="F13977" t="s">
        <v>0</v>
      </c>
      <c r="G13977" t="str">
        <f>"2018-10-14 08:48:01"</f>
        <v>2018-10-14 08:48:01</v>
      </c>
    </row>
    <row r="13978" spans="1:7" x14ac:dyDescent="0.2">
      <c r="A13978" t="s">
        <v>13807</v>
      </c>
      <c r="B13978" t="str">
        <f>"15825247623"</f>
        <v>15825247623</v>
      </c>
      <c r="C13978" t="str">
        <f>"532329198607030726"</f>
        <v>532329198607030726</v>
      </c>
      <c r="D13978" t="s">
        <v>1</v>
      </c>
      <c r="E13978" t="s">
        <v>1</v>
      </c>
      <c r="F13978" t="s">
        <v>0</v>
      </c>
      <c r="G13978" t="str">
        <f>"2018-10-13 08:50:35"</f>
        <v>2018-10-13 08:50:35</v>
      </c>
    </row>
    <row r="13979" spans="1:7" x14ac:dyDescent="0.2">
      <c r="A13979" t="s">
        <v>13808</v>
      </c>
      <c r="B13979" t="str">
        <f>"13412467845"</f>
        <v>13412467845</v>
      </c>
      <c r="C13979" t="str">
        <f>"420527199201274670"</f>
        <v>420527199201274670</v>
      </c>
      <c r="D13979" t="s">
        <v>1</v>
      </c>
      <c r="E13979" t="s">
        <v>1</v>
      </c>
      <c r="F13979" t="s">
        <v>0</v>
      </c>
      <c r="G13979" t="str">
        <f>"2018-10-13 08:50:01"</f>
        <v>2018-10-13 08:50:01</v>
      </c>
    </row>
    <row r="13980" spans="1:7" x14ac:dyDescent="0.2">
      <c r="A13980" t="s">
        <v>1</v>
      </c>
      <c r="B13980" t="str">
        <f>"15121585593"</f>
        <v>15121585593</v>
      </c>
      <c r="C13980" t="s">
        <v>1</v>
      </c>
      <c r="D13980" t="s">
        <v>1</v>
      </c>
      <c r="E13980" t="s">
        <v>1</v>
      </c>
      <c r="F13980" t="s">
        <v>0</v>
      </c>
      <c r="G13980" t="str">
        <f>"2018-10-13 08:47:25"</f>
        <v>2018-10-13 08:47:25</v>
      </c>
    </row>
    <row r="13981" spans="1:7" x14ac:dyDescent="0.2">
      <c r="A13981" t="s">
        <v>1</v>
      </c>
      <c r="B13981" t="str">
        <f>"18805120438"</f>
        <v>18805120438</v>
      </c>
      <c r="C13981" t="s">
        <v>1</v>
      </c>
      <c r="D13981" t="s">
        <v>1</v>
      </c>
      <c r="E13981" t="s">
        <v>1</v>
      </c>
      <c r="F13981" t="s">
        <v>0</v>
      </c>
      <c r="G13981" t="str">
        <f>"2018-10-13 08:47:05"</f>
        <v>2018-10-13 08:47:05</v>
      </c>
    </row>
    <row r="13982" spans="1:7" x14ac:dyDescent="0.2">
      <c r="A13982" t="s">
        <v>948</v>
      </c>
      <c r="B13982" t="str">
        <f>"13408967287"</f>
        <v>13408967287</v>
      </c>
      <c r="C13982" t="str">
        <f>"532526198509040850"</f>
        <v>532526198509040850</v>
      </c>
      <c r="D13982" t="s">
        <v>13809</v>
      </c>
      <c r="E13982" t="s">
        <v>13810</v>
      </c>
      <c r="F13982" t="s">
        <v>0</v>
      </c>
      <c r="G13982" t="str">
        <f>"2018-10-13 08:48:08"</f>
        <v>2018-10-13 08:48:08</v>
      </c>
    </row>
    <row r="13983" spans="1:7" x14ac:dyDescent="0.2">
      <c r="A13983" t="s">
        <v>1</v>
      </c>
      <c r="B13983" t="str">
        <f>"15059666219"</f>
        <v>15059666219</v>
      </c>
      <c r="C13983" t="s">
        <v>1</v>
      </c>
      <c r="D13983" t="s">
        <v>1</v>
      </c>
      <c r="E13983" t="s">
        <v>1</v>
      </c>
      <c r="F13983" t="s">
        <v>0</v>
      </c>
      <c r="G13983" t="str">
        <f>"2018-10-13 08:46:57"</f>
        <v>2018-10-13 08:46:57</v>
      </c>
    </row>
    <row r="13984" spans="1:7" x14ac:dyDescent="0.2">
      <c r="A13984" t="s">
        <v>1</v>
      </c>
      <c r="B13984" t="str">
        <f>"18712539333"</f>
        <v>18712539333</v>
      </c>
      <c r="C13984" t="s">
        <v>1</v>
      </c>
      <c r="D13984" t="s">
        <v>1</v>
      </c>
      <c r="E13984" t="s">
        <v>1</v>
      </c>
      <c r="F13984" t="s">
        <v>0</v>
      </c>
      <c r="G13984" t="str">
        <f>"2018-10-13 08:48:28"</f>
        <v>2018-10-13 08:48:28</v>
      </c>
    </row>
    <row r="13985" spans="1:7" x14ac:dyDescent="0.2">
      <c r="A13985" t="s">
        <v>1</v>
      </c>
      <c r="B13985" t="str">
        <f>"18389900769"</f>
        <v>18389900769</v>
      </c>
      <c r="C13985" t="s">
        <v>1</v>
      </c>
      <c r="D13985" t="s">
        <v>1</v>
      </c>
      <c r="E13985" t="s">
        <v>1</v>
      </c>
      <c r="F13985" t="s">
        <v>0</v>
      </c>
      <c r="G13985" t="str">
        <f>"2018-10-13 08:46:41"</f>
        <v>2018-10-13 08:46:41</v>
      </c>
    </row>
    <row r="13986" spans="1:7" x14ac:dyDescent="0.2">
      <c r="A13986" t="s">
        <v>13811</v>
      </c>
      <c r="B13986" t="str">
        <f>"13987297925"</f>
        <v>13987297925</v>
      </c>
      <c r="C13986" t="str">
        <f>"532901198306163732"</f>
        <v>532901198306163732</v>
      </c>
      <c r="D13986" t="s">
        <v>13812</v>
      </c>
      <c r="E13986" t="s">
        <v>13813</v>
      </c>
      <c r="F13986" t="s">
        <v>0</v>
      </c>
      <c r="G13986" t="str">
        <f>"2018-10-13 08:48:26"</f>
        <v>2018-10-13 08:48:26</v>
      </c>
    </row>
    <row r="13987" spans="1:7" x14ac:dyDescent="0.2">
      <c r="A13987" t="s">
        <v>13814</v>
      </c>
      <c r="B13987" t="str">
        <f>"18457958232"</f>
        <v>18457958232</v>
      </c>
      <c r="C13987" t="str">
        <f>"330782199607071914"</f>
        <v>330782199607071914</v>
      </c>
      <c r="D13987" t="s">
        <v>1</v>
      </c>
      <c r="E13987" t="s">
        <v>1</v>
      </c>
      <c r="F13987" t="s">
        <v>0</v>
      </c>
      <c r="G13987" t="str">
        <f>"2018-10-13 17:01:10"</f>
        <v>2018-10-13 17:01:10</v>
      </c>
    </row>
    <row r="13988" spans="1:7" x14ac:dyDescent="0.2">
      <c r="A13988" t="s">
        <v>1</v>
      </c>
      <c r="B13988" t="str">
        <f>"13582152131"</f>
        <v>13582152131</v>
      </c>
      <c r="C13988" t="s">
        <v>1</v>
      </c>
      <c r="D13988" t="s">
        <v>1</v>
      </c>
      <c r="E13988" t="s">
        <v>1</v>
      </c>
      <c r="F13988" t="s">
        <v>0</v>
      </c>
      <c r="G13988" t="str">
        <f>"2018-10-13 08:46:02"</f>
        <v>2018-10-13 08:46:02</v>
      </c>
    </row>
    <row r="13989" spans="1:7" x14ac:dyDescent="0.2">
      <c r="A13989" t="s">
        <v>1</v>
      </c>
      <c r="B13989" t="str">
        <f>"13705889488"</f>
        <v>13705889488</v>
      </c>
      <c r="C13989" t="s">
        <v>1</v>
      </c>
      <c r="D13989" t="s">
        <v>1</v>
      </c>
      <c r="E13989" t="s">
        <v>1</v>
      </c>
      <c r="F13989" t="s">
        <v>0</v>
      </c>
      <c r="G13989" t="str">
        <f>"2018-10-13 08:45:49"</f>
        <v>2018-10-13 08:45:49</v>
      </c>
    </row>
    <row r="13990" spans="1:7" x14ac:dyDescent="0.2">
      <c r="A13990" t="s">
        <v>13815</v>
      </c>
      <c r="B13990" t="str">
        <f>"18329753539"</f>
        <v>18329753539</v>
      </c>
      <c r="C13990" t="str">
        <f>"610427198801183217"</f>
        <v>610427198801183217</v>
      </c>
      <c r="D13990" t="s">
        <v>1</v>
      </c>
      <c r="E13990" t="s">
        <v>1</v>
      </c>
      <c r="F13990" t="s">
        <v>0</v>
      </c>
      <c r="G13990" t="str">
        <f>"2018-10-13 08:49:45"</f>
        <v>2018-10-13 08:49:45</v>
      </c>
    </row>
    <row r="13991" spans="1:7" x14ac:dyDescent="0.2">
      <c r="A13991" t="s">
        <v>1</v>
      </c>
      <c r="B13991" t="str">
        <f>"13752491377"</f>
        <v>13752491377</v>
      </c>
      <c r="C13991" t="s">
        <v>1</v>
      </c>
      <c r="D13991" t="s">
        <v>1</v>
      </c>
      <c r="E13991" t="s">
        <v>1</v>
      </c>
      <c r="F13991" t="s">
        <v>0</v>
      </c>
      <c r="G13991" t="str">
        <f>"2018-10-13 08:49:12"</f>
        <v>2018-10-13 08:49:12</v>
      </c>
    </row>
    <row r="13992" spans="1:7" x14ac:dyDescent="0.2">
      <c r="A13992" t="s">
        <v>1</v>
      </c>
      <c r="B13992" t="str">
        <f>"18276553843"</f>
        <v>18276553843</v>
      </c>
      <c r="C13992" t="s">
        <v>1</v>
      </c>
      <c r="D13992" t="s">
        <v>1</v>
      </c>
      <c r="E13992" t="s">
        <v>1</v>
      </c>
      <c r="F13992" t="s">
        <v>0</v>
      </c>
      <c r="G13992" t="str">
        <f>"2018-10-13 08:48:41"</f>
        <v>2018-10-13 08:48:41</v>
      </c>
    </row>
    <row r="13993" spans="1:7" x14ac:dyDescent="0.2">
      <c r="A13993" t="s">
        <v>83</v>
      </c>
      <c r="B13993" t="str">
        <f>"17641044797"</f>
        <v>17641044797</v>
      </c>
      <c r="C13993" t="str">
        <f>"211224199612028913"</f>
        <v>211224199612028913</v>
      </c>
      <c r="D13993" t="s">
        <v>1</v>
      </c>
      <c r="E13993" t="s">
        <v>1</v>
      </c>
      <c r="F13993" t="s">
        <v>0</v>
      </c>
      <c r="G13993" t="str">
        <f>"2018-10-13 08:47:40"</f>
        <v>2018-10-13 08:47:40</v>
      </c>
    </row>
    <row r="13994" spans="1:7" x14ac:dyDescent="0.2">
      <c r="A13994" t="s">
        <v>13816</v>
      </c>
      <c r="B13994" t="str">
        <f>"15188956567"</f>
        <v>15188956567</v>
      </c>
      <c r="C13994" t="str">
        <f>"130635197803080459"</f>
        <v>130635197803080459</v>
      </c>
      <c r="D13994" t="s">
        <v>1</v>
      </c>
      <c r="E13994" t="s">
        <v>1</v>
      </c>
      <c r="F13994" t="s">
        <v>0</v>
      </c>
      <c r="G13994" t="str">
        <f>"2018-10-13 08:46:56"</f>
        <v>2018-10-13 08:46:56</v>
      </c>
    </row>
    <row r="13995" spans="1:7" x14ac:dyDescent="0.2">
      <c r="A13995" t="s">
        <v>1</v>
      </c>
      <c r="B13995" t="str">
        <f>"13971729058"</f>
        <v>13971729058</v>
      </c>
      <c r="C13995" t="s">
        <v>1</v>
      </c>
      <c r="D13995" t="s">
        <v>1</v>
      </c>
      <c r="E13995" t="s">
        <v>1</v>
      </c>
      <c r="F13995" t="s">
        <v>0</v>
      </c>
      <c r="G13995" t="str">
        <f>"2018-10-13 08:47:52"</f>
        <v>2018-10-13 08:47:52</v>
      </c>
    </row>
    <row r="13996" spans="1:7" x14ac:dyDescent="0.2">
      <c r="A13996" t="s">
        <v>13817</v>
      </c>
      <c r="B13996" t="str">
        <f>"18519894765"</f>
        <v>18519894765</v>
      </c>
      <c r="C13996" t="str">
        <f>"510113199103031116"</f>
        <v>510113199103031116</v>
      </c>
      <c r="D13996" t="s">
        <v>1</v>
      </c>
      <c r="E13996" t="s">
        <v>1</v>
      </c>
      <c r="F13996" t="s">
        <v>0</v>
      </c>
      <c r="G13996" t="str">
        <f>"2018-10-20 13:20:28"</f>
        <v>2018-10-20 13:20:28</v>
      </c>
    </row>
    <row r="13997" spans="1:7" x14ac:dyDescent="0.2">
      <c r="A13997" t="s">
        <v>13818</v>
      </c>
      <c r="B13997" t="str">
        <f>"13965099426"</f>
        <v>13965099426</v>
      </c>
      <c r="C13997" t="str">
        <f>"342425198703240023"</f>
        <v>342425198703240023</v>
      </c>
      <c r="D13997" t="s">
        <v>13819</v>
      </c>
      <c r="E13997" t="s">
        <v>13820</v>
      </c>
      <c r="F13997" t="s">
        <v>0</v>
      </c>
      <c r="G13997" t="str">
        <f>"2018-10-13 08:56:04"</f>
        <v>2018-10-13 08:56:04</v>
      </c>
    </row>
    <row r="13998" spans="1:7" x14ac:dyDescent="0.2">
      <c r="A13998" t="s">
        <v>693</v>
      </c>
      <c r="B13998" t="str">
        <f>"18311811948"</f>
        <v>18311811948</v>
      </c>
      <c r="C13998" t="str">
        <f>"522423199508099402"</f>
        <v>522423199508099402</v>
      </c>
      <c r="D13998" t="s">
        <v>13821</v>
      </c>
      <c r="E13998" t="s">
        <v>13822</v>
      </c>
      <c r="F13998" t="s">
        <v>0</v>
      </c>
      <c r="G13998" t="str">
        <f>"2018-10-13 08:53:30"</f>
        <v>2018-10-13 08:53:30</v>
      </c>
    </row>
    <row r="13999" spans="1:7" x14ac:dyDescent="0.2">
      <c r="A13999" t="s">
        <v>13823</v>
      </c>
      <c r="B13999" t="str">
        <f>"15771836749"</f>
        <v>15771836749</v>
      </c>
      <c r="C13999" t="str">
        <f>"61052519911228313X"</f>
        <v>61052519911228313X</v>
      </c>
      <c r="D13999" t="s">
        <v>13824</v>
      </c>
      <c r="E13999" t="s">
        <v>13825</v>
      </c>
      <c r="F13999" t="s">
        <v>0</v>
      </c>
      <c r="G13999" t="str">
        <f>"2018-10-13 08:45:54"</f>
        <v>2018-10-13 08:45:54</v>
      </c>
    </row>
    <row r="14000" spans="1:7" x14ac:dyDescent="0.2">
      <c r="A14000" t="s">
        <v>1</v>
      </c>
      <c r="B14000" t="str">
        <f>"18289985580"</f>
        <v>18289985580</v>
      </c>
      <c r="C14000" t="s">
        <v>1</v>
      </c>
      <c r="D14000" t="s">
        <v>1</v>
      </c>
      <c r="E14000" t="s">
        <v>1</v>
      </c>
      <c r="F14000" t="s">
        <v>0</v>
      </c>
      <c r="G14000" t="str">
        <f>"2018-10-13 08:45:56"</f>
        <v>2018-10-13 08:45:56</v>
      </c>
    </row>
    <row r="14001" spans="1:7" x14ac:dyDescent="0.2">
      <c r="A14001" t="s">
        <v>13826</v>
      </c>
      <c r="B14001" t="str">
        <f>"13557273523"</f>
        <v>13557273523</v>
      </c>
      <c r="C14001" t="str">
        <f>"421202199301015729"</f>
        <v>421202199301015729</v>
      </c>
      <c r="D14001" t="s">
        <v>1</v>
      </c>
      <c r="E14001" t="s">
        <v>1</v>
      </c>
      <c r="F14001" t="s">
        <v>0</v>
      </c>
      <c r="G14001" t="str">
        <f>"2018-10-13 10:23:58"</f>
        <v>2018-10-13 10:23:58</v>
      </c>
    </row>
    <row r="14002" spans="1:7" x14ac:dyDescent="0.2">
      <c r="A14002" t="s">
        <v>1</v>
      </c>
      <c r="B14002" t="str">
        <f>"18258551988"</f>
        <v>18258551988</v>
      </c>
      <c r="C14002" t="s">
        <v>1</v>
      </c>
      <c r="D14002" t="s">
        <v>1</v>
      </c>
      <c r="E14002" t="s">
        <v>1</v>
      </c>
      <c r="F14002" t="s">
        <v>0</v>
      </c>
      <c r="G14002" t="str">
        <f>"2018-10-13 08:44:23"</f>
        <v>2018-10-13 08:44:23</v>
      </c>
    </row>
    <row r="14003" spans="1:7" x14ac:dyDescent="0.2">
      <c r="A14003" t="s">
        <v>1</v>
      </c>
      <c r="B14003" t="str">
        <f>"13615929215"</f>
        <v>13615929215</v>
      </c>
      <c r="C14003" t="s">
        <v>1</v>
      </c>
      <c r="D14003" t="s">
        <v>1</v>
      </c>
      <c r="E14003" t="s">
        <v>1</v>
      </c>
      <c r="F14003" t="s">
        <v>0</v>
      </c>
      <c r="G14003" t="str">
        <f>"2018-10-13 08:46:05"</f>
        <v>2018-10-13 08:46:05</v>
      </c>
    </row>
    <row r="14004" spans="1:7" x14ac:dyDescent="0.2">
      <c r="A14004" t="s">
        <v>13827</v>
      </c>
      <c r="B14004" t="str">
        <f>"15080433909"</f>
        <v>15080433909</v>
      </c>
      <c r="C14004" t="str">
        <f>"35058219640402501X"</f>
        <v>35058219640402501X</v>
      </c>
      <c r="D14004" t="s">
        <v>1</v>
      </c>
      <c r="E14004" t="s">
        <v>1</v>
      </c>
      <c r="F14004" t="s">
        <v>0</v>
      </c>
      <c r="G14004" t="str">
        <f>"2018-10-13 08:52:22"</f>
        <v>2018-10-13 08:52:22</v>
      </c>
    </row>
    <row r="14005" spans="1:7" x14ac:dyDescent="0.2">
      <c r="A14005" t="s">
        <v>13828</v>
      </c>
      <c r="B14005" t="str">
        <f>"15974975712"</f>
        <v>15974975712</v>
      </c>
      <c r="C14005" t="str">
        <f>"533001199012102711"</f>
        <v>533001199012102711</v>
      </c>
      <c r="D14005" t="s">
        <v>1</v>
      </c>
      <c r="E14005" t="s">
        <v>1</v>
      </c>
      <c r="F14005" t="s">
        <v>0</v>
      </c>
      <c r="G14005" t="str">
        <f>"2018-10-13 08:45:21"</f>
        <v>2018-10-13 08:45:21</v>
      </c>
    </row>
    <row r="14006" spans="1:7" x14ac:dyDescent="0.2">
      <c r="A14006" t="s">
        <v>13829</v>
      </c>
      <c r="B14006" t="str">
        <f>"18386306786"</f>
        <v>18386306786</v>
      </c>
      <c r="C14006" t="str">
        <f>"522423200005188927"</f>
        <v>522423200005188927</v>
      </c>
      <c r="D14006" t="s">
        <v>1</v>
      </c>
      <c r="E14006" t="s">
        <v>1</v>
      </c>
      <c r="F14006" t="s">
        <v>0</v>
      </c>
      <c r="G14006" t="str">
        <f>"2018-10-13 08:54:52"</f>
        <v>2018-10-13 08:54:52</v>
      </c>
    </row>
    <row r="14007" spans="1:7" x14ac:dyDescent="0.2">
      <c r="A14007" t="s">
        <v>18</v>
      </c>
      <c r="B14007" t="str">
        <f>"17835358115"</f>
        <v>17835358115</v>
      </c>
      <c r="C14007" t="str">
        <f>"142701199101047210"</f>
        <v>142701199101047210</v>
      </c>
      <c r="D14007" t="s">
        <v>1</v>
      </c>
      <c r="E14007" t="s">
        <v>1</v>
      </c>
      <c r="F14007" t="s">
        <v>0</v>
      </c>
      <c r="G14007" t="str">
        <f>"2018-10-13 08:45:01"</f>
        <v>2018-10-13 08:45:01</v>
      </c>
    </row>
    <row r="14008" spans="1:7" x14ac:dyDescent="0.2">
      <c r="A14008" t="s">
        <v>13830</v>
      </c>
      <c r="B14008" t="str">
        <f>"15262193973"</f>
        <v>15262193973</v>
      </c>
      <c r="C14008" t="str">
        <f>"320323199508080432"</f>
        <v>320323199508080432</v>
      </c>
      <c r="D14008" t="s">
        <v>1</v>
      </c>
      <c r="E14008" t="s">
        <v>1</v>
      </c>
      <c r="F14008" t="s">
        <v>0</v>
      </c>
      <c r="G14008" t="str">
        <f>"2018-10-13 08:47:50"</f>
        <v>2018-10-13 08:47:50</v>
      </c>
    </row>
    <row r="14009" spans="1:7" x14ac:dyDescent="0.2">
      <c r="A14009" t="s">
        <v>1</v>
      </c>
      <c r="B14009" t="str">
        <f>"18644720682"</f>
        <v>18644720682</v>
      </c>
      <c r="C14009" t="s">
        <v>1</v>
      </c>
      <c r="D14009" t="s">
        <v>1</v>
      </c>
      <c r="E14009" t="s">
        <v>1</v>
      </c>
      <c r="F14009" t="s">
        <v>0</v>
      </c>
      <c r="G14009" t="str">
        <f>"2018-10-13 08:43:00"</f>
        <v>2018-10-13 08:43:00</v>
      </c>
    </row>
    <row r="14010" spans="1:7" x14ac:dyDescent="0.2">
      <c r="A14010" t="s">
        <v>1</v>
      </c>
      <c r="B14010" t="str">
        <f>"15861751467"</f>
        <v>15861751467</v>
      </c>
      <c r="C14010" t="s">
        <v>1</v>
      </c>
      <c r="D14010" t="s">
        <v>1</v>
      </c>
      <c r="E14010" t="s">
        <v>1</v>
      </c>
      <c r="F14010" t="s">
        <v>0</v>
      </c>
      <c r="G14010" t="str">
        <f>"2018-10-13 08:42:44"</f>
        <v>2018-10-13 08:42:44</v>
      </c>
    </row>
    <row r="14011" spans="1:7" x14ac:dyDescent="0.2">
      <c r="A14011" t="s">
        <v>6191</v>
      </c>
      <c r="B14011" t="str">
        <f>"18605034120"</f>
        <v>18605034120</v>
      </c>
      <c r="C14011" t="str">
        <f>"350428199108014017"</f>
        <v>350428199108014017</v>
      </c>
      <c r="D14011" t="s">
        <v>1</v>
      </c>
      <c r="E14011" t="s">
        <v>1</v>
      </c>
      <c r="F14011" t="s">
        <v>0</v>
      </c>
      <c r="G14011" t="str">
        <f>"2018-10-13 08:45:21"</f>
        <v>2018-10-13 08:45:21</v>
      </c>
    </row>
    <row r="14012" spans="1:7" x14ac:dyDescent="0.2">
      <c r="A14012" t="s">
        <v>13831</v>
      </c>
      <c r="B14012" t="str">
        <f>"15118019601"</f>
        <v>15118019601</v>
      </c>
      <c r="C14012" t="str">
        <f>"452231199307253515"</f>
        <v>452231199307253515</v>
      </c>
      <c r="D14012" t="s">
        <v>1</v>
      </c>
      <c r="E14012" t="s">
        <v>1</v>
      </c>
      <c r="F14012" t="s">
        <v>0</v>
      </c>
      <c r="G14012" t="str">
        <f>"2018-10-13 08:43:40"</f>
        <v>2018-10-13 08:43:40</v>
      </c>
    </row>
    <row r="14013" spans="1:7" x14ac:dyDescent="0.2">
      <c r="A14013" t="s">
        <v>13832</v>
      </c>
      <c r="B14013" t="str">
        <f>"13083764454"</f>
        <v>13083764454</v>
      </c>
      <c r="C14013" t="str">
        <f>"410526198711012352"</f>
        <v>410526198711012352</v>
      </c>
      <c r="D14013" t="s">
        <v>1</v>
      </c>
      <c r="E14013" t="s">
        <v>1</v>
      </c>
      <c r="F14013" t="s">
        <v>0</v>
      </c>
      <c r="G14013" t="str">
        <f>"2018-10-13 08:44:15"</f>
        <v>2018-10-13 08:44:15</v>
      </c>
    </row>
    <row r="14014" spans="1:7" x14ac:dyDescent="0.2">
      <c r="A14014" t="s">
        <v>1</v>
      </c>
      <c r="B14014" t="str">
        <f>"13212936071"</f>
        <v>13212936071</v>
      </c>
      <c r="C14014" t="s">
        <v>1</v>
      </c>
      <c r="D14014" t="s">
        <v>1</v>
      </c>
      <c r="E14014" t="s">
        <v>1</v>
      </c>
      <c r="F14014" t="s">
        <v>0</v>
      </c>
      <c r="G14014" t="str">
        <f>"2018-10-13 08:41:29"</f>
        <v>2018-10-13 08:41:29</v>
      </c>
    </row>
    <row r="14015" spans="1:7" x14ac:dyDescent="0.2">
      <c r="A14015" t="s">
        <v>1</v>
      </c>
      <c r="B14015" t="str">
        <f>"13478405163"</f>
        <v>13478405163</v>
      </c>
      <c r="C14015" t="s">
        <v>1</v>
      </c>
      <c r="D14015" t="s">
        <v>1</v>
      </c>
      <c r="E14015" t="s">
        <v>1</v>
      </c>
      <c r="F14015" t="s">
        <v>0</v>
      </c>
      <c r="G14015" t="str">
        <f>"2018-10-13 08:40:12"</f>
        <v>2018-10-13 08:40:12</v>
      </c>
    </row>
    <row r="14016" spans="1:7" x14ac:dyDescent="0.2">
      <c r="A14016" t="s">
        <v>1</v>
      </c>
      <c r="B14016" t="str">
        <f>"13485081412"</f>
        <v>13485081412</v>
      </c>
      <c r="C14016" t="s">
        <v>1</v>
      </c>
      <c r="D14016" t="s">
        <v>1</v>
      </c>
      <c r="E14016" t="s">
        <v>1</v>
      </c>
      <c r="F14016" t="s">
        <v>0</v>
      </c>
      <c r="G14016" t="str">
        <f>"2018-10-13 08:39:55"</f>
        <v>2018-10-13 08:39:55</v>
      </c>
    </row>
    <row r="14017" spans="1:7" x14ac:dyDescent="0.2">
      <c r="A14017" t="s">
        <v>13833</v>
      </c>
      <c r="B14017" t="str">
        <f>"14741416696"</f>
        <v>14741416696</v>
      </c>
      <c r="C14017" t="str">
        <f>"210911198307144695"</f>
        <v>210911198307144695</v>
      </c>
      <c r="D14017" t="s">
        <v>1</v>
      </c>
      <c r="E14017" t="s">
        <v>1</v>
      </c>
      <c r="F14017" t="s">
        <v>0</v>
      </c>
      <c r="G14017" t="str">
        <f>"2018-10-13 08:38:12"</f>
        <v>2018-10-13 08:38:12</v>
      </c>
    </row>
    <row r="14018" spans="1:7" x14ac:dyDescent="0.2">
      <c r="A14018" t="s">
        <v>1</v>
      </c>
      <c r="B14018" t="str">
        <f>"13350776775"</f>
        <v>13350776775</v>
      </c>
      <c r="C14018" t="s">
        <v>1</v>
      </c>
      <c r="D14018" t="s">
        <v>1</v>
      </c>
      <c r="E14018" t="s">
        <v>1</v>
      </c>
      <c r="F14018" t="s">
        <v>0</v>
      </c>
      <c r="G14018" t="str">
        <f>"2018-10-13 08:34:54"</f>
        <v>2018-10-13 08:34:54</v>
      </c>
    </row>
    <row r="14019" spans="1:7" x14ac:dyDescent="0.2">
      <c r="A14019" t="s">
        <v>498</v>
      </c>
      <c r="B14019" t="str">
        <f>"13266182876"</f>
        <v>13266182876</v>
      </c>
      <c r="C14019" t="str">
        <f>"51302119880707001X"</f>
        <v>51302119880707001X</v>
      </c>
      <c r="D14019" t="s">
        <v>1</v>
      </c>
      <c r="E14019" t="s">
        <v>1</v>
      </c>
      <c r="F14019" t="s">
        <v>0</v>
      </c>
      <c r="G14019" t="str">
        <f>"2018-10-13 08:36:09"</f>
        <v>2018-10-13 08:36:09</v>
      </c>
    </row>
    <row r="14020" spans="1:7" x14ac:dyDescent="0.2">
      <c r="A14020" t="s">
        <v>13834</v>
      </c>
      <c r="B14020" t="str">
        <f>"13879978411"</f>
        <v>13879978411</v>
      </c>
      <c r="C14020" t="str">
        <f>"360302198403023029"</f>
        <v>360302198403023029</v>
      </c>
      <c r="D14020" t="s">
        <v>1</v>
      </c>
      <c r="E14020" t="s">
        <v>1</v>
      </c>
      <c r="F14020" t="s">
        <v>0</v>
      </c>
      <c r="G14020" t="str">
        <f>"2018-10-13 09:27:46"</f>
        <v>2018-10-13 09:27:46</v>
      </c>
    </row>
    <row r="14021" spans="1:7" x14ac:dyDescent="0.2">
      <c r="A14021" t="s">
        <v>13835</v>
      </c>
      <c r="B14021" t="str">
        <f>"18640974163"</f>
        <v>18640974163</v>
      </c>
      <c r="C14021" t="str">
        <f>"210281198801228019"</f>
        <v>210281198801228019</v>
      </c>
      <c r="D14021" t="s">
        <v>1</v>
      </c>
      <c r="E14021" t="s">
        <v>1</v>
      </c>
      <c r="F14021" t="s">
        <v>0</v>
      </c>
      <c r="G14021" t="str">
        <f>"2018-10-13 08:33:59"</f>
        <v>2018-10-13 08:33:59</v>
      </c>
    </row>
    <row r="14022" spans="1:7" x14ac:dyDescent="0.2">
      <c r="A14022" t="s">
        <v>13836</v>
      </c>
      <c r="B14022" t="str">
        <f>"13530599543"</f>
        <v>13530599543</v>
      </c>
      <c r="C14022" t="str">
        <f>"441581199601056034"</f>
        <v>441581199601056034</v>
      </c>
      <c r="D14022" t="s">
        <v>1</v>
      </c>
      <c r="E14022" t="s">
        <v>1</v>
      </c>
      <c r="F14022" t="s">
        <v>0</v>
      </c>
      <c r="G14022" t="str">
        <f>"2018-10-13 08:42:08"</f>
        <v>2018-10-13 08:42:08</v>
      </c>
    </row>
    <row r="14023" spans="1:7" x14ac:dyDescent="0.2">
      <c r="A14023" t="s">
        <v>1</v>
      </c>
      <c r="B14023" t="str">
        <f>"18389521992"</f>
        <v>18389521992</v>
      </c>
      <c r="C14023" t="s">
        <v>1</v>
      </c>
      <c r="D14023" t="s">
        <v>1</v>
      </c>
      <c r="E14023" t="s">
        <v>1</v>
      </c>
      <c r="F14023" t="s">
        <v>0</v>
      </c>
      <c r="G14023" t="str">
        <f>"2018-10-13 08:32:30"</f>
        <v>2018-10-13 08:32:30</v>
      </c>
    </row>
    <row r="14024" spans="1:7" x14ac:dyDescent="0.2">
      <c r="A14024" t="s">
        <v>1</v>
      </c>
      <c r="B14024" t="str">
        <f>"15108744664"</f>
        <v>15108744664</v>
      </c>
      <c r="C14024" t="s">
        <v>1</v>
      </c>
      <c r="D14024" t="s">
        <v>1</v>
      </c>
      <c r="E14024" t="s">
        <v>1</v>
      </c>
      <c r="F14024" t="s">
        <v>0</v>
      </c>
      <c r="G14024" t="str">
        <f>"2018-10-13 08:31:31"</f>
        <v>2018-10-13 08:31:31</v>
      </c>
    </row>
    <row r="14025" spans="1:7" x14ac:dyDescent="0.2">
      <c r="A14025" t="s">
        <v>13837</v>
      </c>
      <c r="B14025" t="str">
        <f>"13157951561"</f>
        <v>13157951561</v>
      </c>
      <c r="C14025" t="str">
        <f>"410926198510080414"</f>
        <v>410926198510080414</v>
      </c>
      <c r="D14025" t="s">
        <v>1</v>
      </c>
      <c r="E14025" t="s">
        <v>1</v>
      </c>
      <c r="F14025" t="s">
        <v>0</v>
      </c>
      <c r="G14025" t="str">
        <f>"2018-10-13 08:30:51"</f>
        <v>2018-10-13 08:30:51</v>
      </c>
    </row>
    <row r="14026" spans="1:7" x14ac:dyDescent="0.2">
      <c r="A14026" t="s">
        <v>13838</v>
      </c>
      <c r="B14026" t="str">
        <f>"13922733317"</f>
        <v>13922733317</v>
      </c>
      <c r="C14026" t="str">
        <f>"422422197002284257"</f>
        <v>422422197002284257</v>
      </c>
      <c r="D14026" t="s">
        <v>1</v>
      </c>
      <c r="E14026" t="s">
        <v>1</v>
      </c>
      <c r="F14026" t="s">
        <v>0</v>
      </c>
      <c r="G14026" t="str">
        <f>"2018-10-13 08:27:24"</f>
        <v>2018-10-13 08:27:24</v>
      </c>
    </row>
    <row r="14027" spans="1:7" x14ac:dyDescent="0.2">
      <c r="A14027" t="s">
        <v>786</v>
      </c>
      <c r="B14027" t="str">
        <f>"15315950637"</f>
        <v>15315950637</v>
      </c>
      <c r="C14027" t="str">
        <f>"371102198301153211"</f>
        <v>371102198301153211</v>
      </c>
      <c r="D14027" t="s">
        <v>1</v>
      </c>
      <c r="E14027" t="s">
        <v>1</v>
      </c>
      <c r="F14027" t="s">
        <v>0</v>
      </c>
      <c r="G14027" t="str">
        <f>"2018-10-13 08:27:03"</f>
        <v>2018-10-13 08:27:03</v>
      </c>
    </row>
    <row r="14028" spans="1:7" x14ac:dyDescent="0.2">
      <c r="A14028" t="s">
        <v>13839</v>
      </c>
      <c r="B14028" t="str">
        <f>"18014006810"</f>
        <v>18014006810</v>
      </c>
      <c r="C14028" t="str">
        <f>"34120419890703181X"</f>
        <v>34120419890703181X</v>
      </c>
      <c r="D14028" t="s">
        <v>1</v>
      </c>
      <c r="E14028" t="s">
        <v>1</v>
      </c>
      <c r="F14028" t="s">
        <v>0</v>
      </c>
      <c r="G14028" t="str">
        <f>"2018-10-13 08:28:14"</f>
        <v>2018-10-13 08:28:14</v>
      </c>
    </row>
    <row r="14029" spans="1:7" x14ac:dyDescent="0.2">
      <c r="A14029" t="s">
        <v>13840</v>
      </c>
      <c r="B14029" t="str">
        <f>"13751554938"</f>
        <v>13751554938</v>
      </c>
      <c r="C14029" t="str">
        <f>"441322198308155812"</f>
        <v>441322198308155812</v>
      </c>
      <c r="D14029" t="s">
        <v>13841</v>
      </c>
      <c r="E14029" t="s">
        <v>13842</v>
      </c>
      <c r="F14029" t="s">
        <v>0</v>
      </c>
      <c r="G14029" t="str">
        <f>"2018-10-13 08:30:14"</f>
        <v>2018-10-13 08:30:14</v>
      </c>
    </row>
    <row r="14030" spans="1:7" x14ac:dyDescent="0.2">
      <c r="A14030" t="s">
        <v>13843</v>
      </c>
      <c r="B14030" t="str">
        <f>"15012762361"</f>
        <v>15012762361</v>
      </c>
      <c r="C14030" t="str">
        <f>"44098219981110277X"</f>
        <v>44098219981110277X</v>
      </c>
      <c r="D14030" t="s">
        <v>1</v>
      </c>
      <c r="E14030" t="s">
        <v>1</v>
      </c>
      <c r="F14030" t="s">
        <v>0</v>
      </c>
      <c r="G14030" t="str">
        <f>"2018-10-13 08:28:34"</f>
        <v>2018-10-13 08:28:34</v>
      </c>
    </row>
    <row r="14031" spans="1:7" x14ac:dyDescent="0.2">
      <c r="A14031" t="s">
        <v>13844</v>
      </c>
      <c r="B14031" t="str">
        <f>"18807365158"</f>
        <v>18807365158</v>
      </c>
      <c r="C14031" t="str">
        <f>"430721198406180037"</f>
        <v>430721198406180037</v>
      </c>
      <c r="D14031" t="s">
        <v>1</v>
      </c>
      <c r="E14031" t="s">
        <v>1</v>
      </c>
      <c r="F14031" t="s">
        <v>0</v>
      </c>
      <c r="G14031" t="str">
        <f>"2018-10-13 08:50:44"</f>
        <v>2018-10-13 08:50:44</v>
      </c>
    </row>
    <row r="14032" spans="1:7" x14ac:dyDescent="0.2">
      <c r="A14032" t="s">
        <v>1</v>
      </c>
      <c r="B14032" t="str">
        <f>"18845202638"</f>
        <v>18845202638</v>
      </c>
      <c r="C14032" t="s">
        <v>1</v>
      </c>
      <c r="D14032" t="s">
        <v>1</v>
      </c>
      <c r="E14032" t="s">
        <v>1</v>
      </c>
      <c r="F14032" t="s">
        <v>0</v>
      </c>
      <c r="G14032" t="str">
        <f>"2018-10-13 08:24:47"</f>
        <v>2018-10-13 08:24:47</v>
      </c>
    </row>
    <row r="14033" spans="1:7" x14ac:dyDescent="0.2">
      <c r="A14033" t="s">
        <v>13845</v>
      </c>
      <c r="B14033" t="str">
        <f>"13871291616"</f>
        <v>13871291616</v>
      </c>
      <c r="C14033" t="str">
        <f>"420102198609232059"</f>
        <v>420102198609232059</v>
      </c>
      <c r="D14033" t="s">
        <v>1</v>
      </c>
      <c r="E14033" t="s">
        <v>1</v>
      </c>
      <c r="F14033" t="s">
        <v>0</v>
      </c>
      <c r="G14033" t="str">
        <f>"2018-10-13 08:26:06"</f>
        <v>2018-10-13 08:26:06</v>
      </c>
    </row>
    <row r="14034" spans="1:7" x14ac:dyDescent="0.2">
      <c r="A14034" t="s">
        <v>13846</v>
      </c>
      <c r="B14034" t="str">
        <f>"18676114318"</f>
        <v>18676114318</v>
      </c>
      <c r="C14034" t="str">
        <f>"441823198507274519"</f>
        <v>441823198507274519</v>
      </c>
      <c r="D14034" t="s">
        <v>1</v>
      </c>
      <c r="E14034" t="s">
        <v>1</v>
      </c>
      <c r="F14034" t="s">
        <v>0</v>
      </c>
      <c r="G14034" t="str">
        <f>"2018-10-20 11:18:38"</f>
        <v>2018-10-20 11:18:38</v>
      </c>
    </row>
    <row r="14035" spans="1:7" x14ac:dyDescent="0.2">
      <c r="A14035" t="s">
        <v>1</v>
      </c>
      <c r="B14035" t="str">
        <f>"18068471917"</f>
        <v>18068471917</v>
      </c>
      <c r="C14035" t="s">
        <v>1</v>
      </c>
      <c r="D14035" t="s">
        <v>1</v>
      </c>
      <c r="E14035" t="s">
        <v>1</v>
      </c>
      <c r="F14035" t="s">
        <v>0</v>
      </c>
      <c r="G14035" t="str">
        <f>"2018-10-13 08:23:26"</f>
        <v>2018-10-13 08:23:26</v>
      </c>
    </row>
    <row r="14036" spans="1:7" x14ac:dyDescent="0.2">
      <c r="A14036" t="s">
        <v>1</v>
      </c>
      <c r="B14036" t="str">
        <f>"15267907000"</f>
        <v>15267907000</v>
      </c>
      <c r="C14036" t="s">
        <v>1</v>
      </c>
      <c r="D14036" t="s">
        <v>1</v>
      </c>
      <c r="E14036" t="s">
        <v>1</v>
      </c>
      <c r="F14036" t="s">
        <v>0</v>
      </c>
      <c r="G14036" t="str">
        <f>"2018-10-13 08:45:36"</f>
        <v>2018-10-13 08:45:36</v>
      </c>
    </row>
    <row r="14037" spans="1:7" x14ac:dyDescent="0.2">
      <c r="A14037" t="s">
        <v>45</v>
      </c>
      <c r="B14037" t="str">
        <f>"15387114303"</f>
        <v>15387114303</v>
      </c>
      <c r="C14037" t="str">
        <f>"420104198606080814"</f>
        <v>420104198606080814</v>
      </c>
      <c r="D14037" t="s">
        <v>1</v>
      </c>
      <c r="E14037" t="s">
        <v>1</v>
      </c>
      <c r="F14037" t="s">
        <v>0</v>
      </c>
      <c r="G14037" t="str">
        <f>"2018-10-13 08:22:44"</f>
        <v>2018-10-13 08:22:44</v>
      </c>
    </row>
    <row r="14038" spans="1:7" x14ac:dyDescent="0.2">
      <c r="A14038" t="s">
        <v>1</v>
      </c>
      <c r="B14038" t="str">
        <f>"18209011367"</f>
        <v>18209011367</v>
      </c>
      <c r="C14038" t="s">
        <v>1</v>
      </c>
      <c r="D14038" t="s">
        <v>1</v>
      </c>
      <c r="E14038" t="s">
        <v>1</v>
      </c>
      <c r="F14038" t="s">
        <v>0</v>
      </c>
      <c r="G14038" t="str">
        <f>"2018-10-13 08:20:37"</f>
        <v>2018-10-13 08:20:37</v>
      </c>
    </row>
    <row r="14039" spans="1:7" x14ac:dyDescent="0.2">
      <c r="A14039" t="s">
        <v>1</v>
      </c>
      <c r="B14039" t="str">
        <f>"18188905688"</f>
        <v>18188905688</v>
      </c>
      <c r="C14039" t="s">
        <v>1</v>
      </c>
      <c r="D14039" t="s">
        <v>1</v>
      </c>
      <c r="E14039" t="s">
        <v>1</v>
      </c>
      <c r="F14039" t="s">
        <v>0</v>
      </c>
      <c r="G14039" t="str">
        <f>"2018-10-13 08:19:54"</f>
        <v>2018-10-13 08:19:54</v>
      </c>
    </row>
    <row r="14040" spans="1:7" x14ac:dyDescent="0.2">
      <c r="A14040" t="s">
        <v>13847</v>
      </c>
      <c r="B14040" t="str">
        <f>"15153625730"</f>
        <v>15153625730</v>
      </c>
      <c r="C14040" t="str">
        <f>"370783198205252332"</f>
        <v>370783198205252332</v>
      </c>
      <c r="D14040" t="s">
        <v>1</v>
      </c>
      <c r="E14040" t="s">
        <v>1</v>
      </c>
      <c r="F14040" t="s">
        <v>0</v>
      </c>
      <c r="G14040" t="str">
        <f>"2018-10-13 08:20:34"</f>
        <v>2018-10-13 08:20:34</v>
      </c>
    </row>
    <row r="14041" spans="1:7" x14ac:dyDescent="0.2">
      <c r="A14041" t="s">
        <v>458</v>
      </c>
      <c r="B14041" t="str">
        <f>"13734504174"</f>
        <v>13734504174</v>
      </c>
      <c r="C14041" t="str">
        <f>"230904199604281148"</f>
        <v>230904199604281148</v>
      </c>
      <c r="D14041" t="s">
        <v>13848</v>
      </c>
      <c r="E14041" t="s">
        <v>13849</v>
      </c>
      <c r="F14041" t="s">
        <v>0</v>
      </c>
      <c r="G14041" t="str">
        <f>"2018-10-16 10:04:45"</f>
        <v>2018-10-16 10:04:45</v>
      </c>
    </row>
    <row r="14042" spans="1:7" x14ac:dyDescent="0.2">
      <c r="A14042" t="s">
        <v>13850</v>
      </c>
      <c r="B14042" t="str">
        <f>"18106140589"</f>
        <v>18106140589</v>
      </c>
      <c r="C14042" t="str">
        <f>"32048119920602141X"</f>
        <v>32048119920602141X</v>
      </c>
      <c r="D14042" t="s">
        <v>1</v>
      </c>
      <c r="E14042" t="s">
        <v>1</v>
      </c>
      <c r="F14042" t="s">
        <v>0</v>
      </c>
      <c r="G14042" t="str">
        <f>"2018-10-13 08:44:58"</f>
        <v>2018-10-13 08:44:58</v>
      </c>
    </row>
    <row r="14043" spans="1:7" x14ac:dyDescent="0.2">
      <c r="A14043" t="s">
        <v>1</v>
      </c>
      <c r="B14043" t="str">
        <f>"18350568272"</f>
        <v>18350568272</v>
      </c>
      <c r="C14043" t="s">
        <v>1</v>
      </c>
      <c r="D14043" t="s">
        <v>1</v>
      </c>
      <c r="E14043" t="s">
        <v>1</v>
      </c>
      <c r="F14043" t="s">
        <v>0</v>
      </c>
      <c r="G14043" t="str">
        <f>"2018-10-13 08:23:02"</f>
        <v>2018-10-13 08:23:02</v>
      </c>
    </row>
    <row r="14044" spans="1:7" x14ac:dyDescent="0.2">
      <c r="A14044" t="s">
        <v>13851</v>
      </c>
      <c r="B14044" t="str">
        <f>"18793781815"</f>
        <v>18793781815</v>
      </c>
      <c r="C14044" t="str">
        <f>"652222198803010033"</f>
        <v>652222198803010033</v>
      </c>
      <c r="D14044" t="s">
        <v>1</v>
      </c>
      <c r="E14044" t="s">
        <v>1</v>
      </c>
      <c r="F14044" t="s">
        <v>0</v>
      </c>
      <c r="G14044" t="str">
        <f>"2018-10-13 08:18:39"</f>
        <v>2018-10-13 08:18:39</v>
      </c>
    </row>
    <row r="14045" spans="1:7" x14ac:dyDescent="0.2">
      <c r="A14045" t="s">
        <v>13852</v>
      </c>
      <c r="B14045" t="str">
        <f>"13921405946"</f>
        <v>13921405946</v>
      </c>
      <c r="C14045" t="str">
        <f>"421181198102068436"</f>
        <v>421181198102068436</v>
      </c>
      <c r="D14045" t="s">
        <v>1</v>
      </c>
      <c r="E14045" t="s">
        <v>1</v>
      </c>
      <c r="F14045" t="s">
        <v>0</v>
      </c>
      <c r="G14045" t="str">
        <f>"2018-10-13 09:35:33"</f>
        <v>2018-10-13 09:35:33</v>
      </c>
    </row>
    <row r="14046" spans="1:7" x14ac:dyDescent="0.2">
      <c r="A14046" t="s">
        <v>1</v>
      </c>
      <c r="B14046" t="str">
        <f>"18585412723"</f>
        <v>18585412723</v>
      </c>
      <c r="C14046" t="s">
        <v>1</v>
      </c>
      <c r="D14046" t="s">
        <v>1</v>
      </c>
      <c r="E14046" t="s">
        <v>1</v>
      </c>
      <c r="F14046" t="s">
        <v>0</v>
      </c>
      <c r="G14046" t="str">
        <f>"2018-10-13 08:14:31"</f>
        <v>2018-10-13 08:14:31</v>
      </c>
    </row>
    <row r="14047" spans="1:7" x14ac:dyDescent="0.2">
      <c r="A14047" t="s">
        <v>13853</v>
      </c>
      <c r="B14047" t="str">
        <f>"18714712955"</f>
        <v>18714712955</v>
      </c>
      <c r="C14047" t="str">
        <f>"230227197604190139"</f>
        <v>230227197604190139</v>
      </c>
      <c r="D14047" t="s">
        <v>13854</v>
      </c>
      <c r="E14047" t="s">
        <v>13855</v>
      </c>
      <c r="F14047" t="s">
        <v>0</v>
      </c>
      <c r="G14047" t="str">
        <f>"2018-11-03 13:52:55"</f>
        <v>2018-11-03 13:52:55</v>
      </c>
    </row>
    <row r="14048" spans="1:7" x14ac:dyDescent="0.2">
      <c r="A14048" t="s">
        <v>13856</v>
      </c>
      <c r="B14048" t="str">
        <f>"13640070177"</f>
        <v>13640070177</v>
      </c>
      <c r="C14048" t="str">
        <f>"440229199202210724"</f>
        <v>440229199202210724</v>
      </c>
      <c r="D14048" t="s">
        <v>1</v>
      </c>
      <c r="E14048" t="s">
        <v>1</v>
      </c>
      <c r="F14048" t="s">
        <v>0</v>
      </c>
      <c r="G14048" t="str">
        <f>"2018-10-13 08:16:51"</f>
        <v>2018-10-13 08:16:51</v>
      </c>
    </row>
    <row r="14049" spans="1:7" x14ac:dyDescent="0.2">
      <c r="A14049" t="s">
        <v>13857</v>
      </c>
      <c r="B14049" t="str">
        <f>"17337690269"</f>
        <v>17337690269</v>
      </c>
      <c r="C14049" t="str">
        <f>"411527199001208555"</f>
        <v>411527199001208555</v>
      </c>
      <c r="D14049" t="s">
        <v>1</v>
      </c>
      <c r="E14049" t="s">
        <v>1</v>
      </c>
      <c r="F14049" t="s">
        <v>0</v>
      </c>
      <c r="G14049" t="str">
        <f>"2018-10-13 08:14:46"</f>
        <v>2018-10-13 08:14:46</v>
      </c>
    </row>
    <row r="14050" spans="1:7" x14ac:dyDescent="0.2">
      <c r="A14050" t="s">
        <v>1</v>
      </c>
      <c r="B14050" t="str">
        <f>"13658007730"</f>
        <v>13658007730</v>
      </c>
      <c r="C14050" t="s">
        <v>1</v>
      </c>
      <c r="D14050" t="s">
        <v>1</v>
      </c>
      <c r="E14050" t="s">
        <v>1</v>
      </c>
      <c r="F14050" t="s">
        <v>0</v>
      </c>
      <c r="G14050" t="str">
        <f>"2018-10-13 08:12:32"</f>
        <v>2018-10-13 08:12:32</v>
      </c>
    </row>
    <row r="14051" spans="1:7" x14ac:dyDescent="0.2">
      <c r="A14051" t="s">
        <v>13858</v>
      </c>
      <c r="B14051" t="str">
        <f>"15188337256"</f>
        <v>15188337256</v>
      </c>
      <c r="C14051" t="str">
        <f>"410106199301190057"</f>
        <v>410106199301190057</v>
      </c>
      <c r="D14051" t="s">
        <v>1</v>
      </c>
      <c r="E14051" t="s">
        <v>1</v>
      </c>
      <c r="F14051" t="s">
        <v>0</v>
      </c>
      <c r="G14051" t="str">
        <f>"2018-10-13 08:22:16"</f>
        <v>2018-10-13 08:22:16</v>
      </c>
    </row>
    <row r="14052" spans="1:7" x14ac:dyDescent="0.2">
      <c r="A14052" t="s">
        <v>13859</v>
      </c>
      <c r="B14052" t="str">
        <f>"13796908969"</f>
        <v>13796908969</v>
      </c>
      <c r="C14052" t="str">
        <f>"23050219800310071X"</f>
        <v>23050219800310071X</v>
      </c>
      <c r="D14052" t="s">
        <v>1</v>
      </c>
      <c r="E14052" t="s">
        <v>1</v>
      </c>
      <c r="F14052" t="s">
        <v>0</v>
      </c>
      <c r="G14052" t="str">
        <f>"2018-10-14 23:20:31"</f>
        <v>2018-10-14 23:20:31</v>
      </c>
    </row>
    <row r="14053" spans="1:7" x14ac:dyDescent="0.2">
      <c r="A14053" t="s">
        <v>13860</v>
      </c>
      <c r="B14053" t="str">
        <f>"17505925802"</f>
        <v>17505925802</v>
      </c>
      <c r="C14053" t="str">
        <f>"360731198710105976"</f>
        <v>360731198710105976</v>
      </c>
      <c r="D14053" t="s">
        <v>1</v>
      </c>
      <c r="E14053" t="s">
        <v>1</v>
      </c>
      <c r="F14053" t="s">
        <v>0</v>
      </c>
      <c r="G14053" t="str">
        <f>"2018-10-19 14:37:16"</f>
        <v>2018-10-19 14:37:16</v>
      </c>
    </row>
    <row r="14054" spans="1:7" x14ac:dyDescent="0.2">
      <c r="A14054" t="s">
        <v>742</v>
      </c>
      <c r="B14054" t="str">
        <f>"15814304656"</f>
        <v>15814304656</v>
      </c>
      <c r="C14054" t="str">
        <f>"610528199205040013"</f>
        <v>610528199205040013</v>
      </c>
      <c r="D14054" t="s">
        <v>1</v>
      </c>
      <c r="E14054" t="s">
        <v>1</v>
      </c>
      <c r="F14054" t="s">
        <v>0</v>
      </c>
      <c r="G14054" t="str">
        <f>"2018-10-13 08:11:48"</f>
        <v>2018-10-13 08:11:48</v>
      </c>
    </row>
    <row r="14055" spans="1:7" x14ac:dyDescent="0.2">
      <c r="A14055" t="s">
        <v>828</v>
      </c>
      <c r="B14055" t="str">
        <f>"15091334161"</f>
        <v>15091334161</v>
      </c>
      <c r="C14055" t="str">
        <f>"612326198805106411"</f>
        <v>612326198805106411</v>
      </c>
      <c r="D14055" t="s">
        <v>1</v>
      </c>
      <c r="E14055" t="s">
        <v>1</v>
      </c>
      <c r="F14055" t="s">
        <v>0</v>
      </c>
      <c r="G14055" t="str">
        <f>"2018-10-13 08:08:46"</f>
        <v>2018-10-13 08:08:46</v>
      </c>
    </row>
    <row r="14056" spans="1:7" x14ac:dyDescent="0.2">
      <c r="A14056" t="s">
        <v>813</v>
      </c>
      <c r="B14056" t="str">
        <f>"15241061610"</f>
        <v>15241061610</v>
      </c>
      <c r="C14056" t="str">
        <f>"211224198603054912"</f>
        <v>211224198603054912</v>
      </c>
      <c r="D14056" t="s">
        <v>1</v>
      </c>
      <c r="E14056" t="s">
        <v>1</v>
      </c>
      <c r="F14056" t="s">
        <v>0</v>
      </c>
      <c r="G14056" t="str">
        <f>"2018-10-13 08:07:19"</f>
        <v>2018-10-13 08:07:19</v>
      </c>
    </row>
    <row r="14057" spans="1:7" x14ac:dyDescent="0.2">
      <c r="A14057" t="s">
        <v>13861</v>
      </c>
      <c r="B14057" t="str">
        <f>"15165807540"</f>
        <v>15165807540</v>
      </c>
      <c r="C14057" t="str">
        <f>"371502199305284514"</f>
        <v>371502199305284514</v>
      </c>
      <c r="D14057" t="s">
        <v>1</v>
      </c>
      <c r="E14057" t="s">
        <v>1</v>
      </c>
      <c r="F14057" t="s">
        <v>0</v>
      </c>
      <c r="G14057" t="str">
        <f>"2018-10-13 08:06:23"</f>
        <v>2018-10-13 08:06:23</v>
      </c>
    </row>
    <row r="14058" spans="1:7" x14ac:dyDescent="0.2">
      <c r="A14058" t="s">
        <v>13862</v>
      </c>
      <c r="B14058" t="str">
        <f>"15140365950"</f>
        <v>15140365950</v>
      </c>
      <c r="C14058" t="str">
        <f>"210281199006061525"</f>
        <v>210281199006061525</v>
      </c>
      <c r="D14058" t="s">
        <v>13863</v>
      </c>
      <c r="E14058" t="s">
        <v>13864</v>
      </c>
      <c r="F14058" t="s">
        <v>0</v>
      </c>
      <c r="G14058" t="str">
        <f>"2018-10-13 08:05:58"</f>
        <v>2018-10-13 08:05:58</v>
      </c>
    </row>
    <row r="14059" spans="1:7" x14ac:dyDescent="0.2">
      <c r="A14059" t="s">
        <v>13865</v>
      </c>
      <c r="B14059" t="str">
        <f>"15281221771"</f>
        <v>15281221771</v>
      </c>
      <c r="C14059" t="str">
        <f>"510402198703103833"</f>
        <v>510402198703103833</v>
      </c>
      <c r="D14059" t="s">
        <v>13866</v>
      </c>
      <c r="E14059" t="s">
        <v>13867</v>
      </c>
      <c r="F14059" t="s">
        <v>0</v>
      </c>
      <c r="G14059" t="str">
        <f>"2018-10-14 14:57:28"</f>
        <v>2018-10-14 14:57:28</v>
      </c>
    </row>
    <row r="14060" spans="1:7" x14ac:dyDescent="0.2">
      <c r="A14060" t="s">
        <v>1231</v>
      </c>
      <c r="B14060" t="str">
        <f>"18479712848"</f>
        <v>18479712848</v>
      </c>
      <c r="C14060" t="str">
        <f>"360782199111195214"</f>
        <v>360782199111195214</v>
      </c>
      <c r="D14060" t="s">
        <v>1</v>
      </c>
      <c r="E14060" t="s">
        <v>1</v>
      </c>
      <c r="F14060" t="s">
        <v>0</v>
      </c>
      <c r="G14060" t="str">
        <f>"2018-10-13 08:04:48"</f>
        <v>2018-10-13 08:04:48</v>
      </c>
    </row>
    <row r="14061" spans="1:7" x14ac:dyDescent="0.2">
      <c r="A14061" t="s">
        <v>13868</v>
      </c>
      <c r="B14061" t="str">
        <f>"18388672249"</f>
        <v>18388672249</v>
      </c>
      <c r="C14061" t="str">
        <f>"532625198609061527"</f>
        <v>532625198609061527</v>
      </c>
      <c r="D14061" t="s">
        <v>1</v>
      </c>
      <c r="E14061" t="s">
        <v>1</v>
      </c>
      <c r="F14061" t="s">
        <v>0</v>
      </c>
      <c r="G14061" t="str">
        <f>"2018-10-13 08:00:41"</f>
        <v>2018-10-13 08:00:41</v>
      </c>
    </row>
    <row r="14062" spans="1:7" x14ac:dyDescent="0.2">
      <c r="A14062" t="s">
        <v>1616</v>
      </c>
      <c r="B14062" t="str">
        <f>"18672578372"</f>
        <v>18672578372</v>
      </c>
      <c r="C14062" t="str">
        <f>"421022199507075473"</f>
        <v>421022199507075473</v>
      </c>
      <c r="D14062" t="s">
        <v>13869</v>
      </c>
      <c r="E14062" t="s">
        <v>13870</v>
      </c>
      <c r="F14062" t="s">
        <v>0</v>
      </c>
      <c r="G14062" t="str">
        <f>"2018-10-13 07:58:39"</f>
        <v>2018-10-13 07:58:39</v>
      </c>
    </row>
    <row r="14063" spans="1:7" x14ac:dyDescent="0.2">
      <c r="A14063" t="s">
        <v>13871</v>
      </c>
      <c r="B14063" t="str">
        <f>"13865962284"</f>
        <v>13865962284</v>
      </c>
      <c r="C14063" t="str">
        <f>"340111199104265032"</f>
        <v>340111199104265032</v>
      </c>
      <c r="D14063" t="s">
        <v>13872</v>
      </c>
      <c r="E14063" t="s">
        <v>13873</v>
      </c>
      <c r="F14063" t="s">
        <v>0</v>
      </c>
      <c r="G14063" t="str">
        <f>"2018-10-13 07:57:10"</f>
        <v>2018-10-13 07:57:10</v>
      </c>
    </row>
    <row r="14064" spans="1:7" x14ac:dyDescent="0.2">
      <c r="A14064" t="s">
        <v>1</v>
      </c>
      <c r="B14064" t="str">
        <f>"18186884350"</f>
        <v>18186884350</v>
      </c>
      <c r="C14064" t="s">
        <v>1</v>
      </c>
      <c r="D14064" t="s">
        <v>1</v>
      </c>
      <c r="E14064" t="s">
        <v>1</v>
      </c>
      <c r="F14064" t="s">
        <v>0</v>
      </c>
      <c r="G14064" t="str">
        <f>"2018-10-13 07:53:33"</f>
        <v>2018-10-13 07:53:33</v>
      </c>
    </row>
    <row r="14065" spans="1:7" x14ac:dyDescent="0.2">
      <c r="A14065" t="s">
        <v>13874</v>
      </c>
      <c r="B14065" t="str">
        <f>"18844826991"</f>
        <v>18844826991</v>
      </c>
      <c r="C14065" t="str">
        <f>"220722199408183815"</f>
        <v>220722199408183815</v>
      </c>
      <c r="D14065" t="s">
        <v>1</v>
      </c>
      <c r="E14065" t="s">
        <v>1</v>
      </c>
      <c r="F14065" t="s">
        <v>0</v>
      </c>
      <c r="G14065" t="str">
        <f>"2018-10-13 07:54:59"</f>
        <v>2018-10-13 07:54:59</v>
      </c>
    </row>
    <row r="14066" spans="1:7" x14ac:dyDescent="0.2">
      <c r="A14066" t="s">
        <v>13875</v>
      </c>
      <c r="B14066" t="str">
        <f>"13988402904"</f>
        <v>13988402904</v>
      </c>
      <c r="C14066" t="str">
        <f>"532401198209070086"</f>
        <v>532401198209070086</v>
      </c>
      <c r="D14066" t="s">
        <v>1</v>
      </c>
      <c r="E14066" t="s">
        <v>1</v>
      </c>
      <c r="F14066" t="s">
        <v>0</v>
      </c>
      <c r="G14066" t="str">
        <f>"2018-10-13 07:51:41"</f>
        <v>2018-10-13 07:51:41</v>
      </c>
    </row>
    <row r="14067" spans="1:7" x14ac:dyDescent="0.2">
      <c r="A14067" t="s">
        <v>13876</v>
      </c>
      <c r="B14067" t="str">
        <f>"13042772400"</f>
        <v>13042772400</v>
      </c>
      <c r="C14067" t="str">
        <f>"532622199405020542"</f>
        <v>532622199405020542</v>
      </c>
      <c r="D14067" t="s">
        <v>1</v>
      </c>
      <c r="E14067" t="s">
        <v>1</v>
      </c>
      <c r="F14067" t="s">
        <v>0</v>
      </c>
      <c r="G14067" t="str">
        <f>"2018-10-13 07:46:36"</f>
        <v>2018-10-13 07:46:36</v>
      </c>
    </row>
    <row r="14068" spans="1:7" x14ac:dyDescent="0.2">
      <c r="A14068" t="s">
        <v>1</v>
      </c>
      <c r="B14068" t="str">
        <f>"15972366985"</f>
        <v>15972366985</v>
      </c>
      <c r="C14068" t="s">
        <v>1</v>
      </c>
      <c r="D14068" t="s">
        <v>1</v>
      </c>
      <c r="E14068" t="s">
        <v>1</v>
      </c>
      <c r="F14068" t="s">
        <v>0</v>
      </c>
      <c r="G14068" t="str">
        <f>"2018-10-13 07:46:24"</f>
        <v>2018-10-13 07:46:24</v>
      </c>
    </row>
    <row r="14069" spans="1:7" x14ac:dyDescent="0.2">
      <c r="A14069" t="s">
        <v>1</v>
      </c>
      <c r="B14069" t="str">
        <f>"13553547915"</f>
        <v>13553547915</v>
      </c>
      <c r="C14069" t="s">
        <v>1</v>
      </c>
      <c r="D14069" t="s">
        <v>1</v>
      </c>
      <c r="E14069" t="s">
        <v>1</v>
      </c>
      <c r="F14069" t="s">
        <v>0</v>
      </c>
      <c r="G14069" t="str">
        <f>"2018-10-13 07:47:19"</f>
        <v>2018-10-13 07:47:19</v>
      </c>
    </row>
    <row r="14070" spans="1:7" x14ac:dyDescent="0.2">
      <c r="A14070" t="s">
        <v>1</v>
      </c>
      <c r="B14070" t="str">
        <f>"15963429857"</f>
        <v>15963429857</v>
      </c>
      <c r="C14070" t="s">
        <v>1</v>
      </c>
      <c r="D14070" t="s">
        <v>1</v>
      </c>
      <c r="E14070" t="s">
        <v>1</v>
      </c>
      <c r="F14070" t="s">
        <v>0</v>
      </c>
      <c r="G14070" t="str">
        <f>"2018-10-13 07:44:48"</f>
        <v>2018-10-13 07:44:48</v>
      </c>
    </row>
    <row r="14071" spans="1:7" x14ac:dyDescent="0.2">
      <c r="A14071" t="s">
        <v>112</v>
      </c>
      <c r="B14071" t="str">
        <f>"13151735566"</f>
        <v>13151735566</v>
      </c>
      <c r="C14071" t="str">
        <f>"320723199012134830"</f>
        <v>320723199012134830</v>
      </c>
      <c r="D14071" t="s">
        <v>1</v>
      </c>
      <c r="E14071" t="s">
        <v>1</v>
      </c>
      <c r="F14071" t="s">
        <v>0</v>
      </c>
      <c r="G14071" t="str">
        <f>"2018-10-13 07:45:47"</f>
        <v>2018-10-13 07:45:47</v>
      </c>
    </row>
    <row r="14072" spans="1:7" x14ac:dyDescent="0.2">
      <c r="A14072" t="s">
        <v>13877</v>
      </c>
      <c r="B14072" t="str">
        <f>"15192907010"</f>
        <v>15192907010</v>
      </c>
      <c r="C14072" t="str">
        <f>"371325199407104522"</f>
        <v>371325199407104522</v>
      </c>
      <c r="D14072" t="s">
        <v>1</v>
      </c>
      <c r="E14072" t="s">
        <v>1</v>
      </c>
      <c r="F14072" t="s">
        <v>0</v>
      </c>
      <c r="G14072" t="str">
        <f>"2018-10-13 07:47:15"</f>
        <v>2018-10-13 07:47:15</v>
      </c>
    </row>
    <row r="14073" spans="1:7" x14ac:dyDescent="0.2">
      <c r="A14073" t="s">
        <v>13878</v>
      </c>
      <c r="B14073" t="str">
        <f>"13635886393"</f>
        <v>13635886393</v>
      </c>
      <c r="C14073" t="str">
        <f>"421125199009170034"</f>
        <v>421125199009170034</v>
      </c>
      <c r="D14073" t="s">
        <v>1</v>
      </c>
      <c r="E14073" t="s">
        <v>1</v>
      </c>
      <c r="F14073" t="s">
        <v>0</v>
      </c>
      <c r="G14073" t="str">
        <f>"2018-10-13 08:30:30"</f>
        <v>2018-10-13 08:30:30</v>
      </c>
    </row>
    <row r="14074" spans="1:7" x14ac:dyDescent="0.2">
      <c r="A14074" t="s">
        <v>13879</v>
      </c>
      <c r="B14074" t="str">
        <f>"13774188833"</f>
        <v>13774188833</v>
      </c>
      <c r="C14074" t="str">
        <f>"420606198510152529"</f>
        <v>420606198510152529</v>
      </c>
      <c r="D14074" t="s">
        <v>1</v>
      </c>
      <c r="E14074" t="s">
        <v>1</v>
      </c>
      <c r="F14074" t="s">
        <v>0</v>
      </c>
      <c r="G14074" t="str">
        <f>"2018-10-13 07:44:32"</f>
        <v>2018-10-13 07:44:32</v>
      </c>
    </row>
    <row r="14075" spans="1:7" x14ac:dyDescent="0.2">
      <c r="A14075" t="s">
        <v>170</v>
      </c>
      <c r="B14075" t="str">
        <f>"13736809406"</f>
        <v>13736809406</v>
      </c>
      <c r="C14075" t="str">
        <f>"330411198502075613"</f>
        <v>330411198502075613</v>
      </c>
      <c r="D14075" t="s">
        <v>1</v>
      </c>
      <c r="E14075" t="s">
        <v>1</v>
      </c>
      <c r="F14075" t="s">
        <v>0</v>
      </c>
      <c r="G14075" t="str">
        <f>"2018-10-17 09:37:35"</f>
        <v>2018-10-17 09:37:35</v>
      </c>
    </row>
    <row r="14076" spans="1:7" x14ac:dyDescent="0.2">
      <c r="A14076" t="s">
        <v>1</v>
      </c>
      <c r="B14076" t="str">
        <f>"18041330888"</f>
        <v>18041330888</v>
      </c>
      <c r="C14076" t="s">
        <v>1</v>
      </c>
      <c r="D14076" t="s">
        <v>1</v>
      </c>
      <c r="E14076" t="s">
        <v>1</v>
      </c>
      <c r="F14076" t="s">
        <v>0</v>
      </c>
      <c r="G14076" t="str">
        <f>"2018-10-13 07:38:34"</f>
        <v>2018-10-13 07:38:34</v>
      </c>
    </row>
    <row r="14077" spans="1:7" x14ac:dyDescent="0.2">
      <c r="A14077" t="s">
        <v>13880</v>
      </c>
      <c r="B14077" t="str">
        <f>"15038733494"</f>
        <v>15038733494</v>
      </c>
      <c r="C14077" t="str">
        <f>"411328198502261363"</f>
        <v>411328198502261363</v>
      </c>
      <c r="D14077" t="s">
        <v>1</v>
      </c>
      <c r="E14077" t="s">
        <v>1</v>
      </c>
      <c r="F14077" t="s">
        <v>0</v>
      </c>
      <c r="G14077" t="str">
        <f>"2018-10-13 07:39:19"</f>
        <v>2018-10-13 07:39:19</v>
      </c>
    </row>
    <row r="14078" spans="1:7" x14ac:dyDescent="0.2">
      <c r="A14078" t="s">
        <v>1</v>
      </c>
      <c r="B14078" t="str">
        <f>"15707226962"</f>
        <v>15707226962</v>
      </c>
      <c r="C14078" t="s">
        <v>1</v>
      </c>
      <c r="D14078" t="s">
        <v>1</v>
      </c>
      <c r="E14078" t="s">
        <v>1</v>
      </c>
      <c r="F14078" t="s">
        <v>0</v>
      </c>
      <c r="G14078" t="str">
        <f>"2018-10-13 07:35:16"</f>
        <v>2018-10-13 07:35:16</v>
      </c>
    </row>
    <row r="14079" spans="1:7" x14ac:dyDescent="0.2">
      <c r="A14079" t="s">
        <v>1</v>
      </c>
      <c r="B14079" t="str">
        <f>"17851535092"</f>
        <v>17851535092</v>
      </c>
      <c r="C14079" t="s">
        <v>1</v>
      </c>
      <c r="D14079" t="s">
        <v>1</v>
      </c>
      <c r="E14079" t="s">
        <v>1</v>
      </c>
      <c r="F14079" t="s">
        <v>0</v>
      </c>
      <c r="G14079" t="str">
        <f>"2018-10-13 07:34:20"</f>
        <v>2018-10-13 07:34:20</v>
      </c>
    </row>
    <row r="14080" spans="1:7" x14ac:dyDescent="0.2">
      <c r="A14080" t="s">
        <v>13881</v>
      </c>
      <c r="B14080" t="str">
        <f>"13793616147"</f>
        <v>13793616147</v>
      </c>
      <c r="C14080" t="str">
        <f>"370703198901033748"</f>
        <v>370703198901033748</v>
      </c>
      <c r="D14080" t="s">
        <v>1</v>
      </c>
      <c r="E14080" t="s">
        <v>1</v>
      </c>
      <c r="F14080" t="s">
        <v>0</v>
      </c>
      <c r="G14080" t="str">
        <f>"2018-10-13 07:34:00"</f>
        <v>2018-10-13 07:34:00</v>
      </c>
    </row>
    <row r="14081" spans="1:7" x14ac:dyDescent="0.2">
      <c r="A14081" t="s">
        <v>13882</v>
      </c>
      <c r="B14081" t="str">
        <f>"13328297820"</f>
        <v>13328297820</v>
      </c>
      <c r="C14081" t="str">
        <f>"352225198706052512"</f>
        <v>352225198706052512</v>
      </c>
      <c r="D14081" t="s">
        <v>1</v>
      </c>
      <c r="E14081" t="s">
        <v>1</v>
      </c>
      <c r="F14081" t="s">
        <v>0</v>
      </c>
      <c r="G14081" t="str">
        <f>"2018-10-13 13:17:25"</f>
        <v>2018-10-13 13:17:25</v>
      </c>
    </row>
    <row r="14082" spans="1:7" x14ac:dyDescent="0.2">
      <c r="A14082" t="s">
        <v>13883</v>
      </c>
      <c r="B14082" t="str">
        <f>"13273121737"</f>
        <v>13273121737</v>
      </c>
      <c r="C14082" t="str">
        <f>"130121198112021643"</f>
        <v>130121198112021643</v>
      </c>
      <c r="D14082" t="s">
        <v>1</v>
      </c>
      <c r="E14082" t="s">
        <v>1</v>
      </c>
      <c r="F14082" t="s">
        <v>0</v>
      </c>
      <c r="G14082" t="str">
        <f>"2018-10-13 07:31:33"</f>
        <v>2018-10-13 07:31:33</v>
      </c>
    </row>
    <row r="14083" spans="1:7" x14ac:dyDescent="0.2">
      <c r="A14083" t="s">
        <v>13884</v>
      </c>
      <c r="B14083" t="str">
        <f>"18537182023"</f>
        <v>18537182023</v>
      </c>
      <c r="C14083" t="str">
        <f>"410184199907096910"</f>
        <v>410184199907096910</v>
      </c>
      <c r="D14083" t="s">
        <v>1</v>
      </c>
      <c r="E14083" t="s">
        <v>1</v>
      </c>
      <c r="F14083" t="s">
        <v>0</v>
      </c>
      <c r="G14083" t="str">
        <f>"2018-10-13 07:40:26"</f>
        <v>2018-10-13 07:40:26</v>
      </c>
    </row>
    <row r="14084" spans="1:7" x14ac:dyDescent="0.2">
      <c r="A14084" t="s">
        <v>1</v>
      </c>
      <c r="B14084" t="str">
        <f>"18670935161"</f>
        <v>18670935161</v>
      </c>
      <c r="C14084" t="s">
        <v>1</v>
      </c>
      <c r="D14084" t="s">
        <v>1</v>
      </c>
      <c r="E14084" t="s">
        <v>1</v>
      </c>
      <c r="F14084" t="s">
        <v>0</v>
      </c>
      <c r="G14084" t="str">
        <f>"2018-10-13 07:29:45"</f>
        <v>2018-10-13 07:29:45</v>
      </c>
    </row>
    <row r="14085" spans="1:7" x14ac:dyDescent="0.2">
      <c r="A14085" t="s">
        <v>1</v>
      </c>
      <c r="B14085" t="str">
        <f>"17731387224"</f>
        <v>17731387224</v>
      </c>
      <c r="C14085" t="s">
        <v>1</v>
      </c>
      <c r="D14085" t="s">
        <v>1</v>
      </c>
      <c r="E14085" t="s">
        <v>1</v>
      </c>
      <c r="F14085" t="s">
        <v>0</v>
      </c>
      <c r="G14085" t="str">
        <f>"2018-10-13 07:29:42"</f>
        <v>2018-10-13 07:29:42</v>
      </c>
    </row>
    <row r="14086" spans="1:7" x14ac:dyDescent="0.2">
      <c r="A14086" t="s">
        <v>1</v>
      </c>
      <c r="B14086" t="str">
        <f>"18209215613"</f>
        <v>18209215613</v>
      </c>
      <c r="C14086" t="s">
        <v>1</v>
      </c>
      <c r="D14086" t="s">
        <v>1</v>
      </c>
      <c r="E14086" t="s">
        <v>1</v>
      </c>
      <c r="F14086" t="s">
        <v>0</v>
      </c>
      <c r="G14086" t="str">
        <f>"2018-10-13 08:26:48"</f>
        <v>2018-10-13 08:26:48</v>
      </c>
    </row>
    <row r="14087" spans="1:7" x14ac:dyDescent="0.2">
      <c r="A14087" t="s">
        <v>13885</v>
      </c>
      <c r="B14087" t="str">
        <f>"15168468125"</f>
        <v>15168468125</v>
      </c>
      <c r="C14087" t="str">
        <f>"341224198312053345"</f>
        <v>341224198312053345</v>
      </c>
      <c r="D14087" t="s">
        <v>1</v>
      </c>
      <c r="E14087" t="s">
        <v>1</v>
      </c>
      <c r="F14087" t="s">
        <v>0</v>
      </c>
      <c r="G14087" t="str">
        <f>"2018-10-13 08:32:37"</f>
        <v>2018-10-13 08:32:37</v>
      </c>
    </row>
    <row r="14088" spans="1:7" x14ac:dyDescent="0.2">
      <c r="A14088" t="s">
        <v>13886</v>
      </c>
      <c r="B14088" t="str">
        <f>"13062518469"</f>
        <v>13062518469</v>
      </c>
      <c r="C14088" t="str">
        <f>"513022199506134316"</f>
        <v>513022199506134316</v>
      </c>
      <c r="D14088" t="s">
        <v>1</v>
      </c>
      <c r="E14088" t="s">
        <v>1</v>
      </c>
      <c r="F14088" t="s">
        <v>0</v>
      </c>
      <c r="G14088" t="str">
        <f>"2018-10-13 07:23:26"</f>
        <v>2018-10-13 07:23:26</v>
      </c>
    </row>
    <row r="14089" spans="1:7" x14ac:dyDescent="0.2">
      <c r="A14089" t="s">
        <v>1</v>
      </c>
      <c r="B14089" t="str">
        <f>"14794668400"</f>
        <v>14794668400</v>
      </c>
      <c r="C14089" t="s">
        <v>1</v>
      </c>
      <c r="D14089" t="s">
        <v>1</v>
      </c>
      <c r="E14089" t="s">
        <v>1</v>
      </c>
      <c r="F14089" t="s">
        <v>0</v>
      </c>
      <c r="G14089" t="str">
        <f>"2018-10-13 07:21:16"</f>
        <v>2018-10-13 07:21:16</v>
      </c>
    </row>
    <row r="14090" spans="1:7" x14ac:dyDescent="0.2">
      <c r="A14090" t="s">
        <v>13887</v>
      </c>
      <c r="B14090" t="str">
        <f>"17634208550"</f>
        <v>17634208550</v>
      </c>
      <c r="C14090" t="str">
        <f>"410327199106125615"</f>
        <v>410327199106125615</v>
      </c>
      <c r="D14090" t="s">
        <v>1</v>
      </c>
      <c r="E14090" t="s">
        <v>1</v>
      </c>
      <c r="F14090" t="s">
        <v>0</v>
      </c>
      <c r="G14090" t="str">
        <f>"2018-10-13 07:21:14"</f>
        <v>2018-10-13 07:21:14</v>
      </c>
    </row>
    <row r="14091" spans="1:7" x14ac:dyDescent="0.2">
      <c r="A14091" t="s">
        <v>13888</v>
      </c>
      <c r="B14091" t="str">
        <f>"15507179695"</f>
        <v>15507179695</v>
      </c>
      <c r="C14091" t="str">
        <f>"430626199601155137"</f>
        <v>430626199601155137</v>
      </c>
      <c r="D14091" t="s">
        <v>1</v>
      </c>
      <c r="E14091" t="s">
        <v>1</v>
      </c>
      <c r="F14091" t="s">
        <v>0</v>
      </c>
      <c r="G14091" t="str">
        <f>"2018-10-13 07:21:32"</f>
        <v>2018-10-13 07:21:32</v>
      </c>
    </row>
    <row r="14092" spans="1:7" x14ac:dyDescent="0.2">
      <c r="A14092" t="s">
        <v>1</v>
      </c>
      <c r="B14092" t="str">
        <f>"15160704796"</f>
        <v>15160704796</v>
      </c>
      <c r="C14092" t="s">
        <v>1</v>
      </c>
      <c r="D14092" t="s">
        <v>1</v>
      </c>
      <c r="E14092" t="s">
        <v>1</v>
      </c>
      <c r="F14092" t="s">
        <v>0</v>
      </c>
      <c r="G14092" t="str">
        <f>"2018-10-13 09:30:17"</f>
        <v>2018-10-13 09:30:17</v>
      </c>
    </row>
    <row r="14093" spans="1:7" x14ac:dyDescent="0.2">
      <c r="A14093" t="s">
        <v>1492</v>
      </c>
      <c r="B14093" t="str">
        <f>"13732804446"</f>
        <v>13732804446</v>
      </c>
      <c r="C14093" t="str">
        <f>"220281198703278620"</f>
        <v>220281198703278620</v>
      </c>
      <c r="D14093" t="s">
        <v>1</v>
      </c>
      <c r="E14093" t="s">
        <v>1</v>
      </c>
      <c r="F14093" t="s">
        <v>0</v>
      </c>
      <c r="G14093" t="str">
        <f>"2018-10-13 07:17:49"</f>
        <v>2018-10-13 07:17:49</v>
      </c>
    </row>
    <row r="14094" spans="1:7" x14ac:dyDescent="0.2">
      <c r="A14094" t="s">
        <v>1809</v>
      </c>
      <c r="B14094" t="str">
        <f>"18508510124"</f>
        <v>18508510124</v>
      </c>
      <c r="C14094" t="str">
        <f>"522126198801240020"</f>
        <v>522126198801240020</v>
      </c>
      <c r="D14094" t="s">
        <v>1</v>
      </c>
      <c r="E14094" t="s">
        <v>1</v>
      </c>
      <c r="F14094" t="s">
        <v>0</v>
      </c>
      <c r="G14094" t="str">
        <f>"2018-10-13 19:38:43"</f>
        <v>2018-10-13 19:38:43</v>
      </c>
    </row>
    <row r="14095" spans="1:7" x14ac:dyDescent="0.2">
      <c r="A14095" t="s">
        <v>13889</v>
      </c>
      <c r="B14095" t="str">
        <f>"18671720341"</f>
        <v>18671720341</v>
      </c>
      <c r="C14095" t="str">
        <f>"420527199810303879"</f>
        <v>420527199810303879</v>
      </c>
      <c r="D14095" t="s">
        <v>1</v>
      </c>
      <c r="E14095" t="s">
        <v>1</v>
      </c>
      <c r="F14095" t="s">
        <v>0</v>
      </c>
      <c r="G14095" t="str">
        <f>"2018-11-02 19:07:49"</f>
        <v>2018-11-02 19:07:49</v>
      </c>
    </row>
    <row r="14096" spans="1:7" x14ac:dyDescent="0.2">
      <c r="A14096" t="s">
        <v>13890</v>
      </c>
      <c r="B14096" t="str">
        <f>"13309416163"</f>
        <v>13309416163</v>
      </c>
      <c r="C14096" t="str">
        <f>"620104198307160811"</f>
        <v>620104198307160811</v>
      </c>
      <c r="D14096" t="s">
        <v>1</v>
      </c>
      <c r="E14096" t="s">
        <v>1</v>
      </c>
      <c r="F14096" t="s">
        <v>0</v>
      </c>
      <c r="G14096" t="str">
        <f>"2018-10-13 07:19:17"</f>
        <v>2018-10-13 07:19:17</v>
      </c>
    </row>
    <row r="14097" spans="1:7" x14ac:dyDescent="0.2">
      <c r="A14097" t="s">
        <v>13891</v>
      </c>
      <c r="B14097" t="str">
        <f>"15248179713"</f>
        <v>15248179713</v>
      </c>
      <c r="C14097" t="str">
        <f>"15252219940610002X"</f>
        <v>15252219940610002X</v>
      </c>
      <c r="D14097" t="s">
        <v>13892</v>
      </c>
      <c r="E14097" t="s">
        <v>13893</v>
      </c>
      <c r="F14097" t="s">
        <v>0</v>
      </c>
      <c r="G14097" t="str">
        <f>"2018-10-13 07:15:26"</f>
        <v>2018-10-13 07:15:26</v>
      </c>
    </row>
    <row r="14098" spans="1:7" x14ac:dyDescent="0.2">
      <c r="A14098" t="s">
        <v>211</v>
      </c>
      <c r="B14098" t="str">
        <f>"18635537320"</f>
        <v>18635537320</v>
      </c>
      <c r="C14098" t="str">
        <f>"140431198406054812"</f>
        <v>140431198406054812</v>
      </c>
      <c r="D14098" t="s">
        <v>1</v>
      </c>
      <c r="E14098" t="s">
        <v>1</v>
      </c>
      <c r="F14098" t="s">
        <v>0</v>
      </c>
      <c r="G14098" t="str">
        <f>"2018-10-13 10:29:12"</f>
        <v>2018-10-13 10:29:12</v>
      </c>
    </row>
    <row r="14099" spans="1:7" x14ac:dyDescent="0.2">
      <c r="A14099" t="s">
        <v>13894</v>
      </c>
      <c r="B14099" t="str">
        <f>"15997167107"</f>
        <v>15997167107</v>
      </c>
      <c r="C14099" t="str">
        <f>"420702199106027368"</f>
        <v>420702199106027368</v>
      </c>
      <c r="D14099" t="s">
        <v>13895</v>
      </c>
      <c r="E14099" t="s">
        <v>13896</v>
      </c>
      <c r="F14099" t="s">
        <v>0</v>
      </c>
      <c r="G14099" t="str">
        <f>"2018-10-13 07:12:12"</f>
        <v>2018-10-13 07:12:12</v>
      </c>
    </row>
    <row r="14100" spans="1:7" x14ac:dyDescent="0.2">
      <c r="A14100" t="s">
        <v>13897</v>
      </c>
      <c r="B14100" t="str">
        <f>"15962014125"</f>
        <v>15962014125</v>
      </c>
      <c r="C14100" t="str">
        <f>"320921199002133357"</f>
        <v>320921199002133357</v>
      </c>
      <c r="D14100" t="s">
        <v>1</v>
      </c>
      <c r="E14100" t="s">
        <v>1</v>
      </c>
      <c r="F14100" t="s">
        <v>0</v>
      </c>
      <c r="G14100" t="str">
        <f>"2018-10-30 06:58:32"</f>
        <v>2018-10-30 06:58:32</v>
      </c>
    </row>
    <row r="14101" spans="1:7" x14ac:dyDescent="0.2">
      <c r="A14101" t="s">
        <v>13898</v>
      </c>
      <c r="B14101" t="str">
        <f>"15211225676"</f>
        <v>15211225676</v>
      </c>
      <c r="C14101" t="str">
        <f>"430725199008111589"</f>
        <v>430725199008111589</v>
      </c>
      <c r="D14101" t="s">
        <v>13899</v>
      </c>
      <c r="E14101" t="s">
        <v>13900</v>
      </c>
      <c r="F14101" t="s">
        <v>0</v>
      </c>
      <c r="G14101" t="str">
        <f>"2018-10-13 07:10:36"</f>
        <v>2018-10-13 07:10:36</v>
      </c>
    </row>
    <row r="14102" spans="1:7" x14ac:dyDescent="0.2">
      <c r="A14102" t="s">
        <v>13901</v>
      </c>
      <c r="B14102" t="str">
        <f>"15625842426"</f>
        <v>15625842426</v>
      </c>
      <c r="C14102" t="str">
        <f>"440921199705010502"</f>
        <v>440921199705010502</v>
      </c>
      <c r="D14102" t="s">
        <v>1</v>
      </c>
      <c r="E14102" t="s">
        <v>1</v>
      </c>
      <c r="F14102" t="s">
        <v>0</v>
      </c>
      <c r="G14102" t="str">
        <f>"2018-10-13 07:17:44"</f>
        <v>2018-10-13 07:17:44</v>
      </c>
    </row>
    <row r="14103" spans="1:7" x14ac:dyDescent="0.2">
      <c r="A14103" t="s">
        <v>869</v>
      </c>
      <c r="B14103" t="str">
        <f>"18011222254"</f>
        <v>18011222254</v>
      </c>
      <c r="C14103" t="str">
        <f>"51152619931102031X"</f>
        <v>51152619931102031X</v>
      </c>
      <c r="D14103" t="s">
        <v>1</v>
      </c>
      <c r="E14103" t="s">
        <v>1</v>
      </c>
      <c r="F14103" t="s">
        <v>0</v>
      </c>
      <c r="G14103" t="str">
        <f>"2018-10-13 07:07:16"</f>
        <v>2018-10-13 07:07:16</v>
      </c>
    </row>
    <row r="14104" spans="1:7" x14ac:dyDescent="0.2">
      <c r="A14104" t="s">
        <v>13902</v>
      </c>
      <c r="B14104" t="str">
        <f>"15357633832"</f>
        <v>15357633832</v>
      </c>
      <c r="C14104" t="str">
        <f>"341226197610015716"</f>
        <v>341226197610015716</v>
      </c>
      <c r="D14104" t="s">
        <v>13903</v>
      </c>
      <c r="E14104" t="s">
        <v>13904</v>
      </c>
      <c r="F14104" t="s">
        <v>0</v>
      </c>
      <c r="G14104" t="str">
        <f>"2018-10-13 07:05:34"</f>
        <v>2018-10-13 07:05:34</v>
      </c>
    </row>
    <row r="14105" spans="1:7" x14ac:dyDescent="0.2">
      <c r="A14105" t="s">
        <v>13905</v>
      </c>
      <c r="B14105" t="str">
        <f>"15253573556"</f>
        <v>15253573556</v>
      </c>
      <c r="C14105" t="str">
        <f>"231083199307181471"</f>
        <v>231083199307181471</v>
      </c>
      <c r="D14105" t="s">
        <v>1</v>
      </c>
      <c r="E14105" t="s">
        <v>1</v>
      </c>
      <c r="F14105" t="s">
        <v>0</v>
      </c>
      <c r="G14105" t="str">
        <f>"2018-10-14 16:25:32"</f>
        <v>2018-10-14 16:25:32</v>
      </c>
    </row>
    <row r="14106" spans="1:7" x14ac:dyDescent="0.2">
      <c r="A14106" t="s">
        <v>1354</v>
      </c>
      <c r="B14106" t="str">
        <f>"17649889104"</f>
        <v>17649889104</v>
      </c>
      <c r="C14106" t="str">
        <f>"220381199501022811"</f>
        <v>220381199501022811</v>
      </c>
      <c r="D14106" t="s">
        <v>1</v>
      </c>
      <c r="E14106" t="s">
        <v>1</v>
      </c>
      <c r="F14106" t="s">
        <v>0</v>
      </c>
      <c r="G14106" t="str">
        <f>"2018-10-13 07:12:35"</f>
        <v>2018-10-13 07:12:35</v>
      </c>
    </row>
    <row r="14107" spans="1:7" x14ac:dyDescent="0.2">
      <c r="A14107" t="s">
        <v>1</v>
      </c>
      <c r="B14107" t="str">
        <f>"18875552292"</f>
        <v>18875552292</v>
      </c>
      <c r="C14107" t="s">
        <v>1</v>
      </c>
      <c r="D14107" t="s">
        <v>1</v>
      </c>
      <c r="E14107" t="s">
        <v>1</v>
      </c>
      <c r="F14107" t="s">
        <v>0</v>
      </c>
      <c r="G14107" t="str">
        <f>"2018-10-13 07:04:20"</f>
        <v>2018-10-13 07:04:20</v>
      </c>
    </row>
    <row r="14108" spans="1:7" x14ac:dyDescent="0.2">
      <c r="A14108" t="s">
        <v>1</v>
      </c>
      <c r="B14108" t="str">
        <f>"18870710923"</f>
        <v>18870710923</v>
      </c>
      <c r="C14108" t="s">
        <v>1</v>
      </c>
      <c r="D14108" t="s">
        <v>1</v>
      </c>
      <c r="E14108" t="s">
        <v>1</v>
      </c>
      <c r="F14108" t="s">
        <v>0</v>
      </c>
      <c r="G14108" t="str">
        <f>"2018-10-13 06:57:22"</f>
        <v>2018-10-13 06:57:22</v>
      </c>
    </row>
    <row r="14109" spans="1:7" x14ac:dyDescent="0.2">
      <c r="A14109" t="s">
        <v>881</v>
      </c>
      <c r="B14109" t="str">
        <f>"13483133220"</f>
        <v>13483133220</v>
      </c>
      <c r="C14109" t="str">
        <f>"130121199703153810"</f>
        <v>130121199703153810</v>
      </c>
      <c r="D14109" t="s">
        <v>13906</v>
      </c>
      <c r="E14109" t="s">
        <v>13907</v>
      </c>
      <c r="F14109" t="s">
        <v>0</v>
      </c>
      <c r="G14109" t="str">
        <f>"2018-10-13 06:58:28"</f>
        <v>2018-10-13 06:58:28</v>
      </c>
    </row>
    <row r="14110" spans="1:7" x14ac:dyDescent="0.2">
      <c r="A14110" t="s">
        <v>1</v>
      </c>
      <c r="B14110" t="str">
        <f>"17074975781"</f>
        <v>17074975781</v>
      </c>
      <c r="C14110" t="s">
        <v>1</v>
      </c>
      <c r="D14110" t="s">
        <v>1</v>
      </c>
      <c r="E14110" t="s">
        <v>1</v>
      </c>
      <c r="F14110" t="s">
        <v>0</v>
      </c>
      <c r="G14110" t="str">
        <f>"2018-10-13 06:57:06"</f>
        <v>2018-10-13 06:57:06</v>
      </c>
    </row>
    <row r="14111" spans="1:7" x14ac:dyDescent="0.2">
      <c r="A14111" t="s">
        <v>1</v>
      </c>
      <c r="B14111" t="str">
        <f>"13803558379"</f>
        <v>13803558379</v>
      </c>
      <c r="C14111" t="s">
        <v>1</v>
      </c>
      <c r="D14111" t="s">
        <v>1</v>
      </c>
      <c r="E14111" t="s">
        <v>1</v>
      </c>
      <c r="F14111" t="s">
        <v>0</v>
      </c>
      <c r="G14111" t="str">
        <f>"2018-10-13 06:56:08"</f>
        <v>2018-10-13 06:56:08</v>
      </c>
    </row>
    <row r="14112" spans="1:7" x14ac:dyDescent="0.2">
      <c r="A14112" t="s">
        <v>13908</v>
      </c>
      <c r="B14112" t="str">
        <f>"13083067838"</f>
        <v>13083067838</v>
      </c>
      <c r="C14112" t="str">
        <f>"340122199107081676"</f>
        <v>340122199107081676</v>
      </c>
      <c r="D14112" t="s">
        <v>1</v>
      </c>
      <c r="E14112" t="s">
        <v>1</v>
      </c>
      <c r="F14112" t="s">
        <v>0</v>
      </c>
      <c r="G14112" t="str">
        <f>"2018-10-13 06:57:34"</f>
        <v>2018-10-13 06:57:34</v>
      </c>
    </row>
    <row r="14113" spans="1:7" x14ac:dyDescent="0.2">
      <c r="A14113" t="s">
        <v>13909</v>
      </c>
      <c r="B14113" t="str">
        <f>"13408363753"</f>
        <v>13408363753</v>
      </c>
      <c r="C14113" t="str">
        <f>"513401198202032826"</f>
        <v>513401198202032826</v>
      </c>
      <c r="D14113" t="s">
        <v>1</v>
      </c>
      <c r="E14113" t="s">
        <v>1</v>
      </c>
      <c r="F14113" t="s">
        <v>0</v>
      </c>
      <c r="G14113" t="str">
        <f>"2018-10-13 06:56:58"</f>
        <v>2018-10-13 06:56:58</v>
      </c>
    </row>
    <row r="14114" spans="1:7" x14ac:dyDescent="0.2">
      <c r="A14114" t="s">
        <v>13910</v>
      </c>
      <c r="B14114" t="str">
        <f>"13038818001"</f>
        <v>13038818001</v>
      </c>
      <c r="C14114" t="str">
        <f>"440823200111130817"</f>
        <v>440823200111130817</v>
      </c>
      <c r="D14114" t="s">
        <v>1</v>
      </c>
      <c r="E14114" t="s">
        <v>1</v>
      </c>
      <c r="F14114" t="s">
        <v>0</v>
      </c>
      <c r="G14114" t="str">
        <f>"2018-10-13 06:54:17"</f>
        <v>2018-10-13 06:54:17</v>
      </c>
    </row>
    <row r="14115" spans="1:7" x14ac:dyDescent="0.2">
      <c r="A14115" t="s">
        <v>13911</v>
      </c>
      <c r="B14115" t="str">
        <f>"13968579101"</f>
        <v>13968579101</v>
      </c>
      <c r="C14115" t="str">
        <f>"332625197709283117"</f>
        <v>332625197709283117</v>
      </c>
      <c r="D14115" t="s">
        <v>1</v>
      </c>
      <c r="E14115" t="s">
        <v>1</v>
      </c>
      <c r="F14115" t="s">
        <v>0</v>
      </c>
      <c r="G14115" t="str">
        <f>"2018-10-13 06:46:58"</f>
        <v>2018-10-13 06:46:58</v>
      </c>
    </row>
    <row r="14116" spans="1:7" x14ac:dyDescent="0.2">
      <c r="A14116" t="s">
        <v>13912</v>
      </c>
      <c r="B14116" t="str">
        <f>"17137605555"</f>
        <v>17137605555</v>
      </c>
      <c r="C14116" t="str">
        <f>"220203198811132718"</f>
        <v>220203198811132718</v>
      </c>
      <c r="D14116" t="s">
        <v>1</v>
      </c>
      <c r="E14116" t="s">
        <v>1</v>
      </c>
      <c r="F14116" t="s">
        <v>0</v>
      </c>
      <c r="G14116" t="str">
        <f>"2018-10-13 06:39:01"</f>
        <v>2018-10-13 06:39:01</v>
      </c>
    </row>
    <row r="14117" spans="1:7" x14ac:dyDescent="0.2">
      <c r="A14117" t="s">
        <v>1</v>
      </c>
      <c r="B14117" t="str">
        <f>"13110546862"</f>
        <v>13110546862</v>
      </c>
      <c r="C14117" t="s">
        <v>1</v>
      </c>
      <c r="D14117" t="s">
        <v>1</v>
      </c>
      <c r="E14117" t="s">
        <v>1</v>
      </c>
      <c r="F14117" t="s">
        <v>0</v>
      </c>
      <c r="G14117" t="str">
        <f>"2018-10-18 14:10:23"</f>
        <v>2018-10-18 14:10:23</v>
      </c>
    </row>
    <row r="14118" spans="1:7" x14ac:dyDescent="0.2">
      <c r="A14118" t="s">
        <v>13913</v>
      </c>
      <c r="B14118" t="str">
        <f>"13884476576"</f>
        <v>13884476576</v>
      </c>
      <c r="C14118" t="str">
        <f>"341125197307183619"</f>
        <v>341125197307183619</v>
      </c>
      <c r="D14118" t="s">
        <v>1</v>
      </c>
      <c r="E14118" t="s">
        <v>1</v>
      </c>
      <c r="F14118" t="s">
        <v>0</v>
      </c>
      <c r="G14118" t="str">
        <f>"2018-10-13 06:31:31"</f>
        <v>2018-10-13 06:31:31</v>
      </c>
    </row>
    <row r="14119" spans="1:7" x14ac:dyDescent="0.2">
      <c r="A14119" t="s">
        <v>29</v>
      </c>
      <c r="B14119" t="str">
        <f>"17784496650"</f>
        <v>17784496650</v>
      </c>
      <c r="C14119" t="str">
        <f>"500113198908269117"</f>
        <v>500113198908269117</v>
      </c>
      <c r="D14119" t="s">
        <v>1</v>
      </c>
      <c r="E14119" t="s">
        <v>1</v>
      </c>
      <c r="F14119" t="s">
        <v>0</v>
      </c>
      <c r="G14119" t="str">
        <f>"2018-10-13 06:25:34"</f>
        <v>2018-10-13 06:25:34</v>
      </c>
    </row>
    <row r="14120" spans="1:7" x14ac:dyDescent="0.2">
      <c r="A14120" t="s">
        <v>1</v>
      </c>
      <c r="B14120" t="str">
        <f>"15639512915"</f>
        <v>15639512915</v>
      </c>
      <c r="C14120" t="s">
        <v>1</v>
      </c>
      <c r="D14120" t="s">
        <v>1</v>
      </c>
      <c r="E14120" t="s">
        <v>1</v>
      </c>
      <c r="F14120" t="s">
        <v>0</v>
      </c>
      <c r="G14120" t="str">
        <f>"2018-10-13 06:21:57"</f>
        <v>2018-10-13 06:21:57</v>
      </c>
    </row>
    <row r="14121" spans="1:7" x14ac:dyDescent="0.2">
      <c r="A14121" t="s">
        <v>1</v>
      </c>
      <c r="B14121" t="str">
        <f>"18372000142"</f>
        <v>18372000142</v>
      </c>
      <c r="C14121" t="s">
        <v>1</v>
      </c>
      <c r="D14121" t="s">
        <v>1</v>
      </c>
      <c r="E14121" t="s">
        <v>1</v>
      </c>
      <c r="F14121" t="s">
        <v>0</v>
      </c>
      <c r="G14121" t="str">
        <f>"2018-10-13 06:21:16"</f>
        <v>2018-10-13 06:21:16</v>
      </c>
    </row>
    <row r="14122" spans="1:7" x14ac:dyDescent="0.2">
      <c r="A14122" t="s">
        <v>1</v>
      </c>
      <c r="B14122" t="str">
        <f>"18715115563"</f>
        <v>18715115563</v>
      </c>
      <c r="C14122" t="s">
        <v>1</v>
      </c>
      <c r="D14122" t="s">
        <v>1</v>
      </c>
      <c r="E14122" t="s">
        <v>1</v>
      </c>
      <c r="F14122" t="s">
        <v>0</v>
      </c>
      <c r="G14122" t="str">
        <f>"2018-10-13 06:11:37"</f>
        <v>2018-10-13 06:11:37</v>
      </c>
    </row>
    <row r="14123" spans="1:7" x14ac:dyDescent="0.2">
      <c r="A14123" t="s">
        <v>1</v>
      </c>
      <c r="B14123" t="str">
        <f>"13543363388"</f>
        <v>13543363388</v>
      </c>
      <c r="C14123" t="s">
        <v>1</v>
      </c>
      <c r="D14123" t="s">
        <v>1</v>
      </c>
      <c r="E14123" t="s">
        <v>1</v>
      </c>
      <c r="F14123" t="s">
        <v>0</v>
      </c>
      <c r="G14123" t="str">
        <f>"2018-10-13 06:04:55"</f>
        <v>2018-10-13 06:04:55</v>
      </c>
    </row>
    <row r="14124" spans="1:7" x14ac:dyDescent="0.2">
      <c r="A14124" t="s">
        <v>1</v>
      </c>
      <c r="B14124" t="str">
        <f>"15085637097"</f>
        <v>15085637097</v>
      </c>
      <c r="C14124" t="s">
        <v>1</v>
      </c>
      <c r="D14124" t="s">
        <v>1</v>
      </c>
      <c r="E14124" t="s">
        <v>1</v>
      </c>
      <c r="F14124" t="s">
        <v>0</v>
      </c>
      <c r="G14124" t="str">
        <f>"2018-10-13 06:03:17"</f>
        <v>2018-10-13 06:03:17</v>
      </c>
    </row>
    <row r="14125" spans="1:7" x14ac:dyDescent="0.2">
      <c r="A14125" t="s">
        <v>13914</v>
      </c>
      <c r="B14125" t="str">
        <f>"18577206328"</f>
        <v>18577206328</v>
      </c>
      <c r="C14125" t="str">
        <f>"452223199506281025"</f>
        <v>452223199506281025</v>
      </c>
      <c r="D14125" t="s">
        <v>1</v>
      </c>
      <c r="E14125" t="s">
        <v>1</v>
      </c>
      <c r="F14125" t="s">
        <v>0</v>
      </c>
      <c r="G14125" t="str">
        <f>"2018-10-13 05:59:37"</f>
        <v>2018-10-13 05:59:37</v>
      </c>
    </row>
    <row r="14126" spans="1:7" x14ac:dyDescent="0.2">
      <c r="A14126" t="s">
        <v>13915</v>
      </c>
      <c r="B14126" t="str">
        <f>"18582050879"</f>
        <v>18582050879</v>
      </c>
      <c r="C14126" t="str">
        <f>"513826199709231019"</f>
        <v>513826199709231019</v>
      </c>
      <c r="D14126" t="s">
        <v>1</v>
      </c>
      <c r="E14126" t="s">
        <v>1</v>
      </c>
      <c r="F14126" t="s">
        <v>0</v>
      </c>
      <c r="G14126" t="str">
        <f>"2018-10-22 16:37:47"</f>
        <v>2018-10-22 16:37:47</v>
      </c>
    </row>
    <row r="14127" spans="1:7" x14ac:dyDescent="0.2">
      <c r="A14127" t="s">
        <v>1</v>
      </c>
      <c r="B14127" t="str">
        <f>"13160927509"</f>
        <v>13160927509</v>
      </c>
      <c r="C14127" t="s">
        <v>1</v>
      </c>
      <c r="D14127" t="s">
        <v>1</v>
      </c>
      <c r="E14127" t="s">
        <v>1</v>
      </c>
      <c r="F14127" t="s">
        <v>0</v>
      </c>
      <c r="G14127" t="str">
        <f>"2018-10-13 05:55:04"</f>
        <v>2018-10-13 05:55:04</v>
      </c>
    </row>
    <row r="14128" spans="1:7" x14ac:dyDescent="0.2">
      <c r="A14128" t="s">
        <v>13916</v>
      </c>
      <c r="B14128" t="str">
        <f>"18258375280"</f>
        <v>18258375280</v>
      </c>
      <c r="C14128" t="str">
        <f>"532101199312093217"</f>
        <v>532101199312093217</v>
      </c>
      <c r="D14128" t="s">
        <v>1</v>
      </c>
      <c r="E14128" t="s">
        <v>1</v>
      </c>
      <c r="F14128" t="s">
        <v>0</v>
      </c>
      <c r="G14128" t="str">
        <f>"2018-10-13 05:47:48"</f>
        <v>2018-10-13 05:47:48</v>
      </c>
    </row>
    <row r="14129" spans="1:7" x14ac:dyDescent="0.2">
      <c r="A14129" t="s">
        <v>1</v>
      </c>
      <c r="B14129" t="str">
        <f>"13964371332"</f>
        <v>13964371332</v>
      </c>
      <c r="C14129" t="s">
        <v>1</v>
      </c>
      <c r="D14129" t="s">
        <v>1</v>
      </c>
      <c r="E14129" t="s">
        <v>1</v>
      </c>
      <c r="F14129" t="s">
        <v>0</v>
      </c>
      <c r="G14129" t="str">
        <f>"2018-10-13 05:44:40"</f>
        <v>2018-10-13 05:44:40</v>
      </c>
    </row>
    <row r="14130" spans="1:7" x14ac:dyDescent="0.2">
      <c r="A14130" t="s">
        <v>13917</v>
      </c>
      <c r="B14130" t="str">
        <f>"13476108875"</f>
        <v>13476108875</v>
      </c>
      <c r="C14130" t="str">
        <f>"420106197912204457"</f>
        <v>420106197912204457</v>
      </c>
      <c r="D14130" t="s">
        <v>1</v>
      </c>
      <c r="E14130" t="s">
        <v>1</v>
      </c>
      <c r="F14130" t="s">
        <v>0</v>
      </c>
      <c r="G14130" t="str">
        <f>"2018-10-13 05:45:59"</f>
        <v>2018-10-13 05:45:59</v>
      </c>
    </row>
    <row r="14131" spans="1:7" x14ac:dyDescent="0.2">
      <c r="A14131" t="s">
        <v>13918</v>
      </c>
      <c r="B14131" t="str">
        <f>"15659880427"</f>
        <v>15659880427</v>
      </c>
      <c r="C14131" t="str">
        <f>"350583199606208930"</f>
        <v>350583199606208930</v>
      </c>
      <c r="D14131" t="s">
        <v>1</v>
      </c>
      <c r="E14131" t="s">
        <v>1</v>
      </c>
      <c r="F14131" t="s">
        <v>0</v>
      </c>
      <c r="G14131" t="str">
        <f>"2018-10-13 05:38:51"</f>
        <v>2018-10-13 05:38:51</v>
      </c>
    </row>
    <row r="14132" spans="1:7" x14ac:dyDescent="0.2">
      <c r="A14132" t="s">
        <v>1</v>
      </c>
      <c r="B14132" t="str">
        <f>"15723343527"</f>
        <v>15723343527</v>
      </c>
      <c r="C14132" t="s">
        <v>1</v>
      </c>
      <c r="D14132" t="s">
        <v>1</v>
      </c>
      <c r="E14132" t="s">
        <v>1</v>
      </c>
      <c r="F14132" t="s">
        <v>0</v>
      </c>
      <c r="G14132" t="str">
        <f>"2018-10-13 06:15:35"</f>
        <v>2018-10-13 06:15:35</v>
      </c>
    </row>
    <row r="14133" spans="1:7" x14ac:dyDescent="0.2">
      <c r="A14133" t="s">
        <v>1</v>
      </c>
      <c r="B14133" t="str">
        <f>"15585566716"</f>
        <v>15585566716</v>
      </c>
      <c r="C14133" t="s">
        <v>1</v>
      </c>
      <c r="D14133" t="s">
        <v>1</v>
      </c>
      <c r="E14133" t="s">
        <v>1</v>
      </c>
      <c r="F14133" t="s">
        <v>0</v>
      </c>
      <c r="G14133" t="str">
        <f>"2018-10-14 12:30:28"</f>
        <v>2018-10-14 12:30:28</v>
      </c>
    </row>
    <row r="14134" spans="1:7" x14ac:dyDescent="0.2">
      <c r="A14134" t="s">
        <v>1</v>
      </c>
      <c r="B14134" t="str">
        <f>"18689803540"</f>
        <v>18689803540</v>
      </c>
      <c r="C14134" t="s">
        <v>1</v>
      </c>
      <c r="D14134" t="s">
        <v>1</v>
      </c>
      <c r="E14134" t="s">
        <v>1</v>
      </c>
      <c r="F14134" t="s">
        <v>0</v>
      </c>
      <c r="G14134" t="str">
        <f>"2018-10-13 05:34:01"</f>
        <v>2018-10-13 05:34:01</v>
      </c>
    </row>
    <row r="14135" spans="1:7" x14ac:dyDescent="0.2">
      <c r="A14135" t="s">
        <v>13919</v>
      </c>
      <c r="B14135" t="str">
        <f>"13272760914"</f>
        <v>13272760914</v>
      </c>
      <c r="C14135" t="str">
        <f>"500228198709146552"</f>
        <v>500228198709146552</v>
      </c>
      <c r="D14135" t="s">
        <v>13920</v>
      </c>
      <c r="E14135" t="s">
        <v>13921</v>
      </c>
      <c r="F14135" t="s">
        <v>0</v>
      </c>
      <c r="G14135" t="str">
        <f>"2018-10-13 05:35:10"</f>
        <v>2018-10-13 05:35:10</v>
      </c>
    </row>
    <row r="14136" spans="1:7" x14ac:dyDescent="0.2">
      <c r="A14136" t="s">
        <v>528</v>
      </c>
      <c r="B14136" t="str">
        <f>"15304259949"</f>
        <v>15304259949</v>
      </c>
      <c r="C14136" t="str">
        <f>"210502198302021516"</f>
        <v>210502198302021516</v>
      </c>
      <c r="D14136" t="s">
        <v>1</v>
      </c>
      <c r="E14136" t="s">
        <v>1</v>
      </c>
      <c r="F14136" t="s">
        <v>0</v>
      </c>
      <c r="G14136" t="str">
        <f>"2018-10-13 05:33:21"</f>
        <v>2018-10-13 05:33:21</v>
      </c>
    </row>
    <row r="14137" spans="1:7" x14ac:dyDescent="0.2">
      <c r="A14137" t="s">
        <v>13922</v>
      </c>
      <c r="B14137" t="str">
        <f>"13973130863"</f>
        <v>13973130863</v>
      </c>
      <c r="C14137" t="str">
        <f>"43040419671020007X"</f>
        <v>43040419671020007X</v>
      </c>
      <c r="D14137" t="s">
        <v>1</v>
      </c>
      <c r="E14137" t="s">
        <v>1</v>
      </c>
      <c r="F14137" t="s">
        <v>0</v>
      </c>
      <c r="G14137" t="str">
        <f>"2018-10-13 05:30:45"</f>
        <v>2018-10-13 05:30:45</v>
      </c>
    </row>
    <row r="14138" spans="1:7" x14ac:dyDescent="0.2">
      <c r="A14138" t="s">
        <v>13923</v>
      </c>
      <c r="B14138" t="str">
        <f>"13556420483"</f>
        <v>13556420483</v>
      </c>
      <c r="C14138" t="str">
        <f>"440582198608304919"</f>
        <v>440582198608304919</v>
      </c>
      <c r="D14138" t="s">
        <v>1</v>
      </c>
      <c r="E14138" t="s">
        <v>1</v>
      </c>
      <c r="F14138" t="s">
        <v>0</v>
      </c>
      <c r="G14138" t="str">
        <f>"2018-10-13 05:24:26"</f>
        <v>2018-10-13 05:24:26</v>
      </c>
    </row>
    <row r="14139" spans="1:7" x14ac:dyDescent="0.2">
      <c r="A14139" t="s">
        <v>13924</v>
      </c>
      <c r="B14139" t="str">
        <f>"15272935127"</f>
        <v>15272935127</v>
      </c>
      <c r="C14139" t="str">
        <f>"430321198208230513"</f>
        <v>430321198208230513</v>
      </c>
      <c r="D14139" t="s">
        <v>1</v>
      </c>
      <c r="E14139" t="s">
        <v>1</v>
      </c>
      <c r="F14139" t="s">
        <v>0</v>
      </c>
      <c r="G14139" t="str">
        <f>"2018-10-13 05:25:40"</f>
        <v>2018-10-13 05:25:40</v>
      </c>
    </row>
    <row r="14140" spans="1:7" x14ac:dyDescent="0.2">
      <c r="A14140" t="s">
        <v>1</v>
      </c>
      <c r="B14140" t="str">
        <f>"13610545841"</f>
        <v>13610545841</v>
      </c>
      <c r="C14140" t="s">
        <v>1</v>
      </c>
      <c r="D14140" t="s">
        <v>1</v>
      </c>
      <c r="E14140" t="s">
        <v>1</v>
      </c>
      <c r="F14140" t="s">
        <v>0</v>
      </c>
      <c r="G14140" t="str">
        <f>"2018-10-13 05:22:45"</f>
        <v>2018-10-13 05:22:45</v>
      </c>
    </row>
    <row r="14141" spans="1:7" x14ac:dyDescent="0.2">
      <c r="A14141" t="s">
        <v>13925</v>
      </c>
      <c r="B14141" t="str">
        <f>"13108881441"</f>
        <v>13108881441</v>
      </c>
      <c r="C14141" t="str">
        <f>"533221199106075212"</f>
        <v>533221199106075212</v>
      </c>
      <c r="D14141" t="s">
        <v>13926</v>
      </c>
      <c r="E14141" t="s">
        <v>13927</v>
      </c>
      <c r="F14141" t="s">
        <v>0</v>
      </c>
      <c r="G14141" t="str">
        <f>"2018-10-13 05:18:10"</f>
        <v>2018-10-13 05:18:10</v>
      </c>
    </row>
    <row r="14142" spans="1:7" x14ac:dyDescent="0.2">
      <c r="A14142" t="s">
        <v>13928</v>
      </c>
      <c r="B14142" t="str">
        <f>"15394685777"</f>
        <v>15394685777</v>
      </c>
      <c r="C14142" t="str">
        <f>"320923197408010019"</f>
        <v>320923197408010019</v>
      </c>
      <c r="D14142" t="s">
        <v>1</v>
      </c>
      <c r="E14142" t="s">
        <v>1</v>
      </c>
      <c r="F14142" t="s">
        <v>0</v>
      </c>
      <c r="G14142" t="str">
        <f>"2018-10-31 23:30:16"</f>
        <v>2018-10-31 23:30:16</v>
      </c>
    </row>
    <row r="14143" spans="1:7" x14ac:dyDescent="0.2">
      <c r="A14143" t="s">
        <v>1</v>
      </c>
      <c r="B14143" t="str">
        <f>"13175300711"</f>
        <v>13175300711</v>
      </c>
      <c r="C14143" t="s">
        <v>1</v>
      </c>
      <c r="D14143" t="s">
        <v>1</v>
      </c>
      <c r="E14143" t="s">
        <v>1</v>
      </c>
      <c r="F14143" t="s">
        <v>0</v>
      </c>
      <c r="G14143" t="str">
        <f>"2018-10-13 04:55:12"</f>
        <v>2018-10-13 04:55:12</v>
      </c>
    </row>
    <row r="14144" spans="1:7" x14ac:dyDescent="0.2">
      <c r="A14144" t="s">
        <v>388</v>
      </c>
      <c r="B14144" t="str">
        <f>"15208542162"</f>
        <v>15208542162</v>
      </c>
      <c r="C14144" t="str">
        <f>"522701198905060046"</f>
        <v>522701198905060046</v>
      </c>
      <c r="D14144" t="s">
        <v>1</v>
      </c>
      <c r="E14144" t="s">
        <v>1</v>
      </c>
      <c r="F14144" t="s">
        <v>0</v>
      </c>
      <c r="G14144" t="str">
        <f>"2018-10-27 17:08:14"</f>
        <v>2018-10-27 17:08:14</v>
      </c>
    </row>
    <row r="14145" spans="1:7" x14ac:dyDescent="0.2">
      <c r="A14145" t="s">
        <v>1</v>
      </c>
      <c r="B14145" t="str">
        <f>"18815873431"</f>
        <v>18815873431</v>
      </c>
      <c r="C14145" t="s">
        <v>1</v>
      </c>
      <c r="D14145" t="s">
        <v>1</v>
      </c>
      <c r="E14145" t="s">
        <v>1</v>
      </c>
      <c r="F14145" t="s">
        <v>0</v>
      </c>
      <c r="G14145" t="str">
        <f>"2018-10-13 04:56:20"</f>
        <v>2018-10-13 04:56:20</v>
      </c>
    </row>
    <row r="14146" spans="1:7" x14ac:dyDescent="0.2">
      <c r="A14146" t="s">
        <v>13929</v>
      </c>
      <c r="B14146" t="str">
        <f>"13961826849"</f>
        <v>13961826849</v>
      </c>
      <c r="C14146" t="str">
        <f>"320204198912081331"</f>
        <v>320204198912081331</v>
      </c>
      <c r="D14146" t="s">
        <v>1</v>
      </c>
      <c r="E14146" t="s">
        <v>1</v>
      </c>
      <c r="F14146" t="s">
        <v>0</v>
      </c>
      <c r="G14146" t="str">
        <f>"2018-10-13 05:00:06"</f>
        <v>2018-10-13 05:00:06</v>
      </c>
    </row>
    <row r="14147" spans="1:7" x14ac:dyDescent="0.2">
      <c r="A14147" t="s">
        <v>1</v>
      </c>
      <c r="B14147" t="str">
        <f>"13212728092"</f>
        <v>13212728092</v>
      </c>
      <c r="C14147" t="s">
        <v>1</v>
      </c>
      <c r="D14147" t="s">
        <v>1</v>
      </c>
      <c r="E14147" t="s">
        <v>1</v>
      </c>
      <c r="F14147" t="s">
        <v>0</v>
      </c>
      <c r="G14147" t="str">
        <f>"2018-10-13 04:27:17"</f>
        <v>2018-10-13 04:27:17</v>
      </c>
    </row>
    <row r="14148" spans="1:7" x14ac:dyDescent="0.2">
      <c r="A14148" t="s">
        <v>1</v>
      </c>
      <c r="B14148" t="str">
        <f>"18754616824"</f>
        <v>18754616824</v>
      </c>
      <c r="C14148" t="s">
        <v>1</v>
      </c>
      <c r="D14148" t="s">
        <v>1</v>
      </c>
      <c r="E14148" t="s">
        <v>1</v>
      </c>
      <c r="F14148" t="s">
        <v>0</v>
      </c>
      <c r="G14148" t="str">
        <f>"2018-10-13 04:25:19"</f>
        <v>2018-10-13 04:25:19</v>
      </c>
    </row>
    <row r="14149" spans="1:7" x14ac:dyDescent="0.2">
      <c r="A14149" t="s">
        <v>13930</v>
      </c>
      <c r="B14149" t="str">
        <f>"18715085153"</f>
        <v>18715085153</v>
      </c>
      <c r="C14149" t="str">
        <f>"342427199306290032"</f>
        <v>342427199306290032</v>
      </c>
      <c r="D14149" t="s">
        <v>13931</v>
      </c>
      <c r="E14149" t="s">
        <v>13932</v>
      </c>
      <c r="F14149" t="s">
        <v>0</v>
      </c>
      <c r="G14149" t="str">
        <f>"2018-10-13 04:20:54"</f>
        <v>2018-10-13 04:20:54</v>
      </c>
    </row>
    <row r="14150" spans="1:7" x14ac:dyDescent="0.2">
      <c r="A14150" t="s">
        <v>13933</v>
      </c>
      <c r="B14150" t="str">
        <f>"18037300020"</f>
        <v>18037300020</v>
      </c>
      <c r="C14150" t="str">
        <f>"411082199309243012"</f>
        <v>411082199309243012</v>
      </c>
      <c r="D14150" t="s">
        <v>1</v>
      </c>
      <c r="E14150" t="s">
        <v>1</v>
      </c>
      <c r="F14150" t="s">
        <v>0</v>
      </c>
      <c r="G14150" t="str">
        <f>"2018-10-13 12:36:57"</f>
        <v>2018-10-13 12:36:57</v>
      </c>
    </row>
    <row r="14151" spans="1:7" x14ac:dyDescent="0.2">
      <c r="A14151" t="s">
        <v>1</v>
      </c>
      <c r="B14151" t="str">
        <f>"13510571419"</f>
        <v>13510571419</v>
      </c>
      <c r="C14151" t="s">
        <v>1</v>
      </c>
      <c r="D14151" t="s">
        <v>1</v>
      </c>
      <c r="E14151" t="s">
        <v>1</v>
      </c>
      <c r="F14151" t="s">
        <v>0</v>
      </c>
      <c r="G14151" t="str">
        <f>"2018-10-13 04:06:34"</f>
        <v>2018-10-13 04:06:34</v>
      </c>
    </row>
    <row r="14152" spans="1:7" x14ac:dyDescent="0.2">
      <c r="A14152" t="s">
        <v>13934</v>
      </c>
      <c r="B14152" t="str">
        <f>"15552015520"</f>
        <v>15552015520</v>
      </c>
      <c r="C14152" t="str">
        <f>"372930198307080017"</f>
        <v>372930198307080017</v>
      </c>
      <c r="D14152" t="s">
        <v>1</v>
      </c>
      <c r="E14152" t="s">
        <v>1</v>
      </c>
      <c r="F14152" t="s">
        <v>0</v>
      </c>
      <c r="G14152" t="str">
        <f>"2018-10-13 04:06:09"</f>
        <v>2018-10-13 04:06:09</v>
      </c>
    </row>
    <row r="14153" spans="1:7" x14ac:dyDescent="0.2">
      <c r="A14153" t="s">
        <v>1</v>
      </c>
      <c r="B14153" t="str">
        <f>"18679433000"</f>
        <v>18679433000</v>
      </c>
      <c r="C14153" t="s">
        <v>1</v>
      </c>
      <c r="D14153" t="s">
        <v>1</v>
      </c>
      <c r="E14153" t="s">
        <v>1</v>
      </c>
      <c r="F14153" t="s">
        <v>0</v>
      </c>
      <c r="G14153" t="str">
        <f>"2018-10-13 04:03:20"</f>
        <v>2018-10-13 04:03:20</v>
      </c>
    </row>
    <row r="14154" spans="1:7" x14ac:dyDescent="0.2">
      <c r="A14154" t="s">
        <v>13935</v>
      </c>
      <c r="B14154" t="str">
        <f>"13990255925"</f>
        <v>13990255925</v>
      </c>
      <c r="C14154" t="str">
        <f>"510603198609116504"</f>
        <v>510603198609116504</v>
      </c>
      <c r="D14154" t="s">
        <v>1</v>
      </c>
      <c r="E14154" t="s">
        <v>1</v>
      </c>
      <c r="F14154" t="s">
        <v>0</v>
      </c>
      <c r="G14154" t="str">
        <f>"2018-10-13 03:52:39"</f>
        <v>2018-10-13 03:52:39</v>
      </c>
    </row>
    <row r="14155" spans="1:7" x14ac:dyDescent="0.2">
      <c r="A14155" t="s">
        <v>13936</v>
      </c>
      <c r="B14155" t="str">
        <f>"18200318115"</f>
        <v>18200318115</v>
      </c>
      <c r="C14155" t="str">
        <f>"511525199003070028"</f>
        <v>511525199003070028</v>
      </c>
      <c r="D14155" t="s">
        <v>1</v>
      </c>
      <c r="E14155" t="s">
        <v>1</v>
      </c>
      <c r="F14155" t="s">
        <v>0</v>
      </c>
      <c r="G14155" t="str">
        <f>"2018-10-24 02:42:53"</f>
        <v>2018-10-24 02:42:53</v>
      </c>
    </row>
    <row r="14156" spans="1:7" x14ac:dyDescent="0.2">
      <c r="A14156" t="s">
        <v>13937</v>
      </c>
      <c r="B14156" t="str">
        <f>"13574391123"</f>
        <v>13574391123</v>
      </c>
      <c r="C14156" t="str">
        <f>"433124198701305815"</f>
        <v>433124198701305815</v>
      </c>
      <c r="D14156" t="s">
        <v>1</v>
      </c>
      <c r="E14156" t="s">
        <v>1</v>
      </c>
      <c r="F14156" t="s">
        <v>0</v>
      </c>
      <c r="G14156" t="str">
        <f>"2018-10-13 03:43:05"</f>
        <v>2018-10-13 03:43:05</v>
      </c>
    </row>
    <row r="14157" spans="1:7" x14ac:dyDescent="0.2">
      <c r="A14157" t="s">
        <v>13938</v>
      </c>
      <c r="B14157" t="str">
        <f>"13169598043"</f>
        <v>13169598043</v>
      </c>
      <c r="C14157" t="str">
        <f>"441323199405275315"</f>
        <v>441323199405275315</v>
      </c>
      <c r="D14157" t="s">
        <v>1</v>
      </c>
      <c r="E14157" t="s">
        <v>1</v>
      </c>
      <c r="F14157" t="s">
        <v>0</v>
      </c>
      <c r="G14157" t="str">
        <f>"2018-10-13 03:42:15"</f>
        <v>2018-10-13 03:42:15</v>
      </c>
    </row>
    <row r="14158" spans="1:7" x14ac:dyDescent="0.2">
      <c r="A14158" t="s">
        <v>13939</v>
      </c>
      <c r="B14158" t="str">
        <f>"18980371277"</f>
        <v>18980371277</v>
      </c>
      <c r="C14158" t="str">
        <f>"511122197712314160"</f>
        <v>511122197712314160</v>
      </c>
      <c r="D14158" t="s">
        <v>13940</v>
      </c>
      <c r="E14158" t="s">
        <v>13941</v>
      </c>
      <c r="F14158" t="s">
        <v>0</v>
      </c>
      <c r="G14158" t="str">
        <f>"2018-10-13 03:36:11"</f>
        <v>2018-10-13 03:36:11</v>
      </c>
    </row>
    <row r="14159" spans="1:7" x14ac:dyDescent="0.2">
      <c r="A14159" t="s">
        <v>13942</v>
      </c>
      <c r="B14159" t="str">
        <f>"15355457034"</f>
        <v>15355457034</v>
      </c>
      <c r="C14159" t="str">
        <f>"500223199007123551"</f>
        <v>500223199007123551</v>
      </c>
      <c r="D14159" t="s">
        <v>1</v>
      </c>
      <c r="E14159" t="s">
        <v>1</v>
      </c>
      <c r="F14159" t="s">
        <v>0</v>
      </c>
      <c r="G14159" t="str">
        <f>"2018-10-13 03:38:53"</f>
        <v>2018-10-13 03:38:53</v>
      </c>
    </row>
    <row r="14160" spans="1:7" x14ac:dyDescent="0.2">
      <c r="A14160" t="s">
        <v>13943</v>
      </c>
      <c r="B14160" t="str">
        <f>"13450500229"</f>
        <v>13450500229</v>
      </c>
      <c r="C14160" t="str">
        <f>"441723198405040011"</f>
        <v>441723198405040011</v>
      </c>
      <c r="D14160" t="s">
        <v>1</v>
      </c>
      <c r="E14160" t="s">
        <v>1</v>
      </c>
      <c r="F14160" t="s">
        <v>0</v>
      </c>
      <c r="G14160" t="str">
        <f>"2018-10-13 08:50:13"</f>
        <v>2018-10-13 08:50:13</v>
      </c>
    </row>
    <row r="14161" spans="1:7" x14ac:dyDescent="0.2">
      <c r="A14161" t="s">
        <v>1</v>
      </c>
      <c r="B14161" t="str">
        <f>"18119610495"</f>
        <v>18119610495</v>
      </c>
      <c r="C14161" t="s">
        <v>1</v>
      </c>
      <c r="D14161" t="s">
        <v>1</v>
      </c>
      <c r="E14161" t="s">
        <v>1</v>
      </c>
      <c r="F14161" t="s">
        <v>0</v>
      </c>
      <c r="G14161" t="str">
        <f>"2018-10-13 03:00:56"</f>
        <v>2018-10-13 03:00:56</v>
      </c>
    </row>
    <row r="14162" spans="1:7" x14ac:dyDescent="0.2">
      <c r="A14162" t="s">
        <v>13944</v>
      </c>
      <c r="B14162" t="str">
        <f>"18870883219"</f>
        <v>18870883219</v>
      </c>
      <c r="C14162" t="str">
        <f>"360735198802231924"</f>
        <v>360735198802231924</v>
      </c>
      <c r="D14162" t="s">
        <v>1</v>
      </c>
      <c r="E14162" t="s">
        <v>1</v>
      </c>
      <c r="F14162" t="s">
        <v>0</v>
      </c>
      <c r="G14162" t="str">
        <f>"2018-10-13 03:12:11"</f>
        <v>2018-10-13 03:12:11</v>
      </c>
    </row>
    <row r="14163" spans="1:7" x14ac:dyDescent="0.2">
      <c r="A14163" t="s">
        <v>302</v>
      </c>
      <c r="B14163" t="str">
        <f>"13860930168"</f>
        <v>13860930168</v>
      </c>
      <c r="C14163" t="str">
        <f>"35030219870910003X"</f>
        <v>35030219870910003X</v>
      </c>
      <c r="D14163" t="s">
        <v>13945</v>
      </c>
      <c r="E14163" t="s">
        <v>13946</v>
      </c>
      <c r="F14163" t="s">
        <v>0</v>
      </c>
      <c r="G14163" t="str">
        <f>"2018-10-22 17:20:57"</f>
        <v>2018-10-22 17:20:57</v>
      </c>
    </row>
    <row r="14164" spans="1:7" x14ac:dyDescent="0.2">
      <c r="A14164" t="s">
        <v>1602</v>
      </c>
      <c r="B14164" t="str">
        <f>"18603461004"</f>
        <v>18603461004</v>
      </c>
      <c r="C14164" t="str">
        <f>"140108198305201916"</f>
        <v>140108198305201916</v>
      </c>
      <c r="D14164" t="s">
        <v>1</v>
      </c>
      <c r="E14164" t="s">
        <v>1</v>
      </c>
      <c r="F14164" t="s">
        <v>0</v>
      </c>
      <c r="G14164" t="str">
        <f>"2018-10-13 03:01:46"</f>
        <v>2018-10-13 03:01:46</v>
      </c>
    </row>
    <row r="14165" spans="1:7" x14ac:dyDescent="0.2">
      <c r="A14165" t="s">
        <v>37</v>
      </c>
      <c r="B14165" t="str">
        <f>"13581357939"</f>
        <v>13581357939</v>
      </c>
      <c r="C14165" t="str">
        <f>"420881198710013372"</f>
        <v>420881198710013372</v>
      </c>
      <c r="D14165" t="s">
        <v>1</v>
      </c>
      <c r="E14165" t="s">
        <v>1</v>
      </c>
      <c r="F14165" t="s">
        <v>0</v>
      </c>
      <c r="G14165" t="str">
        <f>"2018-10-13 02:39:54"</f>
        <v>2018-10-13 02:39:54</v>
      </c>
    </row>
    <row r="14166" spans="1:7" x14ac:dyDescent="0.2">
      <c r="A14166" t="s">
        <v>1</v>
      </c>
      <c r="B14166" t="str">
        <f>"13068965853"</f>
        <v>13068965853</v>
      </c>
      <c r="C14166" t="s">
        <v>1</v>
      </c>
      <c r="D14166" t="s">
        <v>1</v>
      </c>
      <c r="E14166" t="s">
        <v>1</v>
      </c>
      <c r="F14166" t="s">
        <v>0</v>
      </c>
      <c r="G14166" t="str">
        <f>"2018-10-13 02:36:40"</f>
        <v>2018-10-13 02:36:40</v>
      </c>
    </row>
    <row r="14167" spans="1:7" x14ac:dyDescent="0.2">
      <c r="A14167" t="s">
        <v>13947</v>
      </c>
      <c r="B14167" t="str">
        <f>"15280380238"</f>
        <v>15280380238</v>
      </c>
      <c r="C14167" t="str">
        <f>"35260119790314851X"</f>
        <v>35260119790314851X</v>
      </c>
      <c r="D14167" t="s">
        <v>1</v>
      </c>
      <c r="E14167" t="s">
        <v>1</v>
      </c>
      <c r="F14167" t="s">
        <v>0</v>
      </c>
      <c r="G14167" t="str">
        <f>"2018-10-13 02:36:11"</f>
        <v>2018-10-13 02:36:11</v>
      </c>
    </row>
    <row r="14168" spans="1:7" x14ac:dyDescent="0.2">
      <c r="A14168" t="s">
        <v>13948</v>
      </c>
      <c r="B14168" t="str">
        <f>"18605308373"</f>
        <v>18605308373</v>
      </c>
      <c r="C14168" t="str">
        <f>"372901198311300017"</f>
        <v>372901198311300017</v>
      </c>
      <c r="D14168" t="s">
        <v>1</v>
      </c>
      <c r="E14168" t="s">
        <v>1</v>
      </c>
      <c r="F14168" t="s">
        <v>0</v>
      </c>
      <c r="G14168" t="str">
        <f>"2018-10-13 03:05:51"</f>
        <v>2018-10-13 03:05:51</v>
      </c>
    </row>
    <row r="14169" spans="1:7" x14ac:dyDescent="0.2">
      <c r="A14169" t="s">
        <v>1</v>
      </c>
      <c r="B14169" t="str">
        <f>"18778011143"</f>
        <v>18778011143</v>
      </c>
      <c r="C14169" t="s">
        <v>1</v>
      </c>
      <c r="D14169" t="s">
        <v>1</v>
      </c>
      <c r="E14169" t="s">
        <v>1</v>
      </c>
      <c r="F14169" t="s">
        <v>0</v>
      </c>
      <c r="G14169" t="str">
        <f>"2018-10-13 02:30:10"</f>
        <v>2018-10-13 02:30:10</v>
      </c>
    </row>
    <row r="14170" spans="1:7" x14ac:dyDescent="0.2">
      <c r="A14170" t="s">
        <v>13949</v>
      </c>
      <c r="B14170" t="str">
        <f>"18221117325"</f>
        <v>18221117325</v>
      </c>
      <c r="C14170" t="str">
        <f>"320321199808114427"</f>
        <v>320321199808114427</v>
      </c>
      <c r="D14170" t="s">
        <v>1</v>
      </c>
      <c r="E14170" t="s">
        <v>1</v>
      </c>
      <c r="F14170" t="s">
        <v>0</v>
      </c>
      <c r="G14170" t="str">
        <f>"2018-10-13 02:41:39"</f>
        <v>2018-10-13 02:41:39</v>
      </c>
    </row>
    <row r="14171" spans="1:7" x14ac:dyDescent="0.2">
      <c r="A14171" t="s">
        <v>13950</v>
      </c>
      <c r="B14171" t="str">
        <f>"13302706834"</f>
        <v>13302706834</v>
      </c>
      <c r="C14171" t="str">
        <f>"440981200002212812"</f>
        <v>440981200002212812</v>
      </c>
      <c r="D14171" t="s">
        <v>1</v>
      </c>
      <c r="E14171" t="s">
        <v>1</v>
      </c>
      <c r="F14171" t="s">
        <v>0</v>
      </c>
      <c r="G14171" t="str">
        <f>"2018-10-13 02:30:11"</f>
        <v>2018-10-13 02:30:11</v>
      </c>
    </row>
    <row r="14172" spans="1:7" x14ac:dyDescent="0.2">
      <c r="A14172" t="s">
        <v>13951</v>
      </c>
      <c r="B14172" t="str">
        <f>"15992377366"</f>
        <v>15992377366</v>
      </c>
      <c r="C14172" t="str">
        <f>"422723197111043746"</f>
        <v>422723197111043746</v>
      </c>
      <c r="D14172" t="s">
        <v>1</v>
      </c>
      <c r="E14172" t="s">
        <v>1</v>
      </c>
      <c r="F14172" t="s">
        <v>0</v>
      </c>
      <c r="G14172" t="str">
        <f>"2018-10-13 02:26:09"</f>
        <v>2018-10-13 02:26:09</v>
      </c>
    </row>
    <row r="14173" spans="1:7" x14ac:dyDescent="0.2">
      <c r="A14173" t="s">
        <v>1</v>
      </c>
      <c r="B14173" t="str">
        <f>"13812326466"</f>
        <v>13812326466</v>
      </c>
      <c r="C14173" t="s">
        <v>1</v>
      </c>
      <c r="D14173" t="s">
        <v>1</v>
      </c>
      <c r="E14173" t="s">
        <v>1</v>
      </c>
      <c r="F14173" t="s">
        <v>0</v>
      </c>
      <c r="G14173" t="str">
        <f>"2018-10-13 02:20:43"</f>
        <v>2018-10-13 02:20:43</v>
      </c>
    </row>
    <row r="14174" spans="1:7" x14ac:dyDescent="0.2">
      <c r="A14174" t="s">
        <v>13952</v>
      </c>
      <c r="B14174" t="str">
        <f>"15636700662"</f>
        <v>15636700662</v>
      </c>
      <c r="C14174" t="str">
        <f>"230106199903142323"</f>
        <v>230106199903142323</v>
      </c>
      <c r="D14174" t="s">
        <v>1</v>
      </c>
      <c r="E14174" t="s">
        <v>1</v>
      </c>
      <c r="F14174" t="s">
        <v>0</v>
      </c>
      <c r="G14174" t="str">
        <f>"2018-10-13 02:19:17"</f>
        <v>2018-10-13 02:19:17</v>
      </c>
    </row>
    <row r="14175" spans="1:7" x14ac:dyDescent="0.2">
      <c r="A14175" t="s">
        <v>1</v>
      </c>
      <c r="B14175" t="str">
        <f>"15578630333"</f>
        <v>15578630333</v>
      </c>
      <c r="C14175" t="s">
        <v>1</v>
      </c>
      <c r="D14175" t="s">
        <v>1</v>
      </c>
      <c r="E14175" t="s">
        <v>1</v>
      </c>
      <c r="F14175" t="s">
        <v>0</v>
      </c>
      <c r="G14175" t="str">
        <f>"2018-10-13 02:20:16"</f>
        <v>2018-10-13 02:20:16</v>
      </c>
    </row>
    <row r="14176" spans="1:7" x14ac:dyDescent="0.2">
      <c r="A14176" t="s">
        <v>13953</v>
      </c>
      <c r="B14176" t="str">
        <f>"13685760869"</f>
        <v>13685760869</v>
      </c>
      <c r="C14176" t="str">
        <f>"342401199110237930"</f>
        <v>342401199110237930</v>
      </c>
      <c r="D14176" t="s">
        <v>1</v>
      </c>
      <c r="E14176" t="s">
        <v>1</v>
      </c>
      <c r="F14176" t="s">
        <v>0</v>
      </c>
      <c r="G14176" t="str">
        <f>"2018-10-13 02:59:54"</f>
        <v>2018-10-13 02:59:54</v>
      </c>
    </row>
    <row r="14177" spans="1:7" x14ac:dyDescent="0.2">
      <c r="A14177" t="s">
        <v>13954</v>
      </c>
      <c r="B14177" t="str">
        <f>"15800017871"</f>
        <v>15800017871</v>
      </c>
      <c r="C14177" t="str">
        <f>"440923199206280033"</f>
        <v>440923199206280033</v>
      </c>
      <c r="D14177" t="s">
        <v>1</v>
      </c>
      <c r="E14177" t="s">
        <v>1</v>
      </c>
      <c r="F14177" t="s">
        <v>0</v>
      </c>
      <c r="G14177" t="str">
        <f>"2018-10-13 02:14:43"</f>
        <v>2018-10-13 02:14:43</v>
      </c>
    </row>
    <row r="14178" spans="1:7" x14ac:dyDescent="0.2">
      <c r="A14178" t="s">
        <v>1</v>
      </c>
      <c r="B14178" t="str">
        <f>"18624433634"</f>
        <v>18624433634</v>
      </c>
      <c r="C14178" t="s">
        <v>1</v>
      </c>
      <c r="D14178" t="s">
        <v>1</v>
      </c>
      <c r="E14178" t="s">
        <v>1</v>
      </c>
      <c r="F14178" t="s">
        <v>0</v>
      </c>
      <c r="G14178" t="str">
        <f>"2018-10-13 02:12:11"</f>
        <v>2018-10-13 02:12:11</v>
      </c>
    </row>
    <row r="14179" spans="1:7" x14ac:dyDescent="0.2">
      <c r="A14179" t="s">
        <v>1</v>
      </c>
      <c r="B14179" t="str">
        <f>"15863692930"</f>
        <v>15863692930</v>
      </c>
      <c r="C14179" t="s">
        <v>1</v>
      </c>
      <c r="D14179" t="s">
        <v>1</v>
      </c>
      <c r="E14179" t="s">
        <v>1</v>
      </c>
      <c r="F14179" t="s">
        <v>0</v>
      </c>
      <c r="G14179" t="str">
        <f>"2018-10-13 02:11:50"</f>
        <v>2018-10-13 02:11:50</v>
      </c>
    </row>
    <row r="14180" spans="1:7" x14ac:dyDescent="0.2">
      <c r="A14180" t="s">
        <v>1</v>
      </c>
      <c r="B14180" t="str">
        <f>"13811204658"</f>
        <v>13811204658</v>
      </c>
      <c r="C14180" t="s">
        <v>1</v>
      </c>
      <c r="D14180" t="s">
        <v>1</v>
      </c>
      <c r="E14180" t="s">
        <v>1</v>
      </c>
      <c r="F14180" t="s">
        <v>0</v>
      </c>
      <c r="G14180" t="str">
        <f>"2018-10-13 02:11:25"</f>
        <v>2018-10-13 02:11:25</v>
      </c>
    </row>
    <row r="14181" spans="1:7" x14ac:dyDescent="0.2">
      <c r="A14181" t="s">
        <v>314</v>
      </c>
      <c r="B14181" t="str">
        <f>"13910804973"</f>
        <v>13910804973</v>
      </c>
      <c r="C14181" t="str">
        <f>"110226198701100079"</f>
        <v>110226198701100079</v>
      </c>
      <c r="D14181" t="s">
        <v>13955</v>
      </c>
      <c r="E14181" t="s">
        <v>13956</v>
      </c>
      <c r="F14181" t="s">
        <v>0</v>
      </c>
      <c r="G14181" t="str">
        <f>"2018-10-13 03:36:14"</f>
        <v>2018-10-13 03:36:14</v>
      </c>
    </row>
    <row r="14182" spans="1:7" x14ac:dyDescent="0.2">
      <c r="A14182" t="s">
        <v>13957</v>
      </c>
      <c r="B14182" t="str">
        <f>"15914916720"</f>
        <v>15914916720</v>
      </c>
      <c r="C14182" t="str">
        <f>"441423199803105616"</f>
        <v>441423199803105616</v>
      </c>
      <c r="D14182" t="s">
        <v>1</v>
      </c>
      <c r="E14182" t="s">
        <v>1</v>
      </c>
      <c r="F14182" t="s">
        <v>0</v>
      </c>
      <c r="G14182" t="str">
        <f>"2018-10-13 02:03:09"</f>
        <v>2018-10-13 02:03:09</v>
      </c>
    </row>
    <row r="14183" spans="1:7" x14ac:dyDescent="0.2">
      <c r="A14183" t="s">
        <v>1</v>
      </c>
      <c r="B14183" t="str">
        <f>"18226610801"</f>
        <v>18226610801</v>
      </c>
      <c r="C14183" t="s">
        <v>1</v>
      </c>
      <c r="D14183" t="s">
        <v>1</v>
      </c>
      <c r="E14183" t="s">
        <v>1</v>
      </c>
      <c r="F14183" t="s">
        <v>0</v>
      </c>
      <c r="G14183" t="str">
        <f>"2018-10-13 01:59:50"</f>
        <v>2018-10-13 01:59:50</v>
      </c>
    </row>
    <row r="14184" spans="1:7" x14ac:dyDescent="0.2">
      <c r="A14184" t="s">
        <v>13958</v>
      </c>
      <c r="B14184" t="str">
        <f>"18511345147"</f>
        <v>18511345147</v>
      </c>
      <c r="C14184" t="str">
        <f>"211481199302242437"</f>
        <v>211481199302242437</v>
      </c>
      <c r="D14184" t="s">
        <v>1</v>
      </c>
      <c r="E14184" t="s">
        <v>1</v>
      </c>
      <c r="F14184" t="s">
        <v>0</v>
      </c>
      <c r="G14184" t="str">
        <f>"2018-10-13 02:01:20"</f>
        <v>2018-10-13 02:01:20</v>
      </c>
    </row>
    <row r="14185" spans="1:7" x14ac:dyDescent="0.2">
      <c r="A14185" t="s">
        <v>13959</v>
      </c>
      <c r="B14185" t="str">
        <f>"17666261018"</f>
        <v>17666261018</v>
      </c>
      <c r="C14185" t="str">
        <f>"51130219991018631X"</f>
        <v>51130219991018631X</v>
      </c>
      <c r="D14185" t="s">
        <v>1</v>
      </c>
      <c r="E14185" t="s">
        <v>1</v>
      </c>
      <c r="F14185" t="s">
        <v>0</v>
      </c>
      <c r="G14185" t="str">
        <f>"2018-10-13 02:09:31"</f>
        <v>2018-10-13 02:09:31</v>
      </c>
    </row>
    <row r="14186" spans="1:7" x14ac:dyDescent="0.2">
      <c r="A14186" t="s">
        <v>1</v>
      </c>
      <c r="B14186" t="str">
        <f>"13017902459"</f>
        <v>13017902459</v>
      </c>
      <c r="C14186" t="s">
        <v>1</v>
      </c>
      <c r="D14186" t="s">
        <v>1</v>
      </c>
      <c r="E14186" t="s">
        <v>1</v>
      </c>
      <c r="F14186" t="s">
        <v>0</v>
      </c>
      <c r="G14186" t="str">
        <f>"2018-10-13 01:53:55"</f>
        <v>2018-10-13 01:53:55</v>
      </c>
    </row>
    <row r="14187" spans="1:7" x14ac:dyDescent="0.2">
      <c r="A14187" t="s">
        <v>13960</v>
      </c>
      <c r="B14187" t="str">
        <f>"15949578708"</f>
        <v>15949578708</v>
      </c>
      <c r="C14187" t="str">
        <f>"360424198103201325"</f>
        <v>360424198103201325</v>
      </c>
      <c r="D14187" t="s">
        <v>13961</v>
      </c>
      <c r="E14187" t="s">
        <v>13962</v>
      </c>
      <c r="F14187" t="s">
        <v>0</v>
      </c>
      <c r="G14187" t="str">
        <f>"2018-10-13 01:55:50"</f>
        <v>2018-10-13 01:55:50</v>
      </c>
    </row>
    <row r="14188" spans="1:7" x14ac:dyDescent="0.2">
      <c r="A14188" t="s">
        <v>1</v>
      </c>
      <c r="B14188" t="str">
        <f>"13071051667"</f>
        <v>13071051667</v>
      </c>
      <c r="C14188" t="s">
        <v>1</v>
      </c>
      <c r="D14188" t="s">
        <v>1</v>
      </c>
      <c r="E14188" t="s">
        <v>1</v>
      </c>
      <c r="F14188" t="s">
        <v>0</v>
      </c>
      <c r="G14188" t="str">
        <f>"2018-10-13 01:53:34"</f>
        <v>2018-10-13 01:53:34</v>
      </c>
    </row>
    <row r="14189" spans="1:7" x14ac:dyDescent="0.2">
      <c r="A14189" t="s">
        <v>13963</v>
      </c>
      <c r="B14189" t="str">
        <f>"13858453077"</f>
        <v>13858453077</v>
      </c>
      <c r="C14189" t="str">
        <f>"430482199103130834"</f>
        <v>430482199103130834</v>
      </c>
      <c r="D14189" t="s">
        <v>1</v>
      </c>
      <c r="E14189" t="s">
        <v>1</v>
      </c>
      <c r="F14189" t="s">
        <v>0</v>
      </c>
      <c r="G14189" t="str">
        <f>"2018-10-13 10:13:31"</f>
        <v>2018-10-13 10:13:31</v>
      </c>
    </row>
    <row r="14190" spans="1:7" x14ac:dyDescent="0.2">
      <c r="A14190" t="s">
        <v>13964</v>
      </c>
      <c r="B14190" t="str">
        <f>"13368691632"</f>
        <v>13368691632</v>
      </c>
      <c r="C14190" t="str">
        <f>"520111199608270410"</f>
        <v>520111199608270410</v>
      </c>
      <c r="D14190" t="s">
        <v>1</v>
      </c>
      <c r="E14190" t="s">
        <v>1</v>
      </c>
      <c r="F14190" t="s">
        <v>0</v>
      </c>
      <c r="G14190" t="str">
        <f>"2018-10-13 01:50:59"</f>
        <v>2018-10-13 01:50:59</v>
      </c>
    </row>
    <row r="14191" spans="1:7" x14ac:dyDescent="0.2">
      <c r="A14191" t="s">
        <v>13965</v>
      </c>
      <c r="B14191" t="str">
        <f>"13739180055"</f>
        <v>13739180055</v>
      </c>
      <c r="C14191" t="str">
        <f>"310105197805091221"</f>
        <v>310105197805091221</v>
      </c>
      <c r="D14191" t="s">
        <v>1</v>
      </c>
      <c r="E14191" t="s">
        <v>1</v>
      </c>
      <c r="F14191" t="s">
        <v>0</v>
      </c>
      <c r="G14191" t="str">
        <f>"2018-10-13 01:47:07"</f>
        <v>2018-10-13 01:47:07</v>
      </c>
    </row>
    <row r="14192" spans="1:7" x14ac:dyDescent="0.2">
      <c r="A14192" t="s">
        <v>13966</v>
      </c>
      <c r="B14192" t="str">
        <f>"13938254818"</f>
        <v>13938254818</v>
      </c>
      <c r="C14192" t="str">
        <f>"410725198806149778"</f>
        <v>410725198806149778</v>
      </c>
      <c r="D14192" t="s">
        <v>1</v>
      </c>
      <c r="E14192" t="s">
        <v>1</v>
      </c>
      <c r="F14192" t="s">
        <v>0</v>
      </c>
      <c r="G14192" t="str">
        <f>"2018-10-13 01:50:08"</f>
        <v>2018-10-13 01:50:08</v>
      </c>
    </row>
    <row r="14193" spans="1:7" x14ac:dyDescent="0.2">
      <c r="A14193" t="s">
        <v>13967</v>
      </c>
      <c r="B14193" t="str">
        <f>"18278947771"</f>
        <v>18278947771</v>
      </c>
      <c r="C14193" t="str">
        <f>"450521198702054417"</f>
        <v>450521198702054417</v>
      </c>
      <c r="D14193" t="s">
        <v>1</v>
      </c>
      <c r="E14193" t="s">
        <v>1</v>
      </c>
      <c r="F14193" t="s">
        <v>0</v>
      </c>
      <c r="G14193" t="str">
        <f>"2018-10-13 01:37:27"</f>
        <v>2018-10-13 01:37:27</v>
      </c>
    </row>
    <row r="14194" spans="1:7" x14ac:dyDescent="0.2">
      <c r="A14194" t="s">
        <v>13968</v>
      </c>
      <c r="B14194" t="str">
        <f>"18638908252"</f>
        <v>18638908252</v>
      </c>
      <c r="C14194" t="str">
        <f>"410881198506216517"</f>
        <v>410881198506216517</v>
      </c>
      <c r="D14194" t="s">
        <v>1</v>
      </c>
      <c r="E14194" t="s">
        <v>1</v>
      </c>
      <c r="F14194" t="s">
        <v>0</v>
      </c>
      <c r="G14194" t="str">
        <f>"2018-10-13 01:45:48"</f>
        <v>2018-10-13 01:45:48</v>
      </c>
    </row>
    <row r="14195" spans="1:7" x14ac:dyDescent="0.2">
      <c r="A14195" t="s">
        <v>214</v>
      </c>
      <c r="B14195" t="str">
        <f>"13548838618"</f>
        <v>13548838618</v>
      </c>
      <c r="C14195" t="str">
        <f>"432522198806183752"</f>
        <v>432522198806183752</v>
      </c>
      <c r="D14195" t="s">
        <v>1</v>
      </c>
      <c r="E14195" t="s">
        <v>1</v>
      </c>
      <c r="F14195" t="s">
        <v>0</v>
      </c>
      <c r="G14195" t="str">
        <f>"2018-10-13 07:17:05"</f>
        <v>2018-10-13 07:17:05</v>
      </c>
    </row>
    <row r="14196" spans="1:7" x14ac:dyDescent="0.2">
      <c r="A14196" t="s">
        <v>13969</v>
      </c>
      <c r="B14196" t="str">
        <f>"13560312939"</f>
        <v>13560312939</v>
      </c>
      <c r="C14196" t="str">
        <f>"440183198912273162"</f>
        <v>440183198912273162</v>
      </c>
      <c r="D14196" t="s">
        <v>1</v>
      </c>
      <c r="E14196" t="s">
        <v>1</v>
      </c>
      <c r="F14196" t="s">
        <v>0</v>
      </c>
      <c r="G14196" t="str">
        <f>"2018-10-13 13:06:01"</f>
        <v>2018-10-13 13:06:01</v>
      </c>
    </row>
    <row r="14197" spans="1:7" x14ac:dyDescent="0.2">
      <c r="A14197" t="s">
        <v>2057</v>
      </c>
      <c r="B14197" t="str">
        <f>"15715294404"</f>
        <v>15715294404</v>
      </c>
      <c r="C14197" t="str">
        <f>"321181199402086514"</f>
        <v>321181199402086514</v>
      </c>
      <c r="D14197" t="s">
        <v>1</v>
      </c>
      <c r="E14197" t="s">
        <v>1</v>
      </c>
      <c r="F14197" t="s">
        <v>0</v>
      </c>
      <c r="G14197" t="str">
        <f>"2018-10-13 13:12:49"</f>
        <v>2018-10-13 13:12:49</v>
      </c>
    </row>
    <row r="14198" spans="1:7" x14ac:dyDescent="0.2">
      <c r="A14198" t="s">
        <v>13970</v>
      </c>
      <c r="B14198" t="str">
        <f>"15366431682"</f>
        <v>15366431682</v>
      </c>
      <c r="C14198" t="str">
        <f>"321321198304061831"</f>
        <v>321321198304061831</v>
      </c>
      <c r="D14198" t="s">
        <v>13971</v>
      </c>
      <c r="E14198" t="s">
        <v>13972</v>
      </c>
      <c r="F14198" t="s">
        <v>0</v>
      </c>
      <c r="G14198" t="str">
        <f>"2018-10-16 16:02:33"</f>
        <v>2018-10-16 16:02:33</v>
      </c>
    </row>
    <row r="14199" spans="1:7" x14ac:dyDescent="0.2">
      <c r="A14199" t="s">
        <v>13973</v>
      </c>
      <c r="B14199" t="str">
        <f>"15922968826"</f>
        <v>15922968826</v>
      </c>
      <c r="C14199" t="str">
        <f>"500106198812018918"</f>
        <v>500106198812018918</v>
      </c>
      <c r="D14199" t="s">
        <v>1</v>
      </c>
      <c r="E14199" t="s">
        <v>1</v>
      </c>
      <c r="F14199" t="s">
        <v>0</v>
      </c>
      <c r="G14199" t="str">
        <f>"2018-10-13 01:23:33"</f>
        <v>2018-10-13 01:23:33</v>
      </c>
    </row>
    <row r="14200" spans="1:7" x14ac:dyDescent="0.2">
      <c r="A14200" t="s">
        <v>13974</v>
      </c>
      <c r="B14200" t="str">
        <f>"13400123755"</f>
        <v>13400123755</v>
      </c>
      <c r="C14200" t="str">
        <f>"130682198610084110"</f>
        <v>130682198610084110</v>
      </c>
      <c r="D14200" t="s">
        <v>1</v>
      </c>
      <c r="E14200" t="s">
        <v>1</v>
      </c>
      <c r="F14200" t="s">
        <v>0</v>
      </c>
      <c r="G14200" t="str">
        <f>"2018-10-13 01:28:29"</f>
        <v>2018-10-13 01:28:29</v>
      </c>
    </row>
    <row r="14201" spans="1:7" x14ac:dyDescent="0.2">
      <c r="A14201" t="s">
        <v>1</v>
      </c>
      <c r="B14201" t="str">
        <f>"15871302543"</f>
        <v>15871302543</v>
      </c>
      <c r="C14201" t="s">
        <v>1</v>
      </c>
      <c r="D14201" t="s">
        <v>1</v>
      </c>
      <c r="E14201" t="s">
        <v>1</v>
      </c>
      <c r="F14201" t="s">
        <v>0</v>
      </c>
      <c r="G14201" t="str">
        <f>"2018-10-13 01:20:08"</f>
        <v>2018-10-13 01:20:08</v>
      </c>
    </row>
    <row r="14202" spans="1:7" x14ac:dyDescent="0.2">
      <c r="A14202" t="s">
        <v>1</v>
      </c>
      <c r="B14202" t="str">
        <f>"18736242919"</f>
        <v>18736242919</v>
      </c>
      <c r="C14202" t="s">
        <v>1</v>
      </c>
      <c r="D14202" t="s">
        <v>1</v>
      </c>
      <c r="E14202" t="s">
        <v>1</v>
      </c>
      <c r="F14202" t="s">
        <v>0</v>
      </c>
      <c r="G14202" t="str">
        <f>"2018-10-13 01:20:02"</f>
        <v>2018-10-13 01:20:02</v>
      </c>
    </row>
    <row r="14203" spans="1:7" x14ac:dyDescent="0.2">
      <c r="A14203" t="s">
        <v>1</v>
      </c>
      <c r="B14203" t="str">
        <f>"15541384133"</f>
        <v>15541384133</v>
      </c>
      <c r="C14203" t="s">
        <v>1</v>
      </c>
      <c r="D14203" t="s">
        <v>1</v>
      </c>
      <c r="E14203" t="s">
        <v>1</v>
      </c>
      <c r="F14203" t="s">
        <v>0</v>
      </c>
      <c r="G14203" t="str">
        <f>"2018-10-13 01:19:13"</f>
        <v>2018-10-13 01:19:13</v>
      </c>
    </row>
    <row r="14204" spans="1:7" x14ac:dyDescent="0.2">
      <c r="A14204" t="s">
        <v>1323</v>
      </c>
      <c r="B14204" t="str">
        <f>"15972933900"</f>
        <v>15972933900</v>
      </c>
      <c r="C14204" t="str">
        <f>"420105197908152010"</f>
        <v>420105197908152010</v>
      </c>
      <c r="D14204" t="s">
        <v>13975</v>
      </c>
      <c r="E14204" t="s">
        <v>13976</v>
      </c>
      <c r="F14204" t="s">
        <v>0</v>
      </c>
      <c r="G14204" t="str">
        <f>"2018-10-13 01:17:59"</f>
        <v>2018-10-13 01:17:59</v>
      </c>
    </row>
    <row r="14205" spans="1:7" x14ac:dyDescent="0.2">
      <c r="A14205" t="s">
        <v>13977</v>
      </c>
      <c r="B14205" t="str">
        <f>"13555945454"</f>
        <v>13555945454</v>
      </c>
      <c r="C14205" t="str">
        <f>"210123198702212012"</f>
        <v>210123198702212012</v>
      </c>
      <c r="D14205" t="s">
        <v>1</v>
      </c>
      <c r="E14205" t="s">
        <v>1</v>
      </c>
      <c r="F14205" t="s">
        <v>0</v>
      </c>
      <c r="G14205" t="str">
        <f>"2018-10-13 01:17:10"</f>
        <v>2018-10-13 01:17:10</v>
      </c>
    </row>
    <row r="14206" spans="1:7" x14ac:dyDescent="0.2">
      <c r="A14206" t="s">
        <v>1</v>
      </c>
      <c r="B14206" t="str">
        <f>"18575533686"</f>
        <v>18575533686</v>
      </c>
      <c r="C14206" t="s">
        <v>1</v>
      </c>
      <c r="D14206" t="s">
        <v>1</v>
      </c>
      <c r="E14206" t="s">
        <v>1</v>
      </c>
      <c r="F14206" t="s">
        <v>0</v>
      </c>
      <c r="G14206" t="str">
        <f>"2018-10-13 01:11:07"</f>
        <v>2018-10-13 01:11:07</v>
      </c>
    </row>
    <row r="14207" spans="1:7" x14ac:dyDescent="0.2">
      <c r="A14207" t="s">
        <v>13978</v>
      </c>
      <c r="B14207" t="str">
        <f>"13639331111"</f>
        <v>13639331111</v>
      </c>
      <c r="C14207" t="str">
        <f>"620102197212044618"</f>
        <v>620102197212044618</v>
      </c>
      <c r="D14207" t="s">
        <v>1</v>
      </c>
      <c r="E14207" t="s">
        <v>1</v>
      </c>
      <c r="F14207" t="s">
        <v>0</v>
      </c>
      <c r="G14207" t="str">
        <f>"2018-10-13 12:06:51"</f>
        <v>2018-10-13 12:06:51</v>
      </c>
    </row>
    <row r="14208" spans="1:7" x14ac:dyDescent="0.2">
      <c r="A14208" t="s">
        <v>1</v>
      </c>
      <c r="B14208" t="str">
        <f>"15961084145"</f>
        <v>15961084145</v>
      </c>
      <c r="C14208" t="s">
        <v>1</v>
      </c>
      <c r="D14208" t="s">
        <v>1</v>
      </c>
      <c r="E14208" t="s">
        <v>1</v>
      </c>
      <c r="F14208" t="s">
        <v>0</v>
      </c>
      <c r="G14208" t="str">
        <f>"2018-10-13 01:10:32"</f>
        <v>2018-10-13 01:10:32</v>
      </c>
    </row>
    <row r="14209" spans="1:7" x14ac:dyDescent="0.2">
      <c r="A14209" t="s">
        <v>1</v>
      </c>
      <c r="B14209" t="str">
        <f>"13221488540"</f>
        <v>13221488540</v>
      </c>
      <c r="C14209" t="s">
        <v>1</v>
      </c>
      <c r="D14209" t="s">
        <v>1</v>
      </c>
      <c r="E14209" t="s">
        <v>1</v>
      </c>
      <c r="F14209" t="s">
        <v>0</v>
      </c>
      <c r="G14209" t="str">
        <f>"2018-10-13 01:09:38"</f>
        <v>2018-10-13 01:09:38</v>
      </c>
    </row>
    <row r="14210" spans="1:7" x14ac:dyDescent="0.2">
      <c r="A14210" t="s">
        <v>1007</v>
      </c>
      <c r="B14210" t="str">
        <f>"18634927211"</f>
        <v>18634927211</v>
      </c>
      <c r="C14210" t="str">
        <f>"14060219860501955X"</f>
        <v>14060219860501955X</v>
      </c>
      <c r="D14210" t="s">
        <v>1</v>
      </c>
      <c r="E14210" t="s">
        <v>1</v>
      </c>
      <c r="F14210" t="s">
        <v>0</v>
      </c>
      <c r="G14210" t="str">
        <f>"2018-11-03 14:09:18"</f>
        <v>2018-11-03 14:09:18</v>
      </c>
    </row>
    <row r="14211" spans="1:7" x14ac:dyDescent="0.2">
      <c r="A14211" t="s">
        <v>13979</v>
      </c>
      <c r="B14211" t="str">
        <f>"13977226552"</f>
        <v>13977226552</v>
      </c>
      <c r="C14211" t="str">
        <f>"450203197008310317"</f>
        <v>450203197008310317</v>
      </c>
      <c r="D14211" t="s">
        <v>13980</v>
      </c>
      <c r="E14211" t="s">
        <v>13981</v>
      </c>
      <c r="F14211" t="s">
        <v>0</v>
      </c>
      <c r="G14211" t="str">
        <f>"2018-10-13 01:34:59"</f>
        <v>2018-10-13 01:34:59</v>
      </c>
    </row>
    <row r="14212" spans="1:7" x14ac:dyDescent="0.2">
      <c r="A14212" t="s">
        <v>13982</v>
      </c>
      <c r="B14212" t="str">
        <f>"18721513771"</f>
        <v>18721513771</v>
      </c>
      <c r="C14212" t="str">
        <f>"340822198111302674"</f>
        <v>340822198111302674</v>
      </c>
      <c r="D14212" t="s">
        <v>13983</v>
      </c>
      <c r="E14212" t="s">
        <v>13984</v>
      </c>
      <c r="F14212" t="s">
        <v>0</v>
      </c>
      <c r="G14212" t="str">
        <f>"2018-10-13 01:04:45"</f>
        <v>2018-10-13 01:04:45</v>
      </c>
    </row>
    <row r="14213" spans="1:7" x14ac:dyDescent="0.2">
      <c r="A14213" t="s">
        <v>1126</v>
      </c>
      <c r="B14213" t="str">
        <f>"18510547272"</f>
        <v>18510547272</v>
      </c>
      <c r="C14213" t="str">
        <f>"110228199901302625"</f>
        <v>110228199901302625</v>
      </c>
      <c r="D14213" t="s">
        <v>1</v>
      </c>
      <c r="E14213" t="s">
        <v>1</v>
      </c>
      <c r="F14213" t="s">
        <v>0</v>
      </c>
      <c r="G14213" t="str">
        <f>"2018-10-13 01:03:22"</f>
        <v>2018-10-13 01:03:22</v>
      </c>
    </row>
    <row r="14214" spans="1:7" x14ac:dyDescent="0.2">
      <c r="A14214" t="s">
        <v>13985</v>
      </c>
      <c r="B14214" t="str">
        <f>"13880007764"</f>
        <v>13880007764</v>
      </c>
      <c r="C14214" t="str">
        <f>"513902198708068379"</f>
        <v>513902198708068379</v>
      </c>
      <c r="D14214" t="s">
        <v>1</v>
      </c>
      <c r="E14214" t="s">
        <v>1</v>
      </c>
      <c r="F14214" t="s">
        <v>0</v>
      </c>
      <c r="G14214" t="str">
        <f>"2018-10-13 01:03:40"</f>
        <v>2018-10-13 01:03:40</v>
      </c>
    </row>
    <row r="14215" spans="1:7" x14ac:dyDescent="0.2">
      <c r="A14215" t="s">
        <v>13986</v>
      </c>
      <c r="B14215" t="str">
        <f>"18373464876"</f>
        <v>18373464876</v>
      </c>
      <c r="C14215" t="str">
        <f>"430408199601092013"</f>
        <v>430408199601092013</v>
      </c>
      <c r="D14215" t="s">
        <v>1</v>
      </c>
      <c r="E14215" t="s">
        <v>1</v>
      </c>
      <c r="F14215" t="s">
        <v>0</v>
      </c>
      <c r="G14215" t="str">
        <f>"2018-10-13 01:02:49"</f>
        <v>2018-10-13 01:02:49</v>
      </c>
    </row>
    <row r="14216" spans="1:7" x14ac:dyDescent="0.2">
      <c r="A14216" t="s">
        <v>13987</v>
      </c>
      <c r="B14216" t="str">
        <f>"13695783701"</f>
        <v>13695783701</v>
      </c>
      <c r="C14216" t="str">
        <f>"332523199603171134"</f>
        <v>332523199603171134</v>
      </c>
      <c r="D14216" t="s">
        <v>1</v>
      </c>
      <c r="E14216" t="s">
        <v>1</v>
      </c>
      <c r="F14216" t="s">
        <v>0</v>
      </c>
      <c r="G14216" t="str">
        <f>"2018-10-13 00:58:30"</f>
        <v>2018-10-13 00:58:30</v>
      </c>
    </row>
    <row r="14217" spans="1:7" x14ac:dyDescent="0.2">
      <c r="A14217" t="s">
        <v>1718</v>
      </c>
      <c r="B14217" t="str">
        <f>"15941276861"</f>
        <v>15941276861</v>
      </c>
      <c r="C14217" t="str">
        <f>"211021199410104711"</f>
        <v>211021199410104711</v>
      </c>
      <c r="D14217" t="s">
        <v>1</v>
      </c>
      <c r="E14217" t="s">
        <v>1</v>
      </c>
      <c r="F14217" t="s">
        <v>0</v>
      </c>
      <c r="G14217" t="str">
        <f>"2018-10-13 11:05:04"</f>
        <v>2018-10-13 11:05:04</v>
      </c>
    </row>
    <row r="14218" spans="1:7" x14ac:dyDescent="0.2">
      <c r="A14218" t="s">
        <v>13988</v>
      </c>
      <c r="B14218" t="str">
        <f>"18672972051"</f>
        <v>18672972051</v>
      </c>
      <c r="C14218" t="str">
        <f>"421127198809085610"</f>
        <v>421127198809085610</v>
      </c>
      <c r="D14218" t="s">
        <v>1</v>
      </c>
      <c r="E14218" t="s">
        <v>1</v>
      </c>
      <c r="F14218" t="s">
        <v>0</v>
      </c>
      <c r="G14218" t="str">
        <f>"2018-10-13 00:56:05"</f>
        <v>2018-10-13 00:56:05</v>
      </c>
    </row>
    <row r="14219" spans="1:7" x14ac:dyDescent="0.2">
      <c r="A14219" t="s">
        <v>1843</v>
      </c>
      <c r="B14219" t="str">
        <f>"13354251314"</f>
        <v>13354251314</v>
      </c>
      <c r="C14219" t="str">
        <f>"210303198303182712"</f>
        <v>210303198303182712</v>
      </c>
      <c r="D14219" t="s">
        <v>1</v>
      </c>
      <c r="E14219" t="s">
        <v>1</v>
      </c>
      <c r="F14219" t="s">
        <v>0</v>
      </c>
      <c r="G14219" t="str">
        <f>"2018-10-13 00:57:56"</f>
        <v>2018-10-13 00:57:56</v>
      </c>
    </row>
    <row r="14220" spans="1:7" x14ac:dyDescent="0.2">
      <c r="A14220" t="s">
        <v>1</v>
      </c>
      <c r="B14220" t="str">
        <f>"15657215732"</f>
        <v>15657215732</v>
      </c>
      <c r="C14220" t="s">
        <v>1</v>
      </c>
      <c r="D14220" t="s">
        <v>1</v>
      </c>
      <c r="E14220" t="s">
        <v>1</v>
      </c>
      <c r="F14220" t="s">
        <v>0</v>
      </c>
      <c r="G14220" t="str">
        <f>"2018-10-13 00:54:30"</f>
        <v>2018-10-13 00:54:30</v>
      </c>
    </row>
    <row r="14221" spans="1:7" x14ac:dyDescent="0.2">
      <c r="A14221" t="s">
        <v>13989</v>
      </c>
      <c r="B14221" t="str">
        <f>"15723541365"</f>
        <v>15723541365</v>
      </c>
      <c r="C14221" t="str">
        <f>"511224198007186776"</f>
        <v>511224198007186776</v>
      </c>
      <c r="D14221" t="s">
        <v>1</v>
      </c>
      <c r="E14221" t="s">
        <v>1</v>
      </c>
      <c r="F14221" t="s">
        <v>0</v>
      </c>
      <c r="G14221" t="str">
        <f>"2018-10-13 00:54:00"</f>
        <v>2018-10-13 00:54:00</v>
      </c>
    </row>
    <row r="14222" spans="1:7" x14ac:dyDescent="0.2">
      <c r="A14222" t="s">
        <v>1</v>
      </c>
      <c r="B14222" t="str">
        <f>"13628692439"</f>
        <v>13628692439</v>
      </c>
      <c r="C14222" t="s">
        <v>1</v>
      </c>
      <c r="D14222" t="s">
        <v>1</v>
      </c>
      <c r="E14222" t="s">
        <v>1</v>
      </c>
      <c r="F14222" t="s">
        <v>0</v>
      </c>
      <c r="G14222" t="str">
        <f>"2018-10-13 00:53:38"</f>
        <v>2018-10-13 00:53:38</v>
      </c>
    </row>
    <row r="14223" spans="1:7" x14ac:dyDescent="0.2">
      <c r="A14223" t="s">
        <v>13990</v>
      </c>
      <c r="B14223" t="str">
        <f>"13668772096"</f>
        <v>13668772096</v>
      </c>
      <c r="C14223" t="str">
        <f>"530111198507256406"</f>
        <v>530111198507256406</v>
      </c>
      <c r="D14223" t="s">
        <v>1</v>
      </c>
      <c r="E14223" t="s">
        <v>1</v>
      </c>
      <c r="F14223" t="s">
        <v>0</v>
      </c>
      <c r="G14223" t="str">
        <f>"2018-10-13 00:56:23"</f>
        <v>2018-10-13 00:56:23</v>
      </c>
    </row>
    <row r="14224" spans="1:7" x14ac:dyDescent="0.2">
      <c r="A14224" t="s">
        <v>13991</v>
      </c>
      <c r="B14224" t="str">
        <f>"18908285716"</f>
        <v>18908285716</v>
      </c>
      <c r="C14224" t="str">
        <f>"511622198705271352"</f>
        <v>511622198705271352</v>
      </c>
      <c r="D14224" t="s">
        <v>1</v>
      </c>
      <c r="E14224" t="s">
        <v>1</v>
      </c>
      <c r="F14224" t="s">
        <v>0</v>
      </c>
      <c r="G14224" t="str">
        <f>"2018-10-13 00:53:03"</f>
        <v>2018-10-13 00:53:03</v>
      </c>
    </row>
    <row r="14225" spans="1:7" x14ac:dyDescent="0.2">
      <c r="A14225" t="s">
        <v>1</v>
      </c>
      <c r="B14225" t="str">
        <f>"18566125932"</f>
        <v>18566125932</v>
      </c>
      <c r="C14225" t="s">
        <v>1</v>
      </c>
      <c r="D14225" t="s">
        <v>1</v>
      </c>
      <c r="E14225" t="s">
        <v>1</v>
      </c>
      <c r="F14225" t="s">
        <v>0</v>
      </c>
      <c r="G14225" t="str">
        <f>"2018-10-13 01:02:51"</f>
        <v>2018-10-13 01:02:51</v>
      </c>
    </row>
    <row r="14226" spans="1:7" x14ac:dyDescent="0.2">
      <c r="A14226" t="s">
        <v>13992</v>
      </c>
      <c r="B14226" t="str">
        <f>"15262699223"</f>
        <v>15262699223</v>
      </c>
      <c r="C14226" t="str">
        <f>"360321199508175030"</f>
        <v>360321199508175030</v>
      </c>
      <c r="D14226" t="s">
        <v>1</v>
      </c>
      <c r="E14226" t="s">
        <v>1</v>
      </c>
      <c r="F14226" t="s">
        <v>0</v>
      </c>
      <c r="G14226" t="str">
        <f>"2018-10-13 00:45:46"</f>
        <v>2018-10-13 00:45:46</v>
      </c>
    </row>
    <row r="14227" spans="1:7" x14ac:dyDescent="0.2">
      <c r="A14227" t="s">
        <v>13993</v>
      </c>
      <c r="B14227" t="str">
        <f>"17738641112"</f>
        <v>17738641112</v>
      </c>
      <c r="C14227" t="str">
        <f>"513023198405040152"</f>
        <v>513023198405040152</v>
      </c>
      <c r="D14227" t="s">
        <v>13994</v>
      </c>
      <c r="E14227" t="s">
        <v>13995</v>
      </c>
      <c r="F14227" t="s">
        <v>0</v>
      </c>
      <c r="G14227" t="str">
        <f>"2018-10-13 00:51:17"</f>
        <v>2018-10-13 00:51:17</v>
      </c>
    </row>
    <row r="14228" spans="1:7" x14ac:dyDescent="0.2">
      <c r="A14228" t="s">
        <v>1174</v>
      </c>
      <c r="B14228" t="str">
        <f>"15310800028"</f>
        <v>15310800028</v>
      </c>
      <c r="C14228" t="str">
        <f>"500382198606132899"</f>
        <v>500382198606132899</v>
      </c>
      <c r="D14228" t="s">
        <v>1</v>
      </c>
      <c r="E14228" t="s">
        <v>1</v>
      </c>
      <c r="F14228" t="s">
        <v>0</v>
      </c>
      <c r="G14228" t="str">
        <f>"2018-10-13 00:48:42"</f>
        <v>2018-10-13 00:48:42</v>
      </c>
    </row>
    <row r="14229" spans="1:7" x14ac:dyDescent="0.2">
      <c r="A14229" t="s">
        <v>984</v>
      </c>
      <c r="B14229" t="str">
        <f>"13699579603"</f>
        <v>13699579603</v>
      </c>
      <c r="C14229" t="str">
        <f>"362322199002212410"</f>
        <v>362322199002212410</v>
      </c>
      <c r="D14229" t="s">
        <v>1</v>
      </c>
      <c r="E14229" t="s">
        <v>1</v>
      </c>
      <c r="F14229" t="s">
        <v>0</v>
      </c>
      <c r="G14229" t="str">
        <f>"2018-10-13 00:42:56"</f>
        <v>2018-10-13 00:42:56</v>
      </c>
    </row>
    <row r="14230" spans="1:7" x14ac:dyDescent="0.2">
      <c r="A14230" t="s">
        <v>13996</v>
      </c>
      <c r="B14230" t="str">
        <f>"18825321420"</f>
        <v>18825321420</v>
      </c>
      <c r="C14230" t="str">
        <f>"450921200010030811"</f>
        <v>450921200010030811</v>
      </c>
      <c r="D14230" t="s">
        <v>1</v>
      </c>
      <c r="E14230" t="s">
        <v>1</v>
      </c>
      <c r="F14230" t="s">
        <v>0</v>
      </c>
      <c r="G14230" t="str">
        <f>"2018-10-13 00:36:50"</f>
        <v>2018-10-13 00:36:50</v>
      </c>
    </row>
    <row r="14231" spans="1:7" x14ac:dyDescent="0.2">
      <c r="A14231" t="s">
        <v>1</v>
      </c>
      <c r="B14231" t="str">
        <f>"13221884346"</f>
        <v>13221884346</v>
      </c>
      <c r="C14231" t="s">
        <v>1</v>
      </c>
      <c r="D14231" t="s">
        <v>1</v>
      </c>
      <c r="E14231" t="s">
        <v>1</v>
      </c>
      <c r="F14231" t="s">
        <v>0</v>
      </c>
      <c r="G14231" t="str">
        <f>"2018-10-13 00:35:15"</f>
        <v>2018-10-13 00:35:15</v>
      </c>
    </row>
    <row r="14232" spans="1:7" x14ac:dyDescent="0.2">
      <c r="A14232" t="s">
        <v>13997</v>
      </c>
      <c r="B14232" t="str">
        <f>"17625103309"</f>
        <v>17625103309</v>
      </c>
      <c r="C14232" t="str">
        <f>"411081199203033256"</f>
        <v>411081199203033256</v>
      </c>
      <c r="D14232" t="s">
        <v>1</v>
      </c>
      <c r="E14232" t="s">
        <v>1</v>
      </c>
      <c r="F14232" t="s">
        <v>0</v>
      </c>
      <c r="G14232" t="str">
        <f>"2018-10-25 13:48:27"</f>
        <v>2018-10-25 13:48:27</v>
      </c>
    </row>
    <row r="14233" spans="1:7" x14ac:dyDescent="0.2">
      <c r="A14233" t="s">
        <v>13998</v>
      </c>
      <c r="B14233" t="str">
        <f>"17608091884"</f>
        <v>17608091884</v>
      </c>
      <c r="C14233" t="str">
        <f>"510125199706171818"</f>
        <v>510125199706171818</v>
      </c>
      <c r="D14233" t="s">
        <v>1</v>
      </c>
      <c r="E14233" t="s">
        <v>1</v>
      </c>
      <c r="F14233" t="s">
        <v>0</v>
      </c>
      <c r="G14233" t="str">
        <f>"2018-10-13 20:33:15"</f>
        <v>2018-10-13 20:33:15</v>
      </c>
    </row>
    <row r="14234" spans="1:7" x14ac:dyDescent="0.2">
      <c r="A14234" t="s">
        <v>1</v>
      </c>
      <c r="B14234" t="str">
        <f>"13977510069"</f>
        <v>13977510069</v>
      </c>
      <c r="C14234" t="s">
        <v>1</v>
      </c>
      <c r="D14234" t="s">
        <v>1</v>
      </c>
      <c r="E14234" t="s">
        <v>1</v>
      </c>
      <c r="F14234" t="s">
        <v>0</v>
      </c>
      <c r="G14234" t="str">
        <f>"2018-10-13 00:34:38"</f>
        <v>2018-10-13 00:34:38</v>
      </c>
    </row>
    <row r="14235" spans="1:7" x14ac:dyDescent="0.2">
      <c r="A14235" t="s">
        <v>1</v>
      </c>
      <c r="B14235" t="str">
        <f>"15167205300"</f>
        <v>15167205300</v>
      </c>
      <c r="C14235" t="s">
        <v>1</v>
      </c>
      <c r="D14235" t="s">
        <v>1</v>
      </c>
      <c r="E14235" t="s">
        <v>1</v>
      </c>
      <c r="F14235" t="s">
        <v>0</v>
      </c>
      <c r="G14235" t="str">
        <f>"2018-10-13 00:32:31"</f>
        <v>2018-10-13 00:32:31</v>
      </c>
    </row>
    <row r="14236" spans="1:7" x14ac:dyDescent="0.2">
      <c r="A14236" t="s">
        <v>13999</v>
      </c>
      <c r="B14236" t="str">
        <f>"15886539779"</f>
        <v>15886539779</v>
      </c>
      <c r="C14236" t="str">
        <f>"43102219890205547X"</f>
        <v>43102219890205547X</v>
      </c>
      <c r="D14236" t="s">
        <v>14000</v>
      </c>
      <c r="E14236" t="s">
        <v>14001</v>
      </c>
      <c r="F14236" t="s">
        <v>0</v>
      </c>
      <c r="G14236" t="str">
        <f>"2018-10-13 00:32:53"</f>
        <v>2018-10-13 00:32:53</v>
      </c>
    </row>
    <row r="14237" spans="1:7" x14ac:dyDescent="0.2">
      <c r="A14237" t="s">
        <v>14002</v>
      </c>
      <c r="B14237" t="str">
        <f>"18218768276"</f>
        <v>18218768276</v>
      </c>
      <c r="C14237" t="str">
        <f>"350321198612271093"</f>
        <v>350321198612271093</v>
      </c>
      <c r="D14237" t="s">
        <v>1</v>
      </c>
      <c r="E14237" t="s">
        <v>1</v>
      </c>
      <c r="F14237" t="s">
        <v>0</v>
      </c>
      <c r="G14237" t="str">
        <f>"2018-10-13 09:22:40"</f>
        <v>2018-10-13 09:22:40</v>
      </c>
    </row>
    <row r="14238" spans="1:7" x14ac:dyDescent="0.2">
      <c r="A14238" t="s">
        <v>14003</v>
      </c>
      <c r="B14238" t="str">
        <f>"15110439913"</f>
        <v>15110439913</v>
      </c>
      <c r="C14238" t="str">
        <f>"142727199204141510"</f>
        <v>142727199204141510</v>
      </c>
      <c r="D14238" t="s">
        <v>1</v>
      </c>
      <c r="E14238" t="s">
        <v>1</v>
      </c>
      <c r="F14238" t="s">
        <v>0</v>
      </c>
      <c r="G14238" t="str">
        <f>"2018-10-13 00:31:22"</f>
        <v>2018-10-13 00:31:22</v>
      </c>
    </row>
    <row r="14239" spans="1:7" x14ac:dyDescent="0.2">
      <c r="A14239" t="s">
        <v>1</v>
      </c>
      <c r="B14239" t="str">
        <f>"18375145411"</f>
        <v>18375145411</v>
      </c>
      <c r="C14239" t="s">
        <v>1</v>
      </c>
      <c r="D14239" t="s">
        <v>1</v>
      </c>
      <c r="E14239" t="s">
        <v>1</v>
      </c>
      <c r="F14239" t="s">
        <v>0</v>
      </c>
      <c r="G14239" t="str">
        <f>"2018-10-13 00:28:03"</f>
        <v>2018-10-13 00:28:03</v>
      </c>
    </row>
    <row r="14240" spans="1:7" x14ac:dyDescent="0.2">
      <c r="A14240" t="s">
        <v>14004</v>
      </c>
      <c r="B14240" t="str">
        <f>"15968152063"</f>
        <v>15968152063</v>
      </c>
      <c r="C14240" t="str">
        <f>"530381199609162544"</f>
        <v>530381199609162544</v>
      </c>
      <c r="D14240" t="s">
        <v>1</v>
      </c>
      <c r="E14240" t="s">
        <v>1</v>
      </c>
      <c r="F14240" t="s">
        <v>0</v>
      </c>
      <c r="G14240" t="str">
        <f>"2018-10-28 22:01:46"</f>
        <v>2018-10-28 22:01:46</v>
      </c>
    </row>
    <row r="14241" spans="1:7" x14ac:dyDescent="0.2">
      <c r="A14241" t="s">
        <v>1</v>
      </c>
      <c r="B14241" t="str">
        <f>"13034290334"</f>
        <v>13034290334</v>
      </c>
      <c r="C14241" t="s">
        <v>1</v>
      </c>
      <c r="D14241" t="s">
        <v>1</v>
      </c>
      <c r="E14241" t="s">
        <v>1</v>
      </c>
      <c r="F14241" t="s">
        <v>0</v>
      </c>
      <c r="G14241" t="str">
        <f>"2018-10-13 00:25:16"</f>
        <v>2018-10-13 00:25:16</v>
      </c>
    </row>
    <row r="14242" spans="1:7" x14ac:dyDescent="0.2">
      <c r="A14242" t="s">
        <v>1</v>
      </c>
      <c r="B14242" t="str">
        <f>"15676703814"</f>
        <v>15676703814</v>
      </c>
      <c r="C14242" t="s">
        <v>1</v>
      </c>
      <c r="D14242" t="s">
        <v>1</v>
      </c>
      <c r="E14242" t="s">
        <v>1</v>
      </c>
      <c r="F14242" t="s">
        <v>0</v>
      </c>
      <c r="G14242" t="str">
        <f>"2018-10-13 00:24:03"</f>
        <v>2018-10-13 00:24:03</v>
      </c>
    </row>
    <row r="14243" spans="1:7" x14ac:dyDescent="0.2">
      <c r="A14243" t="s">
        <v>1</v>
      </c>
      <c r="B14243" t="str">
        <f>"13960951738"</f>
        <v>13960951738</v>
      </c>
      <c r="C14243" t="s">
        <v>1</v>
      </c>
      <c r="D14243" t="s">
        <v>1</v>
      </c>
      <c r="E14243" t="s">
        <v>1</v>
      </c>
      <c r="F14243" t="s">
        <v>0</v>
      </c>
      <c r="G14243" t="str">
        <f>"2018-10-13 00:23:33"</f>
        <v>2018-10-13 00:23:33</v>
      </c>
    </row>
    <row r="14244" spans="1:7" x14ac:dyDescent="0.2">
      <c r="A14244" t="s">
        <v>1</v>
      </c>
      <c r="B14244" t="str">
        <f>"15853279140"</f>
        <v>15853279140</v>
      </c>
      <c r="C14244" t="s">
        <v>1</v>
      </c>
      <c r="D14244" t="s">
        <v>1</v>
      </c>
      <c r="E14244" t="s">
        <v>1</v>
      </c>
      <c r="F14244" t="s">
        <v>0</v>
      </c>
      <c r="G14244" t="str">
        <f>"2018-10-13 00:22:29"</f>
        <v>2018-10-13 00:22:29</v>
      </c>
    </row>
    <row r="14245" spans="1:7" x14ac:dyDescent="0.2">
      <c r="A14245" t="s">
        <v>14005</v>
      </c>
      <c r="B14245" t="str">
        <f>"18846753135"</f>
        <v>18846753135</v>
      </c>
      <c r="C14245" t="str">
        <f>"231123199608280923"</f>
        <v>231123199608280923</v>
      </c>
      <c r="D14245" t="s">
        <v>1</v>
      </c>
      <c r="E14245" t="s">
        <v>1</v>
      </c>
      <c r="F14245" t="s">
        <v>0</v>
      </c>
      <c r="G14245" t="str">
        <f>"2018-10-13 01:12:15"</f>
        <v>2018-10-13 01:12:15</v>
      </c>
    </row>
    <row r="14246" spans="1:7" x14ac:dyDescent="0.2">
      <c r="A14246" t="s">
        <v>1</v>
      </c>
      <c r="B14246" t="str">
        <f>"13128936879"</f>
        <v>13128936879</v>
      </c>
      <c r="C14246" t="s">
        <v>1</v>
      </c>
      <c r="D14246" t="s">
        <v>1</v>
      </c>
      <c r="E14246" t="s">
        <v>1</v>
      </c>
      <c r="F14246" t="s">
        <v>0</v>
      </c>
      <c r="G14246" t="str">
        <f>"2018-10-13 00:18:30"</f>
        <v>2018-10-13 00:18:30</v>
      </c>
    </row>
    <row r="14247" spans="1:7" x14ac:dyDescent="0.2">
      <c r="A14247" t="s">
        <v>14006</v>
      </c>
      <c r="B14247" t="str">
        <f>"13537579296"</f>
        <v>13537579296</v>
      </c>
      <c r="C14247" t="str">
        <f>"445224199112051873"</f>
        <v>445224199112051873</v>
      </c>
      <c r="D14247" t="s">
        <v>1</v>
      </c>
      <c r="E14247" t="s">
        <v>1</v>
      </c>
      <c r="F14247" t="s">
        <v>0</v>
      </c>
      <c r="G14247" t="str">
        <f>"2018-10-28 16:51:37"</f>
        <v>2018-10-28 16:51:37</v>
      </c>
    </row>
    <row r="14248" spans="1:7" x14ac:dyDescent="0.2">
      <c r="A14248" t="s">
        <v>14007</v>
      </c>
      <c r="B14248" t="str">
        <f>"13453510545"</f>
        <v>13453510545</v>
      </c>
      <c r="C14248" t="str">
        <f>"140411198412150434"</f>
        <v>140411198412150434</v>
      </c>
      <c r="D14248" t="s">
        <v>14008</v>
      </c>
      <c r="E14248" t="s">
        <v>14009</v>
      </c>
      <c r="F14248" t="s">
        <v>0</v>
      </c>
      <c r="G14248" t="str">
        <f>"2018-10-13 00:19:26"</f>
        <v>2018-10-13 00:19:26</v>
      </c>
    </row>
    <row r="14249" spans="1:7" x14ac:dyDescent="0.2">
      <c r="A14249" t="s">
        <v>1</v>
      </c>
      <c r="B14249" t="str">
        <f>"18641660961"</f>
        <v>18641660961</v>
      </c>
      <c r="C14249" t="s">
        <v>1</v>
      </c>
      <c r="D14249" t="s">
        <v>1</v>
      </c>
      <c r="E14249" t="s">
        <v>1</v>
      </c>
      <c r="F14249" t="s">
        <v>0</v>
      </c>
      <c r="G14249" t="str">
        <f>"2018-10-13 00:15:01"</f>
        <v>2018-10-13 00:15:01</v>
      </c>
    </row>
    <row r="14250" spans="1:7" x14ac:dyDescent="0.2">
      <c r="A14250" t="s">
        <v>14010</v>
      </c>
      <c r="B14250" t="str">
        <f>"15880708225"</f>
        <v>15880708225</v>
      </c>
      <c r="C14250" t="str">
        <f>"421002197912031429"</f>
        <v>421002197912031429</v>
      </c>
      <c r="D14250" t="s">
        <v>1</v>
      </c>
      <c r="E14250" t="s">
        <v>1</v>
      </c>
      <c r="F14250" t="s">
        <v>0</v>
      </c>
      <c r="G14250" t="str">
        <f>"2018-10-13 01:18:47"</f>
        <v>2018-10-13 01:18:47</v>
      </c>
    </row>
    <row r="14251" spans="1:7" x14ac:dyDescent="0.2">
      <c r="A14251" t="s">
        <v>14011</v>
      </c>
      <c r="B14251" t="str">
        <f>"13845121447"</f>
        <v>13845121447</v>
      </c>
      <c r="C14251" t="str">
        <f>"230184199004033210"</f>
        <v>230184199004033210</v>
      </c>
      <c r="D14251" t="s">
        <v>1</v>
      </c>
      <c r="E14251" t="s">
        <v>1</v>
      </c>
      <c r="F14251" t="s">
        <v>0</v>
      </c>
      <c r="G14251" t="str">
        <f>"2018-10-13 00:13:08"</f>
        <v>2018-10-13 00:13:08</v>
      </c>
    </row>
    <row r="14252" spans="1:7" x14ac:dyDescent="0.2">
      <c r="A14252" t="s">
        <v>14012</v>
      </c>
      <c r="B14252" t="str">
        <f>"13634299908"</f>
        <v>13634299908</v>
      </c>
      <c r="C14252" t="str">
        <f>"330302198307165232"</f>
        <v>330302198307165232</v>
      </c>
      <c r="D14252" t="s">
        <v>1</v>
      </c>
      <c r="E14252" t="s">
        <v>1</v>
      </c>
      <c r="F14252" t="s">
        <v>0</v>
      </c>
      <c r="G14252" t="str">
        <f>"2018-10-26 19:19:52"</f>
        <v>2018-10-26 19:19:52</v>
      </c>
    </row>
    <row r="14253" spans="1:7" x14ac:dyDescent="0.2">
      <c r="A14253" t="s">
        <v>14013</v>
      </c>
      <c r="B14253" t="str">
        <f>"13388123340"</f>
        <v>13388123340</v>
      </c>
      <c r="C14253" t="str">
        <f>"510823198512126059"</f>
        <v>510823198512126059</v>
      </c>
      <c r="D14253" t="s">
        <v>1</v>
      </c>
      <c r="E14253" t="s">
        <v>1</v>
      </c>
      <c r="F14253" t="s">
        <v>0</v>
      </c>
      <c r="G14253" t="str">
        <f>"2018-10-13 00:12:03"</f>
        <v>2018-10-13 00:12:03</v>
      </c>
    </row>
    <row r="14254" spans="1:7" x14ac:dyDescent="0.2">
      <c r="A14254" t="s">
        <v>14014</v>
      </c>
      <c r="B14254" t="str">
        <f>"18236017666"</f>
        <v>18236017666</v>
      </c>
      <c r="C14254" t="str">
        <f>"330324197305067253"</f>
        <v>330324197305067253</v>
      </c>
      <c r="D14254" t="s">
        <v>1</v>
      </c>
      <c r="E14254" t="s">
        <v>1</v>
      </c>
      <c r="F14254" t="s">
        <v>0</v>
      </c>
      <c r="G14254" t="str">
        <f>"2018-10-14 19:10:47"</f>
        <v>2018-10-14 19:10:47</v>
      </c>
    </row>
    <row r="14255" spans="1:7" x14ac:dyDescent="0.2">
      <c r="A14255" t="s">
        <v>8776</v>
      </c>
      <c r="B14255" t="str">
        <f>"18603262669"</f>
        <v>18603262669</v>
      </c>
      <c r="C14255" t="str">
        <f>"130124198611264526"</f>
        <v>130124198611264526</v>
      </c>
      <c r="D14255" t="s">
        <v>1</v>
      </c>
      <c r="E14255" t="s">
        <v>1</v>
      </c>
      <c r="F14255" t="s">
        <v>0</v>
      </c>
      <c r="G14255" t="str">
        <f>"2018-10-13 00:10:26"</f>
        <v>2018-10-13 00:10:26</v>
      </c>
    </row>
    <row r="14256" spans="1:7" x14ac:dyDescent="0.2">
      <c r="A14256" t="s">
        <v>1</v>
      </c>
      <c r="B14256" t="str">
        <f>"15823977667"</f>
        <v>15823977667</v>
      </c>
      <c r="C14256" t="s">
        <v>1</v>
      </c>
      <c r="D14256" t="s">
        <v>1</v>
      </c>
      <c r="E14256" t="s">
        <v>1</v>
      </c>
      <c r="F14256" t="s">
        <v>0</v>
      </c>
      <c r="G14256" t="str">
        <f>"2018-10-13 00:11:09"</f>
        <v>2018-10-13 00:11:09</v>
      </c>
    </row>
    <row r="14257" spans="1:7" x14ac:dyDescent="0.2">
      <c r="A14257" t="s">
        <v>1</v>
      </c>
      <c r="B14257" t="str">
        <f>"15957022937"</f>
        <v>15957022937</v>
      </c>
      <c r="C14257" t="s">
        <v>1</v>
      </c>
      <c r="D14257" t="s">
        <v>1</v>
      </c>
      <c r="E14257" t="s">
        <v>1</v>
      </c>
      <c r="F14257" t="s">
        <v>0</v>
      </c>
      <c r="G14257" t="str">
        <f>"2018-10-13 00:05:23"</f>
        <v>2018-10-13 00:05:23</v>
      </c>
    </row>
    <row r="14258" spans="1:7" x14ac:dyDescent="0.2">
      <c r="A14258" t="s">
        <v>1</v>
      </c>
      <c r="B14258" t="str">
        <f>"18128101739"</f>
        <v>18128101739</v>
      </c>
      <c r="C14258" t="s">
        <v>1</v>
      </c>
      <c r="D14258" t="s">
        <v>1</v>
      </c>
      <c r="E14258" t="s">
        <v>1</v>
      </c>
      <c r="F14258" t="s">
        <v>0</v>
      </c>
      <c r="G14258" t="str">
        <f>"2018-10-13 00:01:19"</f>
        <v>2018-10-13 00:01:19</v>
      </c>
    </row>
    <row r="14259" spans="1:7" x14ac:dyDescent="0.2">
      <c r="A14259" t="s">
        <v>14015</v>
      </c>
      <c r="B14259" t="str">
        <f>"15102058956"</f>
        <v>15102058956</v>
      </c>
      <c r="C14259" t="str">
        <f>"440923199209104051"</f>
        <v>440923199209104051</v>
      </c>
      <c r="D14259" t="s">
        <v>1</v>
      </c>
      <c r="E14259" t="s">
        <v>1</v>
      </c>
      <c r="F14259" t="s">
        <v>0</v>
      </c>
      <c r="G14259" t="str">
        <f>"2018-10-13 00:00:53"</f>
        <v>2018-10-13 00:00:53</v>
      </c>
    </row>
    <row r="14260" spans="1:7" x14ac:dyDescent="0.2">
      <c r="A14260" t="s">
        <v>14016</v>
      </c>
      <c r="B14260" t="str">
        <f>"18347196226"</f>
        <v>18347196226</v>
      </c>
      <c r="C14260" t="str">
        <f>"150121198609200077"</f>
        <v>150121198609200077</v>
      </c>
      <c r="D14260" t="s">
        <v>14017</v>
      </c>
      <c r="E14260" t="s">
        <v>14018</v>
      </c>
      <c r="F14260" t="s">
        <v>0</v>
      </c>
      <c r="G14260" t="str">
        <f>"2018-10-13 09:16:52"</f>
        <v>2018-10-13 09:16:52</v>
      </c>
    </row>
    <row r="14261" spans="1:7" x14ac:dyDescent="0.2">
      <c r="A14261" t="s">
        <v>14019</v>
      </c>
      <c r="B14261" t="str">
        <f>"15208877711"</f>
        <v>15208877711</v>
      </c>
      <c r="C14261" t="str">
        <f>"533423198904180315"</f>
        <v>533423198904180315</v>
      </c>
      <c r="D14261" t="s">
        <v>1</v>
      </c>
      <c r="E14261" t="s">
        <v>1</v>
      </c>
      <c r="F14261" t="s">
        <v>0</v>
      </c>
      <c r="G14261" t="str">
        <f>"2018-10-13 00:01:26"</f>
        <v>2018-10-13 00:01:26</v>
      </c>
    </row>
    <row r="14262" spans="1:7" x14ac:dyDescent="0.2">
      <c r="A14262" t="s">
        <v>1</v>
      </c>
      <c r="B14262" t="str">
        <f>"18785073506"</f>
        <v>18785073506</v>
      </c>
      <c r="C14262" t="s">
        <v>1</v>
      </c>
      <c r="D14262" t="s">
        <v>1</v>
      </c>
      <c r="E14262" t="s">
        <v>1</v>
      </c>
      <c r="F14262" t="s">
        <v>0</v>
      </c>
      <c r="G14262" t="str">
        <f>"2018-10-12 23:58:23"</f>
        <v>2018-10-12 23:58:23</v>
      </c>
    </row>
    <row r="14263" spans="1:7" x14ac:dyDescent="0.2">
      <c r="A14263" t="s">
        <v>14020</v>
      </c>
      <c r="B14263" t="str">
        <f>"18744251666"</f>
        <v>18744251666</v>
      </c>
      <c r="C14263" t="str">
        <f>"220223197110044214"</f>
        <v>220223197110044214</v>
      </c>
      <c r="D14263" t="s">
        <v>14021</v>
      </c>
      <c r="E14263" t="s">
        <v>14022</v>
      </c>
      <c r="F14263" t="s">
        <v>0</v>
      </c>
      <c r="G14263" t="str">
        <f>"2018-10-12 23:59:51"</f>
        <v>2018-10-12 23:59:51</v>
      </c>
    </row>
    <row r="14264" spans="1:7" x14ac:dyDescent="0.2">
      <c r="A14264" t="s">
        <v>1</v>
      </c>
      <c r="B14264" t="str">
        <f>"15913210775"</f>
        <v>15913210775</v>
      </c>
      <c r="C14264" t="s">
        <v>1</v>
      </c>
      <c r="D14264" t="s">
        <v>1</v>
      </c>
      <c r="E14264" t="s">
        <v>1</v>
      </c>
      <c r="F14264" t="s">
        <v>0</v>
      </c>
      <c r="G14264" t="str">
        <f>"2018-10-12 23:56:46"</f>
        <v>2018-10-12 23:56:46</v>
      </c>
    </row>
    <row r="14265" spans="1:7" x14ac:dyDescent="0.2">
      <c r="A14265" t="s">
        <v>14023</v>
      </c>
      <c r="B14265" t="str">
        <f>"13689955859"</f>
        <v>13689955859</v>
      </c>
      <c r="C14265" t="str">
        <f>"511121198111217371"</f>
        <v>511121198111217371</v>
      </c>
      <c r="D14265" t="s">
        <v>1</v>
      </c>
      <c r="E14265" t="s">
        <v>1</v>
      </c>
      <c r="F14265" t="s">
        <v>0</v>
      </c>
      <c r="G14265" t="str">
        <f>"2018-10-12 23:57:57"</f>
        <v>2018-10-12 23:57:57</v>
      </c>
    </row>
    <row r="14266" spans="1:7" x14ac:dyDescent="0.2">
      <c r="A14266" t="s">
        <v>14024</v>
      </c>
      <c r="B14266" t="str">
        <f>"15759283162"</f>
        <v>15759283162</v>
      </c>
      <c r="C14266" t="str">
        <f>"500243199408094259"</f>
        <v>500243199408094259</v>
      </c>
      <c r="D14266" t="s">
        <v>1</v>
      </c>
      <c r="E14266" t="s">
        <v>1</v>
      </c>
      <c r="F14266" t="s">
        <v>0</v>
      </c>
      <c r="G14266" t="str">
        <f>"2018-10-12 23:58:40"</f>
        <v>2018-10-12 23:58:40</v>
      </c>
    </row>
    <row r="14267" spans="1:7" x14ac:dyDescent="0.2">
      <c r="A14267" t="s">
        <v>1</v>
      </c>
      <c r="B14267" t="str">
        <f>"15018332722"</f>
        <v>15018332722</v>
      </c>
      <c r="C14267" t="s">
        <v>1</v>
      </c>
      <c r="D14267" t="s">
        <v>1</v>
      </c>
      <c r="E14267" t="s">
        <v>1</v>
      </c>
      <c r="F14267" t="s">
        <v>0</v>
      </c>
      <c r="G14267" t="str">
        <f>"2018-10-12 23:54:00"</f>
        <v>2018-10-12 23:54:00</v>
      </c>
    </row>
    <row r="14268" spans="1:7" x14ac:dyDescent="0.2">
      <c r="A14268" t="s">
        <v>14025</v>
      </c>
      <c r="B14268" t="str">
        <f>"13046429361"</f>
        <v>13046429361</v>
      </c>
      <c r="C14268" t="str">
        <f>"210104199306014642"</f>
        <v>210104199306014642</v>
      </c>
      <c r="D14268" t="s">
        <v>1</v>
      </c>
      <c r="E14268" t="s">
        <v>1</v>
      </c>
      <c r="F14268" t="s">
        <v>0</v>
      </c>
      <c r="G14268" t="str">
        <f>"2018-10-13 00:00:36"</f>
        <v>2018-10-13 00:00:36</v>
      </c>
    </row>
    <row r="14269" spans="1:7" x14ac:dyDescent="0.2">
      <c r="A14269" t="s">
        <v>14026</v>
      </c>
      <c r="B14269" t="str">
        <f>"13708520491"</f>
        <v>13708520491</v>
      </c>
      <c r="C14269" t="str">
        <f>"522101199110103622"</f>
        <v>522101199110103622</v>
      </c>
      <c r="D14269" t="s">
        <v>1</v>
      </c>
      <c r="E14269" t="s">
        <v>1</v>
      </c>
      <c r="F14269" t="s">
        <v>0</v>
      </c>
      <c r="G14269" t="str">
        <f>"2018-10-12 23:49:51"</f>
        <v>2018-10-12 23:49:51</v>
      </c>
    </row>
    <row r="14270" spans="1:7" x14ac:dyDescent="0.2">
      <c r="A14270" t="s">
        <v>14027</v>
      </c>
      <c r="B14270" t="str">
        <f>"18642852723"</f>
        <v>18642852723</v>
      </c>
      <c r="C14270" t="str">
        <f>"210202199010112721"</f>
        <v>210202199010112721</v>
      </c>
      <c r="D14270" t="s">
        <v>1</v>
      </c>
      <c r="E14270" t="s">
        <v>1</v>
      </c>
      <c r="F14270" t="s">
        <v>0</v>
      </c>
      <c r="G14270" t="str">
        <f>"2018-10-13 19:34:18"</f>
        <v>2018-10-13 19:34:18</v>
      </c>
    </row>
    <row r="14271" spans="1:7" x14ac:dyDescent="0.2">
      <c r="A14271" t="s">
        <v>1</v>
      </c>
      <c r="B14271" t="str">
        <f>"17666163323"</f>
        <v>17666163323</v>
      </c>
      <c r="C14271" t="s">
        <v>1</v>
      </c>
      <c r="D14271" t="s">
        <v>1</v>
      </c>
      <c r="E14271" t="s">
        <v>1</v>
      </c>
      <c r="F14271" t="s">
        <v>0</v>
      </c>
      <c r="G14271" t="str">
        <f>"2018-10-21 22:44:16"</f>
        <v>2018-10-21 22:44:16</v>
      </c>
    </row>
    <row r="14272" spans="1:7" x14ac:dyDescent="0.2">
      <c r="A14272" t="s">
        <v>1</v>
      </c>
      <c r="B14272" t="str">
        <f>"15277502826"</f>
        <v>15277502826</v>
      </c>
      <c r="C14272" t="s">
        <v>1</v>
      </c>
      <c r="D14272" t="s">
        <v>1</v>
      </c>
      <c r="E14272" t="s">
        <v>1</v>
      </c>
      <c r="F14272" t="s">
        <v>0</v>
      </c>
      <c r="G14272" t="str">
        <f>"2018-10-12 23:45:09"</f>
        <v>2018-10-12 23:45:09</v>
      </c>
    </row>
    <row r="14273" spans="1:7" x14ac:dyDescent="0.2">
      <c r="A14273" t="s">
        <v>1</v>
      </c>
      <c r="B14273" t="str">
        <f>"13969590877"</f>
        <v>13969590877</v>
      </c>
      <c r="C14273" t="s">
        <v>1</v>
      </c>
      <c r="D14273" t="s">
        <v>1</v>
      </c>
      <c r="E14273" t="s">
        <v>1</v>
      </c>
      <c r="F14273" t="s">
        <v>0</v>
      </c>
      <c r="G14273" t="str">
        <f>"2018-10-12 23:44:47"</f>
        <v>2018-10-12 23:44:47</v>
      </c>
    </row>
    <row r="14274" spans="1:7" x14ac:dyDescent="0.2">
      <c r="A14274" t="s">
        <v>14028</v>
      </c>
      <c r="B14274" t="str">
        <f>"18159801840"</f>
        <v>18159801840</v>
      </c>
      <c r="C14274" t="str">
        <f>"522501199506172044"</f>
        <v>522501199506172044</v>
      </c>
      <c r="D14274" t="s">
        <v>1</v>
      </c>
      <c r="E14274" t="s">
        <v>1</v>
      </c>
      <c r="F14274" t="s">
        <v>0</v>
      </c>
      <c r="G14274" t="str">
        <f>"2018-10-20 13:09:47"</f>
        <v>2018-10-20 13:09:47</v>
      </c>
    </row>
    <row r="14275" spans="1:7" x14ac:dyDescent="0.2">
      <c r="A14275" t="s">
        <v>14029</v>
      </c>
      <c r="B14275" t="str">
        <f>"13665806355"</f>
        <v>13665806355</v>
      </c>
      <c r="C14275" t="str">
        <f>"330902199212302932"</f>
        <v>330902199212302932</v>
      </c>
      <c r="D14275" t="s">
        <v>1</v>
      </c>
      <c r="E14275" t="s">
        <v>1</v>
      </c>
      <c r="F14275" t="s">
        <v>0</v>
      </c>
      <c r="G14275" t="str">
        <f>"2018-10-12 23:46:35"</f>
        <v>2018-10-12 23:46:35</v>
      </c>
    </row>
    <row r="14276" spans="1:7" x14ac:dyDescent="0.2">
      <c r="A14276" t="s">
        <v>1</v>
      </c>
      <c r="B14276" t="str">
        <f>"13560638656"</f>
        <v>13560638656</v>
      </c>
      <c r="C14276" t="s">
        <v>1</v>
      </c>
      <c r="D14276" t="s">
        <v>1</v>
      </c>
      <c r="E14276" t="s">
        <v>1</v>
      </c>
      <c r="F14276" t="s">
        <v>0</v>
      </c>
      <c r="G14276" t="str">
        <f>"2018-10-12 23:42:42"</f>
        <v>2018-10-12 23:42:42</v>
      </c>
    </row>
    <row r="14277" spans="1:7" x14ac:dyDescent="0.2">
      <c r="A14277" t="s">
        <v>14030</v>
      </c>
      <c r="B14277" t="str">
        <f>"15353001209"</f>
        <v>15353001209</v>
      </c>
      <c r="C14277" t="str">
        <f>"610322199512090011"</f>
        <v>610322199512090011</v>
      </c>
      <c r="D14277" t="s">
        <v>14031</v>
      </c>
      <c r="E14277" t="s">
        <v>14032</v>
      </c>
      <c r="F14277" t="s">
        <v>0</v>
      </c>
      <c r="G14277" t="str">
        <f>"2018-10-20 12:04:09"</f>
        <v>2018-10-20 12:04:09</v>
      </c>
    </row>
    <row r="14278" spans="1:7" x14ac:dyDescent="0.2">
      <c r="A14278" t="s">
        <v>14033</v>
      </c>
      <c r="B14278" t="str">
        <f>"13850263821"</f>
        <v>13850263821</v>
      </c>
      <c r="C14278" t="str">
        <f>"350321199005245613"</f>
        <v>350321199005245613</v>
      </c>
      <c r="D14278" t="s">
        <v>1</v>
      </c>
      <c r="E14278" t="s">
        <v>1</v>
      </c>
      <c r="F14278" t="s">
        <v>0</v>
      </c>
      <c r="G14278" t="str">
        <f>"2018-10-12 23:45:02"</f>
        <v>2018-10-12 23:45:02</v>
      </c>
    </row>
    <row r="14279" spans="1:7" x14ac:dyDescent="0.2">
      <c r="A14279" t="s">
        <v>14034</v>
      </c>
      <c r="B14279" t="str">
        <f>"13417683625"</f>
        <v>13417683625</v>
      </c>
      <c r="C14279" t="str">
        <f>"362229198806010851"</f>
        <v>362229198806010851</v>
      </c>
      <c r="D14279" t="s">
        <v>1</v>
      </c>
      <c r="E14279" t="s">
        <v>1</v>
      </c>
      <c r="F14279" t="s">
        <v>0</v>
      </c>
      <c r="G14279" t="str">
        <f>"2018-10-20 15:22:23"</f>
        <v>2018-10-20 15:22:23</v>
      </c>
    </row>
    <row r="14280" spans="1:7" x14ac:dyDescent="0.2">
      <c r="A14280" t="s">
        <v>1</v>
      </c>
      <c r="B14280" t="str">
        <f>"13221778441"</f>
        <v>13221778441</v>
      </c>
      <c r="C14280" t="s">
        <v>1</v>
      </c>
      <c r="D14280" t="s">
        <v>1</v>
      </c>
      <c r="E14280" t="s">
        <v>1</v>
      </c>
      <c r="F14280" t="s">
        <v>0</v>
      </c>
      <c r="G14280" t="str">
        <f>"2018-10-12 23:41:02"</f>
        <v>2018-10-12 23:41:02</v>
      </c>
    </row>
    <row r="14281" spans="1:7" x14ac:dyDescent="0.2">
      <c r="A14281" t="s">
        <v>14035</v>
      </c>
      <c r="B14281" t="str">
        <f>"15218137579"</f>
        <v>15218137579</v>
      </c>
      <c r="C14281" t="str">
        <f>"441581199604135766"</f>
        <v>441581199604135766</v>
      </c>
      <c r="D14281" t="s">
        <v>1</v>
      </c>
      <c r="E14281" t="s">
        <v>1</v>
      </c>
      <c r="F14281" t="s">
        <v>0</v>
      </c>
      <c r="G14281" t="str">
        <f>"2018-10-13 00:11:47"</f>
        <v>2018-10-13 00:11:47</v>
      </c>
    </row>
    <row r="14282" spans="1:7" x14ac:dyDescent="0.2">
      <c r="A14282" t="s">
        <v>14036</v>
      </c>
      <c r="B14282" t="str">
        <f>"13908802422"</f>
        <v>13908802422</v>
      </c>
      <c r="C14282" t="str">
        <f>"530127198609253549"</f>
        <v>530127198609253549</v>
      </c>
      <c r="D14282" t="s">
        <v>1</v>
      </c>
      <c r="E14282" t="s">
        <v>1</v>
      </c>
      <c r="F14282" t="s">
        <v>0</v>
      </c>
      <c r="G14282" t="str">
        <f>"2018-10-20 05:54:55"</f>
        <v>2018-10-20 05:54:55</v>
      </c>
    </row>
    <row r="14283" spans="1:7" x14ac:dyDescent="0.2">
      <c r="A14283" t="s">
        <v>1</v>
      </c>
      <c r="B14283" t="str">
        <f>"17666270988"</f>
        <v>17666270988</v>
      </c>
      <c r="C14283" t="s">
        <v>1</v>
      </c>
      <c r="D14283" t="s">
        <v>1</v>
      </c>
      <c r="E14283" t="s">
        <v>1</v>
      </c>
      <c r="F14283" t="s">
        <v>0</v>
      </c>
      <c r="G14283" t="str">
        <f>"2018-10-12 23:38:08"</f>
        <v>2018-10-12 23:38:08</v>
      </c>
    </row>
    <row r="14284" spans="1:7" x14ac:dyDescent="0.2">
      <c r="A14284" t="s">
        <v>1</v>
      </c>
      <c r="B14284" t="str">
        <f>"15057896568"</f>
        <v>15057896568</v>
      </c>
      <c r="C14284" t="s">
        <v>1</v>
      </c>
      <c r="D14284" t="s">
        <v>1</v>
      </c>
      <c r="E14284" t="s">
        <v>1</v>
      </c>
      <c r="F14284" t="s">
        <v>0</v>
      </c>
      <c r="G14284" t="str">
        <f>"2018-10-12 23:38:35"</f>
        <v>2018-10-12 23:38:35</v>
      </c>
    </row>
    <row r="14285" spans="1:7" x14ac:dyDescent="0.2">
      <c r="A14285" t="s">
        <v>14037</v>
      </c>
      <c r="B14285" t="str">
        <f>"15929953832"</f>
        <v>15929953832</v>
      </c>
      <c r="C14285" t="str">
        <f>"61010419950228736X"</f>
        <v>61010419950228736X</v>
      </c>
      <c r="D14285" t="s">
        <v>1</v>
      </c>
      <c r="E14285" t="s">
        <v>1</v>
      </c>
      <c r="F14285" t="s">
        <v>0</v>
      </c>
      <c r="G14285" t="str">
        <f>"2018-10-22 23:28:03"</f>
        <v>2018-10-22 23:28:03</v>
      </c>
    </row>
    <row r="14286" spans="1:7" x14ac:dyDescent="0.2">
      <c r="A14286" t="s">
        <v>14038</v>
      </c>
      <c r="B14286" t="str">
        <f>"17606829431"</f>
        <v>17606829431</v>
      </c>
      <c r="C14286" t="str">
        <f>"522126199904074031"</f>
        <v>522126199904074031</v>
      </c>
      <c r="D14286" t="s">
        <v>1</v>
      </c>
      <c r="E14286" t="s">
        <v>1</v>
      </c>
      <c r="F14286" t="s">
        <v>0</v>
      </c>
      <c r="G14286" t="str">
        <f>"2018-10-13 13:23:57"</f>
        <v>2018-10-13 13:23:57</v>
      </c>
    </row>
    <row r="14287" spans="1:7" x14ac:dyDescent="0.2">
      <c r="A14287" t="s">
        <v>14039</v>
      </c>
      <c r="B14287" t="str">
        <f>"15756813338"</f>
        <v>15756813338</v>
      </c>
      <c r="C14287" t="str">
        <f>"513425198101295812"</f>
        <v>513425198101295812</v>
      </c>
      <c r="D14287" t="s">
        <v>14040</v>
      </c>
      <c r="E14287" t="s">
        <v>14041</v>
      </c>
      <c r="F14287" t="s">
        <v>0</v>
      </c>
      <c r="G14287" t="str">
        <f>"2018-10-12 23:37:44"</f>
        <v>2018-10-12 23:37:44</v>
      </c>
    </row>
    <row r="14288" spans="1:7" x14ac:dyDescent="0.2">
      <c r="A14288" t="s">
        <v>1</v>
      </c>
      <c r="B14288" t="str">
        <f>"18991555659"</f>
        <v>18991555659</v>
      </c>
      <c r="C14288" t="s">
        <v>1</v>
      </c>
      <c r="D14288" t="s">
        <v>1</v>
      </c>
      <c r="E14288" t="s">
        <v>1</v>
      </c>
      <c r="F14288" t="s">
        <v>0</v>
      </c>
      <c r="G14288" t="str">
        <f>"2018-10-12 23:35:18"</f>
        <v>2018-10-12 23:35:18</v>
      </c>
    </row>
    <row r="14289" spans="1:7" x14ac:dyDescent="0.2">
      <c r="A14289" t="s">
        <v>14042</v>
      </c>
      <c r="B14289" t="str">
        <f>"13122408265"</f>
        <v>13122408265</v>
      </c>
      <c r="C14289" t="str">
        <f>"450981198708072032"</f>
        <v>450981198708072032</v>
      </c>
      <c r="D14289" t="s">
        <v>1</v>
      </c>
      <c r="E14289" t="s">
        <v>1</v>
      </c>
      <c r="F14289" t="s">
        <v>0</v>
      </c>
      <c r="G14289" t="str">
        <f>"2018-10-13 08:15:04"</f>
        <v>2018-10-13 08:15:04</v>
      </c>
    </row>
    <row r="14290" spans="1:7" x14ac:dyDescent="0.2">
      <c r="A14290" t="s">
        <v>818</v>
      </c>
      <c r="B14290" t="str">
        <f>"13659855300"</f>
        <v>13659855300</v>
      </c>
      <c r="C14290" t="str">
        <f>"420102198610091038"</f>
        <v>420102198610091038</v>
      </c>
      <c r="D14290" t="s">
        <v>1</v>
      </c>
      <c r="E14290" t="s">
        <v>1</v>
      </c>
      <c r="F14290" t="s">
        <v>0</v>
      </c>
      <c r="G14290" t="str">
        <f>"2018-10-12 23:39:31"</f>
        <v>2018-10-12 23:39:31</v>
      </c>
    </row>
    <row r="14291" spans="1:7" x14ac:dyDescent="0.2">
      <c r="A14291" t="s">
        <v>14043</v>
      </c>
      <c r="B14291" t="str">
        <f>"15262647132"</f>
        <v>15262647132</v>
      </c>
      <c r="C14291" t="str">
        <f>"632123199810140014"</f>
        <v>632123199810140014</v>
      </c>
      <c r="D14291" t="s">
        <v>1</v>
      </c>
      <c r="E14291" t="s">
        <v>1</v>
      </c>
      <c r="F14291" t="s">
        <v>0</v>
      </c>
      <c r="G14291" t="str">
        <f>"2018-10-12 23:38:33"</f>
        <v>2018-10-12 23:38:33</v>
      </c>
    </row>
    <row r="14292" spans="1:7" x14ac:dyDescent="0.2">
      <c r="A14292" t="s">
        <v>1</v>
      </c>
      <c r="B14292" t="str">
        <f>"13798460851"</f>
        <v>13798460851</v>
      </c>
      <c r="C14292" t="s">
        <v>1</v>
      </c>
      <c r="D14292" t="s">
        <v>1</v>
      </c>
      <c r="E14292" t="s">
        <v>1</v>
      </c>
      <c r="F14292" t="s">
        <v>0</v>
      </c>
      <c r="G14292" t="str">
        <f>"2018-10-12 23:30:35"</f>
        <v>2018-10-12 23:30:35</v>
      </c>
    </row>
    <row r="14293" spans="1:7" x14ac:dyDescent="0.2">
      <c r="A14293" t="s">
        <v>1</v>
      </c>
      <c r="B14293" t="str">
        <f>"13724843380"</f>
        <v>13724843380</v>
      </c>
      <c r="C14293" t="s">
        <v>1</v>
      </c>
      <c r="D14293" t="s">
        <v>1</v>
      </c>
      <c r="E14293" t="s">
        <v>1</v>
      </c>
      <c r="F14293" t="s">
        <v>0</v>
      </c>
      <c r="G14293" t="str">
        <f>"2018-10-12 23:30:34"</f>
        <v>2018-10-12 23:30:34</v>
      </c>
    </row>
    <row r="14294" spans="1:7" x14ac:dyDescent="0.2">
      <c r="A14294" t="s">
        <v>1</v>
      </c>
      <c r="B14294" t="str">
        <f>"18176615576"</f>
        <v>18176615576</v>
      </c>
      <c r="C14294" t="s">
        <v>1</v>
      </c>
      <c r="D14294" t="s">
        <v>1</v>
      </c>
      <c r="E14294" t="s">
        <v>1</v>
      </c>
      <c r="F14294" t="s">
        <v>0</v>
      </c>
      <c r="G14294" t="str">
        <f>"2018-10-12 23:26:13"</f>
        <v>2018-10-12 23:26:13</v>
      </c>
    </row>
    <row r="14295" spans="1:7" x14ac:dyDescent="0.2">
      <c r="A14295" t="s">
        <v>14044</v>
      </c>
      <c r="B14295" t="str">
        <f>"13434567291"</f>
        <v>13434567291</v>
      </c>
      <c r="C14295" t="str">
        <f>"440921198801170835"</f>
        <v>440921198801170835</v>
      </c>
      <c r="D14295" t="s">
        <v>1</v>
      </c>
      <c r="E14295" t="s">
        <v>1</v>
      </c>
      <c r="F14295" t="s">
        <v>0</v>
      </c>
      <c r="G14295" t="str">
        <f>"2018-10-12 23:26:40"</f>
        <v>2018-10-12 23:26:40</v>
      </c>
    </row>
    <row r="14296" spans="1:7" x14ac:dyDescent="0.2">
      <c r="A14296" t="s">
        <v>1107</v>
      </c>
      <c r="B14296" t="str">
        <f>"17688524262"</f>
        <v>17688524262</v>
      </c>
      <c r="C14296" t="str">
        <f>"421126199410055418"</f>
        <v>421126199410055418</v>
      </c>
      <c r="D14296" t="s">
        <v>14045</v>
      </c>
      <c r="E14296" t="s">
        <v>14046</v>
      </c>
      <c r="F14296" t="s">
        <v>0</v>
      </c>
      <c r="G14296" t="str">
        <f>"2018-10-13 00:52:26"</f>
        <v>2018-10-13 00:52:26</v>
      </c>
    </row>
    <row r="14297" spans="1:7" x14ac:dyDescent="0.2">
      <c r="A14297" t="s">
        <v>14047</v>
      </c>
      <c r="B14297" t="str">
        <f>"15625910723"</f>
        <v>15625910723</v>
      </c>
      <c r="C14297" t="str">
        <f>"452122199409151251"</f>
        <v>452122199409151251</v>
      </c>
      <c r="D14297" t="s">
        <v>1</v>
      </c>
      <c r="E14297" t="s">
        <v>1</v>
      </c>
      <c r="F14297" t="s">
        <v>0</v>
      </c>
      <c r="G14297" t="str">
        <f>"2018-10-12 23:35:11"</f>
        <v>2018-10-12 23:35:11</v>
      </c>
    </row>
    <row r="14298" spans="1:7" x14ac:dyDescent="0.2">
      <c r="A14298" t="s">
        <v>14048</v>
      </c>
      <c r="B14298" t="str">
        <f>"15924639090"</f>
        <v>15924639090</v>
      </c>
      <c r="C14298" t="str">
        <f>"532501199112190313"</f>
        <v>532501199112190313</v>
      </c>
      <c r="D14298" t="s">
        <v>1</v>
      </c>
      <c r="E14298" t="s">
        <v>1</v>
      </c>
      <c r="F14298" t="s">
        <v>0</v>
      </c>
      <c r="G14298" t="str">
        <f>"2018-10-12 23:29:10"</f>
        <v>2018-10-12 23:29:10</v>
      </c>
    </row>
    <row r="14299" spans="1:7" x14ac:dyDescent="0.2">
      <c r="A14299" t="s">
        <v>69</v>
      </c>
      <c r="B14299" t="str">
        <f>"15041045234"</f>
        <v>15041045234</v>
      </c>
      <c r="C14299" t="str">
        <f>"211221198712121214"</f>
        <v>211221198712121214</v>
      </c>
      <c r="D14299" t="s">
        <v>1</v>
      </c>
      <c r="E14299" t="s">
        <v>1</v>
      </c>
      <c r="F14299" t="s">
        <v>0</v>
      </c>
      <c r="G14299" t="str">
        <f>"2018-10-17 20:03:36"</f>
        <v>2018-10-17 20:03:36</v>
      </c>
    </row>
    <row r="14300" spans="1:7" x14ac:dyDescent="0.2">
      <c r="A14300" t="s">
        <v>1</v>
      </c>
      <c r="B14300" t="str">
        <f>"17614853019"</f>
        <v>17614853019</v>
      </c>
      <c r="C14300" t="s">
        <v>1</v>
      </c>
      <c r="D14300" t="s">
        <v>1</v>
      </c>
      <c r="E14300" t="s">
        <v>1</v>
      </c>
      <c r="F14300" t="s">
        <v>0</v>
      </c>
      <c r="G14300" t="str">
        <f>"2018-10-12 23:22:03"</f>
        <v>2018-10-12 23:22:03</v>
      </c>
    </row>
    <row r="14301" spans="1:7" x14ac:dyDescent="0.2">
      <c r="A14301" t="s">
        <v>7565</v>
      </c>
      <c r="B14301" t="str">
        <f>"15108992944"</f>
        <v>15108992944</v>
      </c>
      <c r="C14301" t="str">
        <f>"460005199409193927"</f>
        <v>460005199409193927</v>
      </c>
      <c r="D14301" t="s">
        <v>1</v>
      </c>
      <c r="E14301" t="s">
        <v>1</v>
      </c>
      <c r="F14301" t="s">
        <v>0</v>
      </c>
      <c r="G14301" t="str">
        <f>"2018-10-12 23:22:27"</f>
        <v>2018-10-12 23:22:27</v>
      </c>
    </row>
    <row r="14302" spans="1:7" x14ac:dyDescent="0.2">
      <c r="A14302" t="s">
        <v>1</v>
      </c>
      <c r="B14302" t="str">
        <f>"15673379119"</f>
        <v>15673379119</v>
      </c>
      <c r="C14302" t="s">
        <v>1</v>
      </c>
      <c r="D14302" t="s">
        <v>1</v>
      </c>
      <c r="E14302" t="s">
        <v>1</v>
      </c>
      <c r="F14302" t="s">
        <v>0</v>
      </c>
      <c r="G14302" t="str">
        <f>"2018-10-12 23:20:50"</f>
        <v>2018-10-12 23:20:50</v>
      </c>
    </row>
    <row r="14303" spans="1:7" x14ac:dyDescent="0.2">
      <c r="A14303" t="s">
        <v>14049</v>
      </c>
      <c r="B14303" t="str">
        <f>"13177910126"</f>
        <v>13177910126</v>
      </c>
      <c r="C14303" t="str">
        <f>"450221199108266327"</f>
        <v>450221199108266327</v>
      </c>
      <c r="D14303" t="s">
        <v>1</v>
      </c>
      <c r="E14303" t="s">
        <v>1</v>
      </c>
      <c r="F14303" t="s">
        <v>0</v>
      </c>
      <c r="G14303" t="str">
        <f>"2018-10-13 08:53:24"</f>
        <v>2018-10-13 08:53:24</v>
      </c>
    </row>
    <row r="14304" spans="1:7" x14ac:dyDescent="0.2">
      <c r="A14304" t="s">
        <v>14050</v>
      </c>
      <c r="B14304" t="str">
        <f>"15800866149"</f>
        <v>15800866149</v>
      </c>
      <c r="C14304" t="str">
        <f>"522401199208068219"</f>
        <v>522401199208068219</v>
      </c>
      <c r="D14304" t="s">
        <v>1</v>
      </c>
      <c r="E14304" t="s">
        <v>1</v>
      </c>
      <c r="F14304" t="s">
        <v>0</v>
      </c>
      <c r="G14304" t="str">
        <f>"2018-10-19 11:20:27"</f>
        <v>2018-10-19 11:20:27</v>
      </c>
    </row>
    <row r="14305" spans="1:7" x14ac:dyDescent="0.2">
      <c r="A14305" t="s">
        <v>2912</v>
      </c>
      <c r="B14305" t="str">
        <f>"17771610102"</f>
        <v>17771610102</v>
      </c>
      <c r="C14305" t="str">
        <f>"42100219851221321X"</f>
        <v>42100219851221321X</v>
      </c>
      <c r="D14305" t="s">
        <v>14051</v>
      </c>
      <c r="E14305" t="s">
        <v>14052</v>
      </c>
      <c r="F14305" t="s">
        <v>0</v>
      </c>
      <c r="G14305" t="str">
        <f>"2018-10-12 23:40:51"</f>
        <v>2018-10-12 23:40:51</v>
      </c>
    </row>
    <row r="14306" spans="1:7" x14ac:dyDescent="0.2">
      <c r="A14306" t="s">
        <v>14053</v>
      </c>
      <c r="B14306" t="str">
        <f>"18700413439"</f>
        <v>18700413439</v>
      </c>
      <c r="C14306" t="str">
        <f>"610425198905201130"</f>
        <v>610425198905201130</v>
      </c>
      <c r="D14306" t="s">
        <v>1</v>
      </c>
      <c r="E14306" t="s">
        <v>1</v>
      </c>
      <c r="F14306" t="s">
        <v>0</v>
      </c>
      <c r="G14306" t="str">
        <f>"2018-10-12 23:20:39"</f>
        <v>2018-10-12 23:20:39</v>
      </c>
    </row>
    <row r="14307" spans="1:7" x14ac:dyDescent="0.2">
      <c r="A14307" t="s">
        <v>14054</v>
      </c>
      <c r="B14307" t="str">
        <f>"18832528669"</f>
        <v>18832528669</v>
      </c>
      <c r="C14307" t="str">
        <f>"130282200004043114"</f>
        <v>130282200004043114</v>
      </c>
      <c r="D14307" t="s">
        <v>1</v>
      </c>
      <c r="E14307" t="s">
        <v>1</v>
      </c>
      <c r="F14307" t="s">
        <v>0</v>
      </c>
      <c r="G14307" t="str">
        <f>"2018-10-19 16:20:21"</f>
        <v>2018-10-19 16:20:21</v>
      </c>
    </row>
    <row r="14308" spans="1:7" x14ac:dyDescent="0.2">
      <c r="A14308" t="s">
        <v>297</v>
      </c>
      <c r="B14308" t="str">
        <f>"15219704344"</f>
        <v>15219704344</v>
      </c>
      <c r="C14308" t="str">
        <f>"441423199807042317"</f>
        <v>441423199807042317</v>
      </c>
      <c r="D14308" t="s">
        <v>1</v>
      </c>
      <c r="E14308" t="s">
        <v>1</v>
      </c>
      <c r="F14308" t="s">
        <v>0</v>
      </c>
      <c r="G14308" t="str">
        <f>"2018-10-12 23:38:06"</f>
        <v>2018-10-12 23:38:06</v>
      </c>
    </row>
    <row r="14309" spans="1:7" x14ac:dyDescent="0.2">
      <c r="A14309" t="s">
        <v>1</v>
      </c>
      <c r="B14309" t="str">
        <f>"18770036165"</f>
        <v>18770036165</v>
      </c>
      <c r="C14309" t="s">
        <v>1</v>
      </c>
      <c r="D14309" t="s">
        <v>1</v>
      </c>
      <c r="E14309" t="s">
        <v>1</v>
      </c>
      <c r="F14309" t="s">
        <v>0</v>
      </c>
      <c r="G14309" t="str">
        <f>"2018-10-12 23:17:35"</f>
        <v>2018-10-12 23:17:35</v>
      </c>
    </row>
    <row r="14310" spans="1:7" x14ac:dyDescent="0.2">
      <c r="A14310" t="s">
        <v>1</v>
      </c>
      <c r="B14310" t="str">
        <f>"13350703845"</f>
        <v>13350703845</v>
      </c>
      <c r="C14310" t="s">
        <v>1</v>
      </c>
      <c r="D14310" t="s">
        <v>1</v>
      </c>
      <c r="E14310" t="s">
        <v>1</v>
      </c>
      <c r="F14310" t="s">
        <v>0</v>
      </c>
      <c r="G14310" t="str">
        <f>"2018-10-12 23:19:35"</f>
        <v>2018-10-12 23:19:35</v>
      </c>
    </row>
    <row r="14311" spans="1:7" x14ac:dyDescent="0.2">
      <c r="A14311" t="s">
        <v>1</v>
      </c>
      <c r="B14311" t="str">
        <f>"13893904427"</f>
        <v>13893904427</v>
      </c>
      <c r="C14311" t="s">
        <v>1</v>
      </c>
      <c r="D14311" t="s">
        <v>1</v>
      </c>
      <c r="E14311" t="s">
        <v>1</v>
      </c>
      <c r="F14311" t="s">
        <v>0</v>
      </c>
      <c r="G14311" t="str">
        <f>"2018-10-12 23:19:17"</f>
        <v>2018-10-12 23:19:17</v>
      </c>
    </row>
    <row r="14312" spans="1:7" x14ac:dyDescent="0.2">
      <c r="A14312" t="s">
        <v>14055</v>
      </c>
      <c r="B14312" t="str">
        <f>"15296251390"</f>
        <v>15296251390</v>
      </c>
      <c r="C14312" t="str">
        <f>"532627198111123535"</f>
        <v>532627198111123535</v>
      </c>
      <c r="D14312" t="s">
        <v>1</v>
      </c>
      <c r="E14312" t="s">
        <v>1</v>
      </c>
      <c r="F14312" t="s">
        <v>0</v>
      </c>
      <c r="G14312" t="str">
        <f>"2018-10-13 08:36:06"</f>
        <v>2018-10-13 08:36:06</v>
      </c>
    </row>
    <row r="14313" spans="1:7" x14ac:dyDescent="0.2">
      <c r="A14313" t="s">
        <v>1</v>
      </c>
      <c r="B14313" t="str">
        <f>"18763808005"</f>
        <v>18763808005</v>
      </c>
      <c r="C14313" t="s">
        <v>1</v>
      </c>
      <c r="D14313" t="s">
        <v>1</v>
      </c>
      <c r="E14313" t="s">
        <v>1</v>
      </c>
      <c r="F14313" t="s">
        <v>0</v>
      </c>
      <c r="G14313" t="str">
        <f>"2018-10-12 23:17:13"</f>
        <v>2018-10-12 23:17:13</v>
      </c>
    </row>
    <row r="14314" spans="1:7" x14ac:dyDescent="0.2">
      <c r="A14314" t="s">
        <v>1</v>
      </c>
      <c r="B14314" t="str">
        <f>"18881005027"</f>
        <v>18881005027</v>
      </c>
      <c r="C14314" t="s">
        <v>1</v>
      </c>
      <c r="D14314" t="s">
        <v>1</v>
      </c>
      <c r="E14314" t="s">
        <v>1</v>
      </c>
      <c r="F14314" t="s">
        <v>0</v>
      </c>
      <c r="G14314" t="str">
        <f>"2018-10-12 23:21:53"</f>
        <v>2018-10-12 23:21:53</v>
      </c>
    </row>
    <row r="14315" spans="1:7" x14ac:dyDescent="0.2">
      <c r="A14315" t="s">
        <v>14056</v>
      </c>
      <c r="B14315" t="str">
        <f>"15887809360"</f>
        <v>15887809360</v>
      </c>
      <c r="C14315" t="str">
        <f>"530181198803193920"</f>
        <v>530181198803193920</v>
      </c>
      <c r="D14315" t="s">
        <v>1</v>
      </c>
      <c r="E14315" t="s">
        <v>1</v>
      </c>
      <c r="F14315" t="s">
        <v>0</v>
      </c>
      <c r="G14315" t="str">
        <f>"2018-10-12 23:16:02"</f>
        <v>2018-10-12 23:16:02</v>
      </c>
    </row>
    <row r="14316" spans="1:7" x14ac:dyDescent="0.2">
      <c r="A14316" t="s">
        <v>14057</v>
      </c>
      <c r="B14316" t="str">
        <f>"15020690234"</f>
        <v>15020690234</v>
      </c>
      <c r="C14316" t="str">
        <f>"37152619830106561X"</f>
        <v>37152619830106561X</v>
      </c>
      <c r="D14316" t="s">
        <v>1</v>
      </c>
      <c r="E14316" t="s">
        <v>1</v>
      </c>
      <c r="F14316" t="s">
        <v>0</v>
      </c>
      <c r="G14316" t="str">
        <f>"2018-10-12 23:15:06"</f>
        <v>2018-10-12 23:15:06</v>
      </c>
    </row>
    <row r="14317" spans="1:7" x14ac:dyDescent="0.2">
      <c r="A14317" t="s">
        <v>14058</v>
      </c>
      <c r="B14317" t="str">
        <f>"15080488192"</f>
        <v>15080488192</v>
      </c>
      <c r="C14317" t="str">
        <f>"350121198202186215"</f>
        <v>350121198202186215</v>
      </c>
      <c r="D14317" t="s">
        <v>14059</v>
      </c>
      <c r="E14317" t="s">
        <v>14060</v>
      </c>
      <c r="F14317" t="s">
        <v>0</v>
      </c>
      <c r="G14317" t="str">
        <f>"2018-10-12 23:16:55"</f>
        <v>2018-10-12 23:16:55</v>
      </c>
    </row>
    <row r="14318" spans="1:7" x14ac:dyDescent="0.2">
      <c r="A14318" t="s">
        <v>14061</v>
      </c>
      <c r="B14318" t="str">
        <f>"13614337007"</f>
        <v>13614337007</v>
      </c>
      <c r="C14318" t="str">
        <f>"222401198501020323"</f>
        <v>222401198501020323</v>
      </c>
      <c r="D14318" t="s">
        <v>1</v>
      </c>
      <c r="E14318" t="s">
        <v>1</v>
      </c>
      <c r="F14318" t="s">
        <v>0</v>
      </c>
      <c r="G14318" t="str">
        <f>"2018-10-29 23:32:21"</f>
        <v>2018-10-29 23:32:21</v>
      </c>
    </row>
    <row r="14319" spans="1:7" x14ac:dyDescent="0.2">
      <c r="A14319" t="s">
        <v>14062</v>
      </c>
      <c r="B14319" t="str">
        <f>"15053395281"</f>
        <v>15053395281</v>
      </c>
      <c r="C14319" t="str">
        <f>"370321198806132415"</f>
        <v>370321198806132415</v>
      </c>
      <c r="D14319" t="s">
        <v>1</v>
      </c>
      <c r="E14319" t="s">
        <v>1</v>
      </c>
      <c r="F14319" t="s">
        <v>0</v>
      </c>
      <c r="G14319" t="str">
        <f>"2018-10-12 23:13:49"</f>
        <v>2018-10-12 23:13:49</v>
      </c>
    </row>
    <row r="14320" spans="1:7" x14ac:dyDescent="0.2">
      <c r="A14320" t="s">
        <v>1</v>
      </c>
      <c r="B14320" t="str">
        <f>"18368694775"</f>
        <v>18368694775</v>
      </c>
      <c r="C14320" t="s">
        <v>1</v>
      </c>
      <c r="D14320" t="s">
        <v>1</v>
      </c>
      <c r="E14320" t="s">
        <v>1</v>
      </c>
      <c r="F14320" t="s">
        <v>0</v>
      </c>
      <c r="G14320" t="str">
        <f>"2018-10-12 23:13:49"</f>
        <v>2018-10-12 23:13:49</v>
      </c>
    </row>
    <row r="14321" spans="1:7" x14ac:dyDescent="0.2">
      <c r="A14321" t="s">
        <v>14063</v>
      </c>
      <c r="B14321" t="str">
        <f>"15289655930"</f>
        <v>15289655930</v>
      </c>
      <c r="C14321" t="str">
        <f>"450122199402212013"</f>
        <v>450122199402212013</v>
      </c>
      <c r="D14321" t="s">
        <v>1</v>
      </c>
      <c r="E14321" t="s">
        <v>1</v>
      </c>
      <c r="F14321" t="s">
        <v>0</v>
      </c>
      <c r="G14321" t="str">
        <f>"2018-10-12 23:14:22"</f>
        <v>2018-10-12 23:14:22</v>
      </c>
    </row>
    <row r="14322" spans="1:7" x14ac:dyDescent="0.2">
      <c r="A14322" t="s">
        <v>1</v>
      </c>
      <c r="B14322" t="str">
        <f>"13523498276"</f>
        <v>13523498276</v>
      </c>
      <c r="C14322" t="s">
        <v>1</v>
      </c>
      <c r="D14322" t="s">
        <v>1</v>
      </c>
      <c r="E14322" t="s">
        <v>1</v>
      </c>
      <c r="F14322" t="s">
        <v>0</v>
      </c>
      <c r="G14322" t="str">
        <f>"2018-10-12 23:04:25"</f>
        <v>2018-10-12 23:04:25</v>
      </c>
    </row>
    <row r="14323" spans="1:7" x14ac:dyDescent="0.2">
      <c r="A14323" t="s">
        <v>620</v>
      </c>
      <c r="B14323" t="str">
        <f>"13558693314"</f>
        <v>13558693314</v>
      </c>
      <c r="C14323" t="str">
        <f>"510722198811173056"</f>
        <v>510722198811173056</v>
      </c>
      <c r="D14323" t="s">
        <v>1</v>
      </c>
      <c r="E14323" t="s">
        <v>1</v>
      </c>
      <c r="F14323" t="s">
        <v>0</v>
      </c>
      <c r="G14323" t="str">
        <f>"2018-10-12 23:07:12"</f>
        <v>2018-10-12 23:07:12</v>
      </c>
    </row>
    <row r="14324" spans="1:7" x14ac:dyDescent="0.2">
      <c r="A14324" t="s">
        <v>14064</v>
      </c>
      <c r="B14324" t="str">
        <f>"13353337862"</f>
        <v>13353337862</v>
      </c>
      <c r="C14324" t="str">
        <f>"522126199306020017"</f>
        <v>522126199306020017</v>
      </c>
      <c r="D14324" t="s">
        <v>1</v>
      </c>
      <c r="E14324" t="s">
        <v>1</v>
      </c>
      <c r="F14324" t="s">
        <v>0</v>
      </c>
      <c r="G14324" t="str">
        <f>"2018-10-12 23:04:18"</f>
        <v>2018-10-12 23:04:18</v>
      </c>
    </row>
    <row r="14325" spans="1:7" x14ac:dyDescent="0.2">
      <c r="A14325" t="s">
        <v>1</v>
      </c>
      <c r="B14325" t="str">
        <f>"13672998725"</f>
        <v>13672998725</v>
      </c>
      <c r="C14325" t="s">
        <v>1</v>
      </c>
      <c r="D14325" t="s">
        <v>1</v>
      </c>
      <c r="E14325" t="s">
        <v>1</v>
      </c>
      <c r="F14325" t="s">
        <v>0</v>
      </c>
      <c r="G14325" t="str">
        <f>"2018-10-12 23:05:48"</f>
        <v>2018-10-12 23:05:48</v>
      </c>
    </row>
    <row r="14326" spans="1:7" x14ac:dyDescent="0.2">
      <c r="A14326" t="s">
        <v>14065</v>
      </c>
      <c r="B14326" t="str">
        <f>"13610610457"</f>
        <v>13610610457</v>
      </c>
      <c r="C14326" t="str">
        <f>"14262119950618001X"</f>
        <v>14262119950618001X</v>
      </c>
      <c r="D14326" t="s">
        <v>14066</v>
      </c>
      <c r="E14326" t="s">
        <v>14067</v>
      </c>
      <c r="F14326" t="s">
        <v>0</v>
      </c>
      <c r="G14326" t="str">
        <f>"2018-10-12 23:07:08"</f>
        <v>2018-10-12 23:07:08</v>
      </c>
    </row>
    <row r="14327" spans="1:7" x14ac:dyDescent="0.2">
      <c r="A14327" t="s">
        <v>14068</v>
      </c>
      <c r="B14327" t="str">
        <f>"18781989200"</f>
        <v>18781989200</v>
      </c>
      <c r="C14327" t="str">
        <f>"513901198804252911"</f>
        <v>513901198804252911</v>
      </c>
      <c r="D14327" t="s">
        <v>14069</v>
      </c>
      <c r="E14327" t="s">
        <v>14070</v>
      </c>
      <c r="F14327" t="s">
        <v>0</v>
      </c>
      <c r="G14327" t="str">
        <f>"2018-10-12 23:13:57"</f>
        <v>2018-10-12 23:13:57</v>
      </c>
    </row>
    <row r="14328" spans="1:7" x14ac:dyDescent="0.2">
      <c r="A14328" t="s">
        <v>1</v>
      </c>
      <c r="B14328" t="str">
        <f>"17630555031"</f>
        <v>17630555031</v>
      </c>
      <c r="C14328" t="s">
        <v>1</v>
      </c>
      <c r="D14328" t="s">
        <v>1</v>
      </c>
      <c r="E14328" t="s">
        <v>1</v>
      </c>
      <c r="F14328" t="s">
        <v>0</v>
      </c>
      <c r="G14328" t="str">
        <f>"2018-10-12 23:02:07"</f>
        <v>2018-10-12 23:02:07</v>
      </c>
    </row>
    <row r="14329" spans="1:7" x14ac:dyDescent="0.2">
      <c r="A14329" t="s">
        <v>14071</v>
      </c>
      <c r="B14329" t="str">
        <f>"13625651078"</f>
        <v>13625651078</v>
      </c>
      <c r="C14329" t="str">
        <f>"342601199812300210"</f>
        <v>342601199812300210</v>
      </c>
      <c r="D14329" t="s">
        <v>1</v>
      </c>
      <c r="E14329" t="s">
        <v>1</v>
      </c>
      <c r="F14329" t="s">
        <v>0</v>
      </c>
      <c r="G14329" t="str">
        <f>"2018-10-12 23:01:51"</f>
        <v>2018-10-12 23:01:51</v>
      </c>
    </row>
    <row r="14330" spans="1:7" x14ac:dyDescent="0.2">
      <c r="A14330" t="s">
        <v>601</v>
      </c>
      <c r="B14330" t="str">
        <f>"13406558190"</f>
        <v>13406558190</v>
      </c>
      <c r="C14330" t="str">
        <f>"370628198204301753"</f>
        <v>370628198204301753</v>
      </c>
      <c r="D14330" t="s">
        <v>1</v>
      </c>
      <c r="E14330" t="s">
        <v>1</v>
      </c>
      <c r="F14330" t="s">
        <v>0</v>
      </c>
      <c r="G14330" t="str">
        <f>"2018-10-14 22:11:53"</f>
        <v>2018-10-14 22:11:53</v>
      </c>
    </row>
    <row r="14331" spans="1:7" x14ac:dyDescent="0.2">
      <c r="A14331" t="s">
        <v>14072</v>
      </c>
      <c r="B14331" t="str">
        <f>"13788680720"</f>
        <v>13788680720</v>
      </c>
      <c r="C14331" t="str">
        <f>"452127199503294218"</f>
        <v>452127199503294218</v>
      </c>
      <c r="D14331" t="s">
        <v>1</v>
      </c>
      <c r="E14331" t="s">
        <v>1</v>
      </c>
      <c r="F14331" t="s">
        <v>0</v>
      </c>
      <c r="G14331" t="str">
        <f>"2018-10-12 23:02:08"</f>
        <v>2018-10-12 23:02:08</v>
      </c>
    </row>
    <row r="14332" spans="1:7" x14ac:dyDescent="0.2">
      <c r="A14332" t="s">
        <v>14073</v>
      </c>
      <c r="B14332" t="str">
        <f>"13928519820"</f>
        <v>13928519820</v>
      </c>
      <c r="C14332" t="str">
        <f>"440682198601056655"</f>
        <v>440682198601056655</v>
      </c>
      <c r="D14332" t="s">
        <v>1</v>
      </c>
      <c r="E14332" t="s">
        <v>1</v>
      </c>
      <c r="F14332" t="s">
        <v>0</v>
      </c>
      <c r="G14332" t="str">
        <f>"2018-10-12 23:39:58"</f>
        <v>2018-10-12 23:39:58</v>
      </c>
    </row>
    <row r="14333" spans="1:7" x14ac:dyDescent="0.2">
      <c r="A14333" t="s">
        <v>14074</v>
      </c>
      <c r="B14333" t="str">
        <f>"15577117628"</f>
        <v>15577117628</v>
      </c>
      <c r="C14333" t="str">
        <f>"420624199506282627"</f>
        <v>420624199506282627</v>
      </c>
      <c r="D14333" t="s">
        <v>1</v>
      </c>
      <c r="E14333" t="s">
        <v>1</v>
      </c>
      <c r="F14333" t="s">
        <v>0</v>
      </c>
      <c r="G14333" t="str">
        <f>"2018-10-12 23:06:07"</f>
        <v>2018-10-12 23:06:07</v>
      </c>
    </row>
    <row r="14334" spans="1:7" x14ac:dyDescent="0.2">
      <c r="A14334" t="s">
        <v>14075</v>
      </c>
      <c r="B14334" t="str">
        <f>"13825777539"</f>
        <v>13825777539</v>
      </c>
      <c r="C14334" t="str">
        <f>"522423198907130417"</f>
        <v>522423198907130417</v>
      </c>
      <c r="D14334" t="s">
        <v>14076</v>
      </c>
      <c r="E14334" t="s">
        <v>14077</v>
      </c>
      <c r="F14334" t="s">
        <v>0</v>
      </c>
      <c r="G14334" t="str">
        <f>"2018-10-12 23:00:29"</f>
        <v>2018-10-12 23:00:29</v>
      </c>
    </row>
    <row r="14335" spans="1:7" x14ac:dyDescent="0.2">
      <c r="A14335" t="s">
        <v>496</v>
      </c>
      <c r="B14335" t="str">
        <f>"18635269662"</f>
        <v>18635269662</v>
      </c>
      <c r="C14335" t="str">
        <f>"140202197911142058"</f>
        <v>140202197911142058</v>
      </c>
      <c r="D14335" t="s">
        <v>14078</v>
      </c>
      <c r="E14335" t="s">
        <v>14079</v>
      </c>
      <c r="F14335" t="s">
        <v>0</v>
      </c>
      <c r="G14335" t="str">
        <f>"2018-10-12 23:43:22"</f>
        <v>2018-10-12 23:43:22</v>
      </c>
    </row>
    <row r="14336" spans="1:7" x14ac:dyDescent="0.2">
      <c r="A14336" t="s">
        <v>1</v>
      </c>
      <c r="B14336" t="str">
        <f>"15203010739"</f>
        <v>15203010739</v>
      </c>
      <c r="C14336" t="s">
        <v>1</v>
      </c>
      <c r="D14336" t="s">
        <v>1</v>
      </c>
      <c r="E14336" t="s">
        <v>1</v>
      </c>
      <c r="F14336" t="s">
        <v>0</v>
      </c>
      <c r="G14336" t="str">
        <f>"2018-10-12 22:58:37"</f>
        <v>2018-10-12 22:58:37</v>
      </c>
    </row>
    <row r="14337" spans="1:7" x14ac:dyDescent="0.2">
      <c r="A14337" t="s">
        <v>14080</v>
      </c>
      <c r="B14337" t="str">
        <f>"13104067565"</f>
        <v>13104067565</v>
      </c>
      <c r="C14337" t="str">
        <f>"230505199103240019"</f>
        <v>230505199103240019</v>
      </c>
      <c r="D14337" t="s">
        <v>1</v>
      </c>
      <c r="E14337" t="s">
        <v>1</v>
      </c>
      <c r="F14337" t="s">
        <v>0</v>
      </c>
      <c r="G14337" t="str">
        <f>"2018-10-13 19:23:27"</f>
        <v>2018-10-13 19:23:27</v>
      </c>
    </row>
    <row r="14338" spans="1:7" x14ac:dyDescent="0.2">
      <c r="A14338" t="s">
        <v>1</v>
      </c>
      <c r="B14338" t="str">
        <f>"13759200096"</f>
        <v>13759200096</v>
      </c>
      <c r="C14338" t="s">
        <v>1</v>
      </c>
      <c r="D14338" t="s">
        <v>1</v>
      </c>
      <c r="E14338" t="s">
        <v>1</v>
      </c>
      <c r="F14338" t="s">
        <v>0</v>
      </c>
      <c r="G14338" t="str">
        <f>"2018-10-12 23:10:55"</f>
        <v>2018-10-12 23:10:55</v>
      </c>
    </row>
    <row r="14339" spans="1:7" x14ac:dyDescent="0.2">
      <c r="A14339" t="s">
        <v>1</v>
      </c>
      <c r="B14339" t="str">
        <f>"15981708825"</f>
        <v>15981708825</v>
      </c>
      <c r="C14339" t="s">
        <v>1</v>
      </c>
      <c r="D14339" t="s">
        <v>1</v>
      </c>
      <c r="E14339" t="s">
        <v>1</v>
      </c>
      <c r="F14339" t="s">
        <v>0</v>
      </c>
      <c r="G14339" t="str">
        <f>"2018-10-12 23:00:03"</f>
        <v>2018-10-12 23:00:03</v>
      </c>
    </row>
    <row r="14340" spans="1:7" x14ac:dyDescent="0.2">
      <c r="A14340" t="s">
        <v>1</v>
      </c>
      <c r="B14340" t="str">
        <f>"13308841057"</f>
        <v>13308841057</v>
      </c>
      <c r="C14340" t="s">
        <v>1</v>
      </c>
      <c r="D14340" t="s">
        <v>1</v>
      </c>
      <c r="E14340" t="s">
        <v>1</v>
      </c>
      <c r="F14340" t="s">
        <v>0</v>
      </c>
      <c r="G14340" t="str">
        <f>"2018-10-12 23:01:10"</f>
        <v>2018-10-12 23:01:10</v>
      </c>
    </row>
    <row r="14341" spans="1:7" x14ac:dyDescent="0.2">
      <c r="A14341" t="s">
        <v>14081</v>
      </c>
      <c r="B14341" t="str">
        <f>"17780928119"</f>
        <v>17780928119</v>
      </c>
      <c r="C14341" t="str">
        <f>"511303199501013350"</f>
        <v>511303199501013350</v>
      </c>
      <c r="D14341" t="s">
        <v>1</v>
      </c>
      <c r="E14341" t="s">
        <v>1</v>
      </c>
      <c r="F14341" t="s">
        <v>0</v>
      </c>
      <c r="G14341" t="str">
        <f>"2018-10-12 22:56:50"</f>
        <v>2018-10-12 22:56:50</v>
      </c>
    </row>
    <row r="14342" spans="1:7" x14ac:dyDescent="0.2">
      <c r="A14342" t="s">
        <v>14082</v>
      </c>
      <c r="B14342" t="str">
        <f>"13545631710"</f>
        <v>13545631710</v>
      </c>
      <c r="C14342" t="str">
        <f>"421024199111031653"</f>
        <v>421024199111031653</v>
      </c>
      <c r="D14342" t="s">
        <v>1</v>
      </c>
      <c r="E14342" t="s">
        <v>1</v>
      </c>
      <c r="F14342" t="s">
        <v>0</v>
      </c>
      <c r="G14342" t="str">
        <f>"2018-10-13 14:49:22"</f>
        <v>2018-10-13 14:49:22</v>
      </c>
    </row>
    <row r="14343" spans="1:7" x14ac:dyDescent="0.2">
      <c r="A14343" t="s">
        <v>1</v>
      </c>
      <c r="B14343" t="str">
        <f>"13991279485"</f>
        <v>13991279485</v>
      </c>
      <c r="C14343" t="s">
        <v>1</v>
      </c>
      <c r="D14343" t="s">
        <v>1</v>
      </c>
      <c r="E14343" t="s">
        <v>1</v>
      </c>
      <c r="F14343" t="s">
        <v>0</v>
      </c>
      <c r="G14343" t="str">
        <f>"2018-10-12 22:53:04"</f>
        <v>2018-10-12 22:53:04</v>
      </c>
    </row>
    <row r="14344" spans="1:7" x14ac:dyDescent="0.2">
      <c r="A14344" t="s">
        <v>14083</v>
      </c>
      <c r="B14344" t="str">
        <f>"13275975055"</f>
        <v>13275975055</v>
      </c>
      <c r="C14344" t="str">
        <f>"412728199009102534"</f>
        <v>412728199009102534</v>
      </c>
      <c r="D14344" t="s">
        <v>14084</v>
      </c>
      <c r="E14344" t="s">
        <v>14085</v>
      </c>
      <c r="F14344" t="s">
        <v>0</v>
      </c>
      <c r="G14344" t="str">
        <f>"2018-10-12 22:59:35"</f>
        <v>2018-10-12 22:59:35</v>
      </c>
    </row>
    <row r="14345" spans="1:7" x14ac:dyDescent="0.2">
      <c r="A14345" t="s">
        <v>14086</v>
      </c>
      <c r="B14345" t="str">
        <f>"17680348859"</f>
        <v>17680348859</v>
      </c>
      <c r="C14345" t="str">
        <f>"430426199705040018"</f>
        <v>430426199705040018</v>
      </c>
      <c r="D14345" t="s">
        <v>1</v>
      </c>
      <c r="E14345" t="s">
        <v>1</v>
      </c>
      <c r="F14345" t="s">
        <v>0</v>
      </c>
      <c r="G14345" t="str">
        <f>"2018-10-12 22:52:19"</f>
        <v>2018-10-12 22:52:19</v>
      </c>
    </row>
    <row r="14346" spans="1:7" x14ac:dyDescent="0.2">
      <c r="A14346" t="s">
        <v>14087</v>
      </c>
      <c r="B14346" t="str">
        <f>"13423066682"</f>
        <v>13423066682</v>
      </c>
      <c r="C14346" t="str">
        <f>"441900199006042790"</f>
        <v>441900199006042790</v>
      </c>
      <c r="D14346" t="s">
        <v>1</v>
      </c>
      <c r="E14346" t="s">
        <v>1</v>
      </c>
      <c r="F14346" t="s">
        <v>0</v>
      </c>
      <c r="G14346" t="str">
        <f>"2018-10-12 22:51:27"</f>
        <v>2018-10-12 22:51:27</v>
      </c>
    </row>
    <row r="14347" spans="1:7" x14ac:dyDescent="0.2">
      <c r="A14347" t="s">
        <v>14088</v>
      </c>
      <c r="B14347" t="str">
        <f>"13982268110"</f>
        <v>13982268110</v>
      </c>
      <c r="C14347" t="str">
        <f>"510812197512185514"</f>
        <v>510812197512185514</v>
      </c>
      <c r="D14347" t="s">
        <v>1</v>
      </c>
      <c r="E14347" t="s">
        <v>1</v>
      </c>
      <c r="F14347" t="s">
        <v>0</v>
      </c>
      <c r="G14347" t="str">
        <f>"2018-10-12 23:16:50"</f>
        <v>2018-10-12 23:16:50</v>
      </c>
    </row>
    <row r="14348" spans="1:7" x14ac:dyDescent="0.2">
      <c r="A14348" t="s">
        <v>14089</v>
      </c>
      <c r="B14348" t="str">
        <f>"18728806160"</f>
        <v>18728806160</v>
      </c>
      <c r="C14348" t="str">
        <f>"510321198701292451"</f>
        <v>510321198701292451</v>
      </c>
      <c r="D14348" t="s">
        <v>1</v>
      </c>
      <c r="E14348" t="s">
        <v>1</v>
      </c>
      <c r="F14348" t="s">
        <v>0</v>
      </c>
      <c r="G14348" t="str">
        <f>"2018-10-31 15:13:50"</f>
        <v>2018-10-31 15:13:50</v>
      </c>
    </row>
    <row r="14349" spans="1:7" x14ac:dyDescent="0.2">
      <c r="A14349" t="s">
        <v>14090</v>
      </c>
      <c r="B14349" t="str">
        <f>"15178846921"</f>
        <v>15178846921</v>
      </c>
      <c r="C14349" t="str">
        <f>"500223199208037035"</f>
        <v>500223199208037035</v>
      </c>
      <c r="D14349" t="s">
        <v>14091</v>
      </c>
      <c r="E14349" t="s">
        <v>14092</v>
      </c>
      <c r="F14349" t="s">
        <v>0</v>
      </c>
      <c r="G14349" t="str">
        <f>"2018-10-27 08:27:01"</f>
        <v>2018-10-27 08:27:01</v>
      </c>
    </row>
    <row r="14350" spans="1:7" x14ac:dyDescent="0.2">
      <c r="A14350" t="s">
        <v>1</v>
      </c>
      <c r="B14350" t="str">
        <f>"18302669682"</f>
        <v>18302669682</v>
      </c>
      <c r="C14350" t="s">
        <v>1</v>
      </c>
      <c r="D14350" t="s">
        <v>1</v>
      </c>
      <c r="E14350" t="s">
        <v>1</v>
      </c>
      <c r="F14350" t="s">
        <v>0</v>
      </c>
      <c r="G14350" t="str">
        <f>"2018-10-12 22:47:56"</f>
        <v>2018-10-12 22:47:56</v>
      </c>
    </row>
    <row r="14351" spans="1:7" x14ac:dyDescent="0.2">
      <c r="A14351" t="s">
        <v>14093</v>
      </c>
      <c r="B14351" t="str">
        <f>"15822833198"</f>
        <v>15822833198</v>
      </c>
      <c r="C14351" t="str">
        <f>"120105199212115412"</f>
        <v>120105199212115412</v>
      </c>
      <c r="D14351" t="s">
        <v>14094</v>
      </c>
      <c r="E14351" t="s">
        <v>14095</v>
      </c>
      <c r="F14351" t="s">
        <v>0</v>
      </c>
      <c r="G14351" t="str">
        <f>"2018-10-22 16:01:47"</f>
        <v>2018-10-22 16:01:47</v>
      </c>
    </row>
    <row r="14352" spans="1:7" x14ac:dyDescent="0.2">
      <c r="A14352" t="s">
        <v>491</v>
      </c>
      <c r="B14352" t="str">
        <f>"17336324662"</f>
        <v>17336324662</v>
      </c>
      <c r="C14352" t="str">
        <f>"500242199703052880"</f>
        <v>500242199703052880</v>
      </c>
      <c r="D14352" t="s">
        <v>1</v>
      </c>
      <c r="E14352" t="s">
        <v>1</v>
      </c>
      <c r="F14352" t="s">
        <v>0</v>
      </c>
      <c r="G14352" t="str">
        <f>"2018-10-12 22:47:01"</f>
        <v>2018-10-12 22:47:01</v>
      </c>
    </row>
    <row r="14353" spans="1:7" x14ac:dyDescent="0.2">
      <c r="A14353" t="s">
        <v>14096</v>
      </c>
      <c r="B14353" t="str">
        <f>"13735664526"</f>
        <v>13735664526</v>
      </c>
      <c r="C14353" t="str">
        <f>"330781199705164712"</f>
        <v>330781199705164712</v>
      </c>
      <c r="D14353" t="s">
        <v>1</v>
      </c>
      <c r="E14353" t="s">
        <v>1</v>
      </c>
      <c r="F14353" t="s">
        <v>0</v>
      </c>
      <c r="G14353" t="str">
        <f>"2018-10-12 22:48:42"</f>
        <v>2018-10-12 22:48:42</v>
      </c>
    </row>
    <row r="14354" spans="1:7" x14ac:dyDescent="0.2">
      <c r="A14354" t="s">
        <v>14097</v>
      </c>
      <c r="B14354" t="str">
        <f>"13804856745"</f>
        <v>13804856745</v>
      </c>
      <c r="C14354" t="str">
        <f>"230702198411050011"</f>
        <v>230702198411050011</v>
      </c>
      <c r="D14354" t="s">
        <v>1</v>
      </c>
      <c r="E14354" t="s">
        <v>1</v>
      </c>
      <c r="F14354" t="s">
        <v>0</v>
      </c>
      <c r="G14354" t="str">
        <f>"2018-10-29 21:01:29"</f>
        <v>2018-10-29 21:01:29</v>
      </c>
    </row>
    <row r="14355" spans="1:7" x14ac:dyDescent="0.2">
      <c r="A14355" t="s">
        <v>1</v>
      </c>
      <c r="B14355" t="str">
        <f>"13207716472"</f>
        <v>13207716472</v>
      </c>
      <c r="C14355" t="s">
        <v>1</v>
      </c>
      <c r="D14355" t="s">
        <v>1</v>
      </c>
      <c r="E14355" t="s">
        <v>1</v>
      </c>
      <c r="F14355" t="s">
        <v>0</v>
      </c>
      <c r="G14355" t="str">
        <f>"2018-10-12 22:40:30"</f>
        <v>2018-10-12 22:40:30</v>
      </c>
    </row>
    <row r="14356" spans="1:7" x14ac:dyDescent="0.2">
      <c r="A14356" t="s">
        <v>1</v>
      </c>
      <c r="B14356" t="str">
        <f>"13046977185"</f>
        <v>13046977185</v>
      </c>
      <c r="C14356" t="s">
        <v>1</v>
      </c>
      <c r="D14356" t="s">
        <v>1</v>
      </c>
      <c r="E14356" t="s">
        <v>1</v>
      </c>
      <c r="F14356" t="s">
        <v>0</v>
      </c>
      <c r="G14356" t="str">
        <f>"2018-10-12 22:40:10"</f>
        <v>2018-10-12 22:40:10</v>
      </c>
    </row>
    <row r="14357" spans="1:7" x14ac:dyDescent="0.2">
      <c r="A14357" t="s">
        <v>14098</v>
      </c>
      <c r="B14357" t="str">
        <f>"13560304844"</f>
        <v>13560304844</v>
      </c>
      <c r="C14357" t="str">
        <f>"44182319821020005X"</f>
        <v>44182319821020005X</v>
      </c>
      <c r="D14357" t="s">
        <v>14099</v>
      </c>
      <c r="E14357" t="s">
        <v>14100</v>
      </c>
      <c r="F14357" t="s">
        <v>0</v>
      </c>
      <c r="G14357" t="str">
        <f>"2018-10-12 22:40:59"</f>
        <v>2018-10-12 22:40:59</v>
      </c>
    </row>
    <row r="14358" spans="1:7" x14ac:dyDescent="0.2">
      <c r="A14358" t="s">
        <v>14101</v>
      </c>
      <c r="B14358" t="str">
        <f>"18748845796"</f>
        <v>18748845796</v>
      </c>
      <c r="C14358" t="str">
        <f>"522327199612140022"</f>
        <v>522327199612140022</v>
      </c>
      <c r="D14358" t="s">
        <v>1</v>
      </c>
      <c r="E14358" t="s">
        <v>1</v>
      </c>
      <c r="F14358" t="s">
        <v>0</v>
      </c>
      <c r="G14358" t="str">
        <f>"2018-10-12 22:49:23"</f>
        <v>2018-10-12 22:49:23</v>
      </c>
    </row>
    <row r="14359" spans="1:7" x14ac:dyDescent="0.2">
      <c r="A14359" t="s">
        <v>14102</v>
      </c>
      <c r="B14359" t="str">
        <f>"17555816976"</f>
        <v>17555816976</v>
      </c>
      <c r="C14359" t="str">
        <f>"341623199311265610"</f>
        <v>341623199311265610</v>
      </c>
      <c r="D14359" t="s">
        <v>1</v>
      </c>
      <c r="E14359" t="s">
        <v>1</v>
      </c>
      <c r="F14359" t="s">
        <v>0</v>
      </c>
      <c r="G14359" t="str">
        <f>"2018-10-17 21:40:26"</f>
        <v>2018-10-17 21:40:26</v>
      </c>
    </row>
    <row r="14360" spans="1:7" x14ac:dyDescent="0.2">
      <c r="A14360" t="s">
        <v>14103</v>
      </c>
      <c r="B14360" t="str">
        <f>"15865636348"</f>
        <v>15865636348</v>
      </c>
      <c r="C14360" t="str">
        <f>"372928199302186333"</f>
        <v>372928199302186333</v>
      </c>
      <c r="D14360" t="s">
        <v>1</v>
      </c>
      <c r="E14360" t="s">
        <v>1</v>
      </c>
      <c r="F14360" t="s">
        <v>0</v>
      </c>
      <c r="G14360" t="str">
        <f>"2018-10-12 22:43:15"</f>
        <v>2018-10-12 22:43:15</v>
      </c>
    </row>
    <row r="14361" spans="1:7" x14ac:dyDescent="0.2">
      <c r="A14361" t="s">
        <v>14104</v>
      </c>
      <c r="B14361" t="str">
        <f>"18036613772"</f>
        <v>18036613772</v>
      </c>
      <c r="C14361" t="str">
        <f>"320723199305122219"</f>
        <v>320723199305122219</v>
      </c>
      <c r="D14361" t="s">
        <v>14105</v>
      </c>
      <c r="E14361" t="s">
        <v>14106</v>
      </c>
      <c r="F14361" t="s">
        <v>0</v>
      </c>
      <c r="G14361" t="str">
        <f>"2018-10-12 22:37:21"</f>
        <v>2018-10-12 22:37:21</v>
      </c>
    </row>
    <row r="14362" spans="1:7" x14ac:dyDescent="0.2">
      <c r="A14362" t="s">
        <v>14107</v>
      </c>
      <c r="B14362" t="str">
        <f>"15174911888"</f>
        <v>15174911888</v>
      </c>
      <c r="C14362" t="str">
        <f>"150207198608217019"</f>
        <v>150207198608217019</v>
      </c>
      <c r="D14362" t="s">
        <v>1</v>
      </c>
      <c r="E14362" t="s">
        <v>1</v>
      </c>
      <c r="F14362" t="s">
        <v>0</v>
      </c>
      <c r="G14362" t="str">
        <f>"2018-10-12 22:39:08"</f>
        <v>2018-10-12 22:39:08</v>
      </c>
    </row>
    <row r="14363" spans="1:7" x14ac:dyDescent="0.2">
      <c r="A14363" t="s">
        <v>14108</v>
      </c>
      <c r="B14363" t="str">
        <f>"15044003445"</f>
        <v>15044003445</v>
      </c>
      <c r="C14363" t="str">
        <f>"220105197910280233"</f>
        <v>220105197910280233</v>
      </c>
      <c r="D14363" t="s">
        <v>1</v>
      </c>
      <c r="E14363" t="s">
        <v>1</v>
      </c>
      <c r="F14363" t="s">
        <v>0</v>
      </c>
      <c r="G14363" t="str">
        <f>"2018-10-12 22:38:14"</f>
        <v>2018-10-12 22:38:14</v>
      </c>
    </row>
    <row r="14364" spans="1:7" x14ac:dyDescent="0.2">
      <c r="A14364" t="s">
        <v>1</v>
      </c>
      <c r="B14364" t="str">
        <f>"18537865172"</f>
        <v>18537865172</v>
      </c>
      <c r="C14364" t="s">
        <v>1</v>
      </c>
      <c r="D14364" t="s">
        <v>1</v>
      </c>
      <c r="E14364" t="s">
        <v>1</v>
      </c>
      <c r="F14364" t="s">
        <v>0</v>
      </c>
      <c r="G14364" t="str">
        <f>"2018-10-12 22:34:34"</f>
        <v>2018-10-12 22:34:34</v>
      </c>
    </row>
    <row r="14365" spans="1:7" x14ac:dyDescent="0.2">
      <c r="A14365" t="s">
        <v>600</v>
      </c>
      <c r="B14365" t="str">
        <f>"15050987298"</f>
        <v>15050987298</v>
      </c>
      <c r="C14365" t="str">
        <f>"321323199709195915"</f>
        <v>321323199709195915</v>
      </c>
      <c r="D14365" t="s">
        <v>14109</v>
      </c>
      <c r="E14365" t="s">
        <v>14110</v>
      </c>
      <c r="F14365" t="s">
        <v>0</v>
      </c>
      <c r="G14365" t="str">
        <f>"2018-10-12 23:13:57"</f>
        <v>2018-10-12 23:13:57</v>
      </c>
    </row>
    <row r="14366" spans="1:7" x14ac:dyDescent="0.2">
      <c r="A14366" t="s">
        <v>1</v>
      </c>
      <c r="B14366" t="str">
        <f>"17096224995"</f>
        <v>17096224995</v>
      </c>
      <c r="C14366" t="s">
        <v>1</v>
      </c>
      <c r="D14366" t="s">
        <v>1</v>
      </c>
      <c r="E14366" t="s">
        <v>1</v>
      </c>
      <c r="F14366" t="s">
        <v>0</v>
      </c>
      <c r="G14366" t="str">
        <f>"2018-10-12 22:37:45"</f>
        <v>2018-10-12 22:37:45</v>
      </c>
    </row>
    <row r="14367" spans="1:7" x14ac:dyDescent="0.2">
      <c r="A14367" t="s">
        <v>1</v>
      </c>
      <c r="B14367" t="str">
        <f>"15577052824"</f>
        <v>15577052824</v>
      </c>
      <c r="C14367" t="s">
        <v>1</v>
      </c>
      <c r="D14367" t="s">
        <v>1</v>
      </c>
      <c r="E14367" t="s">
        <v>1</v>
      </c>
      <c r="F14367" t="s">
        <v>0</v>
      </c>
      <c r="G14367" t="str">
        <f>"2018-10-12 22:32:44"</f>
        <v>2018-10-12 22:32:44</v>
      </c>
    </row>
    <row r="14368" spans="1:7" x14ac:dyDescent="0.2">
      <c r="A14368" t="s">
        <v>1</v>
      </c>
      <c r="B14368" t="str">
        <f>"18643526322"</f>
        <v>18643526322</v>
      </c>
      <c r="C14368" t="s">
        <v>1</v>
      </c>
      <c r="D14368" t="s">
        <v>1</v>
      </c>
      <c r="E14368" t="s">
        <v>1</v>
      </c>
      <c r="F14368" t="s">
        <v>0</v>
      </c>
      <c r="G14368" t="str">
        <f>"2018-10-12 22:37:23"</f>
        <v>2018-10-12 22:37:23</v>
      </c>
    </row>
    <row r="14369" spans="1:7" x14ac:dyDescent="0.2">
      <c r="A14369" t="s">
        <v>1</v>
      </c>
      <c r="B14369" t="str">
        <f>"13976108813"</f>
        <v>13976108813</v>
      </c>
      <c r="C14369" t="s">
        <v>1</v>
      </c>
      <c r="D14369" t="s">
        <v>1</v>
      </c>
      <c r="E14369" t="s">
        <v>1</v>
      </c>
      <c r="F14369" t="s">
        <v>0</v>
      </c>
      <c r="G14369" t="str">
        <f>"2018-10-12 22:30:54"</f>
        <v>2018-10-12 22:30:54</v>
      </c>
    </row>
    <row r="14370" spans="1:7" x14ac:dyDescent="0.2">
      <c r="A14370" t="s">
        <v>1018</v>
      </c>
      <c r="B14370" t="str">
        <f>"15205642299"</f>
        <v>15205642299</v>
      </c>
      <c r="C14370" t="str">
        <f>"342401198703035678"</f>
        <v>342401198703035678</v>
      </c>
      <c r="D14370" t="s">
        <v>1</v>
      </c>
      <c r="E14370" t="s">
        <v>1</v>
      </c>
      <c r="F14370" t="s">
        <v>0</v>
      </c>
      <c r="G14370" t="str">
        <f>"2018-10-13 08:52:09"</f>
        <v>2018-10-13 08:52:09</v>
      </c>
    </row>
    <row r="14371" spans="1:7" x14ac:dyDescent="0.2">
      <c r="A14371" t="s">
        <v>14111</v>
      </c>
      <c r="B14371" t="str">
        <f>"15805842896"</f>
        <v>15805842896</v>
      </c>
      <c r="C14371" t="str">
        <f>"510722198312246919"</f>
        <v>510722198312246919</v>
      </c>
      <c r="D14371" t="s">
        <v>1</v>
      </c>
      <c r="E14371" t="s">
        <v>1</v>
      </c>
      <c r="F14371" t="s">
        <v>0</v>
      </c>
      <c r="G14371" t="str">
        <f>"2018-10-12 23:34:22"</f>
        <v>2018-10-12 23:34:22</v>
      </c>
    </row>
    <row r="14372" spans="1:7" x14ac:dyDescent="0.2">
      <c r="A14372" t="s">
        <v>1</v>
      </c>
      <c r="B14372" t="str">
        <f>"13566575590"</f>
        <v>13566575590</v>
      </c>
      <c r="C14372" t="s">
        <v>1</v>
      </c>
      <c r="D14372" t="s">
        <v>1</v>
      </c>
      <c r="E14372" t="s">
        <v>1</v>
      </c>
      <c r="F14372" t="s">
        <v>0</v>
      </c>
      <c r="G14372" t="str">
        <f>"2018-10-12 22:30:20"</f>
        <v>2018-10-12 22:30:20</v>
      </c>
    </row>
    <row r="14373" spans="1:7" x14ac:dyDescent="0.2">
      <c r="A14373" t="s">
        <v>1</v>
      </c>
      <c r="B14373" t="str">
        <f>"13517322793"</f>
        <v>13517322793</v>
      </c>
      <c r="C14373" t="s">
        <v>1</v>
      </c>
      <c r="D14373" t="s">
        <v>1</v>
      </c>
      <c r="E14373" t="s">
        <v>1</v>
      </c>
      <c r="F14373" t="s">
        <v>0</v>
      </c>
      <c r="G14373" t="str">
        <f>"2018-10-12 22:31:54"</f>
        <v>2018-10-12 22:31:54</v>
      </c>
    </row>
    <row r="14374" spans="1:7" x14ac:dyDescent="0.2">
      <c r="A14374" t="s">
        <v>14112</v>
      </c>
      <c r="B14374" t="str">
        <f>"13546258172"</f>
        <v>13546258172</v>
      </c>
      <c r="C14374" t="str">
        <f>"141181199306270190"</f>
        <v>141181199306270190</v>
      </c>
      <c r="D14374" t="s">
        <v>1</v>
      </c>
      <c r="E14374" t="s">
        <v>1</v>
      </c>
      <c r="F14374" t="s">
        <v>0</v>
      </c>
      <c r="G14374" t="str">
        <f>"2018-10-12 22:30:59"</f>
        <v>2018-10-12 22:30:59</v>
      </c>
    </row>
    <row r="14375" spans="1:7" x14ac:dyDescent="0.2">
      <c r="A14375" t="s">
        <v>14113</v>
      </c>
      <c r="B14375" t="str">
        <f>"15347887056"</f>
        <v>15347887056</v>
      </c>
      <c r="C14375" t="str">
        <f>"450902199612092513"</f>
        <v>450902199612092513</v>
      </c>
      <c r="D14375" t="s">
        <v>1</v>
      </c>
      <c r="E14375" t="s">
        <v>1</v>
      </c>
      <c r="F14375" t="s">
        <v>0</v>
      </c>
      <c r="G14375" t="str">
        <f>"2018-10-12 22:34:01"</f>
        <v>2018-10-12 22:34:01</v>
      </c>
    </row>
    <row r="14376" spans="1:7" x14ac:dyDescent="0.2">
      <c r="A14376" t="s">
        <v>14114</v>
      </c>
      <c r="B14376" t="str">
        <f>"18872964324"</f>
        <v>18872964324</v>
      </c>
      <c r="C14376" t="str">
        <f>"421023199211130732"</f>
        <v>421023199211130732</v>
      </c>
      <c r="D14376" t="s">
        <v>1</v>
      </c>
      <c r="E14376" t="s">
        <v>1</v>
      </c>
      <c r="F14376" t="s">
        <v>0</v>
      </c>
      <c r="G14376" t="str">
        <f>"2018-10-12 22:30:10"</f>
        <v>2018-10-12 22:30:10</v>
      </c>
    </row>
    <row r="14377" spans="1:7" x14ac:dyDescent="0.2">
      <c r="A14377" t="s">
        <v>14115</v>
      </c>
      <c r="B14377" t="str">
        <f>"13367845094"</f>
        <v>13367845094</v>
      </c>
      <c r="C14377" t="str">
        <f>"452123199907020445"</f>
        <v>452123199907020445</v>
      </c>
      <c r="D14377" t="s">
        <v>1</v>
      </c>
      <c r="E14377" t="s">
        <v>1</v>
      </c>
      <c r="F14377" t="s">
        <v>0</v>
      </c>
      <c r="G14377" t="str">
        <f>"2018-10-12 22:56:29"</f>
        <v>2018-10-12 22:56:29</v>
      </c>
    </row>
    <row r="14378" spans="1:7" x14ac:dyDescent="0.2">
      <c r="A14378" t="s">
        <v>14116</v>
      </c>
      <c r="B14378" t="str">
        <f>"15778696631"</f>
        <v>15778696631</v>
      </c>
      <c r="C14378" t="str">
        <f>"450924198904153932"</f>
        <v>450924198904153932</v>
      </c>
      <c r="D14378" t="s">
        <v>1</v>
      </c>
      <c r="E14378" t="s">
        <v>1</v>
      </c>
      <c r="F14378" t="s">
        <v>0</v>
      </c>
      <c r="G14378" t="str">
        <f>"2018-10-12 22:30:19"</f>
        <v>2018-10-12 22:30:19</v>
      </c>
    </row>
    <row r="14379" spans="1:7" x14ac:dyDescent="0.2">
      <c r="A14379" t="s">
        <v>14117</v>
      </c>
      <c r="B14379" t="str">
        <f>"17615830907"</f>
        <v>17615830907</v>
      </c>
      <c r="C14379" t="str">
        <f>"37010319870508502X"</f>
        <v>37010319870508502X</v>
      </c>
      <c r="D14379" t="s">
        <v>1</v>
      </c>
      <c r="E14379" t="s">
        <v>1</v>
      </c>
      <c r="F14379" t="s">
        <v>0</v>
      </c>
      <c r="G14379" t="str">
        <f>"2018-10-12 22:29:08"</f>
        <v>2018-10-12 22:29:08</v>
      </c>
    </row>
    <row r="14380" spans="1:7" x14ac:dyDescent="0.2">
      <c r="A14380" t="s">
        <v>14118</v>
      </c>
      <c r="B14380" t="str">
        <f>"17817999677"</f>
        <v>17817999677</v>
      </c>
      <c r="C14380" t="str">
        <f>"44098219971127585X"</f>
        <v>44098219971127585X</v>
      </c>
      <c r="D14380" t="s">
        <v>1</v>
      </c>
      <c r="E14380" t="s">
        <v>1</v>
      </c>
      <c r="F14380" t="s">
        <v>0</v>
      </c>
      <c r="G14380" t="str">
        <f>"2018-10-12 22:27:44"</f>
        <v>2018-10-12 22:27:44</v>
      </c>
    </row>
    <row r="14381" spans="1:7" x14ac:dyDescent="0.2">
      <c r="A14381" t="s">
        <v>1</v>
      </c>
      <c r="B14381" t="str">
        <f>"17818674354"</f>
        <v>17818674354</v>
      </c>
      <c r="C14381" t="s">
        <v>1</v>
      </c>
      <c r="D14381" t="s">
        <v>1</v>
      </c>
      <c r="E14381" t="s">
        <v>1</v>
      </c>
      <c r="F14381" t="s">
        <v>0</v>
      </c>
      <c r="G14381" t="str">
        <f>"2018-10-12 22:25:34"</f>
        <v>2018-10-12 22:25:34</v>
      </c>
    </row>
    <row r="14382" spans="1:7" x14ac:dyDescent="0.2">
      <c r="A14382" t="s">
        <v>1091</v>
      </c>
      <c r="B14382" t="str">
        <f>"15073643118"</f>
        <v>15073643118</v>
      </c>
      <c r="C14382" t="str">
        <f>"430726198602021852"</f>
        <v>430726198602021852</v>
      </c>
      <c r="D14382" t="s">
        <v>1</v>
      </c>
      <c r="E14382" t="s">
        <v>1</v>
      </c>
      <c r="F14382" t="s">
        <v>0</v>
      </c>
      <c r="G14382" t="str">
        <f>"2018-10-12 22:28:00"</f>
        <v>2018-10-12 22:28:00</v>
      </c>
    </row>
    <row r="14383" spans="1:7" x14ac:dyDescent="0.2">
      <c r="A14383" t="s">
        <v>1</v>
      </c>
      <c r="B14383" t="str">
        <f>"15716156905"</f>
        <v>15716156905</v>
      </c>
      <c r="C14383" t="s">
        <v>1</v>
      </c>
      <c r="D14383" t="s">
        <v>1</v>
      </c>
      <c r="E14383" t="s">
        <v>1</v>
      </c>
      <c r="F14383" t="s">
        <v>0</v>
      </c>
      <c r="G14383" t="str">
        <f>"2018-10-12 22:25:12"</f>
        <v>2018-10-12 22:25:12</v>
      </c>
    </row>
    <row r="14384" spans="1:7" x14ac:dyDescent="0.2">
      <c r="A14384" t="s">
        <v>14119</v>
      </c>
      <c r="B14384" t="str">
        <f>"15920294571"</f>
        <v>15920294571</v>
      </c>
      <c r="C14384" t="str">
        <f>"610523197804125843"</f>
        <v>610523197804125843</v>
      </c>
      <c r="D14384" t="s">
        <v>1</v>
      </c>
      <c r="E14384" t="s">
        <v>1</v>
      </c>
      <c r="F14384" t="s">
        <v>0</v>
      </c>
      <c r="G14384" t="str">
        <f>"2018-10-12 23:30:35"</f>
        <v>2018-10-12 23:30:35</v>
      </c>
    </row>
    <row r="14385" spans="1:7" x14ac:dyDescent="0.2">
      <c r="A14385" t="s">
        <v>2083</v>
      </c>
      <c r="B14385" t="str">
        <f>"18571557848"</f>
        <v>18571557848</v>
      </c>
      <c r="C14385" t="str">
        <f>"422801199911291613"</f>
        <v>422801199911291613</v>
      </c>
      <c r="D14385" t="s">
        <v>1</v>
      </c>
      <c r="E14385" t="s">
        <v>1</v>
      </c>
      <c r="F14385" t="s">
        <v>0</v>
      </c>
      <c r="G14385" t="str">
        <f>"2018-10-12 22:24:29"</f>
        <v>2018-10-12 22:24:29</v>
      </c>
    </row>
    <row r="14386" spans="1:7" x14ac:dyDescent="0.2">
      <c r="A14386" t="s">
        <v>14120</v>
      </c>
      <c r="B14386" t="str">
        <f>"13891829301"</f>
        <v>13891829301</v>
      </c>
      <c r="C14386" t="str">
        <f>"610403199509092012"</f>
        <v>610403199509092012</v>
      </c>
      <c r="D14386" t="s">
        <v>14121</v>
      </c>
      <c r="E14386" t="s">
        <v>14122</v>
      </c>
      <c r="F14386" t="s">
        <v>0</v>
      </c>
      <c r="G14386" t="str">
        <f>"2018-10-12 22:52:09"</f>
        <v>2018-10-12 22:52:09</v>
      </c>
    </row>
    <row r="14387" spans="1:7" x14ac:dyDescent="0.2">
      <c r="A14387" t="s">
        <v>14123</v>
      </c>
      <c r="B14387" t="str">
        <f>"18006392399"</f>
        <v>18006392399</v>
      </c>
      <c r="C14387" t="str">
        <f>"37230119800804381X"</f>
        <v>37230119800804381X</v>
      </c>
      <c r="D14387" t="s">
        <v>1</v>
      </c>
      <c r="E14387" t="s">
        <v>1</v>
      </c>
      <c r="F14387" t="s">
        <v>0</v>
      </c>
      <c r="G14387" t="str">
        <f>"2018-10-12 22:28:18"</f>
        <v>2018-10-12 22:28:18</v>
      </c>
    </row>
    <row r="14388" spans="1:7" x14ac:dyDescent="0.2">
      <c r="A14388" t="s">
        <v>14124</v>
      </c>
      <c r="B14388" t="str">
        <f>"15951936268"</f>
        <v>15951936268</v>
      </c>
      <c r="C14388" t="str">
        <f>"441781199303123893"</f>
        <v>441781199303123893</v>
      </c>
      <c r="D14388" t="s">
        <v>14125</v>
      </c>
      <c r="E14388" t="s">
        <v>14126</v>
      </c>
      <c r="F14388" t="s">
        <v>0</v>
      </c>
      <c r="G14388" t="str">
        <f>"2018-10-13 20:19:18"</f>
        <v>2018-10-13 20:19:18</v>
      </c>
    </row>
    <row r="14389" spans="1:7" x14ac:dyDescent="0.2">
      <c r="A14389" t="s">
        <v>14127</v>
      </c>
      <c r="B14389" t="str">
        <f>"17674059668"</f>
        <v>17674059668</v>
      </c>
      <c r="C14389" t="str">
        <f>"430522197609168311"</f>
        <v>430522197609168311</v>
      </c>
      <c r="D14389" t="s">
        <v>1</v>
      </c>
      <c r="E14389" t="s">
        <v>1</v>
      </c>
      <c r="F14389" t="s">
        <v>0</v>
      </c>
      <c r="G14389" t="str">
        <f>"2018-10-12 22:19:04"</f>
        <v>2018-10-12 22:19:04</v>
      </c>
    </row>
    <row r="14390" spans="1:7" x14ac:dyDescent="0.2">
      <c r="A14390" t="s">
        <v>1</v>
      </c>
      <c r="B14390" t="str">
        <f>"18775277752"</f>
        <v>18775277752</v>
      </c>
      <c r="C14390" t="s">
        <v>1</v>
      </c>
      <c r="D14390" t="s">
        <v>1</v>
      </c>
      <c r="E14390" t="s">
        <v>1</v>
      </c>
      <c r="F14390" t="s">
        <v>0</v>
      </c>
      <c r="G14390" t="str">
        <f>"2018-10-12 22:18:39"</f>
        <v>2018-10-12 22:18:39</v>
      </c>
    </row>
    <row r="14391" spans="1:7" x14ac:dyDescent="0.2">
      <c r="A14391" t="s">
        <v>14128</v>
      </c>
      <c r="B14391" t="str">
        <f>"13931871453"</f>
        <v>13931871453</v>
      </c>
      <c r="C14391" t="str">
        <f>"130107196802171511"</f>
        <v>130107196802171511</v>
      </c>
      <c r="D14391" t="s">
        <v>1</v>
      </c>
      <c r="E14391" t="s">
        <v>1</v>
      </c>
      <c r="F14391" t="s">
        <v>0</v>
      </c>
      <c r="G14391" t="str">
        <f>"2018-10-12 22:20:43"</f>
        <v>2018-10-12 22:20:43</v>
      </c>
    </row>
    <row r="14392" spans="1:7" x14ac:dyDescent="0.2">
      <c r="A14392" t="s">
        <v>1</v>
      </c>
      <c r="B14392" t="str">
        <f>"13846202118"</f>
        <v>13846202118</v>
      </c>
      <c r="C14392" t="s">
        <v>1</v>
      </c>
      <c r="D14392" t="s">
        <v>1</v>
      </c>
      <c r="E14392" t="s">
        <v>1</v>
      </c>
      <c r="F14392" t="s">
        <v>0</v>
      </c>
      <c r="G14392" t="str">
        <f>"2018-10-12 22:20:34"</f>
        <v>2018-10-12 22:20:34</v>
      </c>
    </row>
    <row r="14393" spans="1:7" x14ac:dyDescent="0.2">
      <c r="A14393" t="s">
        <v>14129</v>
      </c>
      <c r="B14393" t="str">
        <f>"13888377161"</f>
        <v>13888377161</v>
      </c>
      <c r="C14393" t="str">
        <f>"530126198410071813"</f>
        <v>530126198410071813</v>
      </c>
      <c r="D14393" t="s">
        <v>1</v>
      </c>
      <c r="E14393" t="s">
        <v>1</v>
      </c>
      <c r="F14393" t="s">
        <v>0</v>
      </c>
      <c r="G14393" t="str">
        <f>"2018-10-12 22:20:04"</f>
        <v>2018-10-12 22:20:04</v>
      </c>
    </row>
    <row r="14394" spans="1:7" x14ac:dyDescent="0.2">
      <c r="A14394" t="s">
        <v>1</v>
      </c>
      <c r="B14394" t="str">
        <f>"13644262761"</f>
        <v>13644262761</v>
      </c>
      <c r="C14394" t="s">
        <v>1</v>
      </c>
      <c r="D14394" t="s">
        <v>1</v>
      </c>
      <c r="E14394" t="s">
        <v>1</v>
      </c>
      <c r="F14394" t="s">
        <v>0</v>
      </c>
      <c r="G14394" t="str">
        <f>"2018-10-12 22:17:05"</f>
        <v>2018-10-12 22:17:05</v>
      </c>
    </row>
    <row r="14395" spans="1:7" x14ac:dyDescent="0.2">
      <c r="A14395" t="s">
        <v>14130</v>
      </c>
      <c r="B14395" t="str">
        <f>"18037918787"</f>
        <v>18037918787</v>
      </c>
      <c r="C14395" t="str">
        <f>"410303198712303244"</f>
        <v>410303198712303244</v>
      </c>
      <c r="D14395" t="s">
        <v>1</v>
      </c>
      <c r="E14395" t="s">
        <v>1</v>
      </c>
      <c r="F14395" t="s">
        <v>0</v>
      </c>
      <c r="G14395" t="str">
        <f>"2018-10-12 23:27:54"</f>
        <v>2018-10-12 23:27:54</v>
      </c>
    </row>
    <row r="14396" spans="1:7" x14ac:dyDescent="0.2">
      <c r="A14396" t="s">
        <v>1</v>
      </c>
      <c r="B14396" t="str">
        <f>"13559990767"</f>
        <v>13559990767</v>
      </c>
      <c r="C14396" t="s">
        <v>1</v>
      </c>
      <c r="D14396" t="s">
        <v>1</v>
      </c>
      <c r="E14396" t="s">
        <v>1</v>
      </c>
      <c r="F14396" t="s">
        <v>0</v>
      </c>
      <c r="G14396" t="str">
        <f>"2018-10-12 22:16:22"</f>
        <v>2018-10-12 22:16:22</v>
      </c>
    </row>
    <row r="14397" spans="1:7" x14ac:dyDescent="0.2">
      <c r="A14397" t="s">
        <v>978</v>
      </c>
      <c r="B14397" t="str">
        <f>"18233317361"</f>
        <v>18233317361</v>
      </c>
      <c r="C14397" t="str">
        <f>"130621199304135137"</f>
        <v>130621199304135137</v>
      </c>
      <c r="D14397" t="s">
        <v>1</v>
      </c>
      <c r="E14397" t="s">
        <v>1</v>
      </c>
      <c r="F14397" t="s">
        <v>0</v>
      </c>
      <c r="G14397" t="str">
        <f>"2018-10-12 22:21:27"</f>
        <v>2018-10-12 22:21:27</v>
      </c>
    </row>
    <row r="14398" spans="1:7" x14ac:dyDescent="0.2">
      <c r="A14398" t="s">
        <v>1</v>
      </c>
      <c r="B14398" t="str">
        <f>"13995830431"</f>
        <v>13995830431</v>
      </c>
      <c r="C14398" t="s">
        <v>1</v>
      </c>
      <c r="D14398" t="s">
        <v>1</v>
      </c>
      <c r="E14398" t="s">
        <v>1</v>
      </c>
      <c r="F14398" t="s">
        <v>0</v>
      </c>
      <c r="G14398" t="str">
        <f>"2018-10-12 22:15:23"</f>
        <v>2018-10-12 22:15:23</v>
      </c>
    </row>
    <row r="14399" spans="1:7" x14ac:dyDescent="0.2">
      <c r="A14399" t="s">
        <v>1</v>
      </c>
      <c r="B14399" t="str">
        <f>"15666062492"</f>
        <v>15666062492</v>
      </c>
      <c r="C14399" t="s">
        <v>1</v>
      </c>
      <c r="D14399" t="s">
        <v>1</v>
      </c>
      <c r="E14399" t="s">
        <v>1</v>
      </c>
      <c r="F14399" t="s">
        <v>0</v>
      </c>
      <c r="G14399" t="str">
        <f>"2018-10-12 22:15:15"</f>
        <v>2018-10-12 22:15:15</v>
      </c>
    </row>
    <row r="14400" spans="1:7" x14ac:dyDescent="0.2">
      <c r="A14400" t="s">
        <v>227</v>
      </c>
      <c r="B14400" t="str">
        <f>"18569807597"</f>
        <v>18569807597</v>
      </c>
      <c r="C14400" t="str">
        <f>"411526198507171314"</f>
        <v>411526198507171314</v>
      </c>
      <c r="D14400" t="s">
        <v>14131</v>
      </c>
      <c r="E14400" t="s">
        <v>14132</v>
      </c>
      <c r="F14400" t="s">
        <v>0</v>
      </c>
      <c r="G14400" t="str">
        <f>"2018-10-19 14:47:52"</f>
        <v>2018-10-19 14:47:52</v>
      </c>
    </row>
    <row r="14401" spans="1:7" x14ac:dyDescent="0.2">
      <c r="A14401" t="s">
        <v>14133</v>
      </c>
      <c r="B14401" t="str">
        <f>"17807819012"</f>
        <v>17807819012</v>
      </c>
      <c r="C14401" t="str">
        <f>"452123198512115242"</f>
        <v>452123198512115242</v>
      </c>
      <c r="D14401" t="s">
        <v>1</v>
      </c>
      <c r="E14401" t="s">
        <v>1</v>
      </c>
      <c r="F14401" t="s">
        <v>0</v>
      </c>
      <c r="G14401" t="str">
        <f>"2018-10-12 23:26:16"</f>
        <v>2018-10-12 23:26:16</v>
      </c>
    </row>
    <row r="14402" spans="1:7" x14ac:dyDescent="0.2">
      <c r="A14402" t="s">
        <v>14134</v>
      </c>
      <c r="B14402" t="str">
        <f>"13662422087"</f>
        <v>13662422087</v>
      </c>
      <c r="C14402" t="str">
        <f>"440823199101074924"</f>
        <v>440823199101074924</v>
      </c>
      <c r="D14402" t="s">
        <v>1</v>
      </c>
      <c r="E14402" t="s">
        <v>1</v>
      </c>
      <c r="F14402" t="s">
        <v>0</v>
      </c>
      <c r="G14402" t="str">
        <f>"2018-10-12 22:17:28"</f>
        <v>2018-10-12 22:17:28</v>
      </c>
    </row>
    <row r="14403" spans="1:7" x14ac:dyDescent="0.2">
      <c r="A14403" t="s">
        <v>14135</v>
      </c>
      <c r="B14403" t="str">
        <f>"15243591706"</f>
        <v>15243591706</v>
      </c>
      <c r="C14403" t="str">
        <f>"431028199303150216"</f>
        <v>431028199303150216</v>
      </c>
      <c r="D14403" t="s">
        <v>1</v>
      </c>
      <c r="E14403" t="s">
        <v>1</v>
      </c>
      <c r="F14403" t="s">
        <v>0</v>
      </c>
      <c r="G14403" t="str">
        <f>"2018-10-12 22:12:35"</f>
        <v>2018-10-12 22:12:35</v>
      </c>
    </row>
    <row r="14404" spans="1:7" x14ac:dyDescent="0.2">
      <c r="A14404" t="s">
        <v>14136</v>
      </c>
      <c r="B14404" t="str">
        <f>"13581338512"</f>
        <v>13581338512</v>
      </c>
      <c r="C14404" t="str">
        <f>"420821199107271033"</f>
        <v>420821199107271033</v>
      </c>
      <c r="D14404" t="s">
        <v>1</v>
      </c>
      <c r="E14404" t="s">
        <v>1</v>
      </c>
      <c r="F14404" t="s">
        <v>0</v>
      </c>
      <c r="G14404" t="str">
        <f>"2018-10-12 22:12:04"</f>
        <v>2018-10-12 22:12:04</v>
      </c>
    </row>
    <row r="14405" spans="1:7" x14ac:dyDescent="0.2">
      <c r="A14405" t="s">
        <v>14137</v>
      </c>
      <c r="B14405" t="str">
        <f>"13598212299"</f>
        <v>13598212299</v>
      </c>
      <c r="C14405" t="str">
        <f>"411324198107290011"</f>
        <v>411324198107290011</v>
      </c>
      <c r="D14405" t="s">
        <v>1</v>
      </c>
      <c r="E14405" t="s">
        <v>1</v>
      </c>
      <c r="F14405" t="s">
        <v>0</v>
      </c>
      <c r="G14405" t="str">
        <f>"2018-10-12 22:13:20"</f>
        <v>2018-10-12 22:13:20</v>
      </c>
    </row>
    <row r="14406" spans="1:7" x14ac:dyDescent="0.2">
      <c r="A14406" t="s">
        <v>14138</v>
      </c>
      <c r="B14406" t="str">
        <f>"18031757359"</f>
        <v>18031757359</v>
      </c>
      <c r="C14406" t="str">
        <f>"22072219851020063X"</f>
        <v>22072219851020063X</v>
      </c>
      <c r="D14406" t="s">
        <v>1</v>
      </c>
      <c r="E14406" t="s">
        <v>1</v>
      </c>
      <c r="F14406" t="s">
        <v>0</v>
      </c>
      <c r="G14406" t="str">
        <f>"2018-10-12 22:10:28"</f>
        <v>2018-10-12 22:10:28</v>
      </c>
    </row>
    <row r="14407" spans="1:7" x14ac:dyDescent="0.2">
      <c r="A14407" t="s">
        <v>14139</v>
      </c>
      <c r="B14407" t="str">
        <f>"15952487788"</f>
        <v>15952487788</v>
      </c>
      <c r="C14407" t="str">
        <f>"320281198708233513"</f>
        <v>320281198708233513</v>
      </c>
      <c r="D14407" t="s">
        <v>1</v>
      </c>
      <c r="E14407" t="s">
        <v>1</v>
      </c>
      <c r="F14407" t="s">
        <v>0</v>
      </c>
      <c r="G14407" t="str">
        <f>"2018-10-12 22:11:28"</f>
        <v>2018-10-12 22:11:28</v>
      </c>
    </row>
    <row r="14408" spans="1:7" x14ac:dyDescent="0.2">
      <c r="A14408" t="s">
        <v>1</v>
      </c>
      <c r="B14408" t="str">
        <f>"18256007527"</f>
        <v>18256007527</v>
      </c>
      <c r="C14408" t="s">
        <v>1</v>
      </c>
      <c r="D14408" t="s">
        <v>1</v>
      </c>
      <c r="E14408" t="s">
        <v>1</v>
      </c>
      <c r="F14408" t="s">
        <v>0</v>
      </c>
      <c r="G14408" t="str">
        <f>"2018-10-12 22:12:25"</f>
        <v>2018-10-12 22:12:25</v>
      </c>
    </row>
    <row r="14409" spans="1:7" x14ac:dyDescent="0.2">
      <c r="A14409" t="s">
        <v>1</v>
      </c>
      <c r="B14409" t="str">
        <f>"13064584829"</f>
        <v>13064584829</v>
      </c>
      <c r="C14409" t="s">
        <v>1</v>
      </c>
      <c r="D14409" t="s">
        <v>1</v>
      </c>
      <c r="E14409" t="s">
        <v>1</v>
      </c>
      <c r="F14409" t="s">
        <v>0</v>
      </c>
      <c r="G14409" t="str">
        <f>"2018-10-12 22:08:23"</f>
        <v>2018-10-12 22:08:23</v>
      </c>
    </row>
    <row r="14410" spans="1:7" x14ac:dyDescent="0.2">
      <c r="A14410" t="s">
        <v>14140</v>
      </c>
      <c r="B14410" t="str">
        <f>"15264133398"</f>
        <v>15264133398</v>
      </c>
      <c r="C14410" t="str">
        <f>"370923198712060639"</f>
        <v>370923198712060639</v>
      </c>
      <c r="D14410" t="s">
        <v>1</v>
      </c>
      <c r="E14410" t="s">
        <v>1</v>
      </c>
      <c r="F14410" t="s">
        <v>0</v>
      </c>
      <c r="G14410" t="str">
        <f>"2018-10-12 22:11:33"</f>
        <v>2018-10-12 22:11:33</v>
      </c>
    </row>
    <row r="14411" spans="1:7" x14ac:dyDescent="0.2">
      <c r="A14411" t="s">
        <v>1</v>
      </c>
      <c r="B14411" t="str">
        <f>"15278918778"</f>
        <v>15278918778</v>
      </c>
      <c r="C14411" t="s">
        <v>1</v>
      </c>
      <c r="D14411" t="s">
        <v>1</v>
      </c>
      <c r="E14411" t="s">
        <v>1</v>
      </c>
      <c r="F14411" t="s">
        <v>0</v>
      </c>
      <c r="G14411" t="str">
        <f>"2018-10-12 22:06:40"</f>
        <v>2018-10-12 22:06:40</v>
      </c>
    </row>
    <row r="14412" spans="1:7" x14ac:dyDescent="0.2">
      <c r="A14412" t="s">
        <v>14141</v>
      </c>
      <c r="B14412" t="str">
        <f>"15872645960"</f>
        <v>15872645960</v>
      </c>
      <c r="C14412" t="str">
        <f>"420624199112026129"</f>
        <v>420624199112026129</v>
      </c>
      <c r="D14412" t="s">
        <v>1</v>
      </c>
      <c r="E14412" t="s">
        <v>1</v>
      </c>
      <c r="F14412" t="s">
        <v>0</v>
      </c>
      <c r="G14412" t="str">
        <f>"2018-10-12 22:12:05"</f>
        <v>2018-10-12 22:12:05</v>
      </c>
    </row>
    <row r="14413" spans="1:7" x14ac:dyDescent="0.2">
      <c r="A14413" t="s">
        <v>14142</v>
      </c>
      <c r="B14413" t="str">
        <f>"15727091269"</f>
        <v>15727091269</v>
      </c>
      <c r="C14413" t="str">
        <f>"42092319940708131X"</f>
        <v>42092319940708131X</v>
      </c>
      <c r="D14413" t="s">
        <v>1</v>
      </c>
      <c r="E14413" t="s">
        <v>1</v>
      </c>
      <c r="F14413" t="s">
        <v>0</v>
      </c>
      <c r="G14413" t="str">
        <f>"2018-10-12 22:07:33"</f>
        <v>2018-10-12 22:07:33</v>
      </c>
    </row>
    <row r="14414" spans="1:7" x14ac:dyDescent="0.2">
      <c r="A14414" t="s">
        <v>14143</v>
      </c>
      <c r="B14414" t="str">
        <f>"13189572054"</f>
        <v>13189572054</v>
      </c>
      <c r="C14414" t="str">
        <f>"440982199101202338"</f>
        <v>440982199101202338</v>
      </c>
      <c r="D14414" t="s">
        <v>1</v>
      </c>
      <c r="E14414" t="s">
        <v>1</v>
      </c>
      <c r="F14414" t="s">
        <v>0</v>
      </c>
      <c r="G14414" t="str">
        <f>"2018-10-12 22:17:18"</f>
        <v>2018-10-12 22:17:18</v>
      </c>
    </row>
    <row r="14415" spans="1:7" x14ac:dyDescent="0.2">
      <c r="A14415" t="s">
        <v>1</v>
      </c>
      <c r="B14415" t="str">
        <f>"13876879787"</f>
        <v>13876879787</v>
      </c>
      <c r="C14415" t="s">
        <v>1</v>
      </c>
      <c r="D14415" t="s">
        <v>1</v>
      </c>
      <c r="E14415" t="s">
        <v>1</v>
      </c>
      <c r="F14415" t="s">
        <v>0</v>
      </c>
      <c r="G14415" t="str">
        <f>"2018-10-12 22:08:20"</f>
        <v>2018-10-12 22:08:20</v>
      </c>
    </row>
    <row r="14416" spans="1:7" x14ac:dyDescent="0.2">
      <c r="A14416" t="s">
        <v>445</v>
      </c>
      <c r="B14416" t="str">
        <f>"18980009325"</f>
        <v>18980009325</v>
      </c>
      <c r="C14416" t="str">
        <f>"510112198808192111"</f>
        <v>510112198808192111</v>
      </c>
      <c r="D14416" t="s">
        <v>14144</v>
      </c>
      <c r="E14416" t="s">
        <v>14145</v>
      </c>
      <c r="F14416" t="s">
        <v>0</v>
      </c>
      <c r="G14416" t="str">
        <f>"2018-10-14 15:13:59"</f>
        <v>2018-10-14 15:13:59</v>
      </c>
    </row>
    <row r="14417" spans="1:7" x14ac:dyDescent="0.2">
      <c r="A14417" t="s">
        <v>1</v>
      </c>
      <c r="B14417" t="str">
        <f>"15578814005"</f>
        <v>15578814005</v>
      </c>
      <c r="C14417" t="s">
        <v>1</v>
      </c>
      <c r="D14417" t="s">
        <v>1</v>
      </c>
      <c r="E14417" t="s">
        <v>1</v>
      </c>
      <c r="F14417" t="s">
        <v>0</v>
      </c>
      <c r="G14417" t="str">
        <f>"2018-10-12 22:04:36"</f>
        <v>2018-10-12 22:04:36</v>
      </c>
    </row>
    <row r="14418" spans="1:7" x14ac:dyDescent="0.2">
      <c r="A14418" t="s">
        <v>1</v>
      </c>
      <c r="B14418" t="str">
        <f>"18762345717"</f>
        <v>18762345717</v>
      </c>
      <c r="C14418" t="s">
        <v>1</v>
      </c>
      <c r="D14418" t="s">
        <v>1</v>
      </c>
      <c r="E14418" t="s">
        <v>1</v>
      </c>
      <c r="F14418" t="s">
        <v>0</v>
      </c>
      <c r="G14418" t="str">
        <f>"2018-10-12 22:04:30"</f>
        <v>2018-10-12 22:04:30</v>
      </c>
    </row>
    <row r="14419" spans="1:7" x14ac:dyDescent="0.2">
      <c r="A14419" t="s">
        <v>14146</v>
      </c>
      <c r="B14419" t="str">
        <f>"15907417199"</f>
        <v>15907417199</v>
      </c>
      <c r="C14419" t="str">
        <f>"433126198804122029"</f>
        <v>433126198804122029</v>
      </c>
      <c r="D14419" t="s">
        <v>1</v>
      </c>
      <c r="E14419" t="s">
        <v>1</v>
      </c>
      <c r="F14419" t="s">
        <v>0</v>
      </c>
      <c r="G14419" t="str">
        <f>"2018-10-12 22:05:07"</f>
        <v>2018-10-12 22:05:07</v>
      </c>
    </row>
    <row r="14420" spans="1:7" x14ac:dyDescent="0.2">
      <c r="A14420" t="s">
        <v>14147</v>
      </c>
      <c r="B14420" t="str">
        <f>"18277550917"</f>
        <v>18277550917</v>
      </c>
      <c r="C14420" t="str">
        <f>"450902199110130217"</f>
        <v>450902199110130217</v>
      </c>
      <c r="D14420" t="s">
        <v>1</v>
      </c>
      <c r="E14420" t="s">
        <v>1</v>
      </c>
      <c r="F14420" t="s">
        <v>0</v>
      </c>
      <c r="G14420" t="str">
        <f>"2018-10-12 23:00:36"</f>
        <v>2018-10-12 23:00:36</v>
      </c>
    </row>
    <row r="14421" spans="1:7" x14ac:dyDescent="0.2">
      <c r="A14421" t="s">
        <v>108</v>
      </c>
      <c r="B14421" t="str">
        <f>"15756539556"</f>
        <v>15756539556</v>
      </c>
      <c r="C14421" t="str">
        <f>"230606199309283614"</f>
        <v>230606199309283614</v>
      </c>
      <c r="D14421" t="s">
        <v>1</v>
      </c>
      <c r="E14421" t="s">
        <v>1</v>
      </c>
      <c r="F14421" t="s">
        <v>0</v>
      </c>
      <c r="G14421" t="str">
        <f>"2018-10-12 22:04:58"</f>
        <v>2018-10-12 22:04:58</v>
      </c>
    </row>
    <row r="14422" spans="1:7" x14ac:dyDescent="0.2">
      <c r="A14422" t="s">
        <v>1</v>
      </c>
      <c r="B14422" t="str">
        <f>"18873069308"</f>
        <v>18873069308</v>
      </c>
      <c r="C14422" t="s">
        <v>1</v>
      </c>
      <c r="D14422" t="s">
        <v>1</v>
      </c>
      <c r="E14422" t="s">
        <v>1</v>
      </c>
      <c r="F14422" t="s">
        <v>0</v>
      </c>
      <c r="G14422" t="str">
        <f>"2018-10-13 17:59:56"</f>
        <v>2018-10-13 17:59:56</v>
      </c>
    </row>
    <row r="14423" spans="1:7" x14ac:dyDescent="0.2">
      <c r="A14423" t="s">
        <v>14148</v>
      </c>
      <c r="B14423" t="str">
        <f>"18638842946"</f>
        <v>18638842946</v>
      </c>
      <c r="C14423" t="str">
        <f>"410328198707284031"</f>
        <v>410328198707284031</v>
      </c>
      <c r="D14423" t="s">
        <v>1</v>
      </c>
      <c r="E14423" t="s">
        <v>1</v>
      </c>
      <c r="F14423" t="s">
        <v>0</v>
      </c>
      <c r="G14423" t="str">
        <f>"2018-10-12 22:03:05"</f>
        <v>2018-10-12 22:03:05</v>
      </c>
    </row>
    <row r="14424" spans="1:7" x14ac:dyDescent="0.2">
      <c r="A14424" t="s">
        <v>1</v>
      </c>
      <c r="B14424" t="str">
        <f>"18618135258"</f>
        <v>18618135258</v>
      </c>
      <c r="C14424" t="s">
        <v>1</v>
      </c>
      <c r="D14424" t="s">
        <v>1</v>
      </c>
      <c r="E14424" t="s">
        <v>1</v>
      </c>
      <c r="F14424" t="s">
        <v>0</v>
      </c>
      <c r="G14424" t="str">
        <f>"2018-10-12 22:01:22"</f>
        <v>2018-10-12 22:01:22</v>
      </c>
    </row>
    <row r="14425" spans="1:7" x14ac:dyDescent="0.2">
      <c r="A14425" t="s">
        <v>14149</v>
      </c>
      <c r="B14425" t="str">
        <f>"13615956979"</f>
        <v>13615956979</v>
      </c>
      <c r="C14425" t="str">
        <f>"350583198101203777"</f>
        <v>350583198101203777</v>
      </c>
      <c r="D14425" t="s">
        <v>1</v>
      </c>
      <c r="E14425" t="s">
        <v>1</v>
      </c>
      <c r="F14425" t="s">
        <v>0</v>
      </c>
      <c r="G14425" t="str">
        <f>"2018-10-12 23:16:34"</f>
        <v>2018-10-12 23:16:34</v>
      </c>
    </row>
    <row r="14426" spans="1:7" x14ac:dyDescent="0.2">
      <c r="A14426" t="s">
        <v>14150</v>
      </c>
      <c r="B14426" t="str">
        <f>"18825246004"</f>
        <v>18825246004</v>
      </c>
      <c r="C14426" t="str">
        <f>"371502198906024510"</f>
        <v>371502198906024510</v>
      </c>
      <c r="D14426" t="s">
        <v>1</v>
      </c>
      <c r="E14426" t="s">
        <v>1</v>
      </c>
      <c r="F14426" t="s">
        <v>0</v>
      </c>
      <c r="G14426" t="str">
        <f>"2018-10-12 22:08:58"</f>
        <v>2018-10-12 22:08:58</v>
      </c>
    </row>
    <row r="14427" spans="1:7" x14ac:dyDescent="0.2">
      <c r="A14427" t="s">
        <v>1</v>
      </c>
      <c r="B14427" t="str">
        <f>"15519690155"</f>
        <v>15519690155</v>
      </c>
      <c r="C14427" t="s">
        <v>1</v>
      </c>
      <c r="D14427" t="s">
        <v>1</v>
      </c>
      <c r="E14427" t="s">
        <v>1</v>
      </c>
      <c r="F14427" t="s">
        <v>0</v>
      </c>
      <c r="G14427" t="str">
        <f>"2018-10-12 22:02:00"</f>
        <v>2018-10-12 22:02:00</v>
      </c>
    </row>
    <row r="14428" spans="1:7" x14ac:dyDescent="0.2">
      <c r="A14428" t="s">
        <v>14151</v>
      </c>
      <c r="B14428" t="str">
        <f>"17718954990"</f>
        <v>17718954990</v>
      </c>
      <c r="C14428" t="str">
        <f>"43108119751216529X"</f>
        <v>43108119751216529X</v>
      </c>
      <c r="D14428" t="s">
        <v>1</v>
      </c>
      <c r="E14428" t="s">
        <v>1</v>
      </c>
      <c r="F14428" t="s">
        <v>0</v>
      </c>
      <c r="G14428" t="str">
        <f>"2018-10-12 22:01:38"</f>
        <v>2018-10-12 22:01:38</v>
      </c>
    </row>
    <row r="14429" spans="1:7" x14ac:dyDescent="0.2">
      <c r="A14429" t="s">
        <v>136</v>
      </c>
      <c r="B14429" t="str">
        <f>"13274672776"</f>
        <v>13274672776</v>
      </c>
      <c r="C14429" t="str">
        <f>"210381199702123537"</f>
        <v>210381199702123537</v>
      </c>
      <c r="D14429" t="s">
        <v>1</v>
      </c>
      <c r="E14429" t="s">
        <v>1</v>
      </c>
      <c r="F14429" t="s">
        <v>0</v>
      </c>
      <c r="G14429" t="str">
        <f>"2018-10-12 22:05:12"</f>
        <v>2018-10-12 22:05:12</v>
      </c>
    </row>
    <row r="14430" spans="1:7" x14ac:dyDescent="0.2">
      <c r="A14430" t="s">
        <v>1</v>
      </c>
      <c r="B14430" t="str">
        <f>"15030256515"</f>
        <v>15030256515</v>
      </c>
      <c r="C14430" t="s">
        <v>1</v>
      </c>
      <c r="D14430" t="s">
        <v>1</v>
      </c>
      <c r="E14430" t="s">
        <v>1</v>
      </c>
      <c r="F14430" t="s">
        <v>0</v>
      </c>
      <c r="G14430" t="str">
        <f>"2018-10-12 21:58:00"</f>
        <v>2018-10-12 21:58:00</v>
      </c>
    </row>
    <row r="14431" spans="1:7" x14ac:dyDescent="0.2">
      <c r="A14431" t="s">
        <v>1</v>
      </c>
      <c r="B14431" t="str">
        <f>"15653703479"</f>
        <v>15653703479</v>
      </c>
      <c r="C14431" t="s">
        <v>1</v>
      </c>
      <c r="D14431" t="s">
        <v>1</v>
      </c>
      <c r="E14431" t="s">
        <v>1</v>
      </c>
      <c r="F14431" t="s">
        <v>0</v>
      </c>
      <c r="G14431" t="str">
        <f>"2018-10-12 21:57:40"</f>
        <v>2018-10-12 21:57:40</v>
      </c>
    </row>
    <row r="14432" spans="1:7" x14ac:dyDescent="0.2">
      <c r="A14432" t="s">
        <v>1552</v>
      </c>
      <c r="B14432" t="str">
        <f>"13961702793"</f>
        <v>13961702793</v>
      </c>
      <c r="C14432" t="str">
        <f>"320283198508272262"</f>
        <v>320283198508272262</v>
      </c>
      <c r="D14432" t="s">
        <v>1</v>
      </c>
      <c r="E14432" t="s">
        <v>1</v>
      </c>
      <c r="F14432" t="s">
        <v>0</v>
      </c>
      <c r="G14432" t="str">
        <f>"2018-10-12 21:56:20"</f>
        <v>2018-10-12 21:56:20</v>
      </c>
    </row>
    <row r="14433" spans="1:7" x14ac:dyDescent="0.2">
      <c r="A14433" t="s">
        <v>14152</v>
      </c>
      <c r="B14433" t="str">
        <f>"13756121227"</f>
        <v>13756121227</v>
      </c>
      <c r="C14433" t="str">
        <f>"220523198112271251"</f>
        <v>220523198112271251</v>
      </c>
      <c r="D14433" t="s">
        <v>1</v>
      </c>
      <c r="E14433" t="s">
        <v>1</v>
      </c>
      <c r="F14433" t="s">
        <v>0</v>
      </c>
      <c r="G14433" t="str">
        <f>"2018-10-12 21:56:07"</f>
        <v>2018-10-12 21:56:07</v>
      </c>
    </row>
    <row r="14434" spans="1:7" x14ac:dyDescent="0.2">
      <c r="A14434" t="s">
        <v>1</v>
      </c>
      <c r="B14434" t="str">
        <f>"13520688508"</f>
        <v>13520688508</v>
      </c>
      <c r="C14434" t="s">
        <v>1</v>
      </c>
      <c r="D14434" t="s">
        <v>1</v>
      </c>
      <c r="E14434" t="s">
        <v>1</v>
      </c>
      <c r="F14434" t="s">
        <v>0</v>
      </c>
      <c r="G14434" t="str">
        <f>"2018-10-12 21:55:43"</f>
        <v>2018-10-12 21:55:43</v>
      </c>
    </row>
    <row r="14435" spans="1:7" x14ac:dyDescent="0.2">
      <c r="A14435" t="s">
        <v>14153</v>
      </c>
      <c r="B14435" t="str">
        <f>"17749886181"</f>
        <v>17749886181</v>
      </c>
      <c r="C14435" t="str">
        <f>"130636199609078633"</f>
        <v>130636199609078633</v>
      </c>
      <c r="D14435" t="s">
        <v>1</v>
      </c>
      <c r="E14435" t="s">
        <v>1</v>
      </c>
      <c r="F14435" t="s">
        <v>0</v>
      </c>
      <c r="G14435" t="str">
        <f>"2018-10-12 21:58:46"</f>
        <v>2018-10-12 21:58:46</v>
      </c>
    </row>
    <row r="14436" spans="1:7" x14ac:dyDescent="0.2">
      <c r="A14436" t="s">
        <v>1</v>
      </c>
      <c r="B14436" t="str">
        <f>"13207886454"</f>
        <v>13207886454</v>
      </c>
      <c r="C14436" t="s">
        <v>1</v>
      </c>
      <c r="D14436" t="s">
        <v>1</v>
      </c>
      <c r="E14436" t="s">
        <v>1</v>
      </c>
      <c r="F14436" t="s">
        <v>0</v>
      </c>
      <c r="G14436" t="str">
        <f>"2018-10-12 21:54:50"</f>
        <v>2018-10-12 21:54:50</v>
      </c>
    </row>
    <row r="14437" spans="1:7" x14ac:dyDescent="0.2">
      <c r="A14437" t="s">
        <v>1</v>
      </c>
      <c r="B14437" t="str">
        <f>"13299608416"</f>
        <v>13299608416</v>
      </c>
      <c r="C14437" t="s">
        <v>1</v>
      </c>
      <c r="D14437" t="s">
        <v>1</v>
      </c>
      <c r="E14437" t="s">
        <v>1</v>
      </c>
      <c r="F14437" t="s">
        <v>0</v>
      </c>
      <c r="G14437" t="str">
        <f>"2018-10-12 21:54:42"</f>
        <v>2018-10-12 21:54:42</v>
      </c>
    </row>
    <row r="14438" spans="1:7" x14ac:dyDescent="0.2">
      <c r="A14438" t="s">
        <v>14154</v>
      </c>
      <c r="B14438" t="str">
        <f>"15929927418"</f>
        <v>15929927418</v>
      </c>
      <c r="C14438" t="str">
        <f>"610124198106111822"</f>
        <v>610124198106111822</v>
      </c>
      <c r="D14438" t="s">
        <v>1</v>
      </c>
      <c r="E14438" t="s">
        <v>1</v>
      </c>
      <c r="F14438" t="s">
        <v>0</v>
      </c>
      <c r="G14438" t="str">
        <f>"2018-10-28 10:11:05"</f>
        <v>2018-10-28 10:11:05</v>
      </c>
    </row>
    <row r="14439" spans="1:7" x14ac:dyDescent="0.2">
      <c r="A14439" t="s">
        <v>1</v>
      </c>
      <c r="B14439" t="str">
        <f>"13197797742"</f>
        <v>13197797742</v>
      </c>
      <c r="C14439" t="s">
        <v>1</v>
      </c>
      <c r="D14439" t="s">
        <v>1</v>
      </c>
      <c r="E14439" t="s">
        <v>1</v>
      </c>
      <c r="F14439" t="s">
        <v>0</v>
      </c>
      <c r="G14439" t="str">
        <f>"2018-10-12 21:53:27"</f>
        <v>2018-10-12 21:53:27</v>
      </c>
    </row>
    <row r="14440" spans="1:7" x14ac:dyDescent="0.2">
      <c r="A14440" t="s">
        <v>1</v>
      </c>
      <c r="B14440" t="str">
        <f>"17586540048"</f>
        <v>17586540048</v>
      </c>
      <c r="C14440" t="s">
        <v>1</v>
      </c>
      <c r="D14440" t="s">
        <v>1</v>
      </c>
      <c r="E14440" t="s">
        <v>1</v>
      </c>
      <c r="F14440" t="s">
        <v>0</v>
      </c>
      <c r="G14440" t="str">
        <f>"2018-10-12 21:52:54"</f>
        <v>2018-10-12 21:52:54</v>
      </c>
    </row>
    <row r="14441" spans="1:7" x14ac:dyDescent="0.2">
      <c r="A14441" t="s">
        <v>14155</v>
      </c>
      <c r="B14441" t="str">
        <f>"15667628393"</f>
        <v>15667628393</v>
      </c>
      <c r="C14441" t="str">
        <f>"610629199110123635"</f>
        <v>610629199110123635</v>
      </c>
      <c r="D14441" t="s">
        <v>14156</v>
      </c>
      <c r="E14441" t="s">
        <v>14157</v>
      </c>
      <c r="F14441" t="s">
        <v>0</v>
      </c>
      <c r="G14441" t="str">
        <f>"2018-10-12 21:53:51"</f>
        <v>2018-10-12 21:53:51</v>
      </c>
    </row>
    <row r="14442" spans="1:7" x14ac:dyDescent="0.2">
      <c r="A14442" t="s">
        <v>1</v>
      </c>
      <c r="B14442" t="str">
        <f>"18710211684"</f>
        <v>18710211684</v>
      </c>
      <c r="C14442" t="s">
        <v>1</v>
      </c>
      <c r="D14442" t="s">
        <v>1</v>
      </c>
      <c r="E14442" t="s">
        <v>1</v>
      </c>
      <c r="F14442" t="s">
        <v>0</v>
      </c>
      <c r="G14442" t="str">
        <f>"2018-10-12 21:50:53"</f>
        <v>2018-10-12 21:50:53</v>
      </c>
    </row>
    <row r="14443" spans="1:7" x14ac:dyDescent="0.2">
      <c r="A14443" t="s">
        <v>14158</v>
      </c>
      <c r="B14443" t="str">
        <f>"18183858844"</f>
        <v>18183858844</v>
      </c>
      <c r="C14443" t="str">
        <f>"530112199508040026"</f>
        <v>530112199508040026</v>
      </c>
      <c r="D14443" t="s">
        <v>1</v>
      </c>
      <c r="E14443" t="s">
        <v>1</v>
      </c>
      <c r="F14443" t="s">
        <v>0</v>
      </c>
      <c r="G14443" t="str">
        <f>"2018-10-12 21:50:22"</f>
        <v>2018-10-12 21:50:22</v>
      </c>
    </row>
    <row r="14444" spans="1:7" x14ac:dyDescent="0.2">
      <c r="A14444" t="s">
        <v>14159</v>
      </c>
      <c r="B14444" t="str">
        <f>"18770017002"</f>
        <v>18770017002</v>
      </c>
      <c r="C14444" t="str">
        <f>"362322199304030057"</f>
        <v>362322199304030057</v>
      </c>
      <c r="D14444" t="s">
        <v>1</v>
      </c>
      <c r="E14444" t="s">
        <v>1</v>
      </c>
      <c r="F14444" t="s">
        <v>0</v>
      </c>
      <c r="G14444" t="str">
        <f>"2018-10-12 21:49:59"</f>
        <v>2018-10-12 21:49:59</v>
      </c>
    </row>
    <row r="14445" spans="1:7" x14ac:dyDescent="0.2">
      <c r="A14445" t="s">
        <v>14160</v>
      </c>
      <c r="B14445" t="str">
        <f>"13193946647"</f>
        <v>13193946647</v>
      </c>
      <c r="C14445" t="str">
        <f>"410922199712126256"</f>
        <v>410922199712126256</v>
      </c>
      <c r="D14445" t="s">
        <v>14161</v>
      </c>
      <c r="E14445" t="s">
        <v>14162</v>
      </c>
      <c r="F14445" t="s">
        <v>0</v>
      </c>
      <c r="G14445" t="str">
        <f>"2018-10-12 21:49:59"</f>
        <v>2018-10-12 21:49:59</v>
      </c>
    </row>
    <row r="14446" spans="1:7" x14ac:dyDescent="0.2">
      <c r="A14446" t="s">
        <v>14163</v>
      </c>
      <c r="B14446" t="str">
        <f>"18369789867"</f>
        <v>18369789867</v>
      </c>
      <c r="C14446" t="str">
        <f>"370829200107232925"</f>
        <v>370829200107232925</v>
      </c>
      <c r="D14446" t="s">
        <v>1</v>
      </c>
      <c r="E14446" t="s">
        <v>1</v>
      </c>
      <c r="F14446" t="s">
        <v>0</v>
      </c>
      <c r="G14446" t="str">
        <f>"2018-10-12 21:48:12"</f>
        <v>2018-10-12 21:48:12</v>
      </c>
    </row>
    <row r="14447" spans="1:7" x14ac:dyDescent="0.2">
      <c r="A14447" t="s">
        <v>1</v>
      </c>
      <c r="B14447" t="str">
        <f>"15271263001"</f>
        <v>15271263001</v>
      </c>
      <c r="C14447" t="s">
        <v>1</v>
      </c>
      <c r="D14447" t="s">
        <v>1</v>
      </c>
      <c r="E14447" t="s">
        <v>1</v>
      </c>
      <c r="F14447" t="s">
        <v>0</v>
      </c>
      <c r="G14447" t="str">
        <f>"2018-10-12 21:49:07"</f>
        <v>2018-10-12 21:49:07</v>
      </c>
    </row>
    <row r="14448" spans="1:7" x14ac:dyDescent="0.2">
      <c r="A14448" t="s">
        <v>1</v>
      </c>
      <c r="B14448" t="str">
        <f>"13956366866"</f>
        <v>13956366866</v>
      </c>
      <c r="C14448" t="s">
        <v>1</v>
      </c>
      <c r="D14448" t="s">
        <v>1</v>
      </c>
      <c r="E14448" t="s">
        <v>1</v>
      </c>
      <c r="F14448" t="s">
        <v>0</v>
      </c>
      <c r="G14448" t="str">
        <f>"2018-10-12 21:47:59"</f>
        <v>2018-10-12 21:47:59</v>
      </c>
    </row>
    <row r="14449" spans="1:7" x14ac:dyDescent="0.2">
      <c r="A14449" t="s">
        <v>14164</v>
      </c>
      <c r="B14449" t="str">
        <f>"15124111184"</f>
        <v>15124111184</v>
      </c>
      <c r="C14449" t="str">
        <f>"21038119770711354X"</f>
        <v>21038119770711354X</v>
      </c>
      <c r="D14449" t="s">
        <v>1</v>
      </c>
      <c r="E14449" t="s">
        <v>1</v>
      </c>
      <c r="F14449" t="s">
        <v>0</v>
      </c>
      <c r="G14449" t="str">
        <f>"2018-10-12 21:47:51"</f>
        <v>2018-10-12 21:47:51</v>
      </c>
    </row>
    <row r="14450" spans="1:7" x14ac:dyDescent="0.2">
      <c r="A14450" t="s">
        <v>1</v>
      </c>
      <c r="B14450" t="str">
        <f>"13357390372"</f>
        <v>13357390372</v>
      </c>
      <c r="C14450" t="s">
        <v>1</v>
      </c>
      <c r="D14450" t="s">
        <v>1</v>
      </c>
      <c r="E14450" t="s">
        <v>1</v>
      </c>
      <c r="F14450" t="s">
        <v>0</v>
      </c>
      <c r="G14450" t="str">
        <f>"2018-10-12 21:46:14"</f>
        <v>2018-10-12 21:46:14</v>
      </c>
    </row>
    <row r="14451" spans="1:7" x14ac:dyDescent="0.2">
      <c r="A14451" t="s">
        <v>14165</v>
      </c>
      <c r="B14451" t="str">
        <f>"18761375542"</f>
        <v>18761375542</v>
      </c>
      <c r="C14451" t="str">
        <f>"320723199904193414"</f>
        <v>320723199904193414</v>
      </c>
      <c r="D14451" t="s">
        <v>1</v>
      </c>
      <c r="E14451" t="s">
        <v>1</v>
      </c>
      <c r="F14451" t="s">
        <v>0</v>
      </c>
      <c r="G14451" t="str">
        <f>"2018-10-12 21:47:34"</f>
        <v>2018-10-12 21:47:34</v>
      </c>
    </row>
    <row r="14452" spans="1:7" x14ac:dyDescent="0.2">
      <c r="A14452" t="s">
        <v>1</v>
      </c>
      <c r="B14452" t="str">
        <f>"13299263767"</f>
        <v>13299263767</v>
      </c>
      <c r="C14452" t="s">
        <v>1</v>
      </c>
      <c r="D14452" t="s">
        <v>1</v>
      </c>
      <c r="E14452" t="s">
        <v>1</v>
      </c>
      <c r="F14452" t="s">
        <v>0</v>
      </c>
      <c r="G14452" t="str">
        <f>"2018-10-12 23:12:22"</f>
        <v>2018-10-12 23:12:22</v>
      </c>
    </row>
    <row r="14453" spans="1:7" x14ac:dyDescent="0.2">
      <c r="A14453" t="s">
        <v>1</v>
      </c>
      <c r="B14453" t="str">
        <f>"13006997644"</f>
        <v>13006997644</v>
      </c>
      <c r="C14453" t="s">
        <v>1</v>
      </c>
      <c r="D14453" t="s">
        <v>1</v>
      </c>
      <c r="E14453" t="s">
        <v>1</v>
      </c>
      <c r="F14453" t="s">
        <v>0</v>
      </c>
      <c r="G14453" t="str">
        <f>"2018-10-12 21:44:56"</f>
        <v>2018-10-12 21:44:56</v>
      </c>
    </row>
    <row r="14454" spans="1:7" x14ac:dyDescent="0.2">
      <c r="A14454" t="s">
        <v>14166</v>
      </c>
      <c r="B14454" t="str">
        <f>"15262840275"</f>
        <v>15262840275</v>
      </c>
      <c r="C14454" t="str">
        <f>"320682198111266126"</f>
        <v>320682198111266126</v>
      </c>
      <c r="D14454" t="s">
        <v>1</v>
      </c>
      <c r="E14454" t="s">
        <v>1</v>
      </c>
      <c r="F14454" t="s">
        <v>0</v>
      </c>
      <c r="G14454" t="str">
        <f>"2018-10-12 22:16:25"</f>
        <v>2018-10-12 22:16:25</v>
      </c>
    </row>
    <row r="14455" spans="1:7" x14ac:dyDescent="0.2">
      <c r="A14455" t="s">
        <v>14167</v>
      </c>
      <c r="B14455" t="str">
        <f>"13319259067"</f>
        <v>13319259067</v>
      </c>
      <c r="C14455" t="str">
        <f>"610114196707210517"</f>
        <v>610114196707210517</v>
      </c>
      <c r="D14455" t="s">
        <v>14168</v>
      </c>
      <c r="E14455" t="s">
        <v>14169</v>
      </c>
      <c r="F14455" t="s">
        <v>0</v>
      </c>
      <c r="G14455" t="str">
        <f>"2018-10-12 21:45:49"</f>
        <v>2018-10-12 21:45:49</v>
      </c>
    </row>
    <row r="14456" spans="1:7" x14ac:dyDescent="0.2">
      <c r="A14456" t="s">
        <v>14170</v>
      </c>
      <c r="B14456" t="str">
        <f>"13814209926"</f>
        <v>13814209926</v>
      </c>
      <c r="C14456" t="str">
        <f>"320204199410253556"</f>
        <v>320204199410253556</v>
      </c>
      <c r="D14456" t="s">
        <v>1</v>
      </c>
      <c r="E14456" t="s">
        <v>1</v>
      </c>
      <c r="F14456" t="s">
        <v>0</v>
      </c>
      <c r="G14456" t="str">
        <f>"2018-10-12 21:47:05"</f>
        <v>2018-10-12 21:47:05</v>
      </c>
    </row>
    <row r="14457" spans="1:7" x14ac:dyDescent="0.2">
      <c r="A14457" t="s">
        <v>1</v>
      </c>
      <c r="B14457" t="str">
        <f>"18789262660"</f>
        <v>18789262660</v>
      </c>
      <c r="C14457" t="s">
        <v>1</v>
      </c>
      <c r="D14457" t="s">
        <v>1</v>
      </c>
      <c r="E14457" t="s">
        <v>1</v>
      </c>
      <c r="F14457" t="s">
        <v>0</v>
      </c>
      <c r="G14457" t="str">
        <f>"2018-10-12 21:43:55"</f>
        <v>2018-10-12 21:43:55</v>
      </c>
    </row>
    <row r="14458" spans="1:7" x14ac:dyDescent="0.2">
      <c r="A14458" t="s">
        <v>14171</v>
      </c>
      <c r="B14458" t="str">
        <f>"13698707837"</f>
        <v>13698707837</v>
      </c>
      <c r="C14458" t="str">
        <f>"530325199805051373"</f>
        <v>530325199805051373</v>
      </c>
      <c r="D14458" t="s">
        <v>1</v>
      </c>
      <c r="E14458" t="s">
        <v>1</v>
      </c>
      <c r="F14458" t="s">
        <v>0</v>
      </c>
      <c r="G14458" t="str">
        <f>"2018-10-12 21:44:28"</f>
        <v>2018-10-12 21:44:28</v>
      </c>
    </row>
    <row r="14459" spans="1:7" x14ac:dyDescent="0.2">
      <c r="A14459" t="s">
        <v>1</v>
      </c>
      <c r="B14459" t="str">
        <f>"15607839804"</f>
        <v>15607839804</v>
      </c>
      <c r="C14459" t="s">
        <v>1</v>
      </c>
      <c r="D14459" t="s">
        <v>1</v>
      </c>
      <c r="E14459" t="s">
        <v>1</v>
      </c>
      <c r="F14459" t="s">
        <v>0</v>
      </c>
      <c r="G14459" t="str">
        <f>"2018-10-12 21:42:33"</f>
        <v>2018-10-12 21:42:33</v>
      </c>
    </row>
    <row r="14460" spans="1:7" x14ac:dyDescent="0.2">
      <c r="A14460" t="s">
        <v>14172</v>
      </c>
      <c r="B14460" t="str">
        <f>"15929964906"</f>
        <v>15929964906</v>
      </c>
      <c r="C14460" t="str">
        <f>"610124198509131844"</f>
        <v>610124198509131844</v>
      </c>
      <c r="D14460" t="s">
        <v>1</v>
      </c>
      <c r="E14460" t="s">
        <v>1</v>
      </c>
      <c r="F14460" t="s">
        <v>0</v>
      </c>
      <c r="G14460" t="str">
        <f>"2018-10-12 21:43:54"</f>
        <v>2018-10-12 21:43:54</v>
      </c>
    </row>
    <row r="14461" spans="1:7" x14ac:dyDescent="0.2">
      <c r="A14461" t="s">
        <v>14173</v>
      </c>
      <c r="B14461" t="str">
        <f>"13138971783"</f>
        <v>13138971783</v>
      </c>
      <c r="C14461" t="str">
        <f>"460033199412048339"</f>
        <v>460033199412048339</v>
      </c>
      <c r="D14461" t="s">
        <v>1</v>
      </c>
      <c r="E14461" t="s">
        <v>1</v>
      </c>
      <c r="F14461" t="s">
        <v>0</v>
      </c>
      <c r="G14461" t="str">
        <f>"2018-10-12 21:43:42"</f>
        <v>2018-10-12 21:43:42</v>
      </c>
    </row>
    <row r="14462" spans="1:7" x14ac:dyDescent="0.2">
      <c r="A14462" t="s">
        <v>14174</v>
      </c>
      <c r="B14462" t="str">
        <f>"15637466662"</f>
        <v>15637466662</v>
      </c>
      <c r="C14462" t="str">
        <f>"411081198607129225"</f>
        <v>411081198607129225</v>
      </c>
      <c r="D14462" t="s">
        <v>1</v>
      </c>
      <c r="E14462" t="s">
        <v>1</v>
      </c>
      <c r="F14462" t="s">
        <v>0</v>
      </c>
      <c r="G14462" t="str">
        <f>"2018-10-19 16:05:48"</f>
        <v>2018-10-19 16:05:48</v>
      </c>
    </row>
    <row r="14463" spans="1:7" x14ac:dyDescent="0.2">
      <c r="A14463" t="s">
        <v>1</v>
      </c>
      <c r="B14463" t="str">
        <f>"18221760597"</f>
        <v>18221760597</v>
      </c>
      <c r="C14463" t="s">
        <v>1</v>
      </c>
      <c r="D14463" t="s">
        <v>1</v>
      </c>
      <c r="E14463" t="s">
        <v>1</v>
      </c>
      <c r="F14463" t="s">
        <v>0</v>
      </c>
      <c r="G14463" t="str">
        <f>"2018-10-12 21:42:00"</f>
        <v>2018-10-12 21:42:00</v>
      </c>
    </row>
    <row r="14464" spans="1:7" x14ac:dyDescent="0.2">
      <c r="A14464" t="s">
        <v>764</v>
      </c>
      <c r="B14464" t="str">
        <f>"15118208232"</f>
        <v>15118208232</v>
      </c>
      <c r="C14464" t="str">
        <f>"452127199503234530"</f>
        <v>452127199503234530</v>
      </c>
      <c r="D14464" t="s">
        <v>1</v>
      </c>
      <c r="E14464" t="s">
        <v>1</v>
      </c>
      <c r="F14464" t="s">
        <v>0</v>
      </c>
      <c r="G14464" t="str">
        <f>"2018-10-17 21:19:47"</f>
        <v>2018-10-17 21:19:47</v>
      </c>
    </row>
    <row r="14465" spans="1:7" x14ac:dyDescent="0.2">
      <c r="A14465" t="s">
        <v>1</v>
      </c>
      <c r="B14465" t="str">
        <f>"18919215234"</f>
        <v>18919215234</v>
      </c>
      <c r="C14465" t="s">
        <v>1</v>
      </c>
      <c r="D14465" t="s">
        <v>1</v>
      </c>
      <c r="E14465" t="s">
        <v>1</v>
      </c>
      <c r="F14465" t="s">
        <v>0</v>
      </c>
      <c r="G14465" t="str">
        <f>"2018-10-12 21:41:04"</f>
        <v>2018-10-12 21:41:04</v>
      </c>
    </row>
    <row r="14466" spans="1:7" x14ac:dyDescent="0.2">
      <c r="A14466" t="s">
        <v>14175</v>
      </c>
      <c r="B14466" t="str">
        <f>"13615318345"</f>
        <v>13615318345</v>
      </c>
      <c r="C14466" t="str">
        <f>"370181198908240316"</f>
        <v>370181198908240316</v>
      </c>
      <c r="D14466" t="s">
        <v>1</v>
      </c>
      <c r="E14466" t="s">
        <v>1</v>
      </c>
      <c r="F14466" t="s">
        <v>0</v>
      </c>
      <c r="G14466" t="str">
        <f>"2018-10-12 21:41:27"</f>
        <v>2018-10-12 21:41:27</v>
      </c>
    </row>
    <row r="14467" spans="1:7" x14ac:dyDescent="0.2">
      <c r="A14467" t="s">
        <v>14176</v>
      </c>
      <c r="B14467" t="str">
        <f>"13129245007"</f>
        <v>13129245007</v>
      </c>
      <c r="C14467" t="str">
        <f>"452523199410060873"</f>
        <v>452523199410060873</v>
      </c>
      <c r="D14467" t="s">
        <v>14177</v>
      </c>
      <c r="E14467" t="s">
        <v>14178</v>
      </c>
      <c r="F14467" t="s">
        <v>0</v>
      </c>
      <c r="G14467" t="str">
        <f>"2018-10-12 21:45:48"</f>
        <v>2018-10-12 21:45:48</v>
      </c>
    </row>
    <row r="14468" spans="1:7" x14ac:dyDescent="0.2">
      <c r="A14468" t="s">
        <v>14179</v>
      </c>
      <c r="B14468" t="str">
        <f>"18052417734"</f>
        <v>18052417734</v>
      </c>
      <c r="C14468" t="str">
        <f>"522121199601107463"</f>
        <v>522121199601107463</v>
      </c>
      <c r="D14468" t="s">
        <v>1</v>
      </c>
      <c r="E14468" t="s">
        <v>1</v>
      </c>
      <c r="F14468" t="s">
        <v>0</v>
      </c>
      <c r="G14468" t="str">
        <f>"2018-10-12 21:40:03"</f>
        <v>2018-10-12 21:40:03</v>
      </c>
    </row>
    <row r="14469" spans="1:7" x14ac:dyDescent="0.2">
      <c r="A14469" t="s">
        <v>14180</v>
      </c>
      <c r="B14469" t="str">
        <f>"13683889982"</f>
        <v>13683889982</v>
      </c>
      <c r="C14469" t="str">
        <f>"41282919910910001X"</f>
        <v>41282919910910001X</v>
      </c>
      <c r="D14469" t="s">
        <v>14181</v>
      </c>
      <c r="E14469" t="s">
        <v>14182</v>
      </c>
      <c r="F14469" t="s">
        <v>0</v>
      </c>
      <c r="G14469" t="str">
        <f>"2018-10-12 21:56:45"</f>
        <v>2018-10-12 21:56:45</v>
      </c>
    </row>
    <row r="14470" spans="1:7" x14ac:dyDescent="0.2">
      <c r="A14470" t="s">
        <v>14183</v>
      </c>
      <c r="B14470" t="str">
        <f>"14788069195"</f>
        <v>14788069195</v>
      </c>
      <c r="C14470" t="str">
        <f>"532822199512200021"</f>
        <v>532822199512200021</v>
      </c>
      <c r="D14470" t="s">
        <v>1</v>
      </c>
      <c r="E14470" t="s">
        <v>1</v>
      </c>
      <c r="F14470" t="s">
        <v>0</v>
      </c>
      <c r="G14470" t="str">
        <f>"2018-10-12 21:39:15"</f>
        <v>2018-10-12 21:39:15</v>
      </c>
    </row>
    <row r="14471" spans="1:7" x14ac:dyDescent="0.2">
      <c r="A14471" t="s">
        <v>1</v>
      </c>
      <c r="B14471" t="str">
        <f>"17633105514"</f>
        <v>17633105514</v>
      </c>
      <c r="C14471" t="s">
        <v>1</v>
      </c>
      <c r="D14471" t="s">
        <v>1</v>
      </c>
      <c r="E14471" t="s">
        <v>1</v>
      </c>
      <c r="F14471" t="s">
        <v>0</v>
      </c>
      <c r="G14471" t="str">
        <f>"2018-10-12 21:36:14"</f>
        <v>2018-10-12 21:36:14</v>
      </c>
    </row>
    <row r="14472" spans="1:7" x14ac:dyDescent="0.2">
      <c r="A14472" t="s">
        <v>1</v>
      </c>
      <c r="B14472" t="str">
        <f>"13590282511"</f>
        <v>13590282511</v>
      </c>
      <c r="C14472" t="s">
        <v>1</v>
      </c>
      <c r="D14472" t="s">
        <v>1</v>
      </c>
      <c r="E14472" t="s">
        <v>1</v>
      </c>
      <c r="F14472" t="s">
        <v>0</v>
      </c>
      <c r="G14472" t="str">
        <f>"2018-10-12 21:35:51"</f>
        <v>2018-10-12 21:35:51</v>
      </c>
    </row>
    <row r="14473" spans="1:7" x14ac:dyDescent="0.2">
      <c r="A14473" t="s">
        <v>14184</v>
      </c>
      <c r="B14473" t="str">
        <f>"17620641625"</f>
        <v>17620641625</v>
      </c>
      <c r="C14473" t="str">
        <f>"522528199601102431"</f>
        <v>522528199601102431</v>
      </c>
      <c r="D14473" t="s">
        <v>1</v>
      </c>
      <c r="E14473" t="s">
        <v>1</v>
      </c>
      <c r="F14473" t="s">
        <v>0</v>
      </c>
      <c r="G14473" t="str">
        <f>"2018-10-12 21:38:43"</f>
        <v>2018-10-12 21:38:43</v>
      </c>
    </row>
    <row r="14474" spans="1:7" x14ac:dyDescent="0.2">
      <c r="A14474" t="s">
        <v>1</v>
      </c>
      <c r="B14474" t="str">
        <f>"17811103843"</f>
        <v>17811103843</v>
      </c>
      <c r="C14474" t="s">
        <v>1</v>
      </c>
      <c r="D14474" t="s">
        <v>1</v>
      </c>
      <c r="E14474" t="s">
        <v>1</v>
      </c>
      <c r="F14474" t="s">
        <v>0</v>
      </c>
      <c r="G14474" t="str">
        <f>"2018-10-12 21:35:44"</f>
        <v>2018-10-12 21:35:44</v>
      </c>
    </row>
    <row r="14475" spans="1:7" x14ac:dyDescent="0.2">
      <c r="A14475" t="s">
        <v>1</v>
      </c>
      <c r="B14475" t="str">
        <f>"13765576945"</f>
        <v>13765576945</v>
      </c>
      <c r="C14475" t="s">
        <v>1</v>
      </c>
      <c r="D14475" t="s">
        <v>1</v>
      </c>
      <c r="E14475" t="s">
        <v>1</v>
      </c>
      <c r="F14475" t="s">
        <v>0</v>
      </c>
      <c r="G14475" t="str">
        <f>"2018-10-12 21:35:19"</f>
        <v>2018-10-12 21:35:19</v>
      </c>
    </row>
    <row r="14476" spans="1:7" x14ac:dyDescent="0.2">
      <c r="A14476" t="s">
        <v>1638</v>
      </c>
      <c r="B14476" t="str">
        <f>"13387583076"</f>
        <v>13387583076</v>
      </c>
      <c r="C14476" t="str">
        <f>"420121197404220016"</f>
        <v>420121197404220016</v>
      </c>
      <c r="D14476" t="s">
        <v>1</v>
      </c>
      <c r="E14476" t="s">
        <v>1</v>
      </c>
      <c r="F14476" t="s">
        <v>0</v>
      </c>
      <c r="G14476" t="str">
        <f>"2018-10-12 21:37:16"</f>
        <v>2018-10-12 21:37:16</v>
      </c>
    </row>
    <row r="14477" spans="1:7" x14ac:dyDescent="0.2">
      <c r="A14477" t="s">
        <v>14185</v>
      </c>
      <c r="B14477" t="str">
        <f>"17744234005"</f>
        <v>17744234005</v>
      </c>
      <c r="C14477" t="str">
        <f>"510902198610024017"</f>
        <v>510902198610024017</v>
      </c>
      <c r="D14477" t="s">
        <v>1</v>
      </c>
      <c r="E14477" t="s">
        <v>1</v>
      </c>
      <c r="F14477" t="s">
        <v>0</v>
      </c>
      <c r="G14477" t="str">
        <f>"2018-10-12 21:37:02"</f>
        <v>2018-10-12 21:37:02</v>
      </c>
    </row>
    <row r="14478" spans="1:7" x14ac:dyDescent="0.2">
      <c r="A14478" t="s">
        <v>14186</v>
      </c>
      <c r="B14478" t="str">
        <f>"17772181413"</f>
        <v>17772181413</v>
      </c>
      <c r="C14478" t="str">
        <f>"410881199407203010"</f>
        <v>410881199407203010</v>
      </c>
      <c r="D14478" t="s">
        <v>1</v>
      </c>
      <c r="E14478" t="s">
        <v>1</v>
      </c>
      <c r="F14478" t="s">
        <v>0</v>
      </c>
      <c r="G14478" t="str">
        <f>"2018-10-12 21:34:38"</f>
        <v>2018-10-12 21:34:38</v>
      </c>
    </row>
    <row r="14479" spans="1:7" x14ac:dyDescent="0.2">
      <c r="A14479" t="s">
        <v>1</v>
      </c>
      <c r="B14479" t="str">
        <f>"15279051468"</f>
        <v>15279051468</v>
      </c>
      <c r="C14479" t="s">
        <v>1</v>
      </c>
      <c r="D14479" t="s">
        <v>1</v>
      </c>
      <c r="E14479" t="s">
        <v>1</v>
      </c>
      <c r="F14479" t="s">
        <v>0</v>
      </c>
      <c r="G14479" t="str">
        <f>"2018-10-12 21:32:44"</f>
        <v>2018-10-12 21:32:44</v>
      </c>
    </row>
    <row r="14480" spans="1:7" x14ac:dyDescent="0.2">
      <c r="A14480" t="s">
        <v>1</v>
      </c>
      <c r="B14480" t="str">
        <f>"18385410160"</f>
        <v>18385410160</v>
      </c>
      <c r="C14480" t="s">
        <v>1</v>
      </c>
      <c r="D14480" t="s">
        <v>1</v>
      </c>
      <c r="E14480" t="s">
        <v>1</v>
      </c>
      <c r="F14480" t="s">
        <v>0</v>
      </c>
      <c r="G14480" t="str">
        <f>"2018-10-12 21:32:42"</f>
        <v>2018-10-12 21:32:42</v>
      </c>
    </row>
    <row r="14481" spans="1:7" x14ac:dyDescent="0.2">
      <c r="A14481" t="s">
        <v>78</v>
      </c>
      <c r="B14481" t="str">
        <f>"18187767357"</f>
        <v>18187767357</v>
      </c>
      <c r="C14481" t="str">
        <f>"530422199004290311"</f>
        <v>530422199004290311</v>
      </c>
      <c r="D14481" t="s">
        <v>1</v>
      </c>
      <c r="E14481" t="s">
        <v>1</v>
      </c>
      <c r="F14481" t="s">
        <v>0</v>
      </c>
      <c r="G14481" t="str">
        <f>"2018-10-12 21:33:47"</f>
        <v>2018-10-12 21:33:47</v>
      </c>
    </row>
    <row r="14482" spans="1:7" x14ac:dyDescent="0.2">
      <c r="A14482" t="s">
        <v>828</v>
      </c>
      <c r="B14482" t="str">
        <f>"17877109485"</f>
        <v>17877109485</v>
      </c>
      <c r="C14482" t="str">
        <f>"450121198309026055"</f>
        <v>450121198309026055</v>
      </c>
      <c r="D14482" t="s">
        <v>1</v>
      </c>
      <c r="E14482" t="s">
        <v>1</v>
      </c>
      <c r="F14482" t="s">
        <v>0</v>
      </c>
      <c r="G14482" t="str">
        <f>"2018-10-12 21:35:34"</f>
        <v>2018-10-12 21:35:34</v>
      </c>
    </row>
    <row r="14483" spans="1:7" x14ac:dyDescent="0.2">
      <c r="A14483" t="s">
        <v>14187</v>
      </c>
      <c r="B14483" t="str">
        <f>"13019296236"</f>
        <v>13019296236</v>
      </c>
      <c r="C14483" t="str">
        <f>"220402197804214483"</f>
        <v>220402197804214483</v>
      </c>
      <c r="D14483" t="s">
        <v>1</v>
      </c>
      <c r="E14483" t="s">
        <v>1</v>
      </c>
      <c r="F14483" t="s">
        <v>0</v>
      </c>
      <c r="G14483" t="str">
        <f>"2018-10-12 23:08:22"</f>
        <v>2018-10-12 23:08:22</v>
      </c>
    </row>
    <row r="14484" spans="1:7" x14ac:dyDescent="0.2">
      <c r="A14484" t="s">
        <v>1</v>
      </c>
      <c r="B14484" t="str">
        <f>"13987166764"</f>
        <v>13987166764</v>
      </c>
      <c r="C14484" t="s">
        <v>1</v>
      </c>
      <c r="D14484" t="s">
        <v>1</v>
      </c>
      <c r="E14484" t="s">
        <v>1</v>
      </c>
      <c r="F14484" t="s">
        <v>0</v>
      </c>
      <c r="G14484" t="str">
        <f>"2018-10-12 21:31:32"</f>
        <v>2018-10-12 21:31:32</v>
      </c>
    </row>
    <row r="14485" spans="1:7" x14ac:dyDescent="0.2">
      <c r="A14485" t="s">
        <v>1</v>
      </c>
      <c r="B14485" t="str">
        <f>"13042434822"</f>
        <v>13042434822</v>
      </c>
      <c r="C14485" t="s">
        <v>1</v>
      </c>
      <c r="D14485" t="s">
        <v>1</v>
      </c>
      <c r="E14485" t="s">
        <v>1</v>
      </c>
      <c r="F14485" t="s">
        <v>0</v>
      </c>
      <c r="G14485" t="str">
        <f>"2018-10-12 21:30:54"</f>
        <v>2018-10-12 21:30:54</v>
      </c>
    </row>
    <row r="14486" spans="1:7" x14ac:dyDescent="0.2">
      <c r="A14486" t="s">
        <v>1</v>
      </c>
      <c r="B14486" t="str">
        <f>"13876959926"</f>
        <v>13876959926</v>
      </c>
      <c r="C14486" t="s">
        <v>1</v>
      </c>
      <c r="D14486" t="s">
        <v>1</v>
      </c>
      <c r="E14486" t="s">
        <v>1</v>
      </c>
      <c r="F14486" t="s">
        <v>0</v>
      </c>
      <c r="G14486" t="str">
        <f>"2018-10-12 21:30:45"</f>
        <v>2018-10-12 21:30:45</v>
      </c>
    </row>
    <row r="14487" spans="1:7" x14ac:dyDescent="0.2">
      <c r="A14487" t="s">
        <v>1</v>
      </c>
      <c r="B14487" t="str">
        <f>"13976688202"</f>
        <v>13976688202</v>
      </c>
      <c r="C14487" t="s">
        <v>1</v>
      </c>
      <c r="D14487" t="s">
        <v>1</v>
      </c>
      <c r="E14487" t="s">
        <v>1</v>
      </c>
      <c r="F14487" t="s">
        <v>0</v>
      </c>
      <c r="G14487" t="str">
        <f>"2018-10-12 21:30:08"</f>
        <v>2018-10-12 21:30:08</v>
      </c>
    </row>
    <row r="14488" spans="1:7" x14ac:dyDescent="0.2">
      <c r="A14488" t="s">
        <v>14188</v>
      </c>
      <c r="B14488" t="str">
        <f>"13730635264"</f>
        <v>13730635264</v>
      </c>
      <c r="C14488" t="str">
        <f>"510724199001180032"</f>
        <v>510724199001180032</v>
      </c>
      <c r="D14488" t="s">
        <v>1</v>
      </c>
      <c r="E14488" t="s">
        <v>1</v>
      </c>
      <c r="F14488" t="s">
        <v>0</v>
      </c>
      <c r="G14488" t="str">
        <f>"2018-10-12 21:32:21"</f>
        <v>2018-10-12 21:32:21</v>
      </c>
    </row>
    <row r="14489" spans="1:7" x14ac:dyDescent="0.2">
      <c r="A14489" t="s">
        <v>1</v>
      </c>
      <c r="B14489" t="str">
        <f>"18634334649"</f>
        <v>18634334649</v>
      </c>
      <c r="C14489" t="s">
        <v>1</v>
      </c>
      <c r="D14489" t="s">
        <v>1</v>
      </c>
      <c r="E14489" t="s">
        <v>1</v>
      </c>
      <c r="F14489" t="s">
        <v>0</v>
      </c>
      <c r="G14489" t="str">
        <f>"2018-10-12 21:31:25"</f>
        <v>2018-10-12 21:31:25</v>
      </c>
    </row>
    <row r="14490" spans="1:7" x14ac:dyDescent="0.2">
      <c r="A14490" t="s">
        <v>14189</v>
      </c>
      <c r="B14490" t="str">
        <f>"17607906941"</f>
        <v>17607906941</v>
      </c>
      <c r="C14490" t="str">
        <f>"36052120010516101X"</f>
        <v>36052120010516101X</v>
      </c>
      <c r="D14490" t="s">
        <v>1</v>
      </c>
      <c r="E14490" t="s">
        <v>1</v>
      </c>
      <c r="F14490" t="s">
        <v>0</v>
      </c>
      <c r="G14490" t="str">
        <f>"2018-10-12 22:53:56"</f>
        <v>2018-10-12 22:53:56</v>
      </c>
    </row>
    <row r="14491" spans="1:7" x14ac:dyDescent="0.2">
      <c r="A14491" t="s">
        <v>1</v>
      </c>
      <c r="B14491" t="str">
        <f>"15234060301"</f>
        <v>15234060301</v>
      </c>
      <c r="C14491" t="s">
        <v>1</v>
      </c>
      <c r="D14491" t="s">
        <v>1</v>
      </c>
      <c r="E14491" t="s">
        <v>1</v>
      </c>
      <c r="F14491" t="s">
        <v>0</v>
      </c>
      <c r="G14491" t="str">
        <f>"2018-10-12 21:27:25"</f>
        <v>2018-10-12 21:27:25</v>
      </c>
    </row>
    <row r="14492" spans="1:7" x14ac:dyDescent="0.2">
      <c r="A14492" t="s">
        <v>14190</v>
      </c>
      <c r="B14492" t="str">
        <f>"18275679327"</f>
        <v>18275679327</v>
      </c>
      <c r="C14492" t="str">
        <f>"522121198606033219"</f>
        <v>522121198606033219</v>
      </c>
      <c r="D14492" t="s">
        <v>1</v>
      </c>
      <c r="E14492" t="s">
        <v>1</v>
      </c>
      <c r="F14492" t="s">
        <v>0</v>
      </c>
      <c r="G14492" t="str">
        <f>"2018-10-18 17:45:57"</f>
        <v>2018-10-18 17:45:57</v>
      </c>
    </row>
    <row r="14493" spans="1:7" x14ac:dyDescent="0.2">
      <c r="A14493" t="s">
        <v>353</v>
      </c>
      <c r="B14493" t="str">
        <f>"15183041189"</f>
        <v>15183041189</v>
      </c>
      <c r="C14493" t="str">
        <f>"510522199601046917"</f>
        <v>510522199601046917</v>
      </c>
      <c r="D14493" t="s">
        <v>1</v>
      </c>
      <c r="E14493" t="s">
        <v>1</v>
      </c>
      <c r="F14493" t="s">
        <v>0</v>
      </c>
      <c r="G14493" t="str">
        <f>"2018-10-27 03:26:33"</f>
        <v>2018-10-27 03:26:33</v>
      </c>
    </row>
    <row r="14494" spans="1:7" x14ac:dyDescent="0.2">
      <c r="A14494" t="s">
        <v>14191</v>
      </c>
      <c r="B14494" t="str">
        <f>"15031726973"</f>
        <v>15031726973</v>
      </c>
      <c r="C14494" t="str">
        <f>"130922199612257614"</f>
        <v>130922199612257614</v>
      </c>
      <c r="D14494" t="s">
        <v>1</v>
      </c>
      <c r="E14494" t="s">
        <v>1</v>
      </c>
      <c r="F14494" t="s">
        <v>0</v>
      </c>
      <c r="G14494" t="str">
        <f>"2018-10-12 21:27:33"</f>
        <v>2018-10-12 21:27:33</v>
      </c>
    </row>
    <row r="14495" spans="1:7" x14ac:dyDescent="0.2">
      <c r="A14495" t="s">
        <v>1</v>
      </c>
      <c r="B14495" t="str">
        <f>"18054341166"</f>
        <v>18054341166</v>
      </c>
      <c r="C14495" t="s">
        <v>1</v>
      </c>
      <c r="D14495" t="s">
        <v>1</v>
      </c>
      <c r="E14495" t="s">
        <v>1</v>
      </c>
      <c r="F14495" t="s">
        <v>0</v>
      </c>
      <c r="G14495" t="str">
        <f>"2018-10-12 21:26:07"</f>
        <v>2018-10-12 21:26:07</v>
      </c>
    </row>
    <row r="14496" spans="1:7" x14ac:dyDescent="0.2">
      <c r="A14496" t="s">
        <v>582</v>
      </c>
      <c r="B14496" t="str">
        <f>"14737459574"</f>
        <v>14737459574</v>
      </c>
      <c r="C14496" t="str">
        <f>"522124199501102031"</f>
        <v>522124199501102031</v>
      </c>
      <c r="D14496" t="s">
        <v>1</v>
      </c>
      <c r="E14496" t="s">
        <v>1</v>
      </c>
      <c r="F14496" t="s">
        <v>0</v>
      </c>
      <c r="G14496" t="str">
        <f>"2018-10-12 21:27:29"</f>
        <v>2018-10-12 21:27:29</v>
      </c>
    </row>
    <row r="14497" spans="1:7" x14ac:dyDescent="0.2">
      <c r="A14497" t="s">
        <v>14192</v>
      </c>
      <c r="B14497" t="str">
        <f>"13222362573"</f>
        <v>13222362573</v>
      </c>
      <c r="C14497" t="str">
        <f>"320922199203109034"</f>
        <v>320922199203109034</v>
      </c>
      <c r="D14497" t="s">
        <v>1</v>
      </c>
      <c r="E14497" t="s">
        <v>1</v>
      </c>
      <c r="F14497" t="s">
        <v>0</v>
      </c>
      <c r="G14497" t="str">
        <f>"2018-10-12 21:26:58"</f>
        <v>2018-10-12 21:26:58</v>
      </c>
    </row>
    <row r="14498" spans="1:7" x14ac:dyDescent="0.2">
      <c r="A14498" t="s">
        <v>1</v>
      </c>
      <c r="B14498" t="str">
        <f>"18137213302"</f>
        <v>18137213302</v>
      </c>
      <c r="C14498" t="s">
        <v>1</v>
      </c>
      <c r="D14498" t="s">
        <v>1</v>
      </c>
      <c r="E14498" t="s">
        <v>1</v>
      </c>
      <c r="F14498" t="s">
        <v>0</v>
      </c>
      <c r="G14498" t="str">
        <f>"2018-10-12 21:24:35"</f>
        <v>2018-10-12 21:24:35</v>
      </c>
    </row>
    <row r="14499" spans="1:7" x14ac:dyDescent="0.2">
      <c r="A14499" t="s">
        <v>1</v>
      </c>
      <c r="B14499" t="str">
        <f>"17156996406"</f>
        <v>17156996406</v>
      </c>
      <c r="C14499" t="s">
        <v>1</v>
      </c>
      <c r="D14499" t="s">
        <v>1</v>
      </c>
      <c r="E14499" t="s">
        <v>1</v>
      </c>
      <c r="F14499" t="s">
        <v>0</v>
      </c>
      <c r="G14499" t="str">
        <f>"2018-10-12 21:24:30"</f>
        <v>2018-10-12 21:24:30</v>
      </c>
    </row>
    <row r="14500" spans="1:7" x14ac:dyDescent="0.2">
      <c r="A14500" t="s">
        <v>651</v>
      </c>
      <c r="B14500" t="str">
        <f>"13477008939"</f>
        <v>13477008939</v>
      </c>
      <c r="C14500" t="str">
        <f>"421221199510186179"</f>
        <v>421221199510186179</v>
      </c>
      <c r="D14500" t="s">
        <v>14193</v>
      </c>
      <c r="E14500" t="s">
        <v>14194</v>
      </c>
      <c r="F14500" t="s">
        <v>0</v>
      </c>
      <c r="G14500" t="str">
        <f>"2018-10-12 21:24:13"</f>
        <v>2018-10-12 21:24:13</v>
      </c>
    </row>
    <row r="14501" spans="1:7" x14ac:dyDescent="0.2">
      <c r="A14501" t="s">
        <v>14195</v>
      </c>
      <c r="B14501" t="str">
        <f>"18855031869"</f>
        <v>18855031869</v>
      </c>
      <c r="C14501" t="str">
        <f>"341126199408272034"</f>
        <v>341126199408272034</v>
      </c>
      <c r="D14501" t="s">
        <v>1</v>
      </c>
      <c r="E14501" t="s">
        <v>1</v>
      </c>
      <c r="F14501" t="s">
        <v>0</v>
      </c>
      <c r="G14501" t="str">
        <f>"2018-10-12 21:37:02"</f>
        <v>2018-10-12 21:37:02</v>
      </c>
    </row>
    <row r="14502" spans="1:7" x14ac:dyDescent="0.2">
      <c r="A14502" t="s">
        <v>14196</v>
      </c>
      <c r="B14502" t="str">
        <f>"13804861485"</f>
        <v>13804861485</v>
      </c>
      <c r="C14502" t="str">
        <f>"232321200009042020"</f>
        <v>232321200009042020</v>
      </c>
      <c r="D14502" t="s">
        <v>14197</v>
      </c>
      <c r="E14502" t="s">
        <v>14198</v>
      </c>
      <c r="F14502" t="s">
        <v>0</v>
      </c>
      <c r="G14502" t="str">
        <f>"2018-10-12 21:23:45"</f>
        <v>2018-10-12 21:23:45</v>
      </c>
    </row>
    <row r="14503" spans="1:7" x14ac:dyDescent="0.2">
      <c r="A14503" t="s">
        <v>1</v>
      </c>
      <c r="B14503" t="str">
        <f>"15943904576"</f>
        <v>15943904576</v>
      </c>
      <c r="C14503" t="s">
        <v>1</v>
      </c>
      <c r="D14503" t="s">
        <v>1</v>
      </c>
      <c r="E14503" t="s">
        <v>1</v>
      </c>
      <c r="F14503" t="s">
        <v>0</v>
      </c>
      <c r="G14503" t="str">
        <f>"2018-10-12 21:23:35"</f>
        <v>2018-10-12 21:23:35</v>
      </c>
    </row>
    <row r="14504" spans="1:7" x14ac:dyDescent="0.2">
      <c r="A14504" t="s">
        <v>1</v>
      </c>
      <c r="B14504" t="str">
        <f>"15677918024"</f>
        <v>15677918024</v>
      </c>
      <c r="C14504" t="s">
        <v>1</v>
      </c>
      <c r="D14504" t="s">
        <v>1</v>
      </c>
      <c r="E14504" t="s">
        <v>1</v>
      </c>
      <c r="F14504" t="s">
        <v>0</v>
      </c>
      <c r="G14504" t="str">
        <f>"2018-10-12 21:23:25"</f>
        <v>2018-10-12 21:23:25</v>
      </c>
    </row>
    <row r="14505" spans="1:7" x14ac:dyDescent="0.2">
      <c r="A14505" t="s">
        <v>1</v>
      </c>
      <c r="B14505" t="str">
        <f>"13421444980"</f>
        <v>13421444980</v>
      </c>
      <c r="C14505" t="s">
        <v>1</v>
      </c>
      <c r="D14505" t="s">
        <v>1</v>
      </c>
      <c r="E14505" t="s">
        <v>1</v>
      </c>
      <c r="F14505" t="s">
        <v>0</v>
      </c>
      <c r="G14505" t="str">
        <f>"2018-10-12 21:24:17"</f>
        <v>2018-10-12 21:24:17</v>
      </c>
    </row>
    <row r="14506" spans="1:7" x14ac:dyDescent="0.2">
      <c r="A14506" t="s">
        <v>14199</v>
      </c>
      <c r="B14506" t="str">
        <f>"18315308199"</f>
        <v>18315308199</v>
      </c>
      <c r="C14506" t="str">
        <f>"340222198311075717"</f>
        <v>340222198311075717</v>
      </c>
      <c r="D14506" t="s">
        <v>1</v>
      </c>
      <c r="E14506" t="s">
        <v>1</v>
      </c>
      <c r="F14506" t="s">
        <v>0</v>
      </c>
      <c r="G14506" t="str">
        <f>"2018-10-12 21:23:51"</f>
        <v>2018-10-12 21:23:51</v>
      </c>
    </row>
    <row r="14507" spans="1:7" x14ac:dyDescent="0.2">
      <c r="A14507" t="s">
        <v>1</v>
      </c>
      <c r="B14507" t="str">
        <f>"13269557161"</f>
        <v>13269557161</v>
      </c>
      <c r="C14507" t="s">
        <v>1</v>
      </c>
      <c r="D14507" t="s">
        <v>1</v>
      </c>
      <c r="E14507" t="s">
        <v>1</v>
      </c>
      <c r="F14507" t="s">
        <v>0</v>
      </c>
      <c r="G14507" t="str">
        <f>"2018-10-12 21:24:11"</f>
        <v>2018-10-12 21:24:11</v>
      </c>
    </row>
    <row r="14508" spans="1:7" x14ac:dyDescent="0.2">
      <c r="A14508" t="s">
        <v>1</v>
      </c>
      <c r="B14508" t="str">
        <f>"17345819568"</f>
        <v>17345819568</v>
      </c>
      <c r="C14508" t="s">
        <v>1</v>
      </c>
      <c r="D14508" t="s">
        <v>1</v>
      </c>
      <c r="E14508" t="s">
        <v>1</v>
      </c>
      <c r="F14508" t="s">
        <v>0</v>
      </c>
      <c r="G14508" t="str">
        <f>"2018-10-12 21:27:08"</f>
        <v>2018-10-12 21:27:08</v>
      </c>
    </row>
    <row r="14509" spans="1:7" x14ac:dyDescent="0.2">
      <c r="A14509" t="s">
        <v>211</v>
      </c>
      <c r="B14509" t="str">
        <f>"13860511072"</f>
        <v>13860511072</v>
      </c>
      <c r="C14509" t="str">
        <f>"350428199703190015"</f>
        <v>350428199703190015</v>
      </c>
      <c r="D14509" t="s">
        <v>1</v>
      </c>
      <c r="E14509" t="s">
        <v>1</v>
      </c>
      <c r="F14509" t="s">
        <v>0</v>
      </c>
      <c r="G14509" t="str">
        <f>"2018-10-12 21:22:53"</f>
        <v>2018-10-12 21:22:53</v>
      </c>
    </row>
    <row r="14510" spans="1:7" x14ac:dyDescent="0.2">
      <c r="A14510" t="s">
        <v>1170</v>
      </c>
      <c r="B14510" t="str">
        <f>"15287180351"</f>
        <v>15287180351</v>
      </c>
      <c r="C14510" t="str">
        <f>"230603199005251710"</f>
        <v>230603199005251710</v>
      </c>
      <c r="D14510" t="s">
        <v>1</v>
      </c>
      <c r="E14510" t="s">
        <v>1</v>
      </c>
      <c r="F14510" t="s">
        <v>0</v>
      </c>
      <c r="G14510" t="str">
        <f>"2018-10-12 21:27:57"</f>
        <v>2018-10-12 21:27:57</v>
      </c>
    </row>
    <row r="14511" spans="1:7" x14ac:dyDescent="0.2">
      <c r="A14511" t="s">
        <v>14200</v>
      </c>
      <c r="B14511" t="str">
        <f>"18555479414"</f>
        <v>18555479414</v>
      </c>
      <c r="C14511" t="str">
        <f>"341322200203190810"</f>
        <v>341322200203190810</v>
      </c>
      <c r="D14511" t="s">
        <v>1</v>
      </c>
      <c r="E14511" t="s">
        <v>1</v>
      </c>
      <c r="F14511" t="s">
        <v>0</v>
      </c>
      <c r="G14511" t="str">
        <f>"2018-10-12 22:14:40"</f>
        <v>2018-10-12 22:14:40</v>
      </c>
    </row>
    <row r="14512" spans="1:7" x14ac:dyDescent="0.2">
      <c r="A14512" t="s">
        <v>14201</v>
      </c>
      <c r="B14512" t="str">
        <f>"15281047631"</f>
        <v>15281047631</v>
      </c>
      <c r="C14512" t="str">
        <f>"510121199509213817"</f>
        <v>510121199509213817</v>
      </c>
      <c r="D14512" t="s">
        <v>1</v>
      </c>
      <c r="E14512" t="s">
        <v>1</v>
      </c>
      <c r="F14512" t="s">
        <v>0</v>
      </c>
      <c r="G14512" t="str">
        <f>"2018-10-12 21:24:43"</f>
        <v>2018-10-12 21:24:43</v>
      </c>
    </row>
    <row r="14513" spans="1:7" x14ac:dyDescent="0.2">
      <c r="A14513" t="s">
        <v>14202</v>
      </c>
      <c r="B14513" t="str">
        <f>"18326650002"</f>
        <v>18326650002</v>
      </c>
      <c r="C14513" t="str">
        <f>"340122199809103315"</f>
        <v>340122199809103315</v>
      </c>
      <c r="D14513" t="s">
        <v>1</v>
      </c>
      <c r="E14513" t="s">
        <v>1</v>
      </c>
      <c r="F14513" t="s">
        <v>0</v>
      </c>
      <c r="G14513" t="str">
        <f>"2018-10-12 23:13:48"</f>
        <v>2018-10-12 23:13:48</v>
      </c>
    </row>
    <row r="14514" spans="1:7" x14ac:dyDescent="0.2">
      <c r="A14514" t="s">
        <v>14203</v>
      </c>
      <c r="B14514" t="str">
        <f>"15124592043"</f>
        <v>15124592043</v>
      </c>
      <c r="C14514" t="str">
        <f>"232321199512103753"</f>
        <v>232321199512103753</v>
      </c>
      <c r="D14514" t="s">
        <v>1</v>
      </c>
      <c r="E14514" t="s">
        <v>1</v>
      </c>
      <c r="F14514" t="s">
        <v>0</v>
      </c>
      <c r="G14514" t="str">
        <f>"2018-10-12 21:18:55"</f>
        <v>2018-10-12 21:18:55</v>
      </c>
    </row>
    <row r="14515" spans="1:7" x14ac:dyDescent="0.2">
      <c r="A14515" t="s">
        <v>14204</v>
      </c>
      <c r="B14515" t="str">
        <f>"13557122499"</f>
        <v>13557122499</v>
      </c>
      <c r="C14515" t="str">
        <f>"450204197204061414"</f>
        <v>450204197204061414</v>
      </c>
      <c r="D14515" t="s">
        <v>1</v>
      </c>
      <c r="E14515" t="s">
        <v>1</v>
      </c>
      <c r="F14515" t="s">
        <v>0</v>
      </c>
      <c r="G14515" t="str">
        <f>"2018-10-12 21:20:49"</f>
        <v>2018-10-12 21:20:49</v>
      </c>
    </row>
    <row r="14516" spans="1:7" x14ac:dyDescent="0.2">
      <c r="A14516" t="s">
        <v>1</v>
      </c>
      <c r="B14516" t="str">
        <f>"17639831355"</f>
        <v>17639831355</v>
      </c>
      <c r="C14516" t="s">
        <v>1</v>
      </c>
      <c r="D14516" t="s">
        <v>1</v>
      </c>
      <c r="E14516" t="s">
        <v>1</v>
      </c>
      <c r="F14516" t="s">
        <v>0</v>
      </c>
      <c r="G14516" t="str">
        <f>"2018-10-12 21:17:20"</f>
        <v>2018-10-12 21:17:20</v>
      </c>
    </row>
    <row r="14517" spans="1:7" x14ac:dyDescent="0.2">
      <c r="A14517" t="s">
        <v>1</v>
      </c>
      <c r="B14517" t="str">
        <f>"17193086374"</f>
        <v>17193086374</v>
      </c>
      <c r="C14517" t="s">
        <v>1</v>
      </c>
      <c r="D14517" t="s">
        <v>1</v>
      </c>
      <c r="E14517" t="s">
        <v>1</v>
      </c>
      <c r="F14517" t="s">
        <v>0</v>
      </c>
      <c r="G14517" t="str">
        <f>"2018-10-12 21:17:16"</f>
        <v>2018-10-12 21:17:16</v>
      </c>
    </row>
    <row r="14518" spans="1:7" x14ac:dyDescent="0.2">
      <c r="A14518" t="s">
        <v>6528</v>
      </c>
      <c r="B14518" t="str">
        <f>"18684225014"</f>
        <v>18684225014</v>
      </c>
      <c r="C14518" t="str">
        <f>"211224199502197724"</f>
        <v>211224199502197724</v>
      </c>
      <c r="D14518" t="s">
        <v>1</v>
      </c>
      <c r="E14518" t="s">
        <v>1</v>
      </c>
      <c r="F14518" t="s">
        <v>0</v>
      </c>
      <c r="G14518" t="str">
        <f>"2018-10-13 06:14:11"</f>
        <v>2018-10-13 06:14:11</v>
      </c>
    </row>
    <row r="14519" spans="1:7" x14ac:dyDescent="0.2">
      <c r="A14519" t="s">
        <v>14205</v>
      </c>
      <c r="B14519" t="str">
        <f>"13540280415"</f>
        <v>13540280415</v>
      </c>
      <c r="C14519" t="str">
        <f>"513029199508294377"</f>
        <v>513029199508294377</v>
      </c>
      <c r="D14519" t="s">
        <v>1</v>
      </c>
      <c r="E14519" t="s">
        <v>1</v>
      </c>
      <c r="F14519" t="s">
        <v>0</v>
      </c>
      <c r="G14519" t="str">
        <f>"2018-10-12 21:18:17"</f>
        <v>2018-10-12 21:18:17</v>
      </c>
    </row>
    <row r="14520" spans="1:7" x14ac:dyDescent="0.2">
      <c r="A14520" t="s">
        <v>14206</v>
      </c>
      <c r="B14520" t="str">
        <f>"15257872431"</f>
        <v>15257872431</v>
      </c>
      <c r="C14520" t="str">
        <f>"513701198705112218"</f>
        <v>513701198705112218</v>
      </c>
      <c r="D14520" t="s">
        <v>14207</v>
      </c>
      <c r="E14520" t="s">
        <v>14208</v>
      </c>
      <c r="F14520" t="s">
        <v>0</v>
      </c>
      <c r="G14520" t="str">
        <f>"2018-10-12 21:17:07"</f>
        <v>2018-10-12 21:17:07</v>
      </c>
    </row>
    <row r="14521" spans="1:7" x14ac:dyDescent="0.2">
      <c r="A14521" t="s">
        <v>14209</v>
      </c>
      <c r="B14521" t="str">
        <f>"18674521231"</f>
        <v>18674521231</v>
      </c>
      <c r="C14521" t="str">
        <f>"433001198206060419"</f>
        <v>433001198206060419</v>
      </c>
      <c r="D14521" t="s">
        <v>1</v>
      </c>
      <c r="E14521" t="s">
        <v>1</v>
      </c>
      <c r="F14521" t="s">
        <v>0</v>
      </c>
      <c r="G14521" t="str">
        <f>"2018-10-12 21:16:17"</f>
        <v>2018-10-12 21:16:17</v>
      </c>
    </row>
    <row r="14522" spans="1:7" x14ac:dyDescent="0.2">
      <c r="A14522" t="s">
        <v>1</v>
      </c>
      <c r="B14522" t="str">
        <f>"18280805935"</f>
        <v>18280805935</v>
      </c>
      <c r="C14522" t="s">
        <v>1</v>
      </c>
      <c r="D14522" t="s">
        <v>1</v>
      </c>
      <c r="E14522" t="s">
        <v>1</v>
      </c>
      <c r="F14522" t="s">
        <v>0</v>
      </c>
      <c r="G14522" t="str">
        <f>"2018-10-12 21:13:59"</f>
        <v>2018-10-12 21:13:59</v>
      </c>
    </row>
    <row r="14523" spans="1:7" x14ac:dyDescent="0.2">
      <c r="A14523" t="s">
        <v>14210</v>
      </c>
      <c r="B14523" t="str">
        <f>"15557252953"</f>
        <v>15557252953</v>
      </c>
      <c r="C14523" t="str">
        <f>"620122199109290217"</f>
        <v>620122199109290217</v>
      </c>
      <c r="D14523" t="s">
        <v>1</v>
      </c>
      <c r="E14523" t="s">
        <v>1</v>
      </c>
      <c r="F14523" t="s">
        <v>0</v>
      </c>
      <c r="G14523" t="str">
        <f>"2018-10-12 21:27:55"</f>
        <v>2018-10-12 21:27:55</v>
      </c>
    </row>
    <row r="14524" spans="1:7" x14ac:dyDescent="0.2">
      <c r="A14524" t="s">
        <v>1</v>
      </c>
      <c r="B14524" t="str">
        <f>"18324260660"</f>
        <v>18324260660</v>
      </c>
      <c r="C14524" t="s">
        <v>1</v>
      </c>
      <c r="D14524" t="s">
        <v>1</v>
      </c>
      <c r="E14524" t="s">
        <v>1</v>
      </c>
      <c r="F14524" t="s">
        <v>0</v>
      </c>
      <c r="G14524" t="str">
        <f>"2018-10-12 21:13:33"</f>
        <v>2018-10-12 21:13:33</v>
      </c>
    </row>
    <row r="14525" spans="1:7" x14ac:dyDescent="0.2">
      <c r="A14525" t="s">
        <v>1</v>
      </c>
      <c r="B14525" t="str">
        <f>"13879352084"</f>
        <v>13879352084</v>
      </c>
      <c r="C14525" t="s">
        <v>1</v>
      </c>
      <c r="D14525" t="s">
        <v>1</v>
      </c>
      <c r="E14525" t="s">
        <v>1</v>
      </c>
      <c r="F14525" t="s">
        <v>0</v>
      </c>
      <c r="G14525" t="str">
        <f>"2018-10-12 21:13:31"</f>
        <v>2018-10-12 21:13:31</v>
      </c>
    </row>
    <row r="14526" spans="1:7" x14ac:dyDescent="0.2">
      <c r="A14526" t="s">
        <v>14211</v>
      </c>
      <c r="B14526" t="str">
        <f>"13611578028"</f>
        <v>13611578028</v>
      </c>
      <c r="C14526" t="str">
        <f>"320104199105242425"</f>
        <v>320104199105242425</v>
      </c>
      <c r="D14526" t="s">
        <v>14212</v>
      </c>
      <c r="E14526" t="s">
        <v>14213</v>
      </c>
      <c r="F14526" t="s">
        <v>0</v>
      </c>
      <c r="G14526" t="str">
        <f>"2018-10-12 21:15:06"</f>
        <v>2018-10-12 21:15:06</v>
      </c>
    </row>
    <row r="14527" spans="1:7" x14ac:dyDescent="0.2">
      <c r="A14527" t="s">
        <v>14214</v>
      </c>
      <c r="B14527" t="str">
        <f>"13960366397"</f>
        <v>13960366397</v>
      </c>
      <c r="C14527" t="str">
        <f>"350525198401203054"</f>
        <v>350525198401203054</v>
      </c>
      <c r="D14527" t="s">
        <v>1</v>
      </c>
      <c r="E14527" t="s">
        <v>1</v>
      </c>
      <c r="F14527" t="s">
        <v>0</v>
      </c>
      <c r="G14527" t="str">
        <f>"2018-10-13 10:58:10"</f>
        <v>2018-10-13 10:58:10</v>
      </c>
    </row>
    <row r="14528" spans="1:7" x14ac:dyDescent="0.2">
      <c r="A14528" t="s">
        <v>14215</v>
      </c>
      <c r="B14528" t="str">
        <f>"15673132022"</f>
        <v>15673132022</v>
      </c>
      <c r="C14528" t="str">
        <f>"142732198503152013"</f>
        <v>142732198503152013</v>
      </c>
      <c r="D14528" t="s">
        <v>1</v>
      </c>
      <c r="E14528" t="s">
        <v>1</v>
      </c>
      <c r="F14528" t="s">
        <v>0</v>
      </c>
      <c r="G14528" t="str">
        <f>"2018-10-12 21:14:51"</f>
        <v>2018-10-12 21:14:51</v>
      </c>
    </row>
    <row r="14529" spans="1:7" x14ac:dyDescent="0.2">
      <c r="A14529" t="s">
        <v>14216</v>
      </c>
      <c r="B14529" t="str">
        <f>"18508501644"</f>
        <v>18508501644</v>
      </c>
      <c r="C14529" t="str">
        <f>"520102199012247416"</f>
        <v>520102199012247416</v>
      </c>
      <c r="D14529" t="s">
        <v>1</v>
      </c>
      <c r="E14529" t="s">
        <v>1</v>
      </c>
      <c r="F14529" t="s">
        <v>0</v>
      </c>
      <c r="G14529" t="str">
        <f>"2018-10-12 21:12:38"</f>
        <v>2018-10-12 21:12:38</v>
      </c>
    </row>
    <row r="14530" spans="1:7" x14ac:dyDescent="0.2">
      <c r="A14530" t="s">
        <v>14217</v>
      </c>
      <c r="B14530" t="str">
        <f>"18051566698"</f>
        <v>18051566698</v>
      </c>
      <c r="C14530" t="str">
        <f>"320211198211154511"</f>
        <v>320211198211154511</v>
      </c>
      <c r="D14530" t="s">
        <v>1</v>
      </c>
      <c r="E14530" t="s">
        <v>1</v>
      </c>
      <c r="F14530" t="s">
        <v>0</v>
      </c>
      <c r="G14530" t="str">
        <f>"2018-10-12 21:31:45"</f>
        <v>2018-10-12 21:31:45</v>
      </c>
    </row>
    <row r="14531" spans="1:7" x14ac:dyDescent="0.2">
      <c r="A14531" t="s">
        <v>14218</v>
      </c>
      <c r="B14531" t="str">
        <f>"18357568362"</f>
        <v>18357568362</v>
      </c>
      <c r="C14531" t="str">
        <f>"330621199307101546"</f>
        <v>330621199307101546</v>
      </c>
      <c r="D14531" t="s">
        <v>1</v>
      </c>
      <c r="E14531" t="s">
        <v>1</v>
      </c>
      <c r="F14531" t="s">
        <v>0</v>
      </c>
      <c r="G14531" t="str">
        <f>"2018-10-12 21:13:01"</f>
        <v>2018-10-12 21:13:01</v>
      </c>
    </row>
    <row r="14532" spans="1:7" x14ac:dyDescent="0.2">
      <c r="A14532" t="s">
        <v>1662</v>
      </c>
      <c r="B14532" t="str">
        <f>"18317822393"</f>
        <v>18317822393</v>
      </c>
      <c r="C14532" t="str">
        <f>"410882199310268586"</f>
        <v>410882199310268586</v>
      </c>
      <c r="D14532" t="s">
        <v>1</v>
      </c>
      <c r="E14532" t="s">
        <v>1</v>
      </c>
      <c r="F14532" t="s">
        <v>0</v>
      </c>
      <c r="G14532" t="str">
        <f>"2018-10-12 23:42:37"</f>
        <v>2018-10-12 23:42:37</v>
      </c>
    </row>
    <row r="14533" spans="1:7" x14ac:dyDescent="0.2">
      <c r="A14533" t="s">
        <v>14219</v>
      </c>
      <c r="B14533" t="str">
        <f>"18523029364"</f>
        <v>18523029364</v>
      </c>
      <c r="C14533" t="str">
        <f>"513030199707131517"</f>
        <v>513030199707131517</v>
      </c>
      <c r="D14533" t="s">
        <v>1</v>
      </c>
      <c r="E14533" t="s">
        <v>1</v>
      </c>
      <c r="F14533" t="s">
        <v>0</v>
      </c>
      <c r="G14533" t="str">
        <f>"2018-10-12 21:27:23"</f>
        <v>2018-10-12 21:27:23</v>
      </c>
    </row>
    <row r="14534" spans="1:7" x14ac:dyDescent="0.2">
      <c r="A14534" t="s">
        <v>1</v>
      </c>
      <c r="B14534" t="str">
        <f>"15878219688"</f>
        <v>15878219688</v>
      </c>
      <c r="C14534" t="s">
        <v>1</v>
      </c>
      <c r="D14534" t="s">
        <v>1</v>
      </c>
      <c r="E14534" t="s">
        <v>1</v>
      </c>
      <c r="F14534" t="s">
        <v>0</v>
      </c>
      <c r="G14534" t="str">
        <f>"2018-10-12 21:09:58"</f>
        <v>2018-10-12 21:09:58</v>
      </c>
    </row>
    <row r="14535" spans="1:7" x14ac:dyDescent="0.2">
      <c r="A14535" t="s">
        <v>14220</v>
      </c>
      <c r="B14535" t="str">
        <f>"13736590780"</f>
        <v>13736590780</v>
      </c>
      <c r="C14535" t="str">
        <f>"331002198308230619"</f>
        <v>331002198308230619</v>
      </c>
      <c r="D14535" t="s">
        <v>1</v>
      </c>
      <c r="E14535" t="s">
        <v>1</v>
      </c>
      <c r="F14535" t="s">
        <v>0</v>
      </c>
      <c r="G14535" t="str">
        <f>"2018-10-13 00:28:52"</f>
        <v>2018-10-13 00:28:52</v>
      </c>
    </row>
    <row r="14536" spans="1:7" x14ac:dyDescent="0.2">
      <c r="A14536" t="s">
        <v>1454</v>
      </c>
      <c r="B14536" t="str">
        <f>"13568328881"</f>
        <v>13568328881</v>
      </c>
      <c r="C14536" t="str">
        <f>"511011198203255852"</f>
        <v>511011198203255852</v>
      </c>
      <c r="D14536" t="s">
        <v>1</v>
      </c>
      <c r="E14536" t="s">
        <v>1</v>
      </c>
      <c r="F14536" t="s">
        <v>0</v>
      </c>
      <c r="G14536" t="str">
        <f>"2018-10-17 00:34:58"</f>
        <v>2018-10-17 00:34:58</v>
      </c>
    </row>
    <row r="14537" spans="1:7" x14ac:dyDescent="0.2">
      <c r="A14537" t="s">
        <v>1</v>
      </c>
      <c r="B14537" t="str">
        <f>"17365880622"</f>
        <v>17365880622</v>
      </c>
      <c r="C14537" t="s">
        <v>1</v>
      </c>
      <c r="D14537" t="s">
        <v>1</v>
      </c>
      <c r="E14537" t="s">
        <v>1</v>
      </c>
      <c r="F14537" t="s">
        <v>0</v>
      </c>
      <c r="G14537" t="str">
        <f>"2018-10-12 21:09:01"</f>
        <v>2018-10-12 21:09:01</v>
      </c>
    </row>
    <row r="14538" spans="1:7" x14ac:dyDescent="0.2">
      <c r="A14538" t="s">
        <v>14221</v>
      </c>
      <c r="B14538" t="str">
        <f>"18053895577"</f>
        <v>18053895577</v>
      </c>
      <c r="C14538" t="str">
        <f>"372325197703214410"</f>
        <v>372325197703214410</v>
      </c>
      <c r="D14538" t="s">
        <v>1</v>
      </c>
      <c r="E14538" t="s">
        <v>1</v>
      </c>
      <c r="F14538" t="s">
        <v>0</v>
      </c>
      <c r="G14538" t="str">
        <f>"2018-10-12 21:28:18"</f>
        <v>2018-10-12 21:28:18</v>
      </c>
    </row>
    <row r="14539" spans="1:7" x14ac:dyDescent="0.2">
      <c r="A14539" t="s">
        <v>1588</v>
      </c>
      <c r="B14539" t="str">
        <f>"18749590444"</f>
        <v>18749590444</v>
      </c>
      <c r="C14539" t="str">
        <f>"411024199005220010"</f>
        <v>411024199005220010</v>
      </c>
      <c r="D14539" t="s">
        <v>1</v>
      </c>
      <c r="E14539" t="s">
        <v>1</v>
      </c>
      <c r="F14539" t="s">
        <v>0</v>
      </c>
      <c r="G14539" t="str">
        <f>"2018-10-12 21:08:34"</f>
        <v>2018-10-12 21:08:34</v>
      </c>
    </row>
    <row r="14540" spans="1:7" x14ac:dyDescent="0.2">
      <c r="A14540" t="s">
        <v>63</v>
      </c>
      <c r="B14540" t="str">
        <f>"13139875051"</f>
        <v>13139875051</v>
      </c>
      <c r="C14540" t="str">
        <f>"511325198810122116"</f>
        <v>511325198810122116</v>
      </c>
      <c r="D14540" t="s">
        <v>1</v>
      </c>
      <c r="E14540" t="s">
        <v>1</v>
      </c>
      <c r="F14540" t="s">
        <v>0</v>
      </c>
      <c r="G14540" t="str">
        <f>"2018-10-23 13:12:40"</f>
        <v>2018-10-23 13:12:40</v>
      </c>
    </row>
    <row r="14541" spans="1:7" x14ac:dyDescent="0.2">
      <c r="A14541" t="s">
        <v>240</v>
      </c>
      <c r="B14541" t="str">
        <f>"15703122244"</f>
        <v>15703122244</v>
      </c>
      <c r="C14541" t="str">
        <f>"130625199202242076"</f>
        <v>130625199202242076</v>
      </c>
      <c r="D14541" t="s">
        <v>1</v>
      </c>
      <c r="E14541" t="s">
        <v>1</v>
      </c>
      <c r="F14541" t="s">
        <v>0</v>
      </c>
      <c r="G14541" t="str">
        <f>"2018-10-12 21:08:08"</f>
        <v>2018-10-12 21:08:08</v>
      </c>
    </row>
    <row r="14542" spans="1:7" x14ac:dyDescent="0.2">
      <c r="A14542" t="s">
        <v>1</v>
      </c>
      <c r="B14542" t="str">
        <f>"13710916846"</f>
        <v>13710916846</v>
      </c>
      <c r="C14542" t="s">
        <v>1</v>
      </c>
      <c r="D14542" t="s">
        <v>1</v>
      </c>
      <c r="E14542" t="s">
        <v>1</v>
      </c>
      <c r="F14542" t="s">
        <v>0</v>
      </c>
      <c r="G14542" t="str">
        <f>"2018-10-12 21:11:35"</f>
        <v>2018-10-12 21:11:35</v>
      </c>
    </row>
    <row r="14543" spans="1:7" x14ac:dyDescent="0.2">
      <c r="A14543" t="s">
        <v>72</v>
      </c>
      <c r="B14543" t="str">
        <f>"18618213946"</f>
        <v>18618213946</v>
      </c>
      <c r="C14543" t="str">
        <f>"130406199006121891"</f>
        <v>130406199006121891</v>
      </c>
      <c r="D14543" t="s">
        <v>1</v>
      </c>
      <c r="E14543" t="s">
        <v>1</v>
      </c>
      <c r="F14543" t="s">
        <v>0</v>
      </c>
      <c r="G14543" t="str">
        <f>"2018-10-13 15:25:26"</f>
        <v>2018-10-13 15:25:26</v>
      </c>
    </row>
    <row r="14544" spans="1:7" x14ac:dyDescent="0.2">
      <c r="A14544" t="s">
        <v>14222</v>
      </c>
      <c r="B14544" t="str">
        <f>"13437631034"</f>
        <v>13437631034</v>
      </c>
      <c r="C14544" t="str">
        <f>"452627199612012416"</f>
        <v>452627199612012416</v>
      </c>
      <c r="D14544" t="s">
        <v>1</v>
      </c>
      <c r="E14544" t="s">
        <v>1</v>
      </c>
      <c r="F14544" t="s">
        <v>0</v>
      </c>
      <c r="G14544" t="str">
        <f>"2018-10-12 21:50:15"</f>
        <v>2018-10-12 21:50:15</v>
      </c>
    </row>
    <row r="14545" spans="1:7" x14ac:dyDescent="0.2">
      <c r="A14545" t="s">
        <v>1</v>
      </c>
      <c r="B14545" t="str">
        <f>"13895216491"</f>
        <v>13895216491</v>
      </c>
      <c r="C14545" t="s">
        <v>1</v>
      </c>
      <c r="D14545" t="s">
        <v>1</v>
      </c>
      <c r="E14545" t="s">
        <v>1</v>
      </c>
      <c r="F14545" t="s">
        <v>0</v>
      </c>
      <c r="G14545" t="str">
        <f>"2018-10-12 21:07:20"</f>
        <v>2018-10-12 21:07:20</v>
      </c>
    </row>
    <row r="14546" spans="1:7" x14ac:dyDescent="0.2">
      <c r="A14546" t="s">
        <v>297</v>
      </c>
      <c r="B14546" t="str">
        <f>"18932434136"</f>
        <v>18932434136</v>
      </c>
      <c r="C14546" t="str">
        <f>"430121199202236010"</f>
        <v>430121199202236010</v>
      </c>
      <c r="D14546" t="s">
        <v>14223</v>
      </c>
      <c r="E14546" t="s">
        <v>14224</v>
      </c>
      <c r="F14546" t="s">
        <v>0</v>
      </c>
      <c r="G14546" t="str">
        <f>"2018-10-31 08:29:09"</f>
        <v>2018-10-31 08:29:09</v>
      </c>
    </row>
    <row r="14547" spans="1:7" x14ac:dyDescent="0.2">
      <c r="A14547" t="s">
        <v>14225</v>
      </c>
      <c r="B14547" t="str">
        <f>"18386695510"</f>
        <v>18386695510</v>
      </c>
      <c r="C14547" t="str">
        <f>"522635199403192439"</f>
        <v>522635199403192439</v>
      </c>
      <c r="D14547" t="s">
        <v>1</v>
      </c>
      <c r="E14547" t="s">
        <v>1</v>
      </c>
      <c r="F14547" t="s">
        <v>0</v>
      </c>
      <c r="G14547" t="str">
        <f>"2018-10-12 21:05:20"</f>
        <v>2018-10-12 21:05:20</v>
      </c>
    </row>
    <row r="14548" spans="1:7" x14ac:dyDescent="0.2">
      <c r="A14548" t="s">
        <v>1370</v>
      </c>
      <c r="B14548" t="str">
        <f>"17691002365"</f>
        <v>17691002365</v>
      </c>
      <c r="C14548" t="str">
        <f>"610222198804120710"</f>
        <v>610222198804120710</v>
      </c>
      <c r="D14548" t="s">
        <v>1</v>
      </c>
      <c r="E14548" t="s">
        <v>1</v>
      </c>
      <c r="F14548" t="s">
        <v>0</v>
      </c>
      <c r="G14548" t="str">
        <f>"2018-10-12 21:03:41"</f>
        <v>2018-10-12 21:03:41</v>
      </c>
    </row>
    <row r="14549" spans="1:7" x14ac:dyDescent="0.2">
      <c r="A14549" t="s">
        <v>1</v>
      </c>
      <c r="B14549" t="str">
        <f>"18687848560"</f>
        <v>18687848560</v>
      </c>
      <c r="C14549" t="s">
        <v>1</v>
      </c>
      <c r="D14549" t="s">
        <v>1</v>
      </c>
      <c r="E14549" t="s">
        <v>1</v>
      </c>
      <c r="F14549" t="s">
        <v>0</v>
      </c>
      <c r="G14549" t="str">
        <f>"2018-10-12 21:04:46"</f>
        <v>2018-10-12 21:04:46</v>
      </c>
    </row>
    <row r="14550" spans="1:7" x14ac:dyDescent="0.2">
      <c r="A14550" t="s">
        <v>1</v>
      </c>
      <c r="B14550" t="str">
        <f>"13074658493"</f>
        <v>13074658493</v>
      </c>
      <c r="C14550" t="s">
        <v>1</v>
      </c>
      <c r="D14550" t="s">
        <v>1</v>
      </c>
      <c r="E14550" t="s">
        <v>1</v>
      </c>
      <c r="F14550" t="s">
        <v>0</v>
      </c>
      <c r="G14550" t="str">
        <f>"2018-10-12 21:02:57"</f>
        <v>2018-10-12 21:02:57</v>
      </c>
    </row>
    <row r="14551" spans="1:7" x14ac:dyDescent="0.2">
      <c r="A14551" t="s">
        <v>14226</v>
      </c>
      <c r="B14551" t="str">
        <f>"18777683879"</f>
        <v>18777683879</v>
      </c>
      <c r="C14551" t="str">
        <f>"452626197404133998"</f>
        <v>452626197404133998</v>
      </c>
      <c r="D14551" t="s">
        <v>1</v>
      </c>
      <c r="E14551" t="s">
        <v>1</v>
      </c>
      <c r="F14551" t="s">
        <v>0</v>
      </c>
      <c r="G14551" t="str">
        <f>"2018-10-12 21:07:21"</f>
        <v>2018-10-12 21:07:21</v>
      </c>
    </row>
    <row r="14552" spans="1:7" x14ac:dyDescent="0.2">
      <c r="A14552" t="s">
        <v>14227</v>
      </c>
      <c r="B14552" t="str">
        <f>"17714877772"</f>
        <v>17714877772</v>
      </c>
      <c r="C14552" t="str">
        <f>"23272219890512003X"</f>
        <v>23272219890512003X</v>
      </c>
      <c r="D14552" t="s">
        <v>1</v>
      </c>
      <c r="E14552" t="s">
        <v>1</v>
      </c>
      <c r="F14552" t="s">
        <v>0</v>
      </c>
      <c r="G14552" t="str">
        <f>"2018-10-12 21:02:24"</f>
        <v>2018-10-12 21:02:24</v>
      </c>
    </row>
    <row r="14553" spans="1:7" x14ac:dyDescent="0.2">
      <c r="A14553" t="s">
        <v>1</v>
      </c>
      <c r="B14553" t="str">
        <f>"15259258858"</f>
        <v>15259258858</v>
      </c>
      <c r="C14553" t="s">
        <v>1</v>
      </c>
      <c r="D14553" t="s">
        <v>1</v>
      </c>
      <c r="E14553" t="s">
        <v>1</v>
      </c>
      <c r="F14553" t="s">
        <v>0</v>
      </c>
      <c r="G14553" t="str">
        <f>"2018-10-12 21:02:20"</f>
        <v>2018-10-12 21:02:20</v>
      </c>
    </row>
    <row r="14554" spans="1:7" x14ac:dyDescent="0.2">
      <c r="A14554" t="s">
        <v>1</v>
      </c>
      <c r="B14554" t="str">
        <f>"18856182842"</f>
        <v>18856182842</v>
      </c>
      <c r="C14554" t="s">
        <v>1</v>
      </c>
      <c r="D14554" t="s">
        <v>1</v>
      </c>
      <c r="E14554" t="s">
        <v>1</v>
      </c>
      <c r="F14554" t="s">
        <v>0</v>
      </c>
      <c r="G14554" t="str">
        <f>"2018-10-12 21:02:15"</f>
        <v>2018-10-12 21:02:15</v>
      </c>
    </row>
    <row r="14555" spans="1:7" x14ac:dyDescent="0.2">
      <c r="A14555" t="s">
        <v>1</v>
      </c>
      <c r="B14555" t="str">
        <f>"13433233335"</f>
        <v>13433233335</v>
      </c>
      <c r="C14555" t="s">
        <v>1</v>
      </c>
      <c r="D14555" t="s">
        <v>1</v>
      </c>
      <c r="E14555" t="s">
        <v>1</v>
      </c>
      <c r="F14555" t="s">
        <v>0</v>
      </c>
      <c r="G14555" t="str">
        <f>"2018-10-12 21:02:06"</f>
        <v>2018-10-12 21:02:06</v>
      </c>
    </row>
    <row r="14556" spans="1:7" x14ac:dyDescent="0.2">
      <c r="A14556" t="s">
        <v>14228</v>
      </c>
      <c r="B14556" t="str">
        <f>"13553294477"</f>
        <v>13553294477</v>
      </c>
      <c r="C14556" t="str">
        <f>"450330198709262759"</f>
        <v>450330198709262759</v>
      </c>
      <c r="D14556" t="s">
        <v>1</v>
      </c>
      <c r="E14556" t="s">
        <v>1</v>
      </c>
      <c r="F14556" t="s">
        <v>0</v>
      </c>
      <c r="G14556" t="str">
        <f>"2018-10-12 21:04:09"</f>
        <v>2018-10-12 21:04:09</v>
      </c>
    </row>
    <row r="14557" spans="1:7" x14ac:dyDescent="0.2">
      <c r="A14557" t="s">
        <v>14229</v>
      </c>
      <c r="B14557" t="str">
        <f>"18024752675"</f>
        <v>18024752675</v>
      </c>
      <c r="C14557" t="str">
        <f>"500234199204241855"</f>
        <v>500234199204241855</v>
      </c>
      <c r="D14557" t="s">
        <v>1</v>
      </c>
      <c r="E14557" t="s">
        <v>1</v>
      </c>
      <c r="F14557" t="s">
        <v>0</v>
      </c>
      <c r="G14557" t="str">
        <f>"2018-11-04 20:31:15"</f>
        <v>2018-11-04 20:31:15</v>
      </c>
    </row>
    <row r="14558" spans="1:7" x14ac:dyDescent="0.2">
      <c r="A14558" t="s">
        <v>170</v>
      </c>
      <c r="B14558" t="str">
        <f>"17628078710"</f>
        <v>17628078710</v>
      </c>
      <c r="C14558" t="str">
        <f>"510111197402101071"</f>
        <v>510111197402101071</v>
      </c>
      <c r="D14558" t="s">
        <v>1</v>
      </c>
      <c r="E14558" t="s">
        <v>1</v>
      </c>
      <c r="F14558" t="s">
        <v>0</v>
      </c>
      <c r="G14558" t="str">
        <f>"2018-10-12 21:07:40"</f>
        <v>2018-10-12 21:07:40</v>
      </c>
    </row>
    <row r="14559" spans="1:7" x14ac:dyDescent="0.2">
      <c r="A14559" t="s">
        <v>14230</v>
      </c>
      <c r="B14559" t="str">
        <f>"18529595306"</f>
        <v>18529595306</v>
      </c>
      <c r="C14559" t="str">
        <f>"45080219991006438X"</f>
        <v>45080219991006438X</v>
      </c>
      <c r="D14559" t="s">
        <v>1</v>
      </c>
      <c r="E14559" t="s">
        <v>1</v>
      </c>
      <c r="F14559" t="s">
        <v>0</v>
      </c>
      <c r="G14559" t="str">
        <f>"2018-10-12 22:41:21"</f>
        <v>2018-10-12 22:41:21</v>
      </c>
    </row>
    <row r="14560" spans="1:7" x14ac:dyDescent="0.2">
      <c r="A14560" t="s">
        <v>14231</v>
      </c>
      <c r="B14560" t="str">
        <f>"18585075697"</f>
        <v>18585075697</v>
      </c>
      <c r="C14560" t="str">
        <f>"520123200004245813"</f>
        <v>520123200004245813</v>
      </c>
      <c r="D14560" t="s">
        <v>1</v>
      </c>
      <c r="E14560" t="s">
        <v>1</v>
      </c>
      <c r="F14560" t="s">
        <v>0</v>
      </c>
      <c r="G14560" t="str">
        <f>"2018-10-12 21:01:22"</f>
        <v>2018-10-12 21:01:22</v>
      </c>
    </row>
    <row r="14561" spans="1:7" x14ac:dyDescent="0.2">
      <c r="A14561" t="s">
        <v>14232</v>
      </c>
      <c r="B14561" t="str">
        <f>"15771802555"</f>
        <v>15771802555</v>
      </c>
      <c r="C14561" t="str">
        <f>"610424198105132871"</f>
        <v>610424198105132871</v>
      </c>
      <c r="D14561" t="s">
        <v>14233</v>
      </c>
      <c r="E14561" t="s">
        <v>14233</v>
      </c>
      <c r="F14561" t="s">
        <v>0</v>
      </c>
      <c r="G14561" t="str">
        <f>"2018-10-12 21:03:05"</f>
        <v>2018-10-12 21:03:05</v>
      </c>
    </row>
    <row r="14562" spans="1:7" x14ac:dyDescent="0.2">
      <c r="A14562" t="s">
        <v>14234</v>
      </c>
      <c r="B14562" t="str">
        <f>"17630210781"</f>
        <v>17630210781</v>
      </c>
      <c r="C14562" t="str">
        <f>"410303199504290535"</f>
        <v>410303199504290535</v>
      </c>
      <c r="D14562" t="s">
        <v>14235</v>
      </c>
      <c r="E14562" t="s">
        <v>14236</v>
      </c>
      <c r="F14562" t="s">
        <v>0</v>
      </c>
      <c r="G14562" t="str">
        <f>"2018-10-12 21:35:58"</f>
        <v>2018-10-12 21:35:58</v>
      </c>
    </row>
    <row r="14563" spans="1:7" x14ac:dyDescent="0.2">
      <c r="A14563" t="s">
        <v>1</v>
      </c>
      <c r="B14563" t="str">
        <f>"15064510345"</f>
        <v>15064510345</v>
      </c>
      <c r="C14563" t="s">
        <v>1</v>
      </c>
      <c r="D14563" t="s">
        <v>1</v>
      </c>
      <c r="E14563" t="s">
        <v>1</v>
      </c>
      <c r="F14563" t="s">
        <v>0</v>
      </c>
      <c r="G14563" t="str">
        <f>"2018-10-12 20:59:29"</f>
        <v>2018-10-12 20:59:29</v>
      </c>
    </row>
    <row r="14564" spans="1:7" x14ac:dyDescent="0.2">
      <c r="A14564" t="s">
        <v>1</v>
      </c>
      <c r="B14564" t="str">
        <f>"15139605638"</f>
        <v>15139605638</v>
      </c>
      <c r="C14564" t="s">
        <v>1</v>
      </c>
      <c r="D14564" t="s">
        <v>1</v>
      </c>
      <c r="E14564" t="s">
        <v>1</v>
      </c>
      <c r="F14564" t="s">
        <v>0</v>
      </c>
      <c r="G14564" t="str">
        <f>"2018-10-12 20:59:26"</f>
        <v>2018-10-12 20:59:26</v>
      </c>
    </row>
    <row r="14565" spans="1:7" x14ac:dyDescent="0.2">
      <c r="A14565" t="s">
        <v>14237</v>
      </c>
      <c r="B14565" t="str">
        <f>"15970111313"</f>
        <v>15970111313</v>
      </c>
      <c r="C14565" t="str">
        <f>"36072419940720602X"</f>
        <v>36072419940720602X</v>
      </c>
      <c r="D14565" t="s">
        <v>1</v>
      </c>
      <c r="E14565" t="s">
        <v>1</v>
      </c>
      <c r="F14565" t="s">
        <v>0</v>
      </c>
      <c r="G14565" t="str">
        <f>"2018-10-12 21:00:12"</f>
        <v>2018-10-12 21:00:12</v>
      </c>
    </row>
    <row r="14566" spans="1:7" x14ac:dyDescent="0.2">
      <c r="A14566" t="s">
        <v>1</v>
      </c>
      <c r="B14566" t="str">
        <f>"13322052247"</f>
        <v>13322052247</v>
      </c>
      <c r="C14566" t="s">
        <v>1</v>
      </c>
      <c r="D14566" t="s">
        <v>1</v>
      </c>
      <c r="E14566" t="s">
        <v>1</v>
      </c>
      <c r="F14566" t="s">
        <v>0</v>
      </c>
      <c r="G14566" t="str">
        <f>"2018-10-12 20:58:59"</f>
        <v>2018-10-12 20:58:59</v>
      </c>
    </row>
    <row r="14567" spans="1:7" x14ac:dyDescent="0.2">
      <c r="A14567" t="s">
        <v>1</v>
      </c>
      <c r="B14567" t="str">
        <f>"15882159327"</f>
        <v>15882159327</v>
      </c>
      <c r="C14567" t="s">
        <v>1</v>
      </c>
      <c r="D14567" t="s">
        <v>1</v>
      </c>
      <c r="E14567" t="s">
        <v>1</v>
      </c>
      <c r="F14567" t="s">
        <v>0</v>
      </c>
      <c r="G14567" t="str">
        <f>"2018-10-12 21:02:49"</f>
        <v>2018-10-12 21:02:49</v>
      </c>
    </row>
    <row r="14568" spans="1:7" x14ac:dyDescent="0.2">
      <c r="A14568" t="s">
        <v>14238</v>
      </c>
      <c r="B14568" t="str">
        <f>"18009175950"</f>
        <v>18009175950</v>
      </c>
      <c r="C14568" t="str">
        <f>"610303197004292030"</f>
        <v>610303197004292030</v>
      </c>
      <c r="D14568" t="s">
        <v>1</v>
      </c>
      <c r="E14568" t="s">
        <v>1</v>
      </c>
      <c r="F14568" t="s">
        <v>0</v>
      </c>
      <c r="G14568" t="str">
        <f>"2018-10-12 21:47:04"</f>
        <v>2018-10-12 21:47:04</v>
      </c>
    </row>
    <row r="14569" spans="1:7" x14ac:dyDescent="0.2">
      <c r="A14569" t="s">
        <v>14239</v>
      </c>
      <c r="B14569" t="str">
        <f>"18748626756"</f>
        <v>18748626756</v>
      </c>
      <c r="C14569" t="str">
        <f>"520202199105260818"</f>
        <v>520202199105260818</v>
      </c>
      <c r="D14569" t="s">
        <v>1</v>
      </c>
      <c r="E14569" t="s">
        <v>1</v>
      </c>
      <c r="F14569" t="s">
        <v>0</v>
      </c>
      <c r="G14569" t="str">
        <f>"2018-10-12 21:00:54"</f>
        <v>2018-10-12 21:00:54</v>
      </c>
    </row>
    <row r="14570" spans="1:7" x14ac:dyDescent="0.2">
      <c r="A14570" t="s">
        <v>14240</v>
      </c>
      <c r="B14570" t="str">
        <f>"15160513272"</f>
        <v>15160513272</v>
      </c>
      <c r="C14570" t="str">
        <f>"350681198410250086"</f>
        <v>350681198410250086</v>
      </c>
      <c r="D14570" t="s">
        <v>1</v>
      </c>
      <c r="E14570" t="s">
        <v>1</v>
      </c>
      <c r="F14570" t="s">
        <v>0</v>
      </c>
      <c r="G14570" t="str">
        <f>"2018-10-14 16:04:12"</f>
        <v>2018-10-14 16:04:12</v>
      </c>
    </row>
    <row r="14571" spans="1:7" x14ac:dyDescent="0.2">
      <c r="A14571" t="s">
        <v>829</v>
      </c>
      <c r="B14571" t="str">
        <f>"15172332965"</f>
        <v>15172332965</v>
      </c>
      <c r="C14571" t="str">
        <f>"420984199105240015"</f>
        <v>420984199105240015</v>
      </c>
      <c r="D14571" t="s">
        <v>1</v>
      </c>
      <c r="E14571" t="s">
        <v>1</v>
      </c>
      <c r="F14571" t="s">
        <v>0</v>
      </c>
      <c r="G14571" t="str">
        <f>"2018-10-12 21:00:57"</f>
        <v>2018-10-12 21:00:57</v>
      </c>
    </row>
    <row r="14572" spans="1:7" x14ac:dyDescent="0.2">
      <c r="A14572" t="s">
        <v>1</v>
      </c>
      <c r="B14572" t="str">
        <f>"15678787514"</f>
        <v>15678787514</v>
      </c>
      <c r="C14572" t="s">
        <v>1</v>
      </c>
      <c r="D14572" t="s">
        <v>1</v>
      </c>
      <c r="E14572" t="s">
        <v>1</v>
      </c>
      <c r="F14572" t="s">
        <v>0</v>
      </c>
      <c r="G14572" t="str">
        <f>"2018-10-12 20:57:17"</f>
        <v>2018-10-12 20:57:17</v>
      </c>
    </row>
    <row r="14573" spans="1:7" x14ac:dyDescent="0.2">
      <c r="A14573" t="s">
        <v>14241</v>
      </c>
      <c r="B14573" t="str">
        <f>"13632759980"</f>
        <v>13632759980</v>
      </c>
      <c r="C14573" t="str">
        <f>"445122199410021519"</f>
        <v>445122199410021519</v>
      </c>
      <c r="D14573" t="s">
        <v>14242</v>
      </c>
      <c r="E14573" t="s">
        <v>14243</v>
      </c>
      <c r="F14573" t="s">
        <v>0</v>
      </c>
      <c r="G14573" t="str">
        <f>"2018-10-12 20:57:45"</f>
        <v>2018-10-12 20:57:45</v>
      </c>
    </row>
    <row r="14574" spans="1:7" x14ac:dyDescent="0.2">
      <c r="A14574" t="s">
        <v>14244</v>
      </c>
      <c r="B14574" t="str">
        <f>"15051179087"</f>
        <v>15051179087</v>
      </c>
      <c r="C14574" t="str">
        <f>"320723199112193010"</f>
        <v>320723199112193010</v>
      </c>
      <c r="D14574" t="s">
        <v>1</v>
      </c>
      <c r="E14574" t="s">
        <v>1</v>
      </c>
      <c r="F14574" t="s">
        <v>0</v>
      </c>
      <c r="G14574" t="str">
        <f>"2018-10-12 20:59:15"</f>
        <v>2018-10-12 20:59:15</v>
      </c>
    </row>
    <row r="14575" spans="1:7" x14ac:dyDescent="0.2">
      <c r="A14575" t="s">
        <v>14245</v>
      </c>
      <c r="B14575" t="str">
        <f>"15806439830"</f>
        <v>15806439830</v>
      </c>
      <c r="C14575" t="str">
        <f>"370303198403295110"</f>
        <v>370303198403295110</v>
      </c>
      <c r="D14575" t="s">
        <v>1</v>
      </c>
      <c r="E14575" t="s">
        <v>1</v>
      </c>
      <c r="F14575" t="s">
        <v>0</v>
      </c>
      <c r="G14575" t="str">
        <f>"2018-10-14 10:40:12"</f>
        <v>2018-10-14 10:40:12</v>
      </c>
    </row>
    <row r="14576" spans="1:7" x14ac:dyDescent="0.2">
      <c r="A14576" t="s">
        <v>1</v>
      </c>
      <c r="B14576" t="str">
        <f>"18634103615"</f>
        <v>18634103615</v>
      </c>
      <c r="C14576" t="s">
        <v>1</v>
      </c>
      <c r="D14576" t="s">
        <v>1</v>
      </c>
      <c r="E14576" t="s">
        <v>1</v>
      </c>
      <c r="F14576" t="s">
        <v>0</v>
      </c>
      <c r="G14576" t="str">
        <f>"2018-10-12 21:07:13"</f>
        <v>2018-10-12 21:07:13</v>
      </c>
    </row>
    <row r="14577" spans="1:7" x14ac:dyDescent="0.2">
      <c r="A14577" t="s">
        <v>1</v>
      </c>
      <c r="B14577" t="str">
        <f>"15336643286"</f>
        <v>15336643286</v>
      </c>
      <c r="C14577" t="s">
        <v>1</v>
      </c>
      <c r="D14577" t="s">
        <v>1</v>
      </c>
      <c r="E14577" t="s">
        <v>1</v>
      </c>
      <c r="F14577" t="s">
        <v>0</v>
      </c>
      <c r="G14577" t="str">
        <f>"2018-10-12 20:55:59"</f>
        <v>2018-10-12 20:55:59</v>
      </c>
    </row>
    <row r="14578" spans="1:7" x14ac:dyDescent="0.2">
      <c r="A14578" t="s">
        <v>1</v>
      </c>
      <c r="B14578" t="str">
        <f>"18534719937"</f>
        <v>18534719937</v>
      </c>
      <c r="C14578" t="s">
        <v>1</v>
      </c>
      <c r="D14578" t="s">
        <v>1</v>
      </c>
      <c r="E14578" t="s">
        <v>1</v>
      </c>
      <c r="F14578" t="s">
        <v>0</v>
      </c>
      <c r="G14578" t="str">
        <f>"2018-10-12 20:55:13"</f>
        <v>2018-10-12 20:55:13</v>
      </c>
    </row>
    <row r="14579" spans="1:7" x14ac:dyDescent="0.2">
      <c r="A14579" t="s">
        <v>14246</v>
      </c>
      <c r="B14579" t="str">
        <f>"15233196963"</f>
        <v>15233196963</v>
      </c>
      <c r="C14579" t="str">
        <f>"130524198501170539"</f>
        <v>130524198501170539</v>
      </c>
      <c r="D14579" t="s">
        <v>1</v>
      </c>
      <c r="E14579" t="s">
        <v>1</v>
      </c>
      <c r="F14579" t="s">
        <v>0</v>
      </c>
      <c r="G14579" t="str">
        <f>"2018-10-12 21:00:35"</f>
        <v>2018-10-12 21:00:35</v>
      </c>
    </row>
    <row r="14580" spans="1:7" x14ac:dyDescent="0.2">
      <c r="A14580" t="s">
        <v>1</v>
      </c>
      <c r="B14580" t="str">
        <f>"18579092272"</f>
        <v>18579092272</v>
      </c>
      <c r="C14580" t="s">
        <v>1</v>
      </c>
      <c r="D14580" t="s">
        <v>1</v>
      </c>
      <c r="E14580" t="s">
        <v>1</v>
      </c>
      <c r="F14580" t="s">
        <v>0</v>
      </c>
      <c r="G14580" t="str">
        <f>"2018-10-12 20:59:41"</f>
        <v>2018-10-12 20:59:41</v>
      </c>
    </row>
    <row r="14581" spans="1:7" x14ac:dyDescent="0.2">
      <c r="A14581" t="s">
        <v>14247</v>
      </c>
      <c r="B14581" t="str">
        <f>"15122284617"</f>
        <v>15122284617</v>
      </c>
      <c r="C14581" t="str">
        <f>"120223199001013529"</f>
        <v>120223199001013529</v>
      </c>
      <c r="D14581" t="s">
        <v>1</v>
      </c>
      <c r="E14581" t="s">
        <v>1</v>
      </c>
      <c r="F14581" t="s">
        <v>0</v>
      </c>
      <c r="G14581" t="str">
        <f>"2018-10-12 20:55:48"</f>
        <v>2018-10-12 20:55:48</v>
      </c>
    </row>
    <row r="14582" spans="1:7" x14ac:dyDescent="0.2">
      <c r="A14582" t="s">
        <v>14248</v>
      </c>
      <c r="B14582" t="str">
        <f>"18249231873"</f>
        <v>18249231873</v>
      </c>
      <c r="C14582" t="str">
        <f>"230811197812212437"</f>
        <v>230811197812212437</v>
      </c>
      <c r="D14582" t="s">
        <v>1</v>
      </c>
      <c r="E14582" t="s">
        <v>1</v>
      </c>
      <c r="F14582" t="s">
        <v>0</v>
      </c>
      <c r="G14582" t="str">
        <f>"2018-10-12 20:58:40"</f>
        <v>2018-10-12 20:58:40</v>
      </c>
    </row>
    <row r="14583" spans="1:7" x14ac:dyDescent="0.2">
      <c r="A14583" t="s">
        <v>14249</v>
      </c>
      <c r="B14583" t="str">
        <f>"13919334444"</f>
        <v>13919334444</v>
      </c>
      <c r="C14583" t="str">
        <f>"620503197307050023"</f>
        <v>620503197307050023</v>
      </c>
      <c r="D14583" t="s">
        <v>14250</v>
      </c>
      <c r="E14583" t="s">
        <v>14251</v>
      </c>
      <c r="F14583" t="s">
        <v>0</v>
      </c>
      <c r="G14583" t="str">
        <f>"2018-10-31 23:48:58"</f>
        <v>2018-10-31 23:48:58</v>
      </c>
    </row>
    <row r="14584" spans="1:7" x14ac:dyDescent="0.2">
      <c r="A14584" t="s">
        <v>14252</v>
      </c>
      <c r="B14584" t="str">
        <f>"13202840991"</f>
        <v>13202840991</v>
      </c>
      <c r="C14584" t="str">
        <f>"440682200010083272"</f>
        <v>440682200010083272</v>
      </c>
      <c r="D14584" t="s">
        <v>14253</v>
      </c>
      <c r="E14584" t="s">
        <v>14254</v>
      </c>
      <c r="F14584" t="s">
        <v>0</v>
      </c>
      <c r="G14584" t="str">
        <f>"2018-10-12 21:11:07"</f>
        <v>2018-10-12 21:11:07</v>
      </c>
    </row>
    <row r="14585" spans="1:7" x14ac:dyDescent="0.2">
      <c r="A14585" t="s">
        <v>686</v>
      </c>
      <c r="B14585" t="str">
        <f>"13760133347"</f>
        <v>13760133347</v>
      </c>
      <c r="C14585" t="str">
        <f>"440922197609220427"</f>
        <v>440922197609220427</v>
      </c>
      <c r="D14585" t="s">
        <v>1</v>
      </c>
      <c r="E14585" t="s">
        <v>1</v>
      </c>
      <c r="F14585" t="s">
        <v>0</v>
      </c>
      <c r="G14585" t="str">
        <f>"2018-10-12 21:20:52"</f>
        <v>2018-10-12 21:20:52</v>
      </c>
    </row>
    <row r="14586" spans="1:7" x14ac:dyDescent="0.2">
      <c r="A14586" t="s">
        <v>14255</v>
      </c>
      <c r="B14586" t="str">
        <f>"18787111551"</f>
        <v>18787111551</v>
      </c>
      <c r="C14586" t="str">
        <f>"530129199602081315"</f>
        <v>530129199602081315</v>
      </c>
      <c r="D14586" t="s">
        <v>14256</v>
      </c>
      <c r="E14586" t="s">
        <v>14257</v>
      </c>
      <c r="F14586" t="s">
        <v>0</v>
      </c>
      <c r="G14586" t="str">
        <f>"2018-10-12 20:53:24"</f>
        <v>2018-10-12 20:53:24</v>
      </c>
    </row>
    <row r="14587" spans="1:7" x14ac:dyDescent="0.2">
      <c r="A14587" t="s">
        <v>14258</v>
      </c>
      <c r="B14587" t="str">
        <f>"18765392165"</f>
        <v>18765392165</v>
      </c>
      <c r="C14587" t="str">
        <f>"371325199609103413"</f>
        <v>371325199609103413</v>
      </c>
      <c r="D14587" t="s">
        <v>1</v>
      </c>
      <c r="E14587" t="s">
        <v>1</v>
      </c>
      <c r="F14587" t="s">
        <v>0</v>
      </c>
      <c r="G14587" t="str">
        <f>"2018-10-12 20:52:59"</f>
        <v>2018-10-12 20:52:59</v>
      </c>
    </row>
    <row r="14588" spans="1:7" x14ac:dyDescent="0.2">
      <c r="A14588" t="s">
        <v>3411</v>
      </c>
      <c r="B14588" t="str">
        <f>"18292057057"</f>
        <v>18292057057</v>
      </c>
      <c r="C14588" t="str">
        <f>"610115198510284534"</f>
        <v>610115198510284534</v>
      </c>
      <c r="D14588" t="s">
        <v>14259</v>
      </c>
      <c r="E14588" t="s">
        <v>14260</v>
      </c>
      <c r="F14588" t="s">
        <v>0</v>
      </c>
      <c r="G14588" t="str">
        <f>"2018-10-12 22:30:09"</f>
        <v>2018-10-12 22:30:09</v>
      </c>
    </row>
    <row r="14589" spans="1:7" x14ac:dyDescent="0.2">
      <c r="A14589" t="s">
        <v>1</v>
      </c>
      <c r="B14589" t="str">
        <f>"15903475821"</f>
        <v>15903475821</v>
      </c>
      <c r="C14589" t="s">
        <v>1</v>
      </c>
      <c r="D14589" t="s">
        <v>1</v>
      </c>
      <c r="E14589" t="s">
        <v>1</v>
      </c>
      <c r="F14589" t="s">
        <v>0</v>
      </c>
      <c r="G14589" t="str">
        <f>"2018-10-12 20:52:45"</f>
        <v>2018-10-12 20:52:45</v>
      </c>
    </row>
    <row r="14590" spans="1:7" x14ac:dyDescent="0.2">
      <c r="A14590" t="s">
        <v>14261</v>
      </c>
      <c r="B14590" t="str">
        <f>"13553736617"</f>
        <v>13553736617</v>
      </c>
      <c r="C14590" t="str">
        <f>"445122198401297455"</f>
        <v>445122198401297455</v>
      </c>
      <c r="D14590" t="s">
        <v>1</v>
      </c>
      <c r="E14590" t="s">
        <v>1</v>
      </c>
      <c r="F14590" t="s">
        <v>0</v>
      </c>
      <c r="G14590" t="str">
        <f>"2018-10-12 20:56:39"</f>
        <v>2018-10-12 20:56:39</v>
      </c>
    </row>
    <row r="14591" spans="1:7" x14ac:dyDescent="0.2">
      <c r="A14591" t="s">
        <v>14262</v>
      </c>
      <c r="B14591" t="str">
        <f>"13978986564"</f>
        <v>13978986564</v>
      </c>
      <c r="C14591" t="str">
        <f>"45052119861210111X"</f>
        <v>45052119861210111X</v>
      </c>
      <c r="D14591" t="s">
        <v>1</v>
      </c>
      <c r="E14591" t="s">
        <v>1</v>
      </c>
      <c r="F14591" t="s">
        <v>0</v>
      </c>
      <c r="G14591" t="str">
        <f>"2018-10-12 21:07:55"</f>
        <v>2018-10-12 21:07:55</v>
      </c>
    </row>
    <row r="14592" spans="1:7" x14ac:dyDescent="0.2">
      <c r="A14592" t="s">
        <v>14263</v>
      </c>
      <c r="B14592" t="str">
        <f>"13791261560"</f>
        <v>13791261560</v>
      </c>
      <c r="C14592" t="str">
        <f>"372928199705296043"</f>
        <v>372928199705296043</v>
      </c>
      <c r="D14592" t="s">
        <v>1</v>
      </c>
      <c r="E14592" t="s">
        <v>1</v>
      </c>
      <c r="F14592" t="s">
        <v>0</v>
      </c>
      <c r="G14592" t="str">
        <f>"2018-10-12 20:55:57"</f>
        <v>2018-10-12 20:55:57</v>
      </c>
    </row>
    <row r="14593" spans="1:7" x14ac:dyDescent="0.2">
      <c r="A14593" t="s">
        <v>14264</v>
      </c>
      <c r="B14593" t="str">
        <f>"13070968898"</f>
        <v>13070968898</v>
      </c>
      <c r="C14593" t="str">
        <f>"44132219841016431X"</f>
        <v>44132219841016431X</v>
      </c>
      <c r="D14593" t="s">
        <v>1</v>
      </c>
      <c r="E14593" t="s">
        <v>1</v>
      </c>
      <c r="F14593" t="s">
        <v>0</v>
      </c>
      <c r="G14593" t="str">
        <f>"2018-10-13 20:59:39"</f>
        <v>2018-10-13 20:59:39</v>
      </c>
    </row>
    <row r="14594" spans="1:7" x14ac:dyDescent="0.2">
      <c r="A14594" t="s">
        <v>14265</v>
      </c>
      <c r="B14594" t="str">
        <f>"18671928282"</f>
        <v>18671928282</v>
      </c>
      <c r="C14594" t="str">
        <f>"420321198904050055"</f>
        <v>420321198904050055</v>
      </c>
      <c r="D14594" t="s">
        <v>1</v>
      </c>
      <c r="E14594" t="s">
        <v>1</v>
      </c>
      <c r="F14594" t="s">
        <v>0</v>
      </c>
      <c r="G14594" t="str">
        <f>"2018-10-12 20:52:07"</f>
        <v>2018-10-12 20:52:07</v>
      </c>
    </row>
    <row r="14595" spans="1:7" x14ac:dyDescent="0.2">
      <c r="A14595" t="s">
        <v>1</v>
      </c>
      <c r="B14595" t="str">
        <f>"13624407641"</f>
        <v>13624407641</v>
      </c>
      <c r="C14595" t="s">
        <v>1</v>
      </c>
      <c r="D14595" t="s">
        <v>1</v>
      </c>
      <c r="E14595" t="s">
        <v>1</v>
      </c>
      <c r="F14595" t="s">
        <v>0</v>
      </c>
      <c r="G14595" t="str">
        <f>"2018-10-12 20:48:38"</f>
        <v>2018-10-12 20:48:38</v>
      </c>
    </row>
    <row r="14596" spans="1:7" x14ac:dyDescent="0.2">
      <c r="A14596" t="s">
        <v>1</v>
      </c>
      <c r="B14596" t="str">
        <f>"13637727263"</f>
        <v>13637727263</v>
      </c>
      <c r="C14596" t="s">
        <v>1</v>
      </c>
      <c r="D14596" t="s">
        <v>1</v>
      </c>
      <c r="E14596" t="s">
        <v>1</v>
      </c>
      <c r="F14596" t="s">
        <v>0</v>
      </c>
      <c r="G14596" t="str">
        <f>"2018-10-12 20:48:21"</f>
        <v>2018-10-12 20:48:21</v>
      </c>
    </row>
    <row r="14597" spans="1:7" x14ac:dyDescent="0.2">
      <c r="A14597" t="s">
        <v>14266</v>
      </c>
      <c r="B14597" t="str">
        <f>"18795946608"</f>
        <v>18795946608</v>
      </c>
      <c r="C14597" t="str">
        <f>"320125199006154317"</f>
        <v>320125199006154317</v>
      </c>
      <c r="D14597" t="s">
        <v>1</v>
      </c>
      <c r="E14597" t="s">
        <v>1</v>
      </c>
      <c r="F14597" t="s">
        <v>0</v>
      </c>
      <c r="G14597" t="str">
        <f>"2018-10-12 20:47:52"</f>
        <v>2018-10-12 20:47:52</v>
      </c>
    </row>
    <row r="14598" spans="1:7" x14ac:dyDescent="0.2">
      <c r="A14598" t="s">
        <v>1</v>
      </c>
      <c r="B14598" t="str">
        <f>"17608500596"</f>
        <v>17608500596</v>
      </c>
      <c r="C14598" t="s">
        <v>1</v>
      </c>
      <c r="D14598" t="s">
        <v>1</v>
      </c>
      <c r="E14598" t="s">
        <v>1</v>
      </c>
      <c r="F14598" t="s">
        <v>0</v>
      </c>
      <c r="G14598" t="str">
        <f>"2018-10-12 20:47:33"</f>
        <v>2018-10-12 20:47:33</v>
      </c>
    </row>
    <row r="14599" spans="1:7" x14ac:dyDescent="0.2">
      <c r="A14599" t="s">
        <v>1</v>
      </c>
      <c r="B14599" t="str">
        <f>"15506741141"</f>
        <v>15506741141</v>
      </c>
      <c r="C14599" t="s">
        <v>1</v>
      </c>
      <c r="D14599" t="s">
        <v>1</v>
      </c>
      <c r="E14599" t="s">
        <v>1</v>
      </c>
      <c r="F14599" t="s">
        <v>0</v>
      </c>
      <c r="G14599" t="str">
        <f>"2018-10-12 20:46:33"</f>
        <v>2018-10-12 20:46:33</v>
      </c>
    </row>
    <row r="14600" spans="1:7" x14ac:dyDescent="0.2">
      <c r="A14600" t="s">
        <v>1</v>
      </c>
      <c r="B14600" t="str">
        <f>"18511013820"</f>
        <v>18511013820</v>
      </c>
      <c r="C14600" t="s">
        <v>1</v>
      </c>
      <c r="D14600" t="s">
        <v>1</v>
      </c>
      <c r="E14600" t="s">
        <v>1</v>
      </c>
      <c r="F14600" t="s">
        <v>0</v>
      </c>
      <c r="G14600" t="str">
        <f>"2018-10-12 21:42:24"</f>
        <v>2018-10-12 21:42:24</v>
      </c>
    </row>
    <row r="14601" spans="1:7" x14ac:dyDescent="0.2">
      <c r="A14601" t="s">
        <v>1</v>
      </c>
      <c r="B14601" t="str">
        <f>"18898177586"</f>
        <v>18898177586</v>
      </c>
      <c r="C14601" t="s">
        <v>1</v>
      </c>
      <c r="D14601" t="s">
        <v>1</v>
      </c>
      <c r="E14601" t="s">
        <v>1</v>
      </c>
      <c r="F14601" t="s">
        <v>0</v>
      </c>
      <c r="G14601" t="str">
        <f>"2018-10-12 20:47:15"</f>
        <v>2018-10-12 20:47:15</v>
      </c>
    </row>
    <row r="14602" spans="1:7" x14ac:dyDescent="0.2">
      <c r="A14602" t="s">
        <v>1</v>
      </c>
      <c r="B14602" t="str">
        <f>"18275333465"</f>
        <v>18275333465</v>
      </c>
      <c r="C14602" t="s">
        <v>1</v>
      </c>
      <c r="D14602" t="s">
        <v>1</v>
      </c>
      <c r="E14602" t="s">
        <v>1</v>
      </c>
      <c r="F14602" t="s">
        <v>0</v>
      </c>
      <c r="G14602" t="str">
        <f>"2018-10-12 20:45:36"</f>
        <v>2018-10-12 20:45:36</v>
      </c>
    </row>
    <row r="14603" spans="1:7" x14ac:dyDescent="0.2">
      <c r="A14603" t="s">
        <v>14267</v>
      </c>
      <c r="B14603" t="str">
        <f>"18779868648"</f>
        <v>18779868648</v>
      </c>
      <c r="C14603" t="str">
        <f>"452130198310213315"</f>
        <v>452130198310213315</v>
      </c>
      <c r="D14603" t="s">
        <v>1</v>
      </c>
      <c r="E14603" t="s">
        <v>1</v>
      </c>
      <c r="F14603" t="s">
        <v>0</v>
      </c>
      <c r="G14603" t="str">
        <f>"2018-10-12 20:46:52"</f>
        <v>2018-10-12 20:46:52</v>
      </c>
    </row>
    <row r="14604" spans="1:7" x14ac:dyDescent="0.2">
      <c r="A14604" t="s">
        <v>14268</v>
      </c>
      <c r="B14604" t="str">
        <f>"18240343298"</f>
        <v>18240343298</v>
      </c>
      <c r="C14604" t="str">
        <f>"500238198507182240"</f>
        <v>500238198507182240</v>
      </c>
      <c r="D14604" t="s">
        <v>1</v>
      </c>
      <c r="E14604" t="s">
        <v>1</v>
      </c>
      <c r="F14604" t="s">
        <v>0</v>
      </c>
      <c r="G14604" t="str">
        <f>"2018-10-12 20:47:55"</f>
        <v>2018-10-12 20:47:55</v>
      </c>
    </row>
    <row r="14605" spans="1:7" x14ac:dyDescent="0.2">
      <c r="A14605" t="s">
        <v>164</v>
      </c>
      <c r="B14605" t="str">
        <f>"18827293882"</f>
        <v>18827293882</v>
      </c>
      <c r="C14605" t="str">
        <f>"420583199401111033"</f>
        <v>420583199401111033</v>
      </c>
      <c r="D14605" t="s">
        <v>1</v>
      </c>
      <c r="E14605" t="s">
        <v>1</v>
      </c>
      <c r="F14605" t="s">
        <v>0</v>
      </c>
      <c r="G14605" t="str">
        <f>"2018-10-12 21:04:23"</f>
        <v>2018-10-12 21:04:23</v>
      </c>
    </row>
    <row r="14606" spans="1:7" x14ac:dyDescent="0.2">
      <c r="A14606" t="s">
        <v>1</v>
      </c>
      <c r="B14606" t="str">
        <f>"13823274232"</f>
        <v>13823274232</v>
      </c>
      <c r="C14606" t="s">
        <v>1</v>
      </c>
      <c r="D14606" t="s">
        <v>1</v>
      </c>
      <c r="E14606" t="s">
        <v>1</v>
      </c>
      <c r="F14606" t="s">
        <v>0</v>
      </c>
      <c r="G14606" t="str">
        <f>"2018-10-12 20:46:24"</f>
        <v>2018-10-12 20:46:24</v>
      </c>
    </row>
    <row r="14607" spans="1:7" x14ac:dyDescent="0.2">
      <c r="A14607" t="s">
        <v>1</v>
      </c>
      <c r="B14607" t="str">
        <f>"13988815318"</f>
        <v>13988815318</v>
      </c>
      <c r="C14607" t="s">
        <v>1</v>
      </c>
      <c r="D14607" t="s">
        <v>1</v>
      </c>
      <c r="E14607" t="s">
        <v>1</v>
      </c>
      <c r="F14607" t="s">
        <v>0</v>
      </c>
      <c r="G14607" t="str">
        <f>"2018-10-12 20:45:36"</f>
        <v>2018-10-12 20:45:36</v>
      </c>
    </row>
    <row r="14608" spans="1:7" x14ac:dyDescent="0.2">
      <c r="A14608" t="s">
        <v>14269</v>
      </c>
      <c r="B14608" t="str">
        <f>"15827177316"</f>
        <v>15827177316</v>
      </c>
      <c r="C14608" t="str">
        <f>"420106199411291272"</f>
        <v>420106199411291272</v>
      </c>
      <c r="D14608" t="s">
        <v>1</v>
      </c>
      <c r="E14608" t="s">
        <v>1</v>
      </c>
      <c r="F14608" t="s">
        <v>0</v>
      </c>
      <c r="G14608" t="str">
        <f>"2018-10-12 20:45:34"</f>
        <v>2018-10-12 20:45:34</v>
      </c>
    </row>
    <row r="14609" spans="1:7" x14ac:dyDescent="0.2">
      <c r="A14609" t="s">
        <v>1</v>
      </c>
      <c r="B14609" t="str">
        <f>"15540555312"</f>
        <v>15540555312</v>
      </c>
      <c r="C14609" t="s">
        <v>1</v>
      </c>
      <c r="D14609" t="s">
        <v>1</v>
      </c>
      <c r="E14609" t="s">
        <v>1</v>
      </c>
      <c r="F14609" t="s">
        <v>0</v>
      </c>
      <c r="G14609" t="str">
        <f>"2018-10-12 20:51:21"</f>
        <v>2018-10-12 20:51:21</v>
      </c>
    </row>
    <row r="14610" spans="1:7" x14ac:dyDescent="0.2">
      <c r="A14610" t="s">
        <v>14270</v>
      </c>
      <c r="B14610" t="str">
        <f>"18788393680"</f>
        <v>18788393680</v>
      </c>
      <c r="C14610" t="str">
        <f>"533523198801160173"</f>
        <v>533523198801160173</v>
      </c>
      <c r="D14610" t="s">
        <v>1</v>
      </c>
      <c r="E14610" t="s">
        <v>1</v>
      </c>
      <c r="F14610" t="s">
        <v>0</v>
      </c>
      <c r="G14610" t="str">
        <f>"2018-10-12 20:45:31"</f>
        <v>2018-10-12 20:45:31</v>
      </c>
    </row>
    <row r="14611" spans="1:7" x14ac:dyDescent="0.2">
      <c r="A14611" t="s">
        <v>14271</v>
      </c>
      <c r="B14611" t="str">
        <f>"13967794055"</f>
        <v>13967794055</v>
      </c>
      <c r="C14611" t="str">
        <f>"422822199703225015"</f>
        <v>422822199703225015</v>
      </c>
      <c r="D14611" t="s">
        <v>1</v>
      </c>
      <c r="E14611" t="s">
        <v>1</v>
      </c>
      <c r="F14611" t="s">
        <v>0</v>
      </c>
      <c r="G14611" t="str">
        <f>"2018-10-12 20:44:08"</f>
        <v>2018-10-12 20:44:08</v>
      </c>
    </row>
    <row r="14612" spans="1:7" x14ac:dyDescent="0.2">
      <c r="A14612" t="s">
        <v>14272</v>
      </c>
      <c r="B14612" t="str">
        <f>"15031789643"</f>
        <v>15031789643</v>
      </c>
      <c r="C14612" t="str">
        <f>"130981198708160329"</f>
        <v>130981198708160329</v>
      </c>
      <c r="D14612" t="s">
        <v>1</v>
      </c>
      <c r="E14612" t="s">
        <v>1</v>
      </c>
      <c r="F14612" t="s">
        <v>0</v>
      </c>
      <c r="G14612" t="str">
        <f>"2018-10-17 15:08:00"</f>
        <v>2018-10-17 15:08:00</v>
      </c>
    </row>
    <row r="14613" spans="1:7" x14ac:dyDescent="0.2">
      <c r="A14613" t="s">
        <v>14273</v>
      </c>
      <c r="B14613" t="str">
        <f>"15838840427"</f>
        <v>15838840427</v>
      </c>
      <c r="C14613" t="str">
        <f>"410311197801162514"</f>
        <v>410311197801162514</v>
      </c>
      <c r="D14613" t="s">
        <v>1</v>
      </c>
      <c r="E14613" t="s">
        <v>1</v>
      </c>
      <c r="F14613" t="s">
        <v>0</v>
      </c>
      <c r="G14613" t="str">
        <f>"2018-10-12 20:42:25"</f>
        <v>2018-10-12 20:42:25</v>
      </c>
    </row>
    <row r="14614" spans="1:7" x14ac:dyDescent="0.2">
      <c r="A14614" t="s">
        <v>339</v>
      </c>
      <c r="B14614" t="str">
        <f>"13856086007"</f>
        <v>13856086007</v>
      </c>
      <c r="C14614" t="str">
        <f>"340102198602141541"</f>
        <v>340102198602141541</v>
      </c>
      <c r="D14614" t="s">
        <v>1</v>
      </c>
      <c r="E14614" t="s">
        <v>1</v>
      </c>
      <c r="F14614" t="s">
        <v>0</v>
      </c>
      <c r="G14614" t="str">
        <f>"2018-10-12 20:43:20"</f>
        <v>2018-10-12 20:43:20</v>
      </c>
    </row>
    <row r="14615" spans="1:7" x14ac:dyDescent="0.2">
      <c r="A14615" t="s">
        <v>1</v>
      </c>
      <c r="B14615" t="str">
        <f>"17623508352"</f>
        <v>17623508352</v>
      </c>
      <c r="C14615" t="s">
        <v>1</v>
      </c>
      <c r="D14615" t="s">
        <v>1</v>
      </c>
      <c r="E14615" t="s">
        <v>1</v>
      </c>
      <c r="F14615" t="s">
        <v>0</v>
      </c>
      <c r="G14615" t="str">
        <f>"2018-10-12 20:42:00"</f>
        <v>2018-10-12 20:42:00</v>
      </c>
    </row>
    <row r="14616" spans="1:7" x14ac:dyDescent="0.2">
      <c r="A14616" t="s">
        <v>14274</v>
      </c>
      <c r="B14616" t="str">
        <f>"18745072887"</f>
        <v>18745072887</v>
      </c>
      <c r="C14616" t="str">
        <f>"230107199601142623"</f>
        <v>230107199601142623</v>
      </c>
      <c r="D14616" t="s">
        <v>1</v>
      </c>
      <c r="E14616" t="s">
        <v>1</v>
      </c>
      <c r="F14616" t="s">
        <v>0</v>
      </c>
      <c r="G14616" t="str">
        <f>"2018-10-22 16:21:45"</f>
        <v>2018-10-22 16:21:45</v>
      </c>
    </row>
    <row r="14617" spans="1:7" x14ac:dyDescent="0.2">
      <c r="A14617" t="s">
        <v>14275</v>
      </c>
      <c r="B14617" t="str">
        <f>"13535303136"</f>
        <v>13535303136</v>
      </c>
      <c r="C14617" t="str">
        <f>"44010519851209481X"</f>
        <v>44010519851209481X</v>
      </c>
      <c r="D14617" t="s">
        <v>1</v>
      </c>
      <c r="E14617" t="s">
        <v>1</v>
      </c>
      <c r="F14617" t="s">
        <v>0</v>
      </c>
      <c r="G14617" t="str">
        <f>"2018-10-12 20:42:49"</f>
        <v>2018-10-12 20:42:49</v>
      </c>
    </row>
    <row r="14618" spans="1:7" x14ac:dyDescent="0.2">
      <c r="A14618" t="s">
        <v>14276</v>
      </c>
      <c r="B14618" t="str">
        <f>"13555529629"</f>
        <v>13555529629</v>
      </c>
      <c r="C14618" t="str">
        <f>"230621199011211857"</f>
        <v>230621199011211857</v>
      </c>
      <c r="D14618" t="s">
        <v>1</v>
      </c>
      <c r="E14618" t="s">
        <v>1</v>
      </c>
      <c r="F14618" t="s">
        <v>0</v>
      </c>
      <c r="G14618" t="str">
        <f>"2018-10-12 20:41:02"</f>
        <v>2018-10-12 20:41:02</v>
      </c>
    </row>
    <row r="14619" spans="1:7" x14ac:dyDescent="0.2">
      <c r="A14619" t="s">
        <v>14277</v>
      </c>
      <c r="B14619" t="str">
        <f>"18500029541"</f>
        <v>18500029541</v>
      </c>
      <c r="C14619" t="str">
        <f>"210711199604035413"</f>
        <v>210711199604035413</v>
      </c>
      <c r="D14619" t="s">
        <v>1</v>
      </c>
      <c r="E14619" t="s">
        <v>1</v>
      </c>
      <c r="F14619" t="s">
        <v>0</v>
      </c>
      <c r="G14619" t="str">
        <f>"2018-11-03 03:13:51"</f>
        <v>2018-11-03 03:13:51</v>
      </c>
    </row>
    <row r="14620" spans="1:7" x14ac:dyDescent="0.2">
      <c r="A14620" t="s">
        <v>14278</v>
      </c>
      <c r="B14620" t="str">
        <f>"15028456919"</f>
        <v>15028456919</v>
      </c>
      <c r="C14620" t="str">
        <f>"130428199109262919"</f>
        <v>130428199109262919</v>
      </c>
      <c r="D14620" t="s">
        <v>14279</v>
      </c>
      <c r="E14620" t="s">
        <v>14280</v>
      </c>
      <c r="F14620" t="s">
        <v>0</v>
      </c>
      <c r="G14620" t="str">
        <f>"2018-10-12 20:41:37"</f>
        <v>2018-10-12 20:41:37</v>
      </c>
    </row>
    <row r="14621" spans="1:7" x14ac:dyDescent="0.2">
      <c r="A14621" t="s">
        <v>1</v>
      </c>
      <c r="B14621" t="str">
        <f>"13713067239"</f>
        <v>13713067239</v>
      </c>
      <c r="C14621" t="s">
        <v>1</v>
      </c>
      <c r="D14621" t="s">
        <v>1</v>
      </c>
      <c r="E14621" t="s">
        <v>1</v>
      </c>
      <c r="F14621" t="s">
        <v>0</v>
      </c>
      <c r="G14621" t="str">
        <f>"2018-10-12 20:39:42"</f>
        <v>2018-10-12 20:39:42</v>
      </c>
    </row>
    <row r="14622" spans="1:7" x14ac:dyDescent="0.2">
      <c r="A14622" t="s">
        <v>1</v>
      </c>
      <c r="B14622" t="str">
        <f>"13174757526"</f>
        <v>13174757526</v>
      </c>
      <c r="C14622" t="s">
        <v>1</v>
      </c>
      <c r="D14622" t="s">
        <v>1</v>
      </c>
      <c r="E14622" t="s">
        <v>1</v>
      </c>
      <c r="F14622" t="s">
        <v>0</v>
      </c>
      <c r="G14622" t="str">
        <f>"2018-10-12 20:39:40"</f>
        <v>2018-10-12 20:39:40</v>
      </c>
    </row>
    <row r="14623" spans="1:7" x14ac:dyDescent="0.2">
      <c r="A14623" t="s">
        <v>14281</v>
      </c>
      <c r="B14623" t="str">
        <f>"15522943268"</f>
        <v>15522943268</v>
      </c>
      <c r="C14623" t="str">
        <f>"120221198802292612"</f>
        <v>120221198802292612</v>
      </c>
      <c r="D14623" t="s">
        <v>14282</v>
      </c>
      <c r="E14623" t="s">
        <v>14283</v>
      </c>
      <c r="F14623" t="s">
        <v>0</v>
      </c>
      <c r="G14623" t="str">
        <f>"2018-10-12 20:47:29"</f>
        <v>2018-10-12 20:47:29</v>
      </c>
    </row>
    <row r="14624" spans="1:7" x14ac:dyDescent="0.2">
      <c r="A14624" t="s">
        <v>63</v>
      </c>
      <c r="B14624" t="str">
        <f>"13723943826"</f>
        <v>13723943826</v>
      </c>
      <c r="C14624" t="str">
        <f>"370682198807166210"</f>
        <v>370682198807166210</v>
      </c>
      <c r="D14624" t="s">
        <v>1</v>
      </c>
      <c r="E14624" t="s">
        <v>1</v>
      </c>
      <c r="F14624" t="s">
        <v>0</v>
      </c>
      <c r="G14624" t="str">
        <f>"2018-10-12 20:40:02"</f>
        <v>2018-10-12 20:40:02</v>
      </c>
    </row>
    <row r="14625" spans="1:7" x14ac:dyDescent="0.2">
      <c r="A14625" t="s">
        <v>14284</v>
      </c>
      <c r="B14625" t="str">
        <f>"13692001164"</f>
        <v>13692001164</v>
      </c>
      <c r="C14625" t="str">
        <f>"440582199707106453"</f>
        <v>440582199707106453</v>
      </c>
      <c r="D14625" t="s">
        <v>1</v>
      </c>
      <c r="E14625" t="s">
        <v>1</v>
      </c>
      <c r="F14625" t="s">
        <v>0</v>
      </c>
      <c r="G14625" t="str">
        <f>"2018-10-12 20:40:04"</f>
        <v>2018-10-12 20:40:04</v>
      </c>
    </row>
    <row r="14626" spans="1:7" x14ac:dyDescent="0.2">
      <c r="A14626" t="s">
        <v>14285</v>
      </c>
      <c r="B14626" t="str">
        <f>"13830082915"</f>
        <v>13830082915</v>
      </c>
      <c r="C14626" t="str">
        <f>"620423198508251010"</f>
        <v>620423198508251010</v>
      </c>
      <c r="D14626" t="s">
        <v>14286</v>
      </c>
      <c r="E14626" t="s">
        <v>14287</v>
      </c>
      <c r="F14626" t="s">
        <v>0</v>
      </c>
      <c r="G14626" t="str">
        <f>"2018-10-12 20:39:22"</f>
        <v>2018-10-12 20:39:22</v>
      </c>
    </row>
    <row r="14627" spans="1:7" x14ac:dyDescent="0.2">
      <c r="A14627" t="s">
        <v>1</v>
      </c>
      <c r="B14627" t="str">
        <f>"18218203884"</f>
        <v>18218203884</v>
      </c>
      <c r="C14627" t="s">
        <v>1</v>
      </c>
      <c r="D14627" t="s">
        <v>1</v>
      </c>
      <c r="E14627" t="s">
        <v>1</v>
      </c>
      <c r="F14627" t="s">
        <v>0</v>
      </c>
      <c r="G14627" t="str">
        <f>"2018-10-12 20:39:42"</f>
        <v>2018-10-12 20:39:42</v>
      </c>
    </row>
    <row r="14628" spans="1:7" x14ac:dyDescent="0.2">
      <c r="A14628" t="s">
        <v>14288</v>
      </c>
      <c r="B14628" t="str">
        <f>"18258896621"</f>
        <v>18258896621</v>
      </c>
      <c r="C14628" t="str">
        <f>"410425199206271014"</f>
        <v>410425199206271014</v>
      </c>
      <c r="D14628" t="s">
        <v>14289</v>
      </c>
      <c r="E14628" t="s">
        <v>14290</v>
      </c>
      <c r="F14628" t="s">
        <v>0</v>
      </c>
      <c r="G14628" t="str">
        <f>"2018-10-13 07:36:12"</f>
        <v>2018-10-13 07:36:12</v>
      </c>
    </row>
    <row r="14629" spans="1:7" x14ac:dyDescent="0.2">
      <c r="A14629" t="s">
        <v>209</v>
      </c>
      <c r="B14629" t="str">
        <f>"18666373791"</f>
        <v>18666373791</v>
      </c>
      <c r="C14629" t="str">
        <f>"511325199801014935"</f>
        <v>511325199801014935</v>
      </c>
      <c r="D14629" t="s">
        <v>14291</v>
      </c>
      <c r="E14629" t="s">
        <v>14292</v>
      </c>
      <c r="F14629" t="s">
        <v>0</v>
      </c>
      <c r="G14629" t="str">
        <f>"2018-10-19 17:21:39"</f>
        <v>2018-10-19 17:21:39</v>
      </c>
    </row>
    <row r="14630" spans="1:7" x14ac:dyDescent="0.2">
      <c r="A14630" t="s">
        <v>14293</v>
      </c>
      <c r="B14630" t="str">
        <f>"18859528340"</f>
        <v>18859528340</v>
      </c>
      <c r="C14630" t="str">
        <f>"511623198809273930"</f>
        <v>511623198809273930</v>
      </c>
      <c r="D14630" t="s">
        <v>1</v>
      </c>
      <c r="E14630" t="s">
        <v>1</v>
      </c>
      <c r="F14630" t="s">
        <v>0</v>
      </c>
      <c r="G14630" t="str">
        <f>"2018-11-04 14:31:53"</f>
        <v>2018-11-04 14:31:53</v>
      </c>
    </row>
    <row r="14631" spans="1:7" x14ac:dyDescent="0.2">
      <c r="A14631" t="s">
        <v>14294</v>
      </c>
      <c r="B14631" t="str">
        <f>"13377948088"</f>
        <v>13377948088</v>
      </c>
      <c r="C14631" t="str">
        <f>"429005198208070433"</f>
        <v>429005198208070433</v>
      </c>
      <c r="D14631" t="s">
        <v>14295</v>
      </c>
      <c r="E14631" t="s">
        <v>14296</v>
      </c>
      <c r="F14631" t="s">
        <v>0</v>
      </c>
      <c r="G14631" t="str">
        <f>"2018-10-12 20:46:45"</f>
        <v>2018-10-12 20:46:45</v>
      </c>
    </row>
    <row r="14632" spans="1:7" x14ac:dyDescent="0.2">
      <c r="A14632" t="s">
        <v>1043</v>
      </c>
      <c r="B14632" t="str">
        <f>"13466160545"</f>
        <v>13466160545</v>
      </c>
      <c r="C14632" t="str">
        <f>"532932199107180918"</f>
        <v>532932199107180918</v>
      </c>
      <c r="D14632" t="s">
        <v>1</v>
      </c>
      <c r="E14632" t="s">
        <v>1</v>
      </c>
      <c r="F14632" t="s">
        <v>0</v>
      </c>
      <c r="G14632" t="str">
        <f>"2018-10-21 16:33:05"</f>
        <v>2018-10-21 16:33:05</v>
      </c>
    </row>
    <row r="14633" spans="1:7" x14ac:dyDescent="0.2">
      <c r="A14633" t="s">
        <v>1159</v>
      </c>
      <c r="B14633" t="str">
        <f>"15902259122"</f>
        <v>15902259122</v>
      </c>
      <c r="C14633" t="str">
        <f>"120104197510185122"</f>
        <v>120104197510185122</v>
      </c>
      <c r="D14633" t="s">
        <v>1</v>
      </c>
      <c r="E14633" t="s">
        <v>1</v>
      </c>
      <c r="F14633" t="s">
        <v>0</v>
      </c>
      <c r="G14633" t="str">
        <f>"2018-10-14 02:12:41"</f>
        <v>2018-10-14 02:12:41</v>
      </c>
    </row>
    <row r="14634" spans="1:7" x14ac:dyDescent="0.2">
      <c r="A14634" t="s">
        <v>163</v>
      </c>
      <c r="B14634" t="str">
        <f>"15935932805"</f>
        <v>15935932805</v>
      </c>
      <c r="C14634" t="str">
        <f>"14273219950729163X"</f>
        <v>14273219950729163X</v>
      </c>
      <c r="D14634" t="s">
        <v>14297</v>
      </c>
      <c r="E14634" t="s">
        <v>14298</v>
      </c>
      <c r="F14634" t="s">
        <v>0</v>
      </c>
      <c r="G14634" t="str">
        <f>"2018-10-12 20:37:40"</f>
        <v>2018-10-12 20:37:40</v>
      </c>
    </row>
    <row r="14635" spans="1:7" x14ac:dyDescent="0.2">
      <c r="A14635" t="s">
        <v>14299</v>
      </c>
      <c r="B14635" t="str">
        <f>"15032583063"</f>
        <v>15032583063</v>
      </c>
      <c r="C14635" t="str">
        <f>"130221198801074375"</f>
        <v>130221198801074375</v>
      </c>
      <c r="D14635" t="s">
        <v>1</v>
      </c>
      <c r="E14635" t="s">
        <v>1</v>
      </c>
      <c r="F14635" t="s">
        <v>0</v>
      </c>
      <c r="G14635" t="str">
        <f>"2018-10-12 20:36:01"</f>
        <v>2018-10-12 20:36:01</v>
      </c>
    </row>
    <row r="14636" spans="1:7" x14ac:dyDescent="0.2">
      <c r="A14636" t="s">
        <v>14300</v>
      </c>
      <c r="B14636" t="str">
        <f>"18859965860"</f>
        <v>18859965860</v>
      </c>
      <c r="C14636" t="str">
        <f>"350583199411121827"</f>
        <v>350583199411121827</v>
      </c>
      <c r="D14636" t="s">
        <v>1</v>
      </c>
      <c r="E14636" t="s">
        <v>1</v>
      </c>
      <c r="F14636" t="s">
        <v>0</v>
      </c>
      <c r="G14636" t="str">
        <f>"2018-10-12 20:35:27"</f>
        <v>2018-10-12 20:35:27</v>
      </c>
    </row>
    <row r="14637" spans="1:7" x14ac:dyDescent="0.2">
      <c r="A14637" t="s">
        <v>14301</v>
      </c>
      <c r="B14637" t="str">
        <f>"13955165342"</f>
        <v>13955165342</v>
      </c>
      <c r="C14637" t="str">
        <f>"340122198712272433"</f>
        <v>340122198712272433</v>
      </c>
      <c r="D14637" t="s">
        <v>1</v>
      </c>
      <c r="E14637" t="s">
        <v>1</v>
      </c>
      <c r="F14637" t="s">
        <v>0</v>
      </c>
      <c r="G14637" t="str">
        <f>"2018-10-12 20:39:03"</f>
        <v>2018-10-12 20:39:03</v>
      </c>
    </row>
    <row r="14638" spans="1:7" x14ac:dyDescent="0.2">
      <c r="A14638" t="s">
        <v>14302</v>
      </c>
      <c r="B14638" t="str">
        <f>"18435137279"</f>
        <v>18435137279</v>
      </c>
      <c r="C14638" t="str">
        <f>"150426199306220815"</f>
        <v>150426199306220815</v>
      </c>
      <c r="D14638" t="s">
        <v>1</v>
      </c>
      <c r="E14638" t="s">
        <v>1</v>
      </c>
      <c r="F14638" t="s">
        <v>0</v>
      </c>
      <c r="G14638" t="str">
        <f>"2018-10-28 15:36:46"</f>
        <v>2018-10-28 15:36:46</v>
      </c>
    </row>
    <row r="14639" spans="1:7" x14ac:dyDescent="0.2">
      <c r="A14639" t="s">
        <v>14303</v>
      </c>
      <c r="B14639" t="str">
        <f>"18269077423"</f>
        <v>18269077423</v>
      </c>
      <c r="C14639" t="str">
        <f>"452123198204125959"</f>
        <v>452123198204125959</v>
      </c>
      <c r="D14639" t="s">
        <v>1</v>
      </c>
      <c r="E14639" t="s">
        <v>1</v>
      </c>
      <c r="F14639" t="s">
        <v>0</v>
      </c>
      <c r="G14639" t="str">
        <f>"2018-10-12 20:35:27"</f>
        <v>2018-10-12 20:35:27</v>
      </c>
    </row>
    <row r="14640" spans="1:7" x14ac:dyDescent="0.2">
      <c r="A14640" t="s">
        <v>8980</v>
      </c>
      <c r="B14640" t="str">
        <f>"13650519763"</f>
        <v>13650519763</v>
      </c>
      <c r="C14640" t="str">
        <f>"510211196711031514"</f>
        <v>510211196711031514</v>
      </c>
      <c r="D14640" t="s">
        <v>1</v>
      </c>
      <c r="E14640" t="s">
        <v>1</v>
      </c>
      <c r="F14640" t="s">
        <v>0</v>
      </c>
      <c r="G14640" t="str">
        <f>"2018-10-13 12:26:41"</f>
        <v>2018-10-13 12:26:41</v>
      </c>
    </row>
    <row r="14641" spans="1:7" x14ac:dyDescent="0.2">
      <c r="A14641" t="s">
        <v>14304</v>
      </c>
      <c r="B14641" t="str">
        <f>"15926291592"</f>
        <v>15926291592</v>
      </c>
      <c r="C14641" t="str">
        <f>"420112199607052422"</f>
        <v>420112199607052422</v>
      </c>
      <c r="D14641" t="s">
        <v>14305</v>
      </c>
      <c r="E14641" t="s">
        <v>14306</v>
      </c>
      <c r="F14641" t="s">
        <v>0</v>
      </c>
      <c r="G14641" t="str">
        <f>"2018-10-12 20:47:28"</f>
        <v>2018-10-12 20:47:28</v>
      </c>
    </row>
    <row r="14642" spans="1:7" x14ac:dyDescent="0.2">
      <c r="A14642" t="s">
        <v>1</v>
      </c>
      <c r="B14642" t="str">
        <f>"13417790972"</f>
        <v>13417790972</v>
      </c>
      <c r="C14642" t="s">
        <v>1</v>
      </c>
      <c r="D14642" t="s">
        <v>1</v>
      </c>
      <c r="E14642" t="s">
        <v>1</v>
      </c>
      <c r="F14642" t="s">
        <v>0</v>
      </c>
      <c r="G14642" t="str">
        <f>"2018-10-12 21:37:21"</f>
        <v>2018-10-12 21:37:21</v>
      </c>
    </row>
    <row r="14643" spans="1:7" x14ac:dyDescent="0.2">
      <c r="A14643" t="s">
        <v>1</v>
      </c>
      <c r="B14643" t="str">
        <f>"18388645108"</f>
        <v>18388645108</v>
      </c>
      <c r="C14643" t="s">
        <v>1</v>
      </c>
      <c r="D14643" t="s">
        <v>1</v>
      </c>
      <c r="E14643" t="s">
        <v>1</v>
      </c>
      <c r="F14643" t="s">
        <v>0</v>
      </c>
      <c r="G14643" t="str">
        <f>"2018-10-12 20:32:25"</f>
        <v>2018-10-12 20:32:25</v>
      </c>
    </row>
    <row r="14644" spans="1:7" x14ac:dyDescent="0.2">
      <c r="A14644" t="s">
        <v>1275</v>
      </c>
      <c r="B14644" t="str">
        <f>"15541102556"</f>
        <v>15541102556</v>
      </c>
      <c r="C14644" t="str">
        <f>"210204197803083565"</f>
        <v>210204197803083565</v>
      </c>
      <c r="D14644" t="s">
        <v>1</v>
      </c>
      <c r="E14644" t="s">
        <v>1</v>
      </c>
      <c r="F14644" t="s">
        <v>0</v>
      </c>
      <c r="G14644" t="str">
        <f>"2018-10-12 20:33:01"</f>
        <v>2018-10-12 20:33:01</v>
      </c>
    </row>
    <row r="14645" spans="1:7" x14ac:dyDescent="0.2">
      <c r="A14645" t="s">
        <v>14307</v>
      </c>
      <c r="B14645" t="str">
        <f>"15817061006"</f>
        <v>15817061006</v>
      </c>
      <c r="C14645" t="str">
        <f>"140224198011098613"</f>
        <v>140224198011098613</v>
      </c>
      <c r="D14645" t="s">
        <v>1</v>
      </c>
      <c r="E14645" t="s">
        <v>1</v>
      </c>
      <c r="F14645" t="s">
        <v>0</v>
      </c>
      <c r="G14645" t="str">
        <f>"2018-10-22 17:33:17"</f>
        <v>2018-10-22 17:33:17</v>
      </c>
    </row>
    <row r="14646" spans="1:7" x14ac:dyDescent="0.2">
      <c r="A14646" t="s">
        <v>1</v>
      </c>
      <c r="B14646" t="str">
        <f>"13299424139"</f>
        <v>13299424139</v>
      </c>
      <c r="C14646" t="s">
        <v>1</v>
      </c>
      <c r="D14646" t="s">
        <v>1</v>
      </c>
      <c r="E14646" t="s">
        <v>1</v>
      </c>
      <c r="F14646" t="s">
        <v>0</v>
      </c>
      <c r="G14646" t="str">
        <f>"2018-10-12 20:31:10"</f>
        <v>2018-10-12 20:31:10</v>
      </c>
    </row>
    <row r="14647" spans="1:7" x14ac:dyDescent="0.2">
      <c r="A14647" t="s">
        <v>14308</v>
      </c>
      <c r="B14647" t="str">
        <f>"15193762457"</f>
        <v>15193762457</v>
      </c>
      <c r="C14647" t="str">
        <f>"622201199212178130"</f>
        <v>622201199212178130</v>
      </c>
      <c r="D14647" t="s">
        <v>1</v>
      </c>
      <c r="E14647" t="s">
        <v>1</v>
      </c>
      <c r="F14647" t="s">
        <v>0</v>
      </c>
      <c r="G14647" t="str">
        <f>"2018-10-12 20:31:10"</f>
        <v>2018-10-12 20:31:10</v>
      </c>
    </row>
    <row r="14648" spans="1:7" x14ac:dyDescent="0.2">
      <c r="A14648" t="s">
        <v>1</v>
      </c>
      <c r="B14648" t="str">
        <f>"15104612987"</f>
        <v>15104612987</v>
      </c>
      <c r="C14648" t="s">
        <v>1</v>
      </c>
      <c r="D14648" t="s">
        <v>1</v>
      </c>
      <c r="E14648" t="s">
        <v>1</v>
      </c>
      <c r="F14648" t="s">
        <v>0</v>
      </c>
      <c r="G14648" t="str">
        <f>"2018-10-12 20:31:07"</f>
        <v>2018-10-12 20:31:07</v>
      </c>
    </row>
    <row r="14649" spans="1:7" x14ac:dyDescent="0.2">
      <c r="A14649" t="s">
        <v>14309</v>
      </c>
      <c r="B14649" t="str">
        <f>"13408400856"</f>
        <v>13408400856</v>
      </c>
      <c r="C14649" t="str">
        <f>"510726198905100013"</f>
        <v>510726198905100013</v>
      </c>
      <c r="D14649" t="s">
        <v>1</v>
      </c>
      <c r="E14649" t="s">
        <v>1</v>
      </c>
      <c r="F14649" t="s">
        <v>0</v>
      </c>
      <c r="G14649" t="str">
        <f>"2018-10-12 20:31:32"</f>
        <v>2018-10-12 20:31:32</v>
      </c>
    </row>
    <row r="14650" spans="1:7" x14ac:dyDescent="0.2">
      <c r="A14650" t="s">
        <v>14310</v>
      </c>
      <c r="B14650" t="str">
        <f>"15284520753"</f>
        <v>15284520753</v>
      </c>
      <c r="C14650" t="str">
        <f>"532627199303032528"</f>
        <v>532627199303032528</v>
      </c>
      <c r="D14650" t="s">
        <v>1</v>
      </c>
      <c r="E14650" t="s">
        <v>1</v>
      </c>
      <c r="F14650" t="s">
        <v>0</v>
      </c>
      <c r="G14650" t="str">
        <f>"2018-10-12 20:30:58"</f>
        <v>2018-10-12 20:30:58</v>
      </c>
    </row>
    <row r="14651" spans="1:7" x14ac:dyDescent="0.2">
      <c r="A14651" t="s">
        <v>14311</v>
      </c>
      <c r="B14651" t="str">
        <f>"15623933702"</f>
        <v>15623933702</v>
      </c>
      <c r="C14651" t="str">
        <f>"41152619941003545X"</f>
        <v>41152619941003545X</v>
      </c>
      <c r="D14651" t="s">
        <v>1</v>
      </c>
      <c r="E14651" t="s">
        <v>1</v>
      </c>
      <c r="F14651" t="s">
        <v>0</v>
      </c>
      <c r="G14651" t="str">
        <f>"2018-10-30 18:16:24"</f>
        <v>2018-10-30 18:16:24</v>
      </c>
    </row>
    <row r="14652" spans="1:7" x14ac:dyDescent="0.2">
      <c r="A14652" t="s">
        <v>1</v>
      </c>
      <c r="B14652" t="str">
        <f>"17328527160"</f>
        <v>17328527160</v>
      </c>
      <c r="C14652" t="s">
        <v>1</v>
      </c>
      <c r="D14652" t="s">
        <v>1</v>
      </c>
      <c r="E14652" t="s">
        <v>1</v>
      </c>
      <c r="F14652" t="s">
        <v>0</v>
      </c>
      <c r="G14652" t="str">
        <f>"2018-10-12 20:29:07"</f>
        <v>2018-10-12 20:29:07</v>
      </c>
    </row>
    <row r="14653" spans="1:7" x14ac:dyDescent="0.2">
      <c r="A14653" t="s">
        <v>14312</v>
      </c>
      <c r="B14653" t="str">
        <f>"13976556835"</f>
        <v>13976556835</v>
      </c>
      <c r="C14653" t="str">
        <f>"460006199304157555"</f>
        <v>460006199304157555</v>
      </c>
      <c r="D14653" t="s">
        <v>1</v>
      </c>
      <c r="E14653" t="s">
        <v>1</v>
      </c>
      <c r="F14653" t="s">
        <v>0</v>
      </c>
      <c r="G14653" t="str">
        <f>"2018-10-12 20:30:15"</f>
        <v>2018-10-12 20:30:15</v>
      </c>
    </row>
    <row r="14654" spans="1:7" x14ac:dyDescent="0.2">
      <c r="A14654" t="s">
        <v>14313</v>
      </c>
      <c r="B14654" t="str">
        <f>"15974655595"</f>
        <v>15974655595</v>
      </c>
      <c r="C14654" t="str">
        <f>"530326198910230332"</f>
        <v>530326198910230332</v>
      </c>
      <c r="D14654" t="s">
        <v>14314</v>
      </c>
      <c r="E14654" t="s">
        <v>14315</v>
      </c>
      <c r="F14654" t="s">
        <v>0</v>
      </c>
      <c r="G14654" t="str">
        <f>"2018-10-25 19:00:31"</f>
        <v>2018-10-25 19:00:31</v>
      </c>
    </row>
    <row r="14655" spans="1:7" x14ac:dyDescent="0.2">
      <c r="A14655" t="s">
        <v>14316</v>
      </c>
      <c r="B14655" t="str">
        <f>"18782916827"</f>
        <v>18782916827</v>
      </c>
      <c r="C14655" t="str">
        <f>"513902199002278977"</f>
        <v>513902199002278977</v>
      </c>
      <c r="D14655" t="s">
        <v>1</v>
      </c>
      <c r="E14655" t="s">
        <v>1</v>
      </c>
      <c r="F14655" t="s">
        <v>0</v>
      </c>
      <c r="G14655" t="str">
        <f>"2018-10-12 20:54:23"</f>
        <v>2018-10-12 20:54:23</v>
      </c>
    </row>
    <row r="14656" spans="1:7" x14ac:dyDescent="0.2">
      <c r="A14656" t="s">
        <v>1</v>
      </c>
      <c r="B14656" t="str">
        <f>"18788256059"</f>
        <v>18788256059</v>
      </c>
      <c r="C14656" t="s">
        <v>1</v>
      </c>
      <c r="D14656" t="s">
        <v>1</v>
      </c>
      <c r="E14656" t="s">
        <v>1</v>
      </c>
      <c r="F14656" t="s">
        <v>0</v>
      </c>
      <c r="G14656" t="str">
        <f>"2018-10-12 20:27:39"</f>
        <v>2018-10-12 20:27:39</v>
      </c>
    </row>
    <row r="14657" spans="1:7" x14ac:dyDescent="0.2">
      <c r="A14657" t="s">
        <v>1</v>
      </c>
      <c r="B14657" t="str">
        <f>"13513345384"</f>
        <v>13513345384</v>
      </c>
      <c r="C14657" t="s">
        <v>1</v>
      </c>
      <c r="D14657" t="s">
        <v>1</v>
      </c>
      <c r="E14657" t="s">
        <v>1</v>
      </c>
      <c r="F14657" t="s">
        <v>0</v>
      </c>
      <c r="G14657" t="str">
        <f>"2018-10-12 20:27:20"</f>
        <v>2018-10-12 20:27:20</v>
      </c>
    </row>
    <row r="14658" spans="1:7" x14ac:dyDescent="0.2">
      <c r="A14658" t="s">
        <v>93</v>
      </c>
      <c r="B14658" t="str">
        <f>"15073629236"</f>
        <v>15073629236</v>
      </c>
      <c r="C14658" t="str">
        <f>"430723199405237617"</f>
        <v>430723199405237617</v>
      </c>
      <c r="D14658" t="s">
        <v>1</v>
      </c>
      <c r="E14658" t="s">
        <v>1</v>
      </c>
      <c r="F14658" t="s">
        <v>0</v>
      </c>
      <c r="G14658" t="str">
        <f>"2018-10-12 20:29:47"</f>
        <v>2018-10-12 20:29:47</v>
      </c>
    </row>
    <row r="14659" spans="1:7" x14ac:dyDescent="0.2">
      <c r="A14659" t="s">
        <v>14317</v>
      </c>
      <c r="B14659" t="str">
        <f>"18859038823"</f>
        <v>18859038823</v>
      </c>
      <c r="C14659" t="str">
        <f>"350824199009295497"</f>
        <v>350824199009295497</v>
      </c>
      <c r="D14659" t="s">
        <v>1</v>
      </c>
      <c r="E14659" t="s">
        <v>1</v>
      </c>
      <c r="F14659" t="s">
        <v>0</v>
      </c>
      <c r="G14659" t="str">
        <f>"2018-10-12 20:28:32"</f>
        <v>2018-10-12 20:28:32</v>
      </c>
    </row>
    <row r="14660" spans="1:7" x14ac:dyDescent="0.2">
      <c r="A14660" t="s">
        <v>14318</v>
      </c>
      <c r="B14660" t="str">
        <f>"17322037033"</f>
        <v>17322037033</v>
      </c>
      <c r="C14660" t="str">
        <f>"445222200004093550"</f>
        <v>445222200004093550</v>
      </c>
      <c r="D14660" t="s">
        <v>1</v>
      </c>
      <c r="E14660" t="s">
        <v>1</v>
      </c>
      <c r="F14660" t="s">
        <v>0</v>
      </c>
      <c r="G14660" t="str">
        <f>"2018-10-12 20:55:31"</f>
        <v>2018-10-12 20:55:31</v>
      </c>
    </row>
    <row r="14661" spans="1:7" x14ac:dyDescent="0.2">
      <c r="A14661" t="s">
        <v>1</v>
      </c>
      <c r="B14661" t="str">
        <f>"13140347938"</f>
        <v>13140347938</v>
      </c>
      <c r="C14661" t="s">
        <v>1</v>
      </c>
      <c r="D14661" t="s">
        <v>1</v>
      </c>
      <c r="E14661" t="s">
        <v>1</v>
      </c>
      <c r="F14661" t="s">
        <v>0</v>
      </c>
      <c r="G14661" t="str">
        <f>"2018-10-12 20:26:06"</f>
        <v>2018-10-12 20:26:06</v>
      </c>
    </row>
    <row r="14662" spans="1:7" x14ac:dyDescent="0.2">
      <c r="A14662" t="s">
        <v>14319</v>
      </c>
      <c r="B14662" t="str">
        <f>"17763615165"</f>
        <v>17763615165</v>
      </c>
      <c r="C14662" t="str">
        <f>"43070319960518717X"</f>
        <v>43070319960518717X</v>
      </c>
      <c r="D14662" t="s">
        <v>1</v>
      </c>
      <c r="E14662" t="s">
        <v>1</v>
      </c>
      <c r="F14662" t="s">
        <v>0</v>
      </c>
      <c r="G14662" t="str">
        <f>"2018-10-12 20:52:54"</f>
        <v>2018-10-12 20:52:54</v>
      </c>
    </row>
    <row r="14663" spans="1:7" x14ac:dyDescent="0.2">
      <c r="A14663" t="s">
        <v>14320</v>
      </c>
      <c r="B14663" t="str">
        <f>"13898666005"</f>
        <v>13898666005</v>
      </c>
      <c r="C14663" t="str">
        <f>"210204197206280093"</f>
        <v>210204197206280093</v>
      </c>
      <c r="D14663" t="s">
        <v>1</v>
      </c>
      <c r="E14663" t="s">
        <v>1</v>
      </c>
      <c r="F14663" t="s">
        <v>0</v>
      </c>
      <c r="G14663" t="str">
        <f>"2018-10-12 20:28:06"</f>
        <v>2018-10-12 20:28:06</v>
      </c>
    </row>
    <row r="14664" spans="1:7" x14ac:dyDescent="0.2">
      <c r="A14664" t="s">
        <v>14321</v>
      </c>
      <c r="B14664" t="str">
        <f>"18623878000"</f>
        <v>18623878000</v>
      </c>
      <c r="C14664" t="str">
        <f>"411422199508104897"</f>
        <v>411422199508104897</v>
      </c>
      <c r="D14664" t="s">
        <v>1</v>
      </c>
      <c r="E14664" t="s">
        <v>1</v>
      </c>
      <c r="F14664" t="s">
        <v>0</v>
      </c>
      <c r="G14664" t="str">
        <f>"2018-10-12 20:40:51"</f>
        <v>2018-10-12 20:40:51</v>
      </c>
    </row>
    <row r="14665" spans="1:7" x14ac:dyDescent="0.2">
      <c r="A14665" t="s">
        <v>1</v>
      </c>
      <c r="B14665" t="str">
        <f>"15111091955"</f>
        <v>15111091955</v>
      </c>
      <c r="C14665" t="s">
        <v>1</v>
      </c>
      <c r="D14665" t="s">
        <v>1</v>
      </c>
      <c r="E14665" t="s">
        <v>1</v>
      </c>
      <c r="F14665" t="s">
        <v>0</v>
      </c>
      <c r="G14665" t="str">
        <f>"2018-10-12 20:24:48"</f>
        <v>2018-10-12 20:24:48</v>
      </c>
    </row>
    <row r="14666" spans="1:7" x14ac:dyDescent="0.2">
      <c r="A14666" t="s">
        <v>1</v>
      </c>
      <c r="B14666" t="str">
        <f>"13259474069"</f>
        <v>13259474069</v>
      </c>
      <c r="C14666" t="s">
        <v>1</v>
      </c>
      <c r="D14666" t="s">
        <v>1</v>
      </c>
      <c r="E14666" t="s">
        <v>1</v>
      </c>
      <c r="F14666" t="s">
        <v>0</v>
      </c>
      <c r="G14666" t="str">
        <f>"2018-10-12 20:24:34"</f>
        <v>2018-10-12 20:24:34</v>
      </c>
    </row>
    <row r="14667" spans="1:7" x14ac:dyDescent="0.2">
      <c r="A14667" t="s">
        <v>14322</v>
      </c>
      <c r="B14667" t="str">
        <f>"17873565008"</f>
        <v>17873565008</v>
      </c>
      <c r="C14667" t="str">
        <f>"430602199710061139"</f>
        <v>430602199710061139</v>
      </c>
      <c r="D14667" t="s">
        <v>1</v>
      </c>
      <c r="E14667" t="s">
        <v>1</v>
      </c>
      <c r="F14667" t="s">
        <v>0</v>
      </c>
      <c r="G14667" t="str">
        <f>"2018-10-12 20:24:20"</f>
        <v>2018-10-12 20:24:20</v>
      </c>
    </row>
    <row r="14668" spans="1:7" x14ac:dyDescent="0.2">
      <c r="A14668" t="s">
        <v>14323</v>
      </c>
      <c r="B14668" t="str">
        <f>"18931541960"</f>
        <v>18931541960</v>
      </c>
      <c r="C14668" t="str">
        <f>"130229197504010224"</f>
        <v>130229197504010224</v>
      </c>
      <c r="D14668" t="s">
        <v>1</v>
      </c>
      <c r="E14668" t="s">
        <v>1</v>
      </c>
      <c r="F14668" t="s">
        <v>0</v>
      </c>
      <c r="G14668" t="str">
        <f>"2018-10-20 19:38:22"</f>
        <v>2018-10-20 19:38:22</v>
      </c>
    </row>
    <row r="14669" spans="1:7" x14ac:dyDescent="0.2">
      <c r="A14669" t="s">
        <v>14324</v>
      </c>
      <c r="B14669" t="str">
        <f>"13012998333"</f>
        <v>13012998333</v>
      </c>
      <c r="C14669" t="str">
        <f>"370181198906253025"</f>
        <v>370181198906253025</v>
      </c>
      <c r="D14669" t="s">
        <v>1</v>
      </c>
      <c r="E14669" t="s">
        <v>1</v>
      </c>
      <c r="F14669" t="s">
        <v>0</v>
      </c>
      <c r="G14669" t="str">
        <f>"2018-10-12 20:24:49"</f>
        <v>2018-10-12 20:24:49</v>
      </c>
    </row>
    <row r="14670" spans="1:7" x14ac:dyDescent="0.2">
      <c r="A14670" t="s">
        <v>14325</v>
      </c>
      <c r="B14670" t="str">
        <f>"15061854335"</f>
        <v>15061854335</v>
      </c>
      <c r="C14670" t="str">
        <f>"321281198712156814"</f>
        <v>321281198712156814</v>
      </c>
      <c r="D14670" t="s">
        <v>1</v>
      </c>
      <c r="E14670" t="s">
        <v>1</v>
      </c>
      <c r="F14670" t="s">
        <v>0</v>
      </c>
      <c r="G14670" t="str">
        <f>"2018-10-15 20:04:43"</f>
        <v>2018-10-15 20:04:43</v>
      </c>
    </row>
    <row r="14671" spans="1:7" x14ac:dyDescent="0.2">
      <c r="A14671" t="s">
        <v>14326</v>
      </c>
      <c r="B14671" t="str">
        <f>"15887524475"</f>
        <v>15887524475</v>
      </c>
      <c r="C14671" t="str">
        <f>"532329198503080024"</f>
        <v>532329198503080024</v>
      </c>
      <c r="D14671" t="s">
        <v>1</v>
      </c>
      <c r="E14671" t="s">
        <v>1</v>
      </c>
      <c r="F14671" t="s">
        <v>0</v>
      </c>
      <c r="G14671" t="str">
        <f>"2018-10-17 08:10:59"</f>
        <v>2018-10-17 08:10:59</v>
      </c>
    </row>
    <row r="14672" spans="1:7" x14ac:dyDescent="0.2">
      <c r="A14672" t="s">
        <v>14327</v>
      </c>
      <c r="B14672" t="str">
        <f>"17681012884"</f>
        <v>17681012884</v>
      </c>
      <c r="C14672" t="str">
        <f>"341322200203150819"</f>
        <v>341322200203150819</v>
      </c>
      <c r="D14672" t="s">
        <v>1</v>
      </c>
      <c r="E14672" t="s">
        <v>1</v>
      </c>
      <c r="F14672" t="s">
        <v>0</v>
      </c>
      <c r="G14672" t="str">
        <f>"2018-10-12 20:37:20"</f>
        <v>2018-10-12 20:37:20</v>
      </c>
    </row>
    <row r="14673" spans="1:7" x14ac:dyDescent="0.2">
      <c r="A14673" t="s">
        <v>14328</v>
      </c>
      <c r="B14673" t="str">
        <f>"15099721983"</f>
        <v>15099721983</v>
      </c>
      <c r="C14673" t="str">
        <f>"452231198312123542"</f>
        <v>452231198312123542</v>
      </c>
      <c r="D14673" t="s">
        <v>1</v>
      </c>
      <c r="E14673" t="s">
        <v>1</v>
      </c>
      <c r="F14673" t="s">
        <v>0</v>
      </c>
      <c r="G14673" t="str">
        <f>"2018-10-12 20:25:40"</f>
        <v>2018-10-12 20:25:40</v>
      </c>
    </row>
    <row r="14674" spans="1:7" x14ac:dyDescent="0.2">
      <c r="A14674" t="s">
        <v>14329</v>
      </c>
      <c r="B14674" t="str">
        <f>"15759180781"</f>
        <v>15759180781</v>
      </c>
      <c r="C14674" t="str">
        <f>"350782199808134014"</f>
        <v>350782199808134014</v>
      </c>
      <c r="D14674" t="s">
        <v>1</v>
      </c>
      <c r="E14674" t="s">
        <v>1</v>
      </c>
      <c r="F14674" t="s">
        <v>0</v>
      </c>
      <c r="G14674" t="str">
        <f>"2018-10-12 20:27:09"</f>
        <v>2018-10-12 20:27:09</v>
      </c>
    </row>
    <row r="14675" spans="1:7" x14ac:dyDescent="0.2">
      <c r="A14675" t="s">
        <v>14330</v>
      </c>
      <c r="B14675" t="str">
        <f>"15057311322"</f>
        <v>15057311322</v>
      </c>
      <c r="C14675" t="str">
        <f>"330327199202250969"</f>
        <v>330327199202250969</v>
      </c>
      <c r="D14675" t="s">
        <v>1</v>
      </c>
      <c r="E14675" t="s">
        <v>1</v>
      </c>
      <c r="F14675" t="s">
        <v>0</v>
      </c>
      <c r="G14675" t="str">
        <f>"2018-10-12 20:23:43"</f>
        <v>2018-10-12 20:23:43</v>
      </c>
    </row>
    <row r="14676" spans="1:7" x14ac:dyDescent="0.2">
      <c r="A14676" t="s">
        <v>14331</v>
      </c>
      <c r="B14676" t="str">
        <f>"13383188508"</f>
        <v>13383188508</v>
      </c>
      <c r="C14676" t="str">
        <f>"220524198610280018"</f>
        <v>220524198610280018</v>
      </c>
      <c r="D14676" t="s">
        <v>14332</v>
      </c>
      <c r="E14676" t="s">
        <v>14333</v>
      </c>
      <c r="F14676" t="s">
        <v>0</v>
      </c>
      <c r="G14676" t="str">
        <f>"2018-10-12 20:22:53"</f>
        <v>2018-10-12 20:22:53</v>
      </c>
    </row>
    <row r="14677" spans="1:7" x14ac:dyDescent="0.2">
      <c r="A14677" t="s">
        <v>1</v>
      </c>
      <c r="B14677" t="str">
        <f>"18656051451"</f>
        <v>18656051451</v>
      </c>
      <c r="C14677" t="s">
        <v>1</v>
      </c>
      <c r="D14677" t="s">
        <v>1</v>
      </c>
      <c r="E14677" t="s">
        <v>1</v>
      </c>
      <c r="F14677" t="s">
        <v>0</v>
      </c>
      <c r="G14677" t="str">
        <f>"2018-10-12 20:20:43"</f>
        <v>2018-10-12 20:20:43</v>
      </c>
    </row>
    <row r="14678" spans="1:7" x14ac:dyDescent="0.2">
      <c r="A14678" t="s">
        <v>1</v>
      </c>
      <c r="B14678" t="str">
        <f>"18250717273"</f>
        <v>18250717273</v>
      </c>
      <c r="C14678" t="s">
        <v>1</v>
      </c>
      <c r="D14678" t="s">
        <v>1</v>
      </c>
      <c r="E14678" t="s">
        <v>1</v>
      </c>
      <c r="F14678" t="s">
        <v>0</v>
      </c>
      <c r="G14678" t="str">
        <f>"2018-10-12 20:20:41"</f>
        <v>2018-10-12 20:20:41</v>
      </c>
    </row>
    <row r="14679" spans="1:7" x14ac:dyDescent="0.2">
      <c r="A14679" t="s">
        <v>14334</v>
      </c>
      <c r="B14679" t="str">
        <f>"13257666003"</f>
        <v>13257666003</v>
      </c>
      <c r="C14679" t="str">
        <f>"445302199412292713"</f>
        <v>445302199412292713</v>
      </c>
      <c r="D14679" t="s">
        <v>1</v>
      </c>
      <c r="E14679" t="s">
        <v>1</v>
      </c>
      <c r="F14679" t="s">
        <v>0</v>
      </c>
      <c r="G14679" t="str">
        <f>"2018-10-12 20:24:32"</f>
        <v>2018-10-12 20:24:32</v>
      </c>
    </row>
    <row r="14680" spans="1:7" x14ac:dyDescent="0.2">
      <c r="A14680" t="s">
        <v>1</v>
      </c>
      <c r="B14680" t="str">
        <f>"18707723638"</f>
        <v>18707723638</v>
      </c>
      <c r="C14680" t="s">
        <v>1</v>
      </c>
      <c r="D14680" t="s">
        <v>1</v>
      </c>
      <c r="E14680" t="s">
        <v>1</v>
      </c>
      <c r="F14680" t="s">
        <v>0</v>
      </c>
      <c r="G14680" t="str">
        <f>"2018-10-12 20:20:29"</f>
        <v>2018-10-12 20:20:29</v>
      </c>
    </row>
    <row r="14681" spans="1:7" x14ac:dyDescent="0.2">
      <c r="A14681" t="s">
        <v>1</v>
      </c>
      <c r="B14681" t="str">
        <f>"15570377720"</f>
        <v>15570377720</v>
      </c>
      <c r="C14681" t="s">
        <v>1</v>
      </c>
      <c r="D14681" t="s">
        <v>1</v>
      </c>
      <c r="E14681" t="s">
        <v>1</v>
      </c>
      <c r="F14681" t="s">
        <v>0</v>
      </c>
      <c r="G14681" t="str">
        <f>"2018-10-12 20:20:24"</f>
        <v>2018-10-12 20:20:24</v>
      </c>
    </row>
    <row r="14682" spans="1:7" x14ac:dyDescent="0.2">
      <c r="A14682" t="s">
        <v>14335</v>
      </c>
      <c r="B14682" t="str">
        <f>"18687158923"</f>
        <v>18687158923</v>
      </c>
      <c r="C14682" t="str">
        <f>"532623199508020015"</f>
        <v>532623199508020015</v>
      </c>
      <c r="D14682" t="s">
        <v>1</v>
      </c>
      <c r="E14682" t="s">
        <v>1</v>
      </c>
      <c r="F14682" t="s">
        <v>0</v>
      </c>
      <c r="G14682" t="str">
        <f>"2018-10-12 21:30:03"</f>
        <v>2018-10-12 21:30:03</v>
      </c>
    </row>
    <row r="14683" spans="1:7" x14ac:dyDescent="0.2">
      <c r="A14683" t="s">
        <v>1</v>
      </c>
      <c r="B14683" t="str">
        <f>"15056701197"</f>
        <v>15056701197</v>
      </c>
      <c r="C14683" t="s">
        <v>1</v>
      </c>
      <c r="D14683" t="s">
        <v>1</v>
      </c>
      <c r="E14683" t="s">
        <v>1</v>
      </c>
      <c r="F14683" t="s">
        <v>0</v>
      </c>
      <c r="G14683" t="str">
        <f>"2018-10-12 20:19:07"</f>
        <v>2018-10-12 20:19:07</v>
      </c>
    </row>
    <row r="14684" spans="1:7" x14ac:dyDescent="0.2">
      <c r="A14684" t="s">
        <v>711</v>
      </c>
      <c r="B14684" t="str">
        <f>"15733070200"</f>
        <v>15733070200</v>
      </c>
      <c r="C14684" t="str">
        <f>"130402198109102714"</f>
        <v>130402198109102714</v>
      </c>
      <c r="D14684" t="s">
        <v>1</v>
      </c>
      <c r="E14684" t="s">
        <v>1</v>
      </c>
      <c r="F14684" t="s">
        <v>0</v>
      </c>
      <c r="G14684" t="str">
        <f>"2018-10-12 20:20:02"</f>
        <v>2018-10-12 20:20:02</v>
      </c>
    </row>
    <row r="14685" spans="1:7" x14ac:dyDescent="0.2">
      <c r="A14685" t="s">
        <v>14336</v>
      </c>
      <c r="B14685" t="str">
        <f>"15004966647"</f>
        <v>15004966647</v>
      </c>
      <c r="C14685" t="str">
        <f>"15232319790720101X"</f>
        <v>15232319790720101X</v>
      </c>
      <c r="D14685" t="s">
        <v>1</v>
      </c>
      <c r="E14685" t="s">
        <v>1</v>
      </c>
      <c r="F14685" t="s">
        <v>0</v>
      </c>
      <c r="G14685" t="str">
        <f>"2018-10-12 20:23:29"</f>
        <v>2018-10-12 20:23:29</v>
      </c>
    </row>
    <row r="14686" spans="1:7" x14ac:dyDescent="0.2">
      <c r="A14686" t="s">
        <v>715</v>
      </c>
      <c r="B14686" t="str">
        <f>"17623086230"</f>
        <v>17623086230</v>
      </c>
      <c r="C14686" t="str">
        <f>"500234199309204399"</f>
        <v>500234199309204399</v>
      </c>
      <c r="D14686" t="s">
        <v>1</v>
      </c>
      <c r="E14686" t="s">
        <v>1</v>
      </c>
      <c r="F14686" t="s">
        <v>0</v>
      </c>
      <c r="G14686" t="str">
        <f>"2018-10-12 20:19:16"</f>
        <v>2018-10-12 20:19:16</v>
      </c>
    </row>
    <row r="14687" spans="1:7" x14ac:dyDescent="0.2">
      <c r="A14687" t="s">
        <v>1</v>
      </c>
      <c r="B14687" t="str">
        <f>"15958181396"</f>
        <v>15958181396</v>
      </c>
      <c r="C14687" t="s">
        <v>1</v>
      </c>
      <c r="D14687" t="s">
        <v>1</v>
      </c>
      <c r="E14687" t="s">
        <v>1</v>
      </c>
      <c r="F14687" t="s">
        <v>0</v>
      </c>
      <c r="G14687" t="str">
        <f>"2018-10-12 20:17:48"</f>
        <v>2018-10-12 20:17:48</v>
      </c>
    </row>
    <row r="14688" spans="1:7" x14ac:dyDescent="0.2">
      <c r="A14688" t="s">
        <v>14337</v>
      </c>
      <c r="B14688" t="str">
        <f>"18750957618"</f>
        <v>18750957618</v>
      </c>
      <c r="C14688" t="str">
        <f>"350784199910221010"</f>
        <v>350784199910221010</v>
      </c>
      <c r="D14688" t="s">
        <v>1</v>
      </c>
      <c r="E14688" t="s">
        <v>1</v>
      </c>
      <c r="F14688" t="s">
        <v>0</v>
      </c>
      <c r="G14688" t="str">
        <f>"2018-10-12 20:20:12"</f>
        <v>2018-10-12 20:20:12</v>
      </c>
    </row>
    <row r="14689" spans="1:7" x14ac:dyDescent="0.2">
      <c r="A14689" t="s">
        <v>1</v>
      </c>
      <c r="B14689" t="str">
        <f>"15078756327"</f>
        <v>15078756327</v>
      </c>
      <c r="C14689" t="s">
        <v>1</v>
      </c>
      <c r="D14689" t="s">
        <v>1</v>
      </c>
      <c r="E14689" t="s">
        <v>1</v>
      </c>
      <c r="F14689" t="s">
        <v>0</v>
      </c>
      <c r="G14689" t="str">
        <f>"2018-10-12 20:17:42"</f>
        <v>2018-10-12 20:17:42</v>
      </c>
    </row>
    <row r="14690" spans="1:7" x14ac:dyDescent="0.2">
      <c r="A14690" t="s">
        <v>14338</v>
      </c>
      <c r="B14690" t="str">
        <f>"15138161266"</f>
        <v>15138161266</v>
      </c>
      <c r="C14690" t="str">
        <f>"411282198807250318"</f>
        <v>411282198807250318</v>
      </c>
      <c r="D14690" t="s">
        <v>14339</v>
      </c>
      <c r="E14690" t="s">
        <v>14340</v>
      </c>
      <c r="F14690" t="s">
        <v>0</v>
      </c>
      <c r="G14690" t="str">
        <f>"2018-10-12 20:19:24"</f>
        <v>2018-10-12 20:19:24</v>
      </c>
    </row>
    <row r="14691" spans="1:7" x14ac:dyDescent="0.2">
      <c r="A14691" t="s">
        <v>14341</v>
      </c>
      <c r="B14691" t="str">
        <f>"15200469210"</f>
        <v>15200469210</v>
      </c>
      <c r="C14691" t="str">
        <f>"430281199808092316"</f>
        <v>430281199808092316</v>
      </c>
      <c r="D14691" t="s">
        <v>1</v>
      </c>
      <c r="E14691" t="s">
        <v>1</v>
      </c>
      <c r="F14691" t="s">
        <v>0</v>
      </c>
      <c r="G14691" t="str">
        <f>"2018-10-12 20:18:22"</f>
        <v>2018-10-12 20:18:22</v>
      </c>
    </row>
    <row r="14692" spans="1:7" x14ac:dyDescent="0.2">
      <c r="A14692" t="s">
        <v>1</v>
      </c>
      <c r="B14692" t="str">
        <f>"15774861263"</f>
        <v>15774861263</v>
      </c>
      <c r="C14692" t="s">
        <v>1</v>
      </c>
      <c r="D14692" t="s">
        <v>1</v>
      </c>
      <c r="E14692" t="s">
        <v>1</v>
      </c>
      <c r="F14692" t="s">
        <v>0</v>
      </c>
      <c r="G14692" t="str">
        <f>"2018-10-12 20:16:45"</f>
        <v>2018-10-12 20:16:45</v>
      </c>
    </row>
    <row r="14693" spans="1:7" x14ac:dyDescent="0.2">
      <c r="A14693" t="s">
        <v>1</v>
      </c>
      <c r="B14693" t="str">
        <f>"17553712599"</f>
        <v>17553712599</v>
      </c>
      <c r="C14693" t="s">
        <v>1</v>
      </c>
      <c r="D14693" t="s">
        <v>1</v>
      </c>
      <c r="E14693" t="s">
        <v>1</v>
      </c>
      <c r="F14693" t="s">
        <v>0</v>
      </c>
      <c r="G14693" t="str">
        <f>"2018-10-12 20:19:03"</f>
        <v>2018-10-12 20:19:03</v>
      </c>
    </row>
    <row r="14694" spans="1:7" x14ac:dyDescent="0.2">
      <c r="A14694" t="s">
        <v>14342</v>
      </c>
      <c r="B14694" t="str">
        <f>"13782518466"</f>
        <v>13782518466</v>
      </c>
      <c r="C14694" t="str">
        <f>"410721197910180580"</f>
        <v>410721197910180580</v>
      </c>
      <c r="D14694" t="s">
        <v>1</v>
      </c>
      <c r="E14694" t="s">
        <v>1</v>
      </c>
      <c r="F14694" t="s">
        <v>0</v>
      </c>
      <c r="G14694" t="str">
        <f>"2018-10-13 14:35:40"</f>
        <v>2018-10-13 14:35:40</v>
      </c>
    </row>
    <row r="14695" spans="1:7" x14ac:dyDescent="0.2">
      <c r="A14695" t="s">
        <v>14343</v>
      </c>
      <c r="B14695" t="str">
        <f>"15104675106"</f>
        <v>15104675106</v>
      </c>
      <c r="C14695" t="str">
        <f>"232126198909054765"</f>
        <v>232126198909054765</v>
      </c>
      <c r="D14695" t="s">
        <v>1</v>
      </c>
      <c r="E14695" t="s">
        <v>1</v>
      </c>
      <c r="F14695" t="s">
        <v>0</v>
      </c>
      <c r="G14695" t="str">
        <f>"2018-10-12 20:18:09"</f>
        <v>2018-10-12 20:18:09</v>
      </c>
    </row>
    <row r="14696" spans="1:7" x14ac:dyDescent="0.2">
      <c r="A14696" t="s">
        <v>14344</v>
      </c>
      <c r="B14696" t="str">
        <f>"15124416446"</f>
        <v>15124416446</v>
      </c>
      <c r="C14696" t="str">
        <f>"220283199208243911"</f>
        <v>220283199208243911</v>
      </c>
      <c r="D14696" t="s">
        <v>1</v>
      </c>
      <c r="E14696" t="s">
        <v>1</v>
      </c>
      <c r="F14696" t="s">
        <v>0</v>
      </c>
      <c r="G14696" t="str">
        <f>"2018-10-12 22:59:05"</f>
        <v>2018-10-12 22:59:05</v>
      </c>
    </row>
    <row r="14697" spans="1:7" x14ac:dyDescent="0.2">
      <c r="A14697" t="s">
        <v>1004</v>
      </c>
      <c r="B14697" t="str">
        <f>"13865199530"</f>
        <v>13865199530</v>
      </c>
      <c r="C14697" t="str">
        <f>"340803198512182328"</f>
        <v>340803198512182328</v>
      </c>
      <c r="D14697" t="s">
        <v>1</v>
      </c>
      <c r="E14697" t="s">
        <v>1</v>
      </c>
      <c r="F14697" t="s">
        <v>0</v>
      </c>
      <c r="G14697" t="str">
        <f>"2018-10-12 20:17:23"</f>
        <v>2018-10-12 20:17:23</v>
      </c>
    </row>
    <row r="14698" spans="1:7" x14ac:dyDescent="0.2">
      <c r="A14698" t="s">
        <v>14345</v>
      </c>
      <c r="B14698" t="str">
        <f>"13432795826"</f>
        <v>13432795826</v>
      </c>
      <c r="C14698" t="str">
        <f>"441522198609251032"</f>
        <v>441522198609251032</v>
      </c>
      <c r="D14698" t="s">
        <v>14346</v>
      </c>
      <c r="E14698" t="s">
        <v>14347</v>
      </c>
      <c r="F14698" t="s">
        <v>0</v>
      </c>
      <c r="G14698" t="str">
        <f>"2018-10-17 23:23:57"</f>
        <v>2018-10-17 23:23:57</v>
      </c>
    </row>
    <row r="14699" spans="1:7" x14ac:dyDescent="0.2">
      <c r="A14699" t="s">
        <v>1444</v>
      </c>
      <c r="B14699" t="str">
        <f>"15266644144"</f>
        <v>15266644144</v>
      </c>
      <c r="C14699" t="str">
        <f>"371323199808154018"</f>
        <v>371323199808154018</v>
      </c>
      <c r="D14699" t="s">
        <v>14348</v>
      </c>
      <c r="E14699" t="s">
        <v>14349</v>
      </c>
      <c r="F14699" t="s">
        <v>0</v>
      </c>
      <c r="G14699" t="str">
        <f>"2018-10-12 21:00:44"</f>
        <v>2018-10-12 21:00:44</v>
      </c>
    </row>
    <row r="14700" spans="1:7" x14ac:dyDescent="0.2">
      <c r="A14700" t="s">
        <v>14350</v>
      </c>
      <c r="B14700" t="str">
        <f>"13732016951"</f>
        <v>13732016951</v>
      </c>
      <c r="C14700" t="str">
        <f>"330326197804104111"</f>
        <v>330326197804104111</v>
      </c>
      <c r="D14700" t="s">
        <v>14351</v>
      </c>
      <c r="E14700" t="s">
        <v>14352</v>
      </c>
      <c r="F14700" t="s">
        <v>0</v>
      </c>
      <c r="G14700" t="str">
        <f>"2018-10-12 20:15:38"</f>
        <v>2018-10-12 20:15:38</v>
      </c>
    </row>
    <row r="14701" spans="1:7" x14ac:dyDescent="0.2">
      <c r="A14701" t="s">
        <v>14353</v>
      </c>
      <c r="B14701" t="str">
        <f>"15100628353"</f>
        <v>15100628353</v>
      </c>
      <c r="C14701" t="str">
        <f>"131082198709260282"</f>
        <v>131082198709260282</v>
      </c>
      <c r="D14701" t="s">
        <v>1</v>
      </c>
      <c r="E14701" t="s">
        <v>1</v>
      </c>
      <c r="F14701" t="s">
        <v>0</v>
      </c>
      <c r="G14701" t="str">
        <f>"2018-10-12 20:58:55"</f>
        <v>2018-10-12 20:58:55</v>
      </c>
    </row>
    <row r="14702" spans="1:7" x14ac:dyDescent="0.2">
      <c r="A14702" t="s">
        <v>1</v>
      </c>
      <c r="B14702" t="str">
        <f>"18765390280"</f>
        <v>18765390280</v>
      </c>
      <c r="C14702" t="s">
        <v>1</v>
      </c>
      <c r="D14702" t="s">
        <v>1</v>
      </c>
      <c r="E14702" t="s">
        <v>1</v>
      </c>
      <c r="F14702" t="s">
        <v>0</v>
      </c>
      <c r="G14702" t="str">
        <f>"2018-10-12 20:13:45"</f>
        <v>2018-10-12 20:13:45</v>
      </c>
    </row>
    <row r="14703" spans="1:7" x14ac:dyDescent="0.2">
      <c r="A14703" t="s">
        <v>14354</v>
      </c>
      <c r="B14703" t="str">
        <f>"13876906832"</f>
        <v>13876906832</v>
      </c>
      <c r="C14703" t="str">
        <f>"420983198511092854"</f>
        <v>420983198511092854</v>
      </c>
      <c r="D14703" t="s">
        <v>1</v>
      </c>
      <c r="E14703" t="s">
        <v>1</v>
      </c>
      <c r="F14703" t="s">
        <v>0</v>
      </c>
      <c r="G14703" t="str">
        <f>"2018-10-13 08:16:10"</f>
        <v>2018-10-13 08:16:10</v>
      </c>
    </row>
    <row r="14704" spans="1:7" x14ac:dyDescent="0.2">
      <c r="A14704" t="s">
        <v>1562</v>
      </c>
      <c r="B14704" t="str">
        <f>"18706164053"</f>
        <v>18706164053</v>
      </c>
      <c r="C14704" t="str">
        <f>"342401199208228573"</f>
        <v>342401199208228573</v>
      </c>
      <c r="D14704" t="s">
        <v>1</v>
      </c>
      <c r="E14704" t="s">
        <v>1</v>
      </c>
      <c r="F14704" t="s">
        <v>0</v>
      </c>
      <c r="G14704" t="str">
        <f>"2018-10-12 20:22:49"</f>
        <v>2018-10-12 20:22:49</v>
      </c>
    </row>
    <row r="14705" spans="1:7" x14ac:dyDescent="0.2">
      <c r="A14705" t="s">
        <v>14355</v>
      </c>
      <c r="B14705" t="str">
        <f>"13802260899"</f>
        <v>13802260899</v>
      </c>
      <c r="C14705" t="str">
        <f>"440307198302260019"</f>
        <v>440307198302260019</v>
      </c>
      <c r="D14705" t="s">
        <v>14356</v>
      </c>
      <c r="E14705" t="s">
        <v>14357</v>
      </c>
      <c r="F14705" t="s">
        <v>0</v>
      </c>
      <c r="G14705" t="str">
        <f>"2018-10-24 16:34:39"</f>
        <v>2018-10-24 16:34:39</v>
      </c>
    </row>
    <row r="14706" spans="1:7" x14ac:dyDescent="0.2">
      <c r="A14706" t="s">
        <v>14358</v>
      </c>
      <c r="B14706" t="str">
        <f>"13414409276"</f>
        <v>13414409276</v>
      </c>
      <c r="C14706" t="str">
        <f>"441900199601030612"</f>
        <v>441900199601030612</v>
      </c>
      <c r="D14706" t="s">
        <v>1</v>
      </c>
      <c r="E14706" t="s">
        <v>1</v>
      </c>
      <c r="F14706" t="s">
        <v>0</v>
      </c>
      <c r="G14706" t="str">
        <f>"2018-10-12 20:13:34"</f>
        <v>2018-10-12 20:13:34</v>
      </c>
    </row>
    <row r="14707" spans="1:7" x14ac:dyDescent="0.2">
      <c r="A14707" t="s">
        <v>1</v>
      </c>
      <c r="B14707" t="str">
        <f>"18729556774"</f>
        <v>18729556774</v>
      </c>
      <c r="C14707" t="s">
        <v>1</v>
      </c>
      <c r="D14707" t="s">
        <v>1</v>
      </c>
      <c r="E14707" t="s">
        <v>1</v>
      </c>
      <c r="F14707" t="s">
        <v>0</v>
      </c>
      <c r="G14707" t="str">
        <f>"2018-10-12 20:11:43"</f>
        <v>2018-10-12 20:11:43</v>
      </c>
    </row>
    <row r="14708" spans="1:7" x14ac:dyDescent="0.2">
      <c r="A14708" t="s">
        <v>1</v>
      </c>
      <c r="B14708" t="str">
        <f>"13904121080"</f>
        <v>13904121080</v>
      </c>
      <c r="C14708" t="s">
        <v>1</v>
      </c>
      <c r="D14708" t="s">
        <v>1</v>
      </c>
      <c r="E14708" t="s">
        <v>1</v>
      </c>
      <c r="F14708" t="s">
        <v>0</v>
      </c>
      <c r="G14708" t="str">
        <f>"2018-10-12 20:11:37"</f>
        <v>2018-10-12 20:11:37</v>
      </c>
    </row>
    <row r="14709" spans="1:7" x14ac:dyDescent="0.2">
      <c r="A14709" t="s">
        <v>14359</v>
      </c>
      <c r="B14709" t="str">
        <f>"18065120839"</f>
        <v>18065120839</v>
      </c>
      <c r="C14709" t="str">
        <f>"350121198903126717"</f>
        <v>350121198903126717</v>
      </c>
      <c r="D14709" t="s">
        <v>1</v>
      </c>
      <c r="E14709" t="s">
        <v>1</v>
      </c>
      <c r="F14709" t="s">
        <v>0</v>
      </c>
      <c r="G14709" t="str">
        <f>"2018-10-12 20:24:09"</f>
        <v>2018-10-12 20:24:09</v>
      </c>
    </row>
    <row r="14710" spans="1:7" x14ac:dyDescent="0.2">
      <c r="A14710" t="s">
        <v>14360</v>
      </c>
      <c r="B14710" t="str">
        <f>"18938935110"</f>
        <v>18938935110</v>
      </c>
      <c r="C14710" t="str">
        <f>"441522197908302712"</f>
        <v>441522197908302712</v>
      </c>
      <c r="D14710" t="s">
        <v>1</v>
      </c>
      <c r="E14710" t="s">
        <v>1</v>
      </c>
      <c r="F14710" t="s">
        <v>0</v>
      </c>
      <c r="G14710" t="str">
        <f>"2018-10-12 20:15:47"</f>
        <v>2018-10-12 20:15:47</v>
      </c>
    </row>
    <row r="14711" spans="1:7" x14ac:dyDescent="0.2">
      <c r="A14711" t="s">
        <v>14361</v>
      </c>
      <c r="B14711" t="str">
        <f>"18574381228"</f>
        <v>18574381228</v>
      </c>
      <c r="C14711" t="str">
        <f>"522131199708085631"</f>
        <v>522131199708085631</v>
      </c>
      <c r="D14711" t="s">
        <v>1</v>
      </c>
      <c r="E14711" t="s">
        <v>1</v>
      </c>
      <c r="F14711" t="s">
        <v>0</v>
      </c>
      <c r="G14711" t="str">
        <f>"2018-10-29 20:00:00"</f>
        <v>2018-10-29 20:00:00</v>
      </c>
    </row>
    <row r="14712" spans="1:7" x14ac:dyDescent="0.2">
      <c r="A14712" t="s">
        <v>1</v>
      </c>
      <c r="B14712" t="str">
        <f>"15313720230"</f>
        <v>15313720230</v>
      </c>
      <c r="C14712" t="s">
        <v>1</v>
      </c>
      <c r="D14712" t="s">
        <v>1</v>
      </c>
      <c r="E14712" t="s">
        <v>1</v>
      </c>
      <c r="F14712" t="s">
        <v>0</v>
      </c>
      <c r="G14712" t="str">
        <f>"2018-10-12 20:09:39"</f>
        <v>2018-10-12 20:09:39</v>
      </c>
    </row>
    <row r="14713" spans="1:7" x14ac:dyDescent="0.2">
      <c r="A14713" t="s">
        <v>1</v>
      </c>
      <c r="B14713" t="str">
        <f>"15933726972"</f>
        <v>15933726972</v>
      </c>
      <c r="C14713" t="s">
        <v>1</v>
      </c>
      <c r="D14713" t="s">
        <v>1</v>
      </c>
      <c r="E14713" t="s">
        <v>1</v>
      </c>
      <c r="F14713" t="s">
        <v>0</v>
      </c>
      <c r="G14713" t="str">
        <f>"2018-10-12 20:08:17"</f>
        <v>2018-10-12 20:08:17</v>
      </c>
    </row>
    <row r="14714" spans="1:7" x14ac:dyDescent="0.2">
      <c r="A14714" t="s">
        <v>1</v>
      </c>
      <c r="B14714" t="str">
        <f>"13616388860"</f>
        <v>13616388860</v>
      </c>
      <c r="C14714" t="s">
        <v>1</v>
      </c>
      <c r="D14714" t="s">
        <v>1</v>
      </c>
      <c r="E14714" t="s">
        <v>1</v>
      </c>
      <c r="F14714" t="s">
        <v>0</v>
      </c>
      <c r="G14714" t="str">
        <f>"2018-10-12 20:08:17"</f>
        <v>2018-10-12 20:08:17</v>
      </c>
    </row>
    <row r="14715" spans="1:7" x14ac:dyDescent="0.2">
      <c r="A14715" t="s">
        <v>14362</v>
      </c>
      <c r="B14715" t="str">
        <f>"15933993986"</f>
        <v>15933993986</v>
      </c>
      <c r="C14715" t="str">
        <f>"130183198707160596"</f>
        <v>130183198707160596</v>
      </c>
      <c r="D14715" t="s">
        <v>1</v>
      </c>
      <c r="E14715" t="s">
        <v>1</v>
      </c>
      <c r="F14715" t="s">
        <v>0</v>
      </c>
      <c r="G14715" t="str">
        <f>"2018-10-12 20:10:09"</f>
        <v>2018-10-12 20:10:09</v>
      </c>
    </row>
    <row r="14716" spans="1:7" x14ac:dyDescent="0.2">
      <c r="A14716" t="s">
        <v>14363</v>
      </c>
      <c r="B14716" t="str">
        <f>"13125911855"</f>
        <v>13125911855</v>
      </c>
      <c r="C14716" t="str">
        <f>"230106199006230825"</f>
        <v>230106199006230825</v>
      </c>
      <c r="D14716" t="s">
        <v>1</v>
      </c>
      <c r="E14716" t="s">
        <v>1</v>
      </c>
      <c r="F14716" t="s">
        <v>0</v>
      </c>
      <c r="G14716" t="str">
        <f>"2018-10-12 20:13:34"</f>
        <v>2018-10-12 20:13:34</v>
      </c>
    </row>
    <row r="14717" spans="1:7" x14ac:dyDescent="0.2">
      <c r="A14717" t="s">
        <v>14364</v>
      </c>
      <c r="B14717" t="str">
        <f>"13998371712"</f>
        <v>13998371712</v>
      </c>
      <c r="C14717" t="str">
        <f>"210104197308072513"</f>
        <v>210104197308072513</v>
      </c>
      <c r="D14717" t="s">
        <v>1</v>
      </c>
      <c r="E14717" t="s">
        <v>1</v>
      </c>
      <c r="F14717" t="s">
        <v>0</v>
      </c>
      <c r="G14717" t="str">
        <f>"2018-10-12 20:09:28"</f>
        <v>2018-10-12 20:09:28</v>
      </c>
    </row>
    <row r="14718" spans="1:7" x14ac:dyDescent="0.2">
      <c r="A14718" t="s">
        <v>1788</v>
      </c>
      <c r="B14718" t="str">
        <f>"15576634012"</f>
        <v>15576634012</v>
      </c>
      <c r="C14718" t="str">
        <f>"430624199511042013"</f>
        <v>430624199511042013</v>
      </c>
      <c r="D14718" t="s">
        <v>1</v>
      </c>
      <c r="E14718" t="s">
        <v>1</v>
      </c>
      <c r="F14718" t="s">
        <v>0</v>
      </c>
      <c r="G14718" t="str">
        <f>"2018-10-12 20:07:42"</f>
        <v>2018-10-12 20:07:42</v>
      </c>
    </row>
    <row r="14719" spans="1:7" x14ac:dyDescent="0.2">
      <c r="A14719" t="s">
        <v>1655</v>
      </c>
      <c r="B14719" t="str">
        <f>"13518585552"</f>
        <v>13518585552</v>
      </c>
      <c r="C14719" t="str">
        <f>"520202198704065518"</f>
        <v>520202198704065518</v>
      </c>
      <c r="D14719" t="s">
        <v>14365</v>
      </c>
      <c r="E14719" t="s">
        <v>14366</v>
      </c>
      <c r="F14719" t="s">
        <v>0</v>
      </c>
      <c r="G14719" t="str">
        <f>"2018-10-12 20:08:17"</f>
        <v>2018-10-12 20:08:17</v>
      </c>
    </row>
    <row r="14720" spans="1:7" x14ac:dyDescent="0.2">
      <c r="A14720" t="s">
        <v>849</v>
      </c>
      <c r="B14720" t="str">
        <f>"13459593339"</f>
        <v>13459593339</v>
      </c>
      <c r="C14720" t="str">
        <f>"350581199203152108"</f>
        <v>350581199203152108</v>
      </c>
      <c r="D14720" t="s">
        <v>1</v>
      </c>
      <c r="E14720" t="s">
        <v>1</v>
      </c>
      <c r="F14720" t="s">
        <v>0</v>
      </c>
      <c r="G14720" t="str">
        <f>"2018-10-12 20:08:34"</f>
        <v>2018-10-12 20:08:34</v>
      </c>
    </row>
    <row r="14721" spans="1:7" x14ac:dyDescent="0.2">
      <c r="A14721" t="s">
        <v>1</v>
      </c>
      <c r="B14721" t="str">
        <f>"18396332183"</f>
        <v>18396332183</v>
      </c>
      <c r="C14721" t="s">
        <v>1</v>
      </c>
      <c r="D14721" t="s">
        <v>1</v>
      </c>
      <c r="E14721" t="s">
        <v>1</v>
      </c>
      <c r="F14721" t="s">
        <v>0</v>
      </c>
      <c r="G14721" t="str">
        <f>"2018-10-12 20:06:19"</f>
        <v>2018-10-12 20:06:19</v>
      </c>
    </row>
    <row r="14722" spans="1:7" x14ac:dyDescent="0.2">
      <c r="A14722" t="s">
        <v>14367</v>
      </c>
      <c r="B14722" t="str">
        <f>"13788777870"</f>
        <v>13788777870</v>
      </c>
      <c r="C14722" t="str">
        <f>"450203198906020017"</f>
        <v>450203198906020017</v>
      </c>
      <c r="D14722" t="s">
        <v>14368</v>
      </c>
      <c r="E14722" t="s">
        <v>14369</v>
      </c>
      <c r="F14722" t="s">
        <v>0</v>
      </c>
      <c r="G14722" t="str">
        <f>"2018-10-12 20:07:39"</f>
        <v>2018-10-12 20:07:39</v>
      </c>
    </row>
    <row r="14723" spans="1:7" x14ac:dyDescent="0.2">
      <c r="A14723" t="s">
        <v>1869</v>
      </c>
      <c r="B14723" t="str">
        <f>"13786255314"</f>
        <v>13786255314</v>
      </c>
      <c r="C14723" t="str">
        <f>"430321198711037913"</f>
        <v>430321198711037913</v>
      </c>
      <c r="D14723" t="s">
        <v>1</v>
      </c>
      <c r="E14723" t="s">
        <v>1</v>
      </c>
      <c r="F14723" t="s">
        <v>0</v>
      </c>
      <c r="G14723" t="str">
        <f>"2018-10-12 20:15:05"</f>
        <v>2018-10-12 20:15:05</v>
      </c>
    </row>
    <row r="14724" spans="1:7" x14ac:dyDescent="0.2">
      <c r="A14724" t="s">
        <v>14370</v>
      </c>
      <c r="B14724" t="str">
        <f>"18755560701"</f>
        <v>18755560701</v>
      </c>
      <c r="C14724" t="str">
        <f>"340521199505014415"</f>
        <v>340521199505014415</v>
      </c>
      <c r="D14724" t="s">
        <v>1</v>
      </c>
      <c r="E14724" t="s">
        <v>1</v>
      </c>
      <c r="F14724" t="s">
        <v>0</v>
      </c>
      <c r="G14724" t="str">
        <f>"2018-10-12 20:07:16"</f>
        <v>2018-10-12 20:07:16</v>
      </c>
    </row>
    <row r="14725" spans="1:7" x14ac:dyDescent="0.2">
      <c r="A14725" t="s">
        <v>1374</v>
      </c>
      <c r="B14725" t="str">
        <f>"13619017949"</f>
        <v>13619017949</v>
      </c>
      <c r="C14725" t="str">
        <f>"513901199410163312"</f>
        <v>513901199410163312</v>
      </c>
      <c r="D14725" t="s">
        <v>1</v>
      </c>
      <c r="E14725" t="s">
        <v>1</v>
      </c>
      <c r="F14725" t="s">
        <v>0</v>
      </c>
      <c r="G14725" t="str">
        <f>"2018-10-12 20:10:36"</f>
        <v>2018-10-12 20:10:36</v>
      </c>
    </row>
    <row r="14726" spans="1:7" x14ac:dyDescent="0.2">
      <c r="A14726" t="s">
        <v>14371</v>
      </c>
      <c r="B14726" t="str">
        <f>"18722991755"</f>
        <v>18722991755</v>
      </c>
      <c r="C14726" t="str">
        <f>"52222919930326044X"</f>
        <v>52222919930326044X</v>
      </c>
      <c r="D14726" t="s">
        <v>1</v>
      </c>
      <c r="E14726" t="s">
        <v>1</v>
      </c>
      <c r="F14726" t="s">
        <v>0</v>
      </c>
      <c r="G14726" t="str">
        <f>"2018-10-13 21:18:58"</f>
        <v>2018-10-13 21:18:58</v>
      </c>
    </row>
    <row r="14727" spans="1:7" x14ac:dyDescent="0.2">
      <c r="A14727" t="s">
        <v>1</v>
      </c>
      <c r="B14727" t="str">
        <f>"13184353859"</f>
        <v>13184353859</v>
      </c>
      <c r="C14727" t="s">
        <v>1</v>
      </c>
      <c r="D14727" t="s">
        <v>1</v>
      </c>
      <c r="E14727" t="s">
        <v>1</v>
      </c>
      <c r="F14727" t="s">
        <v>0</v>
      </c>
      <c r="G14727" t="str">
        <f>"2018-10-12 20:04:37"</f>
        <v>2018-10-12 20:04:37</v>
      </c>
    </row>
    <row r="14728" spans="1:7" x14ac:dyDescent="0.2">
      <c r="A14728" t="s">
        <v>14372</v>
      </c>
      <c r="B14728" t="str">
        <f>"15622514135"</f>
        <v>15622514135</v>
      </c>
      <c r="C14728" t="str">
        <f>"533124199508091817"</f>
        <v>533124199508091817</v>
      </c>
      <c r="D14728" t="s">
        <v>1</v>
      </c>
      <c r="E14728" t="s">
        <v>1</v>
      </c>
      <c r="F14728" t="s">
        <v>0</v>
      </c>
      <c r="G14728" t="str">
        <f>"2018-10-12 20:42:28"</f>
        <v>2018-10-12 20:42:28</v>
      </c>
    </row>
    <row r="14729" spans="1:7" x14ac:dyDescent="0.2">
      <c r="A14729" t="s">
        <v>14373</v>
      </c>
      <c r="B14729" t="str">
        <f>"18621180189"</f>
        <v>18621180189</v>
      </c>
      <c r="C14729" t="str">
        <f>"310110198506073221"</f>
        <v>310110198506073221</v>
      </c>
      <c r="D14729" t="s">
        <v>1</v>
      </c>
      <c r="E14729" t="s">
        <v>1</v>
      </c>
      <c r="F14729" t="s">
        <v>0</v>
      </c>
      <c r="G14729" t="str">
        <f>"2018-10-28 16:04:49"</f>
        <v>2018-10-28 16:04:49</v>
      </c>
    </row>
    <row r="14730" spans="1:7" x14ac:dyDescent="0.2">
      <c r="A14730" t="s">
        <v>7410</v>
      </c>
      <c r="B14730" t="str">
        <f>"13210673444"</f>
        <v>13210673444</v>
      </c>
      <c r="C14730" t="str">
        <f>"370323199312140252"</f>
        <v>370323199312140252</v>
      </c>
      <c r="D14730" t="s">
        <v>1</v>
      </c>
      <c r="E14730" t="s">
        <v>1</v>
      </c>
      <c r="F14730" t="s">
        <v>0</v>
      </c>
      <c r="G14730" t="str">
        <f>"2018-10-18 15:58:52"</f>
        <v>2018-10-18 15:58:52</v>
      </c>
    </row>
    <row r="14731" spans="1:7" x14ac:dyDescent="0.2">
      <c r="A14731" t="s">
        <v>14374</v>
      </c>
      <c r="B14731" t="str">
        <f>"17604622578"</f>
        <v>17604622578</v>
      </c>
      <c r="C14731" t="str">
        <f>"230227199606302818"</f>
        <v>230227199606302818</v>
      </c>
      <c r="D14731" t="s">
        <v>1</v>
      </c>
      <c r="E14731" t="s">
        <v>1</v>
      </c>
      <c r="F14731" t="s">
        <v>0</v>
      </c>
      <c r="G14731" t="str">
        <f>"2018-10-12 20:59:26"</f>
        <v>2018-10-12 20:59:26</v>
      </c>
    </row>
    <row r="14732" spans="1:7" x14ac:dyDescent="0.2">
      <c r="A14732" t="s">
        <v>14375</v>
      </c>
      <c r="B14732" t="str">
        <f>"15393644080"</f>
        <v>15393644080</v>
      </c>
      <c r="C14732" t="str">
        <f>"622201198902288121"</f>
        <v>622201198902288121</v>
      </c>
      <c r="D14732" t="s">
        <v>1</v>
      </c>
      <c r="E14732" t="s">
        <v>1</v>
      </c>
      <c r="F14732" t="s">
        <v>0</v>
      </c>
      <c r="G14732" t="str">
        <f>"2018-10-24 18:16:25"</f>
        <v>2018-10-24 18:16:25</v>
      </c>
    </row>
    <row r="14733" spans="1:7" x14ac:dyDescent="0.2">
      <c r="A14733" t="s">
        <v>14376</v>
      </c>
      <c r="B14733" t="str">
        <f>"18194181783"</f>
        <v>18194181783</v>
      </c>
      <c r="C14733" t="str">
        <f>"622923199502031416"</f>
        <v>622923199502031416</v>
      </c>
      <c r="D14733" t="s">
        <v>1</v>
      </c>
      <c r="E14733" t="s">
        <v>1</v>
      </c>
      <c r="F14733" t="s">
        <v>0</v>
      </c>
      <c r="G14733" t="str">
        <f>"2018-10-12 20:12:34"</f>
        <v>2018-10-12 20:12:34</v>
      </c>
    </row>
    <row r="14734" spans="1:7" x14ac:dyDescent="0.2">
      <c r="A14734" t="s">
        <v>14377</v>
      </c>
      <c r="B14734" t="str">
        <f>"17887197955"</f>
        <v>17887197955</v>
      </c>
      <c r="C14734" t="str">
        <f>"220602197806160336"</f>
        <v>220602197806160336</v>
      </c>
      <c r="D14734" t="s">
        <v>1</v>
      </c>
      <c r="E14734" t="s">
        <v>1</v>
      </c>
      <c r="F14734" t="s">
        <v>0</v>
      </c>
      <c r="G14734" t="str">
        <f>"2018-10-12 20:03:57"</f>
        <v>2018-10-12 20:03:57</v>
      </c>
    </row>
    <row r="14735" spans="1:7" x14ac:dyDescent="0.2">
      <c r="A14735" t="s">
        <v>14378</v>
      </c>
      <c r="B14735" t="str">
        <f>"18305981960"</f>
        <v>18305981960</v>
      </c>
      <c r="C14735" t="str">
        <f>"51303019961214581X"</f>
        <v>51303019961214581X</v>
      </c>
      <c r="D14735" t="s">
        <v>1</v>
      </c>
      <c r="E14735" t="s">
        <v>1</v>
      </c>
      <c r="F14735" t="s">
        <v>0</v>
      </c>
      <c r="G14735" t="str">
        <f>"2018-10-12 20:01:02"</f>
        <v>2018-10-12 20:01:02</v>
      </c>
    </row>
    <row r="14736" spans="1:7" x14ac:dyDescent="0.2">
      <c r="A14736" t="s">
        <v>1</v>
      </c>
      <c r="B14736" t="str">
        <f>"18222299638"</f>
        <v>18222299638</v>
      </c>
      <c r="C14736" t="s">
        <v>1</v>
      </c>
      <c r="D14736" t="s">
        <v>1</v>
      </c>
      <c r="E14736" t="s">
        <v>1</v>
      </c>
      <c r="F14736" t="s">
        <v>0</v>
      </c>
      <c r="G14736" t="str">
        <f>"2018-10-12 20:00:39"</f>
        <v>2018-10-12 20:00:39</v>
      </c>
    </row>
    <row r="14737" spans="1:7" x14ac:dyDescent="0.2">
      <c r="A14737" t="s">
        <v>1</v>
      </c>
      <c r="B14737" t="str">
        <f>"18253867330"</f>
        <v>18253867330</v>
      </c>
      <c r="C14737" t="s">
        <v>1</v>
      </c>
      <c r="D14737" t="s">
        <v>1</v>
      </c>
      <c r="E14737" t="s">
        <v>1</v>
      </c>
      <c r="F14737" t="s">
        <v>0</v>
      </c>
      <c r="G14737" t="str">
        <f>"2018-10-12 20:03:23"</f>
        <v>2018-10-12 20:03:23</v>
      </c>
    </row>
    <row r="14738" spans="1:7" x14ac:dyDescent="0.2">
      <c r="A14738" t="s">
        <v>14379</v>
      </c>
      <c r="B14738" t="str">
        <f>"13764476997"</f>
        <v>13764476997</v>
      </c>
      <c r="C14738" t="str">
        <f>"310230198601165352"</f>
        <v>310230198601165352</v>
      </c>
      <c r="D14738" t="s">
        <v>1</v>
      </c>
      <c r="E14738" t="s">
        <v>1</v>
      </c>
      <c r="F14738" t="s">
        <v>0</v>
      </c>
      <c r="G14738" t="str">
        <f>"2018-10-12 20:09:50"</f>
        <v>2018-10-12 20:09:50</v>
      </c>
    </row>
    <row r="14739" spans="1:7" x14ac:dyDescent="0.2">
      <c r="A14739" t="s">
        <v>14380</v>
      </c>
      <c r="B14739" t="str">
        <f>"15834292236"</f>
        <v>15834292236</v>
      </c>
      <c r="C14739" t="str">
        <f>"142226198302015712"</f>
        <v>142226198302015712</v>
      </c>
      <c r="D14739" t="s">
        <v>14381</v>
      </c>
      <c r="E14739" t="s">
        <v>14382</v>
      </c>
      <c r="F14739" t="s">
        <v>0</v>
      </c>
      <c r="G14739" t="str">
        <f>"2018-10-28 19:57:44"</f>
        <v>2018-10-28 19:57:44</v>
      </c>
    </row>
    <row r="14740" spans="1:7" x14ac:dyDescent="0.2">
      <c r="A14740" t="s">
        <v>1</v>
      </c>
      <c r="B14740" t="str">
        <f>"13566672972"</f>
        <v>13566672972</v>
      </c>
      <c r="C14740" t="s">
        <v>1</v>
      </c>
      <c r="D14740" t="s">
        <v>1</v>
      </c>
      <c r="E14740" t="s">
        <v>1</v>
      </c>
      <c r="F14740" t="s">
        <v>0</v>
      </c>
      <c r="G14740" t="str">
        <f>"2018-10-12 19:59:45"</f>
        <v>2018-10-12 19:59:45</v>
      </c>
    </row>
    <row r="14741" spans="1:7" x14ac:dyDescent="0.2">
      <c r="A14741" t="s">
        <v>1</v>
      </c>
      <c r="B14741" t="str">
        <f>"13950958553"</f>
        <v>13950958553</v>
      </c>
      <c r="C14741" t="s">
        <v>1</v>
      </c>
      <c r="D14741" t="s">
        <v>1</v>
      </c>
      <c r="E14741" t="s">
        <v>1</v>
      </c>
      <c r="F14741" t="s">
        <v>0</v>
      </c>
      <c r="G14741" t="str">
        <f>"2018-10-12 20:00:18"</f>
        <v>2018-10-12 20:00:18</v>
      </c>
    </row>
    <row r="14742" spans="1:7" x14ac:dyDescent="0.2">
      <c r="A14742" t="s">
        <v>14383</v>
      </c>
      <c r="B14742" t="str">
        <f>"17647562495"</f>
        <v>17647562495</v>
      </c>
      <c r="C14742" t="str">
        <f>"152323199811245228"</f>
        <v>152323199811245228</v>
      </c>
      <c r="D14742" t="s">
        <v>14384</v>
      </c>
      <c r="E14742" t="s">
        <v>14385</v>
      </c>
      <c r="F14742" t="s">
        <v>0</v>
      </c>
      <c r="G14742" t="str">
        <f>"2018-10-28 19:05:45"</f>
        <v>2018-10-28 19:05:45</v>
      </c>
    </row>
    <row r="14743" spans="1:7" x14ac:dyDescent="0.2">
      <c r="A14743" t="s">
        <v>14386</v>
      </c>
      <c r="B14743" t="str">
        <f>"15029620118"</f>
        <v>15029620118</v>
      </c>
      <c r="C14743" t="str">
        <f>"612731199106053215"</f>
        <v>612731199106053215</v>
      </c>
      <c r="D14743" t="s">
        <v>14387</v>
      </c>
      <c r="E14743" t="s">
        <v>14388</v>
      </c>
      <c r="F14743" t="s">
        <v>0</v>
      </c>
      <c r="G14743" t="str">
        <f>"2018-10-12 20:37:33"</f>
        <v>2018-10-12 20:37:33</v>
      </c>
    </row>
    <row r="14744" spans="1:7" x14ac:dyDescent="0.2">
      <c r="A14744" t="s">
        <v>1</v>
      </c>
      <c r="B14744" t="str">
        <f>"13402260006"</f>
        <v>13402260006</v>
      </c>
      <c r="C14744" t="s">
        <v>1</v>
      </c>
      <c r="D14744" t="s">
        <v>1</v>
      </c>
      <c r="E14744" t="s">
        <v>1</v>
      </c>
      <c r="F14744" t="s">
        <v>0</v>
      </c>
      <c r="G14744" t="str">
        <f>"2018-10-12 20:03:33"</f>
        <v>2018-10-12 20:03:33</v>
      </c>
    </row>
    <row r="14745" spans="1:7" x14ac:dyDescent="0.2">
      <c r="A14745" t="s">
        <v>14389</v>
      </c>
      <c r="B14745" t="str">
        <f>"13142306597"</f>
        <v>13142306597</v>
      </c>
      <c r="C14745" t="str">
        <f>"430424199210027222"</f>
        <v>430424199210027222</v>
      </c>
      <c r="D14745" t="s">
        <v>1</v>
      </c>
      <c r="E14745" t="s">
        <v>1</v>
      </c>
      <c r="F14745" t="s">
        <v>0</v>
      </c>
      <c r="G14745" t="str">
        <f>"2018-10-12 19:57:56"</f>
        <v>2018-10-12 19:57:56</v>
      </c>
    </row>
    <row r="14746" spans="1:7" x14ac:dyDescent="0.2">
      <c r="A14746" t="s">
        <v>14390</v>
      </c>
      <c r="B14746" t="str">
        <f>"13515873337"</f>
        <v>13515873337</v>
      </c>
      <c r="C14746" t="str">
        <f>"330323197405127915"</f>
        <v>330323197405127915</v>
      </c>
      <c r="D14746" t="s">
        <v>1</v>
      </c>
      <c r="E14746" t="s">
        <v>1</v>
      </c>
      <c r="F14746" t="s">
        <v>0</v>
      </c>
      <c r="G14746" t="str">
        <f>"2018-10-12 19:55:45"</f>
        <v>2018-10-12 19:55:45</v>
      </c>
    </row>
    <row r="14747" spans="1:7" x14ac:dyDescent="0.2">
      <c r="A14747" t="s">
        <v>1</v>
      </c>
      <c r="B14747" t="str">
        <f>"13840226756"</f>
        <v>13840226756</v>
      </c>
      <c r="C14747" t="s">
        <v>1</v>
      </c>
      <c r="D14747" t="s">
        <v>1</v>
      </c>
      <c r="E14747" t="s">
        <v>1</v>
      </c>
      <c r="F14747" t="s">
        <v>0</v>
      </c>
      <c r="G14747" t="str">
        <f>"2018-10-12 19:55:45"</f>
        <v>2018-10-12 19:55:45</v>
      </c>
    </row>
    <row r="14748" spans="1:7" x14ac:dyDescent="0.2">
      <c r="A14748" t="s">
        <v>1</v>
      </c>
      <c r="B14748" t="str">
        <f>"13524502931"</f>
        <v>13524502931</v>
      </c>
      <c r="C14748" t="s">
        <v>1</v>
      </c>
      <c r="D14748" t="s">
        <v>1</v>
      </c>
      <c r="E14748" t="s">
        <v>1</v>
      </c>
      <c r="F14748" t="s">
        <v>0</v>
      </c>
      <c r="G14748" t="str">
        <f>"2018-10-12 19:55:44"</f>
        <v>2018-10-12 19:55:44</v>
      </c>
    </row>
    <row r="14749" spans="1:7" x14ac:dyDescent="0.2">
      <c r="A14749" t="s">
        <v>1</v>
      </c>
      <c r="B14749" t="str">
        <f>"18957856970"</f>
        <v>18957856970</v>
      </c>
      <c r="C14749" t="s">
        <v>1</v>
      </c>
      <c r="D14749" t="s">
        <v>1</v>
      </c>
      <c r="E14749" t="s">
        <v>1</v>
      </c>
      <c r="F14749" t="s">
        <v>0</v>
      </c>
      <c r="G14749" t="str">
        <f>"2018-10-12 19:55:33"</f>
        <v>2018-10-12 19:55:33</v>
      </c>
    </row>
    <row r="14750" spans="1:7" x14ac:dyDescent="0.2">
      <c r="A14750" t="s">
        <v>1</v>
      </c>
      <c r="B14750" t="str">
        <f>"13214339957"</f>
        <v>13214339957</v>
      </c>
      <c r="C14750" t="s">
        <v>1</v>
      </c>
      <c r="D14750" t="s">
        <v>1</v>
      </c>
      <c r="E14750" t="s">
        <v>1</v>
      </c>
      <c r="F14750" t="s">
        <v>0</v>
      </c>
      <c r="G14750" t="str">
        <f>"2018-10-12 19:54:52"</f>
        <v>2018-10-12 19:54:52</v>
      </c>
    </row>
    <row r="14751" spans="1:7" x14ac:dyDescent="0.2">
      <c r="A14751" t="s">
        <v>1</v>
      </c>
      <c r="B14751" t="str">
        <f>"13670898222"</f>
        <v>13670898222</v>
      </c>
      <c r="C14751" t="s">
        <v>1</v>
      </c>
      <c r="D14751" t="s">
        <v>1</v>
      </c>
      <c r="E14751" t="s">
        <v>1</v>
      </c>
      <c r="F14751" t="s">
        <v>0</v>
      </c>
      <c r="G14751" t="str">
        <f>"2018-10-12 19:54:48"</f>
        <v>2018-10-12 19:54:48</v>
      </c>
    </row>
    <row r="14752" spans="1:7" x14ac:dyDescent="0.2">
      <c r="A14752" t="s">
        <v>14391</v>
      </c>
      <c r="B14752" t="str">
        <f>"13453100444"</f>
        <v>13453100444</v>
      </c>
      <c r="C14752" t="str">
        <f>"140105198308023319"</f>
        <v>140105198308023319</v>
      </c>
      <c r="D14752" t="s">
        <v>1</v>
      </c>
      <c r="E14752" t="s">
        <v>1</v>
      </c>
      <c r="F14752" t="s">
        <v>0</v>
      </c>
      <c r="G14752" t="str">
        <f>"2018-11-03 00:31:09"</f>
        <v>2018-11-03 00:31:09</v>
      </c>
    </row>
    <row r="14753" spans="1:7" x14ac:dyDescent="0.2">
      <c r="A14753" t="s">
        <v>14392</v>
      </c>
      <c r="B14753" t="str">
        <f>"13472080222"</f>
        <v>13472080222</v>
      </c>
      <c r="C14753" t="str">
        <f>"410728198603139771"</f>
        <v>410728198603139771</v>
      </c>
      <c r="D14753" t="s">
        <v>1</v>
      </c>
      <c r="E14753" t="s">
        <v>1</v>
      </c>
      <c r="F14753" t="s">
        <v>0</v>
      </c>
      <c r="G14753" t="str">
        <f>"2018-10-12 19:55:58"</f>
        <v>2018-10-12 19:55:58</v>
      </c>
    </row>
    <row r="14754" spans="1:7" x14ac:dyDescent="0.2">
      <c r="A14754" t="s">
        <v>87</v>
      </c>
      <c r="B14754" t="str">
        <f>"18865904988"</f>
        <v>18865904988</v>
      </c>
      <c r="C14754" t="str">
        <f>"370124198410237059"</f>
        <v>370124198410237059</v>
      </c>
      <c r="D14754" t="s">
        <v>1</v>
      </c>
      <c r="E14754" t="s">
        <v>1</v>
      </c>
      <c r="F14754" t="s">
        <v>0</v>
      </c>
      <c r="G14754" t="str">
        <f>"2018-10-12 19:56:00"</f>
        <v>2018-10-12 19:56:00</v>
      </c>
    </row>
    <row r="14755" spans="1:7" x14ac:dyDescent="0.2">
      <c r="A14755" t="s">
        <v>1</v>
      </c>
      <c r="B14755" t="str">
        <f>"17180246224"</f>
        <v>17180246224</v>
      </c>
      <c r="C14755" t="s">
        <v>1</v>
      </c>
      <c r="D14755" t="s">
        <v>1</v>
      </c>
      <c r="E14755" t="s">
        <v>1</v>
      </c>
      <c r="F14755" t="s">
        <v>0</v>
      </c>
      <c r="G14755" t="str">
        <f>"2018-10-12 19:53:35"</f>
        <v>2018-10-12 19:53:35</v>
      </c>
    </row>
    <row r="14756" spans="1:7" x14ac:dyDescent="0.2">
      <c r="A14756" t="s">
        <v>1</v>
      </c>
      <c r="B14756" t="str">
        <f>"13738400098"</f>
        <v>13738400098</v>
      </c>
      <c r="C14756" t="s">
        <v>1</v>
      </c>
      <c r="D14756" t="s">
        <v>1</v>
      </c>
      <c r="E14756" t="s">
        <v>1</v>
      </c>
      <c r="F14756" t="s">
        <v>0</v>
      </c>
      <c r="G14756" t="str">
        <f>"2018-10-12 19:53:26"</f>
        <v>2018-10-12 19:53:26</v>
      </c>
    </row>
    <row r="14757" spans="1:7" x14ac:dyDescent="0.2">
      <c r="A14757" t="s">
        <v>14393</v>
      </c>
      <c r="B14757" t="str">
        <f>"18346586452"</f>
        <v>18346586452</v>
      </c>
      <c r="C14757" t="str">
        <f>"232101198706266445"</f>
        <v>232101198706266445</v>
      </c>
      <c r="D14757" t="s">
        <v>1</v>
      </c>
      <c r="E14757" t="s">
        <v>1</v>
      </c>
      <c r="F14757" t="s">
        <v>0</v>
      </c>
      <c r="G14757" t="str">
        <f>"2018-10-12 19:54:51"</f>
        <v>2018-10-12 19:54:51</v>
      </c>
    </row>
    <row r="14758" spans="1:7" x14ac:dyDescent="0.2">
      <c r="A14758" t="s">
        <v>1334</v>
      </c>
      <c r="B14758" t="str">
        <f>"18975518700"</f>
        <v>18975518700</v>
      </c>
      <c r="C14758" t="str">
        <f>"431023198611191830"</f>
        <v>431023198611191830</v>
      </c>
      <c r="D14758" t="s">
        <v>1</v>
      </c>
      <c r="E14758" t="s">
        <v>1</v>
      </c>
      <c r="F14758" t="s">
        <v>0</v>
      </c>
      <c r="G14758" t="str">
        <f>"2018-10-26 10:44:09"</f>
        <v>2018-10-26 10:44:09</v>
      </c>
    </row>
    <row r="14759" spans="1:7" x14ac:dyDescent="0.2">
      <c r="A14759" t="s">
        <v>1</v>
      </c>
      <c r="B14759" t="str">
        <f>"15639343168"</f>
        <v>15639343168</v>
      </c>
      <c r="C14759" t="s">
        <v>1</v>
      </c>
      <c r="D14759" t="s">
        <v>1</v>
      </c>
      <c r="E14759" t="s">
        <v>1</v>
      </c>
      <c r="F14759" t="s">
        <v>0</v>
      </c>
      <c r="G14759" t="str">
        <f>"2018-10-12 19:52:43"</f>
        <v>2018-10-12 19:52:43</v>
      </c>
    </row>
    <row r="14760" spans="1:7" x14ac:dyDescent="0.2">
      <c r="A14760" t="s">
        <v>14394</v>
      </c>
      <c r="B14760" t="str">
        <f>"15579758389"</f>
        <v>15579758389</v>
      </c>
      <c r="C14760" t="str">
        <f>"360782198411170014"</f>
        <v>360782198411170014</v>
      </c>
      <c r="D14760" t="s">
        <v>14395</v>
      </c>
      <c r="E14760" t="s">
        <v>14396</v>
      </c>
      <c r="F14760" t="s">
        <v>0</v>
      </c>
      <c r="G14760" t="str">
        <f>"2018-10-12 19:54:02"</f>
        <v>2018-10-12 19:54:02</v>
      </c>
    </row>
    <row r="14761" spans="1:7" x14ac:dyDescent="0.2">
      <c r="A14761" t="s">
        <v>14397</v>
      </c>
      <c r="B14761" t="str">
        <f>"15975937292"</f>
        <v>15975937292</v>
      </c>
      <c r="C14761" t="str">
        <f>"440881199507281417"</f>
        <v>440881199507281417</v>
      </c>
      <c r="D14761" t="s">
        <v>1</v>
      </c>
      <c r="E14761" t="s">
        <v>1</v>
      </c>
      <c r="F14761" t="s">
        <v>0</v>
      </c>
      <c r="G14761" t="str">
        <f>"2018-10-12 19:52:40"</f>
        <v>2018-10-12 19:52:40</v>
      </c>
    </row>
    <row r="14762" spans="1:7" x14ac:dyDescent="0.2">
      <c r="A14762" t="s">
        <v>1</v>
      </c>
      <c r="B14762" t="str">
        <f>"15054970025"</f>
        <v>15054970025</v>
      </c>
      <c r="C14762" t="s">
        <v>1</v>
      </c>
      <c r="D14762" t="s">
        <v>1</v>
      </c>
      <c r="E14762" t="s">
        <v>1</v>
      </c>
      <c r="F14762" t="s">
        <v>0</v>
      </c>
      <c r="G14762" t="str">
        <f>"2018-10-12 19:50:51"</f>
        <v>2018-10-12 19:50:51</v>
      </c>
    </row>
    <row r="14763" spans="1:7" x14ac:dyDescent="0.2">
      <c r="A14763" t="s">
        <v>14398</v>
      </c>
      <c r="B14763" t="str">
        <f>"17674606991"</f>
        <v>17674606991</v>
      </c>
      <c r="C14763" t="str">
        <f>"431128199810066890"</f>
        <v>431128199810066890</v>
      </c>
      <c r="D14763" t="s">
        <v>1</v>
      </c>
      <c r="E14763" t="s">
        <v>1</v>
      </c>
      <c r="F14763" t="s">
        <v>0</v>
      </c>
      <c r="G14763" t="str">
        <f>"2018-10-12 19:52:35"</f>
        <v>2018-10-12 19:52:35</v>
      </c>
    </row>
    <row r="14764" spans="1:7" x14ac:dyDescent="0.2">
      <c r="A14764" t="s">
        <v>1803</v>
      </c>
      <c r="B14764" t="str">
        <f>"13133060700"</f>
        <v>13133060700</v>
      </c>
      <c r="C14764" t="str">
        <f>"140511198501168738"</f>
        <v>140511198501168738</v>
      </c>
      <c r="D14764" t="s">
        <v>14399</v>
      </c>
      <c r="E14764" t="s">
        <v>14400</v>
      </c>
      <c r="F14764" t="s">
        <v>0</v>
      </c>
      <c r="G14764" t="str">
        <f>"2018-10-25 17:50:11"</f>
        <v>2018-10-25 17:50:11</v>
      </c>
    </row>
    <row r="14765" spans="1:7" x14ac:dyDescent="0.2">
      <c r="A14765" t="s">
        <v>1169</v>
      </c>
      <c r="B14765" t="str">
        <f>"15851318530"</f>
        <v>15851318530</v>
      </c>
      <c r="C14765" t="str">
        <f>"320623198602070013"</f>
        <v>320623198602070013</v>
      </c>
      <c r="D14765" t="s">
        <v>1</v>
      </c>
      <c r="E14765" t="s">
        <v>1</v>
      </c>
      <c r="F14765" t="s">
        <v>0</v>
      </c>
      <c r="G14765" t="str">
        <f>"2018-10-12 21:42:49"</f>
        <v>2018-10-12 21:42:49</v>
      </c>
    </row>
    <row r="14766" spans="1:7" x14ac:dyDescent="0.2">
      <c r="A14766" t="s">
        <v>14401</v>
      </c>
      <c r="B14766" t="str">
        <f>"15767514890"</f>
        <v>15767514890</v>
      </c>
      <c r="C14766" t="str">
        <f>"441424199801084651"</f>
        <v>441424199801084651</v>
      </c>
      <c r="D14766" t="s">
        <v>1</v>
      </c>
      <c r="E14766" t="s">
        <v>1</v>
      </c>
      <c r="F14766" t="s">
        <v>0</v>
      </c>
      <c r="G14766" t="str">
        <f>"2018-10-12 20:04:05"</f>
        <v>2018-10-12 20:04:05</v>
      </c>
    </row>
    <row r="14767" spans="1:7" x14ac:dyDescent="0.2">
      <c r="A14767" t="s">
        <v>14402</v>
      </c>
      <c r="B14767" t="str">
        <f>"15174907230"</f>
        <v>15174907230</v>
      </c>
      <c r="C14767" t="str">
        <f>"150202198810230944"</f>
        <v>150202198810230944</v>
      </c>
      <c r="D14767" t="s">
        <v>14403</v>
      </c>
      <c r="E14767" t="s">
        <v>14404</v>
      </c>
      <c r="F14767" t="s">
        <v>0</v>
      </c>
      <c r="G14767" t="str">
        <f>"2018-10-12 21:01:34"</f>
        <v>2018-10-12 21:01:34</v>
      </c>
    </row>
    <row r="14768" spans="1:7" x14ac:dyDescent="0.2">
      <c r="A14768" t="s">
        <v>14405</v>
      </c>
      <c r="B14768" t="str">
        <f>"13577082940"</f>
        <v>13577082940</v>
      </c>
      <c r="C14768" t="str">
        <f>"530103198810120018"</f>
        <v>530103198810120018</v>
      </c>
      <c r="D14768" t="s">
        <v>1</v>
      </c>
      <c r="E14768" t="s">
        <v>1</v>
      </c>
      <c r="F14768" t="s">
        <v>0</v>
      </c>
      <c r="G14768" t="str">
        <f>"2018-10-12 19:55:13"</f>
        <v>2018-10-12 19:55:13</v>
      </c>
    </row>
    <row r="14769" spans="1:7" x14ac:dyDescent="0.2">
      <c r="A14769" t="s">
        <v>1</v>
      </c>
      <c r="B14769" t="str">
        <f>"18313419919"</f>
        <v>18313419919</v>
      </c>
      <c r="C14769" t="s">
        <v>1</v>
      </c>
      <c r="D14769" t="s">
        <v>1</v>
      </c>
      <c r="E14769" t="s">
        <v>1</v>
      </c>
      <c r="F14769" t="s">
        <v>0</v>
      </c>
      <c r="G14769" t="str">
        <f>"2018-10-12 19:48:58"</f>
        <v>2018-10-12 19:48:58</v>
      </c>
    </row>
    <row r="14770" spans="1:7" x14ac:dyDescent="0.2">
      <c r="A14770" t="s">
        <v>1</v>
      </c>
      <c r="B14770" t="str">
        <f>"15363329266"</f>
        <v>15363329266</v>
      </c>
      <c r="C14770" t="s">
        <v>1</v>
      </c>
      <c r="D14770" t="s">
        <v>1</v>
      </c>
      <c r="E14770" t="s">
        <v>1</v>
      </c>
      <c r="F14770" t="s">
        <v>0</v>
      </c>
      <c r="G14770" t="str">
        <f>"2018-10-12 19:52:25"</f>
        <v>2018-10-12 19:52:25</v>
      </c>
    </row>
    <row r="14771" spans="1:7" x14ac:dyDescent="0.2">
      <c r="A14771" t="s">
        <v>667</v>
      </c>
      <c r="B14771" t="str">
        <f>"15057850941"</f>
        <v>15057850941</v>
      </c>
      <c r="C14771" t="str">
        <f>"332525199504300917"</f>
        <v>332525199504300917</v>
      </c>
      <c r="D14771" t="s">
        <v>14406</v>
      </c>
      <c r="E14771" t="s">
        <v>14406</v>
      </c>
      <c r="F14771" t="s">
        <v>0</v>
      </c>
      <c r="G14771" t="str">
        <f>"2018-10-19 01:21:32"</f>
        <v>2018-10-19 01:21:32</v>
      </c>
    </row>
    <row r="14772" spans="1:7" x14ac:dyDescent="0.2">
      <c r="A14772" t="s">
        <v>14407</v>
      </c>
      <c r="B14772" t="str">
        <f>"15716987791"</f>
        <v>15716987791</v>
      </c>
      <c r="C14772" t="str">
        <f>"130630199001044824"</f>
        <v>130630199001044824</v>
      </c>
      <c r="D14772" t="s">
        <v>1</v>
      </c>
      <c r="E14772" t="s">
        <v>1</v>
      </c>
      <c r="F14772" t="s">
        <v>0</v>
      </c>
      <c r="G14772" t="str">
        <f>"2018-10-12 19:51:04"</f>
        <v>2018-10-12 19:51:04</v>
      </c>
    </row>
    <row r="14773" spans="1:7" x14ac:dyDescent="0.2">
      <c r="A14773" t="s">
        <v>14408</v>
      </c>
      <c r="B14773" t="str">
        <f>"17628433687"</f>
        <v>17628433687</v>
      </c>
      <c r="C14773" t="str">
        <f>"511528199905242836"</f>
        <v>511528199905242836</v>
      </c>
      <c r="D14773" t="s">
        <v>1</v>
      </c>
      <c r="E14773" t="s">
        <v>1</v>
      </c>
      <c r="F14773" t="s">
        <v>0</v>
      </c>
      <c r="G14773" t="str">
        <f>"2018-10-12 19:59:45"</f>
        <v>2018-10-12 19:59:45</v>
      </c>
    </row>
    <row r="14774" spans="1:7" x14ac:dyDescent="0.2">
      <c r="A14774" t="s">
        <v>14409</v>
      </c>
      <c r="B14774" t="str">
        <f>"13487536787"</f>
        <v>13487536787</v>
      </c>
      <c r="C14774" t="str">
        <f>"432824197211060029"</f>
        <v>432824197211060029</v>
      </c>
      <c r="D14774" t="s">
        <v>1</v>
      </c>
      <c r="E14774" t="s">
        <v>1</v>
      </c>
      <c r="F14774" t="s">
        <v>0</v>
      </c>
      <c r="G14774" t="str">
        <f>"2018-10-12 19:48:27"</f>
        <v>2018-10-12 19:48:27</v>
      </c>
    </row>
    <row r="14775" spans="1:7" x14ac:dyDescent="0.2">
      <c r="A14775" t="s">
        <v>14410</v>
      </c>
      <c r="B14775" t="str">
        <f>"13615957114"</f>
        <v>13615957114</v>
      </c>
      <c r="C14775" t="str">
        <f>"350521199111206061"</f>
        <v>350521199111206061</v>
      </c>
      <c r="D14775" t="s">
        <v>1</v>
      </c>
      <c r="E14775" t="s">
        <v>1</v>
      </c>
      <c r="F14775" t="s">
        <v>0</v>
      </c>
      <c r="G14775" t="str">
        <f>"2018-10-12 19:47:19"</f>
        <v>2018-10-12 19:47:19</v>
      </c>
    </row>
    <row r="14776" spans="1:7" x14ac:dyDescent="0.2">
      <c r="A14776" t="s">
        <v>14411</v>
      </c>
      <c r="B14776" t="str">
        <f>"13786627840"</f>
        <v>13786627840</v>
      </c>
      <c r="C14776" t="str">
        <f>"430703198203166216"</f>
        <v>430703198203166216</v>
      </c>
      <c r="D14776" t="s">
        <v>1</v>
      </c>
      <c r="E14776" t="s">
        <v>1</v>
      </c>
      <c r="F14776" t="s">
        <v>0</v>
      </c>
      <c r="G14776" t="str">
        <f>"2018-10-13 08:25:07"</f>
        <v>2018-10-13 08:25:07</v>
      </c>
    </row>
    <row r="14777" spans="1:7" x14ac:dyDescent="0.2">
      <c r="A14777" t="s">
        <v>398</v>
      </c>
      <c r="B14777" t="str">
        <f>"15262960499"</f>
        <v>15262960499</v>
      </c>
      <c r="C14777" t="str">
        <f>"321181199307054071"</f>
        <v>321181199307054071</v>
      </c>
      <c r="D14777" t="s">
        <v>1</v>
      </c>
      <c r="E14777" t="s">
        <v>1</v>
      </c>
      <c r="F14777" t="s">
        <v>0</v>
      </c>
      <c r="G14777" t="str">
        <f>"2018-10-12 19:46:26"</f>
        <v>2018-10-12 19:46:26</v>
      </c>
    </row>
    <row r="14778" spans="1:7" x14ac:dyDescent="0.2">
      <c r="A14778" t="s">
        <v>1</v>
      </c>
      <c r="B14778" t="str">
        <f>"15074798977"</f>
        <v>15074798977</v>
      </c>
      <c r="C14778" t="s">
        <v>1</v>
      </c>
      <c r="D14778" t="s">
        <v>1</v>
      </c>
      <c r="E14778" t="s">
        <v>1</v>
      </c>
      <c r="F14778" t="s">
        <v>0</v>
      </c>
      <c r="G14778" t="str">
        <f>"2018-10-12 19:46:36"</f>
        <v>2018-10-12 19:46:36</v>
      </c>
    </row>
    <row r="14779" spans="1:7" x14ac:dyDescent="0.2">
      <c r="A14779" t="s">
        <v>14412</v>
      </c>
      <c r="B14779" t="str">
        <f>"15281852029"</f>
        <v>15281852029</v>
      </c>
      <c r="C14779" t="str">
        <f>"513030198901014512"</f>
        <v>513030198901014512</v>
      </c>
      <c r="D14779" t="s">
        <v>1</v>
      </c>
      <c r="E14779" t="s">
        <v>1</v>
      </c>
      <c r="F14779" t="s">
        <v>0</v>
      </c>
      <c r="G14779" t="str">
        <f>"2018-10-12 19:45:40"</f>
        <v>2018-10-12 19:45:40</v>
      </c>
    </row>
    <row r="14780" spans="1:7" x14ac:dyDescent="0.2">
      <c r="A14780" t="s">
        <v>14413</v>
      </c>
      <c r="B14780" t="str">
        <f>"18370121814"</f>
        <v>18370121814</v>
      </c>
      <c r="C14780" t="str">
        <f>"360424198411243586"</f>
        <v>360424198411243586</v>
      </c>
      <c r="D14780" t="s">
        <v>1</v>
      </c>
      <c r="E14780" t="s">
        <v>1</v>
      </c>
      <c r="F14780" t="s">
        <v>0</v>
      </c>
      <c r="G14780" t="str">
        <f>"2018-10-12 19:44:27"</f>
        <v>2018-10-12 19:44:27</v>
      </c>
    </row>
    <row r="14781" spans="1:7" x14ac:dyDescent="0.2">
      <c r="A14781" t="s">
        <v>1671</v>
      </c>
      <c r="B14781" t="str">
        <f>"18047339064"</f>
        <v>18047339064</v>
      </c>
      <c r="C14781" t="str">
        <f>"15030219960731451X"</f>
        <v>15030219960731451X</v>
      </c>
      <c r="D14781" t="s">
        <v>14414</v>
      </c>
      <c r="E14781" t="s">
        <v>14415</v>
      </c>
      <c r="F14781" t="s">
        <v>0</v>
      </c>
      <c r="G14781" t="str">
        <f>"2018-10-13 09:23:44"</f>
        <v>2018-10-13 09:23:44</v>
      </c>
    </row>
    <row r="14782" spans="1:7" x14ac:dyDescent="0.2">
      <c r="A14782" t="s">
        <v>14416</v>
      </c>
      <c r="B14782" t="str">
        <f>"13165918910"</f>
        <v>13165918910</v>
      </c>
      <c r="C14782" t="str">
        <f>"330324198508246651"</f>
        <v>330324198508246651</v>
      </c>
      <c r="D14782" t="s">
        <v>1</v>
      </c>
      <c r="E14782" t="s">
        <v>1</v>
      </c>
      <c r="F14782" t="s">
        <v>0</v>
      </c>
      <c r="G14782" t="str">
        <f>"2018-10-12 19:44:22"</f>
        <v>2018-10-12 19:44:22</v>
      </c>
    </row>
    <row r="14783" spans="1:7" x14ac:dyDescent="0.2">
      <c r="A14783" t="s">
        <v>1</v>
      </c>
      <c r="B14783" t="str">
        <f>"13434231951"</f>
        <v>13434231951</v>
      </c>
      <c r="C14783" t="s">
        <v>1</v>
      </c>
      <c r="D14783" t="s">
        <v>1</v>
      </c>
      <c r="E14783" t="s">
        <v>1</v>
      </c>
      <c r="F14783" t="s">
        <v>0</v>
      </c>
      <c r="G14783" t="str">
        <f>"2018-10-12 19:41:55"</f>
        <v>2018-10-12 19:41:55</v>
      </c>
    </row>
    <row r="14784" spans="1:7" x14ac:dyDescent="0.2">
      <c r="A14784" t="s">
        <v>1</v>
      </c>
      <c r="B14784" t="str">
        <f>"13816942807"</f>
        <v>13816942807</v>
      </c>
      <c r="C14784" t="s">
        <v>1</v>
      </c>
      <c r="D14784" t="s">
        <v>1</v>
      </c>
      <c r="E14784" t="s">
        <v>1</v>
      </c>
      <c r="F14784" t="s">
        <v>0</v>
      </c>
      <c r="G14784" t="str">
        <f>"2018-10-12 19:41:37"</f>
        <v>2018-10-12 19:41:37</v>
      </c>
    </row>
    <row r="14785" spans="1:7" x14ac:dyDescent="0.2">
      <c r="A14785" t="s">
        <v>14417</v>
      </c>
      <c r="B14785" t="str">
        <f>"13798221280"</f>
        <v>13798221280</v>
      </c>
      <c r="C14785" t="str">
        <f>"440982198101194951"</f>
        <v>440982198101194951</v>
      </c>
      <c r="D14785" t="s">
        <v>1</v>
      </c>
      <c r="E14785" t="s">
        <v>1</v>
      </c>
      <c r="F14785" t="s">
        <v>0</v>
      </c>
      <c r="G14785" t="str">
        <f>"2018-10-12 19:44:07"</f>
        <v>2018-10-12 19:44:07</v>
      </c>
    </row>
    <row r="14786" spans="1:7" x14ac:dyDescent="0.2">
      <c r="A14786" t="s">
        <v>14418</v>
      </c>
      <c r="B14786" t="str">
        <f>"18382712323"</f>
        <v>18382712323</v>
      </c>
      <c r="C14786" t="str">
        <f>"513701198707151827"</f>
        <v>513701198707151827</v>
      </c>
      <c r="D14786" t="s">
        <v>1</v>
      </c>
      <c r="E14786" t="s">
        <v>1</v>
      </c>
      <c r="F14786" t="s">
        <v>0</v>
      </c>
      <c r="G14786" t="str">
        <f>"2018-10-12 19:49:50"</f>
        <v>2018-10-12 19:49:50</v>
      </c>
    </row>
    <row r="14787" spans="1:7" x14ac:dyDescent="0.2">
      <c r="A14787" t="s">
        <v>14419</v>
      </c>
      <c r="B14787" t="str">
        <f>"13902251853"</f>
        <v>13902251853</v>
      </c>
      <c r="C14787" t="str">
        <f>"441302198406076637"</f>
        <v>441302198406076637</v>
      </c>
      <c r="D14787" t="s">
        <v>1</v>
      </c>
      <c r="E14787" t="s">
        <v>1</v>
      </c>
      <c r="F14787" t="s">
        <v>0</v>
      </c>
      <c r="G14787" t="str">
        <f>"2018-10-12 19:43:36"</f>
        <v>2018-10-12 19:43:36</v>
      </c>
    </row>
    <row r="14788" spans="1:7" x14ac:dyDescent="0.2">
      <c r="A14788" t="s">
        <v>1508</v>
      </c>
      <c r="B14788" t="str">
        <f>"13558805497"</f>
        <v>13558805497</v>
      </c>
      <c r="C14788" t="str">
        <f>"500242198502051166"</f>
        <v>500242198502051166</v>
      </c>
      <c r="D14788" t="s">
        <v>1</v>
      </c>
      <c r="E14788" t="s">
        <v>1</v>
      </c>
      <c r="F14788" t="s">
        <v>0</v>
      </c>
      <c r="G14788" t="str">
        <f>"2018-10-12 19:41:56"</f>
        <v>2018-10-12 19:41:56</v>
      </c>
    </row>
    <row r="14789" spans="1:7" x14ac:dyDescent="0.2">
      <c r="A14789" t="s">
        <v>1</v>
      </c>
      <c r="B14789" t="str">
        <f>"17805874575"</f>
        <v>17805874575</v>
      </c>
      <c r="C14789" t="s">
        <v>1</v>
      </c>
      <c r="D14789" t="s">
        <v>1</v>
      </c>
      <c r="E14789" t="s">
        <v>1</v>
      </c>
      <c r="F14789" t="s">
        <v>0</v>
      </c>
      <c r="G14789" t="str">
        <f>"2018-10-12 19:46:29"</f>
        <v>2018-10-12 19:46:29</v>
      </c>
    </row>
    <row r="14790" spans="1:7" x14ac:dyDescent="0.2">
      <c r="A14790" t="s">
        <v>14420</v>
      </c>
      <c r="B14790" t="str">
        <f>"18054551118"</f>
        <v>18054551118</v>
      </c>
      <c r="C14790" t="str">
        <f>"370826198404113210"</f>
        <v>370826198404113210</v>
      </c>
      <c r="D14790" t="s">
        <v>14421</v>
      </c>
      <c r="E14790" t="s">
        <v>14422</v>
      </c>
      <c r="F14790" t="s">
        <v>0</v>
      </c>
      <c r="G14790" t="str">
        <f>"2018-10-12 19:42:29"</f>
        <v>2018-10-12 19:42:29</v>
      </c>
    </row>
    <row r="14791" spans="1:7" x14ac:dyDescent="0.2">
      <c r="A14791" t="s">
        <v>1</v>
      </c>
      <c r="B14791" t="str">
        <f>"13151256097"</f>
        <v>13151256097</v>
      </c>
      <c r="C14791" t="s">
        <v>1</v>
      </c>
      <c r="D14791" t="s">
        <v>1</v>
      </c>
      <c r="E14791" t="s">
        <v>1</v>
      </c>
      <c r="F14791" t="s">
        <v>0</v>
      </c>
      <c r="G14791" t="str">
        <f>"2018-10-12 19:40:27"</f>
        <v>2018-10-12 19:40:27</v>
      </c>
    </row>
    <row r="14792" spans="1:7" x14ac:dyDescent="0.2">
      <c r="A14792" t="s">
        <v>14423</v>
      </c>
      <c r="B14792" t="str">
        <f>"18824248477"</f>
        <v>18824248477</v>
      </c>
      <c r="C14792" t="str">
        <f>"450802199703153136"</f>
        <v>450802199703153136</v>
      </c>
      <c r="D14792" t="s">
        <v>1</v>
      </c>
      <c r="E14792" t="s">
        <v>1</v>
      </c>
      <c r="F14792" t="s">
        <v>0</v>
      </c>
      <c r="G14792" t="str">
        <f>"2018-10-29 22:03:10"</f>
        <v>2018-10-29 22:03:10</v>
      </c>
    </row>
    <row r="14793" spans="1:7" x14ac:dyDescent="0.2">
      <c r="A14793" t="s">
        <v>14424</v>
      </c>
      <c r="B14793" t="str">
        <f>"15044843187"</f>
        <v>15044843187</v>
      </c>
      <c r="C14793" t="str">
        <f>"15082619870601572X"</f>
        <v>15082619870601572X</v>
      </c>
      <c r="D14793" t="s">
        <v>1</v>
      </c>
      <c r="E14793" t="s">
        <v>1</v>
      </c>
      <c r="F14793" t="s">
        <v>0</v>
      </c>
      <c r="G14793" t="str">
        <f>"2018-10-12 19:40:54"</f>
        <v>2018-10-12 19:40:54</v>
      </c>
    </row>
    <row r="14794" spans="1:7" x14ac:dyDescent="0.2">
      <c r="A14794" t="s">
        <v>14425</v>
      </c>
      <c r="B14794" t="str">
        <f>"18575193404"</f>
        <v>18575193404</v>
      </c>
      <c r="C14794" t="str">
        <f>"522725199610205856"</f>
        <v>522725199610205856</v>
      </c>
      <c r="D14794" t="s">
        <v>1</v>
      </c>
      <c r="E14794" t="s">
        <v>1</v>
      </c>
      <c r="F14794" t="s">
        <v>0</v>
      </c>
      <c r="G14794" t="str">
        <f>"2018-10-12 19:43:27"</f>
        <v>2018-10-12 19:43:27</v>
      </c>
    </row>
    <row r="14795" spans="1:7" x14ac:dyDescent="0.2">
      <c r="A14795" t="s">
        <v>14426</v>
      </c>
      <c r="B14795" t="str">
        <f>"18137318017"</f>
        <v>18137318017</v>
      </c>
      <c r="C14795" t="str">
        <f>"410823198610050058"</f>
        <v>410823198610050058</v>
      </c>
      <c r="D14795" t="s">
        <v>1</v>
      </c>
      <c r="E14795" t="s">
        <v>1</v>
      </c>
      <c r="F14795" t="s">
        <v>0</v>
      </c>
      <c r="G14795" t="str">
        <f>"2018-10-12 19:39:27"</f>
        <v>2018-10-12 19:39:27</v>
      </c>
    </row>
    <row r="14796" spans="1:7" x14ac:dyDescent="0.2">
      <c r="A14796" t="s">
        <v>14427</v>
      </c>
      <c r="B14796" t="str">
        <f>"13348899308"</f>
        <v>13348899308</v>
      </c>
      <c r="C14796" t="str">
        <f>"510823198009031853"</f>
        <v>510823198009031853</v>
      </c>
      <c r="D14796" t="s">
        <v>1</v>
      </c>
      <c r="E14796" t="s">
        <v>1</v>
      </c>
      <c r="F14796" t="s">
        <v>0</v>
      </c>
      <c r="G14796" t="str">
        <f>"2018-10-12 19:38:32"</f>
        <v>2018-10-12 19:38:32</v>
      </c>
    </row>
    <row r="14797" spans="1:7" x14ac:dyDescent="0.2">
      <c r="A14797" t="s">
        <v>14428</v>
      </c>
      <c r="B14797" t="str">
        <f>"18809403484"</f>
        <v>18809403484</v>
      </c>
      <c r="C14797" t="str">
        <f>"510322199903047818"</f>
        <v>510322199903047818</v>
      </c>
      <c r="D14797" t="s">
        <v>14429</v>
      </c>
      <c r="E14797" t="s">
        <v>14430</v>
      </c>
      <c r="F14797" t="s">
        <v>0</v>
      </c>
      <c r="G14797" t="str">
        <f>"2018-10-12 19:39:30"</f>
        <v>2018-10-12 19:39:30</v>
      </c>
    </row>
    <row r="14798" spans="1:7" x14ac:dyDescent="0.2">
      <c r="A14798" t="s">
        <v>1</v>
      </c>
      <c r="B14798" t="str">
        <f>"13934981235"</f>
        <v>13934981235</v>
      </c>
      <c r="C14798" t="s">
        <v>1</v>
      </c>
      <c r="D14798" t="s">
        <v>1</v>
      </c>
      <c r="E14798" t="s">
        <v>1</v>
      </c>
      <c r="F14798" t="s">
        <v>0</v>
      </c>
      <c r="G14798" t="str">
        <f>"2018-10-12 20:41:56"</f>
        <v>2018-10-12 20:41:56</v>
      </c>
    </row>
    <row r="14799" spans="1:7" x14ac:dyDescent="0.2">
      <c r="A14799" t="s">
        <v>14431</v>
      </c>
      <c r="B14799" t="str">
        <f>"15910504883"</f>
        <v>15910504883</v>
      </c>
      <c r="C14799" t="str">
        <f>"110111199701256713"</f>
        <v>110111199701256713</v>
      </c>
      <c r="D14799" t="s">
        <v>1</v>
      </c>
      <c r="E14799" t="s">
        <v>1</v>
      </c>
      <c r="F14799" t="s">
        <v>0</v>
      </c>
      <c r="G14799" t="str">
        <f>"2018-10-12 19:39:18"</f>
        <v>2018-10-12 19:39:18</v>
      </c>
    </row>
    <row r="14800" spans="1:7" x14ac:dyDescent="0.2">
      <c r="A14800" t="s">
        <v>14432</v>
      </c>
      <c r="B14800" t="str">
        <f>"15575886117"</f>
        <v>15575886117</v>
      </c>
      <c r="C14800" t="str">
        <f>"430523198911164515"</f>
        <v>430523198911164515</v>
      </c>
      <c r="D14800" t="s">
        <v>1</v>
      </c>
      <c r="E14800" t="s">
        <v>1</v>
      </c>
      <c r="F14800" t="s">
        <v>0</v>
      </c>
      <c r="G14800" t="str">
        <f>"2018-10-12 19:38:03"</f>
        <v>2018-10-12 19:38:03</v>
      </c>
    </row>
    <row r="14801" spans="1:7" x14ac:dyDescent="0.2">
      <c r="A14801" t="s">
        <v>14433</v>
      </c>
      <c r="B14801" t="str">
        <f>"18900125829"</f>
        <v>18900125829</v>
      </c>
      <c r="C14801" t="str">
        <f>"140425198507124421"</f>
        <v>140425198507124421</v>
      </c>
      <c r="D14801" t="s">
        <v>1</v>
      </c>
      <c r="E14801" t="s">
        <v>1</v>
      </c>
      <c r="F14801" t="s">
        <v>0</v>
      </c>
      <c r="G14801" t="str">
        <f>"2018-10-12 20:30:28"</f>
        <v>2018-10-12 20:30:28</v>
      </c>
    </row>
    <row r="14802" spans="1:7" x14ac:dyDescent="0.2">
      <c r="A14802" t="s">
        <v>14434</v>
      </c>
      <c r="B14802" t="str">
        <f>"13112260934"</f>
        <v>13112260934</v>
      </c>
      <c r="C14802" t="str">
        <f>"44010419680518002X"</f>
        <v>44010419680518002X</v>
      </c>
      <c r="D14802" t="s">
        <v>14435</v>
      </c>
      <c r="E14802" t="s">
        <v>14436</v>
      </c>
      <c r="F14802" t="s">
        <v>0</v>
      </c>
      <c r="G14802" t="str">
        <f>"2018-10-12 19:39:56"</f>
        <v>2018-10-12 19:39:56</v>
      </c>
    </row>
    <row r="14803" spans="1:7" x14ac:dyDescent="0.2">
      <c r="A14803" t="s">
        <v>1</v>
      </c>
      <c r="B14803" t="str">
        <f>"13784458628"</f>
        <v>13784458628</v>
      </c>
      <c r="C14803" t="s">
        <v>1</v>
      </c>
      <c r="D14803" t="s">
        <v>1</v>
      </c>
      <c r="E14803" t="s">
        <v>1</v>
      </c>
      <c r="F14803" t="s">
        <v>0</v>
      </c>
      <c r="G14803" t="str">
        <f>"2018-10-12 19:35:57"</f>
        <v>2018-10-12 19:35:57</v>
      </c>
    </row>
    <row r="14804" spans="1:7" x14ac:dyDescent="0.2">
      <c r="A14804" t="s">
        <v>14437</v>
      </c>
      <c r="B14804" t="str">
        <f>"14758665664"</f>
        <v>14758665664</v>
      </c>
      <c r="C14804" t="str">
        <f>"440825199910030019"</f>
        <v>440825199910030019</v>
      </c>
      <c r="D14804" t="s">
        <v>1</v>
      </c>
      <c r="E14804" t="s">
        <v>1</v>
      </c>
      <c r="F14804" t="s">
        <v>0</v>
      </c>
      <c r="G14804" t="str">
        <f>"2018-10-12 19:36:48"</f>
        <v>2018-10-12 19:36:48</v>
      </c>
    </row>
    <row r="14805" spans="1:7" x14ac:dyDescent="0.2">
      <c r="A14805" t="s">
        <v>14438</v>
      </c>
      <c r="B14805" t="str">
        <f>"15800358707"</f>
        <v>15800358707</v>
      </c>
      <c r="C14805" t="str">
        <f>"431021198708134135"</f>
        <v>431021198708134135</v>
      </c>
      <c r="D14805" t="s">
        <v>1</v>
      </c>
      <c r="E14805" t="s">
        <v>1</v>
      </c>
      <c r="F14805" t="s">
        <v>0</v>
      </c>
      <c r="G14805" t="str">
        <f>"2018-10-12 19:34:34"</f>
        <v>2018-10-12 19:34:34</v>
      </c>
    </row>
    <row r="14806" spans="1:7" x14ac:dyDescent="0.2">
      <c r="A14806" t="s">
        <v>14439</v>
      </c>
      <c r="B14806" t="str">
        <f>"15025894345"</f>
        <v>15025894345</v>
      </c>
      <c r="C14806" t="str">
        <f>"622201198504057520"</f>
        <v>622201198504057520</v>
      </c>
      <c r="D14806" t="s">
        <v>1</v>
      </c>
      <c r="E14806" t="s">
        <v>1</v>
      </c>
      <c r="F14806" t="s">
        <v>0</v>
      </c>
      <c r="G14806" t="str">
        <f>"2018-10-12 19:35:31"</f>
        <v>2018-10-12 19:35:31</v>
      </c>
    </row>
    <row r="14807" spans="1:7" x14ac:dyDescent="0.2">
      <c r="A14807" t="s">
        <v>14440</v>
      </c>
      <c r="B14807" t="str">
        <f>"13459510473"</f>
        <v>13459510473</v>
      </c>
      <c r="C14807" t="str">
        <f>"350526198702181510"</f>
        <v>350526198702181510</v>
      </c>
      <c r="D14807" t="s">
        <v>1</v>
      </c>
      <c r="E14807" t="s">
        <v>1</v>
      </c>
      <c r="F14807" t="s">
        <v>0</v>
      </c>
      <c r="G14807" t="str">
        <f>"2018-10-12 19:33:35"</f>
        <v>2018-10-12 19:33:35</v>
      </c>
    </row>
    <row r="14808" spans="1:7" x14ac:dyDescent="0.2">
      <c r="A14808" t="s">
        <v>14441</v>
      </c>
      <c r="B14808" t="str">
        <f>"18551717234"</f>
        <v>18551717234</v>
      </c>
      <c r="C14808" t="str">
        <f>"320124198707043256"</f>
        <v>320124198707043256</v>
      </c>
      <c r="D14808" t="s">
        <v>1</v>
      </c>
      <c r="E14808" t="s">
        <v>1</v>
      </c>
      <c r="F14808" t="s">
        <v>0</v>
      </c>
      <c r="G14808" t="str">
        <f>"2018-10-12 19:33:50"</f>
        <v>2018-10-12 19:33:50</v>
      </c>
    </row>
    <row r="14809" spans="1:7" x14ac:dyDescent="0.2">
      <c r="A14809" t="s">
        <v>1</v>
      </c>
      <c r="B14809" t="str">
        <f>"18715067535"</f>
        <v>18715067535</v>
      </c>
      <c r="C14809" t="s">
        <v>1</v>
      </c>
      <c r="D14809" t="s">
        <v>1</v>
      </c>
      <c r="E14809" t="s">
        <v>1</v>
      </c>
      <c r="F14809" t="s">
        <v>0</v>
      </c>
      <c r="G14809" t="str">
        <f>"2018-10-12 19:31:17"</f>
        <v>2018-10-12 19:31:17</v>
      </c>
    </row>
    <row r="14810" spans="1:7" x14ac:dyDescent="0.2">
      <c r="A14810" t="s">
        <v>14442</v>
      </c>
      <c r="B14810" t="str">
        <f>"18628116111"</f>
        <v>18628116111</v>
      </c>
      <c r="C14810" t="str">
        <f>"510121197809212286"</f>
        <v>510121197809212286</v>
      </c>
      <c r="D14810" t="s">
        <v>1</v>
      </c>
      <c r="E14810" t="s">
        <v>1</v>
      </c>
      <c r="F14810" t="s">
        <v>0</v>
      </c>
      <c r="G14810" t="str">
        <f>"2018-10-12 19:33:39"</f>
        <v>2018-10-12 19:33:39</v>
      </c>
    </row>
    <row r="14811" spans="1:7" x14ac:dyDescent="0.2">
      <c r="A14811" t="s">
        <v>1</v>
      </c>
      <c r="B14811" t="str">
        <f>"15903569768"</f>
        <v>15903569768</v>
      </c>
      <c r="C14811" t="s">
        <v>1</v>
      </c>
      <c r="D14811" t="s">
        <v>1</v>
      </c>
      <c r="E14811" t="s">
        <v>1</v>
      </c>
      <c r="F14811" t="s">
        <v>0</v>
      </c>
      <c r="G14811" t="str">
        <f>"2018-10-12 19:33:22"</f>
        <v>2018-10-12 19:33:22</v>
      </c>
    </row>
    <row r="14812" spans="1:7" x14ac:dyDescent="0.2">
      <c r="A14812" t="s">
        <v>14443</v>
      </c>
      <c r="B14812" t="str">
        <f>"15179050290"</f>
        <v>15179050290</v>
      </c>
      <c r="C14812" t="str">
        <f>"362427199212252514"</f>
        <v>362427199212252514</v>
      </c>
      <c r="D14812" t="s">
        <v>1</v>
      </c>
      <c r="E14812" t="s">
        <v>1</v>
      </c>
      <c r="F14812" t="s">
        <v>0</v>
      </c>
      <c r="G14812" t="str">
        <f>"2018-10-12 19:35:11"</f>
        <v>2018-10-12 19:35:11</v>
      </c>
    </row>
    <row r="14813" spans="1:7" x14ac:dyDescent="0.2">
      <c r="A14813" t="s">
        <v>14444</v>
      </c>
      <c r="B14813" t="str">
        <f>"18505600509"</f>
        <v>18505600509</v>
      </c>
      <c r="C14813" t="str">
        <f>"440582199103102670"</f>
        <v>440582199103102670</v>
      </c>
      <c r="D14813" t="s">
        <v>14445</v>
      </c>
      <c r="E14813" t="s">
        <v>14446</v>
      </c>
      <c r="F14813" t="s">
        <v>0</v>
      </c>
      <c r="G14813" t="str">
        <f>"2018-10-12 19:30:51"</f>
        <v>2018-10-12 19:30:51</v>
      </c>
    </row>
    <row r="14814" spans="1:7" x14ac:dyDescent="0.2">
      <c r="A14814" t="s">
        <v>14447</v>
      </c>
      <c r="B14814" t="str">
        <f>"13466163171"</f>
        <v>13466163171</v>
      </c>
      <c r="C14814" t="str">
        <f>"532923199509011205"</f>
        <v>532923199509011205</v>
      </c>
      <c r="D14814" t="s">
        <v>14448</v>
      </c>
      <c r="E14814" t="s">
        <v>14449</v>
      </c>
      <c r="F14814" t="s">
        <v>0</v>
      </c>
      <c r="G14814" t="str">
        <f>"2018-10-12 19:31:39"</f>
        <v>2018-10-12 19:31:39</v>
      </c>
    </row>
    <row r="14815" spans="1:7" x14ac:dyDescent="0.2">
      <c r="A14815" t="s">
        <v>1</v>
      </c>
      <c r="B14815" t="str">
        <f>"18059958278"</f>
        <v>18059958278</v>
      </c>
      <c r="C14815" t="s">
        <v>1</v>
      </c>
      <c r="D14815" t="s">
        <v>1</v>
      </c>
      <c r="E14815" t="s">
        <v>1</v>
      </c>
      <c r="F14815" t="s">
        <v>0</v>
      </c>
      <c r="G14815" t="str">
        <f>"2018-10-12 19:30:24"</f>
        <v>2018-10-12 19:30:24</v>
      </c>
    </row>
    <row r="14816" spans="1:7" x14ac:dyDescent="0.2">
      <c r="A14816" t="s">
        <v>14450</v>
      </c>
      <c r="B14816" t="str">
        <f>"18798156908"</f>
        <v>18798156908</v>
      </c>
      <c r="C14816" t="str">
        <f>"522101198311155416"</f>
        <v>522101198311155416</v>
      </c>
      <c r="D14816" t="s">
        <v>1</v>
      </c>
      <c r="E14816" t="s">
        <v>1</v>
      </c>
      <c r="F14816" t="s">
        <v>0</v>
      </c>
      <c r="G14816" t="str">
        <f>"2018-10-12 19:31:05"</f>
        <v>2018-10-12 19:31:05</v>
      </c>
    </row>
    <row r="14817" spans="1:7" x14ac:dyDescent="0.2">
      <c r="A14817" t="s">
        <v>14451</v>
      </c>
      <c r="B14817" t="str">
        <f>"13088391112"</f>
        <v>13088391112</v>
      </c>
      <c r="C14817" t="str">
        <f>"511123198108160063"</f>
        <v>511123198108160063</v>
      </c>
      <c r="D14817" t="s">
        <v>1</v>
      </c>
      <c r="E14817" t="s">
        <v>1</v>
      </c>
      <c r="F14817" t="s">
        <v>0</v>
      </c>
      <c r="G14817" t="str">
        <f>"2018-10-12 19:30:50"</f>
        <v>2018-10-12 19:30:50</v>
      </c>
    </row>
    <row r="14818" spans="1:7" x14ac:dyDescent="0.2">
      <c r="A14818" t="s">
        <v>14452</v>
      </c>
      <c r="B14818" t="str">
        <f>"13908709781"</f>
        <v>13908709781</v>
      </c>
      <c r="C14818" t="str">
        <f>"532130199104240026"</f>
        <v>532130199104240026</v>
      </c>
      <c r="D14818" t="s">
        <v>1</v>
      </c>
      <c r="E14818" t="s">
        <v>1</v>
      </c>
      <c r="F14818" t="s">
        <v>0</v>
      </c>
      <c r="G14818" t="str">
        <f>"2018-10-13 15:38:43"</f>
        <v>2018-10-13 15:38:43</v>
      </c>
    </row>
    <row r="14819" spans="1:7" x14ac:dyDescent="0.2">
      <c r="A14819" t="s">
        <v>14453</v>
      </c>
      <c r="B14819" t="str">
        <f>"18727700191"</f>
        <v>18727700191</v>
      </c>
      <c r="C14819" t="str">
        <f>"420881198509262545"</f>
        <v>420881198509262545</v>
      </c>
      <c r="D14819" t="s">
        <v>1</v>
      </c>
      <c r="E14819" t="s">
        <v>1</v>
      </c>
      <c r="F14819" t="s">
        <v>0</v>
      </c>
      <c r="G14819" t="str">
        <f>"2018-10-12 19:32:28"</f>
        <v>2018-10-12 19:32:28</v>
      </c>
    </row>
    <row r="14820" spans="1:7" x14ac:dyDescent="0.2">
      <c r="A14820" t="s">
        <v>14454</v>
      </c>
      <c r="B14820" t="str">
        <f>"15132885981"</f>
        <v>15132885981</v>
      </c>
      <c r="C14820" t="str">
        <f>"131182198812015416"</f>
        <v>131182198812015416</v>
      </c>
      <c r="D14820" t="s">
        <v>14455</v>
      </c>
      <c r="E14820" t="s">
        <v>14456</v>
      </c>
      <c r="F14820" t="s">
        <v>0</v>
      </c>
      <c r="G14820" t="str">
        <f>"2018-10-21 10:25:44"</f>
        <v>2018-10-21 10:25:44</v>
      </c>
    </row>
    <row r="14821" spans="1:7" x14ac:dyDescent="0.2">
      <c r="A14821" t="s">
        <v>370</v>
      </c>
      <c r="B14821" t="str">
        <f>"13025332464"</f>
        <v>13025332464</v>
      </c>
      <c r="C14821" t="str">
        <f>"511602199707056292"</f>
        <v>511602199707056292</v>
      </c>
      <c r="D14821" t="s">
        <v>1</v>
      </c>
      <c r="E14821" t="s">
        <v>1</v>
      </c>
      <c r="F14821" t="s">
        <v>0</v>
      </c>
      <c r="G14821" t="str">
        <f>"2018-10-12 19:36:16"</f>
        <v>2018-10-12 19:36:16</v>
      </c>
    </row>
    <row r="14822" spans="1:7" x14ac:dyDescent="0.2">
      <c r="A14822" t="s">
        <v>1</v>
      </c>
      <c r="B14822" t="str">
        <f>"13844894678"</f>
        <v>13844894678</v>
      </c>
      <c r="C14822" t="s">
        <v>1</v>
      </c>
      <c r="D14822" t="s">
        <v>1</v>
      </c>
      <c r="E14822" t="s">
        <v>1</v>
      </c>
      <c r="F14822" t="s">
        <v>0</v>
      </c>
      <c r="G14822" t="str">
        <f>"2018-10-12 19:27:43"</f>
        <v>2018-10-12 19:27:43</v>
      </c>
    </row>
    <row r="14823" spans="1:7" x14ac:dyDescent="0.2">
      <c r="A14823" t="s">
        <v>1</v>
      </c>
      <c r="B14823" t="str">
        <f>"18525176327"</f>
        <v>18525176327</v>
      </c>
      <c r="C14823" t="s">
        <v>1</v>
      </c>
      <c r="D14823" t="s">
        <v>1</v>
      </c>
      <c r="E14823" t="s">
        <v>1</v>
      </c>
      <c r="F14823" t="s">
        <v>0</v>
      </c>
      <c r="G14823" t="str">
        <f>"2018-10-12 19:27:16"</f>
        <v>2018-10-12 19:27:16</v>
      </c>
    </row>
    <row r="14824" spans="1:7" x14ac:dyDescent="0.2">
      <c r="A14824" t="s">
        <v>462</v>
      </c>
      <c r="B14824" t="str">
        <f>"15632706225"</f>
        <v>15632706225</v>
      </c>
      <c r="C14824" t="str">
        <f>"132902197803016538"</f>
        <v>132902197803016538</v>
      </c>
      <c r="D14824" t="s">
        <v>1</v>
      </c>
      <c r="E14824" t="s">
        <v>1</v>
      </c>
      <c r="F14824" t="s">
        <v>0</v>
      </c>
      <c r="G14824" t="str">
        <f>"2018-10-12 19:27:15"</f>
        <v>2018-10-12 19:27:15</v>
      </c>
    </row>
    <row r="14825" spans="1:7" x14ac:dyDescent="0.2">
      <c r="A14825" t="s">
        <v>14457</v>
      </c>
      <c r="B14825" t="str">
        <f>"15978762925"</f>
        <v>15978762925</v>
      </c>
      <c r="C14825" t="str">
        <f>"410822199401062018"</f>
        <v>410822199401062018</v>
      </c>
      <c r="D14825" t="s">
        <v>1</v>
      </c>
      <c r="E14825" t="s">
        <v>1</v>
      </c>
      <c r="F14825" t="s">
        <v>0</v>
      </c>
      <c r="G14825" t="str">
        <f>"2018-10-12 19:30:54"</f>
        <v>2018-10-12 19:30:54</v>
      </c>
    </row>
    <row r="14826" spans="1:7" x14ac:dyDescent="0.2">
      <c r="A14826" t="s">
        <v>1</v>
      </c>
      <c r="B14826" t="str">
        <f>"15254835757"</f>
        <v>15254835757</v>
      </c>
      <c r="C14826" t="s">
        <v>1</v>
      </c>
      <c r="D14826" t="s">
        <v>1</v>
      </c>
      <c r="E14826" t="s">
        <v>1</v>
      </c>
      <c r="F14826" t="s">
        <v>0</v>
      </c>
      <c r="G14826" t="str">
        <f>"2018-10-12 19:26:49"</f>
        <v>2018-10-12 19:26:49</v>
      </c>
    </row>
    <row r="14827" spans="1:7" x14ac:dyDescent="0.2">
      <c r="A14827" t="s">
        <v>14458</v>
      </c>
      <c r="B14827" t="str">
        <f>"15288402108"</f>
        <v>15288402108</v>
      </c>
      <c r="C14827" t="str">
        <f>"532225199309092121"</f>
        <v>532225199309092121</v>
      </c>
      <c r="D14827" t="s">
        <v>1</v>
      </c>
      <c r="E14827" t="s">
        <v>1</v>
      </c>
      <c r="F14827" t="s">
        <v>0</v>
      </c>
      <c r="G14827" t="str">
        <f>"2018-10-12 20:48:23"</f>
        <v>2018-10-12 20:48:23</v>
      </c>
    </row>
    <row r="14828" spans="1:7" x14ac:dyDescent="0.2">
      <c r="A14828" t="s">
        <v>14459</v>
      </c>
      <c r="B14828" t="str">
        <f>"18846669687"</f>
        <v>18846669687</v>
      </c>
      <c r="C14828" t="str">
        <f>"230604197808314436"</f>
        <v>230604197808314436</v>
      </c>
      <c r="D14828" t="s">
        <v>1</v>
      </c>
      <c r="E14828" t="s">
        <v>1</v>
      </c>
      <c r="F14828" t="s">
        <v>0</v>
      </c>
      <c r="G14828" t="str">
        <f>"2018-10-12 19:29:20"</f>
        <v>2018-10-12 19:29:20</v>
      </c>
    </row>
    <row r="14829" spans="1:7" x14ac:dyDescent="0.2">
      <c r="A14829" t="s">
        <v>4778</v>
      </c>
      <c r="B14829" t="str">
        <f>"15511570983"</f>
        <v>15511570983</v>
      </c>
      <c r="C14829" t="str">
        <f>"130224199307273022"</f>
        <v>130224199307273022</v>
      </c>
      <c r="D14829" t="s">
        <v>1</v>
      </c>
      <c r="E14829" t="s">
        <v>1</v>
      </c>
      <c r="F14829" t="s">
        <v>0</v>
      </c>
      <c r="G14829" t="str">
        <f>"2018-10-12 19:27:05"</f>
        <v>2018-10-12 19:27:05</v>
      </c>
    </row>
    <row r="14830" spans="1:7" x14ac:dyDescent="0.2">
      <c r="A14830" t="s">
        <v>3847</v>
      </c>
      <c r="B14830" t="str">
        <f>"15565616814"</f>
        <v>15565616814</v>
      </c>
      <c r="C14830" t="str">
        <f>"410883199805270326"</f>
        <v>410883199805270326</v>
      </c>
      <c r="D14830" t="s">
        <v>1</v>
      </c>
      <c r="E14830" t="s">
        <v>1</v>
      </c>
      <c r="F14830" t="s">
        <v>0</v>
      </c>
      <c r="G14830" t="str">
        <f>"2018-10-12 19:28:13"</f>
        <v>2018-10-12 19:28:13</v>
      </c>
    </row>
    <row r="14831" spans="1:7" x14ac:dyDescent="0.2">
      <c r="A14831" t="s">
        <v>792</v>
      </c>
      <c r="B14831" t="str">
        <f>"18504228328"</f>
        <v>18504228328</v>
      </c>
      <c r="C14831" t="str">
        <f>"210521199207152570"</f>
        <v>210521199207152570</v>
      </c>
      <c r="D14831" t="s">
        <v>1</v>
      </c>
      <c r="E14831" t="s">
        <v>1</v>
      </c>
      <c r="F14831" t="s">
        <v>0</v>
      </c>
      <c r="G14831" t="str">
        <f>"2018-10-12 19:28:07"</f>
        <v>2018-10-12 19:28:07</v>
      </c>
    </row>
    <row r="14832" spans="1:7" x14ac:dyDescent="0.2">
      <c r="A14832" t="s">
        <v>1</v>
      </c>
      <c r="B14832" t="str">
        <f>"15063305048"</f>
        <v>15063305048</v>
      </c>
      <c r="C14832" t="s">
        <v>1</v>
      </c>
      <c r="D14832" t="s">
        <v>1</v>
      </c>
      <c r="E14832" t="s">
        <v>1</v>
      </c>
      <c r="F14832" t="s">
        <v>0</v>
      </c>
      <c r="G14832" t="str">
        <f>"2018-10-12 19:25:42"</f>
        <v>2018-10-12 19:25:42</v>
      </c>
    </row>
    <row r="14833" spans="1:7" x14ac:dyDescent="0.2">
      <c r="A14833" t="s">
        <v>1</v>
      </c>
      <c r="B14833" t="str">
        <f>"13701121422"</f>
        <v>13701121422</v>
      </c>
      <c r="C14833" t="s">
        <v>1</v>
      </c>
      <c r="D14833" t="s">
        <v>1</v>
      </c>
      <c r="E14833" t="s">
        <v>1</v>
      </c>
      <c r="F14833" t="s">
        <v>0</v>
      </c>
      <c r="G14833" t="str">
        <f>"2018-10-12 19:25:24"</f>
        <v>2018-10-12 19:25:24</v>
      </c>
    </row>
    <row r="14834" spans="1:7" x14ac:dyDescent="0.2">
      <c r="A14834" t="s">
        <v>1</v>
      </c>
      <c r="B14834" t="str">
        <f>"15957869270"</f>
        <v>15957869270</v>
      </c>
      <c r="C14834" t="s">
        <v>1</v>
      </c>
      <c r="D14834" t="s">
        <v>1</v>
      </c>
      <c r="E14834" t="s">
        <v>1</v>
      </c>
      <c r="F14834" t="s">
        <v>0</v>
      </c>
      <c r="G14834" t="str">
        <f>"2018-10-12 19:25:20"</f>
        <v>2018-10-12 19:25:20</v>
      </c>
    </row>
    <row r="14835" spans="1:7" x14ac:dyDescent="0.2">
      <c r="A14835" t="s">
        <v>1</v>
      </c>
      <c r="B14835" t="str">
        <f>"18695894889"</f>
        <v>18695894889</v>
      </c>
      <c r="C14835" t="s">
        <v>1</v>
      </c>
      <c r="D14835" t="s">
        <v>1</v>
      </c>
      <c r="E14835" t="s">
        <v>1</v>
      </c>
      <c r="F14835" t="s">
        <v>0</v>
      </c>
      <c r="G14835" t="str">
        <f>"2018-10-12 19:24:48"</f>
        <v>2018-10-12 19:24:48</v>
      </c>
    </row>
    <row r="14836" spans="1:7" x14ac:dyDescent="0.2">
      <c r="A14836" t="s">
        <v>1</v>
      </c>
      <c r="B14836" t="str">
        <f>"13512075600"</f>
        <v>13512075600</v>
      </c>
      <c r="C14836" t="s">
        <v>1</v>
      </c>
      <c r="D14836" t="s">
        <v>1</v>
      </c>
      <c r="E14836" t="s">
        <v>1</v>
      </c>
      <c r="F14836" t="s">
        <v>0</v>
      </c>
      <c r="G14836" t="str">
        <f>"2018-10-12 19:25:48"</f>
        <v>2018-10-12 19:25:48</v>
      </c>
    </row>
    <row r="14837" spans="1:7" x14ac:dyDescent="0.2">
      <c r="A14837" t="s">
        <v>14460</v>
      </c>
      <c r="B14837" t="str">
        <f>"13422767479"</f>
        <v>13422767479</v>
      </c>
      <c r="C14837" t="str">
        <f>"440783198806160319"</f>
        <v>440783198806160319</v>
      </c>
      <c r="D14837" t="s">
        <v>1</v>
      </c>
      <c r="E14837" t="s">
        <v>1</v>
      </c>
      <c r="F14837" t="s">
        <v>0</v>
      </c>
      <c r="G14837" t="str">
        <f>"2018-10-12 19:30:39"</f>
        <v>2018-10-12 19:30:39</v>
      </c>
    </row>
    <row r="14838" spans="1:7" x14ac:dyDescent="0.2">
      <c r="A14838" t="s">
        <v>14461</v>
      </c>
      <c r="B14838" t="str">
        <f>"15817105427"</f>
        <v>15817105427</v>
      </c>
      <c r="C14838" t="str">
        <f>"440183199201072422"</f>
        <v>440183199201072422</v>
      </c>
      <c r="D14838" t="s">
        <v>14462</v>
      </c>
      <c r="E14838" t="s">
        <v>14463</v>
      </c>
      <c r="F14838" t="s">
        <v>0</v>
      </c>
      <c r="G14838" t="str">
        <f>"2018-10-23 13:59:41"</f>
        <v>2018-10-23 13:59:41</v>
      </c>
    </row>
    <row r="14839" spans="1:7" x14ac:dyDescent="0.2">
      <c r="A14839" t="s">
        <v>1</v>
      </c>
      <c r="B14839" t="str">
        <f>"13410659530"</f>
        <v>13410659530</v>
      </c>
      <c r="C14839" t="s">
        <v>1</v>
      </c>
      <c r="D14839" t="s">
        <v>1</v>
      </c>
      <c r="E14839" t="s">
        <v>1</v>
      </c>
      <c r="F14839" t="s">
        <v>0</v>
      </c>
      <c r="G14839" t="str">
        <f>"2018-10-12 19:23:52"</f>
        <v>2018-10-12 19:23:52</v>
      </c>
    </row>
    <row r="14840" spans="1:7" x14ac:dyDescent="0.2">
      <c r="A14840" t="s">
        <v>1</v>
      </c>
      <c r="B14840" t="str">
        <f>"13923503209"</f>
        <v>13923503209</v>
      </c>
      <c r="C14840" t="s">
        <v>1</v>
      </c>
      <c r="D14840" t="s">
        <v>1</v>
      </c>
      <c r="E14840" t="s">
        <v>1</v>
      </c>
      <c r="F14840" t="s">
        <v>0</v>
      </c>
      <c r="G14840" t="str">
        <f>"2018-10-12 19:23:30"</f>
        <v>2018-10-12 19:23:30</v>
      </c>
    </row>
    <row r="14841" spans="1:7" x14ac:dyDescent="0.2">
      <c r="A14841" t="s">
        <v>1</v>
      </c>
      <c r="B14841" t="str">
        <f>"15677777731"</f>
        <v>15677777731</v>
      </c>
      <c r="C14841" t="s">
        <v>1</v>
      </c>
      <c r="D14841" t="s">
        <v>1</v>
      </c>
      <c r="E14841" t="s">
        <v>1</v>
      </c>
      <c r="F14841" t="s">
        <v>0</v>
      </c>
      <c r="G14841" t="str">
        <f>"2018-10-12 19:26:23"</f>
        <v>2018-10-12 19:26:23</v>
      </c>
    </row>
    <row r="14842" spans="1:7" x14ac:dyDescent="0.2">
      <c r="A14842" t="s">
        <v>1</v>
      </c>
      <c r="B14842" t="str">
        <f>"14775229813"</f>
        <v>14775229813</v>
      </c>
      <c r="C14842" t="s">
        <v>1</v>
      </c>
      <c r="D14842" t="s">
        <v>1</v>
      </c>
      <c r="E14842" t="s">
        <v>1</v>
      </c>
      <c r="F14842" t="s">
        <v>0</v>
      </c>
      <c r="G14842" t="str">
        <f>"2018-10-12 19:24:35"</f>
        <v>2018-10-12 19:24:35</v>
      </c>
    </row>
    <row r="14843" spans="1:7" x14ac:dyDescent="0.2">
      <c r="A14843" t="s">
        <v>14464</v>
      </c>
      <c r="B14843" t="str">
        <f>"13424280931"</f>
        <v>13424280931</v>
      </c>
      <c r="C14843" t="str">
        <f>"43052419900515181X"</f>
        <v>43052419900515181X</v>
      </c>
      <c r="D14843" t="s">
        <v>1</v>
      </c>
      <c r="E14843" t="s">
        <v>1</v>
      </c>
      <c r="F14843" t="s">
        <v>0</v>
      </c>
      <c r="G14843" t="str">
        <f>"2018-10-13 07:08:16"</f>
        <v>2018-10-13 07:08:16</v>
      </c>
    </row>
    <row r="14844" spans="1:7" x14ac:dyDescent="0.2">
      <c r="A14844" t="s">
        <v>14465</v>
      </c>
      <c r="B14844" t="str">
        <f>"13380928357"</f>
        <v>13380928357</v>
      </c>
      <c r="C14844" t="str">
        <f>"44162119880317421X"</f>
        <v>44162119880317421X</v>
      </c>
      <c r="D14844" t="s">
        <v>1</v>
      </c>
      <c r="E14844" t="s">
        <v>1</v>
      </c>
      <c r="F14844" t="s">
        <v>0</v>
      </c>
      <c r="G14844" t="str">
        <f>"2018-10-12 19:24:35"</f>
        <v>2018-10-12 19:24:35</v>
      </c>
    </row>
    <row r="14845" spans="1:7" x14ac:dyDescent="0.2">
      <c r="A14845" t="s">
        <v>14466</v>
      </c>
      <c r="B14845" t="str">
        <f>"15887069870"</f>
        <v>15887069870</v>
      </c>
      <c r="C14845" t="str">
        <f>"53213019841209015X"</f>
        <v>53213019841209015X</v>
      </c>
      <c r="D14845" t="s">
        <v>1</v>
      </c>
      <c r="E14845" t="s">
        <v>1</v>
      </c>
      <c r="F14845" t="s">
        <v>0</v>
      </c>
      <c r="G14845" t="str">
        <f>"2018-10-28 17:46:21"</f>
        <v>2018-10-28 17:46:21</v>
      </c>
    </row>
    <row r="14846" spans="1:7" x14ac:dyDescent="0.2">
      <c r="A14846" t="s">
        <v>558</v>
      </c>
      <c r="B14846" t="str">
        <f>"13626893158"</f>
        <v>13626893158</v>
      </c>
      <c r="C14846" t="str">
        <f>"330726199506123518"</f>
        <v>330726199506123518</v>
      </c>
      <c r="D14846" t="s">
        <v>1</v>
      </c>
      <c r="E14846" t="s">
        <v>1</v>
      </c>
      <c r="F14846" t="s">
        <v>0</v>
      </c>
      <c r="G14846" t="str">
        <f>"2018-10-12 19:21:57"</f>
        <v>2018-10-12 19:21:57</v>
      </c>
    </row>
    <row r="14847" spans="1:7" x14ac:dyDescent="0.2">
      <c r="A14847" t="s">
        <v>14467</v>
      </c>
      <c r="B14847" t="str">
        <f>"18667815771"</f>
        <v>18667815771</v>
      </c>
      <c r="C14847" t="str">
        <f>"450721198908090991"</f>
        <v>450721198908090991</v>
      </c>
      <c r="D14847" t="s">
        <v>1</v>
      </c>
      <c r="E14847" t="s">
        <v>1</v>
      </c>
      <c r="F14847" t="s">
        <v>0</v>
      </c>
      <c r="G14847" t="str">
        <f>"2018-10-12 19:23:24"</f>
        <v>2018-10-12 19:23:24</v>
      </c>
    </row>
    <row r="14848" spans="1:7" x14ac:dyDescent="0.2">
      <c r="A14848" t="s">
        <v>1</v>
      </c>
      <c r="B14848" t="str">
        <f>"15152589159"</f>
        <v>15152589159</v>
      </c>
      <c r="C14848" t="s">
        <v>1</v>
      </c>
      <c r="D14848" t="s">
        <v>1</v>
      </c>
      <c r="E14848" t="s">
        <v>1</v>
      </c>
      <c r="F14848" t="s">
        <v>0</v>
      </c>
      <c r="G14848" t="str">
        <f>"2018-10-12 19:21:34"</f>
        <v>2018-10-12 19:21:34</v>
      </c>
    </row>
    <row r="14849" spans="1:7" x14ac:dyDescent="0.2">
      <c r="A14849" t="s">
        <v>14468</v>
      </c>
      <c r="B14849" t="str">
        <f>"13599550018"</f>
        <v>13599550018</v>
      </c>
      <c r="C14849" t="str">
        <f>"350125197708010912"</f>
        <v>350125197708010912</v>
      </c>
      <c r="D14849" t="s">
        <v>1</v>
      </c>
      <c r="E14849" t="s">
        <v>1</v>
      </c>
      <c r="F14849" t="s">
        <v>0</v>
      </c>
      <c r="G14849" t="str">
        <f>"2018-10-16 20:09:10"</f>
        <v>2018-10-16 20:09:10</v>
      </c>
    </row>
    <row r="14850" spans="1:7" x14ac:dyDescent="0.2">
      <c r="A14850" t="s">
        <v>14469</v>
      </c>
      <c r="B14850" t="str">
        <f>"13753362470"</f>
        <v>13753362470</v>
      </c>
      <c r="C14850" t="str">
        <f>"141124199708100138"</f>
        <v>141124199708100138</v>
      </c>
      <c r="D14850" t="s">
        <v>1</v>
      </c>
      <c r="E14850" t="s">
        <v>1</v>
      </c>
      <c r="F14850" t="s">
        <v>0</v>
      </c>
      <c r="G14850" t="str">
        <f>"2018-10-12 19:29:31"</f>
        <v>2018-10-12 19:29:31</v>
      </c>
    </row>
    <row r="14851" spans="1:7" x14ac:dyDescent="0.2">
      <c r="A14851" t="s">
        <v>14470</v>
      </c>
      <c r="B14851" t="str">
        <f>"13993663031"</f>
        <v>13993663031</v>
      </c>
      <c r="C14851" t="str">
        <f>"622201198905298149"</f>
        <v>622201198905298149</v>
      </c>
      <c r="D14851" t="s">
        <v>1</v>
      </c>
      <c r="E14851" t="s">
        <v>1</v>
      </c>
      <c r="F14851" t="s">
        <v>0</v>
      </c>
      <c r="G14851" t="str">
        <f>"2018-10-12 19:23:09"</f>
        <v>2018-10-12 19:23:09</v>
      </c>
    </row>
    <row r="14852" spans="1:7" x14ac:dyDescent="0.2">
      <c r="A14852" t="s">
        <v>1</v>
      </c>
      <c r="B14852" t="str">
        <f>"17074979566"</f>
        <v>17074979566</v>
      </c>
      <c r="C14852" t="s">
        <v>1</v>
      </c>
      <c r="D14852" t="s">
        <v>1</v>
      </c>
      <c r="E14852" t="s">
        <v>1</v>
      </c>
      <c r="F14852" t="s">
        <v>0</v>
      </c>
      <c r="G14852" t="str">
        <f>"2018-10-12 19:21:06"</f>
        <v>2018-10-12 19:21:06</v>
      </c>
    </row>
    <row r="14853" spans="1:7" x14ac:dyDescent="0.2">
      <c r="A14853" t="s">
        <v>14471</v>
      </c>
      <c r="B14853" t="str">
        <f>"13466241114"</f>
        <v>13466241114</v>
      </c>
      <c r="C14853" t="str">
        <f>"532101199205102069"</f>
        <v>532101199205102069</v>
      </c>
      <c r="D14853" t="s">
        <v>1</v>
      </c>
      <c r="E14853" t="s">
        <v>1</v>
      </c>
      <c r="F14853" t="s">
        <v>0</v>
      </c>
      <c r="G14853" t="str">
        <f>"2018-10-12 19:23:55"</f>
        <v>2018-10-12 19:23:55</v>
      </c>
    </row>
    <row r="14854" spans="1:7" x14ac:dyDescent="0.2">
      <c r="A14854" t="s">
        <v>14472</v>
      </c>
      <c r="B14854" t="str">
        <f>"17708402686"</f>
        <v>17708402686</v>
      </c>
      <c r="C14854" t="str">
        <f>"430103198201273525"</f>
        <v>430103198201273525</v>
      </c>
      <c r="D14854" t="s">
        <v>1</v>
      </c>
      <c r="E14854" t="s">
        <v>1</v>
      </c>
      <c r="F14854" t="s">
        <v>0</v>
      </c>
      <c r="G14854" t="str">
        <f>"2018-10-12 19:20:39"</f>
        <v>2018-10-12 19:20:39</v>
      </c>
    </row>
    <row r="14855" spans="1:7" x14ac:dyDescent="0.2">
      <c r="A14855" t="s">
        <v>14473</v>
      </c>
      <c r="B14855" t="str">
        <f>"15068238058"</f>
        <v>15068238058</v>
      </c>
      <c r="C14855" t="str">
        <f>"330282199612024728"</f>
        <v>330282199612024728</v>
      </c>
      <c r="D14855" t="s">
        <v>1</v>
      </c>
      <c r="E14855" t="s">
        <v>1</v>
      </c>
      <c r="F14855" t="s">
        <v>0</v>
      </c>
      <c r="G14855" t="str">
        <f>"2018-10-12 19:23:25"</f>
        <v>2018-10-12 19:23:25</v>
      </c>
    </row>
    <row r="14856" spans="1:7" x14ac:dyDescent="0.2">
      <c r="A14856" t="s">
        <v>14474</v>
      </c>
      <c r="B14856" t="str">
        <f>"18976077190"</f>
        <v>18976077190</v>
      </c>
      <c r="C14856" t="str">
        <f>"460004198512263435"</f>
        <v>460004198512263435</v>
      </c>
      <c r="D14856" t="s">
        <v>1</v>
      </c>
      <c r="E14856" t="s">
        <v>1</v>
      </c>
      <c r="F14856" t="s">
        <v>0</v>
      </c>
      <c r="G14856" t="str">
        <f>"2018-10-12 19:19:06"</f>
        <v>2018-10-12 19:19:06</v>
      </c>
    </row>
    <row r="14857" spans="1:7" x14ac:dyDescent="0.2">
      <c r="A14857" t="s">
        <v>1</v>
      </c>
      <c r="B14857" t="str">
        <f>"18389892779"</f>
        <v>18389892779</v>
      </c>
      <c r="C14857" t="s">
        <v>1</v>
      </c>
      <c r="D14857" t="s">
        <v>1</v>
      </c>
      <c r="E14857" t="s">
        <v>1</v>
      </c>
      <c r="F14857" t="s">
        <v>0</v>
      </c>
      <c r="G14857" t="str">
        <f>"2018-10-12 19:21:29"</f>
        <v>2018-10-12 19:21:29</v>
      </c>
    </row>
    <row r="14858" spans="1:7" x14ac:dyDescent="0.2">
      <c r="A14858" t="s">
        <v>14475</v>
      </c>
      <c r="B14858" t="str">
        <f>"18019659111"</f>
        <v>18019659111</v>
      </c>
      <c r="C14858" t="str">
        <f>"32068419821130417X"</f>
        <v>32068419821130417X</v>
      </c>
      <c r="D14858" t="s">
        <v>1</v>
      </c>
      <c r="E14858" t="s">
        <v>1</v>
      </c>
      <c r="F14858" t="s">
        <v>0</v>
      </c>
      <c r="G14858" t="str">
        <f>"2018-10-12 19:21:31"</f>
        <v>2018-10-12 19:21:31</v>
      </c>
    </row>
    <row r="14859" spans="1:7" x14ac:dyDescent="0.2">
      <c r="A14859" t="s">
        <v>1584</v>
      </c>
      <c r="B14859" t="str">
        <f>"18510597874"</f>
        <v>18510597874</v>
      </c>
      <c r="C14859" t="str">
        <f>"371522199702243914"</f>
        <v>371522199702243914</v>
      </c>
      <c r="D14859" t="s">
        <v>1</v>
      </c>
      <c r="E14859" t="s">
        <v>1</v>
      </c>
      <c r="F14859" t="s">
        <v>0</v>
      </c>
      <c r="G14859" t="str">
        <f>"2018-10-12 20:27:16"</f>
        <v>2018-10-12 20:27:16</v>
      </c>
    </row>
    <row r="14860" spans="1:7" x14ac:dyDescent="0.2">
      <c r="A14860" t="s">
        <v>118</v>
      </c>
      <c r="B14860" t="str">
        <f>"18293385180"</f>
        <v>18293385180</v>
      </c>
      <c r="C14860" t="str">
        <f>"622722198605300613"</f>
        <v>622722198605300613</v>
      </c>
      <c r="D14860" t="s">
        <v>1</v>
      </c>
      <c r="E14860" t="s">
        <v>1</v>
      </c>
      <c r="F14860" t="s">
        <v>0</v>
      </c>
      <c r="G14860" t="str">
        <f>"2018-10-12 19:45:30"</f>
        <v>2018-10-12 19:45:30</v>
      </c>
    </row>
    <row r="14861" spans="1:7" x14ac:dyDescent="0.2">
      <c r="A14861" t="s">
        <v>14476</v>
      </c>
      <c r="B14861" t="str">
        <f>"15113503112"</f>
        <v>15113503112</v>
      </c>
      <c r="C14861" t="str">
        <f>"441581199312022516"</f>
        <v>441581199312022516</v>
      </c>
      <c r="D14861" t="s">
        <v>1</v>
      </c>
      <c r="E14861" t="s">
        <v>1</v>
      </c>
      <c r="F14861" t="s">
        <v>0</v>
      </c>
      <c r="G14861" t="str">
        <f>"2018-10-12 19:19:02"</f>
        <v>2018-10-12 19:19:02</v>
      </c>
    </row>
    <row r="14862" spans="1:7" x14ac:dyDescent="0.2">
      <c r="A14862" t="s">
        <v>1530</v>
      </c>
      <c r="B14862" t="str">
        <f>"18468055564"</f>
        <v>18468055564</v>
      </c>
      <c r="C14862" t="str">
        <f>"530326199612111735"</f>
        <v>530326199612111735</v>
      </c>
      <c r="D14862" t="s">
        <v>1</v>
      </c>
      <c r="E14862" t="s">
        <v>1</v>
      </c>
      <c r="F14862" t="s">
        <v>0</v>
      </c>
      <c r="G14862" t="str">
        <f>"2018-10-12 19:18:22"</f>
        <v>2018-10-12 19:18:22</v>
      </c>
    </row>
    <row r="14863" spans="1:7" x14ac:dyDescent="0.2">
      <c r="A14863" t="s">
        <v>1050</v>
      </c>
      <c r="B14863" t="str">
        <f>"13544263201"</f>
        <v>13544263201</v>
      </c>
      <c r="C14863" t="str">
        <f>"429021199707111521"</f>
        <v>429021199707111521</v>
      </c>
      <c r="D14863" t="s">
        <v>14477</v>
      </c>
      <c r="E14863" t="s">
        <v>14478</v>
      </c>
      <c r="F14863" t="s">
        <v>0</v>
      </c>
      <c r="G14863" t="str">
        <f>"2018-10-12 19:16:57"</f>
        <v>2018-10-12 19:16:57</v>
      </c>
    </row>
    <row r="14864" spans="1:7" x14ac:dyDescent="0.2">
      <c r="A14864" t="s">
        <v>14479</v>
      </c>
      <c r="B14864" t="str">
        <f>"18322119424"</f>
        <v>18322119424</v>
      </c>
      <c r="C14864" t="str">
        <f>"120107198407241812"</f>
        <v>120107198407241812</v>
      </c>
      <c r="D14864" t="s">
        <v>1</v>
      </c>
      <c r="E14864" t="s">
        <v>1</v>
      </c>
      <c r="F14864" t="s">
        <v>0</v>
      </c>
      <c r="G14864" t="str">
        <f>"2018-10-12 19:18:18"</f>
        <v>2018-10-12 19:18:18</v>
      </c>
    </row>
    <row r="14865" spans="1:7" x14ac:dyDescent="0.2">
      <c r="A14865" t="s">
        <v>14480</v>
      </c>
      <c r="B14865" t="str">
        <f>"15177961880"</f>
        <v>15177961880</v>
      </c>
      <c r="C14865" t="str">
        <f>"450702198907230367"</f>
        <v>450702198907230367</v>
      </c>
      <c r="D14865" t="s">
        <v>1</v>
      </c>
      <c r="E14865" t="s">
        <v>1</v>
      </c>
      <c r="F14865" t="s">
        <v>0</v>
      </c>
      <c r="G14865" t="str">
        <f>"2018-10-13 11:23:55"</f>
        <v>2018-10-13 11:23:55</v>
      </c>
    </row>
    <row r="14866" spans="1:7" x14ac:dyDescent="0.2">
      <c r="A14866" t="s">
        <v>1</v>
      </c>
      <c r="B14866" t="str">
        <f>"13577593236"</f>
        <v>13577593236</v>
      </c>
      <c r="C14866" t="s">
        <v>1</v>
      </c>
      <c r="D14866" t="s">
        <v>1</v>
      </c>
      <c r="E14866" t="s">
        <v>1</v>
      </c>
      <c r="F14866" t="s">
        <v>0</v>
      </c>
      <c r="G14866" t="str">
        <f>"2018-10-12 19:16:20"</f>
        <v>2018-10-12 19:16:20</v>
      </c>
    </row>
    <row r="14867" spans="1:7" x14ac:dyDescent="0.2">
      <c r="A14867" t="s">
        <v>14481</v>
      </c>
      <c r="B14867" t="str">
        <f>"15100707117"</f>
        <v>15100707117</v>
      </c>
      <c r="C14867" t="str">
        <f>"230231198809235459"</f>
        <v>230231198809235459</v>
      </c>
      <c r="D14867" t="s">
        <v>1</v>
      </c>
      <c r="E14867" t="s">
        <v>1</v>
      </c>
      <c r="F14867" t="s">
        <v>0</v>
      </c>
      <c r="G14867" t="str">
        <f>"2018-10-12 19:17:32"</f>
        <v>2018-10-12 19:17:32</v>
      </c>
    </row>
    <row r="14868" spans="1:7" x14ac:dyDescent="0.2">
      <c r="A14868" t="s">
        <v>1</v>
      </c>
      <c r="B14868" t="str">
        <f>"18827195720"</f>
        <v>18827195720</v>
      </c>
      <c r="C14868" t="s">
        <v>1</v>
      </c>
      <c r="D14868" t="s">
        <v>1</v>
      </c>
      <c r="E14868" t="s">
        <v>1</v>
      </c>
      <c r="F14868" t="s">
        <v>0</v>
      </c>
      <c r="G14868" t="str">
        <f>"2018-10-12 19:18:44"</f>
        <v>2018-10-12 19:18:44</v>
      </c>
    </row>
    <row r="14869" spans="1:7" x14ac:dyDescent="0.2">
      <c r="A14869" t="s">
        <v>14482</v>
      </c>
      <c r="B14869" t="str">
        <f>"15102761951"</f>
        <v>15102761951</v>
      </c>
      <c r="C14869" t="str">
        <f>"152326199310051504"</f>
        <v>152326199310051504</v>
      </c>
      <c r="D14869" t="s">
        <v>14483</v>
      </c>
      <c r="E14869" t="s">
        <v>14484</v>
      </c>
      <c r="F14869" t="s">
        <v>0</v>
      </c>
      <c r="G14869" t="str">
        <f>"2018-10-12 19:17:02"</f>
        <v>2018-10-12 19:17:02</v>
      </c>
    </row>
    <row r="14870" spans="1:7" x14ac:dyDescent="0.2">
      <c r="A14870" t="s">
        <v>1</v>
      </c>
      <c r="B14870" t="str">
        <f>"15623127197"</f>
        <v>15623127197</v>
      </c>
      <c r="C14870" t="s">
        <v>1</v>
      </c>
      <c r="D14870" t="s">
        <v>1</v>
      </c>
      <c r="E14870" t="s">
        <v>1</v>
      </c>
      <c r="F14870" t="s">
        <v>0</v>
      </c>
      <c r="G14870" t="str">
        <f>"2018-10-12 19:16:00"</f>
        <v>2018-10-12 19:16:00</v>
      </c>
    </row>
    <row r="14871" spans="1:7" x14ac:dyDescent="0.2">
      <c r="A14871" t="s">
        <v>14485</v>
      </c>
      <c r="B14871" t="str">
        <f>"18670113930"</f>
        <v>18670113930</v>
      </c>
      <c r="C14871" t="str">
        <f>"431025199105154030"</f>
        <v>431025199105154030</v>
      </c>
      <c r="D14871" t="s">
        <v>1</v>
      </c>
      <c r="E14871" t="s">
        <v>1</v>
      </c>
      <c r="F14871" t="s">
        <v>0</v>
      </c>
      <c r="G14871" t="str">
        <f>"2018-10-12 19:16:31"</f>
        <v>2018-10-12 19:16:31</v>
      </c>
    </row>
    <row r="14872" spans="1:7" x14ac:dyDescent="0.2">
      <c r="A14872" t="s">
        <v>1</v>
      </c>
      <c r="B14872" t="str">
        <f>"15612388381"</f>
        <v>15612388381</v>
      </c>
      <c r="C14872" t="s">
        <v>1</v>
      </c>
      <c r="D14872" t="s">
        <v>1</v>
      </c>
      <c r="E14872" t="s">
        <v>1</v>
      </c>
      <c r="F14872" t="s">
        <v>0</v>
      </c>
      <c r="G14872" t="str">
        <f>"2018-10-12 19:14:49"</f>
        <v>2018-10-12 19:14:49</v>
      </c>
    </row>
    <row r="14873" spans="1:7" x14ac:dyDescent="0.2">
      <c r="A14873" t="s">
        <v>14486</v>
      </c>
      <c r="B14873" t="str">
        <f>"15606351512"</f>
        <v>15606351512</v>
      </c>
      <c r="C14873" t="str">
        <f>"371521199311056912"</f>
        <v>371521199311056912</v>
      </c>
      <c r="D14873" t="s">
        <v>1</v>
      </c>
      <c r="E14873" t="s">
        <v>1</v>
      </c>
      <c r="F14873" t="s">
        <v>0</v>
      </c>
      <c r="G14873" t="str">
        <f>"2018-10-12 19:27:38"</f>
        <v>2018-10-12 19:27:38</v>
      </c>
    </row>
    <row r="14874" spans="1:7" x14ac:dyDescent="0.2">
      <c r="A14874" t="s">
        <v>1</v>
      </c>
      <c r="B14874" t="str">
        <f>"13416556622"</f>
        <v>13416556622</v>
      </c>
      <c r="C14874" t="s">
        <v>1</v>
      </c>
      <c r="D14874" t="s">
        <v>1</v>
      </c>
      <c r="E14874" t="s">
        <v>1</v>
      </c>
      <c r="F14874" t="s">
        <v>0</v>
      </c>
      <c r="G14874" t="str">
        <f>"2018-10-12 19:14:29"</f>
        <v>2018-10-12 19:14:29</v>
      </c>
    </row>
    <row r="14875" spans="1:7" x14ac:dyDescent="0.2">
      <c r="A14875" t="s">
        <v>1</v>
      </c>
      <c r="B14875" t="str">
        <f>"15295392309"</f>
        <v>15295392309</v>
      </c>
      <c r="C14875" t="s">
        <v>1</v>
      </c>
      <c r="D14875" t="s">
        <v>1</v>
      </c>
      <c r="E14875" t="s">
        <v>1</v>
      </c>
      <c r="F14875" t="s">
        <v>0</v>
      </c>
      <c r="G14875" t="str">
        <f>"2018-10-12 19:14:19"</f>
        <v>2018-10-12 19:14:19</v>
      </c>
    </row>
    <row r="14876" spans="1:7" x14ac:dyDescent="0.2">
      <c r="A14876" t="s">
        <v>370</v>
      </c>
      <c r="B14876" t="str">
        <f>"18636956671"</f>
        <v>18636956671</v>
      </c>
      <c r="C14876" t="str">
        <f>"140202198808191518"</f>
        <v>140202198808191518</v>
      </c>
      <c r="D14876" t="s">
        <v>1</v>
      </c>
      <c r="E14876" t="s">
        <v>1</v>
      </c>
      <c r="F14876" t="s">
        <v>0</v>
      </c>
      <c r="G14876" t="str">
        <f>"2018-10-12 19:13:57"</f>
        <v>2018-10-12 19:13:57</v>
      </c>
    </row>
    <row r="14877" spans="1:7" x14ac:dyDescent="0.2">
      <c r="A14877" t="s">
        <v>1</v>
      </c>
      <c r="B14877" t="str">
        <f>"13528815667"</f>
        <v>13528815667</v>
      </c>
      <c r="C14877" t="s">
        <v>1</v>
      </c>
      <c r="D14877" t="s">
        <v>1</v>
      </c>
      <c r="E14877" t="s">
        <v>1</v>
      </c>
      <c r="F14877" t="s">
        <v>0</v>
      </c>
      <c r="G14877" t="str">
        <f>"2018-10-12 19:13:32"</f>
        <v>2018-10-12 19:13:32</v>
      </c>
    </row>
    <row r="14878" spans="1:7" x14ac:dyDescent="0.2">
      <c r="A14878" t="s">
        <v>1</v>
      </c>
      <c r="B14878" t="str">
        <f>"15811433357"</f>
        <v>15811433357</v>
      </c>
      <c r="C14878" t="s">
        <v>1</v>
      </c>
      <c r="D14878" t="s">
        <v>1</v>
      </c>
      <c r="E14878" t="s">
        <v>1</v>
      </c>
      <c r="F14878" t="s">
        <v>0</v>
      </c>
      <c r="G14878" t="str">
        <f>"2018-10-12 19:12:41"</f>
        <v>2018-10-12 19:12:41</v>
      </c>
    </row>
    <row r="14879" spans="1:7" x14ac:dyDescent="0.2">
      <c r="A14879" t="s">
        <v>1</v>
      </c>
      <c r="B14879" t="str">
        <f>"13696919707"</f>
        <v>13696919707</v>
      </c>
      <c r="C14879" t="s">
        <v>1</v>
      </c>
      <c r="D14879" t="s">
        <v>1</v>
      </c>
      <c r="E14879" t="s">
        <v>1</v>
      </c>
      <c r="F14879" t="s">
        <v>0</v>
      </c>
      <c r="G14879" t="str">
        <f>"2018-10-12 19:12:31"</f>
        <v>2018-10-12 19:12:31</v>
      </c>
    </row>
    <row r="14880" spans="1:7" x14ac:dyDescent="0.2">
      <c r="A14880" t="s">
        <v>14487</v>
      </c>
      <c r="B14880" t="str">
        <f>"13431264288"</f>
        <v>13431264288</v>
      </c>
      <c r="C14880" t="str">
        <f>"441900199406175488"</f>
        <v>441900199406175488</v>
      </c>
      <c r="D14880" t="s">
        <v>1</v>
      </c>
      <c r="E14880" t="s">
        <v>1</v>
      </c>
      <c r="F14880" t="s">
        <v>0</v>
      </c>
      <c r="G14880" t="str">
        <f>"2018-10-12 19:15:01"</f>
        <v>2018-10-12 19:15:01</v>
      </c>
    </row>
    <row r="14881" spans="1:7" x14ac:dyDescent="0.2">
      <c r="A14881" t="s">
        <v>14488</v>
      </c>
      <c r="B14881" t="str">
        <f>"18812390177"</f>
        <v>18812390177</v>
      </c>
      <c r="C14881" t="str">
        <f>"530302198411291834"</f>
        <v>530302198411291834</v>
      </c>
      <c r="D14881" t="s">
        <v>1</v>
      </c>
      <c r="E14881" t="s">
        <v>1</v>
      </c>
      <c r="F14881" t="s">
        <v>0</v>
      </c>
      <c r="G14881" t="str">
        <f>"2018-10-12 19:13:59"</f>
        <v>2018-10-12 19:13:59</v>
      </c>
    </row>
    <row r="14882" spans="1:7" x14ac:dyDescent="0.2">
      <c r="A14882" t="s">
        <v>14489</v>
      </c>
      <c r="B14882" t="str">
        <f>"15615973828"</f>
        <v>15615973828</v>
      </c>
      <c r="C14882" t="str">
        <f>"370832198703154757"</f>
        <v>370832198703154757</v>
      </c>
      <c r="D14882" t="s">
        <v>1</v>
      </c>
      <c r="E14882" t="s">
        <v>1</v>
      </c>
      <c r="F14882" t="s">
        <v>0</v>
      </c>
      <c r="G14882" t="str">
        <f>"2018-10-12 19:20:51"</f>
        <v>2018-10-12 19:20:51</v>
      </c>
    </row>
    <row r="14883" spans="1:7" x14ac:dyDescent="0.2">
      <c r="A14883" t="s">
        <v>14490</v>
      </c>
      <c r="B14883" t="str">
        <f>"15906121932"</f>
        <v>15906121932</v>
      </c>
      <c r="C14883" t="str">
        <f>"32048319910123311X"</f>
        <v>32048319910123311X</v>
      </c>
      <c r="D14883" t="s">
        <v>1</v>
      </c>
      <c r="E14883" t="s">
        <v>1</v>
      </c>
      <c r="F14883" t="s">
        <v>0</v>
      </c>
      <c r="G14883" t="str">
        <f>"2018-10-12 19:13:37"</f>
        <v>2018-10-12 19:13:37</v>
      </c>
    </row>
    <row r="14884" spans="1:7" x14ac:dyDescent="0.2">
      <c r="A14884" t="s">
        <v>1</v>
      </c>
      <c r="B14884" t="str">
        <f>"13006970047"</f>
        <v>13006970047</v>
      </c>
      <c r="C14884" t="s">
        <v>1</v>
      </c>
      <c r="D14884" t="s">
        <v>1</v>
      </c>
      <c r="E14884" t="s">
        <v>1</v>
      </c>
      <c r="F14884" t="s">
        <v>0</v>
      </c>
      <c r="G14884" t="str">
        <f>"2018-10-12 19:11:54"</f>
        <v>2018-10-12 19:11:54</v>
      </c>
    </row>
    <row r="14885" spans="1:7" x14ac:dyDescent="0.2">
      <c r="A14885" t="s">
        <v>14491</v>
      </c>
      <c r="B14885" t="str">
        <f>"18578337908"</f>
        <v>18578337908</v>
      </c>
      <c r="C14885" t="str">
        <f>"452122199803150636"</f>
        <v>452122199803150636</v>
      </c>
      <c r="D14885" t="s">
        <v>1</v>
      </c>
      <c r="E14885" t="s">
        <v>1</v>
      </c>
      <c r="F14885" t="s">
        <v>0</v>
      </c>
      <c r="G14885" t="str">
        <f>"2018-10-12 19:13:27"</f>
        <v>2018-10-12 19:13:27</v>
      </c>
    </row>
    <row r="14886" spans="1:7" x14ac:dyDescent="0.2">
      <c r="A14886" t="s">
        <v>1</v>
      </c>
      <c r="B14886" t="str">
        <f>"13552291273"</f>
        <v>13552291273</v>
      </c>
      <c r="C14886" t="s">
        <v>1</v>
      </c>
      <c r="D14886" t="s">
        <v>1</v>
      </c>
      <c r="E14886" t="s">
        <v>1</v>
      </c>
      <c r="F14886" t="s">
        <v>0</v>
      </c>
      <c r="G14886" t="str">
        <f>"2018-10-12 19:26:00"</f>
        <v>2018-10-12 19:26:00</v>
      </c>
    </row>
    <row r="14887" spans="1:7" x14ac:dyDescent="0.2">
      <c r="A14887" t="s">
        <v>1</v>
      </c>
      <c r="B14887" t="str">
        <f>"18859722728"</f>
        <v>18859722728</v>
      </c>
      <c r="C14887" t="s">
        <v>1</v>
      </c>
      <c r="D14887" t="s">
        <v>1</v>
      </c>
      <c r="E14887" t="s">
        <v>1</v>
      </c>
      <c r="F14887" t="s">
        <v>0</v>
      </c>
      <c r="G14887" t="str">
        <f>"2018-10-12 19:10:55"</f>
        <v>2018-10-12 19:10:55</v>
      </c>
    </row>
    <row r="14888" spans="1:7" x14ac:dyDescent="0.2">
      <c r="A14888" t="s">
        <v>14492</v>
      </c>
      <c r="B14888" t="str">
        <f>"18303562349"</f>
        <v>18303562349</v>
      </c>
      <c r="C14888" t="str">
        <f>"140581199509261930"</f>
        <v>140581199509261930</v>
      </c>
      <c r="D14888" t="s">
        <v>1</v>
      </c>
      <c r="E14888" t="s">
        <v>1</v>
      </c>
      <c r="F14888" t="s">
        <v>0</v>
      </c>
      <c r="G14888" t="str">
        <f>"2018-10-12 19:53:47"</f>
        <v>2018-10-12 19:53:47</v>
      </c>
    </row>
    <row r="14889" spans="1:7" x14ac:dyDescent="0.2">
      <c r="A14889" t="s">
        <v>14493</v>
      </c>
      <c r="B14889" t="str">
        <f>"15873592405"</f>
        <v>15873592405</v>
      </c>
      <c r="C14889" t="str">
        <f>"431003198106142215"</f>
        <v>431003198106142215</v>
      </c>
      <c r="D14889" t="s">
        <v>1</v>
      </c>
      <c r="E14889" t="s">
        <v>1</v>
      </c>
      <c r="F14889" t="s">
        <v>0</v>
      </c>
      <c r="G14889" t="str">
        <f>"2018-10-12 19:10:22"</f>
        <v>2018-10-12 19:10:22</v>
      </c>
    </row>
    <row r="14890" spans="1:7" x14ac:dyDescent="0.2">
      <c r="A14890" t="s">
        <v>1</v>
      </c>
      <c r="B14890" t="str">
        <f>"13502935834"</f>
        <v>13502935834</v>
      </c>
      <c r="C14890" t="s">
        <v>1</v>
      </c>
      <c r="D14890" t="s">
        <v>1</v>
      </c>
      <c r="E14890" t="s">
        <v>1</v>
      </c>
      <c r="F14890" t="s">
        <v>0</v>
      </c>
      <c r="G14890" t="str">
        <f>"2018-10-12 19:09:27"</f>
        <v>2018-10-12 19:09:27</v>
      </c>
    </row>
    <row r="14891" spans="1:7" x14ac:dyDescent="0.2">
      <c r="A14891" t="s">
        <v>1</v>
      </c>
      <c r="B14891" t="str">
        <f>"15245472829"</f>
        <v>15245472829</v>
      </c>
      <c r="C14891" t="s">
        <v>1</v>
      </c>
      <c r="D14891" t="s">
        <v>1</v>
      </c>
      <c r="E14891" t="s">
        <v>1</v>
      </c>
      <c r="F14891" t="s">
        <v>0</v>
      </c>
      <c r="G14891" t="str">
        <f>"2018-10-12 19:08:24"</f>
        <v>2018-10-12 19:08:24</v>
      </c>
    </row>
    <row r="14892" spans="1:7" x14ac:dyDescent="0.2">
      <c r="A14892" t="s">
        <v>140</v>
      </c>
      <c r="B14892" t="str">
        <f>"13732545592"</f>
        <v>13732545592</v>
      </c>
      <c r="C14892" t="str">
        <f>"332523198508011111"</f>
        <v>332523198508011111</v>
      </c>
      <c r="D14892" t="s">
        <v>1</v>
      </c>
      <c r="E14892" t="s">
        <v>1</v>
      </c>
      <c r="F14892" t="s">
        <v>0</v>
      </c>
      <c r="G14892" t="str">
        <f>"2018-10-12 19:11:33"</f>
        <v>2018-10-12 19:11:33</v>
      </c>
    </row>
    <row r="14893" spans="1:7" x14ac:dyDescent="0.2">
      <c r="A14893" t="s">
        <v>14494</v>
      </c>
      <c r="B14893" t="str">
        <f>"15273590805"</f>
        <v>15273590805</v>
      </c>
      <c r="C14893" t="str">
        <f>"432801197803252062"</f>
        <v>432801197803252062</v>
      </c>
      <c r="D14893" t="s">
        <v>1</v>
      </c>
      <c r="E14893" t="s">
        <v>1</v>
      </c>
      <c r="F14893" t="s">
        <v>0</v>
      </c>
      <c r="G14893" t="str">
        <f>"2018-10-12 19:10:51"</f>
        <v>2018-10-12 19:10:51</v>
      </c>
    </row>
    <row r="14894" spans="1:7" x14ac:dyDescent="0.2">
      <c r="A14894" t="s">
        <v>14495</v>
      </c>
      <c r="B14894" t="str">
        <f>"18210915237"</f>
        <v>18210915237</v>
      </c>
      <c r="C14894" t="str">
        <f>"411621199603043839"</f>
        <v>411621199603043839</v>
      </c>
      <c r="D14894" t="s">
        <v>1</v>
      </c>
      <c r="E14894" t="s">
        <v>1</v>
      </c>
      <c r="F14894" t="s">
        <v>0</v>
      </c>
      <c r="G14894" t="str">
        <f>"2018-10-18 17:11:54"</f>
        <v>2018-10-18 17:11:54</v>
      </c>
    </row>
    <row r="14895" spans="1:7" x14ac:dyDescent="0.2">
      <c r="A14895" t="s">
        <v>1</v>
      </c>
      <c r="B14895" t="str">
        <f>"15398029027"</f>
        <v>15398029027</v>
      </c>
      <c r="C14895" t="s">
        <v>1</v>
      </c>
      <c r="D14895" t="s">
        <v>1</v>
      </c>
      <c r="E14895" t="s">
        <v>1</v>
      </c>
      <c r="F14895" t="s">
        <v>0</v>
      </c>
      <c r="G14895" t="str">
        <f>"2018-10-12 19:08:52"</f>
        <v>2018-10-12 19:08:52</v>
      </c>
    </row>
    <row r="14896" spans="1:7" x14ac:dyDescent="0.2">
      <c r="A14896" t="s">
        <v>1</v>
      </c>
      <c r="B14896" t="str">
        <f>"13996807574"</f>
        <v>13996807574</v>
      </c>
      <c r="C14896" t="s">
        <v>1</v>
      </c>
      <c r="D14896" t="s">
        <v>1</v>
      </c>
      <c r="E14896" t="s">
        <v>1</v>
      </c>
      <c r="F14896" t="s">
        <v>0</v>
      </c>
      <c r="G14896" t="str">
        <f>"2018-10-12 19:06:32"</f>
        <v>2018-10-12 19:06:32</v>
      </c>
    </row>
    <row r="14897" spans="1:7" x14ac:dyDescent="0.2">
      <c r="A14897" t="s">
        <v>14496</v>
      </c>
      <c r="B14897" t="str">
        <f>"13974454080"</f>
        <v>13974454080</v>
      </c>
      <c r="C14897" t="str">
        <f>"430522198609211417"</f>
        <v>430522198609211417</v>
      </c>
      <c r="D14897" t="s">
        <v>1</v>
      </c>
      <c r="E14897" t="s">
        <v>1</v>
      </c>
      <c r="F14897" t="s">
        <v>0</v>
      </c>
      <c r="G14897" t="str">
        <f>"2018-10-12 19:07:08"</f>
        <v>2018-10-12 19:07:08</v>
      </c>
    </row>
    <row r="14898" spans="1:7" x14ac:dyDescent="0.2">
      <c r="A14898" t="s">
        <v>14497</v>
      </c>
      <c r="B14898" t="str">
        <f>"13132421855"</f>
        <v>13132421855</v>
      </c>
      <c r="C14898" t="str">
        <f>"131126199807041832"</f>
        <v>131126199807041832</v>
      </c>
      <c r="D14898" t="s">
        <v>1</v>
      </c>
      <c r="E14898" t="s">
        <v>1</v>
      </c>
      <c r="F14898" t="s">
        <v>0</v>
      </c>
      <c r="G14898" t="str">
        <f>"2018-10-12 19:10:07"</f>
        <v>2018-10-12 19:10:07</v>
      </c>
    </row>
    <row r="14899" spans="1:7" x14ac:dyDescent="0.2">
      <c r="A14899" t="s">
        <v>14498</v>
      </c>
      <c r="B14899" t="str">
        <f>"13899035232"</f>
        <v>13899035232</v>
      </c>
      <c r="C14899" t="str">
        <f>"652823198605181826"</f>
        <v>652823198605181826</v>
      </c>
      <c r="D14899" t="s">
        <v>1</v>
      </c>
      <c r="E14899" t="s">
        <v>1</v>
      </c>
      <c r="F14899" t="s">
        <v>0</v>
      </c>
      <c r="G14899" t="str">
        <f>"2018-10-12 19:06:28"</f>
        <v>2018-10-12 19:06:28</v>
      </c>
    </row>
    <row r="14900" spans="1:7" x14ac:dyDescent="0.2">
      <c r="A14900" t="s">
        <v>1</v>
      </c>
      <c r="B14900" t="str">
        <f>"15014995589"</f>
        <v>15014995589</v>
      </c>
      <c r="C14900" t="s">
        <v>1</v>
      </c>
      <c r="D14900" t="s">
        <v>1</v>
      </c>
      <c r="E14900" t="s">
        <v>1</v>
      </c>
      <c r="F14900" t="s">
        <v>0</v>
      </c>
      <c r="G14900" t="str">
        <f>"2018-10-12 19:07:01"</f>
        <v>2018-10-12 19:07:01</v>
      </c>
    </row>
    <row r="14901" spans="1:7" x14ac:dyDescent="0.2">
      <c r="A14901" t="s">
        <v>14499</v>
      </c>
      <c r="B14901" t="str">
        <f>"15152930177"</f>
        <v>15152930177</v>
      </c>
      <c r="C14901" t="str">
        <f>"210881198704172538"</f>
        <v>210881198704172538</v>
      </c>
      <c r="D14901" t="s">
        <v>1</v>
      </c>
      <c r="E14901" t="s">
        <v>1</v>
      </c>
      <c r="F14901" t="s">
        <v>0</v>
      </c>
      <c r="G14901" t="str">
        <f>"2018-10-12 19:06:07"</f>
        <v>2018-10-12 19:06:07</v>
      </c>
    </row>
    <row r="14902" spans="1:7" x14ac:dyDescent="0.2">
      <c r="A14902" t="s">
        <v>1</v>
      </c>
      <c r="B14902" t="str">
        <f>"18306934147"</f>
        <v>18306934147</v>
      </c>
      <c r="C14902" t="s">
        <v>1</v>
      </c>
      <c r="D14902" t="s">
        <v>1</v>
      </c>
      <c r="E14902" t="s">
        <v>1</v>
      </c>
      <c r="F14902" t="s">
        <v>0</v>
      </c>
      <c r="G14902" t="str">
        <f>"2018-10-12 19:04:14"</f>
        <v>2018-10-12 19:04:14</v>
      </c>
    </row>
    <row r="14903" spans="1:7" x14ac:dyDescent="0.2">
      <c r="A14903" t="s">
        <v>14500</v>
      </c>
      <c r="B14903" t="str">
        <f>"13630159815"</f>
        <v>13630159815</v>
      </c>
      <c r="C14903" t="str">
        <f>"45088119940808564X"</f>
        <v>45088119940808564X</v>
      </c>
      <c r="D14903" t="s">
        <v>1</v>
      </c>
      <c r="E14903" t="s">
        <v>1</v>
      </c>
      <c r="F14903" t="s">
        <v>0</v>
      </c>
      <c r="G14903" t="str">
        <f>"2018-10-12 19:06:28"</f>
        <v>2018-10-12 19:06:28</v>
      </c>
    </row>
    <row r="14904" spans="1:7" x14ac:dyDescent="0.2">
      <c r="A14904" t="s">
        <v>1</v>
      </c>
      <c r="B14904" t="str">
        <f>"13805900846"</f>
        <v>13805900846</v>
      </c>
      <c r="C14904" t="s">
        <v>1</v>
      </c>
      <c r="D14904" t="s">
        <v>1</v>
      </c>
      <c r="E14904" t="s">
        <v>1</v>
      </c>
      <c r="F14904" t="s">
        <v>0</v>
      </c>
      <c r="G14904" t="str">
        <f>"2018-10-12 19:02:12"</f>
        <v>2018-10-12 19:02:12</v>
      </c>
    </row>
    <row r="14905" spans="1:7" x14ac:dyDescent="0.2">
      <c r="A14905" t="s">
        <v>14501</v>
      </c>
      <c r="B14905" t="str">
        <f>"17607211375"</f>
        <v>17607211375</v>
      </c>
      <c r="C14905" t="str">
        <f>"422326199901056118"</f>
        <v>422326199901056118</v>
      </c>
      <c r="D14905" t="s">
        <v>1</v>
      </c>
      <c r="E14905" t="s">
        <v>1</v>
      </c>
      <c r="F14905" t="s">
        <v>0</v>
      </c>
      <c r="G14905" t="str">
        <f>"2018-10-12 19:01:54"</f>
        <v>2018-10-12 19:01:54</v>
      </c>
    </row>
    <row r="14906" spans="1:7" x14ac:dyDescent="0.2">
      <c r="A14906" t="s">
        <v>1</v>
      </c>
      <c r="B14906" t="str">
        <f>"18166211232"</f>
        <v>18166211232</v>
      </c>
      <c r="C14906" t="s">
        <v>1</v>
      </c>
      <c r="D14906" t="s">
        <v>1</v>
      </c>
      <c r="E14906" t="s">
        <v>1</v>
      </c>
      <c r="F14906" t="s">
        <v>0</v>
      </c>
      <c r="G14906" t="str">
        <f>"2018-10-12 19:01:29"</f>
        <v>2018-10-12 19:01:29</v>
      </c>
    </row>
    <row r="14907" spans="1:7" x14ac:dyDescent="0.2">
      <c r="A14907" t="s">
        <v>1118</v>
      </c>
      <c r="B14907" t="str">
        <f>"13774151981"</f>
        <v>13774151981</v>
      </c>
      <c r="C14907" t="str">
        <f>"420606197910053031"</f>
        <v>420606197910053031</v>
      </c>
      <c r="D14907" t="s">
        <v>14502</v>
      </c>
      <c r="E14907" t="s">
        <v>14503</v>
      </c>
      <c r="F14907" t="s">
        <v>0</v>
      </c>
      <c r="G14907" t="str">
        <f>"2018-10-12 19:00:28"</f>
        <v>2018-10-12 19:00:28</v>
      </c>
    </row>
    <row r="14908" spans="1:7" x14ac:dyDescent="0.2">
      <c r="A14908" t="s">
        <v>12</v>
      </c>
      <c r="B14908" t="str">
        <f>"18607155247"</f>
        <v>18607155247</v>
      </c>
      <c r="C14908" t="str">
        <f>"42080219880204033X"</f>
        <v>42080219880204033X</v>
      </c>
      <c r="D14908" t="s">
        <v>1</v>
      </c>
      <c r="E14908" t="s">
        <v>1</v>
      </c>
      <c r="F14908" t="s">
        <v>0</v>
      </c>
      <c r="G14908" t="str">
        <f>"2018-10-12 19:07:05"</f>
        <v>2018-10-12 19:07:05</v>
      </c>
    </row>
    <row r="14909" spans="1:7" x14ac:dyDescent="0.2">
      <c r="A14909" t="s">
        <v>14504</v>
      </c>
      <c r="B14909" t="str">
        <f>"13204756992"</f>
        <v>13204756992</v>
      </c>
      <c r="C14909" t="str">
        <f>"152322197312260014"</f>
        <v>152322197312260014</v>
      </c>
      <c r="D14909" t="s">
        <v>1</v>
      </c>
      <c r="E14909" t="s">
        <v>1</v>
      </c>
      <c r="F14909" t="s">
        <v>0</v>
      </c>
      <c r="G14909" t="str">
        <f>"2018-10-12 18:59:30"</f>
        <v>2018-10-12 18:59:30</v>
      </c>
    </row>
    <row r="14910" spans="1:7" x14ac:dyDescent="0.2">
      <c r="A14910" t="s">
        <v>14505</v>
      </c>
      <c r="B14910" t="str">
        <f>"15228699822"</f>
        <v>15228699822</v>
      </c>
      <c r="C14910" t="str">
        <f>"510923199002263731"</f>
        <v>510923199002263731</v>
      </c>
      <c r="D14910" t="s">
        <v>1</v>
      </c>
      <c r="E14910" t="s">
        <v>1</v>
      </c>
      <c r="F14910" t="s">
        <v>0</v>
      </c>
      <c r="G14910" t="str">
        <f>"2018-10-12 20:05:03"</f>
        <v>2018-10-12 20:05:03</v>
      </c>
    </row>
    <row r="14911" spans="1:7" x14ac:dyDescent="0.2">
      <c r="A14911" t="s">
        <v>1</v>
      </c>
      <c r="B14911" t="str">
        <f>"18751610323"</f>
        <v>18751610323</v>
      </c>
      <c r="C14911" t="s">
        <v>1</v>
      </c>
      <c r="D14911" t="s">
        <v>1</v>
      </c>
      <c r="E14911" t="s">
        <v>1</v>
      </c>
      <c r="F14911" t="s">
        <v>0</v>
      </c>
      <c r="G14911" t="str">
        <f>"2018-10-12 18:59:20"</f>
        <v>2018-10-12 18:59:20</v>
      </c>
    </row>
    <row r="14912" spans="1:7" x14ac:dyDescent="0.2">
      <c r="A14912" t="s">
        <v>14506</v>
      </c>
      <c r="B14912" t="str">
        <f>"18763205233"</f>
        <v>18763205233</v>
      </c>
      <c r="C14912" t="str">
        <f>"37040319870906453X"</f>
        <v>37040319870906453X</v>
      </c>
      <c r="D14912" t="s">
        <v>1</v>
      </c>
      <c r="E14912" t="s">
        <v>1</v>
      </c>
      <c r="F14912" t="s">
        <v>0</v>
      </c>
      <c r="G14912" t="str">
        <f>"2018-10-12 19:19:22"</f>
        <v>2018-10-12 19:19:22</v>
      </c>
    </row>
    <row r="14913" spans="1:7" x14ac:dyDescent="0.2">
      <c r="A14913" t="s">
        <v>14507</v>
      </c>
      <c r="B14913" t="str">
        <f>"13638722240"</f>
        <v>13638722240</v>
      </c>
      <c r="C14913" t="str">
        <f>"53233119830422092X"</f>
        <v>53233119830422092X</v>
      </c>
      <c r="D14913" t="s">
        <v>14508</v>
      </c>
      <c r="E14913" t="s">
        <v>14509</v>
      </c>
      <c r="F14913" t="s">
        <v>0</v>
      </c>
      <c r="G14913" t="str">
        <f>"2018-11-02 17:25:02"</f>
        <v>2018-11-02 17:25:02</v>
      </c>
    </row>
    <row r="14914" spans="1:7" x14ac:dyDescent="0.2">
      <c r="A14914" t="s">
        <v>14510</v>
      </c>
      <c r="B14914" t="str">
        <f>"13812292825"</f>
        <v>13812292825</v>
      </c>
      <c r="C14914" t="str">
        <f>"320283199807184419"</f>
        <v>320283199807184419</v>
      </c>
      <c r="D14914" t="s">
        <v>14511</v>
      </c>
      <c r="E14914" t="s">
        <v>14512</v>
      </c>
      <c r="F14914" t="s">
        <v>0</v>
      </c>
      <c r="G14914" t="str">
        <f>"2018-10-16 10:25:49"</f>
        <v>2018-10-16 10:25:49</v>
      </c>
    </row>
    <row r="14915" spans="1:7" x14ac:dyDescent="0.2">
      <c r="A14915" t="s">
        <v>8</v>
      </c>
      <c r="B14915" t="str">
        <f>"18851778098"</f>
        <v>18851778098</v>
      </c>
      <c r="C14915" t="str">
        <f>"321181199809013501"</f>
        <v>321181199809013501</v>
      </c>
      <c r="D14915" t="s">
        <v>1</v>
      </c>
      <c r="E14915" t="s">
        <v>1</v>
      </c>
      <c r="F14915" t="s">
        <v>0</v>
      </c>
      <c r="G14915" t="str">
        <f>"2018-10-12 18:57:32"</f>
        <v>2018-10-12 18:57:32</v>
      </c>
    </row>
    <row r="14916" spans="1:7" x14ac:dyDescent="0.2">
      <c r="A14916" t="s">
        <v>14513</v>
      </c>
      <c r="B14916" t="str">
        <f>"18185549390"</f>
        <v>18185549390</v>
      </c>
      <c r="C14916" t="str">
        <f>"522601199201070018"</f>
        <v>522601199201070018</v>
      </c>
      <c r="D14916" t="s">
        <v>1</v>
      </c>
      <c r="E14916" t="s">
        <v>1</v>
      </c>
      <c r="F14916" t="s">
        <v>0</v>
      </c>
      <c r="G14916" t="str">
        <f>"2018-10-12 18:58:09"</f>
        <v>2018-10-12 18:58:09</v>
      </c>
    </row>
    <row r="14917" spans="1:7" x14ac:dyDescent="0.2">
      <c r="A14917" t="s">
        <v>1</v>
      </c>
      <c r="B14917" t="str">
        <f>"13316312909"</f>
        <v>13316312909</v>
      </c>
      <c r="C14917" t="s">
        <v>1</v>
      </c>
      <c r="D14917" t="s">
        <v>1</v>
      </c>
      <c r="E14917" t="s">
        <v>1</v>
      </c>
      <c r="F14917" t="s">
        <v>0</v>
      </c>
      <c r="G14917" t="str">
        <f>"2018-10-12 18:56:17"</f>
        <v>2018-10-12 18:56:17</v>
      </c>
    </row>
    <row r="14918" spans="1:7" x14ac:dyDescent="0.2">
      <c r="A14918" t="s">
        <v>1</v>
      </c>
      <c r="B14918" t="str">
        <f>"13751547662"</f>
        <v>13751547662</v>
      </c>
      <c r="C14918" t="s">
        <v>1</v>
      </c>
      <c r="D14918" t="s">
        <v>1</v>
      </c>
      <c r="E14918" t="s">
        <v>1</v>
      </c>
      <c r="F14918" t="s">
        <v>0</v>
      </c>
      <c r="G14918" t="str">
        <f>"2018-10-12 18:56:09"</f>
        <v>2018-10-12 18:56:09</v>
      </c>
    </row>
    <row r="14919" spans="1:7" x14ac:dyDescent="0.2">
      <c r="A14919" t="s">
        <v>14514</v>
      </c>
      <c r="B14919" t="str">
        <f>"15615672496"</f>
        <v>15615672496</v>
      </c>
      <c r="C14919" t="str">
        <f>"370832199612147660"</f>
        <v>370832199612147660</v>
      </c>
      <c r="D14919" t="s">
        <v>1</v>
      </c>
      <c r="E14919" t="s">
        <v>1</v>
      </c>
      <c r="F14919" t="s">
        <v>0</v>
      </c>
      <c r="G14919" t="str">
        <f>"2018-10-12 19:06:36"</f>
        <v>2018-10-12 19:06:36</v>
      </c>
    </row>
    <row r="14920" spans="1:7" x14ac:dyDescent="0.2">
      <c r="A14920" t="s">
        <v>1</v>
      </c>
      <c r="B14920" t="str">
        <f>"15087073793"</f>
        <v>15087073793</v>
      </c>
      <c r="C14920" t="s">
        <v>1</v>
      </c>
      <c r="D14920" t="s">
        <v>1</v>
      </c>
      <c r="E14920" t="s">
        <v>1</v>
      </c>
      <c r="F14920" t="s">
        <v>0</v>
      </c>
      <c r="G14920" t="str">
        <f>"2018-10-12 19:34:14"</f>
        <v>2018-10-12 19:34:14</v>
      </c>
    </row>
    <row r="14921" spans="1:7" x14ac:dyDescent="0.2">
      <c r="A14921" t="s">
        <v>1</v>
      </c>
      <c r="B14921" t="str">
        <f>"15931041340"</f>
        <v>15931041340</v>
      </c>
      <c r="C14921" t="s">
        <v>1</v>
      </c>
      <c r="D14921" t="s">
        <v>1</v>
      </c>
      <c r="E14921" t="s">
        <v>1</v>
      </c>
      <c r="F14921" t="s">
        <v>0</v>
      </c>
      <c r="G14921" t="str">
        <f>"2018-10-12 18:55:05"</f>
        <v>2018-10-12 18:55:05</v>
      </c>
    </row>
    <row r="14922" spans="1:7" x14ac:dyDescent="0.2">
      <c r="A14922" t="s">
        <v>14515</v>
      </c>
      <c r="B14922" t="str">
        <f>"13925815624"</f>
        <v>13925815624</v>
      </c>
      <c r="C14922" t="str">
        <f>"421127198401015627"</f>
        <v>421127198401015627</v>
      </c>
      <c r="D14922" t="s">
        <v>1</v>
      </c>
      <c r="E14922" t="s">
        <v>1</v>
      </c>
      <c r="F14922" t="s">
        <v>0</v>
      </c>
      <c r="G14922" t="str">
        <f>"2018-10-13 07:32:58"</f>
        <v>2018-10-13 07:32:58</v>
      </c>
    </row>
    <row r="14923" spans="1:7" x14ac:dyDescent="0.2">
      <c r="A14923" t="s">
        <v>14516</v>
      </c>
      <c r="B14923" t="str">
        <f>"18076130896"</f>
        <v>18076130896</v>
      </c>
      <c r="C14923" t="str">
        <f>"52242219910602003X"</f>
        <v>52242219910602003X</v>
      </c>
      <c r="D14923" t="s">
        <v>1</v>
      </c>
      <c r="E14923" t="s">
        <v>1</v>
      </c>
      <c r="F14923" t="s">
        <v>0</v>
      </c>
      <c r="G14923" t="str">
        <f>"2018-10-13 10:18:51"</f>
        <v>2018-10-13 10:18:51</v>
      </c>
    </row>
    <row r="14924" spans="1:7" x14ac:dyDescent="0.2">
      <c r="A14924" t="s">
        <v>1614</v>
      </c>
      <c r="B14924" t="str">
        <f>"15536252053"</f>
        <v>15536252053</v>
      </c>
      <c r="C14924" t="str">
        <f>"142729198703065418"</f>
        <v>142729198703065418</v>
      </c>
      <c r="D14924" t="s">
        <v>14517</v>
      </c>
      <c r="E14924" t="s">
        <v>14518</v>
      </c>
      <c r="F14924" t="s">
        <v>0</v>
      </c>
      <c r="G14924" t="str">
        <f>"2018-10-12 18:55:20"</f>
        <v>2018-10-12 18:55:20</v>
      </c>
    </row>
    <row r="14925" spans="1:7" x14ac:dyDescent="0.2">
      <c r="A14925" t="s">
        <v>14519</v>
      </c>
      <c r="B14925" t="str">
        <f>"13870686033"</f>
        <v>13870686033</v>
      </c>
      <c r="C14925" t="str">
        <f>"360103198009013186"</f>
        <v>360103198009013186</v>
      </c>
      <c r="D14925" t="s">
        <v>1</v>
      </c>
      <c r="E14925" t="s">
        <v>1</v>
      </c>
      <c r="F14925" t="s">
        <v>0</v>
      </c>
      <c r="G14925" t="str">
        <f>"2018-10-12 18:55:11"</f>
        <v>2018-10-12 18:55:11</v>
      </c>
    </row>
    <row r="14926" spans="1:7" x14ac:dyDescent="0.2">
      <c r="A14926" t="s">
        <v>14520</v>
      </c>
      <c r="B14926" t="str">
        <f>"18734996690"</f>
        <v>18734996690</v>
      </c>
      <c r="C14926" t="str">
        <f>"140622199805124215"</f>
        <v>140622199805124215</v>
      </c>
      <c r="D14926" t="s">
        <v>1</v>
      </c>
      <c r="E14926" t="s">
        <v>1</v>
      </c>
      <c r="F14926" t="s">
        <v>0</v>
      </c>
      <c r="G14926" t="str">
        <f>"2018-10-12 18:56:22"</f>
        <v>2018-10-12 18:56:22</v>
      </c>
    </row>
    <row r="14927" spans="1:7" x14ac:dyDescent="0.2">
      <c r="A14927" t="s">
        <v>14521</v>
      </c>
      <c r="B14927" t="str">
        <f>"15141686547"</f>
        <v>15141686547</v>
      </c>
      <c r="C14927" t="str">
        <f>"211481199011087422"</f>
        <v>211481199011087422</v>
      </c>
      <c r="D14927" t="s">
        <v>1</v>
      </c>
      <c r="E14927" t="s">
        <v>1</v>
      </c>
      <c r="F14927" t="s">
        <v>0</v>
      </c>
      <c r="G14927" t="str">
        <f>"2018-10-12 19:34:51"</f>
        <v>2018-10-12 19:34:51</v>
      </c>
    </row>
    <row r="14928" spans="1:7" x14ac:dyDescent="0.2">
      <c r="A14928" t="s">
        <v>14522</v>
      </c>
      <c r="B14928" t="str">
        <f>"18481250571"</f>
        <v>18481250571</v>
      </c>
      <c r="C14928" t="str">
        <f>"513425199910040742"</f>
        <v>513425199910040742</v>
      </c>
      <c r="D14928" t="s">
        <v>1</v>
      </c>
      <c r="E14928" t="s">
        <v>1</v>
      </c>
      <c r="F14928" t="s">
        <v>0</v>
      </c>
      <c r="G14928" t="str">
        <f>"2018-10-12 18:52:57"</f>
        <v>2018-10-12 18:52:57</v>
      </c>
    </row>
    <row r="14929" spans="1:7" x14ac:dyDescent="0.2">
      <c r="A14929" t="s">
        <v>14523</v>
      </c>
      <c r="B14929" t="str">
        <f>"18357651183"</f>
        <v>18357651183</v>
      </c>
      <c r="C14929" t="str">
        <f>"330523198805116823"</f>
        <v>330523198805116823</v>
      </c>
      <c r="D14929" t="s">
        <v>14524</v>
      </c>
      <c r="E14929" t="s">
        <v>14525</v>
      </c>
      <c r="F14929" t="s">
        <v>0</v>
      </c>
      <c r="G14929" t="str">
        <f>"2018-10-18 07:08:54"</f>
        <v>2018-10-18 07:08:54</v>
      </c>
    </row>
    <row r="14930" spans="1:7" x14ac:dyDescent="0.2">
      <c r="A14930" t="s">
        <v>1114</v>
      </c>
      <c r="B14930" t="str">
        <f>"15045181610"</f>
        <v>15045181610</v>
      </c>
      <c r="C14930" t="str">
        <f>"23012519890518162X"</f>
        <v>23012519890518162X</v>
      </c>
      <c r="D14930" t="s">
        <v>14526</v>
      </c>
      <c r="E14930" t="s">
        <v>14527</v>
      </c>
      <c r="F14930" t="s">
        <v>0</v>
      </c>
      <c r="G14930" t="str">
        <f>"2018-10-12 19:26:58"</f>
        <v>2018-10-12 19:26:58</v>
      </c>
    </row>
    <row r="14931" spans="1:7" x14ac:dyDescent="0.2">
      <c r="A14931" t="s">
        <v>311</v>
      </c>
      <c r="B14931" t="str">
        <f>"18299942821"</f>
        <v>18299942821</v>
      </c>
      <c r="C14931" t="str">
        <f>"65222319881125021X"</f>
        <v>65222319881125021X</v>
      </c>
      <c r="D14931" t="s">
        <v>1</v>
      </c>
      <c r="E14931" t="s">
        <v>1</v>
      </c>
      <c r="F14931" t="s">
        <v>0</v>
      </c>
      <c r="G14931" t="str">
        <f>"2018-10-12 18:54:55"</f>
        <v>2018-10-12 18:54:55</v>
      </c>
    </row>
    <row r="14932" spans="1:7" x14ac:dyDescent="0.2">
      <c r="A14932" t="s">
        <v>14528</v>
      </c>
      <c r="B14932" t="str">
        <f>"13288844482"</f>
        <v>13288844482</v>
      </c>
      <c r="C14932" t="str">
        <f>"440582199005206150"</f>
        <v>440582199005206150</v>
      </c>
      <c r="D14932" t="s">
        <v>1</v>
      </c>
      <c r="E14932" t="s">
        <v>1</v>
      </c>
      <c r="F14932" t="s">
        <v>0</v>
      </c>
      <c r="G14932" t="str">
        <f>"2018-10-16 14:48:16"</f>
        <v>2018-10-16 14:48:16</v>
      </c>
    </row>
    <row r="14933" spans="1:7" x14ac:dyDescent="0.2">
      <c r="A14933" t="s">
        <v>14529</v>
      </c>
      <c r="B14933" t="str">
        <f>"15132873521"</f>
        <v>15132873521</v>
      </c>
      <c r="C14933" t="str">
        <f>"350725199104184016"</f>
        <v>350725199104184016</v>
      </c>
      <c r="D14933" t="s">
        <v>1</v>
      </c>
      <c r="E14933" t="s">
        <v>1</v>
      </c>
      <c r="F14933" t="s">
        <v>0</v>
      </c>
      <c r="G14933" t="str">
        <f>"2018-10-12 18:56:26"</f>
        <v>2018-10-12 18:56:26</v>
      </c>
    </row>
    <row r="14934" spans="1:7" x14ac:dyDescent="0.2">
      <c r="A14934" t="s">
        <v>14530</v>
      </c>
      <c r="B14934" t="str">
        <f>"18463542973"</f>
        <v>18463542973</v>
      </c>
      <c r="C14934" t="str">
        <f>"371581198910013123"</f>
        <v>371581198910013123</v>
      </c>
      <c r="D14934" t="s">
        <v>1</v>
      </c>
      <c r="E14934" t="s">
        <v>1</v>
      </c>
      <c r="F14934" t="s">
        <v>0</v>
      </c>
      <c r="G14934" t="str">
        <f>"2018-10-12 18:53:07"</f>
        <v>2018-10-12 18:53:07</v>
      </c>
    </row>
    <row r="14935" spans="1:7" x14ac:dyDescent="0.2">
      <c r="A14935" t="s">
        <v>14531</v>
      </c>
      <c r="B14935" t="str">
        <f>"15571821225"</f>
        <v>15571821225</v>
      </c>
      <c r="C14935" t="str">
        <f>"422801199412250227"</f>
        <v>422801199412250227</v>
      </c>
      <c r="D14935" t="s">
        <v>14532</v>
      </c>
      <c r="E14935" t="s">
        <v>14533</v>
      </c>
      <c r="F14935" t="s">
        <v>0</v>
      </c>
      <c r="G14935" t="str">
        <f>"2018-10-12 18:54:25"</f>
        <v>2018-10-12 18:54:25</v>
      </c>
    </row>
    <row r="14936" spans="1:7" x14ac:dyDescent="0.2">
      <c r="A14936" t="s">
        <v>14534</v>
      </c>
      <c r="B14936" t="str">
        <f>"13606017848"</f>
        <v>13606017848</v>
      </c>
      <c r="C14936" t="str">
        <f>"350824199105305878"</f>
        <v>350824199105305878</v>
      </c>
      <c r="D14936" t="s">
        <v>14535</v>
      </c>
      <c r="E14936" t="s">
        <v>14536</v>
      </c>
      <c r="F14936" t="s">
        <v>0</v>
      </c>
      <c r="G14936" t="str">
        <f>"2018-10-13 10:46:12"</f>
        <v>2018-10-13 10:46:12</v>
      </c>
    </row>
    <row r="14937" spans="1:7" x14ac:dyDescent="0.2">
      <c r="A14937" t="s">
        <v>14537</v>
      </c>
      <c r="B14937" t="str">
        <f>"18195133334"</f>
        <v>18195133334</v>
      </c>
      <c r="C14937" t="str">
        <f>"640122198708120315"</f>
        <v>640122198708120315</v>
      </c>
      <c r="D14937" t="s">
        <v>14538</v>
      </c>
      <c r="E14937" t="s">
        <v>14539</v>
      </c>
      <c r="F14937" t="s">
        <v>0</v>
      </c>
      <c r="G14937" t="str">
        <f>"2018-10-12 18:53:14"</f>
        <v>2018-10-12 18:53:14</v>
      </c>
    </row>
    <row r="14938" spans="1:7" x14ac:dyDescent="0.2">
      <c r="A14938" t="s">
        <v>14540</v>
      </c>
      <c r="B14938" t="str">
        <f>"13799938552"</f>
        <v>13799938552</v>
      </c>
      <c r="C14938" t="str">
        <f>"35012419900905015X"</f>
        <v>35012419900905015X</v>
      </c>
      <c r="D14938" t="s">
        <v>1</v>
      </c>
      <c r="E14938" t="s">
        <v>1</v>
      </c>
      <c r="F14938" t="s">
        <v>0</v>
      </c>
      <c r="G14938" t="str">
        <f>"2018-11-02 08:15:18"</f>
        <v>2018-11-02 08:15:18</v>
      </c>
    </row>
    <row r="14939" spans="1:7" x14ac:dyDescent="0.2">
      <c r="A14939" t="s">
        <v>14541</v>
      </c>
      <c r="B14939" t="str">
        <f>"17847592808"</f>
        <v>17847592808</v>
      </c>
      <c r="C14939" t="str">
        <f>"431281199505025010"</f>
        <v>431281199505025010</v>
      </c>
      <c r="D14939" t="s">
        <v>1</v>
      </c>
      <c r="E14939" t="s">
        <v>1</v>
      </c>
      <c r="F14939" t="s">
        <v>0</v>
      </c>
      <c r="G14939" t="str">
        <f>"2018-10-30 22:17:51"</f>
        <v>2018-10-30 22:17:51</v>
      </c>
    </row>
    <row r="14940" spans="1:7" x14ac:dyDescent="0.2">
      <c r="A14940" t="s">
        <v>14542</v>
      </c>
      <c r="B14940" t="str">
        <f>"13892483717"</f>
        <v>13892483717</v>
      </c>
      <c r="C14940" t="str">
        <f>"610329199306251026"</f>
        <v>610329199306251026</v>
      </c>
      <c r="D14940" t="s">
        <v>1</v>
      </c>
      <c r="E14940" t="s">
        <v>1</v>
      </c>
      <c r="F14940" t="s">
        <v>0</v>
      </c>
      <c r="G14940" t="str">
        <f>"2018-10-12 18:53:05"</f>
        <v>2018-10-12 18:53:05</v>
      </c>
    </row>
    <row r="14941" spans="1:7" x14ac:dyDescent="0.2">
      <c r="A14941" t="s">
        <v>14543</v>
      </c>
      <c r="B14941" t="str">
        <f>"13468365395"</f>
        <v>13468365395</v>
      </c>
      <c r="C14941" t="str">
        <f>"371122199201282526"</f>
        <v>371122199201282526</v>
      </c>
      <c r="D14941" t="s">
        <v>1</v>
      </c>
      <c r="E14941" t="s">
        <v>1</v>
      </c>
      <c r="F14941" t="s">
        <v>0</v>
      </c>
      <c r="G14941" t="str">
        <f>"2018-10-12 21:19:28"</f>
        <v>2018-10-12 21:19:28</v>
      </c>
    </row>
    <row r="14942" spans="1:7" x14ac:dyDescent="0.2">
      <c r="A14942" t="s">
        <v>1</v>
      </c>
      <c r="B14942" t="str">
        <f>"15839058223"</f>
        <v>15839058223</v>
      </c>
      <c r="C14942" t="s">
        <v>1</v>
      </c>
      <c r="D14942" t="s">
        <v>1</v>
      </c>
      <c r="E14942" t="s">
        <v>1</v>
      </c>
      <c r="F14942" t="s">
        <v>0</v>
      </c>
      <c r="G14942" t="str">
        <f>"2018-10-12 18:50:04"</f>
        <v>2018-10-12 18:50:04</v>
      </c>
    </row>
    <row r="14943" spans="1:7" x14ac:dyDescent="0.2">
      <c r="A14943" t="s">
        <v>10044</v>
      </c>
      <c r="B14943" t="str">
        <f>"18186499410"</f>
        <v>18186499410</v>
      </c>
      <c r="C14943" t="str">
        <f>"421222199502192815"</f>
        <v>421222199502192815</v>
      </c>
      <c r="D14943" t="s">
        <v>1</v>
      </c>
      <c r="E14943" t="s">
        <v>1</v>
      </c>
      <c r="F14943" t="s">
        <v>0</v>
      </c>
      <c r="G14943" t="str">
        <f>"2018-10-12 18:50:04"</f>
        <v>2018-10-12 18:50:04</v>
      </c>
    </row>
    <row r="14944" spans="1:7" x14ac:dyDescent="0.2">
      <c r="A14944" t="s">
        <v>14544</v>
      </c>
      <c r="B14944" t="str">
        <f>"13573185551"</f>
        <v>13573185551</v>
      </c>
      <c r="C14944" t="str">
        <f>"370181199111071126"</f>
        <v>370181199111071126</v>
      </c>
      <c r="D14944" t="s">
        <v>1</v>
      </c>
      <c r="E14944" t="s">
        <v>1</v>
      </c>
      <c r="F14944" t="s">
        <v>0</v>
      </c>
      <c r="G14944" t="str">
        <f>"2018-10-12 18:52:04"</f>
        <v>2018-10-12 18:52:04</v>
      </c>
    </row>
    <row r="14945" spans="1:7" x14ac:dyDescent="0.2">
      <c r="A14945" t="s">
        <v>1</v>
      </c>
      <c r="B14945" t="str">
        <f>"15506840824"</f>
        <v>15506840824</v>
      </c>
      <c r="C14945" t="s">
        <v>1</v>
      </c>
      <c r="D14945" t="s">
        <v>1</v>
      </c>
      <c r="E14945" t="s">
        <v>1</v>
      </c>
      <c r="F14945" t="s">
        <v>0</v>
      </c>
      <c r="G14945" t="str">
        <f>"2018-10-12 18:49:32"</f>
        <v>2018-10-12 18:49:32</v>
      </c>
    </row>
    <row r="14946" spans="1:7" x14ac:dyDescent="0.2">
      <c r="A14946" t="s">
        <v>52</v>
      </c>
      <c r="B14946" t="str">
        <f>"18600893907"</f>
        <v>18600893907</v>
      </c>
      <c r="C14946" t="str">
        <f>"411528198901051938"</f>
        <v>411528198901051938</v>
      </c>
      <c r="D14946" t="s">
        <v>1</v>
      </c>
      <c r="E14946" t="s">
        <v>1</v>
      </c>
      <c r="F14946" t="s">
        <v>0</v>
      </c>
      <c r="G14946" t="str">
        <f>"2018-10-12 18:48:57"</f>
        <v>2018-10-12 18:48:57</v>
      </c>
    </row>
    <row r="14947" spans="1:7" x14ac:dyDescent="0.2">
      <c r="A14947" t="s">
        <v>14545</v>
      </c>
      <c r="B14947" t="str">
        <f>"15846417366"</f>
        <v>15846417366</v>
      </c>
      <c r="C14947" t="str">
        <f>"230904198902240921"</f>
        <v>230904198902240921</v>
      </c>
      <c r="D14947" t="s">
        <v>1</v>
      </c>
      <c r="E14947" t="s">
        <v>1</v>
      </c>
      <c r="F14947" t="s">
        <v>0</v>
      </c>
      <c r="G14947" t="str">
        <f>"2018-10-13 17:49:58"</f>
        <v>2018-10-13 17:49:58</v>
      </c>
    </row>
    <row r="14948" spans="1:7" x14ac:dyDescent="0.2">
      <c r="A14948" t="s">
        <v>14546</v>
      </c>
      <c r="B14948" t="str">
        <f>"15726477522"</f>
        <v>15726477522</v>
      </c>
      <c r="C14948" t="str">
        <f>"371202198807044034"</f>
        <v>371202198807044034</v>
      </c>
      <c r="D14948" t="s">
        <v>1</v>
      </c>
      <c r="E14948" t="s">
        <v>1</v>
      </c>
      <c r="F14948" t="s">
        <v>0</v>
      </c>
      <c r="G14948" t="str">
        <f>"2018-10-12 18:50:07"</f>
        <v>2018-10-12 18:50:07</v>
      </c>
    </row>
    <row r="14949" spans="1:7" x14ac:dyDescent="0.2">
      <c r="A14949" t="s">
        <v>60</v>
      </c>
      <c r="B14949" t="str">
        <f>"13645699394"</f>
        <v>13645699394</v>
      </c>
      <c r="C14949" t="str">
        <f>"341281199208088216"</f>
        <v>341281199208088216</v>
      </c>
      <c r="D14949" t="s">
        <v>1</v>
      </c>
      <c r="E14949" t="s">
        <v>1</v>
      </c>
      <c r="F14949" t="s">
        <v>0</v>
      </c>
      <c r="G14949" t="str">
        <f>"2018-10-12 19:12:13"</f>
        <v>2018-10-12 19:12:13</v>
      </c>
    </row>
    <row r="14950" spans="1:7" x14ac:dyDescent="0.2">
      <c r="A14950" t="s">
        <v>1</v>
      </c>
      <c r="B14950" t="str">
        <f>"15859224344"</f>
        <v>15859224344</v>
      </c>
      <c r="C14950" t="s">
        <v>1</v>
      </c>
      <c r="D14950" t="s">
        <v>1</v>
      </c>
      <c r="E14950" t="s">
        <v>1</v>
      </c>
      <c r="F14950" t="s">
        <v>0</v>
      </c>
      <c r="G14950" t="str">
        <f>"2018-10-12 18:48:52"</f>
        <v>2018-10-12 18:48:52</v>
      </c>
    </row>
    <row r="14951" spans="1:7" x14ac:dyDescent="0.2">
      <c r="A14951" t="s">
        <v>1</v>
      </c>
      <c r="B14951" t="str">
        <f>"13648874546"</f>
        <v>13648874546</v>
      </c>
      <c r="C14951" t="s">
        <v>1</v>
      </c>
      <c r="D14951" t="s">
        <v>1</v>
      </c>
      <c r="E14951" t="s">
        <v>1</v>
      </c>
      <c r="F14951" t="s">
        <v>0</v>
      </c>
      <c r="G14951" t="str">
        <f>"2018-10-12 18:49:30"</f>
        <v>2018-10-12 18:49:30</v>
      </c>
    </row>
    <row r="14952" spans="1:7" x14ac:dyDescent="0.2">
      <c r="A14952" t="s">
        <v>14547</v>
      </c>
      <c r="B14952" t="str">
        <f>"18686164444"</f>
        <v>18686164444</v>
      </c>
      <c r="C14952" t="str">
        <f>"150203198704081515"</f>
        <v>150203198704081515</v>
      </c>
      <c r="D14952" t="s">
        <v>1</v>
      </c>
      <c r="E14952" t="s">
        <v>1</v>
      </c>
      <c r="F14952" t="s">
        <v>0</v>
      </c>
      <c r="G14952" t="str">
        <f>"2018-10-14 12:43:43"</f>
        <v>2018-10-14 12:43:43</v>
      </c>
    </row>
    <row r="14953" spans="1:7" x14ac:dyDescent="0.2">
      <c r="A14953" t="s">
        <v>1</v>
      </c>
      <c r="B14953" t="str">
        <f>"15082357888"</f>
        <v>15082357888</v>
      </c>
      <c r="C14953" t="s">
        <v>1</v>
      </c>
      <c r="D14953" t="s">
        <v>1</v>
      </c>
      <c r="E14953" t="s">
        <v>1</v>
      </c>
      <c r="F14953" t="s">
        <v>0</v>
      </c>
      <c r="G14953" t="str">
        <f>"2018-10-12 18:47:05"</f>
        <v>2018-10-12 18:47:05</v>
      </c>
    </row>
    <row r="14954" spans="1:7" x14ac:dyDescent="0.2">
      <c r="A14954" t="s">
        <v>13516</v>
      </c>
      <c r="B14954" t="str">
        <f>"13947227366"</f>
        <v>13947227366</v>
      </c>
      <c r="C14954" t="str">
        <f>"15022119841208002X"</f>
        <v>15022119841208002X</v>
      </c>
      <c r="D14954" t="s">
        <v>1</v>
      </c>
      <c r="E14954" t="s">
        <v>1</v>
      </c>
      <c r="F14954" t="s">
        <v>0</v>
      </c>
      <c r="G14954" t="str">
        <f>"2018-10-23 09:33:49"</f>
        <v>2018-10-23 09:33:49</v>
      </c>
    </row>
    <row r="14955" spans="1:7" x14ac:dyDescent="0.2">
      <c r="A14955" t="s">
        <v>1</v>
      </c>
      <c r="B14955" t="str">
        <f>"15571420853"</f>
        <v>15571420853</v>
      </c>
      <c r="C14955" t="s">
        <v>1</v>
      </c>
      <c r="D14955" t="s">
        <v>1</v>
      </c>
      <c r="E14955" t="s">
        <v>1</v>
      </c>
      <c r="F14955" t="s">
        <v>0</v>
      </c>
      <c r="G14955" t="str">
        <f>"2018-10-12 18:45:52"</f>
        <v>2018-10-12 18:45:52</v>
      </c>
    </row>
    <row r="14956" spans="1:7" x14ac:dyDescent="0.2">
      <c r="A14956" t="s">
        <v>14548</v>
      </c>
      <c r="B14956" t="str">
        <f>"17688666283"</f>
        <v>17688666283</v>
      </c>
      <c r="C14956" t="str">
        <f>"421222199502100052"</f>
        <v>421222199502100052</v>
      </c>
      <c r="D14956" t="s">
        <v>14549</v>
      </c>
      <c r="E14956" t="s">
        <v>14550</v>
      </c>
      <c r="F14956" t="s">
        <v>0</v>
      </c>
      <c r="G14956" t="str">
        <f>"2018-10-12 18:52:19"</f>
        <v>2018-10-12 18:52:19</v>
      </c>
    </row>
    <row r="14957" spans="1:7" x14ac:dyDescent="0.2">
      <c r="A14957" t="s">
        <v>14551</v>
      </c>
      <c r="B14957" t="str">
        <f>"18387491021"</f>
        <v>18387491021</v>
      </c>
      <c r="C14957" t="str">
        <f>"530302199706061272"</f>
        <v>530302199706061272</v>
      </c>
      <c r="D14957" t="s">
        <v>14552</v>
      </c>
      <c r="E14957" t="s">
        <v>14553</v>
      </c>
      <c r="F14957" t="s">
        <v>0</v>
      </c>
      <c r="G14957" t="str">
        <f>"2018-10-12 19:44:10"</f>
        <v>2018-10-12 19:44:10</v>
      </c>
    </row>
    <row r="14958" spans="1:7" x14ac:dyDescent="0.2">
      <c r="A14958" t="s">
        <v>14554</v>
      </c>
      <c r="B14958" t="str">
        <f>"15640355475"</f>
        <v>15640355475</v>
      </c>
      <c r="C14958" t="str">
        <f>"211302199712223633"</f>
        <v>211302199712223633</v>
      </c>
      <c r="D14958" t="s">
        <v>14555</v>
      </c>
      <c r="E14958" t="s">
        <v>14556</v>
      </c>
      <c r="F14958" t="s">
        <v>0</v>
      </c>
      <c r="G14958" t="str">
        <f>"2018-10-12 18:45:40"</f>
        <v>2018-10-12 18:45:40</v>
      </c>
    </row>
    <row r="14959" spans="1:7" x14ac:dyDescent="0.2">
      <c r="A14959" t="s">
        <v>1</v>
      </c>
      <c r="B14959" t="str">
        <f>"15771683637"</f>
        <v>15771683637</v>
      </c>
      <c r="C14959" t="s">
        <v>1</v>
      </c>
      <c r="D14959" t="s">
        <v>1</v>
      </c>
      <c r="E14959" t="s">
        <v>1</v>
      </c>
      <c r="F14959" t="s">
        <v>0</v>
      </c>
      <c r="G14959" t="str">
        <f>"2018-10-12 18:44:42"</f>
        <v>2018-10-12 18:44:42</v>
      </c>
    </row>
    <row r="14960" spans="1:7" x14ac:dyDescent="0.2">
      <c r="A14960" t="s">
        <v>14557</v>
      </c>
      <c r="B14960" t="str">
        <f>"15818115544"</f>
        <v>15818115544</v>
      </c>
      <c r="C14960" t="str">
        <f>"44522219920203031X"</f>
        <v>44522219920203031X</v>
      </c>
      <c r="D14960" t="s">
        <v>1</v>
      </c>
      <c r="E14960" t="s">
        <v>1</v>
      </c>
      <c r="F14960" t="s">
        <v>0</v>
      </c>
      <c r="G14960" t="str">
        <f>"2018-10-12 18:44:00"</f>
        <v>2018-10-12 18:44:00</v>
      </c>
    </row>
    <row r="14961" spans="1:7" x14ac:dyDescent="0.2">
      <c r="A14961" t="s">
        <v>14558</v>
      </c>
      <c r="B14961" t="str">
        <f>"13352022019"</f>
        <v>13352022019</v>
      </c>
      <c r="C14961" t="str">
        <f>"372923198809192613"</f>
        <v>372923198809192613</v>
      </c>
      <c r="D14961" t="s">
        <v>14559</v>
      </c>
      <c r="E14961" t="s">
        <v>14560</v>
      </c>
      <c r="F14961" t="s">
        <v>0</v>
      </c>
      <c r="G14961" t="str">
        <f>"2018-11-01 15:40:27"</f>
        <v>2018-11-01 15:40:27</v>
      </c>
    </row>
    <row r="14962" spans="1:7" x14ac:dyDescent="0.2">
      <c r="A14962" t="s">
        <v>14561</v>
      </c>
      <c r="B14962" t="str">
        <f>"15844089643"</f>
        <v>15844089643</v>
      </c>
      <c r="C14962" t="str">
        <f>"220104197007305215"</f>
        <v>220104197007305215</v>
      </c>
      <c r="D14962" t="s">
        <v>1</v>
      </c>
      <c r="E14962" t="s">
        <v>1</v>
      </c>
      <c r="F14962" t="s">
        <v>0</v>
      </c>
      <c r="G14962" t="str">
        <f>"2018-10-12 18:45:30"</f>
        <v>2018-10-12 18:45:30</v>
      </c>
    </row>
    <row r="14963" spans="1:7" x14ac:dyDescent="0.2">
      <c r="A14963" t="s">
        <v>1</v>
      </c>
      <c r="B14963" t="str">
        <f>"15121623051"</f>
        <v>15121623051</v>
      </c>
      <c r="C14963" t="s">
        <v>1</v>
      </c>
      <c r="D14963" t="s">
        <v>1</v>
      </c>
      <c r="E14963" t="s">
        <v>1</v>
      </c>
      <c r="F14963" t="s">
        <v>0</v>
      </c>
      <c r="G14963" t="str">
        <f>"2018-10-12 18:43:24"</f>
        <v>2018-10-12 18:43:24</v>
      </c>
    </row>
    <row r="14964" spans="1:7" x14ac:dyDescent="0.2">
      <c r="A14964" t="s">
        <v>14562</v>
      </c>
      <c r="B14964" t="str">
        <f>"15217285890"</f>
        <v>15217285890</v>
      </c>
      <c r="C14964" t="str">
        <f>"440582199510206661"</f>
        <v>440582199510206661</v>
      </c>
      <c r="D14964" t="s">
        <v>1</v>
      </c>
      <c r="E14964" t="s">
        <v>1</v>
      </c>
      <c r="F14964" t="s">
        <v>0</v>
      </c>
      <c r="G14964" t="str">
        <f>"2018-10-12 18:45:53"</f>
        <v>2018-10-12 18:45:53</v>
      </c>
    </row>
    <row r="14965" spans="1:7" x14ac:dyDescent="0.2">
      <c r="A14965" t="s">
        <v>1239</v>
      </c>
      <c r="B14965" t="str">
        <f>"13636810021"</f>
        <v>13636810021</v>
      </c>
      <c r="C14965" t="str">
        <f>"14032219870924243X"</f>
        <v>14032219870924243X</v>
      </c>
      <c r="D14965" t="s">
        <v>1</v>
      </c>
      <c r="E14965" t="s">
        <v>1</v>
      </c>
      <c r="F14965" t="s">
        <v>0</v>
      </c>
      <c r="G14965" t="str">
        <f>"2018-10-12 18:50:40"</f>
        <v>2018-10-12 18:50:40</v>
      </c>
    </row>
    <row r="14966" spans="1:7" x14ac:dyDescent="0.2">
      <c r="A14966" t="s">
        <v>1</v>
      </c>
      <c r="B14966" t="str">
        <f>"18759674072"</f>
        <v>18759674072</v>
      </c>
      <c r="C14966" t="s">
        <v>1</v>
      </c>
      <c r="D14966" t="s">
        <v>1</v>
      </c>
      <c r="E14966" t="s">
        <v>1</v>
      </c>
      <c r="F14966" t="s">
        <v>0</v>
      </c>
      <c r="G14966" t="str">
        <f>"2018-10-12 18:42:55"</f>
        <v>2018-10-12 18:42:55</v>
      </c>
    </row>
    <row r="14967" spans="1:7" x14ac:dyDescent="0.2">
      <c r="A14967" t="s">
        <v>14563</v>
      </c>
      <c r="B14967" t="str">
        <f>"18738378882"</f>
        <v>18738378882</v>
      </c>
      <c r="C14967" t="str">
        <f>"410728199306295035"</f>
        <v>410728199306295035</v>
      </c>
      <c r="D14967" t="s">
        <v>1</v>
      </c>
      <c r="E14967" t="s">
        <v>1</v>
      </c>
      <c r="F14967" t="s">
        <v>0</v>
      </c>
      <c r="G14967" t="str">
        <f>"2018-10-12 18:44:38"</f>
        <v>2018-10-12 18:44:38</v>
      </c>
    </row>
    <row r="14968" spans="1:7" x14ac:dyDescent="0.2">
      <c r="A14968" t="s">
        <v>14564</v>
      </c>
      <c r="B14968" t="str">
        <f>"13665568600"</f>
        <v>13665568600</v>
      </c>
      <c r="C14968" t="str">
        <f>"340827198707156921"</f>
        <v>340827198707156921</v>
      </c>
      <c r="D14968" t="s">
        <v>1</v>
      </c>
      <c r="E14968" t="s">
        <v>1</v>
      </c>
      <c r="F14968" t="s">
        <v>0</v>
      </c>
      <c r="G14968" t="str">
        <f>"2018-10-12 18:44:13"</f>
        <v>2018-10-12 18:44:13</v>
      </c>
    </row>
    <row r="14969" spans="1:7" x14ac:dyDescent="0.2">
      <c r="A14969" t="s">
        <v>14565</v>
      </c>
      <c r="B14969" t="str">
        <f>"15370425282"</f>
        <v>15370425282</v>
      </c>
      <c r="C14969" t="str">
        <f>"320281199012223012"</f>
        <v>320281199012223012</v>
      </c>
      <c r="D14969" t="s">
        <v>1</v>
      </c>
      <c r="E14969" t="s">
        <v>1</v>
      </c>
      <c r="F14969" t="s">
        <v>0</v>
      </c>
      <c r="G14969" t="str">
        <f>"2018-10-12 18:43:40"</f>
        <v>2018-10-12 18:43:40</v>
      </c>
    </row>
    <row r="14970" spans="1:7" x14ac:dyDescent="0.2">
      <c r="A14970" t="s">
        <v>1</v>
      </c>
      <c r="B14970" t="str">
        <f>"13952000897"</f>
        <v>13952000897</v>
      </c>
      <c r="C14970" t="s">
        <v>1</v>
      </c>
      <c r="D14970" t="s">
        <v>1</v>
      </c>
      <c r="E14970" t="s">
        <v>1</v>
      </c>
      <c r="F14970" t="s">
        <v>0</v>
      </c>
      <c r="G14970" t="str">
        <f>"2018-10-12 18:41:12"</f>
        <v>2018-10-12 18:41:12</v>
      </c>
    </row>
    <row r="14971" spans="1:7" x14ac:dyDescent="0.2">
      <c r="A14971" t="s">
        <v>1</v>
      </c>
      <c r="B14971" t="str">
        <f>"13267205622"</f>
        <v>13267205622</v>
      </c>
      <c r="C14971" t="s">
        <v>1</v>
      </c>
      <c r="D14971" t="s">
        <v>1</v>
      </c>
      <c r="E14971" t="s">
        <v>1</v>
      </c>
      <c r="F14971" t="s">
        <v>0</v>
      </c>
      <c r="G14971" t="str">
        <f>"2018-10-12 18:42:40"</f>
        <v>2018-10-12 18:42:40</v>
      </c>
    </row>
    <row r="14972" spans="1:7" x14ac:dyDescent="0.2">
      <c r="A14972" t="s">
        <v>1</v>
      </c>
      <c r="B14972" t="str">
        <f>"15178782642"</f>
        <v>15178782642</v>
      </c>
      <c r="C14972" t="s">
        <v>1</v>
      </c>
      <c r="D14972" t="s">
        <v>1</v>
      </c>
      <c r="E14972" t="s">
        <v>1</v>
      </c>
      <c r="F14972" t="s">
        <v>0</v>
      </c>
      <c r="G14972" t="str">
        <f>"2018-10-12 18:41:07"</f>
        <v>2018-10-12 18:41:07</v>
      </c>
    </row>
    <row r="14973" spans="1:7" x14ac:dyDescent="0.2">
      <c r="A14973" t="s">
        <v>1</v>
      </c>
      <c r="B14973" t="str">
        <f>"18686264134"</f>
        <v>18686264134</v>
      </c>
      <c r="C14973" t="s">
        <v>1</v>
      </c>
      <c r="D14973" t="s">
        <v>1</v>
      </c>
      <c r="E14973" t="s">
        <v>1</v>
      </c>
      <c r="F14973" t="s">
        <v>0</v>
      </c>
      <c r="G14973" t="str">
        <f>"2018-10-12 18:41:00"</f>
        <v>2018-10-12 18:41:00</v>
      </c>
    </row>
    <row r="14974" spans="1:7" x14ac:dyDescent="0.2">
      <c r="A14974" t="s">
        <v>1</v>
      </c>
      <c r="B14974" t="str">
        <f>"15260626985"</f>
        <v>15260626985</v>
      </c>
      <c r="C14974" t="s">
        <v>1</v>
      </c>
      <c r="D14974" t="s">
        <v>1</v>
      </c>
      <c r="E14974" t="s">
        <v>1</v>
      </c>
      <c r="F14974" t="s">
        <v>0</v>
      </c>
      <c r="G14974" t="str">
        <f>"2018-10-12 18:40:53"</f>
        <v>2018-10-12 18:40:53</v>
      </c>
    </row>
    <row r="14975" spans="1:7" x14ac:dyDescent="0.2">
      <c r="A14975" t="s">
        <v>14566</v>
      </c>
      <c r="B14975" t="str">
        <f>"18259729356"</f>
        <v>18259729356</v>
      </c>
      <c r="C14975" t="str">
        <f>"350403198911164055"</f>
        <v>350403198911164055</v>
      </c>
      <c r="D14975" t="s">
        <v>1</v>
      </c>
      <c r="E14975" t="s">
        <v>1</v>
      </c>
      <c r="F14975" t="s">
        <v>0</v>
      </c>
      <c r="G14975" t="str">
        <f>"2018-10-12 21:04:36"</f>
        <v>2018-10-12 21:04:36</v>
      </c>
    </row>
    <row r="14976" spans="1:7" x14ac:dyDescent="0.2">
      <c r="A14976" t="s">
        <v>1</v>
      </c>
      <c r="B14976" t="str">
        <f>"18787060746"</f>
        <v>18787060746</v>
      </c>
      <c r="C14976" t="s">
        <v>1</v>
      </c>
      <c r="D14976" t="s">
        <v>1</v>
      </c>
      <c r="E14976" t="s">
        <v>1</v>
      </c>
      <c r="F14976" t="s">
        <v>0</v>
      </c>
      <c r="G14976" t="str">
        <f>"2018-10-12 18:40:44"</f>
        <v>2018-10-12 18:40:44</v>
      </c>
    </row>
    <row r="14977" spans="1:7" x14ac:dyDescent="0.2">
      <c r="A14977" t="s">
        <v>14567</v>
      </c>
      <c r="B14977" t="str">
        <f>"13244824874"</f>
        <v>13244824874</v>
      </c>
      <c r="C14977" t="str">
        <f>"440785199105090044"</f>
        <v>440785199105090044</v>
      </c>
      <c r="D14977" t="s">
        <v>1</v>
      </c>
      <c r="E14977" t="s">
        <v>1</v>
      </c>
      <c r="F14977" t="s">
        <v>0</v>
      </c>
      <c r="G14977" t="str">
        <f>"2018-10-12 18:41:41"</f>
        <v>2018-10-12 18:41:41</v>
      </c>
    </row>
    <row r="14978" spans="1:7" x14ac:dyDescent="0.2">
      <c r="A14978" t="s">
        <v>14568</v>
      </c>
      <c r="B14978" t="str">
        <f>"15387616055"</f>
        <v>15387616055</v>
      </c>
      <c r="C14978" t="str">
        <f>"511381199208110871"</f>
        <v>511381199208110871</v>
      </c>
      <c r="D14978" t="s">
        <v>1</v>
      </c>
      <c r="E14978" t="s">
        <v>1</v>
      </c>
      <c r="F14978" t="s">
        <v>0</v>
      </c>
      <c r="G14978" t="str">
        <f>"2018-10-12 18:41:28"</f>
        <v>2018-10-12 18:41:28</v>
      </c>
    </row>
    <row r="14979" spans="1:7" x14ac:dyDescent="0.2">
      <c r="A14979" t="s">
        <v>1</v>
      </c>
      <c r="B14979" t="str">
        <f>"13269988655"</f>
        <v>13269988655</v>
      </c>
      <c r="C14979" t="s">
        <v>1</v>
      </c>
      <c r="D14979" t="s">
        <v>1</v>
      </c>
      <c r="E14979" t="s">
        <v>1</v>
      </c>
      <c r="F14979" t="s">
        <v>0</v>
      </c>
      <c r="G14979" t="str">
        <f>"2018-10-12 18:40:07"</f>
        <v>2018-10-12 18:40:07</v>
      </c>
    </row>
    <row r="14980" spans="1:7" x14ac:dyDescent="0.2">
      <c r="A14980" t="s">
        <v>14569</v>
      </c>
      <c r="B14980" t="str">
        <f>"17739419970"</f>
        <v>17739419970</v>
      </c>
      <c r="C14980" t="str">
        <f>"410881198605175538"</f>
        <v>410881198605175538</v>
      </c>
      <c r="D14980" t="s">
        <v>1</v>
      </c>
      <c r="E14980" t="s">
        <v>1</v>
      </c>
      <c r="F14980" t="s">
        <v>0</v>
      </c>
      <c r="G14980" t="str">
        <f>"2018-10-12 18:42:03"</f>
        <v>2018-10-12 18:42:03</v>
      </c>
    </row>
    <row r="14981" spans="1:7" x14ac:dyDescent="0.2">
      <c r="A14981" t="s">
        <v>1</v>
      </c>
      <c r="B14981" t="str">
        <f>"13209550925"</f>
        <v>13209550925</v>
      </c>
      <c r="C14981" t="s">
        <v>1</v>
      </c>
      <c r="D14981" t="s">
        <v>1</v>
      </c>
      <c r="E14981" t="s">
        <v>1</v>
      </c>
      <c r="F14981" t="s">
        <v>0</v>
      </c>
      <c r="G14981" t="str">
        <f>"2018-10-12 18:39:56"</f>
        <v>2018-10-12 18:39:56</v>
      </c>
    </row>
    <row r="14982" spans="1:7" x14ac:dyDescent="0.2">
      <c r="A14982" t="s">
        <v>121</v>
      </c>
      <c r="B14982" t="str">
        <f>"15188391525"</f>
        <v>15188391525</v>
      </c>
      <c r="C14982" t="str">
        <f>"410522199002265815"</f>
        <v>410522199002265815</v>
      </c>
      <c r="D14982" t="s">
        <v>1</v>
      </c>
      <c r="E14982" t="s">
        <v>1</v>
      </c>
      <c r="F14982" t="s">
        <v>0</v>
      </c>
      <c r="G14982" t="str">
        <f>"2018-10-12 20:39:31"</f>
        <v>2018-10-12 20:39:31</v>
      </c>
    </row>
    <row r="14983" spans="1:7" x14ac:dyDescent="0.2">
      <c r="A14983" t="s">
        <v>14570</v>
      </c>
      <c r="B14983" t="str">
        <f>"13182002506"</f>
        <v>13182002506</v>
      </c>
      <c r="C14983" t="str">
        <f>"321283199801189068"</f>
        <v>321283199801189068</v>
      </c>
      <c r="D14983" t="s">
        <v>1</v>
      </c>
      <c r="E14983" t="s">
        <v>1</v>
      </c>
      <c r="F14983" t="s">
        <v>0</v>
      </c>
      <c r="G14983" t="str">
        <f>"2018-10-12 18:42:25"</f>
        <v>2018-10-12 18:42:25</v>
      </c>
    </row>
    <row r="14984" spans="1:7" x14ac:dyDescent="0.2">
      <c r="A14984" t="s">
        <v>1</v>
      </c>
      <c r="B14984" t="str">
        <f>"15779652188"</f>
        <v>15779652188</v>
      </c>
      <c r="C14984" t="s">
        <v>1</v>
      </c>
      <c r="D14984" t="s">
        <v>1</v>
      </c>
      <c r="E14984" t="s">
        <v>1</v>
      </c>
      <c r="F14984" t="s">
        <v>0</v>
      </c>
      <c r="G14984" t="str">
        <f>"2018-10-20 11:19:56"</f>
        <v>2018-10-20 11:19:56</v>
      </c>
    </row>
    <row r="14985" spans="1:7" x14ac:dyDescent="0.2">
      <c r="A14985" t="s">
        <v>1</v>
      </c>
      <c r="B14985" t="str">
        <f>"13427862121"</f>
        <v>13427862121</v>
      </c>
      <c r="C14985" t="s">
        <v>1</v>
      </c>
      <c r="D14985" t="s">
        <v>1</v>
      </c>
      <c r="E14985" t="s">
        <v>1</v>
      </c>
      <c r="F14985" t="s">
        <v>0</v>
      </c>
      <c r="G14985" t="str">
        <f>"2018-10-12 18:40:30"</f>
        <v>2018-10-12 18:40:30</v>
      </c>
    </row>
    <row r="14986" spans="1:7" x14ac:dyDescent="0.2">
      <c r="A14986" t="s">
        <v>14571</v>
      </c>
      <c r="B14986" t="str">
        <f>"17605873542"</f>
        <v>17605873542</v>
      </c>
      <c r="C14986" t="str">
        <f>"510722198808141934"</f>
        <v>510722198808141934</v>
      </c>
      <c r="D14986" t="s">
        <v>14572</v>
      </c>
      <c r="E14986" t="s">
        <v>14573</v>
      </c>
      <c r="F14986" t="s">
        <v>0</v>
      </c>
      <c r="G14986" t="str">
        <f>"2018-10-12 18:41:19"</f>
        <v>2018-10-12 18:41:19</v>
      </c>
    </row>
    <row r="14987" spans="1:7" x14ac:dyDescent="0.2">
      <c r="A14987" t="s">
        <v>202</v>
      </c>
      <c r="B14987" t="str">
        <f>"15349602810"</f>
        <v>15349602810</v>
      </c>
      <c r="C14987" t="str">
        <f>"640221198706050017"</f>
        <v>640221198706050017</v>
      </c>
      <c r="D14987" t="s">
        <v>1</v>
      </c>
      <c r="E14987" t="s">
        <v>1</v>
      </c>
      <c r="F14987" t="s">
        <v>0</v>
      </c>
      <c r="G14987" t="str">
        <f>"2018-10-12 18:39:30"</f>
        <v>2018-10-12 18:39:30</v>
      </c>
    </row>
    <row r="14988" spans="1:7" x14ac:dyDescent="0.2">
      <c r="A14988" t="s">
        <v>14574</v>
      </c>
      <c r="B14988" t="str">
        <f>"17743145314"</f>
        <v>17743145314</v>
      </c>
      <c r="C14988" t="str">
        <f>"220503199607191535"</f>
        <v>220503199607191535</v>
      </c>
      <c r="D14988" t="s">
        <v>1</v>
      </c>
      <c r="E14988" t="s">
        <v>1</v>
      </c>
      <c r="F14988" t="s">
        <v>0</v>
      </c>
      <c r="G14988" t="str">
        <f>"2018-10-12 19:12:40"</f>
        <v>2018-10-12 19:12:40</v>
      </c>
    </row>
    <row r="14989" spans="1:7" x14ac:dyDescent="0.2">
      <c r="A14989" t="s">
        <v>14575</v>
      </c>
      <c r="B14989" t="str">
        <f>"18487444972"</f>
        <v>18487444972</v>
      </c>
      <c r="C14989" t="str">
        <f>"530302199705101252"</f>
        <v>530302199705101252</v>
      </c>
      <c r="D14989" t="s">
        <v>14576</v>
      </c>
      <c r="E14989" t="s">
        <v>14577</v>
      </c>
      <c r="F14989" t="s">
        <v>0</v>
      </c>
      <c r="G14989" t="str">
        <f>"2018-10-13 17:33:10"</f>
        <v>2018-10-13 17:33:10</v>
      </c>
    </row>
    <row r="14990" spans="1:7" x14ac:dyDescent="0.2">
      <c r="A14990" t="s">
        <v>14578</v>
      </c>
      <c r="B14990" t="str">
        <f>"15379777463"</f>
        <v>15379777463</v>
      </c>
      <c r="C14990" t="str">
        <f>"622201198706108170"</f>
        <v>622201198706108170</v>
      </c>
      <c r="D14990" t="s">
        <v>1</v>
      </c>
      <c r="E14990" t="s">
        <v>1</v>
      </c>
      <c r="F14990" t="s">
        <v>0</v>
      </c>
      <c r="G14990" t="str">
        <f>"2018-10-12 18:40:37"</f>
        <v>2018-10-12 18:40:37</v>
      </c>
    </row>
    <row r="14991" spans="1:7" x14ac:dyDescent="0.2">
      <c r="A14991" t="s">
        <v>14579</v>
      </c>
      <c r="B14991" t="str">
        <f>"15848490778"</f>
        <v>15848490778</v>
      </c>
      <c r="C14991" t="str">
        <f>"142703198810240636"</f>
        <v>142703198810240636</v>
      </c>
      <c r="D14991" t="s">
        <v>1</v>
      </c>
      <c r="E14991" t="s">
        <v>1</v>
      </c>
      <c r="F14991" t="s">
        <v>0</v>
      </c>
      <c r="G14991" t="str">
        <f>"2018-10-12 18:38:27"</f>
        <v>2018-10-12 18:38:27</v>
      </c>
    </row>
    <row r="14992" spans="1:7" x14ac:dyDescent="0.2">
      <c r="A14992" t="s">
        <v>1260</v>
      </c>
      <c r="B14992" t="str">
        <f>"18734213413"</f>
        <v>18734213413</v>
      </c>
      <c r="C14992" t="str">
        <f>"140226199512181017"</f>
        <v>140226199512181017</v>
      </c>
      <c r="D14992" t="s">
        <v>1</v>
      </c>
      <c r="E14992" t="s">
        <v>1</v>
      </c>
      <c r="F14992" t="s">
        <v>0</v>
      </c>
      <c r="G14992" t="str">
        <f>"2018-10-13 10:23:05"</f>
        <v>2018-10-13 10:23:05</v>
      </c>
    </row>
    <row r="14993" spans="1:7" x14ac:dyDescent="0.2">
      <c r="A14993" t="s">
        <v>14580</v>
      </c>
      <c r="B14993" t="str">
        <f>"15597529552"</f>
        <v>15597529552</v>
      </c>
      <c r="C14993" t="str">
        <f>"632123199802276675"</f>
        <v>632123199802276675</v>
      </c>
      <c r="D14993" t="s">
        <v>1</v>
      </c>
      <c r="E14993" t="s">
        <v>1</v>
      </c>
      <c r="F14993" t="s">
        <v>0</v>
      </c>
      <c r="G14993" t="str">
        <f>"2018-10-12 18:39:11"</f>
        <v>2018-10-12 18:39:11</v>
      </c>
    </row>
    <row r="14994" spans="1:7" x14ac:dyDescent="0.2">
      <c r="A14994" t="s">
        <v>14581</v>
      </c>
      <c r="B14994" t="str">
        <f>"15179875635"</f>
        <v>15179875635</v>
      </c>
      <c r="C14994" t="str">
        <f>"36028119921123001X"</f>
        <v>36028119921123001X</v>
      </c>
      <c r="D14994" t="s">
        <v>14582</v>
      </c>
      <c r="E14994" t="s">
        <v>14583</v>
      </c>
      <c r="F14994" t="s">
        <v>0</v>
      </c>
      <c r="G14994" t="str">
        <f>"2018-10-12 18:38:50"</f>
        <v>2018-10-12 18:38:50</v>
      </c>
    </row>
    <row r="14995" spans="1:7" x14ac:dyDescent="0.2">
      <c r="A14995" t="s">
        <v>14584</v>
      </c>
      <c r="B14995" t="str">
        <f>"15177211983"</f>
        <v>15177211983</v>
      </c>
      <c r="C14995" t="str">
        <f>"452226198108143916"</f>
        <v>452226198108143916</v>
      </c>
      <c r="D14995" t="s">
        <v>1</v>
      </c>
      <c r="E14995" t="s">
        <v>1</v>
      </c>
      <c r="F14995" t="s">
        <v>0</v>
      </c>
      <c r="G14995" t="str">
        <f>"2018-10-12 18:43:56"</f>
        <v>2018-10-12 18:43:56</v>
      </c>
    </row>
    <row r="14996" spans="1:7" x14ac:dyDescent="0.2">
      <c r="A14996" t="s">
        <v>1</v>
      </c>
      <c r="B14996" t="str">
        <f>"13707504455"</f>
        <v>13707504455</v>
      </c>
      <c r="C14996" t="s">
        <v>1</v>
      </c>
      <c r="D14996" t="s">
        <v>1</v>
      </c>
      <c r="E14996" t="s">
        <v>1</v>
      </c>
      <c r="F14996" t="s">
        <v>0</v>
      </c>
      <c r="G14996" t="str">
        <f>"2018-10-12 18:36:44"</f>
        <v>2018-10-12 18:36:44</v>
      </c>
    </row>
    <row r="14997" spans="1:7" x14ac:dyDescent="0.2">
      <c r="A14997" t="s">
        <v>14585</v>
      </c>
      <c r="B14997" t="str">
        <f>"13723119311"</f>
        <v>13723119311</v>
      </c>
      <c r="C14997" t="str">
        <f>"413026197811019034"</f>
        <v>413026197811019034</v>
      </c>
      <c r="D14997" t="s">
        <v>14586</v>
      </c>
      <c r="E14997" t="s">
        <v>14587</v>
      </c>
      <c r="F14997" t="s">
        <v>0</v>
      </c>
      <c r="G14997" t="str">
        <f>"2018-10-12 18:38:36"</f>
        <v>2018-10-12 18:38:36</v>
      </c>
    </row>
    <row r="14998" spans="1:7" x14ac:dyDescent="0.2">
      <c r="A14998" t="s">
        <v>14588</v>
      </c>
      <c r="B14998" t="str">
        <f>"15292591390"</f>
        <v>15292591390</v>
      </c>
      <c r="C14998" t="str">
        <f>"652301198307090816"</f>
        <v>652301198307090816</v>
      </c>
      <c r="D14998" t="s">
        <v>1</v>
      </c>
      <c r="E14998" t="s">
        <v>1</v>
      </c>
      <c r="F14998" t="s">
        <v>0</v>
      </c>
      <c r="G14998" t="str">
        <f>"2018-10-12 18:41:42"</f>
        <v>2018-10-12 18:41:42</v>
      </c>
    </row>
    <row r="14999" spans="1:7" x14ac:dyDescent="0.2">
      <c r="A14999" t="s">
        <v>1</v>
      </c>
      <c r="B14999" t="str">
        <f>"18239107152"</f>
        <v>18239107152</v>
      </c>
      <c r="C14999" t="s">
        <v>1</v>
      </c>
      <c r="D14999" t="s">
        <v>1</v>
      </c>
      <c r="E14999" t="s">
        <v>1</v>
      </c>
      <c r="F14999" t="s">
        <v>0</v>
      </c>
      <c r="G14999" t="str">
        <f>"2018-10-12 18:35:25"</f>
        <v>2018-10-12 18:35:25</v>
      </c>
    </row>
    <row r="15000" spans="1:7" x14ac:dyDescent="0.2">
      <c r="A15000" t="s">
        <v>14589</v>
      </c>
      <c r="B15000" t="str">
        <f>"18547025805"</f>
        <v>18547025805</v>
      </c>
      <c r="C15000" t="str">
        <f>"230225198210295423"</f>
        <v>230225198210295423</v>
      </c>
      <c r="D15000" t="s">
        <v>1</v>
      </c>
      <c r="E15000" t="s">
        <v>1</v>
      </c>
      <c r="F15000" t="s">
        <v>0</v>
      </c>
      <c r="G15000" t="str">
        <f>"2018-10-12 18:36:53"</f>
        <v>2018-10-12 18:36:53</v>
      </c>
    </row>
    <row r="15001" spans="1:7" x14ac:dyDescent="0.2">
      <c r="A15001" t="s">
        <v>1</v>
      </c>
      <c r="B15001" t="str">
        <f>"15987279613"</f>
        <v>15987279613</v>
      </c>
      <c r="C15001" t="s">
        <v>1</v>
      </c>
      <c r="D15001" t="s">
        <v>1</v>
      </c>
      <c r="E15001" t="s">
        <v>1</v>
      </c>
      <c r="F15001" t="s">
        <v>0</v>
      </c>
      <c r="G15001" t="str">
        <f>"2018-10-12 18:34:38"</f>
        <v>2018-10-12 18:34:38</v>
      </c>
    </row>
    <row r="15002" spans="1:7" x14ac:dyDescent="0.2">
      <c r="A15002" t="s">
        <v>1</v>
      </c>
      <c r="B15002" t="str">
        <f>"17128754275"</f>
        <v>17128754275</v>
      </c>
      <c r="C15002" t="s">
        <v>1</v>
      </c>
      <c r="D15002" t="s">
        <v>1</v>
      </c>
      <c r="E15002" t="s">
        <v>1</v>
      </c>
      <c r="F15002" t="s">
        <v>0</v>
      </c>
      <c r="G15002" t="str">
        <f>"2018-10-12 18:34:35"</f>
        <v>2018-10-12 18:34:35</v>
      </c>
    </row>
    <row r="15003" spans="1:7" x14ac:dyDescent="0.2">
      <c r="A15003" t="s">
        <v>1</v>
      </c>
      <c r="B15003" t="str">
        <f>"15778476964"</f>
        <v>15778476964</v>
      </c>
      <c r="C15003" t="s">
        <v>1</v>
      </c>
      <c r="D15003" t="s">
        <v>1</v>
      </c>
      <c r="E15003" t="s">
        <v>1</v>
      </c>
      <c r="F15003" t="s">
        <v>0</v>
      </c>
      <c r="G15003" t="str">
        <f>"2018-10-12 18:34:27"</f>
        <v>2018-10-12 18:34:27</v>
      </c>
    </row>
    <row r="15004" spans="1:7" x14ac:dyDescent="0.2">
      <c r="A15004" t="s">
        <v>14590</v>
      </c>
      <c r="B15004" t="str">
        <f>"18725820605"</f>
        <v>18725820605</v>
      </c>
      <c r="C15004" t="str">
        <f>"50023119960605042X"</f>
        <v>50023119960605042X</v>
      </c>
      <c r="D15004" t="s">
        <v>1</v>
      </c>
      <c r="E15004" t="s">
        <v>1</v>
      </c>
      <c r="F15004" t="s">
        <v>0</v>
      </c>
      <c r="G15004" t="str">
        <f>"2018-10-12 18:38:01"</f>
        <v>2018-10-12 18:38:01</v>
      </c>
    </row>
    <row r="15005" spans="1:7" x14ac:dyDescent="0.2">
      <c r="A15005" t="s">
        <v>1</v>
      </c>
      <c r="B15005" t="str">
        <f>"13017516520"</f>
        <v>13017516520</v>
      </c>
      <c r="C15005" t="s">
        <v>1</v>
      </c>
      <c r="D15005" t="s">
        <v>1</v>
      </c>
      <c r="E15005" t="s">
        <v>1</v>
      </c>
      <c r="F15005" t="s">
        <v>0</v>
      </c>
      <c r="G15005" t="str">
        <f>"2018-10-12 18:32:30"</f>
        <v>2018-10-12 18:32:30</v>
      </c>
    </row>
    <row r="15006" spans="1:7" x14ac:dyDescent="0.2">
      <c r="A15006" t="s">
        <v>14591</v>
      </c>
      <c r="B15006" t="str">
        <f>"13575880257"</f>
        <v>13575880257</v>
      </c>
      <c r="C15006" t="str">
        <f>"33102119880425204X"</f>
        <v>33102119880425204X</v>
      </c>
      <c r="D15006" t="s">
        <v>1</v>
      </c>
      <c r="E15006" t="s">
        <v>1</v>
      </c>
      <c r="F15006" t="s">
        <v>0</v>
      </c>
      <c r="G15006" t="str">
        <f>"2018-10-30 18:44:00"</f>
        <v>2018-10-30 18:44:00</v>
      </c>
    </row>
    <row r="15007" spans="1:7" x14ac:dyDescent="0.2">
      <c r="A15007" t="s">
        <v>14592</v>
      </c>
      <c r="B15007" t="str">
        <f>"17576082337"</f>
        <v>17576082337</v>
      </c>
      <c r="C15007" t="str">
        <f>"460005199506011515"</f>
        <v>460005199506011515</v>
      </c>
      <c r="D15007" t="s">
        <v>14593</v>
      </c>
      <c r="E15007" t="s">
        <v>14594</v>
      </c>
      <c r="F15007" t="s">
        <v>0</v>
      </c>
      <c r="G15007" t="str">
        <f>"2018-10-12 18:33:22"</f>
        <v>2018-10-12 18:33:22</v>
      </c>
    </row>
    <row r="15008" spans="1:7" x14ac:dyDescent="0.2">
      <c r="A15008" t="s">
        <v>14595</v>
      </c>
      <c r="B15008" t="str">
        <f>"13190195171"</f>
        <v>13190195171</v>
      </c>
      <c r="C15008" t="str">
        <f>"210204199207070257"</f>
        <v>210204199207070257</v>
      </c>
      <c r="D15008" t="s">
        <v>1</v>
      </c>
      <c r="E15008" t="s">
        <v>1</v>
      </c>
      <c r="F15008" t="s">
        <v>0</v>
      </c>
      <c r="G15008" t="str">
        <f>"2018-10-16 18:13:02"</f>
        <v>2018-10-16 18:13:02</v>
      </c>
    </row>
    <row r="15009" spans="1:7" x14ac:dyDescent="0.2">
      <c r="A15009" t="s">
        <v>1</v>
      </c>
      <c r="B15009" t="str">
        <f>"13084639840"</f>
        <v>13084639840</v>
      </c>
      <c r="C15009" t="s">
        <v>1</v>
      </c>
      <c r="D15009" t="s">
        <v>1</v>
      </c>
      <c r="E15009" t="s">
        <v>1</v>
      </c>
      <c r="F15009" t="s">
        <v>0</v>
      </c>
      <c r="G15009" t="str">
        <f>"2018-10-12 18:30:32"</f>
        <v>2018-10-12 18:30:32</v>
      </c>
    </row>
    <row r="15010" spans="1:7" x14ac:dyDescent="0.2">
      <c r="A15010" t="s">
        <v>14596</v>
      </c>
      <c r="B15010" t="str">
        <f>"17630376781"</f>
        <v>17630376781</v>
      </c>
      <c r="C15010" t="str">
        <f>"410327199401017051"</f>
        <v>410327199401017051</v>
      </c>
      <c r="D15010" t="s">
        <v>1</v>
      </c>
      <c r="E15010" t="s">
        <v>1</v>
      </c>
      <c r="F15010" t="s">
        <v>0</v>
      </c>
      <c r="G15010" t="str">
        <f>"2018-11-04 12:41:04"</f>
        <v>2018-11-04 12:41:04</v>
      </c>
    </row>
    <row r="15011" spans="1:7" x14ac:dyDescent="0.2">
      <c r="A15011" t="s">
        <v>14597</v>
      </c>
      <c r="B15011" t="str">
        <f>"13470035333"</f>
        <v>13470035333</v>
      </c>
      <c r="C15011" t="str">
        <f>"210623198003200212"</f>
        <v>210623198003200212</v>
      </c>
      <c r="D15011" t="s">
        <v>1</v>
      </c>
      <c r="E15011" t="s">
        <v>1</v>
      </c>
      <c r="F15011" t="s">
        <v>0</v>
      </c>
      <c r="G15011" t="str">
        <f>"2018-10-12 18:30:21"</f>
        <v>2018-10-12 18:30:21</v>
      </c>
    </row>
    <row r="15012" spans="1:7" x14ac:dyDescent="0.2">
      <c r="A15012" t="s">
        <v>1</v>
      </c>
      <c r="B15012" t="str">
        <f>"18701776659"</f>
        <v>18701776659</v>
      </c>
      <c r="C15012" t="s">
        <v>1</v>
      </c>
      <c r="D15012" t="s">
        <v>1</v>
      </c>
      <c r="E15012" t="s">
        <v>1</v>
      </c>
      <c r="F15012" t="s">
        <v>0</v>
      </c>
      <c r="G15012" t="str">
        <f>"2018-10-12 18:57:23"</f>
        <v>2018-10-12 18:57:23</v>
      </c>
    </row>
    <row r="15013" spans="1:7" x14ac:dyDescent="0.2">
      <c r="A15013" t="s">
        <v>14598</v>
      </c>
      <c r="B15013" t="str">
        <f>"15820745925"</f>
        <v>15820745925</v>
      </c>
      <c r="C15013" t="str">
        <f>"441381198908142134"</f>
        <v>441381198908142134</v>
      </c>
      <c r="D15013" t="s">
        <v>14599</v>
      </c>
      <c r="E15013" t="s">
        <v>14600</v>
      </c>
      <c r="F15013" t="s">
        <v>0</v>
      </c>
      <c r="G15013" t="str">
        <f>"2018-11-02 23:16:16"</f>
        <v>2018-11-02 23:16:16</v>
      </c>
    </row>
    <row r="15014" spans="1:7" x14ac:dyDescent="0.2">
      <c r="A15014" t="s">
        <v>23</v>
      </c>
      <c r="B15014" t="str">
        <f>"15931740134"</f>
        <v>15931740134</v>
      </c>
      <c r="C15014" t="str">
        <f>"130981199010296018"</f>
        <v>130981199010296018</v>
      </c>
      <c r="D15014" t="s">
        <v>1</v>
      </c>
      <c r="E15014" t="s">
        <v>1</v>
      </c>
      <c r="F15014" t="s">
        <v>0</v>
      </c>
      <c r="G15014" t="str">
        <f>"2018-10-12 18:37:31"</f>
        <v>2018-10-12 18:37:31</v>
      </c>
    </row>
    <row r="15015" spans="1:7" x14ac:dyDescent="0.2">
      <c r="A15015" t="s">
        <v>14601</v>
      </c>
      <c r="B15015" t="str">
        <f>"13629632208"</f>
        <v>13629632208</v>
      </c>
      <c r="C15015" t="str">
        <f>"530127199505131752"</f>
        <v>530127199505131752</v>
      </c>
      <c r="D15015" t="s">
        <v>1</v>
      </c>
      <c r="E15015" t="s">
        <v>1</v>
      </c>
      <c r="F15015" t="s">
        <v>0</v>
      </c>
      <c r="G15015" t="str">
        <f>"2018-10-12 18:39:26"</f>
        <v>2018-10-12 18:39:26</v>
      </c>
    </row>
    <row r="15016" spans="1:7" x14ac:dyDescent="0.2">
      <c r="A15016" t="s">
        <v>14602</v>
      </c>
      <c r="B15016" t="str">
        <f>"18512881832"</f>
        <v>18512881832</v>
      </c>
      <c r="C15016" t="str">
        <f>"510184199405075072"</f>
        <v>510184199405075072</v>
      </c>
      <c r="D15016" t="s">
        <v>14603</v>
      </c>
      <c r="E15016" t="s">
        <v>14604</v>
      </c>
      <c r="F15016" t="s">
        <v>0</v>
      </c>
      <c r="G15016" t="str">
        <f>"2018-10-12 18:27:46"</f>
        <v>2018-10-12 18:27:46</v>
      </c>
    </row>
    <row r="15017" spans="1:7" x14ac:dyDescent="0.2">
      <c r="A15017" t="s">
        <v>14605</v>
      </c>
      <c r="B15017" t="str">
        <f>"18075657591"</f>
        <v>18075657591</v>
      </c>
      <c r="C15017" t="str">
        <f>"430725198811110011"</f>
        <v>430725198811110011</v>
      </c>
      <c r="D15017" t="s">
        <v>1</v>
      </c>
      <c r="E15017" t="s">
        <v>1</v>
      </c>
      <c r="F15017" t="s">
        <v>0</v>
      </c>
      <c r="G15017" t="str">
        <f>"2018-10-15 09:43:00"</f>
        <v>2018-10-15 09:43:00</v>
      </c>
    </row>
    <row r="15018" spans="1:7" x14ac:dyDescent="0.2">
      <c r="A15018" t="s">
        <v>1</v>
      </c>
      <c r="B15018" t="str">
        <f>"15692862920"</f>
        <v>15692862920</v>
      </c>
      <c r="C15018" t="s">
        <v>1</v>
      </c>
      <c r="D15018" t="s">
        <v>1</v>
      </c>
      <c r="E15018" t="s">
        <v>1</v>
      </c>
      <c r="F15018" t="s">
        <v>0</v>
      </c>
      <c r="G15018" t="str">
        <f>"2018-10-12 18:29:30"</f>
        <v>2018-10-12 18:29:30</v>
      </c>
    </row>
    <row r="15019" spans="1:7" x14ac:dyDescent="0.2">
      <c r="A15019" t="s">
        <v>30</v>
      </c>
      <c r="B15019" t="str">
        <f>"18365065194"</f>
        <v>18365065194</v>
      </c>
      <c r="C15019" t="str">
        <f>"341124199603241214"</f>
        <v>341124199603241214</v>
      </c>
      <c r="D15019" t="s">
        <v>1</v>
      </c>
      <c r="E15019" t="s">
        <v>1</v>
      </c>
      <c r="F15019" t="s">
        <v>0</v>
      </c>
      <c r="G15019" t="str">
        <f>"2018-10-12 18:27:31"</f>
        <v>2018-10-12 18:27:31</v>
      </c>
    </row>
    <row r="15020" spans="1:7" x14ac:dyDescent="0.2">
      <c r="A15020" t="s">
        <v>14606</v>
      </c>
      <c r="B15020" t="str">
        <f>"17759914561"</f>
        <v>17759914561</v>
      </c>
      <c r="C15020" t="str">
        <f>"350723199205101010"</f>
        <v>350723199205101010</v>
      </c>
      <c r="D15020" t="s">
        <v>1</v>
      </c>
      <c r="E15020" t="s">
        <v>1</v>
      </c>
      <c r="F15020" t="s">
        <v>0</v>
      </c>
      <c r="G15020" t="str">
        <f>"2018-10-12 18:26:10"</f>
        <v>2018-10-12 18:26:10</v>
      </c>
    </row>
    <row r="15021" spans="1:7" x14ac:dyDescent="0.2">
      <c r="A15021" t="s">
        <v>14607</v>
      </c>
      <c r="B15021" t="str">
        <f>"15556817889"</f>
        <v>15556817889</v>
      </c>
      <c r="C15021" t="str">
        <f>"341221198406169294"</f>
        <v>341221198406169294</v>
      </c>
      <c r="D15021" t="s">
        <v>1</v>
      </c>
      <c r="E15021" t="s">
        <v>1</v>
      </c>
      <c r="F15021" t="s">
        <v>0</v>
      </c>
      <c r="G15021" t="str">
        <f>"2018-10-12 18:28:36"</f>
        <v>2018-10-12 18:28:36</v>
      </c>
    </row>
    <row r="15022" spans="1:7" x14ac:dyDescent="0.2">
      <c r="A15022" t="s">
        <v>14608</v>
      </c>
      <c r="B15022" t="str">
        <f>"13822414029"</f>
        <v>13822414029</v>
      </c>
      <c r="C15022" t="str">
        <f>"440781199608276224"</f>
        <v>440781199608276224</v>
      </c>
      <c r="D15022" t="s">
        <v>1</v>
      </c>
      <c r="E15022" t="s">
        <v>1</v>
      </c>
      <c r="F15022" t="s">
        <v>0</v>
      </c>
      <c r="G15022" t="str">
        <f>"2018-10-24 20:15:04"</f>
        <v>2018-10-24 20:15:04</v>
      </c>
    </row>
    <row r="15023" spans="1:7" x14ac:dyDescent="0.2">
      <c r="A15023" t="s">
        <v>1</v>
      </c>
      <c r="B15023" t="str">
        <f>"15917206188"</f>
        <v>15917206188</v>
      </c>
      <c r="C15023" t="s">
        <v>1</v>
      </c>
      <c r="D15023" t="s">
        <v>1</v>
      </c>
      <c r="E15023" t="s">
        <v>1</v>
      </c>
      <c r="F15023" t="s">
        <v>0</v>
      </c>
      <c r="G15023" t="str">
        <f>"2018-10-12 18:25:04"</f>
        <v>2018-10-12 18:25:04</v>
      </c>
    </row>
    <row r="15024" spans="1:7" x14ac:dyDescent="0.2">
      <c r="A15024" t="s">
        <v>14609</v>
      </c>
      <c r="B15024" t="str">
        <f>"15217906236"</f>
        <v>15217906236</v>
      </c>
      <c r="C15024" t="str">
        <f>"452122199305181210"</f>
        <v>452122199305181210</v>
      </c>
      <c r="D15024" t="s">
        <v>1</v>
      </c>
      <c r="E15024" t="s">
        <v>1</v>
      </c>
      <c r="F15024" t="s">
        <v>0</v>
      </c>
      <c r="G15024" t="str">
        <f>"2018-10-12 18:59:32"</f>
        <v>2018-10-12 18:59:32</v>
      </c>
    </row>
    <row r="15025" spans="1:7" x14ac:dyDescent="0.2">
      <c r="A15025" t="s">
        <v>14610</v>
      </c>
      <c r="B15025" t="str">
        <f>"18551683723"</f>
        <v>18551683723</v>
      </c>
      <c r="C15025" t="str">
        <f>"341227199203187057"</f>
        <v>341227199203187057</v>
      </c>
      <c r="D15025" t="s">
        <v>1</v>
      </c>
      <c r="E15025" t="s">
        <v>1</v>
      </c>
      <c r="F15025" t="s">
        <v>0</v>
      </c>
      <c r="G15025" t="str">
        <f>"2018-10-12 18:34:22"</f>
        <v>2018-10-12 18:34:22</v>
      </c>
    </row>
    <row r="15026" spans="1:7" x14ac:dyDescent="0.2">
      <c r="A15026" t="s">
        <v>14611</v>
      </c>
      <c r="B15026" t="str">
        <f>"13408811124"</f>
        <v>13408811124</v>
      </c>
      <c r="C15026" t="str">
        <f>"532124199203100048"</f>
        <v>532124199203100048</v>
      </c>
      <c r="D15026" t="s">
        <v>1</v>
      </c>
      <c r="E15026" t="s">
        <v>1</v>
      </c>
      <c r="F15026" t="s">
        <v>0</v>
      </c>
      <c r="G15026" t="str">
        <f>"2018-10-12 18:29:45"</f>
        <v>2018-10-12 18:29:45</v>
      </c>
    </row>
    <row r="15027" spans="1:7" x14ac:dyDescent="0.2">
      <c r="A15027" t="s">
        <v>1</v>
      </c>
      <c r="B15027" t="str">
        <f>"18822828941"</f>
        <v>18822828941</v>
      </c>
      <c r="C15027" t="s">
        <v>1</v>
      </c>
      <c r="D15027" t="s">
        <v>1</v>
      </c>
      <c r="E15027" t="s">
        <v>1</v>
      </c>
      <c r="F15027" t="s">
        <v>0</v>
      </c>
      <c r="G15027" t="str">
        <f>"2018-10-12 18:24:01"</f>
        <v>2018-10-12 18:24:01</v>
      </c>
    </row>
    <row r="15028" spans="1:7" x14ac:dyDescent="0.2">
      <c r="A15028" t="s">
        <v>1</v>
      </c>
      <c r="B15028" t="str">
        <f>"18922302734"</f>
        <v>18922302734</v>
      </c>
      <c r="C15028" t="s">
        <v>1</v>
      </c>
      <c r="D15028" t="s">
        <v>1</v>
      </c>
      <c r="E15028" t="s">
        <v>1</v>
      </c>
      <c r="F15028" t="s">
        <v>0</v>
      </c>
      <c r="G15028" t="str">
        <f>"2018-10-12 18:23:17"</f>
        <v>2018-10-12 18:23:17</v>
      </c>
    </row>
    <row r="15029" spans="1:7" x14ac:dyDescent="0.2">
      <c r="A15029" t="s">
        <v>3073</v>
      </c>
      <c r="B15029" t="str">
        <f>"15066537953"</f>
        <v>15066537953</v>
      </c>
      <c r="C15029" t="str">
        <f>"370126199001217513"</f>
        <v>370126199001217513</v>
      </c>
      <c r="D15029" t="s">
        <v>1</v>
      </c>
      <c r="E15029" t="s">
        <v>1</v>
      </c>
      <c r="F15029" t="s">
        <v>0</v>
      </c>
      <c r="G15029" t="str">
        <f>"2018-10-12 18:23:54"</f>
        <v>2018-10-12 18:23:54</v>
      </c>
    </row>
    <row r="15030" spans="1:7" x14ac:dyDescent="0.2">
      <c r="A15030" t="s">
        <v>14612</v>
      </c>
      <c r="B15030" t="str">
        <f>"13959169720"</f>
        <v>13959169720</v>
      </c>
      <c r="C15030" t="str">
        <f>"350181199008091870"</f>
        <v>350181199008091870</v>
      </c>
      <c r="D15030" t="s">
        <v>1</v>
      </c>
      <c r="E15030" t="s">
        <v>1</v>
      </c>
      <c r="F15030" t="s">
        <v>0</v>
      </c>
      <c r="G15030" t="str">
        <f>"2018-10-12 18:25:01"</f>
        <v>2018-10-12 18:25:01</v>
      </c>
    </row>
    <row r="15031" spans="1:7" x14ac:dyDescent="0.2">
      <c r="A15031" t="s">
        <v>14613</v>
      </c>
      <c r="B15031" t="str">
        <f>"18349230920"</f>
        <v>18349230920</v>
      </c>
      <c r="C15031" t="str">
        <f>"130434199204196056"</f>
        <v>130434199204196056</v>
      </c>
      <c r="D15031" t="s">
        <v>1</v>
      </c>
      <c r="E15031" t="s">
        <v>1</v>
      </c>
      <c r="F15031" t="s">
        <v>0</v>
      </c>
      <c r="G15031" t="str">
        <f>"2018-10-12 18:23:08"</f>
        <v>2018-10-12 18:23:08</v>
      </c>
    </row>
    <row r="15032" spans="1:7" x14ac:dyDescent="0.2">
      <c r="A15032" t="s">
        <v>1</v>
      </c>
      <c r="B15032" t="str">
        <f>"18299057786"</f>
        <v>18299057786</v>
      </c>
      <c r="C15032" t="s">
        <v>1</v>
      </c>
      <c r="D15032" t="s">
        <v>1</v>
      </c>
      <c r="E15032" t="s">
        <v>1</v>
      </c>
      <c r="F15032" t="s">
        <v>0</v>
      </c>
      <c r="G15032" t="str">
        <f>"2018-10-12 18:24:55"</f>
        <v>2018-10-12 18:24:55</v>
      </c>
    </row>
    <row r="15033" spans="1:7" x14ac:dyDescent="0.2">
      <c r="A15033" t="s">
        <v>1</v>
      </c>
      <c r="B15033" t="str">
        <f>"15757135316"</f>
        <v>15757135316</v>
      </c>
      <c r="C15033" t="s">
        <v>1</v>
      </c>
      <c r="D15033" t="s">
        <v>1</v>
      </c>
      <c r="E15033" t="s">
        <v>1</v>
      </c>
      <c r="F15033" t="s">
        <v>0</v>
      </c>
      <c r="G15033" t="str">
        <f>"2018-10-12 18:20:19"</f>
        <v>2018-10-12 18:20:19</v>
      </c>
    </row>
    <row r="15034" spans="1:7" x14ac:dyDescent="0.2">
      <c r="A15034" t="s">
        <v>14614</v>
      </c>
      <c r="B15034" t="str">
        <f>"17709372547"</f>
        <v>17709372547</v>
      </c>
      <c r="C15034" t="str">
        <f>"622103200001124012"</f>
        <v>622103200001124012</v>
      </c>
      <c r="D15034" t="s">
        <v>1</v>
      </c>
      <c r="E15034" t="s">
        <v>1</v>
      </c>
      <c r="F15034" t="s">
        <v>0</v>
      </c>
      <c r="G15034" t="str">
        <f>"2018-10-12 18:22:54"</f>
        <v>2018-10-12 18:22:54</v>
      </c>
    </row>
    <row r="15035" spans="1:7" x14ac:dyDescent="0.2">
      <c r="A15035" t="s">
        <v>674</v>
      </c>
      <c r="B15035" t="str">
        <f>"15500297102"</f>
        <v>15500297102</v>
      </c>
      <c r="C15035" t="str">
        <f>"22080219900324152X"</f>
        <v>22080219900324152X</v>
      </c>
      <c r="D15035" t="s">
        <v>1</v>
      </c>
      <c r="E15035" t="s">
        <v>1</v>
      </c>
      <c r="F15035" t="s">
        <v>0</v>
      </c>
      <c r="G15035" t="str">
        <f>"2018-10-12 18:19:37"</f>
        <v>2018-10-12 18:19:37</v>
      </c>
    </row>
    <row r="15036" spans="1:7" x14ac:dyDescent="0.2">
      <c r="A15036" t="s">
        <v>14615</v>
      </c>
      <c r="B15036" t="str">
        <f>"13570576847"</f>
        <v>13570576847</v>
      </c>
      <c r="C15036" t="str">
        <f>"44010219880213143X"</f>
        <v>44010219880213143X</v>
      </c>
      <c r="D15036" t="s">
        <v>1</v>
      </c>
      <c r="E15036" t="s">
        <v>1</v>
      </c>
      <c r="F15036" t="s">
        <v>0</v>
      </c>
      <c r="G15036" t="str">
        <f>"2018-10-12 18:25:47"</f>
        <v>2018-10-12 18:25:47</v>
      </c>
    </row>
    <row r="15037" spans="1:7" x14ac:dyDescent="0.2">
      <c r="A15037" t="s">
        <v>14616</v>
      </c>
      <c r="B15037" t="str">
        <f>"15881371287"</f>
        <v>15881371287</v>
      </c>
      <c r="C15037" t="str">
        <f>"510922199410031095"</f>
        <v>510922199410031095</v>
      </c>
      <c r="D15037" t="s">
        <v>1</v>
      </c>
      <c r="E15037" t="s">
        <v>1</v>
      </c>
      <c r="F15037" t="s">
        <v>0</v>
      </c>
      <c r="G15037" t="str">
        <f>"2018-10-12 18:22:19"</f>
        <v>2018-10-12 18:22:19</v>
      </c>
    </row>
    <row r="15038" spans="1:7" x14ac:dyDescent="0.2">
      <c r="A15038" t="s">
        <v>1</v>
      </c>
      <c r="B15038" t="str">
        <f>"18555689908"</f>
        <v>18555689908</v>
      </c>
      <c r="C15038" t="s">
        <v>1</v>
      </c>
      <c r="D15038" t="s">
        <v>1</v>
      </c>
      <c r="E15038" t="s">
        <v>1</v>
      </c>
      <c r="F15038" t="s">
        <v>0</v>
      </c>
      <c r="G15038" t="str">
        <f>"2018-10-12 18:19:27"</f>
        <v>2018-10-12 18:19:27</v>
      </c>
    </row>
    <row r="15039" spans="1:7" x14ac:dyDescent="0.2">
      <c r="A15039" t="s">
        <v>1</v>
      </c>
      <c r="B15039" t="str">
        <f>"17607096327"</f>
        <v>17607096327</v>
      </c>
      <c r="C15039" t="s">
        <v>1</v>
      </c>
      <c r="D15039" t="s">
        <v>1</v>
      </c>
      <c r="E15039" t="s">
        <v>1</v>
      </c>
      <c r="F15039" t="s">
        <v>0</v>
      </c>
      <c r="G15039" t="str">
        <f>"2018-10-12 18:19:25"</f>
        <v>2018-10-12 18:19:25</v>
      </c>
    </row>
    <row r="15040" spans="1:7" x14ac:dyDescent="0.2">
      <c r="A15040" t="s">
        <v>14617</v>
      </c>
      <c r="B15040" t="str">
        <f>"13275022596"</f>
        <v>13275022596</v>
      </c>
      <c r="C15040" t="str">
        <f>"350525198302243077"</f>
        <v>350525198302243077</v>
      </c>
      <c r="D15040" t="s">
        <v>1</v>
      </c>
      <c r="E15040" t="s">
        <v>1</v>
      </c>
      <c r="F15040" t="s">
        <v>0</v>
      </c>
      <c r="G15040" t="str">
        <f>"2018-10-12 18:19:21"</f>
        <v>2018-10-12 18:19:21</v>
      </c>
    </row>
    <row r="15041" spans="1:7" x14ac:dyDescent="0.2">
      <c r="A15041" t="s">
        <v>96</v>
      </c>
      <c r="B15041" t="str">
        <f>"18652664847"</f>
        <v>18652664847</v>
      </c>
      <c r="C15041" t="str">
        <f>"321283199205286216"</f>
        <v>321283199205286216</v>
      </c>
      <c r="D15041" t="s">
        <v>1</v>
      </c>
      <c r="E15041" t="s">
        <v>1</v>
      </c>
      <c r="F15041" t="s">
        <v>0</v>
      </c>
      <c r="G15041" t="str">
        <f>"2018-10-12 18:20:17"</f>
        <v>2018-10-12 18:20:17</v>
      </c>
    </row>
    <row r="15042" spans="1:7" x14ac:dyDescent="0.2">
      <c r="A15042" t="s">
        <v>206</v>
      </c>
      <c r="B15042" t="str">
        <f>"13032014466"</f>
        <v>13032014466</v>
      </c>
      <c r="C15042" t="str">
        <f>"130621199310220012"</f>
        <v>130621199310220012</v>
      </c>
      <c r="D15042" t="s">
        <v>14618</v>
      </c>
      <c r="E15042" t="s">
        <v>14619</v>
      </c>
      <c r="F15042" t="s">
        <v>0</v>
      </c>
      <c r="G15042" t="str">
        <f>"2018-10-12 18:20:22"</f>
        <v>2018-10-12 18:20:22</v>
      </c>
    </row>
    <row r="15043" spans="1:7" x14ac:dyDescent="0.2">
      <c r="A15043" t="s">
        <v>14620</v>
      </c>
      <c r="B15043" t="str">
        <f>"18519090848"</f>
        <v>18519090848</v>
      </c>
      <c r="C15043" t="str">
        <f>"370902199208024519"</f>
        <v>370902199208024519</v>
      </c>
      <c r="D15043" t="s">
        <v>1</v>
      </c>
      <c r="E15043" t="s">
        <v>1</v>
      </c>
      <c r="F15043" t="s">
        <v>0</v>
      </c>
      <c r="G15043" t="str">
        <f>"2018-10-12 19:18:17"</f>
        <v>2018-10-12 19:18:17</v>
      </c>
    </row>
    <row r="15044" spans="1:7" x14ac:dyDescent="0.2">
      <c r="A15044" t="s">
        <v>14621</v>
      </c>
      <c r="B15044" t="str">
        <f>"15915029470"</f>
        <v>15915029470</v>
      </c>
      <c r="C15044" t="str">
        <f>"441284198708116445"</f>
        <v>441284198708116445</v>
      </c>
      <c r="D15044" t="s">
        <v>1</v>
      </c>
      <c r="E15044" t="s">
        <v>1</v>
      </c>
      <c r="F15044" t="s">
        <v>0</v>
      </c>
      <c r="G15044" t="str">
        <f>"2018-10-12 18:37:43"</f>
        <v>2018-10-12 18:37:43</v>
      </c>
    </row>
    <row r="15045" spans="1:7" x14ac:dyDescent="0.2">
      <c r="A15045" t="s">
        <v>1</v>
      </c>
      <c r="B15045" t="str">
        <f>"13060229518"</f>
        <v>13060229518</v>
      </c>
      <c r="C15045" t="s">
        <v>1</v>
      </c>
      <c r="D15045" t="s">
        <v>1</v>
      </c>
      <c r="E15045" t="s">
        <v>1</v>
      </c>
      <c r="F15045" t="s">
        <v>0</v>
      </c>
      <c r="G15045" t="str">
        <f>"2018-10-12 18:17:34"</f>
        <v>2018-10-12 18:17:34</v>
      </c>
    </row>
    <row r="15046" spans="1:7" x14ac:dyDescent="0.2">
      <c r="A15046" t="s">
        <v>14622</v>
      </c>
      <c r="B15046" t="str">
        <f>"15215896337"</f>
        <v>15215896337</v>
      </c>
      <c r="C15046" t="str">
        <f>"330724198305180711"</f>
        <v>330724198305180711</v>
      </c>
      <c r="D15046" t="s">
        <v>1</v>
      </c>
      <c r="E15046" t="s">
        <v>1</v>
      </c>
      <c r="F15046" t="s">
        <v>0</v>
      </c>
      <c r="G15046" t="str">
        <f>"2018-10-12 19:43:40"</f>
        <v>2018-10-12 19:43:40</v>
      </c>
    </row>
    <row r="15047" spans="1:7" x14ac:dyDescent="0.2">
      <c r="A15047" t="s">
        <v>14623</v>
      </c>
      <c r="B15047" t="str">
        <f>"17614213463"</f>
        <v>17614213463</v>
      </c>
      <c r="C15047" t="str">
        <f>"211381199812240217"</f>
        <v>211381199812240217</v>
      </c>
      <c r="D15047" t="s">
        <v>1</v>
      </c>
      <c r="E15047" t="s">
        <v>1</v>
      </c>
      <c r="F15047" t="s">
        <v>0</v>
      </c>
      <c r="G15047" t="str">
        <f>"2018-10-12 18:18:20"</f>
        <v>2018-10-12 18:18:20</v>
      </c>
    </row>
    <row r="15048" spans="1:7" x14ac:dyDescent="0.2">
      <c r="A15048" t="s">
        <v>1705</v>
      </c>
      <c r="B15048" t="str">
        <f>"18249585183"</f>
        <v>18249585183</v>
      </c>
      <c r="C15048" t="str">
        <f>"230603199412241720"</f>
        <v>230603199412241720</v>
      </c>
      <c r="D15048" t="s">
        <v>1</v>
      </c>
      <c r="E15048" t="s">
        <v>1</v>
      </c>
      <c r="F15048" t="s">
        <v>0</v>
      </c>
      <c r="G15048" t="str">
        <f>"2018-10-12 18:18:29"</f>
        <v>2018-10-12 18:18:29</v>
      </c>
    </row>
    <row r="15049" spans="1:7" x14ac:dyDescent="0.2">
      <c r="A15049" t="s">
        <v>4525</v>
      </c>
      <c r="B15049" t="str">
        <f>"17771657743"</f>
        <v>17771657743</v>
      </c>
      <c r="C15049" t="str">
        <f>"422802199004036842"</f>
        <v>422802199004036842</v>
      </c>
      <c r="D15049" t="s">
        <v>1</v>
      </c>
      <c r="E15049" t="s">
        <v>1</v>
      </c>
      <c r="F15049" t="s">
        <v>0</v>
      </c>
      <c r="G15049" t="str">
        <f>"2018-10-12 18:19:11"</f>
        <v>2018-10-12 18:19:11</v>
      </c>
    </row>
    <row r="15050" spans="1:7" x14ac:dyDescent="0.2">
      <c r="A15050" t="s">
        <v>1849</v>
      </c>
      <c r="B15050" t="str">
        <f>"18103897987"</f>
        <v>18103897987</v>
      </c>
      <c r="C15050" t="str">
        <f>"410881198810243034"</f>
        <v>410881198810243034</v>
      </c>
      <c r="D15050" t="s">
        <v>1</v>
      </c>
      <c r="E15050" t="s">
        <v>1</v>
      </c>
      <c r="F15050" t="s">
        <v>0</v>
      </c>
      <c r="G15050" t="str">
        <f>"2018-10-12 18:19:12"</f>
        <v>2018-10-12 18:19:12</v>
      </c>
    </row>
    <row r="15051" spans="1:7" x14ac:dyDescent="0.2">
      <c r="A15051" t="s">
        <v>14624</v>
      </c>
      <c r="B15051" t="str">
        <f>"15049400431"</f>
        <v>15049400431</v>
      </c>
      <c r="C15051" t="str">
        <f>"152824199301080842"</f>
        <v>152824199301080842</v>
      </c>
      <c r="D15051" t="s">
        <v>1</v>
      </c>
      <c r="E15051" t="s">
        <v>1</v>
      </c>
      <c r="F15051" t="s">
        <v>0</v>
      </c>
      <c r="G15051" t="str">
        <f>"2018-10-13 08:51:31"</f>
        <v>2018-10-13 08:51:31</v>
      </c>
    </row>
    <row r="15052" spans="1:7" x14ac:dyDescent="0.2">
      <c r="A15052" t="s">
        <v>14625</v>
      </c>
      <c r="B15052" t="str">
        <f>"15162863256"</f>
        <v>15162863256</v>
      </c>
      <c r="C15052" t="str">
        <f>"32068319940628244X"</f>
        <v>32068319940628244X</v>
      </c>
      <c r="D15052" t="s">
        <v>14626</v>
      </c>
      <c r="E15052" t="s">
        <v>14627</v>
      </c>
      <c r="F15052" t="s">
        <v>0</v>
      </c>
      <c r="G15052" t="str">
        <f>"2018-10-12 18:15:19"</f>
        <v>2018-10-12 18:15:19</v>
      </c>
    </row>
    <row r="15053" spans="1:7" x14ac:dyDescent="0.2">
      <c r="A15053" t="s">
        <v>628</v>
      </c>
      <c r="B15053" t="str">
        <f>"17600957056"</f>
        <v>17600957056</v>
      </c>
      <c r="C15053" t="str">
        <f>"110224199806305419"</f>
        <v>110224199806305419</v>
      </c>
      <c r="D15053" t="s">
        <v>1</v>
      </c>
      <c r="E15053" t="s">
        <v>1</v>
      </c>
      <c r="F15053" t="s">
        <v>0</v>
      </c>
      <c r="G15053" t="str">
        <f>"2018-10-29 19:01:16"</f>
        <v>2018-10-29 19:01:16</v>
      </c>
    </row>
    <row r="15054" spans="1:7" x14ac:dyDescent="0.2">
      <c r="A15054" t="s">
        <v>14628</v>
      </c>
      <c r="B15054" t="str">
        <f>"13908673823"</f>
        <v>13908673823</v>
      </c>
      <c r="C15054" t="str">
        <f>"420683198302256414"</f>
        <v>420683198302256414</v>
      </c>
      <c r="D15054" t="s">
        <v>1</v>
      </c>
      <c r="E15054" t="s">
        <v>1</v>
      </c>
      <c r="F15054" t="s">
        <v>0</v>
      </c>
      <c r="G15054" t="str">
        <f>"2018-10-12 18:17:06"</f>
        <v>2018-10-12 18:17:06</v>
      </c>
    </row>
    <row r="15055" spans="1:7" x14ac:dyDescent="0.2">
      <c r="A15055" t="s">
        <v>822</v>
      </c>
      <c r="B15055" t="str">
        <f>"18768858800"</f>
        <v>18768858800</v>
      </c>
      <c r="C15055" t="str">
        <f>"331081198410222610"</f>
        <v>331081198410222610</v>
      </c>
      <c r="D15055" t="s">
        <v>14629</v>
      </c>
      <c r="E15055" t="s">
        <v>14630</v>
      </c>
      <c r="F15055" t="s">
        <v>0</v>
      </c>
      <c r="G15055" t="str">
        <f>"2018-10-24 09:44:44"</f>
        <v>2018-10-24 09:44:44</v>
      </c>
    </row>
    <row r="15056" spans="1:7" x14ac:dyDescent="0.2">
      <c r="A15056" t="s">
        <v>14631</v>
      </c>
      <c r="B15056" t="str">
        <f>"15138070896"</f>
        <v>15138070896</v>
      </c>
      <c r="C15056" t="str">
        <f>"410883198502032529"</f>
        <v>410883198502032529</v>
      </c>
      <c r="D15056" t="s">
        <v>1</v>
      </c>
      <c r="E15056" t="s">
        <v>1</v>
      </c>
      <c r="F15056" t="s">
        <v>0</v>
      </c>
      <c r="G15056" t="str">
        <f>"2018-10-12 18:14:55"</f>
        <v>2018-10-12 18:14:55</v>
      </c>
    </row>
    <row r="15057" spans="1:7" x14ac:dyDescent="0.2">
      <c r="A15057" t="s">
        <v>14632</v>
      </c>
      <c r="B15057" t="str">
        <f>"18053680053"</f>
        <v>18053680053</v>
      </c>
      <c r="C15057" t="str">
        <f>"232301198910094573"</f>
        <v>232301198910094573</v>
      </c>
      <c r="D15057" t="s">
        <v>1</v>
      </c>
      <c r="E15057" t="s">
        <v>1</v>
      </c>
      <c r="F15057" t="s">
        <v>0</v>
      </c>
      <c r="G15057" t="str">
        <f>"2018-10-12 18:17:11"</f>
        <v>2018-10-12 18:17:11</v>
      </c>
    </row>
    <row r="15058" spans="1:7" x14ac:dyDescent="0.2">
      <c r="A15058" t="s">
        <v>14633</v>
      </c>
      <c r="B15058" t="str">
        <f>"13779908381"</f>
        <v>13779908381</v>
      </c>
      <c r="C15058" t="str">
        <f>"350681198111201719"</f>
        <v>350681198111201719</v>
      </c>
      <c r="D15058" t="s">
        <v>14634</v>
      </c>
      <c r="E15058" t="s">
        <v>14635</v>
      </c>
      <c r="F15058" t="s">
        <v>0</v>
      </c>
      <c r="G15058" t="str">
        <f>"2018-10-12 18:16:23"</f>
        <v>2018-10-12 18:16:23</v>
      </c>
    </row>
    <row r="15059" spans="1:7" x14ac:dyDescent="0.2">
      <c r="A15059" t="s">
        <v>14636</v>
      </c>
      <c r="B15059" t="str">
        <f>"17337378029"</f>
        <v>17337378029</v>
      </c>
      <c r="C15059" t="str">
        <f>"130323199510090634"</f>
        <v>130323199510090634</v>
      </c>
      <c r="D15059" t="s">
        <v>14637</v>
      </c>
      <c r="E15059" t="s">
        <v>14638</v>
      </c>
      <c r="F15059" t="s">
        <v>0</v>
      </c>
      <c r="G15059" t="str">
        <f>"2018-10-15 21:24:14"</f>
        <v>2018-10-15 21:24:14</v>
      </c>
    </row>
    <row r="15060" spans="1:7" x14ac:dyDescent="0.2">
      <c r="A15060" t="s">
        <v>1398</v>
      </c>
      <c r="B15060" t="str">
        <f>"18016327795"</f>
        <v>18016327795</v>
      </c>
      <c r="C15060" t="str">
        <f>"31011519821227832X"</f>
        <v>31011519821227832X</v>
      </c>
      <c r="D15060" t="s">
        <v>1</v>
      </c>
      <c r="E15060" t="s">
        <v>1</v>
      </c>
      <c r="F15060" t="s">
        <v>0</v>
      </c>
      <c r="G15060" t="str">
        <f>"2018-10-12 18:20:52"</f>
        <v>2018-10-12 18:20:52</v>
      </c>
    </row>
    <row r="15061" spans="1:7" x14ac:dyDescent="0.2">
      <c r="A15061" t="s">
        <v>14639</v>
      </c>
      <c r="B15061" t="str">
        <f>"13672350409"</f>
        <v>13672350409</v>
      </c>
      <c r="C15061" t="str">
        <f>"441226198809103412"</f>
        <v>441226198809103412</v>
      </c>
      <c r="D15061" t="s">
        <v>14640</v>
      </c>
      <c r="E15061" t="s">
        <v>14641</v>
      </c>
      <c r="F15061" t="s">
        <v>0</v>
      </c>
      <c r="G15061" t="str">
        <f>"2018-10-12 18:19:02"</f>
        <v>2018-10-12 18:19:02</v>
      </c>
    </row>
    <row r="15062" spans="1:7" x14ac:dyDescent="0.2">
      <c r="A15062" t="s">
        <v>14642</v>
      </c>
      <c r="B15062" t="str">
        <f>"13387696945"</f>
        <v>13387696945</v>
      </c>
      <c r="C15062" t="str">
        <f>"422802199106251754"</f>
        <v>422802199106251754</v>
      </c>
      <c r="D15062" t="s">
        <v>1</v>
      </c>
      <c r="E15062" t="s">
        <v>1</v>
      </c>
      <c r="F15062" t="s">
        <v>0</v>
      </c>
      <c r="G15062" t="str">
        <f>"2018-10-26 17:06:44"</f>
        <v>2018-10-26 17:06:44</v>
      </c>
    </row>
    <row r="15063" spans="1:7" x14ac:dyDescent="0.2">
      <c r="A15063" t="s">
        <v>14643</v>
      </c>
      <c r="B15063" t="str">
        <f>"18475504748"</f>
        <v>18475504748</v>
      </c>
      <c r="C15063" t="str">
        <f>"441581199602130072"</f>
        <v>441581199602130072</v>
      </c>
      <c r="D15063" t="s">
        <v>1</v>
      </c>
      <c r="E15063" t="s">
        <v>1</v>
      </c>
      <c r="F15063" t="s">
        <v>0</v>
      </c>
      <c r="G15063" t="str">
        <f>"2018-10-12 18:17:08"</f>
        <v>2018-10-12 18:17:08</v>
      </c>
    </row>
    <row r="15064" spans="1:7" x14ac:dyDescent="0.2">
      <c r="A15064" t="s">
        <v>14644</v>
      </c>
      <c r="B15064" t="str">
        <f>"13015127751"</f>
        <v>13015127751</v>
      </c>
      <c r="C15064" t="str">
        <f>"152127198902210055"</f>
        <v>152127198902210055</v>
      </c>
      <c r="D15064" t="s">
        <v>1</v>
      </c>
      <c r="E15064" t="s">
        <v>1</v>
      </c>
      <c r="F15064" t="s">
        <v>0</v>
      </c>
      <c r="G15064" t="str">
        <f>"2018-10-12 18:14:59"</f>
        <v>2018-10-12 18:14:59</v>
      </c>
    </row>
    <row r="15065" spans="1:7" x14ac:dyDescent="0.2">
      <c r="A15065" t="s">
        <v>14645</v>
      </c>
      <c r="B15065" t="str">
        <f>"15273225510"</f>
        <v>15273225510</v>
      </c>
      <c r="C15065" t="str">
        <f>"430321197708233564"</f>
        <v>430321197708233564</v>
      </c>
      <c r="D15065" t="s">
        <v>1</v>
      </c>
      <c r="E15065" t="s">
        <v>1</v>
      </c>
      <c r="F15065" t="s">
        <v>0</v>
      </c>
      <c r="G15065" t="str">
        <f>"2018-10-12 18:34:35"</f>
        <v>2018-10-12 18:34:35</v>
      </c>
    </row>
    <row r="15066" spans="1:7" x14ac:dyDescent="0.2">
      <c r="A15066" t="s">
        <v>14646</v>
      </c>
      <c r="B15066" t="str">
        <f>"15762893707"</f>
        <v>15762893707</v>
      </c>
      <c r="C15066" t="str">
        <f>"370323199308220217"</f>
        <v>370323199308220217</v>
      </c>
      <c r="D15066" t="s">
        <v>1</v>
      </c>
      <c r="E15066" t="s">
        <v>1</v>
      </c>
      <c r="F15066" t="s">
        <v>0</v>
      </c>
      <c r="G15066" t="str">
        <f>"2018-10-18 15:00:54"</f>
        <v>2018-10-18 15:00:54</v>
      </c>
    </row>
    <row r="15067" spans="1:7" x14ac:dyDescent="0.2">
      <c r="A15067" t="s">
        <v>1</v>
      </c>
      <c r="B15067" t="str">
        <f>"15256690334"</f>
        <v>15256690334</v>
      </c>
      <c r="C15067" t="s">
        <v>1</v>
      </c>
      <c r="D15067" t="s">
        <v>1</v>
      </c>
      <c r="E15067" t="s">
        <v>1</v>
      </c>
      <c r="F15067" t="s">
        <v>0</v>
      </c>
      <c r="G15067" t="str">
        <f>"2018-10-12 18:13:12"</f>
        <v>2018-10-12 18:13:12</v>
      </c>
    </row>
    <row r="15068" spans="1:7" x14ac:dyDescent="0.2">
      <c r="A15068" t="s">
        <v>4851</v>
      </c>
      <c r="B15068" t="str">
        <f>"15195384753"</f>
        <v>15195384753</v>
      </c>
      <c r="C15068" t="str">
        <f>"320821199712211510"</f>
        <v>320821199712211510</v>
      </c>
      <c r="D15068" t="s">
        <v>1</v>
      </c>
      <c r="E15068" t="s">
        <v>1</v>
      </c>
      <c r="F15068" t="s">
        <v>0</v>
      </c>
      <c r="G15068" t="str">
        <f>"2018-10-12 18:12:23"</f>
        <v>2018-10-12 18:12:23</v>
      </c>
    </row>
    <row r="15069" spans="1:7" x14ac:dyDescent="0.2">
      <c r="A15069" t="s">
        <v>14647</v>
      </c>
      <c r="B15069" t="str">
        <f>"15936773368"</f>
        <v>15936773368</v>
      </c>
      <c r="C15069" t="str">
        <f>"410928198203044512"</f>
        <v>410928198203044512</v>
      </c>
      <c r="D15069" t="s">
        <v>1</v>
      </c>
      <c r="E15069" t="s">
        <v>1</v>
      </c>
      <c r="F15069" t="s">
        <v>0</v>
      </c>
      <c r="G15069" t="str">
        <f>"2018-10-22 15:38:59"</f>
        <v>2018-10-22 15:38:59</v>
      </c>
    </row>
    <row r="15070" spans="1:7" x14ac:dyDescent="0.2">
      <c r="A15070" t="s">
        <v>14648</v>
      </c>
      <c r="B15070" t="str">
        <f>"15135309413"</f>
        <v>15135309413</v>
      </c>
      <c r="C15070" t="str">
        <f>"142621199503234115"</f>
        <v>142621199503234115</v>
      </c>
      <c r="D15070" t="s">
        <v>1</v>
      </c>
      <c r="E15070" t="s">
        <v>1</v>
      </c>
      <c r="F15070" t="s">
        <v>0</v>
      </c>
      <c r="G15070" t="str">
        <f>"2018-10-12 18:12:28"</f>
        <v>2018-10-12 18:12:28</v>
      </c>
    </row>
    <row r="15071" spans="1:7" x14ac:dyDescent="0.2">
      <c r="A15071" t="s">
        <v>1</v>
      </c>
      <c r="B15071" t="str">
        <f>"17784719108"</f>
        <v>17784719108</v>
      </c>
      <c r="C15071" t="s">
        <v>1</v>
      </c>
      <c r="D15071" t="s">
        <v>1</v>
      </c>
      <c r="E15071" t="s">
        <v>1</v>
      </c>
      <c r="F15071" t="s">
        <v>0</v>
      </c>
      <c r="G15071" t="str">
        <f>"2018-10-12 18:10:50"</f>
        <v>2018-10-12 18:10:50</v>
      </c>
    </row>
    <row r="15072" spans="1:7" x14ac:dyDescent="0.2">
      <c r="A15072" t="s">
        <v>14649</v>
      </c>
      <c r="B15072" t="str">
        <f>"15134942489"</f>
        <v>15134942489</v>
      </c>
      <c r="C15072" t="str">
        <f>"152725198701151247"</f>
        <v>152725198701151247</v>
      </c>
      <c r="D15072" t="s">
        <v>14650</v>
      </c>
      <c r="E15072" t="s">
        <v>14651</v>
      </c>
      <c r="F15072" t="s">
        <v>0</v>
      </c>
      <c r="G15072" t="str">
        <f>"2018-10-12 18:12:06"</f>
        <v>2018-10-12 18:12:06</v>
      </c>
    </row>
    <row r="15073" spans="1:7" x14ac:dyDescent="0.2">
      <c r="A15073" t="s">
        <v>14652</v>
      </c>
      <c r="B15073" t="str">
        <f>"18088391233"</f>
        <v>18088391233</v>
      </c>
      <c r="C15073" t="str">
        <f>"510824198810043012"</f>
        <v>510824198810043012</v>
      </c>
      <c r="D15073" t="s">
        <v>1</v>
      </c>
      <c r="E15073" t="s">
        <v>1</v>
      </c>
      <c r="F15073" t="s">
        <v>0</v>
      </c>
      <c r="G15073" t="str">
        <f>"2018-10-12 18:11:42"</f>
        <v>2018-10-12 18:11:42</v>
      </c>
    </row>
    <row r="15074" spans="1:7" x14ac:dyDescent="0.2">
      <c r="A15074" t="s">
        <v>14653</v>
      </c>
      <c r="B15074" t="str">
        <f>"15211878585"</f>
        <v>15211878585</v>
      </c>
      <c r="C15074" t="str">
        <f>"430482198811246868"</f>
        <v>430482198811246868</v>
      </c>
      <c r="D15074" t="s">
        <v>1</v>
      </c>
      <c r="E15074" t="s">
        <v>1</v>
      </c>
      <c r="F15074" t="s">
        <v>0</v>
      </c>
      <c r="G15074" t="str">
        <f>"2018-10-12 18:11:18"</f>
        <v>2018-10-12 18:11:18</v>
      </c>
    </row>
    <row r="15075" spans="1:7" x14ac:dyDescent="0.2">
      <c r="A15075" t="s">
        <v>1</v>
      </c>
      <c r="B15075" t="str">
        <f>"17741168336"</f>
        <v>17741168336</v>
      </c>
      <c r="C15075" t="s">
        <v>1</v>
      </c>
      <c r="D15075" t="s">
        <v>1</v>
      </c>
      <c r="E15075" t="s">
        <v>1</v>
      </c>
      <c r="F15075" t="s">
        <v>0</v>
      </c>
      <c r="G15075" t="str">
        <f>"2018-10-12 18:09:24"</f>
        <v>2018-10-12 18:09:24</v>
      </c>
    </row>
    <row r="15076" spans="1:7" x14ac:dyDescent="0.2">
      <c r="A15076" t="s">
        <v>1</v>
      </c>
      <c r="B15076" t="str">
        <f>"18888383317"</f>
        <v>18888383317</v>
      </c>
      <c r="C15076" t="s">
        <v>1</v>
      </c>
      <c r="D15076" t="s">
        <v>1</v>
      </c>
      <c r="E15076" t="s">
        <v>1</v>
      </c>
      <c r="F15076" t="s">
        <v>0</v>
      </c>
      <c r="G15076" t="str">
        <f>"2018-10-12 18:08:42"</f>
        <v>2018-10-12 18:08:42</v>
      </c>
    </row>
    <row r="15077" spans="1:7" x14ac:dyDescent="0.2">
      <c r="A15077" t="s">
        <v>14654</v>
      </c>
      <c r="B15077" t="str">
        <f>"15890933976"</f>
        <v>15890933976</v>
      </c>
      <c r="C15077" t="str">
        <f>"41022320000812551X"</f>
        <v>41022320000812551X</v>
      </c>
      <c r="D15077" t="s">
        <v>14655</v>
      </c>
      <c r="E15077" t="s">
        <v>14655</v>
      </c>
      <c r="F15077" t="s">
        <v>0</v>
      </c>
      <c r="G15077" t="str">
        <f>"2018-10-12 18:09:27"</f>
        <v>2018-10-12 18:09:27</v>
      </c>
    </row>
    <row r="15078" spans="1:7" x14ac:dyDescent="0.2">
      <c r="A15078" t="s">
        <v>14656</v>
      </c>
      <c r="B15078" t="str">
        <f>"17696096491"</f>
        <v>17696096491</v>
      </c>
      <c r="C15078" t="str">
        <f>"140429199704156414"</f>
        <v>140429199704156414</v>
      </c>
      <c r="D15078" t="s">
        <v>1</v>
      </c>
      <c r="E15078" t="s">
        <v>1</v>
      </c>
      <c r="F15078" t="s">
        <v>0</v>
      </c>
      <c r="G15078" t="str">
        <f>"2018-10-12 18:09:52"</f>
        <v>2018-10-12 18:09:52</v>
      </c>
    </row>
    <row r="15079" spans="1:7" x14ac:dyDescent="0.2">
      <c r="A15079" t="s">
        <v>14657</v>
      </c>
      <c r="B15079" t="str">
        <f>"15587075507"</f>
        <v>15587075507</v>
      </c>
      <c r="C15079" t="str">
        <f>"530113199608291611"</f>
        <v>530113199608291611</v>
      </c>
      <c r="D15079" t="s">
        <v>1</v>
      </c>
      <c r="E15079" t="s">
        <v>1</v>
      </c>
      <c r="F15079" t="s">
        <v>0</v>
      </c>
      <c r="G15079" t="str">
        <f>"2018-10-12 18:11:07"</f>
        <v>2018-10-12 18:11:07</v>
      </c>
    </row>
    <row r="15080" spans="1:7" x14ac:dyDescent="0.2">
      <c r="A15080" t="s">
        <v>1</v>
      </c>
      <c r="B15080" t="str">
        <f>"18734848598"</f>
        <v>18734848598</v>
      </c>
      <c r="C15080" t="s">
        <v>1</v>
      </c>
      <c r="D15080" t="s">
        <v>1</v>
      </c>
      <c r="E15080" t="s">
        <v>1</v>
      </c>
      <c r="F15080" t="s">
        <v>0</v>
      </c>
      <c r="G15080" t="str">
        <f>"2018-10-12 18:07:49"</f>
        <v>2018-10-12 18:07:49</v>
      </c>
    </row>
    <row r="15081" spans="1:7" x14ac:dyDescent="0.2">
      <c r="A15081" t="s">
        <v>14658</v>
      </c>
      <c r="B15081" t="str">
        <f>"15061725786"</f>
        <v>15061725786</v>
      </c>
      <c r="C15081" t="str">
        <f>"320282198709060518"</f>
        <v>320282198709060518</v>
      </c>
      <c r="D15081" t="s">
        <v>1</v>
      </c>
      <c r="E15081" t="s">
        <v>1</v>
      </c>
      <c r="F15081" t="s">
        <v>0</v>
      </c>
      <c r="G15081" t="str">
        <f>"2018-10-12 18:16:53"</f>
        <v>2018-10-12 18:16:53</v>
      </c>
    </row>
    <row r="15082" spans="1:7" x14ac:dyDescent="0.2">
      <c r="A15082" t="s">
        <v>1</v>
      </c>
      <c r="B15082" t="str">
        <f>"15239527136"</f>
        <v>15239527136</v>
      </c>
      <c r="C15082" t="s">
        <v>1</v>
      </c>
      <c r="D15082" t="s">
        <v>1</v>
      </c>
      <c r="E15082" t="s">
        <v>1</v>
      </c>
      <c r="F15082" t="s">
        <v>0</v>
      </c>
      <c r="G15082" t="str">
        <f>"2018-10-12 18:19:29"</f>
        <v>2018-10-12 18:19:29</v>
      </c>
    </row>
    <row r="15083" spans="1:7" x14ac:dyDescent="0.2">
      <c r="A15083" t="s">
        <v>1</v>
      </c>
      <c r="B15083" t="str">
        <f>"13036896146"</f>
        <v>13036896146</v>
      </c>
      <c r="C15083" t="s">
        <v>1</v>
      </c>
      <c r="D15083" t="s">
        <v>1</v>
      </c>
      <c r="E15083" t="s">
        <v>1</v>
      </c>
      <c r="F15083" t="s">
        <v>0</v>
      </c>
      <c r="G15083" t="str">
        <f>"2018-10-12 18:06:15"</f>
        <v>2018-10-12 18:06:15</v>
      </c>
    </row>
    <row r="15084" spans="1:7" x14ac:dyDescent="0.2">
      <c r="A15084" t="s">
        <v>14659</v>
      </c>
      <c r="B15084" t="str">
        <f>"18876837644"</f>
        <v>18876837644</v>
      </c>
      <c r="C15084" t="str">
        <f>"460104199404201253"</f>
        <v>460104199404201253</v>
      </c>
      <c r="D15084" t="s">
        <v>1</v>
      </c>
      <c r="E15084" t="s">
        <v>1</v>
      </c>
      <c r="F15084" t="s">
        <v>0</v>
      </c>
      <c r="G15084" t="str">
        <f>"2018-10-12 18:06:39"</f>
        <v>2018-10-12 18:06:39</v>
      </c>
    </row>
    <row r="15085" spans="1:7" x14ac:dyDescent="0.2">
      <c r="A15085" t="s">
        <v>14660</v>
      </c>
      <c r="B15085" t="str">
        <f>"18034272303"</f>
        <v>18034272303</v>
      </c>
      <c r="C15085" t="str">
        <f>"130983199301103952"</f>
        <v>130983199301103952</v>
      </c>
      <c r="D15085" t="s">
        <v>1</v>
      </c>
      <c r="E15085" t="s">
        <v>1</v>
      </c>
      <c r="F15085" t="s">
        <v>0</v>
      </c>
      <c r="G15085" t="str">
        <f>"2018-10-12 18:04:59"</f>
        <v>2018-10-12 18:04:59</v>
      </c>
    </row>
    <row r="15086" spans="1:7" x14ac:dyDescent="0.2">
      <c r="A15086" t="s">
        <v>14661</v>
      </c>
      <c r="B15086" t="str">
        <f>"18012376734"</f>
        <v>18012376734</v>
      </c>
      <c r="C15086" t="str">
        <f>"320981199103141715"</f>
        <v>320981199103141715</v>
      </c>
      <c r="D15086" t="s">
        <v>1</v>
      </c>
      <c r="E15086" t="s">
        <v>1</v>
      </c>
      <c r="F15086" t="s">
        <v>0</v>
      </c>
      <c r="G15086" t="str">
        <f>"2018-10-12 18:08:17"</f>
        <v>2018-10-12 18:08:17</v>
      </c>
    </row>
    <row r="15087" spans="1:7" x14ac:dyDescent="0.2">
      <c r="A15087" t="s">
        <v>1</v>
      </c>
      <c r="B15087" t="str">
        <f>"13974833935"</f>
        <v>13974833935</v>
      </c>
      <c r="C15087" t="s">
        <v>1</v>
      </c>
      <c r="D15087" t="s">
        <v>1</v>
      </c>
      <c r="E15087" t="s">
        <v>1</v>
      </c>
      <c r="F15087" t="s">
        <v>0</v>
      </c>
      <c r="G15087" t="str">
        <f>"2018-10-12 18:03:32"</f>
        <v>2018-10-12 18:03:32</v>
      </c>
    </row>
    <row r="15088" spans="1:7" x14ac:dyDescent="0.2">
      <c r="A15088" t="s">
        <v>14662</v>
      </c>
      <c r="B15088" t="str">
        <f>"13733053685"</f>
        <v>13733053685</v>
      </c>
      <c r="C15088" t="str">
        <f>"320324197702072548"</f>
        <v>320324197702072548</v>
      </c>
      <c r="D15088" t="s">
        <v>1</v>
      </c>
      <c r="E15088" t="s">
        <v>1</v>
      </c>
      <c r="F15088" t="s">
        <v>0</v>
      </c>
      <c r="G15088" t="str">
        <f>"2018-10-12 18:19:30"</f>
        <v>2018-10-12 18:19:30</v>
      </c>
    </row>
    <row r="15089" spans="1:7" x14ac:dyDescent="0.2">
      <c r="A15089" t="s">
        <v>14663</v>
      </c>
      <c r="B15089" t="str">
        <f>"17738065679"</f>
        <v>17738065679</v>
      </c>
      <c r="C15089" t="str">
        <f>"511123199608291494"</f>
        <v>511123199608291494</v>
      </c>
      <c r="D15089" t="s">
        <v>1</v>
      </c>
      <c r="E15089" t="s">
        <v>1</v>
      </c>
      <c r="F15089" t="s">
        <v>0</v>
      </c>
      <c r="G15089" t="str">
        <f>"2018-10-12 18:05:57"</f>
        <v>2018-10-12 18:05:57</v>
      </c>
    </row>
    <row r="15090" spans="1:7" x14ac:dyDescent="0.2">
      <c r="A15090" t="s">
        <v>1</v>
      </c>
      <c r="B15090" t="str">
        <f>"15218140978"</f>
        <v>15218140978</v>
      </c>
      <c r="C15090" t="s">
        <v>1</v>
      </c>
      <c r="D15090" t="s">
        <v>1</v>
      </c>
      <c r="E15090" t="s">
        <v>1</v>
      </c>
      <c r="F15090" t="s">
        <v>0</v>
      </c>
      <c r="G15090" t="str">
        <f>"2018-10-12 18:28:20"</f>
        <v>2018-10-12 18:28:20</v>
      </c>
    </row>
    <row r="15091" spans="1:7" x14ac:dyDescent="0.2">
      <c r="A15091" t="s">
        <v>14664</v>
      </c>
      <c r="B15091" t="str">
        <f>"13880880939"</f>
        <v>13880880939</v>
      </c>
      <c r="C15091" t="str">
        <f>"51018119870618333X"</f>
        <v>51018119870618333X</v>
      </c>
      <c r="D15091" t="s">
        <v>14665</v>
      </c>
      <c r="E15091" t="s">
        <v>14666</v>
      </c>
      <c r="F15091" t="s">
        <v>0</v>
      </c>
      <c r="G15091" t="str">
        <f>"2018-10-12 18:14:33"</f>
        <v>2018-10-12 18:14:33</v>
      </c>
    </row>
    <row r="15092" spans="1:7" x14ac:dyDescent="0.2">
      <c r="A15092" t="s">
        <v>14667</v>
      </c>
      <c r="B15092" t="str">
        <f>"13588410582"</f>
        <v>13588410582</v>
      </c>
      <c r="C15092" t="str">
        <f>"330106199703023331"</f>
        <v>330106199703023331</v>
      </c>
      <c r="D15092" t="s">
        <v>1</v>
      </c>
      <c r="E15092" t="s">
        <v>1</v>
      </c>
      <c r="F15092" t="s">
        <v>0</v>
      </c>
      <c r="G15092" t="str">
        <f>"2018-10-12 18:04:26"</f>
        <v>2018-10-12 18:04:26</v>
      </c>
    </row>
    <row r="15093" spans="1:7" x14ac:dyDescent="0.2">
      <c r="A15093" t="s">
        <v>1</v>
      </c>
      <c r="B15093" t="str">
        <f>"15940173876"</f>
        <v>15940173876</v>
      </c>
      <c r="C15093" t="s">
        <v>1</v>
      </c>
      <c r="D15093" t="s">
        <v>1</v>
      </c>
      <c r="E15093" t="s">
        <v>1</v>
      </c>
      <c r="F15093" t="s">
        <v>0</v>
      </c>
      <c r="G15093" t="str">
        <f>"2018-10-12 19:00:41"</f>
        <v>2018-10-12 19:00:41</v>
      </c>
    </row>
    <row r="15094" spans="1:7" x14ac:dyDescent="0.2">
      <c r="A15094" t="s">
        <v>14668</v>
      </c>
      <c r="B15094" t="str">
        <f>"18896618456"</f>
        <v>18896618456</v>
      </c>
      <c r="C15094" t="str">
        <f>"320723198304084439"</f>
        <v>320723198304084439</v>
      </c>
      <c r="D15094" t="s">
        <v>14669</v>
      </c>
      <c r="E15094" t="s">
        <v>14670</v>
      </c>
      <c r="F15094" t="s">
        <v>0</v>
      </c>
      <c r="G15094" t="str">
        <f>"2018-10-22 17:09:59"</f>
        <v>2018-10-22 17:09:59</v>
      </c>
    </row>
    <row r="15095" spans="1:7" x14ac:dyDescent="0.2">
      <c r="A15095" t="s">
        <v>14671</v>
      </c>
      <c r="B15095" t="str">
        <f>"15123001317"</f>
        <v>15123001317</v>
      </c>
      <c r="C15095" t="str">
        <f>"513021199409218896"</f>
        <v>513021199409218896</v>
      </c>
      <c r="D15095" t="s">
        <v>1</v>
      </c>
      <c r="E15095" t="s">
        <v>1</v>
      </c>
      <c r="F15095" t="s">
        <v>0</v>
      </c>
      <c r="G15095" t="str">
        <f>"2018-10-12 18:16:49"</f>
        <v>2018-10-12 18:16:49</v>
      </c>
    </row>
    <row r="15096" spans="1:7" x14ac:dyDescent="0.2">
      <c r="A15096" t="s">
        <v>14672</v>
      </c>
      <c r="B15096" t="str">
        <f>"18396576784"</f>
        <v>18396576784</v>
      </c>
      <c r="C15096" t="str">
        <f>"352122197303282824"</f>
        <v>352122197303282824</v>
      </c>
      <c r="D15096" t="s">
        <v>1</v>
      </c>
      <c r="E15096" t="s">
        <v>1</v>
      </c>
      <c r="F15096" t="s">
        <v>0</v>
      </c>
      <c r="G15096" t="str">
        <f>"2018-10-12 18:03:04"</f>
        <v>2018-10-12 18:03:04</v>
      </c>
    </row>
    <row r="15097" spans="1:7" x14ac:dyDescent="0.2">
      <c r="A15097" t="s">
        <v>623</v>
      </c>
      <c r="B15097" t="str">
        <f>"13547963584"</f>
        <v>13547963584</v>
      </c>
      <c r="C15097" t="str">
        <f>"510131198512241024"</f>
        <v>510131198512241024</v>
      </c>
      <c r="D15097" t="s">
        <v>1</v>
      </c>
      <c r="E15097" t="s">
        <v>1</v>
      </c>
      <c r="F15097" t="s">
        <v>0</v>
      </c>
      <c r="G15097" t="str">
        <f>"2018-10-12 18:00:23"</f>
        <v>2018-10-12 18:00:23</v>
      </c>
    </row>
    <row r="15098" spans="1:7" x14ac:dyDescent="0.2">
      <c r="A15098" t="s">
        <v>14673</v>
      </c>
      <c r="B15098" t="str">
        <f>"13587399691"</f>
        <v>13587399691</v>
      </c>
      <c r="C15098" t="str">
        <f>"430123197808286550"</f>
        <v>430123197808286550</v>
      </c>
      <c r="D15098" t="s">
        <v>14674</v>
      </c>
      <c r="E15098" t="s">
        <v>14675</v>
      </c>
      <c r="F15098" t="s">
        <v>0</v>
      </c>
      <c r="G15098" t="str">
        <f>"2018-10-12 18:25:53"</f>
        <v>2018-10-12 18:25:53</v>
      </c>
    </row>
    <row r="15099" spans="1:7" x14ac:dyDescent="0.2">
      <c r="A15099" t="s">
        <v>14676</v>
      </c>
      <c r="B15099" t="str">
        <f>"13386076222"</f>
        <v>13386076222</v>
      </c>
      <c r="C15099" t="str">
        <f>"310222196503030236"</f>
        <v>310222196503030236</v>
      </c>
      <c r="D15099" t="s">
        <v>1</v>
      </c>
      <c r="E15099" t="s">
        <v>1</v>
      </c>
      <c r="F15099" t="s">
        <v>0</v>
      </c>
      <c r="G15099" t="str">
        <f>"2018-10-12 18:02:41"</f>
        <v>2018-10-12 18:02:41</v>
      </c>
    </row>
    <row r="15100" spans="1:7" x14ac:dyDescent="0.2">
      <c r="A15100" t="s">
        <v>1</v>
      </c>
      <c r="B15100" t="str">
        <f>"13074865598"</f>
        <v>13074865598</v>
      </c>
      <c r="C15100" t="s">
        <v>1</v>
      </c>
      <c r="D15100" t="s">
        <v>1</v>
      </c>
      <c r="E15100" t="s">
        <v>1</v>
      </c>
      <c r="F15100" t="s">
        <v>0</v>
      </c>
      <c r="G15100" t="str">
        <f>"2018-10-12 17:59:07"</f>
        <v>2018-10-12 17:59:07</v>
      </c>
    </row>
    <row r="15101" spans="1:7" x14ac:dyDescent="0.2">
      <c r="A15101" t="s">
        <v>91</v>
      </c>
      <c r="B15101" t="str">
        <f>"17360453668"</f>
        <v>17360453668</v>
      </c>
      <c r="C15101" t="str">
        <f>"510503199306284550"</f>
        <v>510503199306284550</v>
      </c>
      <c r="D15101" t="s">
        <v>1</v>
      </c>
      <c r="E15101" t="s">
        <v>1</v>
      </c>
      <c r="F15101" t="s">
        <v>0</v>
      </c>
      <c r="G15101" t="str">
        <f>"2018-10-12 18:00:26"</f>
        <v>2018-10-12 18:00:26</v>
      </c>
    </row>
    <row r="15102" spans="1:7" x14ac:dyDescent="0.2">
      <c r="A15102" t="s">
        <v>14677</v>
      </c>
      <c r="B15102" t="str">
        <f>"13124454432"</f>
        <v>13124454432</v>
      </c>
      <c r="C15102" t="str">
        <f>"430725199104135011"</f>
        <v>430725199104135011</v>
      </c>
      <c r="D15102" t="s">
        <v>1</v>
      </c>
      <c r="E15102" t="s">
        <v>1</v>
      </c>
      <c r="F15102" t="s">
        <v>0</v>
      </c>
      <c r="G15102" t="str">
        <f>"2018-10-12 18:06:18"</f>
        <v>2018-10-12 18:06:18</v>
      </c>
    </row>
    <row r="15103" spans="1:7" x14ac:dyDescent="0.2">
      <c r="A15103" t="s">
        <v>14678</v>
      </c>
      <c r="B15103" t="str">
        <f>"15837198329"</f>
        <v>15837198329</v>
      </c>
      <c r="C15103" t="str">
        <f>"410802199605120018"</f>
        <v>410802199605120018</v>
      </c>
      <c r="D15103" t="s">
        <v>14679</v>
      </c>
      <c r="E15103" t="s">
        <v>14680</v>
      </c>
      <c r="F15103" t="s">
        <v>0</v>
      </c>
      <c r="G15103" t="str">
        <f>"2018-10-12 18:00:52"</f>
        <v>2018-10-12 18:00:52</v>
      </c>
    </row>
    <row r="15104" spans="1:7" x14ac:dyDescent="0.2">
      <c r="A15104" t="s">
        <v>14681</v>
      </c>
      <c r="B15104" t="str">
        <f>"15618017122"</f>
        <v>15618017122</v>
      </c>
      <c r="C15104" t="str">
        <f>"31010719720928461X"</f>
        <v>31010719720928461X</v>
      </c>
      <c r="D15104" t="s">
        <v>1</v>
      </c>
      <c r="E15104" t="s">
        <v>1</v>
      </c>
      <c r="F15104" t="s">
        <v>0</v>
      </c>
      <c r="G15104" t="str">
        <f>"2018-10-12 17:57:56"</f>
        <v>2018-10-12 17:57:56</v>
      </c>
    </row>
    <row r="15105" spans="1:7" x14ac:dyDescent="0.2">
      <c r="A15105" t="s">
        <v>14682</v>
      </c>
      <c r="B15105" t="str">
        <f>"18523834005"</f>
        <v>18523834005</v>
      </c>
      <c r="C15105" t="str">
        <f>"510223197205283639"</f>
        <v>510223197205283639</v>
      </c>
      <c r="D15105" t="s">
        <v>1</v>
      </c>
      <c r="E15105" t="s">
        <v>1</v>
      </c>
      <c r="F15105" t="s">
        <v>0</v>
      </c>
      <c r="G15105" t="str">
        <f>"2018-10-12 17:59:21"</f>
        <v>2018-10-12 17:59:21</v>
      </c>
    </row>
    <row r="15106" spans="1:7" x14ac:dyDescent="0.2">
      <c r="A15106" t="s">
        <v>339</v>
      </c>
      <c r="B15106" t="str">
        <f>"15838872079"</f>
        <v>15838872079</v>
      </c>
      <c r="C15106" t="str">
        <f>"412723198112301244"</f>
        <v>412723198112301244</v>
      </c>
      <c r="D15106" t="s">
        <v>1</v>
      </c>
      <c r="E15106" t="s">
        <v>1</v>
      </c>
      <c r="F15106" t="s">
        <v>0</v>
      </c>
      <c r="G15106" t="str">
        <f>"2018-10-12 18:17:02"</f>
        <v>2018-10-12 18:17:02</v>
      </c>
    </row>
    <row r="15107" spans="1:7" x14ac:dyDescent="0.2">
      <c r="A15107" t="s">
        <v>1</v>
      </c>
      <c r="B15107" t="str">
        <f>"18737663780"</f>
        <v>18737663780</v>
      </c>
      <c r="C15107" t="s">
        <v>1</v>
      </c>
      <c r="D15107" t="s">
        <v>1</v>
      </c>
      <c r="E15107" t="s">
        <v>1</v>
      </c>
      <c r="F15107" t="s">
        <v>0</v>
      </c>
      <c r="G15107" t="str">
        <f>"2018-10-13 18:23:21"</f>
        <v>2018-10-13 18:23:21</v>
      </c>
    </row>
    <row r="15108" spans="1:7" x14ac:dyDescent="0.2">
      <c r="A15108" t="s">
        <v>14683</v>
      </c>
      <c r="B15108" t="str">
        <f>"13451852869"</f>
        <v>13451852869</v>
      </c>
      <c r="C15108" t="str">
        <f>"130431197812112110"</f>
        <v>130431197812112110</v>
      </c>
      <c r="D15108" t="s">
        <v>1</v>
      </c>
      <c r="E15108" t="s">
        <v>1</v>
      </c>
      <c r="F15108" t="s">
        <v>0</v>
      </c>
      <c r="G15108" t="str">
        <f>"2018-10-12 17:58:46"</f>
        <v>2018-10-12 17:58:46</v>
      </c>
    </row>
    <row r="15109" spans="1:7" x14ac:dyDescent="0.2">
      <c r="A15109" t="s">
        <v>14684</v>
      </c>
      <c r="B15109" t="str">
        <f>"18360585199"</f>
        <v>18360585199</v>
      </c>
      <c r="C15109" t="str">
        <f>"320724199009090028"</f>
        <v>320724199009090028</v>
      </c>
      <c r="D15109" t="s">
        <v>1</v>
      </c>
      <c r="E15109" t="s">
        <v>1</v>
      </c>
      <c r="F15109" t="s">
        <v>0</v>
      </c>
      <c r="G15109" t="str">
        <f>"2018-10-12 17:58:45"</f>
        <v>2018-10-12 17:58:45</v>
      </c>
    </row>
    <row r="15110" spans="1:7" x14ac:dyDescent="0.2">
      <c r="A15110" t="s">
        <v>1</v>
      </c>
      <c r="B15110" t="str">
        <f>"18475985959"</f>
        <v>18475985959</v>
      </c>
      <c r="C15110" t="s">
        <v>1</v>
      </c>
      <c r="D15110" t="s">
        <v>1</v>
      </c>
      <c r="E15110" t="s">
        <v>1</v>
      </c>
      <c r="F15110" t="s">
        <v>0</v>
      </c>
      <c r="G15110" t="str">
        <f>"2018-10-12 17:56:15"</f>
        <v>2018-10-12 17:56:15</v>
      </c>
    </row>
    <row r="15111" spans="1:7" x14ac:dyDescent="0.2">
      <c r="A15111" t="s">
        <v>14685</v>
      </c>
      <c r="B15111" t="str">
        <f>"15846468687"</f>
        <v>15846468687</v>
      </c>
      <c r="C15111" t="str">
        <f>"231084198603223711"</f>
        <v>231084198603223711</v>
      </c>
      <c r="D15111" t="s">
        <v>1</v>
      </c>
      <c r="E15111" t="s">
        <v>1</v>
      </c>
      <c r="F15111" t="s">
        <v>0</v>
      </c>
      <c r="G15111" t="str">
        <f>"2018-10-12 17:57:11"</f>
        <v>2018-10-12 17:57:11</v>
      </c>
    </row>
    <row r="15112" spans="1:7" x14ac:dyDescent="0.2">
      <c r="A15112" t="s">
        <v>14686</v>
      </c>
      <c r="B15112" t="str">
        <f>"18300864315"</f>
        <v>18300864315</v>
      </c>
      <c r="C15112" t="str">
        <f>"522123199508057054"</f>
        <v>522123199508057054</v>
      </c>
      <c r="D15112" t="s">
        <v>1</v>
      </c>
      <c r="E15112" t="s">
        <v>1</v>
      </c>
      <c r="F15112" t="s">
        <v>0</v>
      </c>
      <c r="G15112" t="str">
        <f>"2018-10-12 18:12:07"</f>
        <v>2018-10-12 18:12:07</v>
      </c>
    </row>
    <row r="15113" spans="1:7" x14ac:dyDescent="0.2">
      <c r="A15113" t="s">
        <v>1</v>
      </c>
      <c r="B15113" t="str">
        <f>"13296873256"</f>
        <v>13296873256</v>
      </c>
      <c r="C15113" t="s">
        <v>1</v>
      </c>
      <c r="D15113" t="s">
        <v>1</v>
      </c>
      <c r="E15113" t="s">
        <v>1</v>
      </c>
      <c r="F15113" t="s">
        <v>0</v>
      </c>
      <c r="G15113" t="str">
        <f>"2018-10-12 17:56:04"</f>
        <v>2018-10-12 17:56:04</v>
      </c>
    </row>
    <row r="15114" spans="1:7" x14ac:dyDescent="0.2">
      <c r="A15114" t="s">
        <v>14687</v>
      </c>
      <c r="B15114" t="str">
        <f>"13249847654"</f>
        <v>13249847654</v>
      </c>
      <c r="C15114" t="str">
        <f>"452223199408164028"</f>
        <v>452223199408164028</v>
      </c>
      <c r="D15114" t="s">
        <v>1</v>
      </c>
      <c r="E15114" t="s">
        <v>1</v>
      </c>
      <c r="F15114" t="s">
        <v>0</v>
      </c>
      <c r="G15114" t="str">
        <f>"2018-10-12 17:57:12"</f>
        <v>2018-10-12 17:57:12</v>
      </c>
    </row>
    <row r="15115" spans="1:7" x14ac:dyDescent="0.2">
      <c r="A15115" t="s">
        <v>1817</v>
      </c>
      <c r="B15115" t="str">
        <f>"18630118758"</f>
        <v>18630118758</v>
      </c>
      <c r="C15115" t="str">
        <f>"130626197804041674"</f>
        <v>130626197804041674</v>
      </c>
      <c r="D15115" t="s">
        <v>1</v>
      </c>
      <c r="E15115" t="s">
        <v>1</v>
      </c>
      <c r="F15115" t="s">
        <v>0</v>
      </c>
      <c r="G15115" t="str">
        <f>"2018-10-12 17:55:37"</f>
        <v>2018-10-12 17:55:37</v>
      </c>
    </row>
    <row r="15116" spans="1:7" x14ac:dyDescent="0.2">
      <c r="A15116" t="s">
        <v>1</v>
      </c>
      <c r="B15116" t="str">
        <f>"17610418278"</f>
        <v>17610418278</v>
      </c>
      <c r="C15116" t="s">
        <v>1</v>
      </c>
      <c r="D15116" t="s">
        <v>1</v>
      </c>
      <c r="E15116" t="s">
        <v>1</v>
      </c>
      <c r="F15116" t="s">
        <v>0</v>
      </c>
      <c r="G15116" t="str">
        <f>"2018-10-12 17:55:07"</f>
        <v>2018-10-12 17:55:07</v>
      </c>
    </row>
    <row r="15117" spans="1:7" x14ac:dyDescent="0.2">
      <c r="A15117" t="s">
        <v>185</v>
      </c>
      <c r="B15117" t="str">
        <f>"15031729292"</f>
        <v>15031729292</v>
      </c>
      <c r="C15117" t="str">
        <f>"130981199505271613"</f>
        <v>130981199505271613</v>
      </c>
      <c r="D15117" t="s">
        <v>1</v>
      </c>
      <c r="E15117" t="s">
        <v>1</v>
      </c>
      <c r="F15117" t="s">
        <v>0</v>
      </c>
      <c r="G15117" t="str">
        <f>"2018-10-13 15:51:53"</f>
        <v>2018-10-13 15:51:53</v>
      </c>
    </row>
    <row r="15118" spans="1:7" x14ac:dyDescent="0.2">
      <c r="A15118" t="s">
        <v>14688</v>
      </c>
      <c r="B15118" t="str">
        <f>"13755509100"</f>
        <v>13755509100</v>
      </c>
      <c r="C15118" t="str">
        <f>"360302198901112518"</f>
        <v>360302198901112518</v>
      </c>
      <c r="D15118" t="s">
        <v>1</v>
      </c>
      <c r="E15118" t="s">
        <v>1</v>
      </c>
      <c r="F15118" t="s">
        <v>0</v>
      </c>
      <c r="G15118" t="str">
        <f>"2018-10-12 17:56:11"</f>
        <v>2018-10-12 17:56:11</v>
      </c>
    </row>
    <row r="15119" spans="1:7" x14ac:dyDescent="0.2">
      <c r="A15119" t="s">
        <v>307</v>
      </c>
      <c r="B15119" t="str">
        <f>"17808310622"</f>
        <v>17808310622</v>
      </c>
      <c r="C15119" t="str">
        <f>"511524199702222725"</f>
        <v>511524199702222725</v>
      </c>
      <c r="D15119" t="s">
        <v>1</v>
      </c>
      <c r="E15119" t="s">
        <v>1</v>
      </c>
      <c r="F15119" t="s">
        <v>0</v>
      </c>
      <c r="G15119" t="str">
        <f>"2018-10-12 18:05:43"</f>
        <v>2018-10-12 18:05:43</v>
      </c>
    </row>
    <row r="15120" spans="1:7" x14ac:dyDescent="0.2">
      <c r="A15120" t="s">
        <v>1005</v>
      </c>
      <c r="B15120" t="str">
        <f>"13789889530"</f>
        <v>13789889530</v>
      </c>
      <c r="C15120" t="str">
        <f>"370281199603162644"</f>
        <v>370281199603162644</v>
      </c>
      <c r="D15120" t="s">
        <v>1</v>
      </c>
      <c r="E15120" t="s">
        <v>1</v>
      </c>
      <c r="F15120" t="s">
        <v>0</v>
      </c>
      <c r="G15120" t="str">
        <f>"2018-10-12 17:55:55"</f>
        <v>2018-10-12 17:55:55</v>
      </c>
    </row>
    <row r="15121" spans="1:7" x14ac:dyDescent="0.2">
      <c r="A15121" t="s">
        <v>14689</v>
      </c>
      <c r="B15121" t="str">
        <f>"13858407188"</f>
        <v>13858407188</v>
      </c>
      <c r="C15121" t="str">
        <f>"61232819820301466X"</f>
        <v>61232819820301466X</v>
      </c>
      <c r="D15121" t="s">
        <v>1</v>
      </c>
      <c r="E15121" t="s">
        <v>1</v>
      </c>
      <c r="F15121" t="s">
        <v>0</v>
      </c>
      <c r="G15121" t="str">
        <f>"2018-11-03 19:09:34"</f>
        <v>2018-11-03 19:09:34</v>
      </c>
    </row>
    <row r="15122" spans="1:7" x14ac:dyDescent="0.2">
      <c r="A15122" t="s">
        <v>14690</v>
      </c>
      <c r="B15122" t="str">
        <f>"18747921444"</f>
        <v>18747921444</v>
      </c>
      <c r="C15122" t="str">
        <f>"152502198310070516"</f>
        <v>152502198310070516</v>
      </c>
      <c r="D15122" t="s">
        <v>1</v>
      </c>
      <c r="E15122" t="s">
        <v>1</v>
      </c>
      <c r="F15122" t="s">
        <v>0</v>
      </c>
      <c r="G15122" t="str">
        <f>"2018-10-12 17:52:57"</f>
        <v>2018-10-12 17:52:57</v>
      </c>
    </row>
    <row r="15123" spans="1:7" x14ac:dyDescent="0.2">
      <c r="A15123" t="s">
        <v>1</v>
      </c>
      <c r="B15123" t="str">
        <f>"17601341036"</f>
        <v>17601341036</v>
      </c>
      <c r="C15123" t="s">
        <v>1</v>
      </c>
      <c r="D15123" t="s">
        <v>1</v>
      </c>
      <c r="E15123" t="s">
        <v>1</v>
      </c>
      <c r="F15123" t="s">
        <v>0</v>
      </c>
      <c r="G15123" t="str">
        <f>"2018-10-12 17:50:59"</f>
        <v>2018-10-12 17:50:59</v>
      </c>
    </row>
    <row r="15124" spans="1:7" x14ac:dyDescent="0.2">
      <c r="A15124" t="s">
        <v>14691</v>
      </c>
      <c r="B15124" t="str">
        <f>"15812184251"</f>
        <v>15812184251</v>
      </c>
      <c r="C15124" t="str">
        <f>"532901199808251497"</f>
        <v>532901199808251497</v>
      </c>
      <c r="D15124" t="s">
        <v>14692</v>
      </c>
      <c r="E15124" t="s">
        <v>14693</v>
      </c>
      <c r="F15124" t="s">
        <v>0</v>
      </c>
      <c r="G15124" t="str">
        <f>"2018-10-13 21:37:56"</f>
        <v>2018-10-13 21:37:56</v>
      </c>
    </row>
    <row r="15125" spans="1:7" x14ac:dyDescent="0.2">
      <c r="A15125" t="s">
        <v>1</v>
      </c>
      <c r="B15125" t="str">
        <f>"15085154677"</f>
        <v>15085154677</v>
      </c>
      <c r="C15125" t="s">
        <v>1</v>
      </c>
      <c r="D15125" t="s">
        <v>1</v>
      </c>
      <c r="E15125" t="s">
        <v>1</v>
      </c>
      <c r="F15125" t="s">
        <v>0</v>
      </c>
      <c r="G15125" t="str">
        <f>"2018-10-12 17:50:29"</f>
        <v>2018-10-12 17:50:29</v>
      </c>
    </row>
    <row r="15126" spans="1:7" x14ac:dyDescent="0.2">
      <c r="A15126" t="s">
        <v>14694</v>
      </c>
      <c r="B15126" t="str">
        <f>"15887213057"</f>
        <v>15887213057</v>
      </c>
      <c r="C15126" t="str">
        <f>"530111198901094118"</f>
        <v>530111198901094118</v>
      </c>
      <c r="D15126" t="s">
        <v>1</v>
      </c>
      <c r="E15126" t="s">
        <v>1</v>
      </c>
      <c r="F15126" t="s">
        <v>0</v>
      </c>
      <c r="G15126" t="str">
        <f>"2018-10-12 17:54:56"</f>
        <v>2018-10-12 17:54:56</v>
      </c>
    </row>
    <row r="15127" spans="1:7" x14ac:dyDescent="0.2">
      <c r="A15127" t="s">
        <v>14695</v>
      </c>
      <c r="B15127" t="str">
        <f>"18789415118"</f>
        <v>18789415118</v>
      </c>
      <c r="C15127" t="str">
        <f>"610526198609041314"</f>
        <v>610526198609041314</v>
      </c>
      <c r="D15127" t="s">
        <v>1</v>
      </c>
      <c r="E15127" t="s">
        <v>1</v>
      </c>
      <c r="F15127" t="s">
        <v>0</v>
      </c>
      <c r="G15127" t="str">
        <f>"2018-10-12 17:53:50"</f>
        <v>2018-10-12 17:53:50</v>
      </c>
    </row>
    <row r="15128" spans="1:7" x14ac:dyDescent="0.2">
      <c r="A15128" t="s">
        <v>1</v>
      </c>
      <c r="B15128" t="str">
        <f>"15767013003"</f>
        <v>15767013003</v>
      </c>
      <c r="C15128" t="s">
        <v>1</v>
      </c>
      <c r="D15128" t="s">
        <v>1</v>
      </c>
      <c r="E15128" t="s">
        <v>1</v>
      </c>
      <c r="F15128" t="s">
        <v>0</v>
      </c>
      <c r="G15128" t="str">
        <f>"2018-10-12 17:49:54"</f>
        <v>2018-10-12 17:49:54</v>
      </c>
    </row>
    <row r="15129" spans="1:7" x14ac:dyDescent="0.2">
      <c r="A15129" t="s">
        <v>14696</v>
      </c>
      <c r="B15129" t="str">
        <f>"13663290090"</f>
        <v>13663290090</v>
      </c>
      <c r="C15129" t="str">
        <f>"130223199205027211"</f>
        <v>130223199205027211</v>
      </c>
      <c r="D15129" t="s">
        <v>1</v>
      </c>
      <c r="E15129" t="s">
        <v>1</v>
      </c>
      <c r="F15129" t="s">
        <v>0</v>
      </c>
      <c r="G15129" t="str">
        <f>"2018-10-12 17:51:17"</f>
        <v>2018-10-12 17:51:17</v>
      </c>
    </row>
    <row r="15130" spans="1:7" x14ac:dyDescent="0.2">
      <c r="A15130" t="s">
        <v>1</v>
      </c>
      <c r="B15130" t="str">
        <f>"15709600328"</f>
        <v>15709600328</v>
      </c>
      <c r="C15130" t="s">
        <v>1</v>
      </c>
      <c r="D15130" t="s">
        <v>1</v>
      </c>
      <c r="E15130" t="s">
        <v>1</v>
      </c>
      <c r="F15130" t="s">
        <v>0</v>
      </c>
      <c r="G15130" t="str">
        <f>"2018-10-12 17:49:45"</f>
        <v>2018-10-12 17:49:45</v>
      </c>
    </row>
    <row r="15131" spans="1:7" x14ac:dyDescent="0.2">
      <c r="A15131" t="s">
        <v>14697</v>
      </c>
      <c r="B15131" t="str">
        <f>"13753448407"</f>
        <v>13753448407</v>
      </c>
      <c r="C15131" t="str">
        <f>"140729199202260058"</f>
        <v>140729199202260058</v>
      </c>
      <c r="D15131" t="s">
        <v>1</v>
      </c>
      <c r="E15131" t="s">
        <v>1</v>
      </c>
      <c r="F15131" t="s">
        <v>0</v>
      </c>
      <c r="G15131" t="str">
        <f>"2018-10-12 17:48:54"</f>
        <v>2018-10-12 17:48:54</v>
      </c>
    </row>
    <row r="15132" spans="1:7" x14ac:dyDescent="0.2">
      <c r="A15132" t="s">
        <v>14698</v>
      </c>
      <c r="B15132" t="str">
        <f>"15674270887"</f>
        <v>15674270887</v>
      </c>
      <c r="C15132" t="str">
        <f>"430702199308102516"</f>
        <v>430702199308102516</v>
      </c>
      <c r="D15132" t="s">
        <v>1</v>
      </c>
      <c r="E15132" t="s">
        <v>1</v>
      </c>
      <c r="F15132" t="s">
        <v>0</v>
      </c>
      <c r="G15132" t="str">
        <f>"2018-10-12 17:49:56"</f>
        <v>2018-10-12 17:49:56</v>
      </c>
    </row>
    <row r="15133" spans="1:7" x14ac:dyDescent="0.2">
      <c r="A15133" t="s">
        <v>14699</v>
      </c>
      <c r="B15133" t="str">
        <f>"13833924977"</f>
        <v>13833924977</v>
      </c>
      <c r="C15133" t="str">
        <f>"130528198310051831"</f>
        <v>130528198310051831</v>
      </c>
      <c r="D15133" t="s">
        <v>14700</v>
      </c>
      <c r="E15133" t="s">
        <v>14700</v>
      </c>
      <c r="F15133" t="s">
        <v>0</v>
      </c>
      <c r="G15133" t="str">
        <f>"2018-10-21 20:36:54"</f>
        <v>2018-10-21 20:36:54</v>
      </c>
    </row>
    <row r="15134" spans="1:7" x14ac:dyDescent="0.2">
      <c r="A15134" t="s">
        <v>14701</v>
      </c>
      <c r="B15134" t="str">
        <f>"14787864311"</f>
        <v>14787864311</v>
      </c>
      <c r="C15134" t="str">
        <f>"532621199006280914"</f>
        <v>532621199006280914</v>
      </c>
      <c r="D15134" t="s">
        <v>1</v>
      </c>
      <c r="E15134" t="s">
        <v>1</v>
      </c>
      <c r="F15134" t="s">
        <v>0</v>
      </c>
      <c r="G15134" t="str">
        <f>"2018-10-12 17:51:13"</f>
        <v>2018-10-12 17:51:13</v>
      </c>
    </row>
    <row r="15135" spans="1:7" x14ac:dyDescent="0.2">
      <c r="A15135" t="s">
        <v>1</v>
      </c>
      <c r="B15135" t="str">
        <f>"18859835355"</f>
        <v>18859835355</v>
      </c>
      <c r="C15135" t="s">
        <v>1</v>
      </c>
      <c r="D15135" t="s">
        <v>1</v>
      </c>
      <c r="E15135" t="s">
        <v>1</v>
      </c>
      <c r="F15135" t="s">
        <v>0</v>
      </c>
      <c r="G15135" t="str">
        <f>"2018-10-12 17:47:53"</f>
        <v>2018-10-12 17:47:53</v>
      </c>
    </row>
    <row r="15136" spans="1:7" x14ac:dyDescent="0.2">
      <c r="A15136" t="s">
        <v>14702</v>
      </c>
      <c r="B15136" t="str">
        <f>"15202179609"</f>
        <v>15202179609</v>
      </c>
      <c r="C15136" t="str">
        <f>"340321198802103494"</f>
        <v>340321198802103494</v>
      </c>
      <c r="D15136" t="s">
        <v>1</v>
      </c>
      <c r="E15136" t="s">
        <v>1</v>
      </c>
      <c r="F15136" t="s">
        <v>0</v>
      </c>
      <c r="G15136" t="str">
        <f>"2018-10-22 14:38:24"</f>
        <v>2018-10-22 14:38:24</v>
      </c>
    </row>
    <row r="15137" spans="1:7" x14ac:dyDescent="0.2">
      <c r="A15137" t="s">
        <v>14703</v>
      </c>
      <c r="B15137" t="str">
        <f>"13934418423"</f>
        <v>13934418423</v>
      </c>
      <c r="C15137" t="str">
        <f>"140729197601060070"</f>
        <v>140729197601060070</v>
      </c>
      <c r="D15137" t="s">
        <v>1</v>
      </c>
      <c r="E15137" t="s">
        <v>1</v>
      </c>
      <c r="F15137" t="s">
        <v>0</v>
      </c>
      <c r="G15137" t="str">
        <f>"2018-10-13 18:18:24"</f>
        <v>2018-10-13 18:18:24</v>
      </c>
    </row>
    <row r="15138" spans="1:7" x14ac:dyDescent="0.2">
      <c r="A15138" t="s">
        <v>14704</v>
      </c>
      <c r="B15138" t="str">
        <f>"18856575778"</f>
        <v>18856575778</v>
      </c>
      <c r="C15138" t="str">
        <f>"342625198704011274"</f>
        <v>342625198704011274</v>
      </c>
      <c r="D15138" t="s">
        <v>1</v>
      </c>
      <c r="E15138" t="s">
        <v>1</v>
      </c>
      <c r="F15138" t="s">
        <v>0</v>
      </c>
      <c r="G15138" t="str">
        <f>"2018-10-12 17:47:19"</f>
        <v>2018-10-12 17:47:19</v>
      </c>
    </row>
    <row r="15139" spans="1:7" x14ac:dyDescent="0.2">
      <c r="A15139" t="s">
        <v>1</v>
      </c>
      <c r="B15139" t="str">
        <f>"13193391789"</f>
        <v>13193391789</v>
      </c>
      <c r="C15139" t="s">
        <v>1</v>
      </c>
      <c r="D15139" t="s">
        <v>1</v>
      </c>
      <c r="E15139" t="s">
        <v>1</v>
      </c>
      <c r="F15139" t="s">
        <v>0</v>
      </c>
      <c r="G15139" t="str">
        <f>"2018-10-12 17:47:13"</f>
        <v>2018-10-12 17:47:13</v>
      </c>
    </row>
    <row r="15140" spans="1:7" x14ac:dyDescent="0.2">
      <c r="A15140" t="s">
        <v>1</v>
      </c>
      <c r="B15140" t="str">
        <f>"13728846113"</f>
        <v>13728846113</v>
      </c>
      <c r="C15140" t="s">
        <v>1</v>
      </c>
      <c r="D15140" t="s">
        <v>1</v>
      </c>
      <c r="E15140" t="s">
        <v>1</v>
      </c>
      <c r="F15140" t="s">
        <v>0</v>
      </c>
      <c r="G15140" t="str">
        <f>"2018-10-12 17:47:08"</f>
        <v>2018-10-12 17:47:08</v>
      </c>
    </row>
    <row r="15141" spans="1:7" x14ac:dyDescent="0.2">
      <c r="A15141" t="s">
        <v>1</v>
      </c>
      <c r="B15141" t="str">
        <f>"18045236363"</f>
        <v>18045236363</v>
      </c>
      <c r="C15141" t="s">
        <v>1</v>
      </c>
      <c r="D15141" t="s">
        <v>1</v>
      </c>
      <c r="E15141" t="s">
        <v>1</v>
      </c>
      <c r="F15141" t="s">
        <v>0</v>
      </c>
      <c r="G15141" t="str">
        <f>"2018-10-13 09:50:56"</f>
        <v>2018-10-13 09:50:56</v>
      </c>
    </row>
    <row r="15142" spans="1:7" x14ac:dyDescent="0.2">
      <c r="A15142" t="s">
        <v>1</v>
      </c>
      <c r="B15142" t="str">
        <f>"13998718427"</f>
        <v>13998718427</v>
      </c>
      <c r="C15142" t="s">
        <v>1</v>
      </c>
      <c r="D15142" t="s">
        <v>1</v>
      </c>
      <c r="E15142" t="s">
        <v>1</v>
      </c>
      <c r="F15142" t="s">
        <v>0</v>
      </c>
      <c r="G15142" t="str">
        <f>"2018-10-12 17:46:59"</f>
        <v>2018-10-12 17:46:59</v>
      </c>
    </row>
    <row r="15143" spans="1:7" x14ac:dyDescent="0.2">
      <c r="A15143" t="s">
        <v>14705</v>
      </c>
      <c r="B15143" t="str">
        <f>"13824664988"</f>
        <v>13824664988</v>
      </c>
      <c r="C15143" t="str">
        <f>"44532219950507004X"</f>
        <v>44532219950507004X</v>
      </c>
      <c r="D15143" t="s">
        <v>1</v>
      </c>
      <c r="E15143" t="s">
        <v>1</v>
      </c>
      <c r="F15143" t="s">
        <v>0</v>
      </c>
      <c r="G15143" t="str">
        <f>"2018-10-12 17:49:09"</f>
        <v>2018-10-12 17:49:09</v>
      </c>
    </row>
    <row r="15144" spans="1:7" x14ac:dyDescent="0.2">
      <c r="A15144" t="s">
        <v>14706</v>
      </c>
      <c r="B15144" t="str">
        <f>"18398166500"</f>
        <v>18398166500</v>
      </c>
      <c r="C15144" t="str">
        <f>"510921197803120018"</f>
        <v>510921197803120018</v>
      </c>
      <c r="D15144" t="s">
        <v>1</v>
      </c>
      <c r="E15144" t="s">
        <v>1</v>
      </c>
      <c r="F15144" t="s">
        <v>0</v>
      </c>
      <c r="G15144" t="str">
        <f>"2018-10-12 21:43:52"</f>
        <v>2018-10-12 21:43:52</v>
      </c>
    </row>
    <row r="15145" spans="1:7" x14ac:dyDescent="0.2">
      <c r="A15145" t="s">
        <v>14707</v>
      </c>
      <c r="B15145" t="str">
        <f>"15715772101"</f>
        <v>15715772101</v>
      </c>
      <c r="C15145" t="str">
        <f>"522125198204173417"</f>
        <v>522125198204173417</v>
      </c>
      <c r="D15145" t="s">
        <v>14708</v>
      </c>
      <c r="E15145" t="s">
        <v>14709</v>
      </c>
      <c r="F15145" t="s">
        <v>0</v>
      </c>
      <c r="G15145" t="str">
        <f>"2018-10-12 17:46:02"</f>
        <v>2018-10-12 17:46:02</v>
      </c>
    </row>
    <row r="15146" spans="1:7" x14ac:dyDescent="0.2">
      <c r="A15146" t="s">
        <v>14710</v>
      </c>
      <c r="B15146" t="str">
        <f>"18398432331"</f>
        <v>18398432331</v>
      </c>
      <c r="C15146" t="str">
        <f>"510921198510143253"</f>
        <v>510921198510143253</v>
      </c>
      <c r="D15146" t="s">
        <v>14711</v>
      </c>
      <c r="E15146" t="s">
        <v>14712</v>
      </c>
      <c r="F15146" t="s">
        <v>0</v>
      </c>
      <c r="G15146" t="str">
        <f>"2018-10-12 17:57:00"</f>
        <v>2018-10-12 17:57:00</v>
      </c>
    </row>
    <row r="15147" spans="1:7" x14ac:dyDescent="0.2">
      <c r="A15147" t="s">
        <v>14713</v>
      </c>
      <c r="B15147" t="str">
        <f>"15033688993"</f>
        <v>15033688993</v>
      </c>
      <c r="C15147" t="str">
        <f>"130982198912101939"</f>
        <v>130982198912101939</v>
      </c>
      <c r="D15147" t="s">
        <v>14714</v>
      </c>
      <c r="E15147" t="s">
        <v>14715</v>
      </c>
      <c r="F15147" t="s">
        <v>0</v>
      </c>
      <c r="G15147" t="str">
        <f>"2018-10-12 17:48:20"</f>
        <v>2018-10-12 17:48:20</v>
      </c>
    </row>
    <row r="15148" spans="1:7" x14ac:dyDescent="0.2">
      <c r="A15148" t="s">
        <v>14716</v>
      </c>
      <c r="B15148" t="str">
        <f>"18314020660"</f>
        <v>18314020660</v>
      </c>
      <c r="C15148" t="str">
        <f>"53253019931125342X"</f>
        <v>53253019931125342X</v>
      </c>
      <c r="D15148" t="s">
        <v>1</v>
      </c>
      <c r="E15148" t="s">
        <v>1</v>
      </c>
      <c r="F15148" t="s">
        <v>0</v>
      </c>
      <c r="G15148" t="str">
        <f>"2018-10-12 22:47:17"</f>
        <v>2018-10-12 22:47:17</v>
      </c>
    </row>
    <row r="15149" spans="1:7" x14ac:dyDescent="0.2">
      <c r="A15149" t="s">
        <v>1</v>
      </c>
      <c r="B15149" t="str">
        <f>"13843176142"</f>
        <v>13843176142</v>
      </c>
      <c r="C15149" t="s">
        <v>1</v>
      </c>
      <c r="D15149" t="s">
        <v>1</v>
      </c>
      <c r="E15149" t="s">
        <v>1</v>
      </c>
      <c r="F15149" t="s">
        <v>0</v>
      </c>
      <c r="G15149" t="str">
        <f>"2018-10-12 17:45:25"</f>
        <v>2018-10-12 17:45:25</v>
      </c>
    </row>
    <row r="15150" spans="1:7" x14ac:dyDescent="0.2">
      <c r="A15150" t="s">
        <v>14717</v>
      </c>
      <c r="B15150" t="str">
        <f>"15846601240"</f>
        <v>15846601240</v>
      </c>
      <c r="C15150" t="str">
        <f>"230102198910235325"</f>
        <v>230102198910235325</v>
      </c>
      <c r="D15150" t="s">
        <v>14718</v>
      </c>
      <c r="E15150" t="s">
        <v>14719</v>
      </c>
      <c r="F15150" t="s">
        <v>0</v>
      </c>
      <c r="G15150" t="str">
        <f>"2018-10-12 17:45:11"</f>
        <v>2018-10-12 17:45:11</v>
      </c>
    </row>
    <row r="15151" spans="1:7" x14ac:dyDescent="0.2">
      <c r="A15151" t="s">
        <v>14720</v>
      </c>
      <c r="B15151" t="str">
        <f>"13423944380"</f>
        <v>13423944380</v>
      </c>
      <c r="C15151" t="str">
        <f>"441423198506142387"</f>
        <v>441423198506142387</v>
      </c>
      <c r="D15151" t="s">
        <v>1</v>
      </c>
      <c r="E15151" t="s">
        <v>1</v>
      </c>
      <c r="F15151" t="s">
        <v>0</v>
      </c>
      <c r="G15151" t="str">
        <f>"2018-10-12 17:46:42"</f>
        <v>2018-10-12 17:46:42</v>
      </c>
    </row>
    <row r="15152" spans="1:7" x14ac:dyDescent="0.2">
      <c r="A15152" t="s">
        <v>14721</v>
      </c>
      <c r="B15152" t="str">
        <f>"13819620625"</f>
        <v>13819620625</v>
      </c>
      <c r="C15152" t="str">
        <f>"362202199408236630"</f>
        <v>362202199408236630</v>
      </c>
      <c r="D15152" t="s">
        <v>1</v>
      </c>
      <c r="E15152" t="s">
        <v>1</v>
      </c>
      <c r="F15152" t="s">
        <v>0</v>
      </c>
      <c r="G15152" t="str">
        <f>"2018-10-12 17:45:05"</f>
        <v>2018-10-12 17:45:05</v>
      </c>
    </row>
    <row r="15153" spans="1:7" x14ac:dyDescent="0.2">
      <c r="A15153" t="s">
        <v>1</v>
      </c>
      <c r="B15153" t="str">
        <f>"17372212421"</f>
        <v>17372212421</v>
      </c>
      <c r="C15153" t="s">
        <v>1</v>
      </c>
      <c r="D15153" t="s">
        <v>1</v>
      </c>
      <c r="E15153" t="s">
        <v>1</v>
      </c>
      <c r="F15153" t="s">
        <v>0</v>
      </c>
      <c r="G15153" t="str">
        <f>"2018-10-12 17:44:51"</f>
        <v>2018-10-12 17:44:51</v>
      </c>
    </row>
    <row r="15154" spans="1:7" x14ac:dyDescent="0.2">
      <c r="A15154" t="s">
        <v>14722</v>
      </c>
      <c r="B15154" t="str">
        <f>"13697271147"</f>
        <v>13697271147</v>
      </c>
      <c r="C15154" t="str">
        <f>"420528199109034750"</f>
        <v>420528199109034750</v>
      </c>
      <c r="D15154" t="s">
        <v>1</v>
      </c>
      <c r="E15154" t="s">
        <v>1</v>
      </c>
      <c r="F15154" t="s">
        <v>0</v>
      </c>
      <c r="G15154" t="str">
        <f>"2018-10-12 17:44:57"</f>
        <v>2018-10-12 17:44:57</v>
      </c>
    </row>
    <row r="15155" spans="1:7" x14ac:dyDescent="0.2">
      <c r="A15155" t="s">
        <v>1</v>
      </c>
      <c r="B15155" t="str">
        <f>"13981635163"</f>
        <v>13981635163</v>
      </c>
      <c r="C15155" t="s">
        <v>1</v>
      </c>
      <c r="D15155" t="s">
        <v>1</v>
      </c>
      <c r="E15155" t="s">
        <v>1</v>
      </c>
      <c r="F15155" t="s">
        <v>0</v>
      </c>
      <c r="G15155" t="str">
        <f>"2018-10-12 17:44:34"</f>
        <v>2018-10-12 17:44:34</v>
      </c>
    </row>
    <row r="15156" spans="1:7" x14ac:dyDescent="0.2">
      <c r="A15156" t="s">
        <v>14723</v>
      </c>
      <c r="B15156" t="str">
        <f>"13769106815"</f>
        <v>13769106815</v>
      </c>
      <c r="C15156" t="str">
        <f>"530181198304163911"</f>
        <v>530181198304163911</v>
      </c>
      <c r="D15156" t="s">
        <v>1</v>
      </c>
      <c r="E15156" t="s">
        <v>1</v>
      </c>
      <c r="F15156" t="s">
        <v>0</v>
      </c>
      <c r="G15156" t="str">
        <f>"2018-10-12 18:28:10"</f>
        <v>2018-10-12 18:28:10</v>
      </c>
    </row>
    <row r="15157" spans="1:7" x14ac:dyDescent="0.2">
      <c r="A15157" t="s">
        <v>14724</v>
      </c>
      <c r="B15157" t="str">
        <f>"17315507206"</f>
        <v>17315507206</v>
      </c>
      <c r="C15157" t="str">
        <f>"341182199712202613"</f>
        <v>341182199712202613</v>
      </c>
      <c r="D15157" t="s">
        <v>14725</v>
      </c>
      <c r="E15157" t="s">
        <v>14726</v>
      </c>
      <c r="F15157" t="s">
        <v>0</v>
      </c>
      <c r="G15157" t="str">
        <f>"2018-10-12 17:47:17"</f>
        <v>2018-10-12 17:47:17</v>
      </c>
    </row>
    <row r="15158" spans="1:7" x14ac:dyDescent="0.2">
      <c r="A15158" t="s">
        <v>14727</v>
      </c>
      <c r="B15158" t="str">
        <f>"17313161382"</f>
        <v>17313161382</v>
      </c>
      <c r="C15158" t="str">
        <f>"511621198712068655"</f>
        <v>511621198712068655</v>
      </c>
      <c r="D15158" t="s">
        <v>1</v>
      </c>
      <c r="E15158" t="s">
        <v>1</v>
      </c>
      <c r="F15158" t="s">
        <v>0</v>
      </c>
      <c r="G15158" t="str">
        <f>"2018-10-12 18:00:29"</f>
        <v>2018-10-12 18:00:29</v>
      </c>
    </row>
    <row r="15159" spans="1:7" x14ac:dyDescent="0.2">
      <c r="A15159" t="s">
        <v>801</v>
      </c>
      <c r="B15159" t="str">
        <f>"18874827550"</f>
        <v>18874827550</v>
      </c>
      <c r="C15159" t="str">
        <f>"430723199310124417"</f>
        <v>430723199310124417</v>
      </c>
      <c r="D15159" t="s">
        <v>14728</v>
      </c>
      <c r="E15159" t="s">
        <v>14729</v>
      </c>
      <c r="F15159" t="s">
        <v>0</v>
      </c>
      <c r="G15159" t="str">
        <f>"2018-10-12 17:46:20"</f>
        <v>2018-10-12 17:46:20</v>
      </c>
    </row>
    <row r="15160" spans="1:7" x14ac:dyDescent="0.2">
      <c r="A15160" t="s">
        <v>14730</v>
      </c>
      <c r="B15160" t="str">
        <f>"13870649537"</f>
        <v>13870649537</v>
      </c>
      <c r="C15160" t="str">
        <f>"360111198208100936"</f>
        <v>360111198208100936</v>
      </c>
      <c r="D15160" t="s">
        <v>14731</v>
      </c>
      <c r="E15160" t="s">
        <v>14732</v>
      </c>
      <c r="F15160" t="s">
        <v>0</v>
      </c>
      <c r="G15160" t="str">
        <f>"2018-10-12 17:45:23"</f>
        <v>2018-10-12 17:45:23</v>
      </c>
    </row>
    <row r="15161" spans="1:7" x14ac:dyDescent="0.2">
      <c r="A15161" t="s">
        <v>14733</v>
      </c>
      <c r="B15161" t="str">
        <f>"15072125259"</f>
        <v>15072125259</v>
      </c>
      <c r="C15161" t="str">
        <f>"420921199205065511"</f>
        <v>420921199205065511</v>
      </c>
      <c r="D15161" t="s">
        <v>14734</v>
      </c>
      <c r="E15161" t="s">
        <v>14735</v>
      </c>
      <c r="F15161" t="s">
        <v>0</v>
      </c>
      <c r="G15161" t="str">
        <f>"2018-10-12 17:44:45"</f>
        <v>2018-10-12 17:44:45</v>
      </c>
    </row>
    <row r="15162" spans="1:7" x14ac:dyDescent="0.2">
      <c r="A15162" t="s">
        <v>14736</v>
      </c>
      <c r="B15162" t="str">
        <f>"13587357444"</f>
        <v>13587357444</v>
      </c>
      <c r="C15162" t="str">
        <f>"330623198208042235"</f>
        <v>330623198208042235</v>
      </c>
      <c r="D15162" t="s">
        <v>1</v>
      </c>
      <c r="E15162" t="s">
        <v>1</v>
      </c>
      <c r="F15162" t="s">
        <v>0</v>
      </c>
      <c r="G15162" t="str">
        <f>"2018-10-18 07:53:43"</f>
        <v>2018-10-18 07:53:43</v>
      </c>
    </row>
    <row r="15163" spans="1:7" x14ac:dyDescent="0.2">
      <c r="A15163" t="s">
        <v>1</v>
      </c>
      <c r="B15163" t="str">
        <f>"15170796835"</f>
        <v>15170796835</v>
      </c>
      <c r="C15163" t="s">
        <v>1</v>
      </c>
      <c r="D15163" t="s">
        <v>1</v>
      </c>
      <c r="E15163" t="s">
        <v>1</v>
      </c>
      <c r="F15163" t="s">
        <v>0</v>
      </c>
      <c r="G15163" t="str">
        <f>"2018-10-12 17:43:05"</f>
        <v>2018-10-12 17:43:05</v>
      </c>
    </row>
    <row r="15164" spans="1:7" x14ac:dyDescent="0.2">
      <c r="A15164" t="s">
        <v>1621</v>
      </c>
      <c r="B15164" t="str">
        <f>"13676902347"</f>
        <v>13676902347</v>
      </c>
      <c r="C15164" t="str">
        <f>"411321198802153810"</f>
        <v>411321198802153810</v>
      </c>
      <c r="D15164" t="s">
        <v>1</v>
      </c>
      <c r="E15164" t="s">
        <v>1</v>
      </c>
      <c r="F15164" t="s">
        <v>0</v>
      </c>
      <c r="G15164" t="str">
        <f>"2018-10-13 07:30:28"</f>
        <v>2018-10-13 07:30:28</v>
      </c>
    </row>
    <row r="15165" spans="1:7" x14ac:dyDescent="0.2">
      <c r="A15165" t="s">
        <v>14737</v>
      </c>
      <c r="B15165" t="str">
        <f>"13474178999"</f>
        <v>13474178999</v>
      </c>
      <c r="C15165" t="str">
        <f>"610121199604185555"</f>
        <v>610121199604185555</v>
      </c>
      <c r="D15165" t="s">
        <v>14738</v>
      </c>
      <c r="E15165" t="s">
        <v>14739</v>
      </c>
      <c r="F15165" t="s">
        <v>0</v>
      </c>
      <c r="G15165" t="str">
        <f>"2018-10-12 17:46:08"</f>
        <v>2018-10-12 17:46:08</v>
      </c>
    </row>
    <row r="15166" spans="1:7" x14ac:dyDescent="0.2">
      <c r="A15166" t="s">
        <v>1</v>
      </c>
      <c r="B15166" t="str">
        <f>"15802117560"</f>
        <v>15802117560</v>
      </c>
      <c r="C15166" t="s">
        <v>1</v>
      </c>
      <c r="D15166" t="s">
        <v>1</v>
      </c>
      <c r="E15166" t="s">
        <v>1</v>
      </c>
      <c r="F15166" t="s">
        <v>0</v>
      </c>
      <c r="G15166" t="str">
        <f>"2018-10-12 17:42:42"</f>
        <v>2018-10-12 17:42:42</v>
      </c>
    </row>
    <row r="15167" spans="1:7" x14ac:dyDescent="0.2">
      <c r="A15167" t="s">
        <v>1</v>
      </c>
      <c r="B15167" t="str">
        <f>"13559223547"</f>
        <v>13559223547</v>
      </c>
      <c r="C15167" t="s">
        <v>1</v>
      </c>
      <c r="D15167" t="s">
        <v>1</v>
      </c>
      <c r="E15167" t="s">
        <v>1</v>
      </c>
      <c r="F15167" t="s">
        <v>0</v>
      </c>
      <c r="G15167" t="str">
        <f>"2018-10-12 17:42:05"</f>
        <v>2018-10-12 17:42:05</v>
      </c>
    </row>
    <row r="15168" spans="1:7" x14ac:dyDescent="0.2">
      <c r="A15168" t="s">
        <v>14740</v>
      </c>
      <c r="B15168" t="str">
        <f>"15537443698"</f>
        <v>15537443698</v>
      </c>
      <c r="C15168" t="str">
        <f>"622822199703291319"</f>
        <v>622822199703291319</v>
      </c>
      <c r="D15168" t="s">
        <v>14741</v>
      </c>
      <c r="E15168" t="s">
        <v>14742</v>
      </c>
      <c r="F15168" t="s">
        <v>0</v>
      </c>
      <c r="G15168" t="str">
        <f>"2018-10-12 17:43:00"</f>
        <v>2018-10-12 17:43:00</v>
      </c>
    </row>
    <row r="15169" spans="1:7" x14ac:dyDescent="0.2">
      <c r="A15169" t="s">
        <v>118</v>
      </c>
      <c r="B15169" t="str">
        <f>"15874843258"</f>
        <v>15874843258</v>
      </c>
      <c r="C15169" t="str">
        <f>"430124199607208367"</f>
        <v>430124199607208367</v>
      </c>
      <c r="D15169" t="s">
        <v>1</v>
      </c>
      <c r="E15169" t="s">
        <v>1</v>
      </c>
      <c r="F15169" t="s">
        <v>0</v>
      </c>
      <c r="G15169" t="str">
        <f>"2018-10-12 17:43:04"</f>
        <v>2018-10-12 17:43:04</v>
      </c>
    </row>
    <row r="15170" spans="1:7" x14ac:dyDescent="0.2">
      <c r="A15170" t="s">
        <v>14743</v>
      </c>
      <c r="B15170" t="str">
        <f>"18300173904"</f>
        <v>18300173904</v>
      </c>
      <c r="C15170" t="str">
        <f>"441283198810054993"</f>
        <v>441283198810054993</v>
      </c>
      <c r="D15170" t="s">
        <v>1</v>
      </c>
      <c r="E15170" t="s">
        <v>1</v>
      </c>
      <c r="F15170" t="s">
        <v>0</v>
      </c>
      <c r="G15170" t="str">
        <f>"2018-10-14 00:53:55"</f>
        <v>2018-10-14 00:53:55</v>
      </c>
    </row>
    <row r="15171" spans="1:7" x14ac:dyDescent="0.2">
      <c r="A15171" t="s">
        <v>14744</v>
      </c>
      <c r="B15171" t="str">
        <f>"13180201025"</f>
        <v>13180201025</v>
      </c>
      <c r="C15171" t="str">
        <f>"13244019801002201X"</f>
        <v>13244019801002201X</v>
      </c>
      <c r="D15171" t="s">
        <v>1</v>
      </c>
      <c r="E15171" t="s">
        <v>1</v>
      </c>
      <c r="F15171" t="s">
        <v>0</v>
      </c>
      <c r="G15171" t="str">
        <f>"2018-10-12 17:43:02"</f>
        <v>2018-10-12 17:43:02</v>
      </c>
    </row>
    <row r="15172" spans="1:7" x14ac:dyDescent="0.2">
      <c r="A15172" t="s">
        <v>14745</v>
      </c>
      <c r="B15172" t="str">
        <f>"18582552558"</f>
        <v>18582552558</v>
      </c>
      <c r="C15172" t="str">
        <f>"522426199611170018"</f>
        <v>522426199611170018</v>
      </c>
      <c r="D15172" t="s">
        <v>1</v>
      </c>
      <c r="E15172" t="s">
        <v>1</v>
      </c>
      <c r="F15172" t="s">
        <v>0</v>
      </c>
      <c r="G15172" t="str">
        <f>"2018-10-12 17:43:46"</f>
        <v>2018-10-12 17:43:46</v>
      </c>
    </row>
    <row r="15173" spans="1:7" x14ac:dyDescent="0.2">
      <c r="A15173" t="s">
        <v>93</v>
      </c>
      <c r="B15173" t="str">
        <f>"18505015057"</f>
        <v>18505015057</v>
      </c>
      <c r="C15173" t="str">
        <f>"350722199009013551"</f>
        <v>350722199009013551</v>
      </c>
      <c r="D15173" t="s">
        <v>1</v>
      </c>
      <c r="E15173" t="s">
        <v>1</v>
      </c>
      <c r="F15173" t="s">
        <v>0</v>
      </c>
      <c r="G15173" t="str">
        <f>"2018-10-12 17:44:40"</f>
        <v>2018-10-12 17:44:40</v>
      </c>
    </row>
    <row r="15174" spans="1:7" x14ac:dyDescent="0.2">
      <c r="A15174" t="s">
        <v>1</v>
      </c>
      <c r="B15174" t="str">
        <f>"15917472351"</f>
        <v>15917472351</v>
      </c>
      <c r="C15174" t="s">
        <v>1</v>
      </c>
      <c r="D15174" t="s">
        <v>1</v>
      </c>
      <c r="E15174" t="s">
        <v>1</v>
      </c>
      <c r="F15174" t="s">
        <v>0</v>
      </c>
      <c r="G15174" t="str">
        <f>"2018-10-12 17:40:40"</f>
        <v>2018-10-12 17:40:40</v>
      </c>
    </row>
    <row r="15175" spans="1:7" x14ac:dyDescent="0.2">
      <c r="A15175" t="s">
        <v>1</v>
      </c>
      <c r="B15175" t="str">
        <f>"13546877119"</f>
        <v>13546877119</v>
      </c>
      <c r="C15175" t="s">
        <v>1</v>
      </c>
      <c r="D15175" t="s">
        <v>1</v>
      </c>
      <c r="E15175" t="s">
        <v>1</v>
      </c>
      <c r="F15175" t="s">
        <v>0</v>
      </c>
      <c r="G15175" t="str">
        <f>"2018-10-12 17:40:25"</f>
        <v>2018-10-12 17:40:25</v>
      </c>
    </row>
    <row r="15176" spans="1:7" x14ac:dyDescent="0.2">
      <c r="A15176" t="s">
        <v>14746</v>
      </c>
      <c r="B15176" t="str">
        <f>"13631223656"</f>
        <v>13631223656</v>
      </c>
      <c r="C15176" t="str">
        <f>"440825198704192151"</f>
        <v>440825198704192151</v>
      </c>
      <c r="D15176" t="s">
        <v>14747</v>
      </c>
      <c r="E15176" t="s">
        <v>14748</v>
      </c>
      <c r="F15176" t="s">
        <v>0</v>
      </c>
      <c r="G15176" t="str">
        <f>"2018-10-15 12:03:03"</f>
        <v>2018-10-15 12:03:03</v>
      </c>
    </row>
    <row r="15177" spans="1:7" x14ac:dyDescent="0.2">
      <c r="A15177" t="s">
        <v>1405</v>
      </c>
      <c r="B15177" t="str">
        <f>"18937468969"</f>
        <v>18937468969</v>
      </c>
      <c r="C15177" t="str">
        <f>"411023198811050537"</f>
        <v>411023198811050537</v>
      </c>
      <c r="D15177" t="s">
        <v>1</v>
      </c>
      <c r="E15177" t="s">
        <v>1</v>
      </c>
      <c r="F15177" t="s">
        <v>0</v>
      </c>
      <c r="G15177" t="str">
        <f>"2018-10-12 17:41:35"</f>
        <v>2018-10-12 17:41:35</v>
      </c>
    </row>
    <row r="15178" spans="1:7" x14ac:dyDescent="0.2">
      <c r="A15178" t="s">
        <v>14749</v>
      </c>
      <c r="B15178" t="str">
        <f>"17695257882"</f>
        <v>17695257882</v>
      </c>
      <c r="C15178" t="str">
        <f>"640300199812030093"</f>
        <v>640300199812030093</v>
      </c>
      <c r="D15178" t="s">
        <v>1</v>
      </c>
      <c r="E15178" t="s">
        <v>1</v>
      </c>
      <c r="F15178" t="s">
        <v>0</v>
      </c>
      <c r="G15178" t="str">
        <f>"2018-10-12 17:41:15"</f>
        <v>2018-10-12 17:41:15</v>
      </c>
    </row>
    <row r="15179" spans="1:7" x14ac:dyDescent="0.2">
      <c r="A15179" t="s">
        <v>14750</v>
      </c>
      <c r="B15179" t="str">
        <f>"15211550127"</f>
        <v>15211550127</v>
      </c>
      <c r="C15179" t="str">
        <f>"431224199402190382"</f>
        <v>431224199402190382</v>
      </c>
      <c r="D15179" t="s">
        <v>1</v>
      </c>
      <c r="E15179" t="s">
        <v>1</v>
      </c>
      <c r="F15179" t="s">
        <v>0</v>
      </c>
      <c r="G15179" t="str">
        <f>"2018-10-12 17:42:51"</f>
        <v>2018-10-12 17:42:51</v>
      </c>
    </row>
    <row r="15180" spans="1:7" x14ac:dyDescent="0.2">
      <c r="A15180" t="s">
        <v>14751</v>
      </c>
      <c r="B15180" t="str">
        <f>"15804782788"</f>
        <v>15804782788</v>
      </c>
      <c r="C15180" t="str">
        <f>"152825198609180921"</f>
        <v>152825198609180921</v>
      </c>
      <c r="D15180" t="s">
        <v>1</v>
      </c>
      <c r="E15180" t="s">
        <v>1</v>
      </c>
      <c r="F15180" t="s">
        <v>0</v>
      </c>
      <c r="G15180" t="str">
        <f>"2018-10-12 17:40:21"</f>
        <v>2018-10-12 17:40:21</v>
      </c>
    </row>
    <row r="15181" spans="1:7" x14ac:dyDescent="0.2">
      <c r="A15181" t="s">
        <v>1</v>
      </c>
      <c r="B15181" t="str">
        <f>"17520201419"</f>
        <v>17520201419</v>
      </c>
      <c r="C15181" t="s">
        <v>1</v>
      </c>
      <c r="D15181" t="s">
        <v>1</v>
      </c>
      <c r="E15181" t="s">
        <v>1</v>
      </c>
      <c r="F15181" t="s">
        <v>0</v>
      </c>
      <c r="G15181" t="str">
        <f>"2018-10-12 17:40:31"</f>
        <v>2018-10-12 17:40:31</v>
      </c>
    </row>
    <row r="15182" spans="1:7" x14ac:dyDescent="0.2">
      <c r="A15182" t="s">
        <v>14752</v>
      </c>
      <c r="B15182" t="str">
        <f>"13980521837"</f>
        <v>13980521837</v>
      </c>
      <c r="C15182" t="str">
        <f>"510214198107265179"</f>
        <v>510214198107265179</v>
      </c>
      <c r="D15182" t="s">
        <v>1</v>
      </c>
      <c r="E15182" t="s">
        <v>1</v>
      </c>
      <c r="F15182" t="s">
        <v>0</v>
      </c>
      <c r="G15182" t="str">
        <f>"2018-10-12 17:52:15"</f>
        <v>2018-10-12 17:52:15</v>
      </c>
    </row>
    <row r="15183" spans="1:7" x14ac:dyDescent="0.2">
      <c r="A15183" t="s">
        <v>1</v>
      </c>
      <c r="B15183" t="str">
        <f>"15285032611"</f>
        <v>15285032611</v>
      </c>
      <c r="C15183" t="s">
        <v>1</v>
      </c>
      <c r="D15183" t="s">
        <v>1</v>
      </c>
      <c r="E15183" t="s">
        <v>1</v>
      </c>
      <c r="F15183" t="s">
        <v>0</v>
      </c>
      <c r="G15183" t="str">
        <f>"2018-10-12 17:38:37"</f>
        <v>2018-10-12 17:38:37</v>
      </c>
    </row>
    <row r="15184" spans="1:7" x14ac:dyDescent="0.2">
      <c r="A15184" t="s">
        <v>1</v>
      </c>
      <c r="B15184" t="str">
        <f>"13425386324"</f>
        <v>13425386324</v>
      </c>
      <c r="C15184" t="s">
        <v>1</v>
      </c>
      <c r="D15184" t="s">
        <v>1</v>
      </c>
      <c r="E15184" t="s">
        <v>1</v>
      </c>
      <c r="F15184" t="s">
        <v>0</v>
      </c>
      <c r="G15184" t="str">
        <f>"2018-10-12 17:36:43"</f>
        <v>2018-10-12 17:36:43</v>
      </c>
    </row>
    <row r="15185" spans="1:7" x14ac:dyDescent="0.2">
      <c r="A15185" t="s">
        <v>190</v>
      </c>
      <c r="B15185" t="str">
        <f>"13807332476"</f>
        <v>13807332476</v>
      </c>
      <c r="C15185" t="str">
        <f>"430203198510265014"</f>
        <v>430203198510265014</v>
      </c>
      <c r="D15185" t="s">
        <v>14753</v>
      </c>
      <c r="E15185" t="s">
        <v>14754</v>
      </c>
      <c r="F15185" t="s">
        <v>0</v>
      </c>
      <c r="G15185" t="str">
        <f>"2018-10-27 00:14:04"</f>
        <v>2018-10-27 00:14:04</v>
      </c>
    </row>
    <row r="15186" spans="1:7" x14ac:dyDescent="0.2">
      <c r="A15186" t="s">
        <v>1</v>
      </c>
      <c r="B15186" t="str">
        <f>"15158780555"</f>
        <v>15158780555</v>
      </c>
      <c r="C15186" t="s">
        <v>1</v>
      </c>
      <c r="D15186" t="s">
        <v>1</v>
      </c>
      <c r="E15186" t="s">
        <v>1</v>
      </c>
      <c r="F15186" t="s">
        <v>0</v>
      </c>
      <c r="G15186" t="str">
        <f>"2018-10-12 17:38:09"</f>
        <v>2018-10-12 17:38:09</v>
      </c>
    </row>
    <row r="15187" spans="1:7" x14ac:dyDescent="0.2">
      <c r="A15187" t="s">
        <v>14755</v>
      </c>
      <c r="B15187" t="str">
        <f>"13802806765"</f>
        <v>13802806765</v>
      </c>
      <c r="C15187" t="str">
        <f>"440112198812140631"</f>
        <v>440112198812140631</v>
      </c>
      <c r="D15187" t="s">
        <v>14756</v>
      </c>
      <c r="E15187" t="s">
        <v>14757</v>
      </c>
      <c r="F15187" t="s">
        <v>0</v>
      </c>
      <c r="G15187" t="str">
        <f>"2018-10-12 23:57:52"</f>
        <v>2018-10-12 23:57:52</v>
      </c>
    </row>
    <row r="15188" spans="1:7" x14ac:dyDescent="0.2">
      <c r="A15188" t="s">
        <v>605</v>
      </c>
      <c r="B15188" t="str">
        <f>"13754831412"</f>
        <v>13754831412</v>
      </c>
      <c r="C15188" t="str">
        <f>"140108198805011924"</f>
        <v>140108198805011924</v>
      </c>
      <c r="D15188" t="s">
        <v>1</v>
      </c>
      <c r="E15188" t="s">
        <v>1</v>
      </c>
      <c r="F15188" t="s">
        <v>0</v>
      </c>
      <c r="G15188" t="str">
        <f>"2018-10-12 20:01:16"</f>
        <v>2018-10-12 20:01:16</v>
      </c>
    </row>
    <row r="15189" spans="1:7" x14ac:dyDescent="0.2">
      <c r="A15189" t="s">
        <v>1</v>
      </c>
      <c r="B15189" t="str">
        <f>"13004263969"</f>
        <v>13004263969</v>
      </c>
      <c r="C15189" t="s">
        <v>1</v>
      </c>
      <c r="D15189" t="s">
        <v>1</v>
      </c>
      <c r="E15189" t="s">
        <v>1</v>
      </c>
      <c r="F15189" t="s">
        <v>0</v>
      </c>
      <c r="G15189" t="str">
        <f>"2018-10-12 17:34:43"</f>
        <v>2018-10-12 17:34:43</v>
      </c>
    </row>
    <row r="15190" spans="1:7" x14ac:dyDescent="0.2">
      <c r="A15190" t="s">
        <v>14758</v>
      </c>
      <c r="B15190" t="str">
        <f>"13755953633"</f>
        <v>13755953633</v>
      </c>
      <c r="C15190" t="str">
        <f>"421181198410140065"</f>
        <v>421181198410140065</v>
      </c>
      <c r="D15190" t="s">
        <v>14759</v>
      </c>
      <c r="E15190" t="s">
        <v>14760</v>
      </c>
      <c r="F15190" t="s">
        <v>0</v>
      </c>
      <c r="G15190" t="str">
        <f>"2018-10-12 17:34:09"</f>
        <v>2018-10-12 17:34:09</v>
      </c>
    </row>
    <row r="15191" spans="1:7" x14ac:dyDescent="0.2">
      <c r="A15191" t="s">
        <v>14761</v>
      </c>
      <c r="B15191" t="str">
        <f>"13510854139"</f>
        <v>13510854139</v>
      </c>
      <c r="C15191" t="str">
        <f>"452229198708141470"</f>
        <v>452229198708141470</v>
      </c>
      <c r="D15191" t="s">
        <v>1</v>
      </c>
      <c r="E15191" t="s">
        <v>1</v>
      </c>
      <c r="F15191" t="s">
        <v>0</v>
      </c>
      <c r="G15191" t="str">
        <f>"2018-10-12 17:35:30"</f>
        <v>2018-10-12 17:35:30</v>
      </c>
    </row>
    <row r="15192" spans="1:7" x14ac:dyDescent="0.2">
      <c r="A15192" t="s">
        <v>14762</v>
      </c>
      <c r="B15192" t="str">
        <f>"15805942585"</f>
        <v>15805942585</v>
      </c>
      <c r="C15192" t="str">
        <f>"350221197608175517"</f>
        <v>350221197608175517</v>
      </c>
      <c r="D15192" t="s">
        <v>1</v>
      </c>
      <c r="E15192" t="s">
        <v>1</v>
      </c>
      <c r="F15192" t="s">
        <v>0</v>
      </c>
      <c r="G15192" t="str">
        <f>"2018-10-13 06:12:09"</f>
        <v>2018-10-13 06:12:09</v>
      </c>
    </row>
    <row r="15193" spans="1:7" x14ac:dyDescent="0.2">
      <c r="A15193" t="s">
        <v>1</v>
      </c>
      <c r="B15193" t="str">
        <f>"13824167282"</f>
        <v>13824167282</v>
      </c>
      <c r="C15193" t="s">
        <v>1</v>
      </c>
      <c r="D15193" t="s">
        <v>1</v>
      </c>
      <c r="E15193" t="s">
        <v>1</v>
      </c>
      <c r="F15193" t="s">
        <v>0</v>
      </c>
      <c r="G15193" t="str">
        <f>"2018-10-12 17:33:45"</f>
        <v>2018-10-12 17:33:45</v>
      </c>
    </row>
    <row r="15194" spans="1:7" x14ac:dyDescent="0.2">
      <c r="A15194" t="s">
        <v>14763</v>
      </c>
      <c r="B15194" t="str">
        <f>"18612044345"</f>
        <v>18612044345</v>
      </c>
      <c r="C15194" t="str">
        <f>"23050319980519021X"</f>
        <v>23050319980519021X</v>
      </c>
      <c r="D15194" t="s">
        <v>14764</v>
      </c>
      <c r="E15194" t="s">
        <v>14765</v>
      </c>
      <c r="F15194" t="s">
        <v>0</v>
      </c>
      <c r="G15194" t="str">
        <f>"2018-10-13 06:09:05"</f>
        <v>2018-10-13 06:09:05</v>
      </c>
    </row>
    <row r="15195" spans="1:7" x14ac:dyDescent="0.2">
      <c r="A15195" t="s">
        <v>1</v>
      </c>
      <c r="B15195" t="str">
        <f>"18691292801"</f>
        <v>18691292801</v>
      </c>
      <c r="C15195" t="s">
        <v>1</v>
      </c>
      <c r="D15195" t="s">
        <v>1</v>
      </c>
      <c r="E15195" t="s">
        <v>1</v>
      </c>
      <c r="F15195" t="s">
        <v>0</v>
      </c>
      <c r="G15195" t="str">
        <f>"2018-10-12 17:35:16"</f>
        <v>2018-10-12 17:35:16</v>
      </c>
    </row>
    <row r="15196" spans="1:7" x14ac:dyDescent="0.2">
      <c r="A15196" t="s">
        <v>1</v>
      </c>
      <c r="B15196" t="str">
        <f>"15999522682"</f>
        <v>15999522682</v>
      </c>
      <c r="C15196" t="s">
        <v>1</v>
      </c>
      <c r="D15196" t="s">
        <v>1</v>
      </c>
      <c r="E15196" t="s">
        <v>1</v>
      </c>
      <c r="F15196" t="s">
        <v>0</v>
      </c>
      <c r="G15196" t="str">
        <f>"2018-10-12 17:32:54"</f>
        <v>2018-10-12 17:32:54</v>
      </c>
    </row>
    <row r="15197" spans="1:7" x14ac:dyDescent="0.2">
      <c r="A15197" t="s">
        <v>14766</v>
      </c>
      <c r="B15197" t="str">
        <f>"18647876191"</f>
        <v>18647876191</v>
      </c>
      <c r="C15197" t="str">
        <f>"15280120000915151X"</f>
        <v>15280120000915151X</v>
      </c>
      <c r="D15197" t="s">
        <v>1</v>
      </c>
      <c r="E15197" t="s">
        <v>1</v>
      </c>
      <c r="F15197" t="s">
        <v>0</v>
      </c>
      <c r="G15197" t="str">
        <f>"2018-10-12 17:33:49"</f>
        <v>2018-10-12 17:33:49</v>
      </c>
    </row>
    <row r="15198" spans="1:7" x14ac:dyDescent="0.2">
      <c r="A15198" t="s">
        <v>1</v>
      </c>
      <c r="B15198" t="str">
        <f>"18286338535"</f>
        <v>18286338535</v>
      </c>
      <c r="C15198" t="s">
        <v>1</v>
      </c>
      <c r="D15198" t="s">
        <v>1</v>
      </c>
      <c r="E15198" t="s">
        <v>1</v>
      </c>
      <c r="F15198" t="s">
        <v>0</v>
      </c>
      <c r="G15198" t="str">
        <f>"2018-10-12 17:32:03"</f>
        <v>2018-10-12 17:32:03</v>
      </c>
    </row>
    <row r="15199" spans="1:7" x14ac:dyDescent="0.2">
      <c r="A15199" t="s">
        <v>14767</v>
      </c>
      <c r="B15199" t="str">
        <f>"13548075414"</f>
        <v>13548075414</v>
      </c>
      <c r="C15199" t="str">
        <f>"510113198709206211"</f>
        <v>510113198709206211</v>
      </c>
      <c r="D15199" t="s">
        <v>1</v>
      </c>
      <c r="E15199" t="s">
        <v>1</v>
      </c>
      <c r="F15199" t="s">
        <v>0</v>
      </c>
      <c r="G15199" t="str">
        <f>"2018-10-13 14:07:00"</f>
        <v>2018-10-13 14:07:00</v>
      </c>
    </row>
    <row r="15200" spans="1:7" x14ac:dyDescent="0.2">
      <c r="A15200" t="s">
        <v>1</v>
      </c>
      <c r="B15200" t="str">
        <f>"15314679022"</f>
        <v>15314679022</v>
      </c>
      <c r="C15200" t="s">
        <v>1</v>
      </c>
      <c r="D15200" t="s">
        <v>1</v>
      </c>
      <c r="E15200" t="s">
        <v>1</v>
      </c>
      <c r="F15200" t="s">
        <v>0</v>
      </c>
      <c r="G15200" t="str">
        <f>"2018-10-12 17:30:52"</f>
        <v>2018-10-12 17:30:52</v>
      </c>
    </row>
    <row r="15201" spans="1:7" x14ac:dyDescent="0.2">
      <c r="A15201" t="s">
        <v>1</v>
      </c>
      <c r="B15201" t="str">
        <f>"17601258853"</f>
        <v>17601258853</v>
      </c>
      <c r="C15201" t="s">
        <v>1</v>
      </c>
      <c r="D15201" t="s">
        <v>1</v>
      </c>
      <c r="E15201" t="s">
        <v>1</v>
      </c>
      <c r="F15201" t="s">
        <v>0</v>
      </c>
      <c r="G15201" t="str">
        <f>"2018-10-12 17:35:38"</f>
        <v>2018-10-12 17:35:38</v>
      </c>
    </row>
    <row r="15202" spans="1:7" x14ac:dyDescent="0.2">
      <c r="A15202" t="s">
        <v>1</v>
      </c>
      <c r="B15202" t="str">
        <f>"13791560893"</f>
        <v>13791560893</v>
      </c>
      <c r="C15202" t="s">
        <v>1</v>
      </c>
      <c r="D15202" t="s">
        <v>1</v>
      </c>
      <c r="E15202" t="s">
        <v>1</v>
      </c>
      <c r="F15202" t="s">
        <v>0</v>
      </c>
      <c r="G15202" t="str">
        <f>"2018-10-12 17:30:02"</f>
        <v>2018-10-12 17:30:02</v>
      </c>
    </row>
    <row r="15203" spans="1:7" x14ac:dyDescent="0.2">
      <c r="A15203" t="s">
        <v>565</v>
      </c>
      <c r="B15203" t="str">
        <f>"13404917447"</f>
        <v>13404917447</v>
      </c>
      <c r="C15203" t="str">
        <f>"532625199903172716"</f>
        <v>532625199903172716</v>
      </c>
      <c r="D15203" t="s">
        <v>1</v>
      </c>
      <c r="E15203" t="s">
        <v>1</v>
      </c>
      <c r="F15203" t="s">
        <v>0</v>
      </c>
      <c r="G15203" t="str">
        <f>"2018-10-12 17:29:59"</f>
        <v>2018-10-12 17:29:59</v>
      </c>
    </row>
    <row r="15204" spans="1:7" x14ac:dyDescent="0.2">
      <c r="A15204" t="s">
        <v>14768</v>
      </c>
      <c r="B15204" t="str">
        <f>"15224078343"</f>
        <v>15224078343</v>
      </c>
      <c r="C15204" t="str">
        <f>"330183198312033119"</f>
        <v>330183198312033119</v>
      </c>
      <c r="D15204" t="s">
        <v>1</v>
      </c>
      <c r="E15204" t="s">
        <v>1</v>
      </c>
      <c r="F15204" t="s">
        <v>0</v>
      </c>
      <c r="G15204" t="str">
        <f>"2018-10-12 17:33:37"</f>
        <v>2018-10-12 17:33:37</v>
      </c>
    </row>
    <row r="15205" spans="1:7" x14ac:dyDescent="0.2">
      <c r="A15205" t="s">
        <v>585</v>
      </c>
      <c r="B15205" t="str">
        <f>"13818438866"</f>
        <v>13818438866</v>
      </c>
      <c r="C15205" t="str">
        <f>"321283198301066817"</f>
        <v>321283198301066817</v>
      </c>
      <c r="D15205" t="s">
        <v>14769</v>
      </c>
      <c r="E15205" t="s">
        <v>14770</v>
      </c>
      <c r="F15205" t="s">
        <v>0</v>
      </c>
      <c r="G15205" t="str">
        <f>"2018-10-12 17:31:26"</f>
        <v>2018-10-12 17:31:26</v>
      </c>
    </row>
    <row r="15206" spans="1:7" x14ac:dyDescent="0.2">
      <c r="A15206" t="s">
        <v>14771</v>
      </c>
      <c r="B15206" t="str">
        <f>"13958784949"</f>
        <v>13958784949</v>
      </c>
      <c r="C15206" t="str">
        <f>"330327199501157270"</f>
        <v>330327199501157270</v>
      </c>
      <c r="D15206" t="s">
        <v>1</v>
      </c>
      <c r="E15206" t="s">
        <v>1</v>
      </c>
      <c r="F15206" t="s">
        <v>0</v>
      </c>
      <c r="G15206" t="str">
        <f>"2018-11-04 12:16:25"</f>
        <v>2018-11-04 12:16:25</v>
      </c>
    </row>
    <row r="15207" spans="1:7" x14ac:dyDescent="0.2">
      <c r="A15207" t="s">
        <v>14772</v>
      </c>
      <c r="B15207" t="str">
        <f>"13015651664"</f>
        <v>13015651664</v>
      </c>
      <c r="C15207" t="str">
        <f>"350626199609300511"</f>
        <v>350626199609300511</v>
      </c>
      <c r="D15207" t="s">
        <v>1</v>
      </c>
      <c r="E15207" t="s">
        <v>1</v>
      </c>
      <c r="F15207" t="s">
        <v>0</v>
      </c>
      <c r="G15207" t="str">
        <f>"2018-10-13 00:28:56"</f>
        <v>2018-10-13 00:28:56</v>
      </c>
    </row>
    <row r="15208" spans="1:7" x14ac:dyDescent="0.2">
      <c r="A15208" t="s">
        <v>52</v>
      </c>
      <c r="B15208" t="str">
        <f>"18797991459"</f>
        <v>18797991459</v>
      </c>
      <c r="C15208" t="str">
        <f>"36031319910818355X"</f>
        <v>36031319910818355X</v>
      </c>
      <c r="D15208" t="s">
        <v>14773</v>
      </c>
      <c r="E15208" t="s">
        <v>14774</v>
      </c>
      <c r="F15208" t="s">
        <v>0</v>
      </c>
      <c r="G15208" t="str">
        <f>"2018-10-12 18:01:19"</f>
        <v>2018-10-12 18:01:19</v>
      </c>
    </row>
    <row r="15209" spans="1:7" x14ac:dyDescent="0.2">
      <c r="A15209" t="s">
        <v>14775</v>
      </c>
      <c r="B15209" t="str">
        <f>"13751857527"</f>
        <v>13751857527</v>
      </c>
      <c r="C15209" t="str">
        <f>"440882199411101289"</f>
        <v>440882199411101289</v>
      </c>
      <c r="D15209" t="s">
        <v>1</v>
      </c>
      <c r="E15209" t="s">
        <v>1</v>
      </c>
      <c r="F15209" t="s">
        <v>0</v>
      </c>
      <c r="G15209" t="str">
        <f>"2018-10-12 17:30:12"</f>
        <v>2018-10-12 17:30:12</v>
      </c>
    </row>
    <row r="15210" spans="1:7" x14ac:dyDescent="0.2">
      <c r="A15210" t="s">
        <v>14776</v>
      </c>
      <c r="B15210" t="str">
        <f>"13605952864"</f>
        <v>13605952864</v>
      </c>
      <c r="C15210" t="str">
        <f>"142430199308231213"</f>
        <v>142430199308231213</v>
      </c>
      <c r="D15210" t="s">
        <v>1</v>
      </c>
      <c r="E15210" t="s">
        <v>1</v>
      </c>
      <c r="F15210" t="s">
        <v>0</v>
      </c>
      <c r="G15210" t="str">
        <f>"2018-10-20 16:06:40"</f>
        <v>2018-10-20 16:06:40</v>
      </c>
    </row>
    <row r="15211" spans="1:7" x14ac:dyDescent="0.2">
      <c r="A15211" t="s">
        <v>14777</v>
      </c>
      <c r="B15211" t="str">
        <f>"18724222241"</f>
        <v>18724222241</v>
      </c>
      <c r="C15211" t="str">
        <f>"230803198603080815"</f>
        <v>230803198603080815</v>
      </c>
      <c r="D15211" t="s">
        <v>1</v>
      </c>
      <c r="E15211" t="s">
        <v>1</v>
      </c>
      <c r="F15211" t="s">
        <v>0</v>
      </c>
      <c r="G15211" t="str">
        <f>"2018-10-12 17:34:04"</f>
        <v>2018-10-12 17:34:04</v>
      </c>
    </row>
    <row r="15212" spans="1:7" x14ac:dyDescent="0.2">
      <c r="A15212" t="s">
        <v>14778</v>
      </c>
      <c r="B15212" t="str">
        <f>"15549339399"</f>
        <v>15549339399</v>
      </c>
      <c r="C15212" t="str">
        <f>"420503198105211818"</f>
        <v>420503198105211818</v>
      </c>
      <c r="D15212" t="s">
        <v>1</v>
      </c>
      <c r="E15212" t="s">
        <v>1</v>
      </c>
      <c r="F15212" t="s">
        <v>0</v>
      </c>
      <c r="G15212" t="str">
        <f>"2018-10-12 17:23:47"</f>
        <v>2018-10-12 17:23:47</v>
      </c>
    </row>
    <row r="15213" spans="1:7" x14ac:dyDescent="0.2">
      <c r="A15213" t="s">
        <v>14779</v>
      </c>
      <c r="B15213" t="str">
        <f>"18073779320"</f>
        <v>18073779320</v>
      </c>
      <c r="C15213" t="str">
        <f>"43230119690205203X"</f>
        <v>43230119690205203X</v>
      </c>
      <c r="D15213" t="s">
        <v>14780</v>
      </c>
      <c r="E15213" t="s">
        <v>14781</v>
      </c>
      <c r="F15213" t="s">
        <v>0</v>
      </c>
      <c r="G15213" t="str">
        <f>"2018-10-12 17:22:53"</f>
        <v>2018-10-12 17:22:53</v>
      </c>
    </row>
    <row r="15214" spans="1:7" x14ac:dyDescent="0.2">
      <c r="A15214" t="s">
        <v>14782</v>
      </c>
      <c r="B15214" t="str">
        <f>"13227606585"</f>
        <v>13227606585</v>
      </c>
      <c r="C15214" t="str">
        <f>"420323198410033813"</f>
        <v>420323198410033813</v>
      </c>
      <c r="D15214" t="s">
        <v>1</v>
      </c>
      <c r="E15214" t="s">
        <v>1</v>
      </c>
      <c r="F15214" t="s">
        <v>0</v>
      </c>
      <c r="G15214" t="str">
        <f>"2018-10-12 17:22:22"</f>
        <v>2018-10-12 17:22:22</v>
      </c>
    </row>
    <row r="15215" spans="1:7" x14ac:dyDescent="0.2">
      <c r="A15215" t="s">
        <v>1</v>
      </c>
      <c r="B15215" t="str">
        <f>"17754941655"</f>
        <v>17754941655</v>
      </c>
      <c r="C15215" t="s">
        <v>1</v>
      </c>
      <c r="D15215" t="s">
        <v>1</v>
      </c>
      <c r="E15215" t="s">
        <v>1</v>
      </c>
      <c r="F15215" t="s">
        <v>0</v>
      </c>
      <c r="G15215" t="str">
        <f>"2018-10-12 17:23:37"</f>
        <v>2018-10-12 17:23:37</v>
      </c>
    </row>
    <row r="15216" spans="1:7" x14ac:dyDescent="0.2">
      <c r="A15216" t="s">
        <v>14783</v>
      </c>
      <c r="B15216" t="str">
        <f>"18683359224"</f>
        <v>18683359224</v>
      </c>
      <c r="C15216" t="str">
        <f>"51110219920427205X"</f>
        <v>51110219920427205X</v>
      </c>
      <c r="D15216" t="s">
        <v>1</v>
      </c>
      <c r="E15216" t="s">
        <v>1</v>
      </c>
      <c r="F15216" t="s">
        <v>0</v>
      </c>
      <c r="G15216" t="str">
        <f>"2018-10-15 08:39:54"</f>
        <v>2018-10-15 08:39:54</v>
      </c>
    </row>
    <row r="15217" spans="1:7" x14ac:dyDescent="0.2">
      <c r="A15217" t="s">
        <v>14784</v>
      </c>
      <c r="B15217" t="str">
        <f>"15715963883"</f>
        <v>15715963883</v>
      </c>
      <c r="C15217" t="str">
        <f>"359002197907223513"</f>
        <v>359002197907223513</v>
      </c>
      <c r="D15217" t="s">
        <v>1</v>
      </c>
      <c r="E15217" t="s">
        <v>1</v>
      </c>
      <c r="F15217" t="s">
        <v>0</v>
      </c>
      <c r="G15217" t="str">
        <f>"2018-10-27 12:33:01"</f>
        <v>2018-10-27 12:33:01</v>
      </c>
    </row>
    <row r="15218" spans="1:7" x14ac:dyDescent="0.2">
      <c r="A15218" t="s">
        <v>1</v>
      </c>
      <c r="B15218" t="str">
        <f>"17156996441"</f>
        <v>17156996441</v>
      </c>
      <c r="C15218" t="s">
        <v>1</v>
      </c>
      <c r="D15218" t="s">
        <v>1</v>
      </c>
      <c r="E15218" t="s">
        <v>1</v>
      </c>
      <c r="F15218" t="s">
        <v>0</v>
      </c>
      <c r="G15218" t="str">
        <f>"2018-10-12 17:18:52"</f>
        <v>2018-10-12 17:18:52</v>
      </c>
    </row>
    <row r="15219" spans="1:7" x14ac:dyDescent="0.2">
      <c r="A15219" t="s">
        <v>14785</v>
      </c>
      <c r="B15219" t="str">
        <f>"13962933141"</f>
        <v>13962933141</v>
      </c>
      <c r="C15219" t="str">
        <f>"340321199306078984"</f>
        <v>340321199306078984</v>
      </c>
      <c r="D15219" t="s">
        <v>14786</v>
      </c>
      <c r="E15219" t="s">
        <v>14787</v>
      </c>
      <c r="F15219" t="s">
        <v>0</v>
      </c>
      <c r="G15219" t="str">
        <f>"2018-10-12 17:20:52"</f>
        <v>2018-10-12 17:20:52</v>
      </c>
    </row>
    <row r="15220" spans="1:7" x14ac:dyDescent="0.2">
      <c r="A15220" t="s">
        <v>14788</v>
      </c>
      <c r="B15220" t="str">
        <f>"13826958885"</f>
        <v>13826958885</v>
      </c>
      <c r="C15220" t="str">
        <f>"441881199608166312"</f>
        <v>441881199608166312</v>
      </c>
      <c r="D15220" t="s">
        <v>1</v>
      </c>
      <c r="E15220" t="s">
        <v>1</v>
      </c>
      <c r="F15220" t="s">
        <v>0</v>
      </c>
      <c r="G15220" t="str">
        <f>"2018-10-13 08:15:21"</f>
        <v>2018-10-13 08:15:21</v>
      </c>
    </row>
    <row r="15221" spans="1:7" x14ac:dyDescent="0.2">
      <c r="A15221" t="s">
        <v>136</v>
      </c>
      <c r="B15221" t="str">
        <f>"13682058205"</f>
        <v>13682058205</v>
      </c>
      <c r="C15221" t="str">
        <f>"120225198310122970"</f>
        <v>120225198310122970</v>
      </c>
      <c r="D15221" t="s">
        <v>14789</v>
      </c>
      <c r="E15221" t="s">
        <v>14790</v>
      </c>
      <c r="F15221" t="s">
        <v>0</v>
      </c>
      <c r="G15221" t="str">
        <f>"2018-10-13 13:03:29"</f>
        <v>2018-10-13 13:03:29</v>
      </c>
    </row>
    <row r="15222" spans="1:7" x14ac:dyDescent="0.2">
      <c r="A15222" t="s">
        <v>1</v>
      </c>
      <c r="B15222" t="str">
        <f>"15213486953"</f>
        <v>15213486953</v>
      </c>
      <c r="C15222" t="s">
        <v>1</v>
      </c>
      <c r="D15222" t="s">
        <v>1</v>
      </c>
      <c r="E15222" t="s">
        <v>1</v>
      </c>
      <c r="F15222" t="s">
        <v>0</v>
      </c>
      <c r="G15222" t="str">
        <f>"2018-10-12 17:17:35"</f>
        <v>2018-10-12 17:17:35</v>
      </c>
    </row>
    <row r="15223" spans="1:7" x14ac:dyDescent="0.2">
      <c r="A15223" t="s">
        <v>14791</v>
      </c>
      <c r="B15223" t="str">
        <f>"15918868817"</f>
        <v>15918868817</v>
      </c>
      <c r="C15223" t="str">
        <f>"440882199602165074"</f>
        <v>440882199602165074</v>
      </c>
      <c r="D15223" t="s">
        <v>1</v>
      </c>
      <c r="E15223" t="s">
        <v>1</v>
      </c>
      <c r="F15223" t="s">
        <v>0</v>
      </c>
      <c r="G15223" t="str">
        <f>"2018-10-16 23:18:26"</f>
        <v>2018-10-16 23:18:26</v>
      </c>
    </row>
    <row r="15224" spans="1:7" x14ac:dyDescent="0.2">
      <c r="A15224" t="s">
        <v>14792</v>
      </c>
      <c r="B15224" t="str">
        <f>"15393793261"</f>
        <v>15393793261</v>
      </c>
      <c r="C15224" t="str">
        <f>"411081199002154959"</f>
        <v>411081199002154959</v>
      </c>
      <c r="D15224" t="s">
        <v>1</v>
      </c>
      <c r="E15224" t="s">
        <v>1</v>
      </c>
      <c r="F15224" t="s">
        <v>0</v>
      </c>
      <c r="G15224" t="str">
        <f>"2018-10-12 17:25:15"</f>
        <v>2018-10-12 17:25:15</v>
      </c>
    </row>
    <row r="15225" spans="1:7" x14ac:dyDescent="0.2">
      <c r="A15225" t="s">
        <v>14793</v>
      </c>
      <c r="B15225" t="str">
        <f>"15058797062"</f>
        <v>15058797062</v>
      </c>
      <c r="C15225" t="str">
        <f>"330327198902080978"</f>
        <v>330327198902080978</v>
      </c>
      <c r="D15225" t="s">
        <v>1</v>
      </c>
      <c r="E15225" t="s">
        <v>1</v>
      </c>
      <c r="F15225" t="s">
        <v>0</v>
      </c>
      <c r="G15225" t="str">
        <f>"2018-10-12 17:18:53"</f>
        <v>2018-10-12 17:18:53</v>
      </c>
    </row>
    <row r="15226" spans="1:7" x14ac:dyDescent="0.2">
      <c r="A15226" t="s">
        <v>14794</v>
      </c>
      <c r="B15226" t="str">
        <f>"15259113117"</f>
        <v>15259113117</v>
      </c>
      <c r="C15226" t="str">
        <f>"513030199012201320"</f>
        <v>513030199012201320</v>
      </c>
      <c r="D15226" t="s">
        <v>14795</v>
      </c>
      <c r="E15226" t="s">
        <v>14796</v>
      </c>
      <c r="F15226" t="s">
        <v>0</v>
      </c>
      <c r="G15226" t="str">
        <f>"2018-10-12 21:12:44"</f>
        <v>2018-10-12 21:12:44</v>
      </c>
    </row>
    <row r="15227" spans="1:7" x14ac:dyDescent="0.2">
      <c r="A15227" t="s">
        <v>14797</v>
      </c>
      <c r="B15227" t="str">
        <f>"13648621521"</f>
        <v>13648621521</v>
      </c>
      <c r="C15227" t="str">
        <f>"460025199407260028"</f>
        <v>460025199407260028</v>
      </c>
      <c r="D15227" t="s">
        <v>1</v>
      </c>
      <c r="E15227" t="s">
        <v>1</v>
      </c>
      <c r="F15227" t="s">
        <v>0</v>
      </c>
      <c r="G15227" t="str">
        <f>"2018-10-12 17:18:23"</f>
        <v>2018-10-12 17:18:23</v>
      </c>
    </row>
    <row r="15228" spans="1:7" x14ac:dyDescent="0.2">
      <c r="A15228" t="s">
        <v>14798</v>
      </c>
      <c r="B15228" t="str">
        <f>"18366123603"</f>
        <v>18366123603</v>
      </c>
      <c r="C15228" t="str">
        <f>"370123198609191055"</f>
        <v>370123198609191055</v>
      </c>
      <c r="D15228" t="s">
        <v>14799</v>
      </c>
      <c r="E15228" t="s">
        <v>14800</v>
      </c>
      <c r="F15228" t="s">
        <v>0</v>
      </c>
      <c r="G15228" t="str">
        <f>"2018-10-12 17:15:02"</f>
        <v>2018-10-12 17:15:02</v>
      </c>
    </row>
    <row r="15229" spans="1:7" x14ac:dyDescent="0.2">
      <c r="A15229" t="s">
        <v>14801</v>
      </c>
      <c r="B15229" t="str">
        <f>"13995770127"</f>
        <v>13995770127</v>
      </c>
      <c r="C15229" t="str">
        <f>"420606199001286013"</f>
        <v>420606199001286013</v>
      </c>
      <c r="D15229" t="s">
        <v>1</v>
      </c>
      <c r="E15229" t="s">
        <v>1</v>
      </c>
      <c r="F15229" t="s">
        <v>0</v>
      </c>
      <c r="G15229" t="str">
        <f>"2018-10-12 17:14:15"</f>
        <v>2018-10-12 17:14:15</v>
      </c>
    </row>
    <row r="15230" spans="1:7" x14ac:dyDescent="0.2">
      <c r="A15230" t="s">
        <v>269</v>
      </c>
      <c r="B15230" t="str">
        <f>"18213409329"</f>
        <v>18213409329</v>
      </c>
      <c r="C15230" t="str">
        <f>"130183198906040052"</f>
        <v>130183198906040052</v>
      </c>
      <c r="D15230" t="s">
        <v>14802</v>
      </c>
      <c r="E15230" t="s">
        <v>14803</v>
      </c>
      <c r="F15230" t="s">
        <v>0</v>
      </c>
      <c r="G15230" t="str">
        <f>"2018-10-12 17:13:15"</f>
        <v>2018-10-12 17:13:15</v>
      </c>
    </row>
    <row r="15231" spans="1:7" x14ac:dyDescent="0.2">
      <c r="A15231" t="s">
        <v>14804</v>
      </c>
      <c r="B15231" t="str">
        <f>"15098263310"</f>
        <v>15098263310</v>
      </c>
      <c r="C15231" t="str">
        <f>"37040219950215101X"</f>
        <v>37040219950215101X</v>
      </c>
      <c r="D15231" t="s">
        <v>14805</v>
      </c>
      <c r="E15231" t="s">
        <v>14806</v>
      </c>
      <c r="F15231" t="s">
        <v>0</v>
      </c>
      <c r="G15231" t="str">
        <f>"2018-10-12 17:17:24"</f>
        <v>2018-10-12 17:17:24</v>
      </c>
    </row>
    <row r="15232" spans="1:7" x14ac:dyDescent="0.2">
      <c r="A15232" t="s">
        <v>1</v>
      </c>
      <c r="B15232" t="str">
        <f>"15138092006"</f>
        <v>15138092006</v>
      </c>
      <c r="C15232" t="s">
        <v>1</v>
      </c>
      <c r="D15232" t="s">
        <v>1</v>
      </c>
      <c r="E15232" t="s">
        <v>1</v>
      </c>
      <c r="F15232" t="s">
        <v>0</v>
      </c>
      <c r="G15232" t="str">
        <f>"2018-10-12 17:11:27"</f>
        <v>2018-10-12 17:11:27</v>
      </c>
    </row>
    <row r="15233" spans="1:7" x14ac:dyDescent="0.2">
      <c r="A15233" t="s">
        <v>14807</v>
      </c>
      <c r="B15233" t="str">
        <f>"13628711750"</f>
        <v>13628711750</v>
      </c>
      <c r="C15233" t="str">
        <f>"533001199109121214"</f>
        <v>533001199109121214</v>
      </c>
      <c r="D15233" t="s">
        <v>1</v>
      </c>
      <c r="E15233" t="s">
        <v>1</v>
      </c>
      <c r="F15233" t="s">
        <v>0</v>
      </c>
      <c r="G15233" t="str">
        <f>"2018-10-12 17:14:14"</f>
        <v>2018-10-12 17:14:14</v>
      </c>
    </row>
    <row r="15234" spans="1:7" x14ac:dyDescent="0.2">
      <c r="A15234" t="s">
        <v>1</v>
      </c>
      <c r="B15234" t="str">
        <f>"18315093619"</f>
        <v>18315093619</v>
      </c>
      <c r="C15234" t="s">
        <v>1</v>
      </c>
      <c r="D15234" t="s">
        <v>1</v>
      </c>
      <c r="E15234" t="s">
        <v>1</v>
      </c>
      <c r="F15234" t="s">
        <v>0</v>
      </c>
      <c r="G15234" t="str">
        <f>"2018-10-12 17:11:11"</f>
        <v>2018-10-12 17:11:11</v>
      </c>
    </row>
    <row r="15235" spans="1:7" x14ac:dyDescent="0.2">
      <c r="A15235" t="s">
        <v>14808</v>
      </c>
      <c r="B15235" t="str">
        <f>"13837566977"</f>
        <v>13837566977</v>
      </c>
      <c r="C15235" t="str">
        <f>"410402198303295641"</f>
        <v>410402198303295641</v>
      </c>
      <c r="D15235" t="s">
        <v>1</v>
      </c>
      <c r="E15235" t="s">
        <v>1</v>
      </c>
      <c r="F15235" t="s">
        <v>0</v>
      </c>
      <c r="G15235" t="str">
        <f>"2018-10-12 17:11:31"</f>
        <v>2018-10-12 17:11:31</v>
      </c>
    </row>
    <row r="15236" spans="1:7" x14ac:dyDescent="0.2">
      <c r="A15236" t="s">
        <v>14809</v>
      </c>
      <c r="B15236" t="str">
        <f>"13284248800"</f>
        <v>13284248800</v>
      </c>
      <c r="C15236" t="str">
        <f>"220382199303110622"</f>
        <v>220382199303110622</v>
      </c>
      <c r="D15236" t="s">
        <v>1</v>
      </c>
      <c r="E15236" t="s">
        <v>1</v>
      </c>
      <c r="F15236" t="s">
        <v>0</v>
      </c>
      <c r="G15236" t="str">
        <f>"2018-10-12 17:25:08"</f>
        <v>2018-10-12 17:25:08</v>
      </c>
    </row>
    <row r="15237" spans="1:7" x14ac:dyDescent="0.2">
      <c r="A15237" t="s">
        <v>14810</v>
      </c>
      <c r="B15237" t="str">
        <f>"18776199998"</f>
        <v>18776199998</v>
      </c>
      <c r="C15237" t="str">
        <f>"452731198707156012"</f>
        <v>452731198707156012</v>
      </c>
      <c r="D15237" t="s">
        <v>14811</v>
      </c>
      <c r="E15237" t="s">
        <v>14812</v>
      </c>
      <c r="F15237" t="s">
        <v>0</v>
      </c>
      <c r="G15237" t="str">
        <f>"2018-10-13 11:10:54"</f>
        <v>2018-10-13 11:10:54</v>
      </c>
    </row>
    <row r="15238" spans="1:7" x14ac:dyDescent="0.2">
      <c r="A15238" t="s">
        <v>1367</v>
      </c>
      <c r="B15238" t="str">
        <f>"15676137571"</f>
        <v>15676137571</v>
      </c>
      <c r="C15238" t="str">
        <f>"450122199503224515"</f>
        <v>450122199503224515</v>
      </c>
      <c r="D15238" t="s">
        <v>1</v>
      </c>
      <c r="E15238" t="s">
        <v>1</v>
      </c>
      <c r="F15238" t="s">
        <v>0</v>
      </c>
      <c r="G15238" t="str">
        <f>"2018-10-12 17:13:23"</f>
        <v>2018-10-12 17:13:23</v>
      </c>
    </row>
    <row r="15239" spans="1:7" x14ac:dyDescent="0.2">
      <c r="A15239" t="s">
        <v>1</v>
      </c>
      <c r="B15239" t="str">
        <f>"18156821744"</f>
        <v>18156821744</v>
      </c>
      <c r="C15239" t="s">
        <v>1</v>
      </c>
      <c r="D15239" t="s">
        <v>1</v>
      </c>
      <c r="E15239" t="s">
        <v>1</v>
      </c>
      <c r="F15239" t="s">
        <v>0</v>
      </c>
      <c r="G15239" t="str">
        <f>"2018-10-12 17:09:14"</f>
        <v>2018-10-12 17:09:14</v>
      </c>
    </row>
    <row r="15240" spans="1:7" x14ac:dyDescent="0.2">
      <c r="A15240" t="s">
        <v>1</v>
      </c>
      <c r="B15240" t="str">
        <f>"18565700242"</f>
        <v>18565700242</v>
      </c>
      <c r="C15240" t="s">
        <v>1</v>
      </c>
      <c r="D15240" t="s">
        <v>1</v>
      </c>
      <c r="E15240" t="s">
        <v>1</v>
      </c>
      <c r="F15240" t="s">
        <v>0</v>
      </c>
      <c r="G15240" t="str">
        <f>"2018-10-12 17:08:59"</f>
        <v>2018-10-12 17:08:59</v>
      </c>
    </row>
    <row r="15241" spans="1:7" x14ac:dyDescent="0.2">
      <c r="A15241" t="s">
        <v>14813</v>
      </c>
      <c r="B15241" t="str">
        <f>"13761368226"</f>
        <v>13761368226</v>
      </c>
      <c r="C15241" t="str">
        <f>"310230198310133748"</f>
        <v>310230198310133748</v>
      </c>
      <c r="D15241" t="s">
        <v>1</v>
      </c>
      <c r="E15241" t="s">
        <v>1</v>
      </c>
      <c r="F15241" t="s">
        <v>0</v>
      </c>
      <c r="G15241" t="str">
        <f>"2018-10-12 17:14:26"</f>
        <v>2018-10-12 17:14:26</v>
      </c>
    </row>
    <row r="15242" spans="1:7" x14ac:dyDescent="0.2">
      <c r="A15242" t="s">
        <v>8453</v>
      </c>
      <c r="B15242" t="str">
        <f>"18681718632"</f>
        <v>18681718632</v>
      </c>
      <c r="C15242" t="str">
        <f>"511302198810230323"</f>
        <v>511302198810230323</v>
      </c>
      <c r="D15242" t="s">
        <v>1</v>
      </c>
      <c r="E15242" t="s">
        <v>1</v>
      </c>
      <c r="F15242" t="s">
        <v>0</v>
      </c>
      <c r="G15242" t="str">
        <f>"2018-10-12 17:24:51"</f>
        <v>2018-10-12 17:24:51</v>
      </c>
    </row>
    <row r="15243" spans="1:7" x14ac:dyDescent="0.2">
      <c r="A15243" t="s">
        <v>14814</v>
      </c>
      <c r="B15243" t="str">
        <f>"15035269668"</f>
        <v>15035269668</v>
      </c>
      <c r="C15243" t="str">
        <f>"140203198809127936"</f>
        <v>140203198809127936</v>
      </c>
      <c r="D15243" t="s">
        <v>14815</v>
      </c>
      <c r="E15243" t="s">
        <v>14816</v>
      </c>
      <c r="F15243" t="s">
        <v>0</v>
      </c>
      <c r="G15243" t="str">
        <f>"2018-10-12 19:08:08"</f>
        <v>2018-10-12 19:08:08</v>
      </c>
    </row>
    <row r="15244" spans="1:7" x14ac:dyDescent="0.2">
      <c r="A15244" t="s">
        <v>1854</v>
      </c>
      <c r="B15244" t="str">
        <f>"13639187066"</f>
        <v>13639187066</v>
      </c>
      <c r="C15244" t="str">
        <f>"520202197810083037"</f>
        <v>520202197810083037</v>
      </c>
      <c r="D15244" t="s">
        <v>1</v>
      </c>
      <c r="E15244" t="s">
        <v>1</v>
      </c>
      <c r="F15244" t="s">
        <v>0</v>
      </c>
      <c r="G15244" t="str">
        <f>"2018-10-13 11:10:19"</f>
        <v>2018-10-13 11:10:19</v>
      </c>
    </row>
    <row r="15245" spans="1:7" x14ac:dyDescent="0.2">
      <c r="A15245" t="s">
        <v>1</v>
      </c>
      <c r="B15245" t="str">
        <f>"18302174953"</f>
        <v>18302174953</v>
      </c>
      <c r="C15245" t="s">
        <v>1</v>
      </c>
      <c r="D15245" t="s">
        <v>1</v>
      </c>
      <c r="E15245" t="s">
        <v>1</v>
      </c>
      <c r="F15245" t="s">
        <v>0</v>
      </c>
      <c r="G15245" t="str">
        <f>"2018-10-12 17:07:09"</f>
        <v>2018-10-12 17:07:09</v>
      </c>
    </row>
    <row r="15246" spans="1:7" x14ac:dyDescent="0.2">
      <c r="A15246" t="s">
        <v>14817</v>
      </c>
      <c r="B15246" t="str">
        <f>"15739906901"</f>
        <v>15739906901</v>
      </c>
      <c r="C15246" t="str">
        <f>"653101199706042031"</f>
        <v>653101199706042031</v>
      </c>
      <c r="D15246" t="s">
        <v>1</v>
      </c>
      <c r="E15246" t="s">
        <v>1</v>
      </c>
      <c r="F15246" t="s">
        <v>0</v>
      </c>
      <c r="G15246" t="str">
        <f>"2018-10-12 17:09:23"</f>
        <v>2018-10-12 17:09:23</v>
      </c>
    </row>
    <row r="15247" spans="1:7" x14ac:dyDescent="0.2">
      <c r="A15247" t="s">
        <v>14818</v>
      </c>
      <c r="B15247" t="str">
        <f>"18370981561"</f>
        <v>18370981561</v>
      </c>
      <c r="C15247" t="str">
        <f>"360702199104100676"</f>
        <v>360702199104100676</v>
      </c>
      <c r="D15247" t="s">
        <v>14819</v>
      </c>
      <c r="E15247" t="s">
        <v>14820</v>
      </c>
      <c r="F15247" t="s">
        <v>0</v>
      </c>
      <c r="G15247" t="str">
        <f>"2018-10-28 15:37:21"</f>
        <v>2018-10-28 15:37:21</v>
      </c>
    </row>
    <row r="15248" spans="1:7" x14ac:dyDescent="0.2">
      <c r="A15248" t="s">
        <v>14821</v>
      </c>
      <c r="B15248" t="str">
        <f>"13913653851"</f>
        <v>13913653851</v>
      </c>
      <c r="C15248" t="str">
        <f>"320520198009284518"</f>
        <v>320520198009284518</v>
      </c>
      <c r="D15248" t="s">
        <v>1</v>
      </c>
      <c r="E15248" t="s">
        <v>1</v>
      </c>
      <c r="F15248" t="s">
        <v>0</v>
      </c>
      <c r="G15248" t="str">
        <f>"2018-10-12 17:09:18"</f>
        <v>2018-10-12 17:09:18</v>
      </c>
    </row>
    <row r="15249" spans="1:7" x14ac:dyDescent="0.2">
      <c r="A15249" t="s">
        <v>1391</v>
      </c>
      <c r="B15249" t="str">
        <f>"13996466933"</f>
        <v>13996466933</v>
      </c>
      <c r="C15249" t="str">
        <f>"50010919880827503X"</f>
        <v>50010919880827503X</v>
      </c>
      <c r="D15249" t="s">
        <v>1</v>
      </c>
      <c r="E15249" t="s">
        <v>1</v>
      </c>
      <c r="F15249" t="s">
        <v>0</v>
      </c>
      <c r="G15249" t="str">
        <f>"2018-10-12 17:40:55"</f>
        <v>2018-10-12 17:40:55</v>
      </c>
    </row>
    <row r="15250" spans="1:7" x14ac:dyDescent="0.2">
      <c r="A15250" t="s">
        <v>14822</v>
      </c>
      <c r="B15250" t="str">
        <f>"15850913442"</f>
        <v>15850913442</v>
      </c>
      <c r="C15250" t="str">
        <f>"321302199606141613"</f>
        <v>321302199606141613</v>
      </c>
      <c r="D15250" t="s">
        <v>1</v>
      </c>
      <c r="E15250" t="s">
        <v>1</v>
      </c>
      <c r="F15250" t="s">
        <v>0</v>
      </c>
      <c r="G15250" t="str">
        <f>"2018-10-12 19:46:02"</f>
        <v>2018-10-12 19:46:02</v>
      </c>
    </row>
    <row r="15251" spans="1:7" x14ac:dyDescent="0.2">
      <c r="A15251" t="s">
        <v>14823</v>
      </c>
      <c r="B15251" t="str">
        <f>"18962190477"</f>
        <v>18962190477</v>
      </c>
      <c r="C15251" t="str">
        <f>"32050219780105302X"</f>
        <v>32050219780105302X</v>
      </c>
      <c r="D15251" t="s">
        <v>1</v>
      </c>
      <c r="E15251" t="s">
        <v>1</v>
      </c>
      <c r="F15251" t="s">
        <v>0</v>
      </c>
      <c r="G15251" t="str">
        <f>"2018-10-12 17:09:34"</f>
        <v>2018-10-12 17:09:34</v>
      </c>
    </row>
    <row r="15252" spans="1:7" x14ac:dyDescent="0.2">
      <c r="A15252" t="s">
        <v>14824</v>
      </c>
      <c r="B15252" t="str">
        <f>"18719837476"</f>
        <v>18719837476</v>
      </c>
      <c r="C15252" t="str">
        <f>"620503199901094212"</f>
        <v>620503199901094212</v>
      </c>
      <c r="D15252" t="s">
        <v>1</v>
      </c>
      <c r="E15252" t="s">
        <v>1</v>
      </c>
      <c r="F15252" t="s">
        <v>0</v>
      </c>
      <c r="G15252" t="str">
        <f>"2018-10-12 18:47:24"</f>
        <v>2018-10-12 18:47:24</v>
      </c>
    </row>
    <row r="15253" spans="1:7" x14ac:dyDescent="0.2">
      <c r="A15253" t="s">
        <v>14825</v>
      </c>
      <c r="B15253" t="str">
        <f>"15277795964"</f>
        <v>15277795964</v>
      </c>
      <c r="C15253" t="str">
        <f>"45032519980502122X"</f>
        <v>45032519980502122X</v>
      </c>
      <c r="D15253" t="s">
        <v>1</v>
      </c>
      <c r="E15253" t="s">
        <v>1</v>
      </c>
      <c r="F15253" t="s">
        <v>0</v>
      </c>
      <c r="G15253" t="str">
        <f>"2018-10-12 17:05:20"</f>
        <v>2018-10-12 17:05:20</v>
      </c>
    </row>
    <row r="15254" spans="1:7" x14ac:dyDescent="0.2">
      <c r="A15254" t="s">
        <v>14826</v>
      </c>
      <c r="B15254" t="str">
        <f>"15834008625"</f>
        <v>15834008625</v>
      </c>
      <c r="C15254" t="str">
        <f>"140181198905284230"</f>
        <v>140181198905284230</v>
      </c>
      <c r="D15254" t="s">
        <v>1</v>
      </c>
      <c r="E15254" t="s">
        <v>1</v>
      </c>
      <c r="F15254" t="s">
        <v>0</v>
      </c>
      <c r="G15254" t="str">
        <f>"2018-10-12 17:04:28"</f>
        <v>2018-10-12 17:04:28</v>
      </c>
    </row>
    <row r="15255" spans="1:7" x14ac:dyDescent="0.2">
      <c r="A15255" t="s">
        <v>832</v>
      </c>
      <c r="B15255" t="str">
        <f>"15914853733"</f>
        <v>15914853733</v>
      </c>
      <c r="C15255" t="str">
        <f>"440224199509060730"</f>
        <v>440224199509060730</v>
      </c>
      <c r="D15255" t="s">
        <v>1</v>
      </c>
      <c r="E15255" t="s">
        <v>1</v>
      </c>
      <c r="F15255" t="s">
        <v>0</v>
      </c>
      <c r="G15255" t="str">
        <f>"2018-10-12 17:25:13"</f>
        <v>2018-10-12 17:25:13</v>
      </c>
    </row>
    <row r="15256" spans="1:7" x14ac:dyDescent="0.2">
      <c r="A15256" t="s">
        <v>14827</v>
      </c>
      <c r="B15256" t="str">
        <f>"13961476302"</f>
        <v>13961476302</v>
      </c>
      <c r="C15256" t="str">
        <f>"33072319831231411X"</f>
        <v>33072319831231411X</v>
      </c>
      <c r="D15256" t="s">
        <v>14828</v>
      </c>
      <c r="E15256" t="s">
        <v>14829</v>
      </c>
      <c r="F15256" t="s">
        <v>0</v>
      </c>
      <c r="G15256" t="str">
        <f>"2018-10-12 17:02:54"</f>
        <v>2018-10-12 17:02:54</v>
      </c>
    </row>
    <row r="15257" spans="1:7" x14ac:dyDescent="0.2">
      <c r="A15257" t="s">
        <v>1174</v>
      </c>
      <c r="B15257" t="str">
        <f>"13565876055"</f>
        <v>13565876055</v>
      </c>
      <c r="C15257" t="str">
        <f>"610323199409133315"</f>
        <v>610323199409133315</v>
      </c>
      <c r="D15257" t="s">
        <v>1</v>
      </c>
      <c r="E15257" t="s">
        <v>1</v>
      </c>
      <c r="F15257" t="s">
        <v>0</v>
      </c>
      <c r="G15257" t="str">
        <f>"2018-10-12 17:32:29"</f>
        <v>2018-10-12 17:32:29</v>
      </c>
    </row>
    <row r="15258" spans="1:7" x14ac:dyDescent="0.2">
      <c r="A15258" t="s">
        <v>14830</v>
      </c>
      <c r="B15258" t="str">
        <f>"18711353801"</f>
        <v>18711353801</v>
      </c>
      <c r="C15258" t="str">
        <f>"430202199101244018"</f>
        <v>430202199101244018</v>
      </c>
      <c r="D15258" t="s">
        <v>14831</v>
      </c>
      <c r="E15258" t="s">
        <v>14832</v>
      </c>
      <c r="F15258" t="s">
        <v>0</v>
      </c>
      <c r="G15258" t="str">
        <f>"2018-10-29 05:45:38"</f>
        <v>2018-10-29 05:45:38</v>
      </c>
    </row>
    <row r="15259" spans="1:7" x14ac:dyDescent="0.2">
      <c r="A15259" t="s">
        <v>14833</v>
      </c>
      <c r="B15259" t="str">
        <f>"13666893883"</f>
        <v>13666893883</v>
      </c>
      <c r="C15259" t="str">
        <f>"331002198608102539"</f>
        <v>331002198608102539</v>
      </c>
      <c r="D15259" t="s">
        <v>1</v>
      </c>
      <c r="E15259" t="s">
        <v>1</v>
      </c>
      <c r="F15259" t="s">
        <v>0</v>
      </c>
      <c r="G15259" t="str">
        <f>"2018-10-12 17:02:55"</f>
        <v>2018-10-12 17:02:55</v>
      </c>
    </row>
    <row r="15260" spans="1:7" x14ac:dyDescent="0.2">
      <c r="A15260" t="s">
        <v>14834</v>
      </c>
      <c r="B15260" t="str">
        <f>"15907705917"</f>
        <v>15907705917</v>
      </c>
      <c r="C15260" t="str">
        <f>"450922198506121238"</f>
        <v>450922198506121238</v>
      </c>
      <c r="D15260" t="s">
        <v>1</v>
      </c>
      <c r="E15260" t="s">
        <v>1</v>
      </c>
      <c r="F15260" t="s">
        <v>0</v>
      </c>
      <c r="G15260" t="str">
        <f>"2018-10-18 16:26:50"</f>
        <v>2018-10-18 16:26:50</v>
      </c>
    </row>
    <row r="15261" spans="1:7" x14ac:dyDescent="0.2">
      <c r="A15261" t="s">
        <v>14835</v>
      </c>
      <c r="B15261" t="str">
        <f>"15959595181"</f>
        <v>15959595181</v>
      </c>
      <c r="C15261" t="str">
        <f>"350582198609184099"</f>
        <v>350582198609184099</v>
      </c>
      <c r="D15261" t="s">
        <v>14836</v>
      </c>
      <c r="E15261" t="s">
        <v>14837</v>
      </c>
      <c r="F15261" t="s">
        <v>0</v>
      </c>
      <c r="G15261" t="str">
        <f>"2018-10-12 17:02:48"</f>
        <v>2018-10-12 17:02:48</v>
      </c>
    </row>
    <row r="15262" spans="1:7" x14ac:dyDescent="0.2">
      <c r="A15262" t="s">
        <v>14838</v>
      </c>
      <c r="B15262" t="str">
        <f>"15732437324"</f>
        <v>15732437324</v>
      </c>
      <c r="C15262" t="str">
        <f>"130821199405081837"</f>
        <v>130821199405081837</v>
      </c>
      <c r="D15262" t="s">
        <v>1</v>
      </c>
      <c r="E15262" t="s">
        <v>1</v>
      </c>
      <c r="F15262" t="s">
        <v>0</v>
      </c>
      <c r="G15262" t="str">
        <f>"2018-10-12 17:11:02"</f>
        <v>2018-10-12 17:11:02</v>
      </c>
    </row>
    <row r="15263" spans="1:7" x14ac:dyDescent="0.2">
      <c r="A15263" t="s">
        <v>14839</v>
      </c>
      <c r="B15263" t="str">
        <f>"15876289593"</f>
        <v>15876289593</v>
      </c>
      <c r="C15263" t="str">
        <f>"440783199106071539"</f>
        <v>440783199106071539</v>
      </c>
      <c r="D15263" t="s">
        <v>1</v>
      </c>
      <c r="E15263" t="s">
        <v>1</v>
      </c>
      <c r="F15263" t="s">
        <v>0</v>
      </c>
      <c r="G15263" t="str">
        <f>"2018-10-12 18:10:07"</f>
        <v>2018-10-12 18:10:07</v>
      </c>
    </row>
    <row r="15264" spans="1:7" x14ac:dyDescent="0.2">
      <c r="A15264" t="s">
        <v>1</v>
      </c>
      <c r="B15264" t="str">
        <f>"15184443829"</f>
        <v>15184443829</v>
      </c>
      <c r="C15264" t="s">
        <v>1</v>
      </c>
      <c r="D15264" t="s">
        <v>1</v>
      </c>
      <c r="E15264" t="s">
        <v>1</v>
      </c>
      <c r="F15264" t="s">
        <v>0</v>
      </c>
      <c r="G15264" t="str">
        <f>"2018-10-12 16:59:52"</f>
        <v>2018-10-12 16:59:52</v>
      </c>
    </row>
    <row r="15265" spans="1:7" x14ac:dyDescent="0.2">
      <c r="A15265" t="s">
        <v>14840</v>
      </c>
      <c r="B15265" t="str">
        <f>"18729082356"</f>
        <v>18729082356</v>
      </c>
      <c r="C15265" t="str">
        <f>"41272619850407043X"</f>
        <v>41272619850407043X</v>
      </c>
      <c r="D15265" t="s">
        <v>1</v>
      </c>
      <c r="E15265" t="s">
        <v>1</v>
      </c>
      <c r="F15265" t="s">
        <v>0</v>
      </c>
      <c r="G15265" t="str">
        <f>"2018-10-12 17:01:48"</f>
        <v>2018-10-12 17:01:48</v>
      </c>
    </row>
    <row r="15266" spans="1:7" x14ac:dyDescent="0.2">
      <c r="A15266" t="s">
        <v>14841</v>
      </c>
      <c r="B15266" t="str">
        <f>"17727179784"</f>
        <v>17727179784</v>
      </c>
      <c r="C15266" t="str">
        <f>"441900199011036547"</f>
        <v>441900199011036547</v>
      </c>
      <c r="D15266" t="s">
        <v>1</v>
      </c>
      <c r="E15266" t="s">
        <v>1</v>
      </c>
      <c r="F15266" t="s">
        <v>0</v>
      </c>
      <c r="G15266" t="str">
        <f>"2018-10-12 19:30:51"</f>
        <v>2018-10-12 19:30:51</v>
      </c>
    </row>
    <row r="15267" spans="1:7" x14ac:dyDescent="0.2">
      <c r="A15267" t="s">
        <v>14842</v>
      </c>
      <c r="B15267" t="str">
        <f>"13340970726"</f>
        <v>13340970726</v>
      </c>
      <c r="C15267" t="str">
        <f>"513401198806014012"</f>
        <v>513401198806014012</v>
      </c>
      <c r="D15267" t="s">
        <v>1</v>
      </c>
      <c r="E15267" t="s">
        <v>1</v>
      </c>
      <c r="F15267" t="s">
        <v>0</v>
      </c>
      <c r="G15267" t="str">
        <f>"2018-10-12 16:59:02"</f>
        <v>2018-10-12 16:59:02</v>
      </c>
    </row>
    <row r="15268" spans="1:7" x14ac:dyDescent="0.2">
      <c r="A15268" t="s">
        <v>14843</v>
      </c>
      <c r="B15268" t="str">
        <f>"13177277591"</f>
        <v>13177277591</v>
      </c>
      <c r="C15268" t="str">
        <f>"420922199411051432"</f>
        <v>420922199411051432</v>
      </c>
      <c r="D15268" t="s">
        <v>1</v>
      </c>
      <c r="E15268" t="s">
        <v>1</v>
      </c>
      <c r="F15268" t="s">
        <v>0</v>
      </c>
      <c r="G15268" t="str">
        <f>"2018-10-12 16:58:21"</f>
        <v>2018-10-12 16:58:21</v>
      </c>
    </row>
    <row r="15269" spans="1:7" x14ac:dyDescent="0.2">
      <c r="A15269" t="s">
        <v>1</v>
      </c>
      <c r="B15269" t="str">
        <f>"18601280957"</f>
        <v>18601280957</v>
      </c>
      <c r="C15269" t="s">
        <v>1</v>
      </c>
      <c r="D15269" t="s">
        <v>1</v>
      </c>
      <c r="E15269" t="s">
        <v>1</v>
      </c>
      <c r="F15269" t="s">
        <v>0</v>
      </c>
      <c r="G15269" t="str">
        <f>"2018-10-12 16:58:16"</f>
        <v>2018-10-12 16:58:16</v>
      </c>
    </row>
    <row r="15270" spans="1:7" x14ac:dyDescent="0.2">
      <c r="A15270" t="s">
        <v>1</v>
      </c>
      <c r="B15270" t="str">
        <f>"18555050547"</f>
        <v>18555050547</v>
      </c>
      <c r="C15270" t="s">
        <v>1</v>
      </c>
      <c r="D15270" t="s">
        <v>1</v>
      </c>
      <c r="E15270" t="s">
        <v>1</v>
      </c>
      <c r="F15270" t="s">
        <v>0</v>
      </c>
      <c r="G15270" t="str">
        <f>"2018-10-12 17:01:41"</f>
        <v>2018-10-12 17:01:41</v>
      </c>
    </row>
    <row r="15271" spans="1:7" x14ac:dyDescent="0.2">
      <c r="A15271" t="s">
        <v>1</v>
      </c>
      <c r="B15271" t="str">
        <f>"17156996407"</f>
        <v>17156996407</v>
      </c>
      <c r="C15271" t="s">
        <v>1</v>
      </c>
      <c r="D15271" t="s">
        <v>1</v>
      </c>
      <c r="E15271" t="s">
        <v>1</v>
      </c>
      <c r="F15271" t="s">
        <v>0</v>
      </c>
      <c r="G15271" t="str">
        <f>"2018-10-12 16:55:15"</f>
        <v>2018-10-12 16:55:15</v>
      </c>
    </row>
    <row r="15272" spans="1:7" x14ac:dyDescent="0.2">
      <c r="A15272" t="s">
        <v>1801</v>
      </c>
      <c r="B15272" t="str">
        <f>"13771601551"</f>
        <v>13771601551</v>
      </c>
      <c r="C15272" t="str">
        <f>"320281199705206274"</f>
        <v>320281199705206274</v>
      </c>
      <c r="D15272" t="s">
        <v>1</v>
      </c>
      <c r="E15272" t="s">
        <v>1</v>
      </c>
      <c r="F15272" t="s">
        <v>0</v>
      </c>
      <c r="G15272" t="str">
        <f>"2018-10-12 16:56:35"</f>
        <v>2018-10-12 16:56:35</v>
      </c>
    </row>
    <row r="15273" spans="1:7" x14ac:dyDescent="0.2">
      <c r="A15273" t="s">
        <v>14844</v>
      </c>
      <c r="B15273" t="str">
        <f>"15297752407"</f>
        <v>15297752407</v>
      </c>
      <c r="C15273" t="str">
        <f>"362136198301224318"</f>
        <v>362136198301224318</v>
      </c>
      <c r="D15273" t="s">
        <v>14845</v>
      </c>
      <c r="E15273" t="s">
        <v>14846</v>
      </c>
      <c r="F15273" t="s">
        <v>0</v>
      </c>
      <c r="G15273" t="str">
        <f>"2018-10-13 12:14:44"</f>
        <v>2018-10-13 12:14:44</v>
      </c>
    </row>
    <row r="15274" spans="1:7" x14ac:dyDescent="0.2">
      <c r="A15274" t="s">
        <v>14847</v>
      </c>
      <c r="B15274" t="str">
        <f>"15154340090"</f>
        <v>15154340090</v>
      </c>
      <c r="C15274" t="str">
        <f>"372330199506206171"</f>
        <v>372330199506206171</v>
      </c>
      <c r="D15274" t="s">
        <v>1</v>
      </c>
      <c r="E15274" t="s">
        <v>1</v>
      </c>
      <c r="F15274" t="s">
        <v>0</v>
      </c>
      <c r="G15274" t="str">
        <f>"2018-10-12 16:54:28"</f>
        <v>2018-10-12 16:54:28</v>
      </c>
    </row>
    <row r="15275" spans="1:7" x14ac:dyDescent="0.2">
      <c r="A15275" t="s">
        <v>14848</v>
      </c>
      <c r="B15275" t="str">
        <f>"13707737495"</f>
        <v>13707737495</v>
      </c>
      <c r="C15275" t="str">
        <f>"450303197610210533"</f>
        <v>450303197610210533</v>
      </c>
      <c r="D15275" t="s">
        <v>1</v>
      </c>
      <c r="E15275" t="s">
        <v>1</v>
      </c>
      <c r="F15275" t="s">
        <v>0</v>
      </c>
      <c r="G15275" t="str">
        <f>"2018-10-12 16:55:01"</f>
        <v>2018-10-12 16:55:01</v>
      </c>
    </row>
    <row r="15276" spans="1:7" x14ac:dyDescent="0.2">
      <c r="A15276" t="s">
        <v>14849</v>
      </c>
      <c r="B15276" t="str">
        <f>"15608633698"</f>
        <v>15608633698</v>
      </c>
      <c r="C15276" t="str">
        <f>"420202197908171218"</f>
        <v>420202197908171218</v>
      </c>
      <c r="D15276" t="s">
        <v>1</v>
      </c>
      <c r="E15276" t="s">
        <v>1</v>
      </c>
      <c r="F15276" t="s">
        <v>0</v>
      </c>
      <c r="G15276" t="str">
        <f>"2018-10-12 16:53:31"</f>
        <v>2018-10-12 16:53:31</v>
      </c>
    </row>
    <row r="15277" spans="1:7" x14ac:dyDescent="0.2">
      <c r="A15277" t="s">
        <v>14850</v>
      </c>
      <c r="B15277" t="str">
        <f>"18656701882"</f>
        <v>18656701882</v>
      </c>
      <c r="C15277" t="str">
        <f>"341223199304164916"</f>
        <v>341223199304164916</v>
      </c>
      <c r="D15277" t="s">
        <v>1</v>
      </c>
      <c r="E15277" t="s">
        <v>1</v>
      </c>
      <c r="F15277" t="s">
        <v>0</v>
      </c>
      <c r="G15277" t="str">
        <f>"2018-10-12 16:53:29"</f>
        <v>2018-10-12 16:53:29</v>
      </c>
    </row>
    <row r="15278" spans="1:7" x14ac:dyDescent="0.2">
      <c r="A15278" t="s">
        <v>1</v>
      </c>
      <c r="B15278" t="str">
        <f>"13667103310"</f>
        <v>13667103310</v>
      </c>
      <c r="C15278" t="s">
        <v>1</v>
      </c>
      <c r="D15278" t="s">
        <v>1</v>
      </c>
      <c r="E15278" t="s">
        <v>1</v>
      </c>
      <c r="F15278" t="s">
        <v>0</v>
      </c>
      <c r="G15278" t="str">
        <f>"2018-10-12 16:52:37"</f>
        <v>2018-10-12 16:52:37</v>
      </c>
    </row>
    <row r="15279" spans="1:7" x14ac:dyDescent="0.2">
      <c r="A15279" t="s">
        <v>14851</v>
      </c>
      <c r="B15279" t="str">
        <f>"18630063009"</f>
        <v>18630063009</v>
      </c>
      <c r="C15279" t="str">
        <f>"13042419741220002X"</f>
        <v>13042419741220002X</v>
      </c>
      <c r="D15279" t="s">
        <v>1</v>
      </c>
      <c r="E15279" t="s">
        <v>1</v>
      </c>
      <c r="F15279" t="s">
        <v>0</v>
      </c>
      <c r="G15279" t="str">
        <f>"2018-10-12 16:52:01"</f>
        <v>2018-10-12 16:52:01</v>
      </c>
    </row>
    <row r="15280" spans="1:7" x14ac:dyDescent="0.2">
      <c r="A15280" t="s">
        <v>14852</v>
      </c>
      <c r="B15280" t="str">
        <f>"18520051784"</f>
        <v>18520051784</v>
      </c>
      <c r="C15280" t="str">
        <f>"44010319950202422X"</f>
        <v>44010319950202422X</v>
      </c>
      <c r="D15280" t="s">
        <v>1</v>
      </c>
      <c r="E15280" t="s">
        <v>1</v>
      </c>
      <c r="F15280" t="s">
        <v>0</v>
      </c>
      <c r="G15280" t="str">
        <f>"2018-10-12 16:52:06"</f>
        <v>2018-10-12 16:52:06</v>
      </c>
    </row>
    <row r="15281" spans="1:7" x14ac:dyDescent="0.2">
      <c r="A15281" t="s">
        <v>1</v>
      </c>
      <c r="B15281" t="str">
        <f>"13960887495"</f>
        <v>13960887495</v>
      </c>
      <c r="C15281" t="s">
        <v>1</v>
      </c>
      <c r="D15281" t="s">
        <v>1</v>
      </c>
      <c r="E15281" t="s">
        <v>1</v>
      </c>
      <c r="F15281" t="s">
        <v>0</v>
      </c>
      <c r="G15281" t="str">
        <f>"2018-10-12 16:50:34"</f>
        <v>2018-10-12 16:50:34</v>
      </c>
    </row>
    <row r="15282" spans="1:7" x14ac:dyDescent="0.2">
      <c r="A15282" t="s">
        <v>14853</v>
      </c>
      <c r="B15282" t="str">
        <f>"13099771026"</f>
        <v>13099771026</v>
      </c>
      <c r="C15282" t="str">
        <f>"630121199306217129"</f>
        <v>630121199306217129</v>
      </c>
      <c r="D15282" t="s">
        <v>1</v>
      </c>
      <c r="E15282" t="s">
        <v>1</v>
      </c>
      <c r="F15282" t="s">
        <v>0</v>
      </c>
      <c r="G15282" t="str">
        <f>"2018-10-13 11:05:00"</f>
        <v>2018-10-13 11:05:00</v>
      </c>
    </row>
    <row r="15283" spans="1:7" x14ac:dyDescent="0.2">
      <c r="A15283" t="s">
        <v>1075</v>
      </c>
      <c r="B15283" t="str">
        <f>"15815470566"</f>
        <v>15815470566</v>
      </c>
      <c r="C15283" t="str">
        <f>"511025198212010556"</f>
        <v>511025198212010556</v>
      </c>
      <c r="D15283" t="s">
        <v>1</v>
      </c>
      <c r="E15283" t="s">
        <v>1</v>
      </c>
      <c r="F15283" t="s">
        <v>0</v>
      </c>
      <c r="G15283" t="str">
        <f>"2018-10-12 18:52:34"</f>
        <v>2018-10-12 18:52:34</v>
      </c>
    </row>
    <row r="15284" spans="1:7" x14ac:dyDescent="0.2">
      <c r="A15284" t="s">
        <v>14854</v>
      </c>
      <c r="B15284" t="str">
        <f>"15668425016"</f>
        <v>15668425016</v>
      </c>
      <c r="C15284" t="str">
        <f>"511321199510255047"</f>
        <v>511321199510255047</v>
      </c>
      <c r="D15284" t="s">
        <v>1</v>
      </c>
      <c r="E15284" t="s">
        <v>1</v>
      </c>
      <c r="F15284" t="s">
        <v>0</v>
      </c>
      <c r="G15284" t="str">
        <f>"2018-10-12 16:52:43"</f>
        <v>2018-10-12 16:52:43</v>
      </c>
    </row>
    <row r="15285" spans="1:7" x14ac:dyDescent="0.2">
      <c r="A15285" t="s">
        <v>14855</v>
      </c>
      <c r="B15285" t="str">
        <f>"18839505556"</f>
        <v>18839505556</v>
      </c>
      <c r="C15285" t="str">
        <f>"411121199503165014"</f>
        <v>411121199503165014</v>
      </c>
      <c r="D15285" t="s">
        <v>1</v>
      </c>
      <c r="E15285" t="s">
        <v>1</v>
      </c>
      <c r="F15285" t="s">
        <v>0</v>
      </c>
      <c r="G15285" t="str">
        <f>"2018-10-12 16:47:16"</f>
        <v>2018-10-12 16:47:16</v>
      </c>
    </row>
    <row r="15286" spans="1:7" x14ac:dyDescent="0.2">
      <c r="A15286" t="s">
        <v>1</v>
      </c>
      <c r="B15286" t="str">
        <f>"13822218718"</f>
        <v>13822218718</v>
      </c>
      <c r="C15286" t="s">
        <v>1</v>
      </c>
      <c r="D15286" t="s">
        <v>1</v>
      </c>
      <c r="E15286" t="s">
        <v>1</v>
      </c>
      <c r="F15286" t="s">
        <v>0</v>
      </c>
      <c r="G15286" t="str">
        <f>"2018-10-12 16:46:56"</f>
        <v>2018-10-12 16:46:56</v>
      </c>
    </row>
    <row r="15287" spans="1:7" x14ac:dyDescent="0.2">
      <c r="A15287" t="s">
        <v>14856</v>
      </c>
      <c r="B15287" t="str">
        <f>"18561142897"</f>
        <v>18561142897</v>
      </c>
      <c r="C15287" t="str">
        <f>"37142419941113001X"</f>
        <v>37142419941113001X</v>
      </c>
      <c r="D15287" t="s">
        <v>1</v>
      </c>
      <c r="E15287" t="s">
        <v>1</v>
      </c>
      <c r="F15287" t="s">
        <v>0</v>
      </c>
      <c r="G15287" t="str">
        <f>"2018-10-12 16:56:12"</f>
        <v>2018-10-12 16:56:12</v>
      </c>
    </row>
    <row r="15288" spans="1:7" x14ac:dyDescent="0.2">
      <c r="A15288" t="s">
        <v>1</v>
      </c>
      <c r="B15288" t="str">
        <f>"15004583142"</f>
        <v>15004583142</v>
      </c>
      <c r="C15288" t="s">
        <v>1</v>
      </c>
      <c r="D15288" t="s">
        <v>1</v>
      </c>
      <c r="E15288" t="s">
        <v>1</v>
      </c>
      <c r="F15288" t="s">
        <v>0</v>
      </c>
      <c r="G15288" t="str">
        <f>"2018-10-12 16:44:47"</f>
        <v>2018-10-12 16:44:47</v>
      </c>
    </row>
    <row r="15289" spans="1:7" x14ac:dyDescent="0.2">
      <c r="A15289" t="s">
        <v>14857</v>
      </c>
      <c r="B15289" t="str">
        <f>"13722517053"</f>
        <v>13722517053</v>
      </c>
      <c r="C15289" t="str">
        <f>"130204198008052115"</f>
        <v>130204198008052115</v>
      </c>
      <c r="D15289" t="s">
        <v>14858</v>
      </c>
      <c r="E15289" t="s">
        <v>14859</v>
      </c>
      <c r="F15289" t="s">
        <v>0</v>
      </c>
      <c r="G15289" t="str">
        <f>"2018-10-12 16:48:16"</f>
        <v>2018-10-12 16:48:16</v>
      </c>
    </row>
    <row r="15290" spans="1:7" x14ac:dyDescent="0.2">
      <c r="A15290" t="s">
        <v>1</v>
      </c>
      <c r="B15290" t="str">
        <f>"13733671282"</f>
        <v>13733671282</v>
      </c>
      <c r="C15290" t="s">
        <v>1</v>
      </c>
      <c r="D15290" t="s">
        <v>1</v>
      </c>
      <c r="E15290" t="s">
        <v>1</v>
      </c>
      <c r="F15290" t="s">
        <v>0</v>
      </c>
      <c r="G15290" t="str">
        <f>"2018-10-12 16:43:27"</f>
        <v>2018-10-12 16:43:27</v>
      </c>
    </row>
    <row r="15291" spans="1:7" x14ac:dyDescent="0.2">
      <c r="A15291" t="s">
        <v>1</v>
      </c>
      <c r="B15291" t="str">
        <f>"18253251389"</f>
        <v>18253251389</v>
      </c>
      <c r="C15291" t="s">
        <v>1</v>
      </c>
      <c r="D15291" t="s">
        <v>1</v>
      </c>
      <c r="E15291" t="s">
        <v>1</v>
      </c>
      <c r="F15291" t="s">
        <v>0</v>
      </c>
      <c r="G15291" t="str">
        <f>"2018-10-12 16:46:36"</f>
        <v>2018-10-12 16:46:36</v>
      </c>
    </row>
    <row r="15292" spans="1:7" x14ac:dyDescent="0.2">
      <c r="A15292" t="s">
        <v>14860</v>
      </c>
      <c r="B15292" t="str">
        <f>"13696977071"</f>
        <v>13696977071</v>
      </c>
      <c r="C15292" t="str">
        <f>"350206199008120016"</f>
        <v>350206199008120016</v>
      </c>
      <c r="D15292" t="s">
        <v>1</v>
      </c>
      <c r="E15292" t="s">
        <v>1</v>
      </c>
      <c r="F15292" t="s">
        <v>0</v>
      </c>
      <c r="G15292" t="str">
        <f>"2018-11-04 21:43:52"</f>
        <v>2018-11-04 21:43:52</v>
      </c>
    </row>
    <row r="15293" spans="1:7" x14ac:dyDescent="0.2">
      <c r="A15293" t="s">
        <v>1</v>
      </c>
      <c r="B15293" t="str">
        <f>"15883684439"</f>
        <v>15883684439</v>
      </c>
      <c r="C15293" t="s">
        <v>1</v>
      </c>
      <c r="D15293" t="s">
        <v>1</v>
      </c>
      <c r="E15293" t="s">
        <v>1</v>
      </c>
      <c r="F15293" t="s">
        <v>0</v>
      </c>
      <c r="G15293" t="str">
        <f>"2018-10-12 16:42:41"</f>
        <v>2018-10-12 16:42:41</v>
      </c>
    </row>
    <row r="15294" spans="1:7" x14ac:dyDescent="0.2">
      <c r="A15294" t="s">
        <v>614</v>
      </c>
      <c r="B15294" t="str">
        <f>"13965810861"</f>
        <v>13965810861</v>
      </c>
      <c r="C15294" t="str">
        <f>"340824198905056615"</f>
        <v>340824198905056615</v>
      </c>
      <c r="D15294" t="s">
        <v>1</v>
      </c>
      <c r="E15294" t="s">
        <v>1</v>
      </c>
      <c r="F15294" t="s">
        <v>0</v>
      </c>
      <c r="G15294" t="str">
        <f>"2018-10-12 16:43:33"</f>
        <v>2018-10-12 16:43:33</v>
      </c>
    </row>
    <row r="15295" spans="1:7" x14ac:dyDescent="0.2">
      <c r="A15295" t="s">
        <v>1</v>
      </c>
      <c r="B15295" t="str">
        <f>"18750864198"</f>
        <v>18750864198</v>
      </c>
      <c r="C15295" t="s">
        <v>1</v>
      </c>
      <c r="D15295" t="s">
        <v>1</v>
      </c>
      <c r="E15295" t="s">
        <v>1</v>
      </c>
      <c r="F15295" t="s">
        <v>0</v>
      </c>
      <c r="G15295" t="str">
        <f>"2018-10-12 16:41:54"</f>
        <v>2018-10-12 16:41:54</v>
      </c>
    </row>
    <row r="15296" spans="1:7" x14ac:dyDescent="0.2">
      <c r="A15296" t="s">
        <v>14861</v>
      </c>
      <c r="B15296" t="str">
        <f>"15072565234"</f>
        <v>15072565234</v>
      </c>
      <c r="C15296" t="str">
        <f>"422721197802264019"</f>
        <v>422721197802264019</v>
      </c>
      <c r="D15296" t="s">
        <v>1</v>
      </c>
      <c r="E15296" t="s">
        <v>1</v>
      </c>
      <c r="F15296" t="s">
        <v>0</v>
      </c>
      <c r="G15296" t="str">
        <f>"2018-10-12 16:44:29"</f>
        <v>2018-10-12 16:44:29</v>
      </c>
    </row>
    <row r="15297" spans="1:7" x14ac:dyDescent="0.2">
      <c r="A15297" t="s">
        <v>1</v>
      </c>
      <c r="B15297" t="str">
        <f>"13643665636"</f>
        <v>13643665636</v>
      </c>
      <c r="C15297" t="s">
        <v>1</v>
      </c>
      <c r="D15297" t="s">
        <v>1</v>
      </c>
      <c r="E15297" t="s">
        <v>1</v>
      </c>
      <c r="F15297" t="s">
        <v>0</v>
      </c>
      <c r="G15297" t="str">
        <f>"2018-10-12 16:41:26"</f>
        <v>2018-10-12 16:41:26</v>
      </c>
    </row>
    <row r="15298" spans="1:7" x14ac:dyDescent="0.2">
      <c r="A15298" t="s">
        <v>1</v>
      </c>
      <c r="B15298" t="str">
        <f>"13488969361"</f>
        <v>13488969361</v>
      </c>
      <c r="C15298" t="s">
        <v>1</v>
      </c>
      <c r="D15298" t="s">
        <v>1</v>
      </c>
      <c r="E15298" t="s">
        <v>1</v>
      </c>
      <c r="F15298" t="s">
        <v>0</v>
      </c>
      <c r="G15298" t="str">
        <f>"2018-10-12 16:41:22"</f>
        <v>2018-10-12 16:41:22</v>
      </c>
    </row>
    <row r="15299" spans="1:7" x14ac:dyDescent="0.2">
      <c r="A15299" t="s">
        <v>1</v>
      </c>
      <c r="B15299" t="str">
        <f>"13377771677"</f>
        <v>13377771677</v>
      </c>
      <c r="C15299" t="s">
        <v>1</v>
      </c>
      <c r="D15299" t="s">
        <v>1</v>
      </c>
      <c r="E15299" t="s">
        <v>1</v>
      </c>
      <c r="F15299" t="s">
        <v>0</v>
      </c>
      <c r="G15299" t="str">
        <f>"2018-10-12 16:39:56"</f>
        <v>2018-10-12 16:39:56</v>
      </c>
    </row>
    <row r="15300" spans="1:7" x14ac:dyDescent="0.2">
      <c r="A15300" t="s">
        <v>14862</v>
      </c>
      <c r="B15300" t="str">
        <f>"18838166800"</f>
        <v>18838166800</v>
      </c>
      <c r="C15300" t="str">
        <f>"410105198603210251"</f>
        <v>410105198603210251</v>
      </c>
      <c r="D15300" t="s">
        <v>1</v>
      </c>
      <c r="E15300" t="s">
        <v>1</v>
      </c>
      <c r="F15300" t="s">
        <v>0</v>
      </c>
      <c r="G15300" t="str">
        <f>"2018-10-12 16:40:32"</f>
        <v>2018-10-12 16:40:32</v>
      </c>
    </row>
    <row r="15301" spans="1:7" x14ac:dyDescent="0.2">
      <c r="A15301" t="s">
        <v>1</v>
      </c>
      <c r="B15301" t="str">
        <f>"15708421547"</f>
        <v>15708421547</v>
      </c>
      <c r="C15301" t="s">
        <v>1</v>
      </c>
      <c r="D15301" t="s">
        <v>1</v>
      </c>
      <c r="E15301" t="s">
        <v>1</v>
      </c>
      <c r="F15301" t="s">
        <v>0</v>
      </c>
      <c r="G15301" t="str">
        <f>"2018-10-12 16:38:55"</f>
        <v>2018-10-12 16:38:55</v>
      </c>
    </row>
    <row r="15302" spans="1:7" x14ac:dyDescent="0.2">
      <c r="A15302" t="s">
        <v>14863</v>
      </c>
      <c r="B15302" t="str">
        <f>"13407059631"</f>
        <v>13407059631</v>
      </c>
      <c r="C15302" t="str">
        <f>"362204199610197818"</f>
        <v>362204199610197818</v>
      </c>
      <c r="D15302" t="s">
        <v>1</v>
      </c>
      <c r="E15302" t="s">
        <v>1</v>
      </c>
      <c r="F15302" t="s">
        <v>0</v>
      </c>
      <c r="G15302" t="str">
        <f>"2018-10-12 16:41:21"</f>
        <v>2018-10-12 16:41:21</v>
      </c>
    </row>
    <row r="15303" spans="1:7" x14ac:dyDescent="0.2">
      <c r="A15303" t="s">
        <v>1473</v>
      </c>
      <c r="B15303" t="str">
        <f>"15182808733"</f>
        <v>15182808733</v>
      </c>
      <c r="C15303" t="str">
        <f>"513002199210016892"</f>
        <v>513002199210016892</v>
      </c>
      <c r="D15303" t="s">
        <v>1</v>
      </c>
      <c r="E15303" t="s">
        <v>1</v>
      </c>
      <c r="F15303" t="s">
        <v>0</v>
      </c>
      <c r="G15303" t="str">
        <f>"2018-10-12 16:37:56"</f>
        <v>2018-10-12 16:37:56</v>
      </c>
    </row>
    <row r="15304" spans="1:7" x14ac:dyDescent="0.2">
      <c r="A15304" t="s">
        <v>955</v>
      </c>
      <c r="B15304" t="str">
        <f>"13250073227"</f>
        <v>13250073227</v>
      </c>
      <c r="C15304" t="str">
        <f>"412723198407151618"</f>
        <v>412723198407151618</v>
      </c>
      <c r="D15304" t="s">
        <v>1</v>
      </c>
      <c r="E15304" t="s">
        <v>1</v>
      </c>
      <c r="F15304" t="s">
        <v>0</v>
      </c>
      <c r="G15304" t="str">
        <f>"2018-10-12 16:38:52"</f>
        <v>2018-10-12 16:38:52</v>
      </c>
    </row>
    <row r="15305" spans="1:7" x14ac:dyDescent="0.2">
      <c r="A15305" t="s">
        <v>14864</v>
      </c>
      <c r="B15305" t="str">
        <f>"15920394839"</f>
        <v>15920394839</v>
      </c>
      <c r="C15305" t="str">
        <f>"362123197802243633"</f>
        <v>362123197802243633</v>
      </c>
      <c r="D15305" t="s">
        <v>14865</v>
      </c>
      <c r="E15305" t="s">
        <v>14866</v>
      </c>
      <c r="F15305" t="s">
        <v>0</v>
      </c>
      <c r="G15305" t="str">
        <f>"2018-10-12 16:41:05"</f>
        <v>2018-10-12 16:41:05</v>
      </c>
    </row>
    <row r="15306" spans="1:7" x14ac:dyDescent="0.2">
      <c r="A15306" t="s">
        <v>1</v>
      </c>
      <c r="B15306" t="str">
        <f>"17718560603"</f>
        <v>17718560603</v>
      </c>
      <c r="C15306" t="s">
        <v>1</v>
      </c>
      <c r="D15306" t="s">
        <v>1</v>
      </c>
      <c r="E15306" t="s">
        <v>1</v>
      </c>
      <c r="F15306" t="s">
        <v>0</v>
      </c>
      <c r="G15306" t="str">
        <f>"2018-10-12 16:36:38"</f>
        <v>2018-10-12 16:36:38</v>
      </c>
    </row>
    <row r="15307" spans="1:7" x14ac:dyDescent="0.2">
      <c r="A15307" t="s">
        <v>1</v>
      </c>
      <c r="B15307" t="str">
        <f>"18245964351"</f>
        <v>18245964351</v>
      </c>
      <c r="C15307" t="s">
        <v>1</v>
      </c>
      <c r="D15307" t="s">
        <v>1</v>
      </c>
      <c r="E15307" t="s">
        <v>1</v>
      </c>
      <c r="F15307" t="s">
        <v>0</v>
      </c>
      <c r="G15307" t="str">
        <f>"2018-10-12 16:35:20"</f>
        <v>2018-10-12 16:35:20</v>
      </c>
    </row>
    <row r="15308" spans="1:7" x14ac:dyDescent="0.2">
      <c r="A15308" t="s">
        <v>14867</v>
      </c>
      <c r="B15308" t="str">
        <f>"15308747140"</f>
        <v>15308747140</v>
      </c>
      <c r="C15308" t="str">
        <f>"532228198104211910"</f>
        <v>532228198104211910</v>
      </c>
      <c r="D15308" t="s">
        <v>1</v>
      </c>
      <c r="E15308" t="s">
        <v>1</v>
      </c>
      <c r="F15308" t="s">
        <v>0</v>
      </c>
      <c r="G15308" t="str">
        <f>"2018-10-12 16:37:22"</f>
        <v>2018-10-12 16:37:22</v>
      </c>
    </row>
    <row r="15309" spans="1:7" x14ac:dyDescent="0.2">
      <c r="A15309" t="s">
        <v>14868</v>
      </c>
      <c r="B15309" t="str">
        <f>"15523859494"</f>
        <v>15523859494</v>
      </c>
      <c r="C15309" t="str">
        <f>"50022519911224653X"</f>
        <v>50022519911224653X</v>
      </c>
      <c r="D15309" t="s">
        <v>1</v>
      </c>
      <c r="E15309" t="s">
        <v>1</v>
      </c>
      <c r="F15309" t="s">
        <v>0</v>
      </c>
      <c r="G15309" t="str">
        <f>"2018-10-12 17:39:46"</f>
        <v>2018-10-12 17:39:46</v>
      </c>
    </row>
    <row r="15310" spans="1:7" x14ac:dyDescent="0.2">
      <c r="A15310" t="s">
        <v>14869</v>
      </c>
      <c r="B15310" t="str">
        <f>"13509032894"</f>
        <v>13509032894</v>
      </c>
      <c r="C15310" t="str">
        <f>"445281198801081237"</f>
        <v>445281198801081237</v>
      </c>
      <c r="D15310" t="s">
        <v>1</v>
      </c>
      <c r="E15310" t="s">
        <v>1</v>
      </c>
      <c r="F15310" t="s">
        <v>0</v>
      </c>
      <c r="G15310" t="str">
        <f>"2018-10-12 16:38:25"</f>
        <v>2018-10-12 16:38:25</v>
      </c>
    </row>
    <row r="15311" spans="1:7" x14ac:dyDescent="0.2">
      <c r="A15311" t="s">
        <v>1518</v>
      </c>
      <c r="B15311" t="str">
        <f>"18162202333"</f>
        <v>18162202333</v>
      </c>
      <c r="C15311" t="str">
        <f>"120110197110190026"</f>
        <v>120110197110190026</v>
      </c>
      <c r="D15311" t="s">
        <v>1</v>
      </c>
      <c r="E15311" t="s">
        <v>1</v>
      </c>
      <c r="F15311" t="s">
        <v>0</v>
      </c>
      <c r="G15311" t="str">
        <f>"2018-10-12 16:34:48"</f>
        <v>2018-10-12 16:34:48</v>
      </c>
    </row>
    <row r="15312" spans="1:7" x14ac:dyDescent="0.2">
      <c r="A15312" t="s">
        <v>1</v>
      </c>
      <c r="B15312" t="str">
        <f>"13550663574"</f>
        <v>13550663574</v>
      </c>
      <c r="C15312" t="s">
        <v>1</v>
      </c>
      <c r="D15312" t="s">
        <v>1</v>
      </c>
      <c r="E15312" t="s">
        <v>1</v>
      </c>
      <c r="F15312" t="s">
        <v>0</v>
      </c>
      <c r="G15312" t="str">
        <f>"2018-10-12 16:32:36"</f>
        <v>2018-10-12 16:32:36</v>
      </c>
    </row>
    <row r="15313" spans="1:7" x14ac:dyDescent="0.2">
      <c r="A15313" t="s">
        <v>14870</v>
      </c>
      <c r="B15313" t="str">
        <f>"15195023407"</f>
        <v>15195023407</v>
      </c>
      <c r="C15313" t="str">
        <f>"532923199306140912"</f>
        <v>532923199306140912</v>
      </c>
      <c r="D15313" t="s">
        <v>1</v>
      </c>
      <c r="E15313" t="s">
        <v>1</v>
      </c>
      <c r="F15313" t="s">
        <v>0</v>
      </c>
      <c r="G15313" t="str">
        <f>"2018-10-12 16:33:50"</f>
        <v>2018-10-12 16:33:50</v>
      </c>
    </row>
    <row r="15314" spans="1:7" x14ac:dyDescent="0.2">
      <c r="A15314" t="s">
        <v>96</v>
      </c>
      <c r="B15314" t="str">
        <f>"18675206887"</f>
        <v>18675206887</v>
      </c>
      <c r="C15314" t="str">
        <f>"430921199008010855"</f>
        <v>430921199008010855</v>
      </c>
      <c r="D15314" t="s">
        <v>1</v>
      </c>
      <c r="E15314" t="s">
        <v>1</v>
      </c>
      <c r="F15314" t="s">
        <v>0</v>
      </c>
      <c r="G15314" t="str">
        <f>"2018-10-12 16:32:57"</f>
        <v>2018-10-12 16:32:57</v>
      </c>
    </row>
    <row r="15315" spans="1:7" x14ac:dyDescent="0.2">
      <c r="A15315" t="s">
        <v>721</v>
      </c>
      <c r="B15315" t="str">
        <f>"15779602289"</f>
        <v>15779602289</v>
      </c>
      <c r="C15315" t="str">
        <f>"36242119911010685X"</f>
        <v>36242119911010685X</v>
      </c>
      <c r="D15315" t="s">
        <v>1</v>
      </c>
      <c r="E15315" t="s">
        <v>1</v>
      </c>
      <c r="F15315" t="s">
        <v>0</v>
      </c>
      <c r="G15315" t="str">
        <f>"2018-10-12 16:53:32"</f>
        <v>2018-10-12 16:53:32</v>
      </c>
    </row>
    <row r="15316" spans="1:7" x14ac:dyDescent="0.2">
      <c r="A15316" t="s">
        <v>14871</v>
      </c>
      <c r="B15316" t="str">
        <f>"18268652931"</f>
        <v>18268652931</v>
      </c>
      <c r="C15316" t="str">
        <f>"330219198104038331"</f>
        <v>330219198104038331</v>
      </c>
      <c r="D15316" t="s">
        <v>1</v>
      </c>
      <c r="E15316" t="s">
        <v>1</v>
      </c>
      <c r="F15316" t="s">
        <v>0</v>
      </c>
      <c r="G15316" t="str">
        <f>"2018-10-12 16:31:56"</f>
        <v>2018-10-12 16:31:56</v>
      </c>
    </row>
    <row r="15317" spans="1:7" x14ac:dyDescent="0.2">
      <c r="A15317" t="s">
        <v>14872</v>
      </c>
      <c r="B15317" t="str">
        <f>"18222299709"</f>
        <v>18222299709</v>
      </c>
      <c r="C15317" t="str">
        <f>"130922199009221238"</f>
        <v>130922199009221238</v>
      </c>
      <c r="D15317" t="s">
        <v>1</v>
      </c>
      <c r="E15317" t="s">
        <v>1</v>
      </c>
      <c r="F15317" t="s">
        <v>0</v>
      </c>
      <c r="G15317" t="str">
        <f>"2018-10-12 16:33:13"</f>
        <v>2018-10-12 16:33:13</v>
      </c>
    </row>
    <row r="15318" spans="1:7" x14ac:dyDescent="0.2">
      <c r="A15318" t="s">
        <v>14873</v>
      </c>
      <c r="B15318" t="str">
        <f>"17520643283"</f>
        <v>17520643283</v>
      </c>
      <c r="C15318" t="str">
        <f>"445281198211063039"</f>
        <v>445281198211063039</v>
      </c>
      <c r="D15318" t="s">
        <v>1</v>
      </c>
      <c r="E15318" t="s">
        <v>1</v>
      </c>
      <c r="F15318" t="s">
        <v>0</v>
      </c>
      <c r="G15318" t="str">
        <f>"2018-10-12 17:18:01"</f>
        <v>2018-10-12 17:18:01</v>
      </c>
    </row>
    <row r="15319" spans="1:7" x14ac:dyDescent="0.2">
      <c r="A15319" t="s">
        <v>1</v>
      </c>
      <c r="B15319" t="str">
        <f>"18482343056"</f>
        <v>18482343056</v>
      </c>
      <c r="C15319" t="s">
        <v>1</v>
      </c>
      <c r="D15319" t="s">
        <v>1</v>
      </c>
      <c r="E15319" t="s">
        <v>1</v>
      </c>
      <c r="F15319" t="s">
        <v>0</v>
      </c>
      <c r="G15319" t="str">
        <f>"2018-10-12 16:30:30"</f>
        <v>2018-10-12 16:30:30</v>
      </c>
    </row>
    <row r="15320" spans="1:7" x14ac:dyDescent="0.2">
      <c r="A15320" t="s">
        <v>1186</v>
      </c>
      <c r="B15320" t="str">
        <f>"13771147659"</f>
        <v>13771147659</v>
      </c>
      <c r="C15320" t="str">
        <f>"320925199410214231"</f>
        <v>320925199410214231</v>
      </c>
      <c r="D15320" t="s">
        <v>1</v>
      </c>
      <c r="E15320" t="s">
        <v>1</v>
      </c>
      <c r="F15320" t="s">
        <v>0</v>
      </c>
      <c r="G15320" t="str">
        <f>"2018-10-12 16:30:50"</f>
        <v>2018-10-12 16:30:50</v>
      </c>
    </row>
    <row r="15321" spans="1:7" x14ac:dyDescent="0.2">
      <c r="A15321" t="s">
        <v>1698</v>
      </c>
      <c r="B15321" t="str">
        <f>"15829030365"</f>
        <v>15829030365</v>
      </c>
      <c r="C15321" t="str">
        <f>"610527198902200077"</f>
        <v>610527198902200077</v>
      </c>
      <c r="D15321" t="s">
        <v>1</v>
      </c>
      <c r="E15321" t="s">
        <v>1</v>
      </c>
      <c r="F15321" t="s">
        <v>0</v>
      </c>
      <c r="G15321" t="str">
        <f>"2018-10-12 16:32:46"</f>
        <v>2018-10-12 16:32:46</v>
      </c>
    </row>
    <row r="15322" spans="1:7" x14ac:dyDescent="0.2">
      <c r="A15322" t="s">
        <v>14874</v>
      </c>
      <c r="B15322" t="str">
        <f>"17660398814"</f>
        <v>17660398814</v>
      </c>
      <c r="C15322" t="str">
        <f>"370404199706180034"</f>
        <v>370404199706180034</v>
      </c>
      <c r="D15322" t="s">
        <v>1</v>
      </c>
      <c r="E15322" t="s">
        <v>1</v>
      </c>
      <c r="F15322" t="s">
        <v>0</v>
      </c>
      <c r="G15322" t="str">
        <f>"2018-10-12 16:28:52"</f>
        <v>2018-10-12 16:28:52</v>
      </c>
    </row>
    <row r="15323" spans="1:7" x14ac:dyDescent="0.2">
      <c r="A15323" t="s">
        <v>14875</v>
      </c>
      <c r="B15323" t="str">
        <f>"13862425557"</f>
        <v>13862425557</v>
      </c>
      <c r="C15323" t="str">
        <f>"320623199006224535"</f>
        <v>320623199006224535</v>
      </c>
      <c r="D15323" t="s">
        <v>1</v>
      </c>
      <c r="E15323" t="s">
        <v>1</v>
      </c>
      <c r="F15323" t="s">
        <v>0</v>
      </c>
      <c r="G15323" t="str">
        <f>"2018-10-12 17:20:33"</f>
        <v>2018-10-12 17:20:33</v>
      </c>
    </row>
    <row r="15324" spans="1:7" x14ac:dyDescent="0.2">
      <c r="A15324" t="s">
        <v>14876</v>
      </c>
      <c r="B15324" t="str">
        <f>"17601055880"</f>
        <v>17601055880</v>
      </c>
      <c r="C15324" t="str">
        <f>"420281198901060099"</f>
        <v>420281198901060099</v>
      </c>
      <c r="D15324" t="s">
        <v>1</v>
      </c>
      <c r="E15324" t="s">
        <v>1</v>
      </c>
      <c r="F15324" t="s">
        <v>0</v>
      </c>
      <c r="G15324" t="str">
        <f>"2018-10-12 16:31:07"</f>
        <v>2018-10-12 16:31:07</v>
      </c>
    </row>
    <row r="15325" spans="1:7" x14ac:dyDescent="0.2">
      <c r="A15325" t="s">
        <v>1</v>
      </c>
      <c r="B15325" t="str">
        <f>"13305022860"</f>
        <v>13305022860</v>
      </c>
      <c r="C15325" t="s">
        <v>1</v>
      </c>
      <c r="D15325" t="s">
        <v>1</v>
      </c>
      <c r="E15325" t="s">
        <v>1</v>
      </c>
      <c r="F15325" t="s">
        <v>0</v>
      </c>
      <c r="G15325" t="str">
        <f>"2018-10-12 16:28:00"</f>
        <v>2018-10-12 16:28:00</v>
      </c>
    </row>
    <row r="15326" spans="1:7" x14ac:dyDescent="0.2">
      <c r="A15326" t="s">
        <v>1</v>
      </c>
      <c r="B15326" t="str">
        <f>"13438089739"</f>
        <v>13438089739</v>
      </c>
      <c r="C15326" t="s">
        <v>1</v>
      </c>
      <c r="D15326" t="s">
        <v>1</v>
      </c>
      <c r="E15326" t="s">
        <v>1</v>
      </c>
      <c r="F15326" t="s">
        <v>0</v>
      </c>
      <c r="G15326" t="str">
        <f>"2018-10-12 16:27:48"</f>
        <v>2018-10-12 16:27:48</v>
      </c>
    </row>
    <row r="15327" spans="1:7" x14ac:dyDescent="0.2">
      <c r="A15327" t="s">
        <v>1</v>
      </c>
      <c r="B15327" t="str">
        <f>"15953104185"</f>
        <v>15953104185</v>
      </c>
      <c r="C15327" t="s">
        <v>1</v>
      </c>
      <c r="D15327" t="s">
        <v>1</v>
      </c>
      <c r="E15327" t="s">
        <v>1</v>
      </c>
      <c r="F15327" t="s">
        <v>0</v>
      </c>
      <c r="G15327" t="str">
        <f>"2018-10-12 16:27:20"</f>
        <v>2018-10-12 16:27:20</v>
      </c>
    </row>
    <row r="15328" spans="1:7" x14ac:dyDescent="0.2">
      <c r="A15328" t="s">
        <v>14877</v>
      </c>
      <c r="B15328" t="str">
        <f>"17620014533"</f>
        <v>17620014533</v>
      </c>
      <c r="C15328" t="str">
        <f>"350722199105104613"</f>
        <v>350722199105104613</v>
      </c>
      <c r="D15328" t="s">
        <v>1</v>
      </c>
      <c r="E15328" t="s">
        <v>1</v>
      </c>
      <c r="F15328" t="s">
        <v>0</v>
      </c>
      <c r="G15328" t="str">
        <f>"2018-10-12 16:30:42"</f>
        <v>2018-10-12 16:30:42</v>
      </c>
    </row>
    <row r="15329" spans="1:7" x14ac:dyDescent="0.2">
      <c r="A15329" t="s">
        <v>14878</v>
      </c>
      <c r="B15329" t="str">
        <f>"15028422099"</f>
        <v>15028422099</v>
      </c>
      <c r="C15329" t="str">
        <f>"133023197709133213"</f>
        <v>133023197709133213</v>
      </c>
      <c r="D15329" t="s">
        <v>1</v>
      </c>
      <c r="E15329" t="s">
        <v>1</v>
      </c>
      <c r="F15329" t="s">
        <v>0</v>
      </c>
      <c r="G15329" t="str">
        <f>"2018-10-12 17:02:36"</f>
        <v>2018-10-12 17:02:36</v>
      </c>
    </row>
    <row r="15330" spans="1:7" x14ac:dyDescent="0.2">
      <c r="A15330" t="s">
        <v>14879</v>
      </c>
      <c r="B15330" t="str">
        <f>"18983157593"</f>
        <v>18983157593</v>
      </c>
      <c r="C15330" t="str">
        <f>"500232199702283553"</f>
        <v>500232199702283553</v>
      </c>
      <c r="D15330" t="s">
        <v>1</v>
      </c>
      <c r="E15330" t="s">
        <v>1</v>
      </c>
      <c r="F15330" t="s">
        <v>0</v>
      </c>
      <c r="G15330" t="str">
        <f>"2018-10-18 15:30:56"</f>
        <v>2018-10-18 15:30:56</v>
      </c>
    </row>
    <row r="15331" spans="1:7" x14ac:dyDescent="0.2">
      <c r="A15331" t="s">
        <v>1</v>
      </c>
      <c r="B15331" t="str">
        <f>"13751239760"</f>
        <v>13751239760</v>
      </c>
      <c r="C15331" t="s">
        <v>1</v>
      </c>
      <c r="D15331" t="s">
        <v>1</v>
      </c>
      <c r="E15331" t="s">
        <v>1</v>
      </c>
      <c r="F15331" t="s">
        <v>0</v>
      </c>
      <c r="G15331" t="str">
        <f>"2018-10-12 16:30:16"</f>
        <v>2018-10-12 16:30:16</v>
      </c>
    </row>
    <row r="15332" spans="1:7" x14ac:dyDescent="0.2">
      <c r="A15332" t="s">
        <v>14880</v>
      </c>
      <c r="B15332" t="str">
        <f>"18739138159"</f>
        <v>18739138159</v>
      </c>
      <c r="C15332" t="str">
        <f>"41082219960730895X"</f>
        <v>41082219960730895X</v>
      </c>
      <c r="D15332" t="s">
        <v>14881</v>
      </c>
      <c r="E15332" t="s">
        <v>14882</v>
      </c>
      <c r="F15332" t="s">
        <v>0</v>
      </c>
      <c r="G15332" t="str">
        <f>"2018-10-12 16:51:03"</f>
        <v>2018-10-12 16:51:03</v>
      </c>
    </row>
    <row r="15333" spans="1:7" x14ac:dyDescent="0.2">
      <c r="A15333" t="s">
        <v>14883</v>
      </c>
      <c r="B15333" t="str">
        <f>"13072860655"</f>
        <v>13072860655</v>
      </c>
      <c r="C15333" t="str">
        <f>"511123197802184116"</f>
        <v>511123197802184116</v>
      </c>
      <c r="D15333" t="s">
        <v>1</v>
      </c>
      <c r="E15333" t="s">
        <v>1</v>
      </c>
      <c r="F15333" t="s">
        <v>0</v>
      </c>
      <c r="G15333" t="str">
        <f>"2018-10-12 16:27:31"</f>
        <v>2018-10-12 16:27:31</v>
      </c>
    </row>
    <row r="15334" spans="1:7" x14ac:dyDescent="0.2">
      <c r="A15334" t="s">
        <v>14884</v>
      </c>
      <c r="B15334" t="str">
        <f>"15864468996"</f>
        <v>15864468996</v>
      </c>
      <c r="C15334" t="str">
        <f>"370321197112100617"</f>
        <v>370321197112100617</v>
      </c>
      <c r="D15334" t="s">
        <v>14885</v>
      </c>
      <c r="E15334" t="s">
        <v>14886</v>
      </c>
      <c r="F15334" t="s">
        <v>0</v>
      </c>
      <c r="G15334" t="str">
        <f>"2018-10-12 16:28:22"</f>
        <v>2018-10-12 16:28:22</v>
      </c>
    </row>
    <row r="15335" spans="1:7" x14ac:dyDescent="0.2">
      <c r="A15335" t="s">
        <v>14887</v>
      </c>
      <c r="B15335" t="str">
        <f>"18377149368"</f>
        <v>18377149368</v>
      </c>
      <c r="C15335" t="str">
        <f>"452101199612240928"</f>
        <v>452101199612240928</v>
      </c>
      <c r="D15335" t="s">
        <v>1</v>
      </c>
      <c r="E15335" t="s">
        <v>1</v>
      </c>
      <c r="F15335" t="s">
        <v>0</v>
      </c>
      <c r="G15335" t="str">
        <f>"2018-10-12 16:28:16"</f>
        <v>2018-10-12 16:28:16</v>
      </c>
    </row>
    <row r="15336" spans="1:7" x14ac:dyDescent="0.2">
      <c r="A15336" t="s">
        <v>1</v>
      </c>
      <c r="B15336" t="str">
        <f>"18007900447"</f>
        <v>18007900447</v>
      </c>
      <c r="C15336" t="s">
        <v>1</v>
      </c>
      <c r="D15336" t="s">
        <v>1</v>
      </c>
      <c r="E15336" t="s">
        <v>1</v>
      </c>
      <c r="F15336" t="s">
        <v>0</v>
      </c>
      <c r="G15336" t="str">
        <f>"2018-10-12 16:25:57"</f>
        <v>2018-10-12 16:25:57</v>
      </c>
    </row>
    <row r="15337" spans="1:7" x14ac:dyDescent="0.2">
      <c r="A15337" t="s">
        <v>14888</v>
      </c>
      <c r="B15337" t="str">
        <f>"15007700672"</f>
        <v>15007700672</v>
      </c>
      <c r="C15337" t="str">
        <f>"450121198706202155"</f>
        <v>450121198706202155</v>
      </c>
      <c r="D15337" t="s">
        <v>1</v>
      </c>
      <c r="E15337" t="s">
        <v>1</v>
      </c>
      <c r="F15337" t="s">
        <v>0</v>
      </c>
      <c r="G15337" t="str">
        <f>"2018-10-12 18:21:17"</f>
        <v>2018-10-12 18:21:17</v>
      </c>
    </row>
    <row r="15338" spans="1:7" x14ac:dyDescent="0.2">
      <c r="A15338" t="s">
        <v>793</v>
      </c>
      <c r="B15338" t="str">
        <f>"18982990150"</f>
        <v>18982990150</v>
      </c>
      <c r="C15338" t="str">
        <f>"513901198903156650"</f>
        <v>513901198903156650</v>
      </c>
      <c r="D15338" t="s">
        <v>1</v>
      </c>
      <c r="E15338" t="s">
        <v>1</v>
      </c>
      <c r="F15338" t="s">
        <v>0</v>
      </c>
      <c r="G15338" t="str">
        <f>"2018-10-12 16:27:39"</f>
        <v>2018-10-12 16:27:39</v>
      </c>
    </row>
    <row r="15339" spans="1:7" x14ac:dyDescent="0.2">
      <c r="A15339" t="s">
        <v>14889</v>
      </c>
      <c r="B15339" t="str">
        <f>"13117030309"</f>
        <v>13117030309</v>
      </c>
      <c r="C15339" t="str">
        <f>"420281199010098063"</f>
        <v>420281199010098063</v>
      </c>
      <c r="D15339" t="s">
        <v>1</v>
      </c>
      <c r="E15339" t="s">
        <v>1</v>
      </c>
      <c r="F15339" t="s">
        <v>0</v>
      </c>
      <c r="G15339" t="str">
        <f>"2018-10-12 16:27:45"</f>
        <v>2018-10-12 16:27:45</v>
      </c>
    </row>
    <row r="15340" spans="1:7" x14ac:dyDescent="0.2">
      <c r="A15340" t="s">
        <v>14890</v>
      </c>
      <c r="B15340" t="str">
        <f>"13631186610"</f>
        <v>13631186610</v>
      </c>
      <c r="C15340" t="str">
        <f>"420702197501088110"</f>
        <v>420702197501088110</v>
      </c>
      <c r="D15340" t="s">
        <v>1</v>
      </c>
      <c r="E15340" t="s">
        <v>1</v>
      </c>
      <c r="F15340" t="s">
        <v>0</v>
      </c>
      <c r="G15340" t="str">
        <f>"2018-10-12 16:27:04"</f>
        <v>2018-10-12 16:27:04</v>
      </c>
    </row>
    <row r="15341" spans="1:7" x14ac:dyDescent="0.2">
      <c r="A15341" t="s">
        <v>1</v>
      </c>
      <c r="B15341" t="str">
        <f>"15994352311"</f>
        <v>15994352311</v>
      </c>
      <c r="C15341" t="s">
        <v>1</v>
      </c>
      <c r="D15341" t="s">
        <v>1</v>
      </c>
      <c r="E15341" t="s">
        <v>1</v>
      </c>
      <c r="F15341" t="s">
        <v>0</v>
      </c>
      <c r="G15341" t="str">
        <f>"2018-10-12 16:23:55"</f>
        <v>2018-10-12 16:23:55</v>
      </c>
    </row>
    <row r="15342" spans="1:7" x14ac:dyDescent="0.2">
      <c r="A15342" t="s">
        <v>131</v>
      </c>
      <c r="B15342" t="str">
        <f>"18873622595"</f>
        <v>18873622595</v>
      </c>
      <c r="C15342" t="str">
        <f>"430722198206221312"</f>
        <v>430722198206221312</v>
      </c>
      <c r="D15342" t="s">
        <v>1</v>
      </c>
      <c r="E15342" t="s">
        <v>1</v>
      </c>
      <c r="F15342" t="s">
        <v>0</v>
      </c>
      <c r="G15342" t="str">
        <f>"2018-10-12 16:25:20"</f>
        <v>2018-10-12 16:25:20</v>
      </c>
    </row>
    <row r="15343" spans="1:7" x14ac:dyDescent="0.2">
      <c r="A15343" t="s">
        <v>1</v>
      </c>
      <c r="B15343" t="str">
        <f>"18744547132"</f>
        <v>18744547132</v>
      </c>
      <c r="C15343" t="s">
        <v>1</v>
      </c>
      <c r="D15343" t="s">
        <v>1</v>
      </c>
      <c r="E15343" t="s">
        <v>1</v>
      </c>
      <c r="F15343" t="s">
        <v>0</v>
      </c>
      <c r="G15343" t="str">
        <f>"2018-10-12 16:20:58"</f>
        <v>2018-10-12 16:20:58</v>
      </c>
    </row>
    <row r="15344" spans="1:7" x14ac:dyDescent="0.2">
      <c r="A15344" t="s">
        <v>14891</v>
      </c>
      <c r="B15344" t="str">
        <f>"13579879097"</f>
        <v>13579879097</v>
      </c>
      <c r="C15344" t="str">
        <f>"650107198201260026"</f>
        <v>650107198201260026</v>
      </c>
      <c r="D15344" t="s">
        <v>1</v>
      </c>
      <c r="E15344" t="s">
        <v>1</v>
      </c>
      <c r="F15344" t="s">
        <v>0</v>
      </c>
      <c r="G15344" t="str">
        <f>"2018-10-12 16:23:47"</f>
        <v>2018-10-12 16:23:47</v>
      </c>
    </row>
    <row r="15345" spans="1:7" x14ac:dyDescent="0.2">
      <c r="A15345" t="s">
        <v>465</v>
      </c>
      <c r="B15345" t="str">
        <f>"18938683017"</f>
        <v>18938683017</v>
      </c>
      <c r="C15345" t="str">
        <f>"513902198809118419"</f>
        <v>513902198809118419</v>
      </c>
      <c r="D15345" t="s">
        <v>14892</v>
      </c>
      <c r="E15345" t="s">
        <v>14893</v>
      </c>
      <c r="F15345" t="s">
        <v>0</v>
      </c>
      <c r="G15345" t="str">
        <f>"2018-10-12 16:20:30"</f>
        <v>2018-10-12 16:20:30</v>
      </c>
    </row>
    <row r="15346" spans="1:7" x14ac:dyDescent="0.2">
      <c r="A15346" t="s">
        <v>14894</v>
      </c>
      <c r="B15346" t="str">
        <f>"15895558607"</f>
        <v>15895558607</v>
      </c>
      <c r="C15346" t="str">
        <f>"372923199512250514"</f>
        <v>372923199512250514</v>
      </c>
      <c r="D15346" t="s">
        <v>1</v>
      </c>
      <c r="E15346" t="s">
        <v>1</v>
      </c>
      <c r="F15346" t="s">
        <v>0</v>
      </c>
      <c r="G15346" t="str">
        <f>"2018-10-12 16:22:40"</f>
        <v>2018-10-12 16:22:40</v>
      </c>
    </row>
    <row r="15347" spans="1:7" x14ac:dyDescent="0.2">
      <c r="A15347" t="s">
        <v>1483</v>
      </c>
      <c r="B15347" t="str">
        <f>"13404811874"</f>
        <v>13404811874</v>
      </c>
      <c r="C15347" t="str">
        <f>"152627199412155833"</f>
        <v>152627199412155833</v>
      </c>
      <c r="D15347" t="s">
        <v>1</v>
      </c>
      <c r="E15347" t="s">
        <v>1</v>
      </c>
      <c r="F15347" t="s">
        <v>0</v>
      </c>
      <c r="G15347" t="str">
        <f>"2018-10-21 12:13:59"</f>
        <v>2018-10-21 12:13:59</v>
      </c>
    </row>
    <row r="15348" spans="1:7" x14ac:dyDescent="0.2">
      <c r="A15348" t="s">
        <v>14895</v>
      </c>
      <c r="B15348" t="str">
        <f>"18318470912"</f>
        <v>18318470912</v>
      </c>
      <c r="C15348" t="str">
        <f>"441203198310130011"</f>
        <v>441203198310130011</v>
      </c>
      <c r="D15348" t="s">
        <v>1</v>
      </c>
      <c r="E15348" t="s">
        <v>1</v>
      </c>
      <c r="F15348" t="s">
        <v>0</v>
      </c>
      <c r="G15348" t="str">
        <f>"2018-10-12 16:26:52"</f>
        <v>2018-10-12 16:26:52</v>
      </c>
    </row>
    <row r="15349" spans="1:7" x14ac:dyDescent="0.2">
      <c r="A15349" t="s">
        <v>279</v>
      </c>
      <c r="B15349" t="str">
        <f>"13732726370"</f>
        <v>13732726370</v>
      </c>
      <c r="C15349" t="str">
        <f>"530328199812140912"</f>
        <v>530328199812140912</v>
      </c>
      <c r="D15349" t="s">
        <v>1</v>
      </c>
      <c r="E15349" t="s">
        <v>1</v>
      </c>
      <c r="F15349" t="s">
        <v>0</v>
      </c>
      <c r="G15349" t="str">
        <f>"2018-10-12 17:18:49"</f>
        <v>2018-10-12 17:18:49</v>
      </c>
    </row>
    <row r="15350" spans="1:7" x14ac:dyDescent="0.2">
      <c r="A15350" t="s">
        <v>14896</v>
      </c>
      <c r="B15350" t="str">
        <f>"15812582520"</f>
        <v>15812582520</v>
      </c>
      <c r="C15350" t="str">
        <f>"43052219950305637X"</f>
        <v>43052219950305637X</v>
      </c>
      <c r="D15350" t="s">
        <v>1</v>
      </c>
      <c r="E15350" t="s">
        <v>1</v>
      </c>
      <c r="F15350" t="s">
        <v>0</v>
      </c>
      <c r="G15350" t="str">
        <f>"2018-10-16 14:09:15"</f>
        <v>2018-10-16 14:09:15</v>
      </c>
    </row>
    <row r="15351" spans="1:7" x14ac:dyDescent="0.2">
      <c r="A15351" t="s">
        <v>1319</v>
      </c>
      <c r="B15351" t="str">
        <f>"15240550110"</f>
        <v>15240550110</v>
      </c>
      <c r="C15351" t="str">
        <f>"320624197611079230"</f>
        <v>320624197611079230</v>
      </c>
      <c r="D15351" t="s">
        <v>14897</v>
      </c>
      <c r="E15351" t="s">
        <v>14898</v>
      </c>
      <c r="F15351" t="s">
        <v>0</v>
      </c>
      <c r="G15351" t="str">
        <f>"2018-10-31 18:00:24"</f>
        <v>2018-10-31 18:00:24</v>
      </c>
    </row>
    <row r="15352" spans="1:7" x14ac:dyDescent="0.2">
      <c r="A15352" t="s">
        <v>14899</v>
      </c>
      <c r="B15352" t="str">
        <f>"18506378740"</f>
        <v>18506378740</v>
      </c>
      <c r="C15352" t="str">
        <f>"370405199006123289"</f>
        <v>370405199006123289</v>
      </c>
      <c r="D15352" t="s">
        <v>1</v>
      </c>
      <c r="E15352" t="s">
        <v>1</v>
      </c>
      <c r="F15352" t="s">
        <v>0</v>
      </c>
      <c r="G15352" t="str">
        <f>"2018-10-12 16:17:22"</f>
        <v>2018-10-12 16:17:22</v>
      </c>
    </row>
    <row r="15353" spans="1:7" x14ac:dyDescent="0.2">
      <c r="A15353" t="s">
        <v>14900</v>
      </c>
      <c r="B15353" t="str">
        <f>"15996656596"</f>
        <v>15996656596</v>
      </c>
      <c r="C15353" t="str">
        <f>"320682199405232030"</f>
        <v>320682199405232030</v>
      </c>
      <c r="D15353" t="s">
        <v>14901</v>
      </c>
      <c r="E15353" t="s">
        <v>14902</v>
      </c>
      <c r="F15353" t="s">
        <v>0</v>
      </c>
      <c r="G15353" t="str">
        <f>"2018-10-12 16:17:29"</f>
        <v>2018-10-12 16:17:29</v>
      </c>
    </row>
    <row r="15354" spans="1:7" x14ac:dyDescent="0.2">
      <c r="A15354" t="s">
        <v>14903</v>
      </c>
      <c r="B15354" t="str">
        <f>"15258188040"</f>
        <v>15258188040</v>
      </c>
      <c r="C15354" t="str">
        <f>"33028219910420823X"</f>
        <v>33028219910420823X</v>
      </c>
      <c r="D15354" t="s">
        <v>1</v>
      </c>
      <c r="E15354" t="s">
        <v>1</v>
      </c>
      <c r="F15354" t="s">
        <v>0</v>
      </c>
      <c r="G15354" t="str">
        <f>"2018-10-12 16:15:31"</f>
        <v>2018-10-12 16:15:31</v>
      </c>
    </row>
    <row r="15355" spans="1:7" x14ac:dyDescent="0.2">
      <c r="A15355" t="s">
        <v>1</v>
      </c>
      <c r="B15355" t="str">
        <f>"17156996408"</f>
        <v>17156996408</v>
      </c>
      <c r="C15355" t="s">
        <v>1</v>
      </c>
      <c r="D15355" t="s">
        <v>1</v>
      </c>
      <c r="E15355" t="s">
        <v>1</v>
      </c>
      <c r="F15355" t="s">
        <v>0</v>
      </c>
      <c r="G15355" t="str">
        <f>"2018-10-12 16:13:34"</f>
        <v>2018-10-12 16:13:34</v>
      </c>
    </row>
    <row r="15356" spans="1:7" x14ac:dyDescent="0.2">
      <c r="A15356" t="s">
        <v>14904</v>
      </c>
      <c r="B15356" t="str">
        <f>"15866267260"</f>
        <v>15866267260</v>
      </c>
      <c r="C15356" t="str">
        <f>"370321198706140311"</f>
        <v>370321198706140311</v>
      </c>
      <c r="D15356" t="s">
        <v>1</v>
      </c>
      <c r="E15356" t="s">
        <v>1</v>
      </c>
      <c r="F15356" t="s">
        <v>0</v>
      </c>
      <c r="G15356" t="str">
        <f>"2018-10-12 16:21:23"</f>
        <v>2018-10-12 16:21:23</v>
      </c>
    </row>
    <row r="15357" spans="1:7" x14ac:dyDescent="0.2">
      <c r="A15357" t="s">
        <v>1</v>
      </c>
      <c r="B15357" t="str">
        <f>"18798146981"</f>
        <v>18798146981</v>
      </c>
      <c r="C15357" t="s">
        <v>1</v>
      </c>
      <c r="D15357" t="s">
        <v>1</v>
      </c>
      <c r="E15357" t="s">
        <v>1</v>
      </c>
      <c r="F15357" t="s">
        <v>0</v>
      </c>
      <c r="G15357" t="str">
        <f>"2018-10-12 16:12:56"</f>
        <v>2018-10-12 16:12:56</v>
      </c>
    </row>
    <row r="15358" spans="1:7" x14ac:dyDescent="0.2">
      <c r="A15358" t="s">
        <v>1</v>
      </c>
      <c r="B15358" t="str">
        <f>"13450645983"</f>
        <v>13450645983</v>
      </c>
      <c r="C15358" t="s">
        <v>1</v>
      </c>
      <c r="D15358" t="s">
        <v>1</v>
      </c>
      <c r="E15358" t="s">
        <v>1</v>
      </c>
      <c r="F15358" t="s">
        <v>0</v>
      </c>
      <c r="G15358" t="str">
        <f>"2018-10-12 16:12:50"</f>
        <v>2018-10-12 16:12:50</v>
      </c>
    </row>
    <row r="15359" spans="1:7" x14ac:dyDescent="0.2">
      <c r="A15359" t="s">
        <v>14905</v>
      </c>
      <c r="B15359" t="str">
        <f>"13787892982"</f>
        <v>13787892982</v>
      </c>
      <c r="C15359" t="str">
        <f>"430725198806220814"</f>
        <v>430725198806220814</v>
      </c>
      <c r="D15359" t="s">
        <v>1</v>
      </c>
      <c r="E15359" t="s">
        <v>1</v>
      </c>
      <c r="F15359" t="s">
        <v>0</v>
      </c>
      <c r="G15359" t="str">
        <f>"2018-10-12 16:12:24"</f>
        <v>2018-10-12 16:12:24</v>
      </c>
    </row>
    <row r="15360" spans="1:7" x14ac:dyDescent="0.2">
      <c r="A15360" t="s">
        <v>14906</v>
      </c>
      <c r="B15360" t="str">
        <f>"13865663311"</f>
        <v>13865663311</v>
      </c>
      <c r="C15360" t="str">
        <f>"352225197710106021"</f>
        <v>352225197710106021</v>
      </c>
      <c r="D15360" t="s">
        <v>1</v>
      </c>
      <c r="E15360" t="s">
        <v>1</v>
      </c>
      <c r="F15360" t="s">
        <v>0</v>
      </c>
      <c r="G15360" t="str">
        <f>"2018-10-12 16:13:38"</f>
        <v>2018-10-12 16:13:38</v>
      </c>
    </row>
    <row r="15361" spans="1:7" x14ac:dyDescent="0.2">
      <c r="A15361" t="s">
        <v>11783</v>
      </c>
      <c r="B15361" t="str">
        <f>"15159958881"</f>
        <v>15159958881</v>
      </c>
      <c r="C15361" t="str">
        <f>"350784199107100017"</f>
        <v>350784199107100017</v>
      </c>
      <c r="D15361" t="s">
        <v>1</v>
      </c>
      <c r="E15361" t="s">
        <v>1</v>
      </c>
      <c r="F15361" t="s">
        <v>0</v>
      </c>
      <c r="G15361" t="str">
        <f>"2018-11-01 22:13:26"</f>
        <v>2018-11-01 22:13:26</v>
      </c>
    </row>
    <row r="15362" spans="1:7" x14ac:dyDescent="0.2">
      <c r="A15362" t="s">
        <v>14907</v>
      </c>
      <c r="B15362" t="str">
        <f>"17768956222"</f>
        <v>17768956222</v>
      </c>
      <c r="C15362" t="str">
        <f>"321281199110071754"</f>
        <v>321281199110071754</v>
      </c>
      <c r="D15362" t="s">
        <v>1</v>
      </c>
      <c r="E15362" t="s">
        <v>1</v>
      </c>
      <c r="F15362" t="s">
        <v>0</v>
      </c>
      <c r="G15362" t="str">
        <f>"2018-10-12 16:11:46"</f>
        <v>2018-10-12 16:11:46</v>
      </c>
    </row>
    <row r="15363" spans="1:7" x14ac:dyDescent="0.2">
      <c r="A15363" t="s">
        <v>1</v>
      </c>
      <c r="B15363" t="str">
        <f>"18759867867"</f>
        <v>18759867867</v>
      </c>
      <c r="C15363" t="s">
        <v>1</v>
      </c>
      <c r="D15363" t="s">
        <v>1</v>
      </c>
      <c r="E15363" t="s">
        <v>1</v>
      </c>
      <c r="F15363" t="s">
        <v>0</v>
      </c>
      <c r="G15363" t="str">
        <f>"2018-10-12 16:10:09"</f>
        <v>2018-10-12 16:10:09</v>
      </c>
    </row>
    <row r="15364" spans="1:7" x14ac:dyDescent="0.2">
      <c r="A15364" t="s">
        <v>14908</v>
      </c>
      <c r="B15364" t="str">
        <f>"18509283351"</f>
        <v>18509283351</v>
      </c>
      <c r="C15364" t="str">
        <f>"610402199002033893"</f>
        <v>610402199002033893</v>
      </c>
      <c r="D15364" t="s">
        <v>14909</v>
      </c>
      <c r="E15364" t="s">
        <v>14910</v>
      </c>
      <c r="F15364" t="s">
        <v>0</v>
      </c>
      <c r="G15364" t="str">
        <f>"2018-10-12 21:09:13"</f>
        <v>2018-10-12 21:09:13</v>
      </c>
    </row>
    <row r="15365" spans="1:7" x14ac:dyDescent="0.2">
      <c r="A15365" t="s">
        <v>1</v>
      </c>
      <c r="B15365" t="str">
        <f>"13659453779"</f>
        <v>13659453779</v>
      </c>
      <c r="C15365" t="s">
        <v>1</v>
      </c>
      <c r="D15365" t="s">
        <v>1</v>
      </c>
      <c r="E15365" t="s">
        <v>1</v>
      </c>
      <c r="F15365" t="s">
        <v>0</v>
      </c>
      <c r="G15365" t="str">
        <f>"2018-10-12 16:09:53"</f>
        <v>2018-10-12 16:09:53</v>
      </c>
    </row>
    <row r="15366" spans="1:7" x14ac:dyDescent="0.2">
      <c r="A15366" t="s">
        <v>14911</v>
      </c>
      <c r="B15366" t="str">
        <f>"13658092942"</f>
        <v>13658092942</v>
      </c>
      <c r="C15366" t="str">
        <f>"510104199210044899"</f>
        <v>510104199210044899</v>
      </c>
      <c r="D15366" t="s">
        <v>1</v>
      </c>
      <c r="E15366" t="s">
        <v>1</v>
      </c>
      <c r="F15366" t="s">
        <v>0</v>
      </c>
      <c r="G15366" t="str">
        <f>"2018-10-12 16:09:13"</f>
        <v>2018-10-12 16:09:13</v>
      </c>
    </row>
    <row r="15367" spans="1:7" x14ac:dyDescent="0.2">
      <c r="A15367" t="s">
        <v>1707</v>
      </c>
      <c r="B15367" t="str">
        <f>"13013861844"</f>
        <v>13013861844</v>
      </c>
      <c r="C15367" t="str">
        <f>"340222199107026015"</f>
        <v>340222199107026015</v>
      </c>
      <c r="D15367" t="s">
        <v>1</v>
      </c>
      <c r="E15367" t="s">
        <v>1</v>
      </c>
      <c r="F15367" t="s">
        <v>0</v>
      </c>
      <c r="G15367" t="str">
        <f>"2018-10-12 16:15:02"</f>
        <v>2018-10-12 16:15:02</v>
      </c>
    </row>
    <row r="15368" spans="1:7" x14ac:dyDescent="0.2">
      <c r="A15368" t="s">
        <v>14912</v>
      </c>
      <c r="B15368" t="str">
        <f>"15882871256"</f>
        <v>15882871256</v>
      </c>
      <c r="C15368" t="str">
        <f>"510902198711227032"</f>
        <v>510902198711227032</v>
      </c>
      <c r="D15368" t="s">
        <v>1</v>
      </c>
      <c r="E15368" t="s">
        <v>1</v>
      </c>
      <c r="F15368" t="s">
        <v>0</v>
      </c>
      <c r="G15368" t="str">
        <f>"2018-10-18 15:43:59"</f>
        <v>2018-10-18 15:43:59</v>
      </c>
    </row>
    <row r="15369" spans="1:7" x14ac:dyDescent="0.2">
      <c r="A15369" t="s">
        <v>14913</v>
      </c>
      <c r="B15369" t="str">
        <f>"18522295731"</f>
        <v>18522295731</v>
      </c>
      <c r="C15369" t="str">
        <f>"120107199505124518"</f>
        <v>120107199505124518</v>
      </c>
      <c r="D15369" t="s">
        <v>1</v>
      </c>
      <c r="E15369" t="s">
        <v>1</v>
      </c>
      <c r="F15369" t="s">
        <v>0</v>
      </c>
      <c r="G15369" t="str">
        <f>"2018-10-12 16:09:17"</f>
        <v>2018-10-12 16:09:17</v>
      </c>
    </row>
    <row r="15370" spans="1:7" x14ac:dyDescent="0.2">
      <c r="A15370" t="s">
        <v>14914</v>
      </c>
      <c r="B15370" t="str">
        <f>"17673106664"</f>
        <v>17673106664</v>
      </c>
      <c r="C15370" t="str">
        <f>"430721199211256737"</f>
        <v>430721199211256737</v>
      </c>
      <c r="D15370" t="s">
        <v>1</v>
      </c>
      <c r="E15370" t="s">
        <v>1</v>
      </c>
      <c r="F15370" t="s">
        <v>0</v>
      </c>
      <c r="G15370" t="str">
        <f>"2018-10-12 16:08:52"</f>
        <v>2018-10-12 16:08:52</v>
      </c>
    </row>
    <row r="15371" spans="1:7" x14ac:dyDescent="0.2">
      <c r="A15371" t="s">
        <v>14915</v>
      </c>
      <c r="B15371" t="str">
        <f>"13173399725"</f>
        <v>13173399725</v>
      </c>
      <c r="C15371" t="str">
        <f>"37292520010911473X"</f>
        <v>37292520010911473X</v>
      </c>
      <c r="D15371" t="s">
        <v>1</v>
      </c>
      <c r="E15371" t="s">
        <v>1</v>
      </c>
      <c r="F15371" t="s">
        <v>0</v>
      </c>
      <c r="G15371" t="str">
        <f>"2018-10-12 16:07:04"</f>
        <v>2018-10-12 16:07:04</v>
      </c>
    </row>
    <row r="15372" spans="1:7" x14ac:dyDescent="0.2">
      <c r="A15372" t="s">
        <v>14916</v>
      </c>
      <c r="B15372" t="str">
        <f>"18762868480"</f>
        <v>18762868480</v>
      </c>
      <c r="C15372" t="str">
        <f>"612730199005210510"</f>
        <v>612730199005210510</v>
      </c>
      <c r="D15372" t="s">
        <v>1</v>
      </c>
      <c r="E15372" t="s">
        <v>1</v>
      </c>
      <c r="F15372" t="s">
        <v>0</v>
      </c>
      <c r="G15372" t="str">
        <f>"2018-10-12 16:07:10"</f>
        <v>2018-10-12 16:07:10</v>
      </c>
    </row>
    <row r="15373" spans="1:7" x14ac:dyDescent="0.2">
      <c r="A15373" t="s">
        <v>14917</v>
      </c>
      <c r="B15373" t="str">
        <f>"15857639343"</f>
        <v>15857639343</v>
      </c>
      <c r="C15373" t="str">
        <f>"362135198205152717"</f>
        <v>362135198205152717</v>
      </c>
      <c r="D15373" t="s">
        <v>14918</v>
      </c>
      <c r="E15373" t="s">
        <v>14919</v>
      </c>
      <c r="F15373" t="s">
        <v>0</v>
      </c>
      <c r="G15373" t="str">
        <f>"2018-10-12 18:24:47"</f>
        <v>2018-10-12 18:24:47</v>
      </c>
    </row>
    <row r="15374" spans="1:7" x14ac:dyDescent="0.2">
      <c r="A15374" t="s">
        <v>14920</v>
      </c>
      <c r="B15374" t="str">
        <f>"18763875119"</f>
        <v>18763875119</v>
      </c>
      <c r="C15374" t="str">
        <f>"370921198807084817"</f>
        <v>370921198807084817</v>
      </c>
      <c r="D15374" t="s">
        <v>1</v>
      </c>
      <c r="E15374" t="s">
        <v>1</v>
      </c>
      <c r="F15374" t="s">
        <v>0</v>
      </c>
      <c r="G15374" t="str">
        <f>"2018-10-22 17:20:09"</f>
        <v>2018-10-22 17:20:09</v>
      </c>
    </row>
    <row r="15375" spans="1:7" x14ac:dyDescent="0.2">
      <c r="A15375" t="s">
        <v>14921</v>
      </c>
      <c r="B15375" t="str">
        <f>"17782379107"</f>
        <v>17782379107</v>
      </c>
      <c r="C15375" t="str">
        <f>"500235199110087662"</f>
        <v>500235199110087662</v>
      </c>
      <c r="D15375" t="s">
        <v>1</v>
      </c>
      <c r="E15375" t="s">
        <v>1</v>
      </c>
      <c r="F15375" t="s">
        <v>0</v>
      </c>
      <c r="G15375" t="str">
        <f>"2018-10-12 16:09:57"</f>
        <v>2018-10-12 16:09:57</v>
      </c>
    </row>
    <row r="15376" spans="1:7" x14ac:dyDescent="0.2">
      <c r="A15376" t="s">
        <v>14922</v>
      </c>
      <c r="B15376" t="str">
        <f>"13870988646"</f>
        <v>13870988646</v>
      </c>
      <c r="C15376" t="str">
        <f>"362401197910271533"</f>
        <v>362401197910271533</v>
      </c>
      <c r="D15376" t="s">
        <v>1</v>
      </c>
      <c r="E15376" t="s">
        <v>1</v>
      </c>
      <c r="F15376" t="s">
        <v>0</v>
      </c>
      <c r="G15376" t="str">
        <f>"2018-10-12 16:05:13"</f>
        <v>2018-10-12 16:05:13</v>
      </c>
    </row>
    <row r="15377" spans="1:7" x14ac:dyDescent="0.2">
      <c r="A15377" t="s">
        <v>830</v>
      </c>
      <c r="B15377" t="str">
        <f>"18636131147"</f>
        <v>18636131147</v>
      </c>
      <c r="C15377" t="str">
        <f>"140121199707034650"</f>
        <v>140121199707034650</v>
      </c>
      <c r="D15377" t="s">
        <v>1</v>
      </c>
      <c r="E15377" t="s">
        <v>1</v>
      </c>
      <c r="F15377" t="s">
        <v>0</v>
      </c>
      <c r="G15377" t="str">
        <f>"2018-10-12 16:05:59"</f>
        <v>2018-10-12 16:05:59</v>
      </c>
    </row>
    <row r="15378" spans="1:7" x14ac:dyDescent="0.2">
      <c r="A15378" t="s">
        <v>1</v>
      </c>
      <c r="B15378" t="str">
        <f>"13713761888"</f>
        <v>13713761888</v>
      </c>
      <c r="C15378" t="s">
        <v>1</v>
      </c>
      <c r="D15378" t="s">
        <v>1</v>
      </c>
      <c r="E15378" t="s">
        <v>1</v>
      </c>
      <c r="F15378" t="s">
        <v>0</v>
      </c>
      <c r="G15378" t="str">
        <f>"2018-10-12 16:03:51"</f>
        <v>2018-10-12 16:03:51</v>
      </c>
    </row>
    <row r="15379" spans="1:7" x14ac:dyDescent="0.2">
      <c r="A15379" t="s">
        <v>14923</v>
      </c>
      <c r="B15379" t="str">
        <f>"18211770323"</f>
        <v>18211770323</v>
      </c>
      <c r="C15379" t="str">
        <f>"411521199004093513"</f>
        <v>411521199004093513</v>
      </c>
      <c r="D15379" t="s">
        <v>1</v>
      </c>
      <c r="E15379" t="s">
        <v>1</v>
      </c>
      <c r="F15379" t="s">
        <v>0</v>
      </c>
      <c r="G15379" t="str">
        <f>"2018-10-12 16:05:05"</f>
        <v>2018-10-12 16:05:05</v>
      </c>
    </row>
    <row r="15380" spans="1:7" x14ac:dyDescent="0.2">
      <c r="A15380" t="s">
        <v>1</v>
      </c>
      <c r="B15380" t="str">
        <f>"18093679111"</f>
        <v>18093679111</v>
      </c>
      <c r="C15380" t="s">
        <v>1</v>
      </c>
      <c r="D15380" t="s">
        <v>1</v>
      </c>
      <c r="E15380" t="s">
        <v>1</v>
      </c>
      <c r="F15380" t="s">
        <v>0</v>
      </c>
      <c r="G15380" t="str">
        <f>"2018-10-12 16:14:12"</f>
        <v>2018-10-12 16:14:12</v>
      </c>
    </row>
    <row r="15381" spans="1:7" x14ac:dyDescent="0.2">
      <c r="A15381" t="s">
        <v>14924</v>
      </c>
      <c r="B15381" t="str">
        <f>"17760764485"</f>
        <v>17760764485</v>
      </c>
      <c r="C15381" t="str">
        <f>"410927199309231015"</f>
        <v>410927199309231015</v>
      </c>
      <c r="D15381" t="s">
        <v>1</v>
      </c>
      <c r="E15381" t="s">
        <v>1</v>
      </c>
      <c r="F15381" t="s">
        <v>0</v>
      </c>
      <c r="G15381" t="str">
        <f>"2018-10-12 16:10:54"</f>
        <v>2018-10-12 16:10:54</v>
      </c>
    </row>
    <row r="15382" spans="1:7" x14ac:dyDescent="0.2">
      <c r="A15382" t="s">
        <v>546</v>
      </c>
      <c r="B15382" t="str">
        <f>"15882223651"</f>
        <v>15882223651</v>
      </c>
      <c r="C15382" t="str">
        <f>"513902199006098711"</f>
        <v>513902199006098711</v>
      </c>
      <c r="D15382" t="s">
        <v>1</v>
      </c>
      <c r="E15382" t="s">
        <v>1</v>
      </c>
      <c r="F15382" t="s">
        <v>0</v>
      </c>
      <c r="G15382" t="str">
        <f>"2018-10-13 16:49:24"</f>
        <v>2018-10-13 16:49:24</v>
      </c>
    </row>
    <row r="15383" spans="1:7" x14ac:dyDescent="0.2">
      <c r="A15383" t="s">
        <v>14925</v>
      </c>
      <c r="B15383" t="str">
        <f>"18095166578"</f>
        <v>18095166578</v>
      </c>
      <c r="C15383" t="str">
        <f>"64032119870612152X"</f>
        <v>64032119870612152X</v>
      </c>
      <c r="D15383" t="s">
        <v>1</v>
      </c>
      <c r="E15383" t="s">
        <v>1</v>
      </c>
      <c r="F15383" t="s">
        <v>0</v>
      </c>
      <c r="G15383" t="str">
        <f>"2018-10-12 17:22:27"</f>
        <v>2018-10-12 17:22:27</v>
      </c>
    </row>
    <row r="15384" spans="1:7" x14ac:dyDescent="0.2">
      <c r="A15384" t="s">
        <v>14926</v>
      </c>
      <c r="B15384" t="str">
        <f>"15880651311"</f>
        <v>15880651311</v>
      </c>
      <c r="C15384" t="str">
        <f>"35082119890409273X"</f>
        <v>35082119890409273X</v>
      </c>
      <c r="D15384" t="s">
        <v>1</v>
      </c>
      <c r="E15384" t="s">
        <v>1</v>
      </c>
      <c r="F15384" t="s">
        <v>0</v>
      </c>
      <c r="G15384" t="str">
        <f>"2018-10-12 16:15:16"</f>
        <v>2018-10-12 16:15:16</v>
      </c>
    </row>
    <row r="15385" spans="1:7" x14ac:dyDescent="0.2">
      <c r="A15385" t="s">
        <v>14927</v>
      </c>
      <c r="B15385" t="str">
        <f>"18218079020"</f>
        <v>18218079020</v>
      </c>
      <c r="C15385" t="str">
        <f>"440923199209013424"</f>
        <v>440923199209013424</v>
      </c>
      <c r="D15385" t="s">
        <v>1</v>
      </c>
      <c r="E15385" t="s">
        <v>1</v>
      </c>
      <c r="F15385" t="s">
        <v>0</v>
      </c>
      <c r="G15385" t="str">
        <f>"2018-10-12 16:01:46"</f>
        <v>2018-10-12 16:01:46</v>
      </c>
    </row>
    <row r="15386" spans="1:7" x14ac:dyDescent="0.2">
      <c r="A15386" t="s">
        <v>14928</v>
      </c>
      <c r="B15386" t="str">
        <f>"18289282544"</f>
        <v>18289282544</v>
      </c>
      <c r="C15386" t="str">
        <f>"460004198212315213"</f>
        <v>460004198212315213</v>
      </c>
      <c r="D15386" t="s">
        <v>14929</v>
      </c>
      <c r="E15386" t="s">
        <v>14930</v>
      </c>
      <c r="F15386" t="s">
        <v>0</v>
      </c>
      <c r="G15386" t="str">
        <f>"2018-10-12 16:03:40"</f>
        <v>2018-10-12 16:03:40</v>
      </c>
    </row>
    <row r="15387" spans="1:7" x14ac:dyDescent="0.2">
      <c r="A15387" t="s">
        <v>14931</v>
      </c>
      <c r="B15387" t="str">
        <f>"15975959400"</f>
        <v>15975959400</v>
      </c>
      <c r="C15387" t="str">
        <f>"440882199005220637"</f>
        <v>440882199005220637</v>
      </c>
      <c r="D15387" t="s">
        <v>14932</v>
      </c>
      <c r="E15387" t="s">
        <v>14933</v>
      </c>
      <c r="F15387" t="s">
        <v>0</v>
      </c>
      <c r="G15387" t="str">
        <f>"2018-10-12 16:02:18"</f>
        <v>2018-10-12 16:02:18</v>
      </c>
    </row>
    <row r="15388" spans="1:7" x14ac:dyDescent="0.2">
      <c r="A15388" t="s">
        <v>14934</v>
      </c>
      <c r="B15388" t="str">
        <f>"17709318544"</f>
        <v>17709318544</v>
      </c>
      <c r="C15388" t="str">
        <f>"621121199205136126"</f>
        <v>621121199205136126</v>
      </c>
      <c r="D15388" t="s">
        <v>1</v>
      </c>
      <c r="E15388" t="s">
        <v>1</v>
      </c>
      <c r="F15388" t="s">
        <v>0</v>
      </c>
      <c r="G15388" t="str">
        <f>"2018-10-12 16:02:12"</f>
        <v>2018-10-12 16:02:12</v>
      </c>
    </row>
    <row r="15389" spans="1:7" x14ac:dyDescent="0.2">
      <c r="A15389" t="s">
        <v>1</v>
      </c>
      <c r="B15389" t="str">
        <f>"13937966097"</f>
        <v>13937966097</v>
      </c>
      <c r="C15389" t="s">
        <v>1</v>
      </c>
      <c r="D15389" t="s">
        <v>1</v>
      </c>
      <c r="E15389" t="s">
        <v>1</v>
      </c>
      <c r="F15389" t="s">
        <v>0</v>
      </c>
      <c r="G15389" t="str">
        <f>"2018-10-12 16:00:03"</f>
        <v>2018-10-12 16:00:03</v>
      </c>
    </row>
    <row r="15390" spans="1:7" x14ac:dyDescent="0.2">
      <c r="A15390" t="s">
        <v>14935</v>
      </c>
      <c r="B15390" t="str">
        <f>"13385027708"</f>
        <v>13385027708</v>
      </c>
      <c r="C15390" t="str">
        <f>"352203198902184725"</f>
        <v>352203198902184725</v>
      </c>
      <c r="D15390" t="s">
        <v>1</v>
      </c>
      <c r="E15390" t="s">
        <v>1</v>
      </c>
      <c r="F15390" t="s">
        <v>0</v>
      </c>
      <c r="G15390" t="str">
        <f>"2018-10-12 16:00:52"</f>
        <v>2018-10-12 16:00:52</v>
      </c>
    </row>
    <row r="15391" spans="1:7" x14ac:dyDescent="0.2">
      <c r="A15391" t="s">
        <v>1</v>
      </c>
      <c r="B15391" t="str">
        <f>"18695142993"</f>
        <v>18695142993</v>
      </c>
      <c r="C15391" t="s">
        <v>1</v>
      </c>
      <c r="D15391" t="s">
        <v>1</v>
      </c>
      <c r="E15391" t="s">
        <v>1</v>
      </c>
      <c r="F15391" t="s">
        <v>0</v>
      </c>
      <c r="G15391" t="str">
        <f>"2018-10-12 15:59:35"</f>
        <v>2018-10-12 15:59:35</v>
      </c>
    </row>
    <row r="15392" spans="1:7" x14ac:dyDescent="0.2">
      <c r="A15392" t="s">
        <v>14936</v>
      </c>
      <c r="B15392" t="str">
        <f>"13726515755"</f>
        <v>13726515755</v>
      </c>
      <c r="C15392" t="str">
        <f>"440582198204060532"</f>
        <v>440582198204060532</v>
      </c>
      <c r="D15392" t="s">
        <v>1</v>
      </c>
      <c r="E15392" t="s">
        <v>1</v>
      </c>
      <c r="F15392" t="s">
        <v>0</v>
      </c>
      <c r="G15392" t="str">
        <f>"2018-10-12 16:01:36"</f>
        <v>2018-10-12 16:01:36</v>
      </c>
    </row>
    <row r="15393" spans="1:7" x14ac:dyDescent="0.2">
      <c r="A15393" t="s">
        <v>1593</v>
      </c>
      <c r="B15393" t="str">
        <f>"15951193869"</f>
        <v>15951193869</v>
      </c>
      <c r="C15393" t="str">
        <f>"32132219910714724X"</f>
        <v>32132219910714724X</v>
      </c>
      <c r="D15393" t="s">
        <v>1</v>
      </c>
      <c r="E15393" t="s">
        <v>1</v>
      </c>
      <c r="F15393" t="s">
        <v>0</v>
      </c>
      <c r="G15393" t="str">
        <f>"2018-10-12 15:58:57"</f>
        <v>2018-10-12 15:58:57</v>
      </c>
    </row>
    <row r="15394" spans="1:7" x14ac:dyDescent="0.2">
      <c r="A15394" t="s">
        <v>655</v>
      </c>
      <c r="B15394" t="str">
        <f>"18147554481"</f>
        <v>18147554481</v>
      </c>
      <c r="C15394" t="str">
        <f>"371426200008292826"</f>
        <v>371426200008292826</v>
      </c>
      <c r="D15394" t="s">
        <v>1</v>
      </c>
      <c r="E15394" t="s">
        <v>1</v>
      </c>
      <c r="F15394" t="s">
        <v>0</v>
      </c>
      <c r="G15394" t="str">
        <f>"2018-10-12 15:59:48"</f>
        <v>2018-10-12 15:59:48</v>
      </c>
    </row>
    <row r="15395" spans="1:7" x14ac:dyDescent="0.2">
      <c r="A15395" t="s">
        <v>14937</v>
      </c>
      <c r="B15395" t="str">
        <f>"18565226189"</f>
        <v>18565226189</v>
      </c>
      <c r="C15395" t="str">
        <f>"510902197405104531"</f>
        <v>510902197405104531</v>
      </c>
      <c r="D15395" t="s">
        <v>1</v>
      </c>
      <c r="E15395" t="s">
        <v>1</v>
      </c>
      <c r="F15395" t="s">
        <v>0</v>
      </c>
      <c r="G15395" t="str">
        <f>"2018-10-12 15:59:37"</f>
        <v>2018-10-12 15:59:37</v>
      </c>
    </row>
    <row r="15396" spans="1:7" x14ac:dyDescent="0.2">
      <c r="A15396" t="s">
        <v>14938</v>
      </c>
      <c r="B15396" t="str">
        <f>"18237189945"</f>
        <v>18237189945</v>
      </c>
      <c r="C15396" t="str">
        <f>"412727199005232028"</f>
        <v>412727199005232028</v>
      </c>
      <c r="D15396" t="s">
        <v>1</v>
      </c>
      <c r="E15396" t="s">
        <v>1</v>
      </c>
      <c r="F15396" t="s">
        <v>0</v>
      </c>
      <c r="G15396" t="str">
        <f>"2018-10-12 15:59:37"</f>
        <v>2018-10-12 15:59:37</v>
      </c>
    </row>
    <row r="15397" spans="1:7" x14ac:dyDescent="0.2">
      <c r="A15397" t="s">
        <v>14939</v>
      </c>
      <c r="B15397" t="str">
        <f>"13598395781"</f>
        <v>13598395781</v>
      </c>
      <c r="C15397" t="str">
        <f>"411425200201050614"</f>
        <v>411425200201050614</v>
      </c>
      <c r="D15397" t="s">
        <v>1</v>
      </c>
      <c r="E15397" t="s">
        <v>1</v>
      </c>
      <c r="F15397" t="s">
        <v>0</v>
      </c>
      <c r="G15397" t="str">
        <f>"2018-10-12 15:58:58"</f>
        <v>2018-10-12 15:58:58</v>
      </c>
    </row>
    <row r="15398" spans="1:7" x14ac:dyDescent="0.2">
      <c r="A15398" t="s">
        <v>14940</v>
      </c>
      <c r="B15398" t="str">
        <f>"14773763713"</f>
        <v>14773763713</v>
      </c>
      <c r="C15398" t="str">
        <f>"522324199905302815"</f>
        <v>522324199905302815</v>
      </c>
      <c r="D15398" t="s">
        <v>1</v>
      </c>
      <c r="E15398" t="s">
        <v>1</v>
      </c>
      <c r="F15398" t="s">
        <v>0</v>
      </c>
      <c r="G15398" t="str">
        <f>"2018-10-12 15:59:53"</f>
        <v>2018-10-12 15:59:53</v>
      </c>
    </row>
    <row r="15399" spans="1:7" x14ac:dyDescent="0.2">
      <c r="A15399" t="s">
        <v>14941</v>
      </c>
      <c r="B15399" t="str">
        <f>"13408412344"</f>
        <v>13408412344</v>
      </c>
      <c r="C15399" t="str">
        <f>"51012219860930833X"</f>
        <v>51012219860930833X</v>
      </c>
      <c r="D15399" t="s">
        <v>1</v>
      </c>
      <c r="E15399" t="s">
        <v>1</v>
      </c>
      <c r="F15399" t="s">
        <v>0</v>
      </c>
      <c r="G15399" t="str">
        <f>"2018-10-12 15:57:10"</f>
        <v>2018-10-12 15:57:10</v>
      </c>
    </row>
    <row r="15400" spans="1:7" x14ac:dyDescent="0.2">
      <c r="A15400" t="s">
        <v>14942</v>
      </c>
      <c r="B15400" t="str">
        <f>"15671482160"</f>
        <v>15671482160</v>
      </c>
      <c r="C15400" t="str">
        <f>"420620196811291512"</f>
        <v>420620196811291512</v>
      </c>
      <c r="D15400" t="s">
        <v>1</v>
      </c>
      <c r="E15400" t="s">
        <v>1</v>
      </c>
      <c r="F15400" t="s">
        <v>0</v>
      </c>
      <c r="G15400" t="str">
        <f>"2018-10-12 15:59:15"</f>
        <v>2018-10-12 15:59:15</v>
      </c>
    </row>
    <row r="15401" spans="1:7" x14ac:dyDescent="0.2">
      <c r="A15401" t="s">
        <v>14943</v>
      </c>
      <c r="B15401" t="str">
        <f>"18523066764"</f>
        <v>18523066764</v>
      </c>
      <c r="C15401" t="str">
        <f>"37108119980310561X"</f>
        <v>37108119980310561X</v>
      </c>
      <c r="D15401" t="s">
        <v>1</v>
      </c>
      <c r="E15401" t="s">
        <v>1</v>
      </c>
      <c r="F15401" t="s">
        <v>0</v>
      </c>
      <c r="G15401" t="str">
        <f>"2018-10-12 15:57:39"</f>
        <v>2018-10-12 15:57:39</v>
      </c>
    </row>
    <row r="15402" spans="1:7" x14ac:dyDescent="0.2">
      <c r="A15402" t="s">
        <v>14944</v>
      </c>
      <c r="B15402" t="str">
        <f>"15063200985"</f>
        <v>15063200985</v>
      </c>
      <c r="C15402" t="str">
        <f>"370481199308151214"</f>
        <v>370481199308151214</v>
      </c>
      <c r="D15402" t="s">
        <v>1</v>
      </c>
      <c r="E15402" t="s">
        <v>1</v>
      </c>
      <c r="F15402" t="s">
        <v>0</v>
      </c>
      <c r="G15402" t="str">
        <f>"2018-10-12 15:59:22"</f>
        <v>2018-10-12 15:59:22</v>
      </c>
    </row>
    <row r="15403" spans="1:7" x14ac:dyDescent="0.2">
      <c r="A15403" t="s">
        <v>14945</v>
      </c>
      <c r="B15403" t="str">
        <f>"13760170404"</f>
        <v>13760170404</v>
      </c>
      <c r="C15403" t="str">
        <f>"452130198912284217"</f>
        <v>452130198912284217</v>
      </c>
      <c r="D15403" t="s">
        <v>1</v>
      </c>
      <c r="E15403" t="s">
        <v>1</v>
      </c>
      <c r="F15403" t="s">
        <v>0</v>
      </c>
      <c r="G15403" t="str">
        <f>"2018-10-12 16:00:34"</f>
        <v>2018-10-12 16:00:34</v>
      </c>
    </row>
    <row r="15404" spans="1:7" x14ac:dyDescent="0.2">
      <c r="A15404" t="s">
        <v>14946</v>
      </c>
      <c r="B15404" t="str">
        <f>"18835525432"</f>
        <v>18835525432</v>
      </c>
      <c r="C15404" t="str">
        <f>"140481199212201616"</f>
        <v>140481199212201616</v>
      </c>
      <c r="D15404" t="s">
        <v>1</v>
      </c>
      <c r="E15404" t="s">
        <v>1</v>
      </c>
      <c r="F15404" t="s">
        <v>0</v>
      </c>
      <c r="G15404" t="str">
        <f>"2018-10-12 15:56:19"</f>
        <v>2018-10-12 15:56:19</v>
      </c>
    </row>
    <row r="15405" spans="1:7" x14ac:dyDescent="0.2">
      <c r="A15405" t="s">
        <v>14947</v>
      </c>
      <c r="B15405" t="str">
        <f>"15134301366"</f>
        <v>15134301366</v>
      </c>
      <c r="C15405" t="str">
        <f>"220702197902264632"</f>
        <v>220702197902264632</v>
      </c>
      <c r="D15405" t="s">
        <v>1</v>
      </c>
      <c r="E15405" t="s">
        <v>1</v>
      </c>
      <c r="F15405" t="s">
        <v>0</v>
      </c>
      <c r="G15405" t="str">
        <f>"2018-10-17 14:38:25"</f>
        <v>2018-10-17 14:38:25</v>
      </c>
    </row>
    <row r="15406" spans="1:7" x14ac:dyDescent="0.2">
      <c r="A15406" t="s">
        <v>14948</v>
      </c>
      <c r="B15406" t="str">
        <f>"18998485206"</f>
        <v>18998485206</v>
      </c>
      <c r="C15406" t="str">
        <f>"441322198407272336"</f>
        <v>441322198407272336</v>
      </c>
      <c r="D15406" t="s">
        <v>1</v>
      </c>
      <c r="E15406" t="s">
        <v>1</v>
      </c>
      <c r="F15406" t="s">
        <v>0</v>
      </c>
      <c r="G15406" t="str">
        <f>"2018-10-12 15:56:28"</f>
        <v>2018-10-12 15:56:28</v>
      </c>
    </row>
    <row r="15407" spans="1:7" x14ac:dyDescent="0.2">
      <c r="A15407" t="s">
        <v>887</v>
      </c>
      <c r="B15407" t="str">
        <f>"18796375589"</f>
        <v>18796375589</v>
      </c>
      <c r="C15407" t="str">
        <f>"320322199010105018"</f>
        <v>320322199010105018</v>
      </c>
      <c r="D15407" t="s">
        <v>1</v>
      </c>
      <c r="E15407" t="s">
        <v>1</v>
      </c>
      <c r="F15407" t="s">
        <v>0</v>
      </c>
      <c r="G15407" t="str">
        <f>"2018-10-12 15:53:30"</f>
        <v>2018-10-12 15:53:30</v>
      </c>
    </row>
    <row r="15408" spans="1:7" x14ac:dyDescent="0.2">
      <c r="A15408" t="s">
        <v>14949</v>
      </c>
      <c r="B15408" t="str">
        <f>"13905050683"</f>
        <v>13905050683</v>
      </c>
      <c r="C15408" t="str">
        <f>"350582199504252010"</f>
        <v>350582199504252010</v>
      </c>
      <c r="D15408" t="s">
        <v>1</v>
      </c>
      <c r="E15408" t="s">
        <v>1</v>
      </c>
      <c r="F15408" t="s">
        <v>0</v>
      </c>
      <c r="G15408" t="str">
        <f>"2018-10-12 17:39:04"</f>
        <v>2018-10-12 17:39:04</v>
      </c>
    </row>
    <row r="15409" spans="1:7" x14ac:dyDescent="0.2">
      <c r="A15409" t="s">
        <v>1</v>
      </c>
      <c r="B15409" t="str">
        <f>"13701326242"</f>
        <v>13701326242</v>
      </c>
      <c r="C15409" t="s">
        <v>1</v>
      </c>
      <c r="D15409" t="s">
        <v>1</v>
      </c>
      <c r="E15409" t="s">
        <v>1</v>
      </c>
      <c r="F15409" t="s">
        <v>0</v>
      </c>
      <c r="G15409" t="str">
        <f>"2018-10-12 15:52:23"</f>
        <v>2018-10-12 15:52:23</v>
      </c>
    </row>
    <row r="15410" spans="1:7" x14ac:dyDescent="0.2">
      <c r="A15410" t="s">
        <v>903</v>
      </c>
      <c r="B15410" t="str">
        <f>"17685220750"</f>
        <v>17685220750</v>
      </c>
      <c r="C15410" t="str">
        <f>"520221200001094901"</f>
        <v>520221200001094901</v>
      </c>
      <c r="D15410" t="s">
        <v>14950</v>
      </c>
      <c r="E15410" t="s">
        <v>14951</v>
      </c>
      <c r="F15410" t="s">
        <v>0</v>
      </c>
      <c r="G15410" t="str">
        <f>"2018-10-22 20:09:37"</f>
        <v>2018-10-22 20:09:37</v>
      </c>
    </row>
    <row r="15411" spans="1:7" x14ac:dyDescent="0.2">
      <c r="A15411" t="s">
        <v>14952</v>
      </c>
      <c r="B15411" t="str">
        <f>"13330659868"</f>
        <v>13330659868</v>
      </c>
      <c r="C15411" t="str">
        <f>"511525199103170659"</f>
        <v>511525199103170659</v>
      </c>
      <c r="D15411" t="s">
        <v>1</v>
      </c>
      <c r="E15411" t="s">
        <v>1</v>
      </c>
      <c r="F15411" t="s">
        <v>0</v>
      </c>
      <c r="G15411" t="str">
        <f>"2018-10-12 15:58:24"</f>
        <v>2018-10-12 15:58:24</v>
      </c>
    </row>
    <row r="15412" spans="1:7" x14ac:dyDescent="0.2">
      <c r="A15412" t="s">
        <v>14953</v>
      </c>
      <c r="B15412" t="str">
        <f>"15820450403"</f>
        <v>15820450403</v>
      </c>
      <c r="C15412" t="str">
        <f>"44142119850503551X"</f>
        <v>44142119850503551X</v>
      </c>
      <c r="D15412" t="s">
        <v>1</v>
      </c>
      <c r="E15412" t="s">
        <v>1</v>
      </c>
      <c r="F15412" t="s">
        <v>0</v>
      </c>
      <c r="G15412" t="str">
        <f>"2018-10-28 14:57:22"</f>
        <v>2018-10-28 14:57:22</v>
      </c>
    </row>
    <row r="15413" spans="1:7" x14ac:dyDescent="0.2">
      <c r="A15413" t="s">
        <v>14954</v>
      </c>
      <c r="B15413" t="str">
        <f>"13617892600"</f>
        <v>13617892600</v>
      </c>
      <c r="C15413" t="str">
        <f>"450521198611206278"</f>
        <v>450521198611206278</v>
      </c>
      <c r="D15413" t="s">
        <v>1</v>
      </c>
      <c r="E15413" t="s">
        <v>1</v>
      </c>
      <c r="F15413" t="s">
        <v>0</v>
      </c>
      <c r="G15413" t="str">
        <f>"2018-10-12 15:51:55"</f>
        <v>2018-10-12 15:51:55</v>
      </c>
    </row>
    <row r="15414" spans="1:7" x14ac:dyDescent="0.2">
      <c r="A15414" t="s">
        <v>14955</v>
      </c>
      <c r="B15414" t="str">
        <f>"15032015851"</f>
        <v>15032015851</v>
      </c>
      <c r="C15414" t="str">
        <f>"130435198712010045"</f>
        <v>130435198712010045</v>
      </c>
      <c r="D15414" t="s">
        <v>14956</v>
      </c>
      <c r="E15414" t="s">
        <v>14957</v>
      </c>
      <c r="F15414" t="s">
        <v>0</v>
      </c>
      <c r="G15414" t="str">
        <f>"2018-10-12 15:52:37"</f>
        <v>2018-10-12 15:52:37</v>
      </c>
    </row>
    <row r="15415" spans="1:7" x14ac:dyDescent="0.2">
      <c r="A15415" t="s">
        <v>14958</v>
      </c>
      <c r="B15415" t="str">
        <f>"18242019234"</f>
        <v>18242019234</v>
      </c>
      <c r="C15415" t="str">
        <f>"23272419910601131X"</f>
        <v>23272419910601131X</v>
      </c>
      <c r="D15415" t="s">
        <v>1</v>
      </c>
      <c r="E15415" t="s">
        <v>1</v>
      </c>
      <c r="F15415" t="s">
        <v>0</v>
      </c>
      <c r="G15415" t="str">
        <f>"2018-10-15 22:12:12"</f>
        <v>2018-10-15 22:12:12</v>
      </c>
    </row>
    <row r="15416" spans="1:7" x14ac:dyDescent="0.2">
      <c r="A15416" t="s">
        <v>14959</v>
      </c>
      <c r="B15416" t="str">
        <f>"18090808570"</f>
        <v>18090808570</v>
      </c>
      <c r="C15416" t="str">
        <f>"510922199502256347"</f>
        <v>510922199502256347</v>
      </c>
      <c r="D15416" t="s">
        <v>1</v>
      </c>
      <c r="E15416" t="s">
        <v>1</v>
      </c>
      <c r="F15416" t="s">
        <v>0</v>
      </c>
      <c r="G15416" t="str">
        <f>"2018-10-12 15:55:12"</f>
        <v>2018-10-12 15:55:12</v>
      </c>
    </row>
    <row r="15417" spans="1:7" x14ac:dyDescent="0.2">
      <c r="A15417" t="s">
        <v>14960</v>
      </c>
      <c r="B15417" t="str">
        <f>"18890283758"</f>
        <v>18890283758</v>
      </c>
      <c r="C15417" t="str">
        <f>"430902198504157019"</f>
        <v>430902198504157019</v>
      </c>
      <c r="D15417" t="s">
        <v>1</v>
      </c>
      <c r="E15417" t="s">
        <v>1</v>
      </c>
      <c r="F15417" t="s">
        <v>0</v>
      </c>
      <c r="G15417" t="str">
        <f>"2018-10-12 16:02:32"</f>
        <v>2018-10-12 16:02:32</v>
      </c>
    </row>
    <row r="15418" spans="1:7" x14ac:dyDescent="0.2">
      <c r="A15418" t="s">
        <v>14961</v>
      </c>
      <c r="B15418" t="str">
        <f>"15595236420"</f>
        <v>15595236420</v>
      </c>
      <c r="C15418" t="str">
        <f>"640300199306080098"</f>
        <v>640300199306080098</v>
      </c>
      <c r="D15418" t="s">
        <v>14962</v>
      </c>
      <c r="E15418" t="s">
        <v>14963</v>
      </c>
      <c r="F15418" t="s">
        <v>0</v>
      </c>
      <c r="G15418" t="str">
        <f>"2018-10-19 15:35:59"</f>
        <v>2018-10-19 15:35:59</v>
      </c>
    </row>
    <row r="15419" spans="1:7" x14ac:dyDescent="0.2">
      <c r="A15419" t="s">
        <v>607</v>
      </c>
      <c r="B15419" t="str">
        <f>"18807283030"</f>
        <v>18807283030</v>
      </c>
      <c r="C15419" t="str">
        <f>"500236198910100273"</f>
        <v>500236198910100273</v>
      </c>
      <c r="D15419" t="s">
        <v>14964</v>
      </c>
      <c r="E15419" t="s">
        <v>14965</v>
      </c>
      <c r="F15419" t="s">
        <v>0</v>
      </c>
      <c r="G15419" t="str">
        <f>"2018-10-12 15:52:08"</f>
        <v>2018-10-12 15:52:08</v>
      </c>
    </row>
    <row r="15420" spans="1:7" x14ac:dyDescent="0.2">
      <c r="A15420" t="s">
        <v>870</v>
      </c>
      <c r="B15420" t="str">
        <f>"18609936679"</f>
        <v>18609936679</v>
      </c>
      <c r="C15420" t="str">
        <f>"51390219890620823X"</f>
        <v>51390219890620823X</v>
      </c>
      <c r="D15420" t="s">
        <v>1</v>
      </c>
      <c r="E15420" t="s">
        <v>1</v>
      </c>
      <c r="F15420" t="s">
        <v>0</v>
      </c>
      <c r="G15420" t="str">
        <f>"2018-10-12 15:48:24"</f>
        <v>2018-10-12 15:48:24</v>
      </c>
    </row>
    <row r="15421" spans="1:7" x14ac:dyDescent="0.2">
      <c r="A15421" t="s">
        <v>14966</v>
      </c>
      <c r="B15421" t="str">
        <f>"13107909588"</f>
        <v>13107909588</v>
      </c>
      <c r="C15421" t="str">
        <f>"350426199208051015"</f>
        <v>350426199208051015</v>
      </c>
      <c r="D15421" t="s">
        <v>1</v>
      </c>
      <c r="E15421" t="s">
        <v>1</v>
      </c>
      <c r="F15421" t="s">
        <v>0</v>
      </c>
      <c r="G15421" t="str">
        <f>"2018-10-12 15:48:16"</f>
        <v>2018-10-12 15:48:16</v>
      </c>
    </row>
    <row r="15422" spans="1:7" x14ac:dyDescent="0.2">
      <c r="A15422" t="s">
        <v>14967</v>
      </c>
      <c r="B15422" t="str">
        <f>"15064319080"</f>
        <v>15064319080</v>
      </c>
      <c r="C15422" t="str">
        <f>"370406199205246632"</f>
        <v>370406199205246632</v>
      </c>
      <c r="D15422" t="s">
        <v>1</v>
      </c>
      <c r="E15422" t="s">
        <v>1</v>
      </c>
      <c r="F15422" t="s">
        <v>0</v>
      </c>
      <c r="G15422" t="str">
        <f>"2018-10-12 15:49:34"</f>
        <v>2018-10-12 15:49:34</v>
      </c>
    </row>
    <row r="15423" spans="1:7" x14ac:dyDescent="0.2">
      <c r="A15423" t="s">
        <v>683</v>
      </c>
      <c r="B15423" t="str">
        <f>"15574086868"</f>
        <v>15574086868</v>
      </c>
      <c r="C15423" t="str">
        <f>"430623199112271939"</f>
        <v>430623199112271939</v>
      </c>
      <c r="D15423" t="s">
        <v>1</v>
      </c>
      <c r="E15423" t="s">
        <v>1</v>
      </c>
      <c r="F15423" t="s">
        <v>0</v>
      </c>
      <c r="G15423" t="str">
        <f>"2018-10-12 15:50:03"</f>
        <v>2018-10-12 15:50:03</v>
      </c>
    </row>
    <row r="15424" spans="1:7" x14ac:dyDescent="0.2">
      <c r="A15424" t="s">
        <v>175</v>
      </c>
      <c r="B15424" t="str">
        <f>"13578144379"</f>
        <v>13578144379</v>
      </c>
      <c r="C15424" t="str">
        <f>"532701199203160612"</f>
        <v>532701199203160612</v>
      </c>
      <c r="D15424" t="s">
        <v>1</v>
      </c>
      <c r="E15424" t="s">
        <v>1</v>
      </c>
      <c r="F15424" t="s">
        <v>0</v>
      </c>
      <c r="G15424" t="str">
        <f>"2018-10-12 15:47:16"</f>
        <v>2018-10-12 15:47:16</v>
      </c>
    </row>
    <row r="15425" spans="1:7" x14ac:dyDescent="0.2">
      <c r="A15425" t="s">
        <v>14968</v>
      </c>
      <c r="B15425" t="str">
        <f>"15158489896"</f>
        <v>15158489896</v>
      </c>
      <c r="C15425" t="str">
        <f>"330327197910013367"</f>
        <v>330327197910013367</v>
      </c>
      <c r="D15425" t="s">
        <v>1</v>
      </c>
      <c r="E15425" t="s">
        <v>1</v>
      </c>
      <c r="F15425" t="s">
        <v>0</v>
      </c>
      <c r="G15425" t="str">
        <f>"2018-10-12 15:47:14"</f>
        <v>2018-10-12 15:47:14</v>
      </c>
    </row>
    <row r="15426" spans="1:7" x14ac:dyDescent="0.2">
      <c r="A15426" t="s">
        <v>1</v>
      </c>
      <c r="B15426" t="str">
        <f>"15021863449"</f>
        <v>15021863449</v>
      </c>
      <c r="C15426" t="s">
        <v>1</v>
      </c>
      <c r="D15426" t="s">
        <v>1</v>
      </c>
      <c r="E15426" t="s">
        <v>1</v>
      </c>
      <c r="F15426" t="s">
        <v>0</v>
      </c>
      <c r="G15426" t="str">
        <f>"2018-10-12 15:45:57"</f>
        <v>2018-10-12 15:45:57</v>
      </c>
    </row>
    <row r="15427" spans="1:7" x14ac:dyDescent="0.2">
      <c r="A15427" t="s">
        <v>14969</v>
      </c>
      <c r="B15427" t="str">
        <f>"18567911341"</f>
        <v>18567911341</v>
      </c>
      <c r="C15427" t="str">
        <f>"350125199704010017"</f>
        <v>350125199704010017</v>
      </c>
      <c r="D15427" t="s">
        <v>1</v>
      </c>
      <c r="E15427" t="s">
        <v>1</v>
      </c>
      <c r="F15427" t="s">
        <v>0</v>
      </c>
      <c r="G15427" t="str">
        <f>"2018-10-12 15:46:49"</f>
        <v>2018-10-12 15:46:49</v>
      </c>
    </row>
    <row r="15428" spans="1:7" x14ac:dyDescent="0.2">
      <c r="A15428" t="s">
        <v>1</v>
      </c>
      <c r="B15428" t="str">
        <f>"13601674106"</f>
        <v>13601674106</v>
      </c>
      <c r="C15428" t="s">
        <v>1</v>
      </c>
      <c r="D15428" t="s">
        <v>1</v>
      </c>
      <c r="E15428" t="s">
        <v>1</v>
      </c>
      <c r="F15428" t="s">
        <v>0</v>
      </c>
      <c r="G15428" t="str">
        <f>"2018-10-12 15:44:35"</f>
        <v>2018-10-12 15:44:35</v>
      </c>
    </row>
    <row r="15429" spans="1:7" x14ac:dyDescent="0.2">
      <c r="A15429" t="s">
        <v>14970</v>
      </c>
      <c r="B15429" t="str">
        <f>"18209658151"</f>
        <v>18209658151</v>
      </c>
      <c r="C15429" t="str">
        <f>"640322199709050019"</f>
        <v>640322199709050019</v>
      </c>
      <c r="D15429" t="s">
        <v>1</v>
      </c>
      <c r="E15429" t="s">
        <v>1</v>
      </c>
      <c r="F15429" t="s">
        <v>0</v>
      </c>
      <c r="G15429" t="str">
        <f>"2018-10-26 13:56:23"</f>
        <v>2018-10-26 13:56:23</v>
      </c>
    </row>
    <row r="15430" spans="1:7" x14ac:dyDescent="0.2">
      <c r="A15430" t="s">
        <v>14971</v>
      </c>
      <c r="B15430" t="str">
        <f>"15565188358"</f>
        <v>15565188358</v>
      </c>
      <c r="C15430" t="str">
        <f>"410526198707169576"</f>
        <v>410526198707169576</v>
      </c>
      <c r="D15430" t="s">
        <v>1</v>
      </c>
      <c r="E15430" t="s">
        <v>1</v>
      </c>
      <c r="F15430" t="s">
        <v>0</v>
      </c>
      <c r="G15430" t="str">
        <f>"2018-10-12 15:44:26"</f>
        <v>2018-10-12 15:44:26</v>
      </c>
    </row>
    <row r="15431" spans="1:7" x14ac:dyDescent="0.2">
      <c r="A15431" t="s">
        <v>14972</v>
      </c>
      <c r="B15431" t="str">
        <f>"13163999197"</f>
        <v>13163999197</v>
      </c>
      <c r="C15431" t="str">
        <f>"510525199609023196"</f>
        <v>510525199609023196</v>
      </c>
      <c r="D15431" t="s">
        <v>14973</v>
      </c>
      <c r="E15431" t="s">
        <v>14974</v>
      </c>
      <c r="F15431" t="s">
        <v>0</v>
      </c>
      <c r="G15431" t="str">
        <f>"2018-10-13 15:31:18"</f>
        <v>2018-10-13 15:31:18</v>
      </c>
    </row>
    <row r="15432" spans="1:7" x14ac:dyDescent="0.2">
      <c r="A15432" t="s">
        <v>14975</v>
      </c>
      <c r="B15432" t="str">
        <f>"18725597421"</f>
        <v>18725597421</v>
      </c>
      <c r="C15432" t="str">
        <f>"341024199101039512"</f>
        <v>341024199101039512</v>
      </c>
      <c r="D15432" t="s">
        <v>1</v>
      </c>
      <c r="E15432" t="s">
        <v>1</v>
      </c>
      <c r="F15432" t="s">
        <v>0</v>
      </c>
      <c r="G15432" t="str">
        <f>"2018-10-13 12:55:59"</f>
        <v>2018-10-13 12:55:59</v>
      </c>
    </row>
    <row r="15433" spans="1:7" x14ac:dyDescent="0.2">
      <c r="A15433" t="s">
        <v>14976</v>
      </c>
      <c r="B15433" t="str">
        <f>"13329392690"</f>
        <v>13329392690</v>
      </c>
      <c r="C15433" t="str">
        <f>"232303197806273617"</f>
        <v>232303197806273617</v>
      </c>
      <c r="D15433" t="s">
        <v>14977</v>
      </c>
      <c r="E15433" t="s">
        <v>14978</v>
      </c>
      <c r="F15433" t="s">
        <v>0</v>
      </c>
      <c r="G15433" t="str">
        <f>"2018-10-12 15:56:00"</f>
        <v>2018-10-12 15:56:00</v>
      </c>
    </row>
    <row r="15434" spans="1:7" x14ac:dyDescent="0.2">
      <c r="A15434" t="s">
        <v>1</v>
      </c>
      <c r="B15434" t="str">
        <f>"13476612144"</f>
        <v>13476612144</v>
      </c>
      <c r="C15434" t="s">
        <v>1</v>
      </c>
      <c r="D15434" t="s">
        <v>1</v>
      </c>
      <c r="E15434" t="s">
        <v>1</v>
      </c>
      <c r="F15434" t="s">
        <v>0</v>
      </c>
      <c r="G15434" t="str">
        <f>"2018-10-12 15:40:29"</f>
        <v>2018-10-12 15:40:29</v>
      </c>
    </row>
    <row r="15435" spans="1:7" x14ac:dyDescent="0.2">
      <c r="A15435" t="s">
        <v>1</v>
      </c>
      <c r="B15435" t="str">
        <f>"13617423456"</f>
        <v>13617423456</v>
      </c>
      <c r="C15435" t="s">
        <v>1</v>
      </c>
      <c r="D15435" t="s">
        <v>1</v>
      </c>
      <c r="E15435" t="s">
        <v>1</v>
      </c>
      <c r="F15435" t="s">
        <v>0</v>
      </c>
      <c r="G15435" t="str">
        <f>"2018-10-12 15:40:16"</f>
        <v>2018-10-12 15:40:16</v>
      </c>
    </row>
    <row r="15436" spans="1:7" x14ac:dyDescent="0.2">
      <c r="A15436" t="s">
        <v>14979</v>
      </c>
      <c r="B15436" t="str">
        <f>"13505590559"</f>
        <v>13505590559</v>
      </c>
      <c r="C15436" t="str">
        <f>"340222198004054764"</f>
        <v>340222198004054764</v>
      </c>
      <c r="D15436" t="s">
        <v>1</v>
      </c>
      <c r="E15436" t="s">
        <v>1</v>
      </c>
      <c r="F15436" t="s">
        <v>0</v>
      </c>
      <c r="G15436" t="str">
        <f>"2018-10-12 15:45:50"</f>
        <v>2018-10-12 15:45:50</v>
      </c>
    </row>
    <row r="15437" spans="1:7" x14ac:dyDescent="0.2">
      <c r="A15437" t="s">
        <v>14980</v>
      </c>
      <c r="B15437" t="str">
        <f>"13912559077"</f>
        <v>13912559077</v>
      </c>
      <c r="C15437" t="str">
        <f>"320924198108282910"</f>
        <v>320924198108282910</v>
      </c>
      <c r="D15437" t="s">
        <v>1</v>
      </c>
      <c r="E15437" t="s">
        <v>1</v>
      </c>
      <c r="F15437" t="s">
        <v>0</v>
      </c>
      <c r="G15437" t="str">
        <f>"2018-10-12 19:15:30"</f>
        <v>2018-10-12 19:15:30</v>
      </c>
    </row>
    <row r="15438" spans="1:7" x14ac:dyDescent="0.2">
      <c r="A15438" t="s">
        <v>612</v>
      </c>
      <c r="B15438" t="str">
        <f>"15256932021"</f>
        <v>15256932021</v>
      </c>
      <c r="C15438" t="str">
        <f>"340123198710182393"</f>
        <v>340123198710182393</v>
      </c>
      <c r="D15438" t="s">
        <v>1</v>
      </c>
      <c r="E15438" t="s">
        <v>1</v>
      </c>
      <c r="F15438" t="s">
        <v>0</v>
      </c>
      <c r="G15438" t="str">
        <f>"2018-10-28 01:51:23"</f>
        <v>2018-10-28 01:51:23</v>
      </c>
    </row>
    <row r="15439" spans="1:7" x14ac:dyDescent="0.2">
      <c r="A15439" t="s">
        <v>4266</v>
      </c>
      <c r="B15439" t="str">
        <f>"15899092205"</f>
        <v>15899092205</v>
      </c>
      <c r="C15439" t="str">
        <f>"652327198910163526"</f>
        <v>652327198910163526</v>
      </c>
      <c r="D15439" t="s">
        <v>1</v>
      </c>
      <c r="E15439" t="s">
        <v>1</v>
      </c>
      <c r="F15439" t="s">
        <v>0</v>
      </c>
      <c r="G15439" t="str">
        <f>"2018-10-12 15:43:50"</f>
        <v>2018-10-12 15:43:50</v>
      </c>
    </row>
    <row r="15440" spans="1:7" x14ac:dyDescent="0.2">
      <c r="A15440" t="s">
        <v>14981</v>
      </c>
      <c r="B15440" t="str">
        <f>"18730128527"</f>
        <v>18730128527</v>
      </c>
      <c r="C15440" t="str">
        <f>"420624199611263639"</f>
        <v>420624199611263639</v>
      </c>
      <c r="D15440" t="s">
        <v>1</v>
      </c>
      <c r="E15440" t="s">
        <v>1</v>
      </c>
      <c r="F15440" t="s">
        <v>0</v>
      </c>
      <c r="G15440" t="str">
        <f>"2018-10-12 16:29:11"</f>
        <v>2018-10-12 16:29:11</v>
      </c>
    </row>
    <row r="15441" spans="1:7" x14ac:dyDescent="0.2">
      <c r="A15441" t="s">
        <v>14982</v>
      </c>
      <c r="B15441" t="str">
        <f>"18377753280"</f>
        <v>18377753280</v>
      </c>
      <c r="C15441" t="str">
        <f>"450702199307020336"</f>
        <v>450702199307020336</v>
      </c>
      <c r="D15441" t="s">
        <v>14983</v>
      </c>
      <c r="E15441" t="s">
        <v>14984</v>
      </c>
      <c r="F15441" t="s">
        <v>0</v>
      </c>
      <c r="G15441" t="str">
        <f>"2018-10-12 15:39:34"</f>
        <v>2018-10-12 15:39:34</v>
      </c>
    </row>
    <row r="15442" spans="1:7" x14ac:dyDescent="0.2">
      <c r="A15442" t="s">
        <v>1</v>
      </c>
      <c r="B15442" t="str">
        <f>"13770457411"</f>
        <v>13770457411</v>
      </c>
      <c r="C15442" t="s">
        <v>1</v>
      </c>
      <c r="D15442" t="s">
        <v>1</v>
      </c>
      <c r="E15442" t="s">
        <v>1</v>
      </c>
      <c r="F15442" t="s">
        <v>0</v>
      </c>
      <c r="G15442" t="str">
        <f>"2018-10-12 15:38:00"</f>
        <v>2018-10-12 15:38:00</v>
      </c>
    </row>
    <row r="15443" spans="1:7" x14ac:dyDescent="0.2">
      <c r="A15443" t="s">
        <v>1</v>
      </c>
      <c r="B15443" t="str">
        <f>"13757265260"</f>
        <v>13757265260</v>
      </c>
      <c r="C15443" t="s">
        <v>1</v>
      </c>
      <c r="D15443" t="s">
        <v>1</v>
      </c>
      <c r="E15443" t="s">
        <v>1</v>
      </c>
      <c r="F15443" t="s">
        <v>0</v>
      </c>
      <c r="G15443" t="str">
        <f>"2018-10-12 15:37:57"</f>
        <v>2018-10-12 15:37:57</v>
      </c>
    </row>
    <row r="15444" spans="1:7" x14ac:dyDescent="0.2">
      <c r="A15444" t="s">
        <v>14985</v>
      </c>
      <c r="B15444" t="str">
        <f>"18898937005"</f>
        <v>18898937005</v>
      </c>
      <c r="C15444" t="str">
        <f>"46000219930408387X"</f>
        <v>46000219930408387X</v>
      </c>
      <c r="D15444" t="s">
        <v>1</v>
      </c>
      <c r="E15444" t="s">
        <v>1</v>
      </c>
      <c r="F15444" t="s">
        <v>0</v>
      </c>
      <c r="G15444" t="str">
        <f>"2018-10-12 15:39:41"</f>
        <v>2018-10-12 15:39:41</v>
      </c>
    </row>
    <row r="15445" spans="1:7" x14ac:dyDescent="0.2">
      <c r="A15445" t="s">
        <v>1</v>
      </c>
      <c r="B15445" t="str">
        <f>"15891769490"</f>
        <v>15891769490</v>
      </c>
      <c r="C15445" t="s">
        <v>1</v>
      </c>
      <c r="D15445" t="s">
        <v>1</v>
      </c>
      <c r="E15445" t="s">
        <v>1</v>
      </c>
      <c r="F15445" t="s">
        <v>0</v>
      </c>
      <c r="G15445" t="str">
        <f>"2018-10-12 15:37:31"</f>
        <v>2018-10-12 15:37:31</v>
      </c>
    </row>
    <row r="15446" spans="1:7" x14ac:dyDescent="0.2">
      <c r="A15446" t="s">
        <v>2890</v>
      </c>
      <c r="B15446" t="str">
        <f>"15972984013"</f>
        <v>15972984013</v>
      </c>
      <c r="C15446" t="str">
        <f>"420104198804203045"</f>
        <v>420104198804203045</v>
      </c>
      <c r="D15446" t="s">
        <v>14986</v>
      </c>
      <c r="E15446" t="s">
        <v>14987</v>
      </c>
      <c r="F15446" t="s">
        <v>0</v>
      </c>
      <c r="G15446" t="str">
        <f>"2018-11-04 14:12:25"</f>
        <v>2018-11-04 14:12:25</v>
      </c>
    </row>
    <row r="15447" spans="1:7" x14ac:dyDescent="0.2">
      <c r="A15447" t="s">
        <v>14988</v>
      </c>
      <c r="B15447" t="str">
        <f>"13666360529"</f>
        <v>13666360529</v>
      </c>
      <c r="C15447" t="str">
        <f>"370784198405166216"</f>
        <v>370784198405166216</v>
      </c>
      <c r="D15447" t="s">
        <v>1</v>
      </c>
      <c r="E15447" t="s">
        <v>1</v>
      </c>
      <c r="F15447" t="s">
        <v>0</v>
      </c>
      <c r="G15447" t="str">
        <f>"2018-10-12 15:39:20"</f>
        <v>2018-10-12 15:39:20</v>
      </c>
    </row>
    <row r="15448" spans="1:7" x14ac:dyDescent="0.2">
      <c r="A15448" t="s">
        <v>1641</v>
      </c>
      <c r="B15448" t="str">
        <f>"18913936907"</f>
        <v>18913936907</v>
      </c>
      <c r="C15448" t="str">
        <f>"320102198606245010"</f>
        <v>320102198606245010</v>
      </c>
      <c r="D15448" t="s">
        <v>14989</v>
      </c>
      <c r="E15448" t="s">
        <v>14990</v>
      </c>
      <c r="F15448" t="s">
        <v>0</v>
      </c>
      <c r="G15448" t="str">
        <f>"2018-10-12 15:43:56"</f>
        <v>2018-10-12 15:43:56</v>
      </c>
    </row>
    <row r="15449" spans="1:7" x14ac:dyDescent="0.2">
      <c r="A15449" t="s">
        <v>1</v>
      </c>
      <c r="B15449" t="str">
        <f>"13865520012"</f>
        <v>13865520012</v>
      </c>
      <c r="C15449" t="s">
        <v>1</v>
      </c>
      <c r="D15449" t="s">
        <v>1</v>
      </c>
      <c r="E15449" t="s">
        <v>1</v>
      </c>
      <c r="F15449" t="s">
        <v>0</v>
      </c>
      <c r="G15449" t="str">
        <f>"2018-10-12 15:36:43"</f>
        <v>2018-10-12 15:36:43</v>
      </c>
    </row>
    <row r="15450" spans="1:7" x14ac:dyDescent="0.2">
      <c r="A15450" t="s">
        <v>14991</v>
      </c>
      <c r="B15450" t="str">
        <f>"15168507808"</f>
        <v>15168507808</v>
      </c>
      <c r="C15450" t="str">
        <f>"330225197011202019"</f>
        <v>330225197011202019</v>
      </c>
      <c r="D15450" t="s">
        <v>1</v>
      </c>
      <c r="E15450" t="s">
        <v>1</v>
      </c>
      <c r="F15450" t="s">
        <v>0</v>
      </c>
      <c r="G15450" t="str">
        <f>"2018-10-12 15:37:39"</f>
        <v>2018-10-12 15:37:39</v>
      </c>
    </row>
    <row r="15451" spans="1:7" x14ac:dyDescent="0.2">
      <c r="A15451" t="s">
        <v>14992</v>
      </c>
      <c r="B15451" t="str">
        <f>"15500221253"</f>
        <v>15500221253</v>
      </c>
      <c r="C15451" t="str">
        <f>"220681199402062179"</f>
        <v>220681199402062179</v>
      </c>
      <c r="D15451" t="s">
        <v>1</v>
      </c>
      <c r="E15451" t="s">
        <v>1</v>
      </c>
      <c r="F15451" t="s">
        <v>0</v>
      </c>
      <c r="G15451" t="str">
        <f>"2018-10-12 15:36:12"</f>
        <v>2018-10-12 15:36:12</v>
      </c>
    </row>
    <row r="15452" spans="1:7" x14ac:dyDescent="0.2">
      <c r="A15452" t="s">
        <v>14993</v>
      </c>
      <c r="B15452" t="str">
        <f>"18353276050"</f>
        <v>18353276050</v>
      </c>
      <c r="C15452" t="str">
        <f>"231025197605064318"</f>
        <v>231025197605064318</v>
      </c>
      <c r="D15452" t="s">
        <v>1</v>
      </c>
      <c r="E15452" t="s">
        <v>1</v>
      </c>
      <c r="F15452" t="s">
        <v>0</v>
      </c>
      <c r="G15452" t="str">
        <f>"2018-10-12 15:34:23"</f>
        <v>2018-10-12 15:34:23</v>
      </c>
    </row>
    <row r="15453" spans="1:7" x14ac:dyDescent="0.2">
      <c r="A15453" t="s">
        <v>363</v>
      </c>
      <c r="B15453" t="str">
        <f>"15183896641"</f>
        <v>15183896641</v>
      </c>
      <c r="C15453" t="str">
        <f>"51060319861012240X"</f>
        <v>51060319861012240X</v>
      </c>
      <c r="D15453" t="s">
        <v>1</v>
      </c>
      <c r="E15453" t="s">
        <v>1</v>
      </c>
      <c r="F15453" t="s">
        <v>0</v>
      </c>
      <c r="G15453" t="str">
        <f>"2018-10-12 15:33:28"</f>
        <v>2018-10-12 15:33:28</v>
      </c>
    </row>
    <row r="15454" spans="1:7" x14ac:dyDescent="0.2">
      <c r="A15454" t="s">
        <v>14994</v>
      </c>
      <c r="B15454" t="str">
        <f>"15885562476"</f>
        <v>15885562476</v>
      </c>
      <c r="C15454" t="str">
        <f>"522727198908250017"</f>
        <v>522727198908250017</v>
      </c>
      <c r="D15454" t="s">
        <v>1</v>
      </c>
      <c r="E15454" t="s">
        <v>1</v>
      </c>
      <c r="F15454" t="s">
        <v>0</v>
      </c>
      <c r="G15454" t="str">
        <f>"2018-10-12 15:34:33"</f>
        <v>2018-10-12 15:34:33</v>
      </c>
    </row>
    <row r="15455" spans="1:7" x14ac:dyDescent="0.2">
      <c r="A15455" t="s">
        <v>1</v>
      </c>
      <c r="B15455" t="str">
        <f>"18554888970"</f>
        <v>18554888970</v>
      </c>
      <c r="C15455" t="s">
        <v>1</v>
      </c>
      <c r="D15455" t="s">
        <v>1</v>
      </c>
      <c r="E15455" t="s">
        <v>1</v>
      </c>
      <c r="F15455" t="s">
        <v>0</v>
      </c>
      <c r="G15455" t="str">
        <f>"2018-10-12 15:32:20"</f>
        <v>2018-10-12 15:32:20</v>
      </c>
    </row>
    <row r="15456" spans="1:7" x14ac:dyDescent="0.2">
      <c r="A15456" t="s">
        <v>14995</v>
      </c>
      <c r="B15456" t="str">
        <f>"15868814599"</f>
        <v>15868814599</v>
      </c>
      <c r="C15456" t="str">
        <f>"36232319880719651X"</f>
        <v>36232319880719651X</v>
      </c>
      <c r="D15456" t="s">
        <v>1</v>
      </c>
      <c r="E15456" t="s">
        <v>1</v>
      </c>
      <c r="F15456" t="s">
        <v>0</v>
      </c>
      <c r="G15456" t="str">
        <f>"2018-10-12 15:36:19"</f>
        <v>2018-10-12 15:36:19</v>
      </c>
    </row>
    <row r="15457" spans="1:7" x14ac:dyDescent="0.2">
      <c r="A15457" t="s">
        <v>1</v>
      </c>
      <c r="B15457" t="str">
        <f>"18790224140"</f>
        <v>18790224140</v>
      </c>
      <c r="C15457" t="s">
        <v>1</v>
      </c>
      <c r="D15457" t="s">
        <v>1</v>
      </c>
      <c r="E15457" t="s">
        <v>1</v>
      </c>
      <c r="F15457" t="s">
        <v>0</v>
      </c>
      <c r="G15457" t="str">
        <f>"2018-10-12 15:31:36"</f>
        <v>2018-10-12 15:31:36</v>
      </c>
    </row>
    <row r="15458" spans="1:7" x14ac:dyDescent="0.2">
      <c r="A15458" t="s">
        <v>1</v>
      </c>
      <c r="B15458" t="str">
        <f>"18373602875"</f>
        <v>18373602875</v>
      </c>
      <c r="C15458" t="s">
        <v>1</v>
      </c>
      <c r="D15458" t="s">
        <v>1</v>
      </c>
      <c r="E15458" t="s">
        <v>1</v>
      </c>
      <c r="F15458" t="s">
        <v>0</v>
      </c>
      <c r="G15458" t="str">
        <f>"2018-10-12 15:30:54"</f>
        <v>2018-10-12 15:30:54</v>
      </c>
    </row>
    <row r="15459" spans="1:7" x14ac:dyDescent="0.2">
      <c r="A15459" t="s">
        <v>14996</v>
      </c>
      <c r="B15459" t="str">
        <f>"17508912490"</f>
        <v>17508912490</v>
      </c>
      <c r="C15459" t="str">
        <f>"46000419931205123X"</f>
        <v>46000419931205123X</v>
      </c>
      <c r="D15459" t="s">
        <v>1</v>
      </c>
      <c r="E15459" t="s">
        <v>1</v>
      </c>
      <c r="F15459" t="s">
        <v>0</v>
      </c>
      <c r="G15459" t="str">
        <f>"2018-10-16 15:51:28"</f>
        <v>2018-10-16 15:51:28</v>
      </c>
    </row>
    <row r="15460" spans="1:7" x14ac:dyDescent="0.2">
      <c r="A15460" t="s">
        <v>1</v>
      </c>
      <c r="B15460" t="str">
        <f>"18762631662"</f>
        <v>18762631662</v>
      </c>
      <c r="C15460" t="s">
        <v>1</v>
      </c>
      <c r="D15460" t="s">
        <v>1</v>
      </c>
      <c r="E15460" t="s">
        <v>1</v>
      </c>
      <c r="F15460" t="s">
        <v>0</v>
      </c>
      <c r="G15460" t="str">
        <f>"2018-10-12 15:30:25"</f>
        <v>2018-10-12 15:30:25</v>
      </c>
    </row>
    <row r="15461" spans="1:7" x14ac:dyDescent="0.2">
      <c r="A15461" t="s">
        <v>14997</v>
      </c>
      <c r="B15461" t="str">
        <f>"18315366820"</f>
        <v>18315366820</v>
      </c>
      <c r="C15461" t="str">
        <f>"340221199308201573"</f>
        <v>340221199308201573</v>
      </c>
      <c r="D15461" t="s">
        <v>1</v>
      </c>
      <c r="E15461" t="s">
        <v>1</v>
      </c>
      <c r="F15461" t="s">
        <v>0</v>
      </c>
      <c r="G15461" t="str">
        <f>"2018-10-12 15:30:15"</f>
        <v>2018-10-12 15:30:15</v>
      </c>
    </row>
    <row r="15462" spans="1:7" x14ac:dyDescent="0.2">
      <c r="A15462" t="s">
        <v>1</v>
      </c>
      <c r="B15462" t="str">
        <f>"13732793860"</f>
        <v>13732793860</v>
      </c>
      <c r="C15462" t="s">
        <v>1</v>
      </c>
      <c r="D15462" t="s">
        <v>1</v>
      </c>
      <c r="E15462" t="s">
        <v>1</v>
      </c>
      <c r="F15462" t="s">
        <v>0</v>
      </c>
      <c r="G15462" t="str">
        <f>"2018-10-12 15:29:56"</f>
        <v>2018-10-12 15:29:56</v>
      </c>
    </row>
    <row r="15463" spans="1:7" x14ac:dyDescent="0.2">
      <c r="A15463" t="s">
        <v>14998</v>
      </c>
      <c r="B15463" t="str">
        <f>"15353173840"</f>
        <v>15353173840</v>
      </c>
      <c r="C15463" t="str">
        <f>"612726199004236319"</f>
        <v>612726199004236319</v>
      </c>
      <c r="D15463" t="s">
        <v>1</v>
      </c>
      <c r="E15463" t="s">
        <v>1</v>
      </c>
      <c r="F15463" t="s">
        <v>0</v>
      </c>
      <c r="G15463" t="str">
        <f>"2018-10-12 15:35:19"</f>
        <v>2018-10-12 15:35:19</v>
      </c>
    </row>
    <row r="15464" spans="1:7" x14ac:dyDescent="0.2">
      <c r="A15464" t="s">
        <v>14999</v>
      </c>
      <c r="B15464" t="str">
        <f>"17614078432"</f>
        <v>17614078432</v>
      </c>
      <c r="C15464" t="str">
        <f>"210381199107176212"</f>
        <v>210381199107176212</v>
      </c>
      <c r="D15464" t="s">
        <v>1</v>
      </c>
      <c r="E15464" t="s">
        <v>1</v>
      </c>
      <c r="F15464" t="s">
        <v>0</v>
      </c>
      <c r="G15464" t="str">
        <f>"2018-10-12 15:29:06"</f>
        <v>2018-10-12 15:29:06</v>
      </c>
    </row>
    <row r="15465" spans="1:7" x14ac:dyDescent="0.2">
      <c r="A15465" t="s">
        <v>1</v>
      </c>
      <c r="B15465" t="str">
        <f>"17156996409"</f>
        <v>17156996409</v>
      </c>
      <c r="C15465" t="s">
        <v>1</v>
      </c>
      <c r="D15465" t="s">
        <v>1</v>
      </c>
      <c r="E15465" t="s">
        <v>1</v>
      </c>
      <c r="F15465" t="s">
        <v>0</v>
      </c>
      <c r="G15465" t="str">
        <f>"2018-10-12 15:28:55"</f>
        <v>2018-10-12 15:28:55</v>
      </c>
    </row>
    <row r="15466" spans="1:7" x14ac:dyDescent="0.2">
      <c r="A15466" t="s">
        <v>1</v>
      </c>
      <c r="B15466" t="str">
        <f>"15151144133"</f>
        <v>15151144133</v>
      </c>
      <c r="C15466" t="s">
        <v>1</v>
      </c>
      <c r="D15466" t="s">
        <v>1</v>
      </c>
      <c r="E15466" t="s">
        <v>1</v>
      </c>
      <c r="F15466" t="s">
        <v>0</v>
      </c>
      <c r="G15466" t="str">
        <f>"2018-10-12 15:30:03"</f>
        <v>2018-10-12 15:30:03</v>
      </c>
    </row>
    <row r="15467" spans="1:7" x14ac:dyDescent="0.2">
      <c r="A15467" t="s">
        <v>1</v>
      </c>
      <c r="B15467" t="str">
        <f>"18873967987"</f>
        <v>18873967987</v>
      </c>
      <c r="C15467" t="s">
        <v>1</v>
      </c>
      <c r="D15467" t="s">
        <v>1</v>
      </c>
      <c r="E15467" t="s">
        <v>1</v>
      </c>
      <c r="F15467" t="s">
        <v>0</v>
      </c>
      <c r="G15467" t="str">
        <f>"2018-10-12 15:27:54"</f>
        <v>2018-10-12 15:27:54</v>
      </c>
    </row>
    <row r="15468" spans="1:7" x14ac:dyDescent="0.2">
      <c r="A15468" t="s">
        <v>15000</v>
      </c>
      <c r="B15468" t="str">
        <f>"13471962898"</f>
        <v>13471962898</v>
      </c>
      <c r="C15468" t="str">
        <f>"452427197611033928"</f>
        <v>452427197611033928</v>
      </c>
      <c r="D15468" t="s">
        <v>15001</v>
      </c>
      <c r="E15468" t="s">
        <v>15002</v>
      </c>
      <c r="F15468" t="s">
        <v>0</v>
      </c>
      <c r="G15468" t="str">
        <f>"2018-10-12 15:28:37"</f>
        <v>2018-10-12 15:28:37</v>
      </c>
    </row>
    <row r="15469" spans="1:7" x14ac:dyDescent="0.2">
      <c r="A15469" t="s">
        <v>1</v>
      </c>
      <c r="B15469" t="str">
        <f>"18609367056"</f>
        <v>18609367056</v>
      </c>
      <c r="C15469" t="s">
        <v>1</v>
      </c>
      <c r="D15469" t="s">
        <v>1</v>
      </c>
      <c r="E15469" t="s">
        <v>1</v>
      </c>
      <c r="F15469" t="s">
        <v>0</v>
      </c>
      <c r="G15469" t="str">
        <f>"2018-10-12 15:26:50"</f>
        <v>2018-10-12 15:26:50</v>
      </c>
    </row>
    <row r="15470" spans="1:7" x14ac:dyDescent="0.2">
      <c r="A15470" t="s">
        <v>15003</v>
      </c>
      <c r="B15470" t="str">
        <f>"17317311127"</f>
        <v>17317311127</v>
      </c>
      <c r="C15470" t="str">
        <f>"37293019881127411X"</f>
        <v>37293019881127411X</v>
      </c>
      <c r="D15470" t="s">
        <v>1</v>
      </c>
      <c r="E15470" t="s">
        <v>1</v>
      </c>
      <c r="F15470" t="s">
        <v>0</v>
      </c>
      <c r="G15470" t="str">
        <f>"2018-10-12 15:27:51"</f>
        <v>2018-10-12 15:27:51</v>
      </c>
    </row>
    <row r="15471" spans="1:7" x14ac:dyDescent="0.2">
      <c r="A15471" t="s">
        <v>1</v>
      </c>
      <c r="B15471" t="str">
        <f>"18500238920"</f>
        <v>18500238920</v>
      </c>
      <c r="C15471" t="s">
        <v>1</v>
      </c>
      <c r="D15471" t="s">
        <v>1</v>
      </c>
      <c r="E15471" t="s">
        <v>1</v>
      </c>
      <c r="F15471" t="s">
        <v>0</v>
      </c>
      <c r="G15471" t="str">
        <f>"2018-10-12 15:26:38"</f>
        <v>2018-10-12 15:26:38</v>
      </c>
    </row>
    <row r="15472" spans="1:7" x14ac:dyDescent="0.2">
      <c r="A15472" t="s">
        <v>1227</v>
      </c>
      <c r="B15472" t="str">
        <f>"13581100830"</f>
        <v>13581100830</v>
      </c>
      <c r="C15472" t="str">
        <f>"370481198803102239"</f>
        <v>370481198803102239</v>
      </c>
      <c r="D15472" t="s">
        <v>1</v>
      </c>
      <c r="E15472" t="s">
        <v>1</v>
      </c>
      <c r="F15472" t="s">
        <v>0</v>
      </c>
      <c r="G15472" t="str">
        <f>"2018-10-12 15:28:08"</f>
        <v>2018-10-12 15:28:08</v>
      </c>
    </row>
    <row r="15473" spans="1:7" x14ac:dyDescent="0.2">
      <c r="A15473" t="s">
        <v>15004</v>
      </c>
      <c r="B15473" t="str">
        <f>"15120828783"</f>
        <v>15120828783</v>
      </c>
      <c r="C15473" t="str">
        <f>"460022199210136411"</f>
        <v>460022199210136411</v>
      </c>
      <c r="D15473" t="s">
        <v>1</v>
      </c>
      <c r="E15473" t="s">
        <v>1</v>
      </c>
      <c r="F15473" t="s">
        <v>0</v>
      </c>
      <c r="G15473" t="str">
        <f>"2018-10-12 15:29:38"</f>
        <v>2018-10-12 15:29:38</v>
      </c>
    </row>
    <row r="15474" spans="1:7" x14ac:dyDescent="0.2">
      <c r="A15474" t="s">
        <v>15005</v>
      </c>
      <c r="B15474" t="str">
        <f>"15880874190"</f>
        <v>15880874190</v>
      </c>
      <c r="C15474" t="str">
        <f>"350582199407123567"</f>
        <v>350582199407123567</v>
      </c>
      <c r="D15474" t="s">
        <v>1</v>
      </c>
      <c r="E15474" t="s">
        <v>1</v>
      </c>
      <c r="F15474" t="s">
        <v>0</v>
      </c>
      <c r="G15474" t="str">
        <f>"2018-10-15 16:43:55"</f>
        <v>2018-10-15 16:43:55</v>
      </c>
    </row>
    <row r="15475" spans="1:7" x14ac:dyDescent="0.2">
      <c r="A15475" t="s">
        <v>1</v>
      </c>
      <c r="B15475" t="str">
        <f>"13607710741"</f>
        <v>13607710741</v>
      </c>
      <c r="C15475" t="s">
        <v>1</v>
      </c>
      <c r="D15475" t="s">
        <v>1</v>
      </c>
      <c r="E15475" t="s">
        <v>1</v>
      </c>
      <c r="F15475" t="s">
        <v>0</v>
      </c>
      <c r="G15475" t="str">
        <f>"2018-10-12 15:24:55"</f>
        <v>2018-10-12 15:24:55</v>
      </c>
    </row>
    <row r="15476" spans="1:7" x14ac:dyDescent="0.2">
      <c r="A15476" t="s">
        <v>15006</v>
      </c>
      <c r="B15476" t="str">
        <f>"15015353746"</f>
        <v>15015353746</v>
      </c>
      <c r="C15476" t="str">
        <f>"450922199704201698"</f>
        <v>450922199704201698</v>
      </c>
      <c r="D15476" t="s">
        <v>15007</v>
      </c>
      <c r="E15476" t="s">
        <v>15008</v>
      </c>
      <c r="F15476" t="s">
        <v>0</v>
      </c>
      <c r="G15476" t="str">
        <f>"2018-10-21 14:22:59"</f>
        <v>2018-10-21 14:22:59</v>
      </c>
    </row>
    <row r="15477" spans="1:7" x14ac:dyDescent="0.2">
      <c r="A15477" t="s">
        <v>15009</v>
      </c>
      <c r="B15477" t="str">
        <f>"15873307835"</f>
        <v>15873307835</v>
      </c>
      <c r="C15477" t="str">
        <f>"430281199105222313"</f>
        <v>430281199105222313</v>
      </c>
      <c r="D15477" t="s">
        <v>1</v>
      </c>
      <c r="E15477" t="s">
        <v>1</v>
      </c>
      <c r="F15477" t="s">
        <v>0</v>
      </c>
      <c r="G15477" t="str">
        <f>"2018-10-12 15:28:49"</f>
        <v>2018-10-12 15:28:49</v>
      </c>
    </row>
    <row r="15478" spans="1:7" x14ac:dyDescent="0.2">
      <c r="A15478" t="s">
        <v>1</v>
      </c>
      <c r="B15478" t="str">
        <f>"15807840029"</f>
        <v>15807840029</v>
      </c>
      <c r="C15478" t="s">
        <v>1</v>
      </c>
      <c r="D15478" t="s">
        <v>1</v>
      </c>
      <c r="E15478" t="s">
        <v>1</v>
      </c>
      <c r="F15478" t="s">
        <v>0</v>
      </c>
      <c r="G15478" t="str">
        <f>"2018-10-12 15:23:49"</f>
        <v>2018-10-12 15:23:49</v>
      </c>
    </row>
    <row r="15479" spans="1:7" x14ac:dyDescent="0.2">
      <c r="A15479" t="s">
        <v>15010</v>
      </c>
      <c r="B15479" t="str">
        <f>"13536009060"</f>
        <v>13536009060</v>
      </c>
      <c r="C15479" t="str">
        <f>"440781199010168130"</f>
        <v>440781199010168130</v>
      </c>
      <c r="D15479" t="s">
        <v>15011</v>
      </c>
      <c r="E15479" t="s">
        <v>15012</v>
      </c>
      <c r="F15479" t="s">
        <v>0</v>
      </c>
      <c r="G15479" t="str">
        <f>"2018-10-19 23:24:32"</f>
        <v>2018-10-19 23:24:32</v>
      </c>
    </row>
    <row r="15480" spans="1:7" x14ac:dyDescent="0.2">
      <c r="A15480" t="s">
        <v>1573</v>
      </c>
      <c r="B15480" t="str">
        <f>"18837059953"</f>
        <v>18837059953</v>
      </c>
      <c r="C15480" t="str">
        <f>"411424199609298830"</f>
        <v>411424199609298830</v>
      </c>
      <c r="D15480" t="s">
        <v>1</v>
      </c>
      <c r="E15480" t="s">
        <v>1</v>
      </c>
      <c r="F15480" t="s">
        <v>0</v>
      </c>
      <c r="G15480" t="str">
        <f>"2018-10-12 15:42:27"</f>
        <v>2018-10-12 15:42:27</v>
      </c>
    </row>
    <row r="15481" spans="1:7" x14ac:dyDescent="0.2">
      <c r="A15481" t="s">
        <v>1110</v>
      </c>
      <c r="B15481" t="str">
        <f>"18200382330"</f>
        <v>18200382330</v>
      </c>
      <c r="C15481" t="str">
        <f>"511528199406011814"</f>
        <v>511528199406011814</v>
      </c>
      <c r="D15481" t="s">
        <v>1</v>
      </c>
      <c r="E15481" t="s">
        <v>1</v>
      </c>
      <c r="F15481" t="s">
        <v>0</v>
      </c>
      <c r="G15481" t="str">
        <f>"2018-10-12 15:24:38"</f>
        <v>2018-10-12 15:24:38</v>
      </c>
    </row>
    <row r="15482" spans="1:7" x14ac:dyDescent="0.2">
      <c r="A15482" t="s">
        <v>15013</v>
      </c>
      <c r="B15482" t="str">
        <f>"13641477570"</f>
        <v>13641477570</v>
      </c>
      <c r="C15482" t="str">
        <f>"441522199007134570"</f>
        <v>441522199007134570</v>
      </c>
      <c r="D15482" t="s">
        <v>1</v>
      </c>
      <c r="E15482" t="s">
        <v>1</v>
      </c>
      <c r="F15482" t="s">
        <v>0</v>
      </c>
      <c r="G15482" t="str">
        <f>"2018-10-12 15:28:52"</f>
        <v>2018-10-12 15:28:52</v>
      </c>
    </row>
    <row r="15483" spans="1:7" x14ac:dyDescent="0.2">
      <c r="A15483" t="s">
        <v>15014</v>
      </c>
      <c r="B15483" t="str">
        <f>"15518889523"</f>
        <v>15518889523</v>
      </c>
      <c r="C15483" t="str">
        <f>"410521198610073680"</f>
        <v>410521198610073680</v>
      </c>
      <c r="D15483" t="s">
        <v>1</v>
      </c>
      <c r="E15483" t="s">
        <v>1</v>
      </c>
      <c r="F15483" t="s">
        <v>0</v>
      </c>
      <c r="G15483" t="str">
        <f>"2018-10-29 10:37:57"</f>
        <v>2018-10-29 10:37:57</v>
      </c>
    </row>
    <row r="15484" spans="1:7" x14ac:dyDescent="0.2">
      <c r="A15484" t="s">
        <v>886</v>
      </c>
      <c r="B15484" t="str">
        <f>"15006739074"</f>
        <v>15006739074</v>
      </c>
      <c r="C15484" t="str">
        <f>"370406199801012242"</f>
        <v>370406199801012242</v>
      </c>
      <c r="D15484" t="s">
        <v>1</v>
      </c>
      <c r="E15484" t="s">
        <v>1</v>
      </c>
      <c r="F15484" t="s">
        <v>0</v>
      </c>
      <c r="G15484" t="str">
        <f>"2018-10-12 15:24:27"</f>
        <v>2018-10-12 15:24:27</v>
      </c>
    </row>
    <row r="15485" spans="1:7" x14ac:dyDescent="0.2">
      <c r="A15485" t="s">
        <v>15015</v>
      </c>
      <c r="B15485" t="str">
        <f>"18298303037"</f>
        <v>18298303037</v>
      </c>
      <c r="C15485" t="str">
        <f>"62300119971005101X"</f>
        <v>62300119971005101X</v>
      </c>
      <c r="D15485" t="s">
        <v>15016</v>
      </c>
      <c r="E15485" t="s">
        <v>15017</v>
      </c>
      <c r="F15485" t="s">
        <v>0</v>
      </c>
      <c r="G15485" t="str">
        <f>"2018-10-16 21:29:50"</f>
        <v>2018-10-16 21:29:50</v>
      </c>
    </row>
    <row r="15486" spans="1:7" x14ac:dyDescent="0.2">
      <c r="A15486" t="s">
        <v>15018</v>
      </c>
      <c r="B15486" t="str">
        <f>"13057246158"</f>
        <v>13057246158</v>
      </c>
      <c r="C15486" t="str">
        <f>"412722198601074955"</f>
        <v>412722198601074955</v>
      </c>
      <c r="D15486" t="s">
        <v>1</v>
      </c>
      <c r="E15486" t="s">
        <v>1</v>
      </c>
      <c r="F15486" t="s">
        <v>0</v>
      </c>
      <c r="G15486" t="str">
        <f>"2018-10-12 15:21:28"</f>
        <v>2018-10-12 15:21:28</v>
      </c>
    </row>
    <row r="15487" spans="1:7" x14ac:dyDescent="0.2">
      <c r="A15487" t="s">
        <v>1</v>
      </c>
      <c r="B15487" t="str">
        <f>"17773950142"</f>
        <v>17773950142</v>
      </c>
      <c r="C15487" t="s">
        <v>1</v>
      </c>
      <c r="D15487" t="s">
        <v>1</v>
      </c>
      <c r="E15487" t="s">
        <v>1</v>
      </c>
      <c r="F15487" t="s">
        <v>0</v>
      </c>
      <c r="G15487" t="str">
        <f>"2018-10-12 15:20:41"</f>
        <v>2018-10-12 15:20:41</v>
      </c>
    </row>
    <row r="15488" spans="1:7" x14ac:dyDescent="0.2">
      <c r="A15488" t="s">
        <v>15019</v>
      </c>
      <c r="B15488" t="str">
        <f>"17752000705"</f>
        <v>17752000705</v>
      </c>
      <c r="C15488" t="str">
        <f>"620102198307050038"</f>
        <v>620102198307050038</v>
      </c>
      <c r="D15488" t="s">
        <v>1</v>
      </c>
      <c r="E15488" t="s">
        <v>1</v>
      </c>
      <c r="F15488" t="s">
        <v>0</v>
      </c>
      <c r="G15488" t="str">
        <f>"2018-10-13 22:58:06"</f>
        <v>2018-10-13 22:58:06</v>
      </c>
    </row>
    <row r="15489" spans="1:7" x14ac:dyDescent="0.2">
      <c r="A15489" t="s">
        <v>1</v>
      </c>
      <c r="B15489" t="str">
        <f>"13805304574"</f>
        <v>13805304574</v>
      </c>
      <c r="C15489" t="s">
        <v>1</v>
      </c>
      <c r="D15489" t="s">
        <v>1</v>
      </c>
      <c r="E15489" t="s">
        <v>1</v>
      </c>
      <c r="F15489" t="s">
        <v>0</v>
      </c>
      <c r="G15489" t="str">
        <f>"2018-10-12 15:18:25"</f>
        <v>2018-10-12 15:18:25</v>
      </c>
    </row>
    <row r="15490" spans="1:7" x14ac:dyDescent="0.2">
      <c r="A15490" t="s">
        <v>15020</v>
      </c>
      <c r="B15490" t="str">
        <f>"13607613607"</f>
        <v>13607613607</v>
      </c>
      <c r="C15490" t="str">
        <f>"411528199504030038"</f>
        <v>411528199504030038</v>
      </c>
      <c r="D15490" t="s">
        <v>15021</v>
      </c>
      <c r="E15490" t="s">
        <v>15022</v>
      </c>
      <c r="F15490" t="s">
        <v>0</v>
      </c>
      <c r="G15490" t="str">
        <f>"2018-10-29 18:45:51"</f>
        <v>2018-10-29 18:45:51</v>
      </c>
    </row>
    <row r="15491" spans="1:7" x14ac:dyDescent="0.2">
      <c r="A15491" t="s">
        <v>15023</v>
      </c>
      <c r="B15491" t="str">
        <f>"13593331887"</f>
        <v>13593331887</v>
      </c>
      <c r="C15491" t="str">
        <f>"14052519810517005X"</f>
        <v>14052519810517005X</v>
      </c>
      <c r="D15491" t="s">
        <v>1</v>
      </c>
      <c r="E15491" t="s">
        <v>1</v>
      </c>
      <c r="F15491" t="s">
        <v>0</v>
      </c>
      <c r="G15491" t="str">
        <f>"2018-10-12 15:19:24"</f>
        <v>2018-10-12 15:19:24</v>
      </c>
    </row>
    <row r="15492" spans="1:7" x14ac:dyDescent="0.2">
      <c r="A15492" t="s">
        <v>15024</v>
      </c>
      <c r="B15492" t="str">
        <f>"13610919485"</f>
        <v>13610919485</v>
      </c>
      <c r="C15492" t="str">
        <f>"210281199202100229"</f>
        <v>210281199202100229</v>
      </c>
      <c r="D15492" t="s">
        <v>1</v>
      </c>
      <c r="E15492" t="s">
        <v>1</v>
      </c>
      <c r="F15492" t="s">
        <v>0</v>
      </c>
      <c r="G15492" t="str">
        <f>"2018-10-12 15:22:36"</f>
        <v>2018-10-12 15:22:36</v>
      </c>
    </row>
    <row r="15493" spans="1:7" x14ac:dyDescent="0.2">
      <c r="A15493" t="s">
        <v>1</v>
      </c>
      <c r="B15493" t="str">
        <f>"17156996410"</f>
        <v>17156996410</v>
      </c>
      <c r="C15493" t="s">
        <v>1</v>
      </c>
      <c r="D15493" t="s">
        <v>1</v>
      </c>
      <c r="E15493" t="s">
        <v>1</v>
      </c>
      <c r="F15493" t="s">
        <v>0</v>
      </c>
      <c r="G15493" t="str">
        <f>"2018-10-12 15:17:25"</f>
        <v>2018-10-12 15:17:25</v>
      </c>
    </row>
    <row r="15494" spans="1:7" x14ac:dyDescent="0.2">
      <c r="A15494" t="s">
        <v>15025</v>
      </c>
      <c r="B15494" t="str">
        <f>"15088081460"</f>
        <v>15088081460</v>
      </c>
      <c r="C15494" t="str">
        <f>"441622198711196469"</f>
        <v>441622198711196469</v>
      </c>
      <c r="D15494" t="s">
        <v>1</v>
      </c>
      <c r="E15494" t="s">
        <v>1</v>
      </c>
      <c r="F15494" t="s">
        <v>0</v>
      </c>
      <c r="G15494" t="str">
        <f>"2018-10-12 15:44:57"</f>
        <v>2018-10-12 15:44:57</v>
      </c>
    </row>
    <row r="15495" spans="1:7" x14ac:dyDescent="0.2">
      <c r="A15495" t="s">
        <v>15026</v>
      </c>
      <c r="B15495" t="str">
        <f>"13172335577"</f>
        <v>13172335577</v>
      </c>
      <c r="C15495" t="str">
        <f>"441224199811224311"</f>
        <v>441224199811224311</v>
      </c>
      <c r="D15495" t="s">
        <v>1</v>
      </c>
      <c r="E15495" t="s">
        <v>1</v>
      </c>
      <c r="F15495" t="s">
        <v>0</v>
      </c>
      <c r="G15495" t="str">
        <f>"2018-10-12 15:25:49"</f>
        <v>2018-10-12 15:25:49</v>
      </c>
    </row>
    <row r="15496" spans="1:7" x14ac:dyDescent="0.2">
      <c r="A15496" t="s">
        <v>1</v>
      </c>
      <c r="B15496" t="str">
        <f>"15165813633"</f>
        <v>15165813633</v>
      </c>
      <c r="C15496" t="s">
        <v>1</v>
      </c>
      <c r="D15496" t="s">
        <v>1</v>
      </c>
      <c r="E15496" t="s">
        <v>1</v>
      </c>
      <c r="F15496" t="s">
        <v>0</v>
      </c>
      <c r="G15496" t="str">
        <f>"2018-10-12 15:14:46"</f>
        <v>2018-10-12 15:14:46</v>
      </c>
    </row>
    <row r="15497" spans="1:7" x14ac:dyDescent="0.2">
      <c r="A15497" t="s">
        <v>8558</v>
      </c>
      <c r="B15497" t="str">
        <f>"13372175550"</f>
        <v>13372175550</v>
      </c>
      <c r="C15497" t="str">
        <f>"320504197012042531"</f>
        <v>320504197012042531</v>
      </c>
      <c r="D15497" t="s">
        <v>15027</v>
      </c>
      <c r="E15497" t="s">
        <v>15028</v>
      </c>
      <c r="F15497" t="s">
        <v>0</v>
      </c>
      <c r="G15497" t="str">
        <f>"2018-10-12 15:16:29"</f>
        <v>2018-10-12 15:16:29</v>
      </c>
    </row>
    <row r="15498" spans="1:7" x14ac:dyDescent="0.2">
      <c r="A15498" t="s">
        <v>15029</v>
      </c>
      <c r="B15498" t="str">
        <f>"18764332888"</f>
        <v>18764332888</v>
      </c>
      <c r="C15498" t="str">
        <f>"370724198504252957"</f>
        <v>370724198504252957</v>
      </c>
      <c r="D15498" t="s">
        <v>1</v>
      </c>
      <c r="E15498" t="s">
        <v>1</v>
      </c>
      <c r="F15498" t="s">
        <v>0</v>
      </c>
      <c r="G15498" t="str">
        <f>"2018-10-12 15:15:18"</f>
        <v>2018-10-12 15:15:18</v>
      </c>
    </row>
    <row r="15499" spans="1:7" x14ac:dyDescent="0.2">
      <c r="A15499" t="s">
        <v>15030</v>
      </c>
      <c r="B15499" t="str">
        <f>"13852088857"</f>
        <v>13852088857</v>
      </c>
      <c r="C15499" t="str">
        <f>"320311198012275850"</f>
        <v>320311198012275850</v>
      </c>
      <c r="D15499" t="s">
        <v>1</v>
      </c>
      <c r="E15499" t="s">
        <v>1</v>
      </c>
      <c r="F15499" t="s">
        <v>0</v>
      </c>
      <c r="G15499" t="str">
        <f>"2018-10-12 15:21:28"</f>
        <v>2018-10-12 15:21:28</v>
      </c>
    </row>
    <row r="15500" spans="1:7" x14ac:dyDescent="0.2">
      <c r="A15500" t="s">
        <v>1</v>
      </c>
      <c r="B15500" t="str">
        <f>"15985505873"</f>
        <v>15985505873</v>
      </c>
      <c r="C15500" t="s">
        <v>1</v>
      </c>
      <c r="D15500" t="s">
        <v>1</v>
      </c>
      <c r="E15500" t="s">
        <v>1</v>
      </c>
      <c r="F15500" t="s">
        <v>0</v>
      </c>
      <c r="G15500" t="str">
        <f>"2018-10-12 15:13:17"</f>
        <v>2018-10-12 15:13:17</v>
      </c>
    </row>
    <row r="15501" spans="1:7" x14ac:dyDescent="0.2">
      <c r="A15501" t="s">
        <v>1076</v>
      </c>
      <c r="B15501" t="str">
        <f>"15021707851"</f>
        <v>15021707851</v>
      </c>
      <c r="C15501" t="str">
        <f>"321322198702084613"</f>
        <v>321322198702084613</v>
      </c>
      <c r="D15501" t="s">
        <v>1</v>
      </c>
      <c r="E15501" t="s">
        <v>1</v>
      </c>
      <c r="F15501" t="s">
        <v>0</v>
      </c>
      <c r="G15501" t="str">
        <f>"2018-10-12 15:15:22"</f>
        <v>2018-10-12 15:15:22</v>
      </c>
    </row>
    <row r="15502" spans="1:7" x14ac:dyDescent="0.2">
      <c r="A15502" t="s">
        <v>15031</v>
      </c>
      <c r="B15502" t="str">
        <f>"13876003849"</f>
        <v>13876003849</v>
      </c>
      <c r="C15502" t="str">
        <f>"460004199612120639"</f>
        <v>460004199612120639</v>
      </c>
      <c r="D15502" t="s">
        <v>1</v>
      </c>
      <c r="E15502" t="s">
        <v>1</v>
      </c>
      <c r="F15502" t="s">
        <v>0</v>
      </c>
      <c r="G15502" t="str">
        <f>"2018-10-25 15:28:52"</f>
        <v>2018-10-25 15:28:52</v>
      </c>
    </row>
    <row r="15503" spans="1:7" x14ac:dyDescent="0.2">
      <c r="A15503" t="s">
        <v>15032</v>
      </c>
      <c r="B15503" t="str">
        <f>"15510905179"</f>
        <v>15510905179</v>
      </c>
      <c r="C15503" t="str">
        <f>"120106197708317015"</f>
        <v>120106197708317015</v>
      </c>
      <c r="D15503" t="s">
        <v>1</v>
      </c>
      <c r="E15503" t="s">
        <v>1</v>
      </c>
      <c r="F15503" t="s">
        <v>0</v>
      </c>
      <c r="G15503" t="str">
        <f>"2018-10-12 15:48:50"</f>
        <v>2018-10-12 15:48:50</v>
      </c>
    </row>
    <row r="15504" spans="1:7" x14ac:dyDescent="0.2">
      <c r="A15504" t="s">
        <v>15033</v>
      </c>
      <c r="B15504" t="str">
        <f>"15237649591"</f>
        <v>15237649591</v>
      </c>
      <c r="C15504" t="str">
        <f>"411503198802200734"</f>
        <v>411503198802200734</v>
      </c>
      <c r="D15504" t="s">
        <v>1</v>
      </c>
      <c r="E15504" t="s">
        <v>1</v>
      </c>
      <c r="F15504" t="s">
        <v>0</v>
      </c>
      <c r="G15504" t="str">
        <f>"2018-10-12 15:30:49"</f>
        <v>2018-10-12 15:30:49</v>
      </c>
    </row>
    <row r="15505" spans="1:7" x14ac:dyDescent="0.2">
      <c r="A15505" t="s">
        <v>1</v>
      </c>
      <c r="B15505" t="str">
        <f>"15138841986"</f>
        <v>15138841986</v>
      </c>
      <c r="C15505" t="s">
        <v>1</v>
      </c>
      <c r="D15505" t="s">
        <v>1</v>
      </c>
      <c r="E15505" t="s">
        <v>1</v>
      </c>
      <c r="F15505" t="s">
        <v>0</v>
      </c>
      <c r="G15505" t="str">
        <f>"2018-10-12 15:12:38"</f>
        <v>2018-10-12 15:12:38</v>
      </c>
    </row>
    <row r="15506" spans="1:7" x14ac:dyDescent="0.2">
      <c r="A15506" t="s">
        <v>15034</v>
      </c>
      <c r="B15506" t="str">
        <f>"15610417191"</f>
        <v>15610417191</v>
      </c>
      <c r="C15506" t="str">
        <f>"370982198905296875"</f>
        <v>370982198905296875</v>
      </c>
      <c r="D15506" t="s">
        <v>1</v>
      </c>
      <c r="E15506" t="s">
        <v>1</v>
      </c>
      <c r="F15506" t="s">
        <v>0</v>
      </c>
      <c r="G15506" t="str">
        <f>"2018-10-12 15:15:32"</f>
        <v>2018-10-12 15:15:32</v>
      </c>
    </row>
    <row r="15507" spans="1:7" x14ac:dyDescent="0.2">
      <c r="A15507" t="s">
        <v>15035</v>
      </c>
      <c r="B15507" t="str">
        <f>"18308815663"</f>
        <v>18308815663</v>
      </c>
      <c r="C15507" t="str">
        <f>"522625198608200036"</f>
        <v>522625198608200036</v>
      </c>
      <c r="D15507" t="s">
        <v>1</v>
      </c>
      <c r="E15507" t="s">
        <v>1</v>
      </c>
      <c r="F15507" t="s">
        <v>0</v>
      </c>
      <c r="G15507" t="str">
        <f>"2018-10-12 15:12:59"</f>
        <v>2018-10-12 15:12:59</v>
      </c>
    </row>
    <row r="15508" spans="1:7" x14ac:dyDescent="0.2">
      <c r="A15508" t="s">
        <v>1</v>
      </c>
      <c r="B15508" t="str">
        <f>"15027922667"</f>
        <v>15027922667</v>
      </c>
      <c r="C15508" t="s">
        <v>1</v>
      </c>
      <c r="D15508" t="s">
        <v>1</v>
      </c>
      <c r="E15508" t="s">
        <v>1</v>
      </c>
      <c r="F15508" t="s">
        <v>0</v>
      </c>
      <c r="G15508" t="str">
        <f>"2018-10-12 15:09:34"</f>
        <v>2018-10-12 15:09:34</v>
      </c>
    </row>
    <row r="15509" spans="1:7" x14ac:dyDescent="0.2">
      <c r="A15509" t="s">
        <v>1</v>
      </c>
      <c r="B15509" t="str">
        <f>"15259301380"</f>
        <v>15259301380</v>
      </c>
      <c r="C15509" t="s">
        <v>1</v>
      </c>
      <c r="D15509" t="s">
        <v>1</v>
      </c>
      <c r="E15509" t="s">
        <v>1</v>
      </c>
      <c r="F15509" t="s">
        <v>0</v>
      </c>
      <c r="G15509" t="str">
        <f>"2018-10-12 15:09:30"</f>
        <v>2018-10-12 15:09:30</v>
      </c>
    </row>
    <row r="15510" spans="1:7" x14ac:dyDescent="0.2">
      <c r="A15510" t="s">
        <v>1</v>
      </c>
      <c r="B15510" t="str">
        <f>"18340403959"</f>
        <v>18340403959</v>
      </c>
      <c r="C15510" t="s">
        <v>1</v>
      </c>
      <c r="D15510" t="s">
        <v>1</v>
      </c>
      <c r="E15510" t="s">
        <v>1</v>
      </c>
      <c r="F15510" t="s">
        <v>0</v>
      </c>
      <c r="G15510" t="str">
        <f>"2018-10-12 15:09:24"</f>
        <v>2018-10-12 15:09:24</v>
      </c>
    </row>
    <row r="15511" spans="1:7" x14ac:dyDescent="0.2">
      <c r="A15511" t="s">
        <v>15036</v>
      </c>
      <c r="B15511" t="str">
        <f>"13726243989"</f>
        <v>13726243989</v>
      </c>
      <c r="C15511" t="str">
        <f>"440781198801032737"</f>
        <v>440781198801032737</v>
      </c>
      <c r="D15511" t="s">
        <v>1</v>
      </c>
      <c r="E15511" t="s">
        <v>1</v>
      </c>
      <c r="F15511" t="s">
        <v>0</v>
      </c>
      <c r="G15511" t="str">
        <f>"2018-10-12 15:10:38"</f>
        <v>2018-10-12 15:10:38</v>
      </c>
    </row>
    <row r="15512" spans="1:7" x14ac:dyDescent="0.2">
      <c r="A15512" t="s">
        <v>1</v>
      </c>
      <c r="B15512" t="str">
        <f>"18913099086"</f>
        <v>18913099086</v>
      </c>
      <c r="C15512" t="s">
        <v>1</v>
      </c>
      <c r="D15512" t="s">
        <v>1</v>
      </c>
      <c r="E15512" t="s">
        <v>1</v>
      </c>
      <c r="F15512" t="s">
        <v>0</v>
      </c>
      <c r="G15512" t="str">
        <f>"2018-10-12 15:08:45"</f>
        <v>2018-10-12 15:08:45</v>
      </c>
    </row>
    <row r="15513" spans="1:7" x14ac:dyDescent="0.2">
      <c r="A15513" t="s">
        <v>15037</v>
      </c>
      <c r="B15513" t="str">
        <f>"13488009383"</f>
        <v>13488009383</v>
      </c>
      <c r="C15513" t="str">
        <f>"610221197810280015"</f>
        <v>610221197810280015</v>
      </c>
      <c r="D15513" t="s">
        <v>1</v>
      </c>
      <c r="E15513" t="s">
        <v>1</v>
      </c>
      <c r="F15513" t="s">
        <v>0</v>
      </c>
      <c r="G15513" t="str">
        <f>"2018-10-12 15:38:38"</f>
        <v>2018-10-12 15:38:38</v>
      </c>
    </row>
    <row r="15514" spans="1:7" x14ac:dyDescent="0.2">
      <c r="A15514" t="s">
        <v>1128</v>
      </c>
      <c r="B15514" t="str">
        <f>"13982093413"</f>
        <v>13982093413</v>
      </c>
      <c r="C15514" t="str">
        <f>"510184199411018699"</f>
        <v>510184199411018699</v>
      </c>
      <c r="D15514" t="s">
        <v>1</v>
      </c>
      <c r="E15514" t="s">
        <v>1</v>
      </c>
      <c r="F15514" t="s">
        <v>0</v>
      </c>
      <c r="G15514" t="str">
        <f>"2018-10-28 10:19:54"</f>
        <v>2018-10-28 10:19:54</v>
      </c>
    </row>
    <row r="15515" spans="1:7" x14ac:dyDescent="0.2">
      <c r="A15515" t="s">
        <v>15038</v>
      </c>
      <c r="B15515" t="str">
        <f>"13592009123"</f>
        <v>13592009123</v>
      </c>
      <c r="C15515" t="str">
        <f>"411281198302153559"</f>
        <v>411281198302153559</v>
      </c>
      <c r="D15515" t="s">
        <v>1</v>
      </c>
      <c r="E15515" t="s">
        <v>1</v>
      </c>
      <c r="F15515" t="s">
        <v>0</v>
      </c>
      <c r="G15515" t="str">
        <f>"2018-10-12 15:08:31"</f>
        <v>2018-10-12 15:08:31</v>
      </c>
    </row>
    <row r="15516" spans="1:7" x14ac:dyDescent="0.2">
      <c r="A15516" t="s">
        <v>15039</v>
      </c>
      <c r="B15516" t="str">
        <f>"15162159134"</f>
        <v>15162159134</v>
      </c>
      <c r="C15516" t="str">
        <f>"342201199312227211"</f>
        <v>342201199312227211</v>
      </c>
      <c r="D15516" t="s">
        <v>1</v>
      </c>
      <c r="E15516" t="s">
        <v>1</v>
      </c>
      <c r="F15516" t="s">
        <v>0</v>
      </c>
      <c r="G15516" t="str">
        <f>"2018-10-12 15:10:21"</f>
        <v>2018-10-12 15:10:21</v>
      </c>
    </row>
    <row r="15517" spans="1:7" x14ac:dyDescent="0.2">
      <c r="A15517" t="s">
        <v>631</v>
      </c>
      <c r="B15517" t="str">
        <f>"15261796864"</f>
        <v>15261796864</v>
      </c>
      <c r="C15517" t="str">
        <f>"32082119961211510X"</f>
        <v>32082119961211510X</v>
      </c>
      <c r="D15517" t="s">
        <v>1</v>
      </c>
      <c r="E15517" t="s">
        <v>1</v>
      </c>
      <c r="F15517" t="s">
        <v>0</v>
      </c>
      <c r="G15517" t="str">
        <f>"2018-10-12 15:09:22"</f>
        <v>2018-10-12 15:09:22</v>
      </c>
    </row>
    <row r="15518" spans="1:7" x14ac:dyDescent="0.2">
      <c r="A15518" t="s">
        <v>15040</v>
      </c>
      <c r="B15518" t="str">
        <f>"13882865894"</f>
        <v>13882865894</v>
      </c>
      <c r="C15518" t="str">
        <f>"513029199603204595"</f>
        <v>513029199603204595</v>
      </c>
      <c r="D15518" t="s">
        <v>1</v>
      </c>
      <c r="E15518" t="s">
        <v>1</v>
      </c>
      <c r="F15518" t="s">
        <v>0</v>
      </c>
      <c r="G15518" t="str">
        <f>"2018-10-12 15:08:30"</f>
        <v>2018-10-12 15:08:30</v>
      </c>
    </row>
    <row r="15519" spans="1:7" x14ac:dyDescent="0.2">
      <c r="A15519" t="s">
        <v>15041</v>
      </c>
      <c r="B15519" t="str">
        <f>"15905602247"</f>
        <v>15905602247</v>
      </c>
      <c r="C15519" t="str">
        <f>"34102219870329111X"</f>
        <v>34102219870329111X</v>
      </c>
      <c r="D15519" t="s">
        <v>1</v>
      </c>
      <c r="E15519" t="s">
        <v>1</v>
      </c>
      <c r="F15519" t="s">
        <v>0</v>
      </c>
      <c r="G15519" t="str">
        <f>"2018-10-12 15:07:31"</f>
        <v>2018-10-12 15:07:31</v>
      </c>
    </row>
    <row r="15520" spans="1:7" x14ac:dyDescent="0.2">
      <c r="A15520" t="s">
        <v>1</v>
      </c>
      <c r="B15520" t="str">
        <f>"15836439205"</f>
        <v>15836439205</v>
      </c>
      <c r="C15520" t="s">
        <v>1</v>
      </c>
      <c r="D15520" t="s">
        <v>1</v>
      </c>
      <c r="E15520" t="s">
        <v>1</v>
      </c>
      <c r="F15520" t="s">
        <v>0</v>
      </c>
      <c r="G15520" t="str">
        <f>"2018-10-12 15:04:38"</f>
        <v>2018-10-12 15:04:38</v>
      </c>
    </row>
    <row r="15521" spans="1:7" x14ac:dyDescent="0.2">
      <c r="A15521" t="s">
        <v>1</v>
      </c>
      <c r="B15521" t="str">
        <f>"17156996403"</f>
        <v>17156996403</v>
      </c>
      <c r="C15521" t="s">
        <v>1</v>
      </c>
      <c r="D15521" t="s">
        <v>1</v>
      </c>
      <c r="E15521" t="s">
        <v>1</v>
      </c>
      <c r="F15521" t="s">
        <v>0</v>
      </c>
      <c r="G15521" t="str">
        <f>"2018-10-12 15:04:36"</f>
        <v>2018-10-12 15:04:36</v>
      </c>
    </row>
    <row r="15522" spans="1:7" x14ac:dyDescent="0.2">
      <c r="A15522" t="s">
        <v>15042</v>
      </c>
      <c r="B15522" t="str">
        <f>"15812138598"</f>
        <v>15812138598</v>
      </c>
      <c r="C15522" t="str">
        <f>"530112198808310572"</f>
        <v>530112198808310572</v>
      </c>
      <c r="D15522" t="s">
        <v>1</v>
      </c>
      <c r="E15522" t="s">
        <v>1</v>
      </c>
      <c r="F15522" t="s">
        <v>0</v>
      </c>
      <c r="G15522" t="str">
        <f>"2018-10-12 15:06:37"</f>
        <v>2018-10-12 15:06:37</v>
      </c>
    </row>
    <row r="15523" spans="1:7" x14ac:dyDescent="0.2">
      <c r="A15523" t="s">
        <v>15043</v>
      </c>
      <c r="B15523" t="str">
        <f>"18662539816"</f>
        <v>18662539816</v>
      </c>
      <c r="C15523" t="str">
        <f>"320925197902056410"</f>
        <v>320925197902056410</v>
      </c>
      <c r="D15523" t="s">
        <v>15044</v>
      </c>
      <c r="E15523" t="s">
        <v>15045</v>
      </c>
      <c r="F15523" t="s">
        <v>0</v>
      </c>
      <c r="G15523" t="str">
        <f>"2018-10-12 15:06:31"</f>
        <v>2018-10-12 15:06:31</v>
      </c>
    </row>
    <row r="15524" spans="1:7" x14ac:dyDescent="0.2">
      <c r="A15524" t="s">
        <v>15046</v>
      </c>
      <c r="B15524" t="str">
        <f>"17608899784"</f>
        <v>17608899784</v>
      </c>
      <c r="C15524" t="str">
        <f>"530326199003221760"</f>
        <v>530326199003221760</v>
      </c>
      <c r="D15524" t="s">
        <v>1</v>
      </c>
      <c r="E15524" t="s">
        <v>1</v>
      </c>
      <c r="F15524" t="s">
        <v>0</v>
      </c>
      <c r="G15524" t="str">
        <f>"2018-10-12 15:04:49"</f>
        <v>2018-10-12 15:04:49</v>
      </c>
    </row>
    <row r="15525" spans="1:7" x14ac:dyDescent="0.2">
      <c r="A15525" t="s">
        <v>1</v>
      </c>
      <c r="B15525" t="str">
        <f>"18607532203"</f>
        <v>18607532203</v>
      </c>
      <c r="C15525" t="s">
        <v>1</v>
      </c>
      <c r="D15525" t="s">
        <v>1</v>
      </c>
      <c r="E15525" t="s">
        <v>1</v>
      </c>
      <c r="F15525" t="s">
        <v>0</v>
      </c>
      <c r="G15525" t="str">
        <f>"2018-10-12 15:03:34"</f>
        <v>2018-10-12 15:03:34</v>
      </c>
    </row>
    <row r="15526" spans="1:7" x14ac:dyDescent="0.2">
      <c r="A15526" t="s">
        <v>15047</v>
      </c>
      <c r="B15526" t="str">
        <f>"15028877005"</f>
        <v>15028877005</v>
      </c>
      <c r="C15526" t="str">
        <f>"130528198203268410"</f>
        <v>130528198203268410</v>
      </c>
      <c r="D15526" t="s">
        <v>1</v>
      </c>
      <c r="E15526" t="s">
        <v>1</v>
      </c>
      <c r="F15526" t="s">
        <v>0</v>
      </c>
      <c r="G15526" t="str">
        <f>"2018-10-12 15:04:16"</f>
        <v>2018-10-12 15:04:16</v>
      </c>
    </row>
    <row r="15527" spans="1:7" x14ac:dyDescent="0.2">
      <c r="A15527" t="s">
        <v>1</v>
      </c>
      <c r="B15527" t="str">
        <f>"15989291062"</f>
        <v>15989291062</v>
      </c>
      <c r="C15527" t="s">
        <v>1</v>
      </c>
      <c r="D15527" t="s">
        <v>1</v>
      </c>
      <c r="E15527" t="s">
        <v>1</v>
      </c>
      <c r="F15527" t="s">
        <v>0</v>
      </c>
      <c r="G15527" t="str">
        <f>"2018-10-12 15:03:01"</f>
        <v>2018-10-12 15:03:01</v>
      </c>
    </row>
    <row r="15528" spans="1:7" x14ac:dyDescent="0.2">
      <c r="A15528" t="s">
        <v>15048</v>
      </c>
      <c r="B15528" t="str">
        <f>"18451475661"</f>
        <v>18451475661</v>
      </c>
      <c r="C15528" t="str">
        <f>"321324199303051811"</f>
        <v>321324199303051811</v>
      </c>
      <c r="D15528" t="s">
        <v>1</v>
      </c>
      <c r="E15528" t="s">
        <v>1</v>
      </c>
      <c r="F15528" t="s">
        <v>0</v>
      </c>
      <c r="G15528" t="str">
        <f>"2018-10-13 15:47:56"</f>
        <v>2018-10-13 15:47:56</v>
      </c>
    </row>
    <row r="15529" spans="1:7" x14ac:dyDescent="0.2">
      <c r="A15529" t="s">
        <v>1</v>
      </c>
      <c r="B15529" t="str">
        <f>"13207916281"</f>
        <v>13207916281</v>
      </c>
      <c r="C15529" t="s">
        <v>1</v>
      </c>
      <c r="D15529" t="s">
        <v>1</v>
      </c>
      <c r="E15529" t="s">
        <v>1</v>
      </c>
      <c r="F15529" t="s">
        <v>0</v>
      </c>
      <c r="G15529" t="str">
        <f>"2018-10-12 15:02:39"</f>
        <v>2018-10-12 15:02:39</v>
      </c>
    </row>
    <row r="15530" spans="1:7" x14ac:dyDescent="0.2">
      <c r="A15530" t="s">
        <v>10714</v>
      </c>
      <c r="B15530" t="str">
        <f>"18839176938"</f>
        <v>18839176938</v>
      </c>
      <c r="C15530" t="str">
        <f>"410825198507010018"</f>
        <v>410825198507010018</v>
      </c>
      <c r="D15530" t="s">
        <v>1</v>
      </c>
      <c r="E15530" t="s">
        <v>1</v>
      </c>
      <c r="F15530" t="s">
        <v>0</v>
      </c>
      <c r="G15530" t="str">
        <f>"2018-10-12 15:03:31"</f>
        <v>2018-10-12 15:03:31</v>
      </c>
    </row>
    <row r="15531" spans="1:7" x14ac:dyDescent="0.2">
      <c r="A15531" t="s">
        <v>1</v>
      </c>
      <c r="B15531" t="str">
        <f>"13128235796"</f>
        <v>13128235796</v>
      </c>
      <c r="C15531" t="s">
        <v>1</v>
      </c>
      <c r="D15531" t="s">
        <v>1</v>
      </c>
      <c r="E15531" t="s">
        <v>1</v>
      </c>
      <c r="F15531" t="s">
        <v>0</v>
      </c>
      <c r="G15531" t="str">
        <f>"2018-10-12 15:01:42"</f>
        <v>2018-10-12 15:01:42</v>
      </c>
    </row>
    <row r="15532" spans="1:7" x14ac:dyDescent="0.2">
      <c r="A15532" t="s">
        <v>470</v>
      </c>
      <c r="B15532" t="str">
        <f>"18684009667"</f>
        <v>18684009667</v>
      </c>
      <c r="C15532" t="str">
        <f>"510182199112310830"</f>
        <v>510182199112310830</v>
      </c>
      <c r="D15532" t="s">
        <v>1</v>
      </c>
      <c r="E15532" t="s">
        <v>1</v>
      </c>
      <c r="F15532" t="s">
        <v>0</v>
      </c>
      <c r="G15532" t="str">
        <f>"2018-10-12 15:02:33"</f>
        <v>2018-10-12 15:02:33</v>
      </c>
    </row>
    <row r="15533" spans="1:7" x14ac:dyDescent="0.2">
      <c r="A15533" t="s">
        <v>15049</v>
      </c>
      <c r="B15533" t="str">
        <f>"15306906366"</f>
        <v>15306906366</v>
      </c>
      <c r="C15533" t="str">
        <f>"350702198603116115"</f>
        <v>350702198603116115</v>
      </c>
      <c r="D15533" t="s">
        <v>1</v>
      </c>
      <c r="E15533" t="s">
        <v>1</v>
      </c>
      <c r="F15533" t="s">
        <v>0</v>
      </c>
      <c r="G15533" t="str">
        <f>"2018-10-12 15:03:40"</f>
        <v>2018-10-12 15:03:40</v>
      </c>
    </row>
    <row r="15534" spans="1:7" x14ac:dyDescent="0.2">
      <c r="A15534" t="s">
        <v>551</v>
      </c>
      <c r="B15534" t="str">
        <f>"17705640852"</f>
        <v>17705640852</v>
      </c>
      <c r="C15534" t="str">
        <f>"342401199308083228"</f>
        <v>342401199308083228</v>
      </c>
      <c r="D15534" t="s">
        <v>1</v>
      </c>
      <c r="E15534" t="s">
        <v>1</v>
      </c>
      <c r="F15534" t="s">
        <v>0</v>
      </c>
      <c r="G15534" t="str">
        <f>"2018-10-12 15:19:26"</f>
        <v>2018-10-12 15:19:26</v>
      </c>
    </row>
    <row r="15535" spans="1:7" x14ac:dyDescent="0.2">
      <c r="A15535" t="s">
        <v>15050</v>
      </c>
      <c r="B15535" t="str">
        <f>"15999553857"</f>
        <v>15999553857</v>
      </c>
      <c r="C15535" t="str">
        <f>"362325199201062311"</f>
        <v>362325199201062311</v>
      </c>
      <c r="D15535" t="s">
        <v>1</v>
      </c>
      <c r="E15535" t="s">
        <v>1</v>
      </c>
      <c r="F15535" t="s">
        <v>0</v>
      </c>
      <c r="G15535" t="str">
        <f>"2018-10-12 15:03:44"</f>
        <v>2018-10-12 15:03:44</v>
      </c>
    </row>
    <row r="15536" spans="1:7" x14ac:dyDescent="0.2">
      <c r="A15536" t="s">
        <v>15051</v>
      </c>
      <c r="B15536" t="str">
        <f>"13799282437"</f>
        <v>13799282437</v>
      </c>
      <c r="C15536" t="str">
        <f>"352203198906035532"</f>
        <v>352203198906035532</v>
      </c>
      <c r="D15536" t="s">
        <v>1</v>
      </c>
      <c r="E15536" t="s">
        <v>1</v>
      </c>
      <c r="F15536" t="s">
        <v>0</v>
      </c>
      <c r="G15536" t="str">
        <f>"2018-10-12 15:05:10"</f>
        <v>2018-10-12 15:05:10</v>
      </c>
    </row>
    <row r="15537" spans="1:7" x14ac:dyDescent="0.2">
      <c r="A15537" t="s">
        <v>15052</v>
      </c>
      <c r="B15537" t="str">
        <f>"18788500794"</f>
        <v>18788500794</v>
      </c>
      <c r="C15537" t="str">
        <f>"530181199111261210"</f>
        <v>530181199111261210</v>
      </c>
      <c r="D15537" t="s">
        <v>1</v>
      </c>
      <c r="E15537" t="s">
        <v>1</v>
      </c>
      <c r="F15537" t="s">
        <v>0</v>
      </c>
      <c r="G15537" t="str">
        <f>"2018-10-12 15:35:42"</f>
        <v>2018-10-12 15:35:42</v>
      </c>
    </row>
    <row r="15538" spans="1:7" x14ac:dyDescent="0.2">
      <c r="A15538" t="s">
        <v>1709</v>
      </c>
      <c r="B15538" t="str">
        <f>"13955983459"</f>
        <v>13955983459</v>
      </c>
      <c r="C15538" t="str">
        <f>"341022197909201111"</f>
        <v>341022197909201111</v>
      </c>
      <c r="D15538" t="s">
        <v>1</v>
      </c>
      <c r="E15538" t="s">
        <v>1</v>
      </c>
      <c r="F15538" t="s">
        <v>0</v>
      </c>
      <c r="G15538" t="str">
        <f>"2018-10-12 15:01:12"</f>
        <v>2018-10-12 15:01:12</v>
      </c>
    </row>
    <row r="15539" spans="1:7" x14ac:dyDescent="0.2">
      <c r="A15539" t="s">
        <v>15053</v>
      </c>
      <c r="B15539" t="str">
        <f>"18734678562"</f>
        <v>18734678562</v>
      </c>
      <c r="C15539" t="str">
        <f>"14022419871028065X"</f>
        <v>14022419871028065X</v>
      </c>
      <c r="D15539" t="s">
        <v>1</v>
      </c>
      <c r="E15539" t="s">
        <v>1</v>
      </c>
      <c r="F15539" t="s">
        <v>0</v>
      </c>
      <c r="G15539" t="str">
        <f>"2018-10-12 15:01:22"</f>
        <v>2018-10-12 15:01:22</v>
      </c>
    </row>
    <row r="15540" spans="1:7" x14ac:dyDescent="0.2">
      <c r="A15540" t="s">
        <v>15054</v>
      </c>
      <c r="B15540" t="str">
        <f>"18248095638"</f>
        <v>18248095638</v>
      </c>
      <c r="C15540" t="str">
        <f>"150429197204050616"</f>
        <v>150429197204050616</v>
      </c>
      <c r="D15540" t="s">
        <v>15055</v>
      </c>
      <c r="E15540" t="s">
        <v>15056</v>
      </c>
      <c r="F15540" t="s">
        <v>0</v>
      </c>
      <c r="G15540" t="str">
        <f>"2018-10-12 15:01:17"</f>
        <v>2018-10-12 15:01:17</v>
      </c>
    </row>
    <row r="15541" spans="1:7" x14ac:dyDescent="0.2">
      <c r="A15541" t="s">
        <v>15057</v>
      </c>
      <c r="B15541" t="str">
        <f>"15935841767"</f>
        <v>15935841767</v>
      </c>
      <c r="C15541" t="str">
        <f>"142303198210291147"</f>
        <v>142303198210291147</v>
      </c>
      <c r="D15541" t="s">
        <v>1</v>
      </c>
      <c r="E15541" t="s">
        <v>1</v>
      </c>
      <c r="F15541" t="s">
        <v>0</v>
      </c>
      <c r="G15541" t="str">
        <f>"2018-10-12 15:08:06"</f>
        <v>2018-10-12 15:08:06</v>
      </c>
    </row>
    <row r="15542" spans="1:7" x14ac:dyDescent="0.2">
      <c r="A15542" t="s">
        <v>15058</v>
      </c>
      <c r="B15542" t="str">
        <f>"15575111383"</f>
        <v>15575111383</v>
      </c>
      <c r="C15542" t="str">
        <f>"432522197401091425"</f>
        <v>432522197401091425</v>
      </c>
      <c r="D15542" t="s">
        <v>1</v>
      </c>
      <c r="E15542" t="s">
        <v>1</v>
      </c>
      <c r="F15542" t="s">
        <v>0</v>
      </c>
      <c r="G15542" t="str">
        <f>"2018-10-12 14:59:29"</f>
        <v>2018-10-12 14:59:29</v>
      </c>
    </row>
    <row r="15543" spans="1:7" x14ac:dyDescent="0.2">
      <c r="A15543" t="s">
        <v>15059</v>
      </c>
      <c r="B15543" t="str">
        <f>"15923358453"</f>
        <v>15923358453</v>
      </c>
      <c r="C15543" t="str">
        <f>"51021919811210112X"</f>
        <v>51021919811210112X</v>
      </c>
      <c r="D15543" t="s">
        <v>1</v>
      </c>
      <c r="E15543" t="s">
        <v>1</v>
      </c>
      <c r="F15543" t="s">
        <v>0</v>
      </c>
      <c r="G15543" t="str">
        <f>"2018-10-12 15:08:49"</f>
        <v>2018-10-12 15:08:49</v>
      </c>
    </row>
    <row r="15544" spans="1:7" x14ac:dyDescent="0.2">
      <c r="A15544" t="s">
        <v>15060</v>
      </c>
      <c r="B15544" t="str">
        <f>"13191186490"</f>
        <v>13191186490</v>
      </c>
      <c r="C15544" t="str">
        <f>"142302199502213720"</f>
        <v>142302199502213720</v>
      </c>
      <c r="D15544" t="s">
        <v>1</v>
      </c>
      <c r="E15544" t="s">
        <v>1</v>
      </c>
      <c r="F15544" t="s">
        <v>0</v>
      </c>
      <c r="G15544" t="str">
        <f>"2018-10-12 14:59:48"</f>
        <v>2018-10-12 14:59:48</v>
      </c>
    </row>
    <row r="15545" spans="1:7" x14ac:dyDescent="0.2">
      <c r="A15545" t="s">
        <v>15061</v>
      </c>
      <c r="B15545" t="str">
        <f>"18351425608"</f>
        <v>18351425608</v>
      </c>
      <c r="C15545" t="str">
        <f>"320681199601258629"</f>
        <v>320681199601258629</v>
      </c>
      <c r="D15545" t="s">
        <v>1</v>
      </c>
      <c r="E15545" t="s">
        <v>1</v>
      </c>
      <c r="F15545" t="s">
        <v>0</v>
      </c>
      <c r="G15545" t="str">
        <f>"2018-10-12 15:04:46"</f>
        <v>2018-10-12 15:04:46</v>
      </c>
    </row>
    <row r="15546" spans="1:7" x14ac:dyDescent="0.2">
      <c r="A15546" t="s">
        <v>1</v>
      </c>
      <c r="B15546" t="str">
        <f>"13954545451"</f>
        <v>13954545451</v>
      </c>
      <c r="C15546" t="s">
        <v>1</v>
      </c>
      <c r="D15546" t="s">
        <v>1</v>
      </c>
      <c r="E15546" t="s">
        <v>1</v>
      </c>
      <c r="F15546" t="s">
        <v>0</v>
      </c>
      <c r="G15546" t="str">
        <f>"2018-10-12 14:57:55"</f>
        <v>2018-10-12 14:57:55</v>
      </c>
    </row>
    <row r="15547" spans="1:7" x14ac:dyDescent="0.2">
      <c r="A15547" t="s">
        <v>15062</v>
      </c>
      <c r="B15547" t="str">
        <f>"15916101616"</f>
        <v>15916101616</v>
      </c>
      <c r="C15547" t="str">
        <f>"360724198802091512"</f>
        <v>360724198802091512</v>
      </c>
      <c r="D15547" t="s">
        <v>1</v>
      </c>
      <c r="E15547" t="s">
        <v>1</v>
      </c>
      <c r="F15547" t="s">
        <v>0</v>
      </c>
      <c r="G15547" t="str">
        <f>"2018-10-12 14:59:12"</f>
        <v>2018-10-12 14:59:12</v>
      </c>
    </row>
    <row r="15548" spans="1:7" x14ac:dyDescent="0.2">
      <c r="A15548" t="s">
        <v>1</v>
      </c>
      <c r="B15548" t="str">
        <f>"17607741237"</f>
        <v>17607741237</v>
      </c>
      <c r="C15548" t="s">
        <v>1</v>
      </c>
      <c r="D15548" t="s">
        <v>1</v>
      </c>
      <c r="E15548" t="s">
        <v>1</v>
      </c>
      <c r="F15548" t="s">
        <v>0</v>
      </c>
      <c r="G15548" t="str">
        <f>"2018-10-12 14:59:01"</f>
        <v>2018-10-12 14:59:01</v>
      </c>
    </row>
    <row r="15549" spans="1:7" x14ac:dyDescent="0.2">
      <c r="A15549" t="s">
        <v>15063</v>
      </c>
      <c r="B15549" t="str">
        <f>"18868157854"</f>
        <v>18868157854</v>
      </c>
      <c r="C15549" t="str">
        <f>"341024199010159754"</f>
        <v>341024199010159754</v>
      </c>
      <c r="D15549" t="s">
        <v>1</v>
      </c>
      <c r="E15549" t="s">
        <v>1</v>
      </c>
      <c r="F15549" t="s">
        <v>0</v>
      </c>
      <c r="G15549" t="str">
        <f>"2018-10-12 15:01:16"</f>
        <v>2018-10-12 15:01:16</v>
      </c>
    </row>
    <row r="15550" spans="1:7" x14ac:dyDescent="0.2">
      <c r="A15550" t="s">
        <v>1</v>
      </c>
      <c r="B15550" t="str">
        <f>"18728291898"</f>
        <v>18728291898</v>
      </c>
      <c r="C15550" t="s">
        <v>1</v>
      </c>
      <c r="D15550" t="s">
        <v>1</v>
      </c>
      <c r="E15550" t="s">
        <v>1</v>
      </c>
      <c r="F15550" t="s">
        <v>0</v>
      </c>
      <c r="G15550" t="str">
        <f>"2018-10-12 14:56:49"</f>
        <v>2018-10-12 14:56:49</v>
      </c>
    </row>
    <row r="15551" spans="1:7" x14ac:dyDescent="0.2">
      <c r="A15551" t="s">
        <v>15064</v>
      </c>
      <c r="B15551" t="str">
        <f>"15997592111"</f>
        <v>15997592111</v>
      </c>
      <c r="C15551" t="str">
        <f>"420581199501202212"</f>
        <v>420581199501202212</v>
      </c>
      <c r="D15551" t="s">
        <v>1</v>
      </c>
      <c r="E15551" t="s">
        <v>1</v>
      </c>
      <c r="F15551" t="s">
        <v>0</v>
      </c>
      <c r="G15551" t="str">
        <f>"2018-10-12 14:59:37"</f>
        <v>2018-10-12 14:59:37</v>
      </c>
    </row>
    <row r="15552" spans="1:7" x14ac:dyDescent="0.2">
      <c r="A15552" t="s">
        <v>14055</v>
      </c>
      <c r="B15552" t="str">
        <f>"13758166705"</f>
        <v>13758166705</v>
      </c>
      <c r="C15552" t="str">
        <f>"330182198609122650"</f>
        <v>330182198609122650</v>
      </c>
      <c r="D15552" t="s">
        <v>15065</v>
      </c>
      <c r="E15552" t="s">
        <v>15066</v>
      </c>
      <c r="F15552" t="s">
        <v>0</v>
      </c>
      <c r="G15552" t="str">
        <f>"2018-10-12 16:00:36"</f>
        <v>2018-10-12 16:00:36</v>
      </c>
    </row>
    <row r="15553" spans="1:7" x14ac:dyDescent="0.2">
      <c r="A15553" t="s">
        <v>7996</v>
      </c>
      <c r="B15553" t="str">
        <f>"18641117637"</f>
        <v>18641117637</v>
      </c>
      <c r="C15553" t="str">
        <f>"210204198705185378"</f>
        <v>210204198705185378</v>
      </c>
      <c r="D15553" t="s">
        <v>1</v>
      </c>
      <c r="E15553" t="s">
        <v>1</v>
      </c>
      <c r="F15553" t="s">
        <v>0</v>
      </c>
      <c r="G15553" t="str">
        <f>"2018-10-13 11:49:15"</f>
        <v>2018-10-13 11:49:15</v>
      </c>
    </row>
    <row r="15554" spans="1:7" x14ac:dyDescent="0.2">
      <c r="A15554" t="s">
        <v>15067</v>
      </c>
      <c r="B15554" t="str">
        <f>"13685863025"</f>
        <v>13685863025</v>
      </c>
      <c r="C15554" t="str">
        <f>"622429198504162926"</f>
        <v>622429198504162926</v>
      </c>
      <c r="D15554" t="s">
        <v>1</v>
      </c>
      <c r="E15554" t="s">
        <v>1</v>
      </c>
      <c r="F15554" t="s">
        <v>0</v>
      </c>
      <c r="G15554" t="str">
        <f>"2018-10-12 15:01:20"</f>
        <v>2018-10-12 15:01:20</v>
      </c>
    </row>
    <row r="15555" spans="1:7" x14ac:dyDescent="0.2">
      <c r="A15555" t="s">
        <v>1</v>
      </c>
      <c r="B15555" t="str">
        <f>"13276844154"</f>
        <v>13276844154</v>
      </c>
      <c r="C15555" t="s">
        <v>1</v>
      </c>
      <c r="D15555" t="s">
        <v>1</v>
      </c>
      <c r="E15555" t="s">
        <v>1</v>
      </c>
      <c r="F15555" t="s">
        <v>0</v>
      </c>
      <c r="G15555" t="str">
        <f>"2018-10-12 14:55:48"</f>
        <v>2018-10-12 14:55:48</v>
      </c>
    </row>
    <row r="15556" spans="1:7" x14ac:dyDescent="0.2">
      <c r="A15556" t="s">
        <v>15068</v>
      </c>
      <c r="B15556" t="str">
        <f>"13081298711"</f>
        <v>13081298711</v>
      </c>
      <c r="C15556" t="str">
        <f>"21078219790505303X"</f>
        <v>21078219790505303X</v>
      </c>
      <c r="D15556" t="s">
        <v>1</v>
      </c>
      <c r="E15556" t="s">
        <v>1</v>
      </c>
      <c r="F15556" t="s">
        <v>0</v>
      </c>
      <c r="G15556" t="str">
        <f>"2018-10-12 14:58:11"</f>
        <v>2018-10-12 14:58:11</v>
      </c>
    </row>
    <row r="15557" spans="1:7" x14ac:dyDescent="0.2">
      <c r="A15557" t="s">
        <v>15069</v>
      </c>
      <c r="B15557" t="str">
        <f>"13422609453"</f>
        <v>13422609453</v>
      </c>
      <c r="C15557" t="str">
        <f>"440782198710103313"</f>
        <v>440782198710103313</v>
      </c>
      <c r="D15557" t="s">
        <v>1</v>
      </c>
      <c r="E15557" t="s">
        <v>1</v>
      </c>
      <c r="F15557" t="s">
        <v>0</v>
      </c>
      <c r="G15557" t="str">
        <f>"2018-10-12 14:57:04"</f>
        <v>2018-10-12 14:57:04</v>
      </c>
    </row>
    <row r="15558" spans="1:7" x14ac:dyDescent="0.2">
      <c r="A15558" t="s">
        <v>154</v>
      </c>
      <c r="B15558" t="str">
        <f>"18321546317"</f>
        <v>18321546317</v>
      </c>
      <c r="C15558" t="str">
        <f>"52240119950714009X"</f>
        <v>52240119950714009X</v>
      </c>
      <c r="D15558" t="s">
        <v>1</v>
      </c>
      <c r="E15558" t="s">
        <v>1</v>
      </c>
      <c r="F15558" t="s">
        <v>0</v>
      </c>
      <c r="G15558" t="str">
        <f>"2018-10-12 14:57:26"</f>
        <v>2018-10-12 14:57:26</v>
      </c>
    </row>
    <row r="15559" spans="1:7" x14ac:dyDescent="0.2">
      <c r="A15559" t="s">
        <v>15070</v>
      </c>
      <c r="B15559" t="str">
        <f>"18077203727"</f>
        <v>18077203727</v>
      </c>
      <c r="C15559" t="str">
        <f>"450204197808041035"</f>
        <v>450204197808041035</v>
      </c>
      <c r="D15559" t="s">
        <v>1</v>
      </c>
      <c r="E15559" t="s">
        <v>1</v>
      </c>
      <c r="F15559" t="s">
        <v>0</v>
      </c>
      <c r="G15559" t="str">
        <f>"2018-10-12 15:40:46"</f>
        <v>2018-10-12 15:40:46</v>
      </c>
    </row>
    <row r="15560" spans="1:7" x14ac:dyDescent="0.2">
      <c r="A15560" t="s">
        <v>15071</v>
      </c>
      <c r="B15560" t="str">
        <f>"15105055775"</f>
        <v>15105055775</v>
      </c>
      <c r="C15560" t="str">
        <f>"350702198511033013"</f>
        <v>350702198511033013</v>
      </c>
      <c r="D15560" t="s">
        <v>15072</v>
      </c>
      <c r="E15560" t="s">
        <v>15073</v>
      </c>
      <c r="F15560" t="s">
        <v>0</v>
      </c>
      <c r="G15560" t="str">
        <f>"2018-10-12 14:56:47"</f>
        <v>2018-10-12 14:56:47</v>
      </c>
    </row>
    <row r="15561" spans="1:7" x14ac:dyDescent="0.2">
      <c r="A15561" t="s">
        <v>15074</v>
      </c>
      <c r="B15561" t="str">
        <f>"15524327249"</f>
        <v>15524327249</v>
      </c>
      <c r="C15561" t="str">
        <f>"220582199403161110"</f>
        <v>220582199403161110</v>
      </c>
      <c r="D15561" t="s">
        <v>1</v>
      </c>
      <c r="E15561" t="s">
        <v>1</v>
      </c>
      <c r="F15561" t="s">
        <v>0</v>
      </c>
      <c r="G15561" t="str">
        <f>"2018-10-12 14:55:35"</f>
        <v>2018-10-12 14:55:35</v>
      </c>
    </row>
    <row r="15562" spans="1:7" x14ac:dyDescent="0.2">
      <c r="A15562" t="s">
        <v>15075</v>
      </c>
      <c r="B15562" t="str">
        <f>"18637386519"</f>
        <v>18637386519</v>
      </c>
      <c r="C15562" t="str">
        <f>"410728199106016038"</f>
        <v>410728199106016038</v>
      </c>
      <c r="D15562" t="s">
        <v>1</v>
      </c>
      <c r="E15562" t="s">
        <v>1</v>
      </c>
      <c r="F15562" t="s">
        <v>0</v>
      </c>
      <c r="G15562" t="str">
        <f>"2018-10-14 12:32:44"</f>
        <v>2018-10-14 12:32:44</v>
      </c>
    </row>
    <row r="15563" spans="1:7" x14ac:dyDescent="0.2">
      <c r="A15563" t="s">
        <v>1</v>
      </c>
      <c r="B15563" t="str">
        <f>"14769623291"</f>
        <v>14769623291</v>
      </c>
      <c r="C15563" t="s">
        <v>1</v>
      </c>
      <c r="D15563" t="s">
        <v>1</v>
      </c>
      <c r="E15563" t="s">
        <v>1</v>
      </c>
      <c r="F15563" t="s">
        <v>0</v>
      </c>
      <c r="G15563" t="str">
        <f>"2018-10-12 14:53:23"</f>
        <v>2018-10-12 14:53:23</v>
      </c>
    </row>
    <row r="15564" spans="1:7" x14ac:dyDescent="0.2">
      <c r="A15564" t="s">
        <v>475</v>
      </c>
      <c r="B15564" t="str">
        <f>"18474362838"</f>
        <v>18474362838</v>
      </c>
      <c r="C15564" t="str">
        <f>"433125197710010033"</f>
        <v>433125197710010033</v>
      </c>
      <c r="D15564" t="s">
        <v>15076</v>
      </c>
      <c r="E15564" t="s">
        <v>15077</v>
      </c>
      <c r="F15564" t="s">
        <v>0</v>
      </c>
      <c r="G15564" t="str">
        <f>"2018-10-12 15:22:49"</f>
        <v>2018-10-12 15:22:49</v>
      </c>
    </row>
    <row r="15565" spans="1:7" x14ac:dyDescent="0.2">
      <c r="A15565" t="s">
        <v>152</v>
      </c>
      <c r="B15565" t="str">
        <f>"15305242223"</f>
        <v>15305242223</v>
      </c>
      <c r="C15565" t="str">
        <f>"321322199308244062"</f>
        <v>321322199308244062</v>
      </c>
      <c r="D15565" t="s">
        <v>1</v>
      </c>
      <c r="E15565" t="s">
        <v>1</v>
      </c>
      <c r="F15565" t="s">
        <v>0</v>
      </c>
      <c r="G15565" t="str">
        <f>"2018-10-16 09:59:36"</f>
        <v>2018-10-16 09:59:36</v>
      </c>
    </row>
    <row r="15566" spans="1:7" x14ac:dyDescent="0.2">
      <c r="A15566" t="s">
        <v>1</v>
      </c>
      <c r="B15566" t="str">
        <f>"17689220624"</f>
        <v>17689220624</v>
      </c>
      <c r="C15566" t="s">
        <v>1</v>
      </c>
      <c r="D15566" t="s">
        <v>1</v>
      </c>
      <c r="E15566" t="s">
        <v>1</v>
      </c>
      <c r="F15566" t="s">
        <v>0</v>
      </c>
      <c r="G15566" t="str">
        <f>"2018-10-12 14:51:51"</f>
        <v>2018-10-12 14:51:51</v>
      </c>
    </row>
    <row r="15567" spans="1:7" x14ac:dyDescent="0.2">
      <c r="A15567" t="s">
        <v>15078</v>
      </c>
      <c r="B15567" t="str">
        <f>"13583333519"</f>
        <v>13583333519</v>
      </c>
      <c r="C15567" t="str">
        <f>"370303198712273513"</f>
        <v>370303198712273513</v>
      </c>
      <c r="D15567" t="s">
        <v>1</v>
      </c>
      <c r="E15567" t="s">
        <v>1</v>
      </c>
      <c r="F15567" t="s">
        <v>0</v>
      </c>
      <c r="G15567" t="str">
        <f>"2018-10-12 14:51:48"</f>
        <v>2018-10-12 14:51:48</v>
      </c>
    </row>
    <row r="15568" spans="1:7" x14ac:dyDescent="0.2">
      <c r="A15568" t="s">
        <v>15079</v>
      </c>
      <c r="B15568" t="str">
        <f>"13886766577"</f>
        <v>13886766577</v>
      </c>
      <c r="C15568" t="str">
        <f>"42282719830913143X"</f>
        <v>42282719830913143X</v>
      </c>
      <c r="D15568" t="s">
        <v>1</v>
      </c>
      <c r="E15568" t="s">
        <v>1</v>
      </c>
      <c r="F15568" t="s">
        <v>0</v>
      </c>
      <c r="G15568" t="str">
        <f>"2018-10-12 14:53:15"</f>
        <v>2018-10-12 14:53:15</v>
      </c>
    </row>
    <row r="15569" spans="1:7" x14ac:dyDescent="0.2">
      <c r="A15569" t="s">
        <v>15080</v>
      </c>
      <c r="B15569" t="str">
        <f>"13658545887"</f>
        <v>13658545887</v>
      </c>
      <c r="C15569" t="str">
        <f>"522727198908030014"</f>
        <v>522727198908030014</v>
      </c>
      <c r="D15569" t="s">
        <v>1</v>
      </c>
      <c r="E15569" t="s">
        <v>1</v>
      </c>
      <c r="F15569" t="s">
        <v>0</v>
      </c>
      <c r="G15569" t="str">
        <f>"2018-10-12 14:53:13"</f>
        <v>2018-10-12 14:53:13</v>
      </c>
    </row>
    <row r="15570" spans="1:7" x14ac:dyDescent="0.2">
      <c r="A15570" t="s">
        <v>219</v>
      </c>
      <c r="B15570" t="str">
        <f>"15847329383"</f>
        <v>15847329383</v>
      </c>
      <c r="C15570" t="str">
        <f>"150403198601110513"</f>
        <v>150403198601110513</v>
      </c>
      <c r="D15570" t="s">
        <v>1</v>
      </c>
      <c r="E15570" t="s">
        <v>1</v>
      </c>
      <c r="F15570" t="s">
        <v>0</v>
      </c>
      <c r="G15570" t="str">
        <f>"2018-10-12 15:05:34"</f>
        <v>2018-10-12 15:05:34</v>
      </c>
    </row>
    <row r="15571" spans="1:7" x14ac:dyDescent="0.2">
      <c r="A15571" t="s">
        <v>1</v>
      </c>
      <c r="B15571" t="str">
        <f>"15197232169"</f>
        <v>15197232169</v>
      </c>
      <c r="C15571" t="s">
        <v>1</v>
      </c>
      <c r="D15571" t="s">
        <v>1</v>
      </c>
      <c r="E15571" t="s">
        <v>1</v>
      </c>
      <c r="F15571" t="s">
        <v>0</v>
      </c>
      <c r="G15571" t="str">
        <f>"2018-10-12 14:51:31"</f>
        <v>2018-10-12 14:51:31</v>
      </c>
    </row>
    <row r="15572" spans="1:7" x14ac:dyDescent="0.2">
      <c r="A15572" t="s">
        <v>1446</v>
      </c>
      <c r="B15572" t="str">
        <f>"18574111112"</f>
        <v>18574111112</v>
      </c>
      <c r="C15572" t="str">
        <f>"41010219910416011X"</f>
        <v>41010219910416011X</v>
      </c>
      <c r="D15572" t="s">
        <v>1</v>
      </c>
      <c r="E15572" t="s">
        <v>1</v>
      </c>
      <c r="F15572" t="s">
        <v>0</v>
      </c>
      <c r="G15572" t="str">
        <f>"2018-10-12 14:53:56"</f>
        <v>2018-10-12 14:53:56</v>
      </c>
    </row>
    <row r="15573" spans="1:7" x14ac:dyDescent="0.2">
      <c r="A15573" t="s">
        <v>15081</v>
      </c>
      <c r="B15573" t="str">
        <f>"15803923998"</f>
        <v>15803923998</v>
      </c>
      <c r="C15573" t="str">
        <f>"410603199206180529"</f>
        <v>410603199206180529</v>
      </c>
      <c r="D15573" t="s">
        <v>1</v>
      </c>
      <c r="E15573" t="s">
        <v>1</v>
      </c>
      <c r="F15573" t="s">
        <v>0</v>
      </c>
      <c r="G15573" t="str">
        <f>"2018-10-12 15:08:01"</f>
        <v>2018-10-12 15:08:01</v>
      </c>
    </row>
    <row r="15574" spans="1:7" x14ac:dyDescent="0.2">
      <c r="A15574" t="s">
        <v>1547</v>
      </c>
      <c r="B15574" t="str">
        <f>"13626964998"</f>
        <v>13626964998</v>
      </c>
      <c r="C15574" t="str">
        <f>"35072419870618002X"</f>
        <v>35072419870618002X</v>
      </c>
      <c r="D15574" t="s">
        <v>1</v>
      </c>
      <c r="E15574" t="s">
        <v>1</v>
      </c>
      <c r="F15574" t="s">
        <v>0</v>
      </c>
      <c r="G15574" t="str">
        <f>"2018-10-12 14:52:29"</f>
        <v>2018-10-12 14:52:29</v>
      </c>
    </row>
    <row r="15575" spans="1:7" x14ac:dyDescent="0.2">
      <c r="A15575" t="s">
        <v>15082</v>
      </c>
      <c r="B15575" t="str">
        <f>"13163936113"</f>
        <v>13163936113</v>
      </c>
      <c r="C15575" t="str">
        <f>"511923199011170255"</f>
        <v>511923199011170255</v>
      </c>
      <c r="D15575" t="s">
        <v>1</v>
      </c>
      <c r="E15575" t="s">
        <v>1</v>
      </c>
      <c r="F15575" t="s">
        <v>0</v>
      </c>
      <c r="G15575" t="str">
        <f>"2018-10-15 16:41:17"</f>
        <v>2018-10-15 16:41:17</v>
      </c>
    </row>
    <row r="15576" spans="1:7" x14ac:dyDescent="0.2">
      <c r="A15576" t="s">
        <v>1</v>
      </c>
      <c r="B15576" t="str">
        <f>"18501991826"</f>
        <v>18501991826</v>
      </c>
      <c r="C15576" t="s">
        <v>1</v>
      </c>
      <c r="D15576" t="s">
        <v>1</v>
      </c>
      <c r="E15576" t="s">
        <v>1</v>
      </c>
      <c r="F15576" t="s">
        <v>0</v>
      </c>
      <c r="G15576" t="str">
        <f>"2018-10-12 14:50:50"</f>
        <v>2018-10-12 14:50:50</v>
      </c>
    </row>
    <row r="15577" spans="1:7" x14ac:dyDescent="0.2">
      <c r="A15577" t="s">
        <v>15083</v>
      </c>
      <c r="B15577" t="str">
        <f>"18927548362"</f>
        <v>18927548362</v>
      </c>
      <c r="C15577" t="str">
        <f>"362202199211256515"</f>
        <v>362202199211256515</v>
      </c>
      <c r="D15577" t="s">
        <v>1</v>
      </c>
      <c r="E15577" t="s">
        <v>1</v>
      </c>
      <c r="F15577" t="s">
        <v>0</v>
      </c>
      <c r="G15577" t="str">
        <f>"2018-10-12 14:51:49"</f>
        <v>2018-10-12 14:51:49</v>
      </c>
    </row>
    <row r="15578" spans="1:7" x14ac:dyDescent="0.2">
      <c r="A15578" t="s">
        <v>1</v>
      </c>
      <c r="B15578" t="str">
        <f>"13658718982"</f>
        <v>13658718982</v>
      </c>
      <c r="C15578" t="s">
        <v>1</v>
      </c>
      <c r="D15578" t="s">
        <v>1</v>
      </c>
      <c r="E15578" t="s">
        <v>1</v>
      </c>
      <c r="F15578" t="s">
        <v>0</v>
      </c>
      <c r="G15578" t="str">
        <f>"2018-10-12 14:50:16"</f>
        <v>2018-10-12 14:50:16</v>
      </c>
    </row>
    <row r="15579" spans="1:7" x14ac:dyDescent="0.2">
      <c r="A15579" t="s">
        <v>1</v>
      </c>
      <c r="B15579" t="str">
        <f>"15819679955"</f>
        <v>15819679955</v>
      </c>
      <c r="C15579" t="s">
        <v>1</v>
      </c>
      <c r="D15579" t="s">
        <v>1</v>
      </c>
      <c r="E15579" t="s">
        <v>1</v>
      </c>
      <c r="F15579" t="s">
        <v>0</v>
      </c>
      <c r="G15579" t="str">
        <f>"2018-10-12 14:50:07"</f>
        <v>2018-10-12 14:50:07</v>
      </c>
    </row>
    <row r="15580" spans="1:7" x14ac:dyDescent="0.2">
      <c r="A15580" t="s">
        <v>1</v>
      </c>
      <c r="B15580" t="str">
        <f>"13553858233"</f>
        <v>13553858233</v>
      </c>
      <c r="C15580" t="s">
        <v>1</v>
      </c>
      <c r="D15580" t="s">
        <v>1</v>
      </c>
      <c r="E15580" t="s">
        <v>1</v>
      </c>
      <c r="F15580" t="s">
        <v>0</v>
      </c>
      <c r="G15580" t="str">
        <f>"2018-10-12 14:53:38"</f>
        <v>2018-10-12 14:53:38</v>
      </c>
    </row>
    <row r="15581" spans="1:7" x14ac:dyDescent="0.2">
      <c r="A15581" t="s">
        <v>15084</v>
      </c>
      <c r="B15581" t="str">
        <f>"13904839369"</f>
        <v>13904839369</v>
      </c>
      <c r="C15581" t="str">
        <f>"231005198710180029"</f>
        <v>231005198710180029</v>
      </c>
      <c r="D15581" t="s">
        <v>15085</v>
      </c>
      <c r="E15581" t="s">
        <v>15086</v>
      </c>
      <c r="F15581" t="s">
        <v>0</v>
      </c>
      <c r="G15581" t="str">
        <f>"2018-10-12 14:50:51"</f>
        <v>2018-10-12 14:50:51</v>
      </c>
    </row>
    <row r="15582" spans="1:7" x14ac:dyDescent="0.2">
      <c r="A15582" t="s">
        <v>291</v>
      </c>
      <c r="B15582" t="str">
        <f>"13628199657"</f>
        <v>13628199657</v>
      </c>
      <c r="C15582" t="str">
        <f>"511181198504023013"</f>
        <v>511181198504023013</v>
      </c>
      <c r="D15582" t="s">
        <v>1</v>
      </c>
      <c r="E15582" t="s">
        <v>1</v>
      </c>
      <c r="F15582" t="s">
        <v>0</v>
      </c>
      <c r="G15582" t="str">
        <f>"2018-10-18 17:24:10"</f>
        <v>2018-10-18 17:24:10</v>
      </c>
    </row>
    <row r="15583" spans="1:7" x14ac:dyDescent="0.2">
      <c r="A15583" t="s">
        <v>1</v>
      </c>
      <c r="B15583" t="str">
        <f>"13450276218"</f>
        <v>13450276218</v>
      </c>
      <c r="C15583" t="s">
        <v>1</v>
      </c>
      <c r="D15583" t="s">
        <v>1</v>
      </c>
      <c r="E15583" t="s">
        <v>1</v>
      </c>
      <c r="F15583" t="s">
        <v>0</v>
      </c>
      <c r="G15583" t="str">
        <f>"2018-10-12 14:49:09"</f>
        <v>2018-10-12 14:49:09</v>
      </c>
    </row>
    <row r="15584" spans="1:7" x14ac:dyDescent="0.2">
      <c r="A15584" t="s">
        <v>15087</v>
      </c>
      <c r="B15584" t="str">
        <f>"15901266345"</f>
        <v>15901266345</v>
      </c>
      <c r="C15584" t="str">
        <f>"110223198703233554"</f>
        <v>110223198703233554</v>
      </c>
      <c r="D15584" t="s">
        <v>1</v>
      </c>
      <c r="E15584" t="s">
        <v>1</v>
      </c>
      <c r="F15584" t="s">
        <v>0</v>
      </c>
      <c r="G15584" t="str">
        <f>"2018-10-12 14:49:00"</f>
        <v>2018-10-12 14:49:00</v>
      </c>
    </row>
    <row r="15585" spans="1:7" x14ac:dyDescent="0.2">
      <c r="A15585" t="s">
        <v>15088</v>
      </c>
      <c r="B15585" t="str">
        <f>"15752959407"</f>
        <v>15752959407</v>
      </c>
      <c r="C15585" t="str">
        <f>"532123199809281318"</f>
        <v>532123199809281318</v>
      </c>
      <c r="D15585" t="s">
        <v>1</v>
      </c>
      <c r="E15585" t="s">
        <v>1</v>
      </c>
      <c r="F15585" t="s">
        <v>0</v>
      </c>
      <c r="G15585" t="str">
        <f>"2018-10-12 14:54:08"</f>
        <v>2018-10-12 14:54:08</v>
      </c>
    </row>
    <row r="15586" spans="1:7" x14ac:dyDescent="0.2">
      <c r="A15586" t="s">
        <v>1</v>
      </c>
      <c r="B15586" t="str">
        <f>"13947594557"</f>
        <v>13947594557</v>
      </c>
      <c r="C15586" t="s">
        <v>1</v>
      </c>
      <c r="D15586" t="s">
        <v>1</v>
      </c>
      <c r="E15586" t="s">
        <v>1</v>
      </c>
      <c r="F15586" t="s">
        <v>0</v>
      </c>
      <c r="G15586" t="str">
        <f>"2018-10-12 14:47:36"</f>
        <v>2018-10-12 14:47:36</v>
      </c>
    </row>
    <row r="15587" spans="1:7" x14ac:dyDescent="0.2">
      <c r="A15587" t="s">
        <v>15089</v>
      </c>
      <c r="B15587" t="str">
        <f>"15173733583"</f>
        <v>15173733583</v>
      </c>
      <c r="C15587" t="str">
        <f>"430981199206154637"</f>
        <v>430981199206154637</v>
      </c>
      <c r="D15587" t="s">
        <v>1</v>
      </c>
      <c r="E15587" t="s">
        <v>1</v>
      </c>
      <c r="F15587" t="s">
        <v>0</v>
      </c>
      <c r="G15587" t="str">
        <f>"2018-10-12 14:47:31"</f>
        <v>2018-10-12 14:47:31</v>
      </c>
    </row>
    <row r="15588" spans="1:7" x14ac:dyDescent="0.2">
      <c r="A15588" t="s">
        <v>15090</v>
      </c>
      <c r="B15588" t="str">
        <f>"15138383728"</f>
        <v>15138383728</v>
      </c>
      <c r="C15588" t="str">
        <f>"41272119951102141X"</f>
        <v>41272119951102141X</v>
      </c>
      <c r="D15588" t="s">
        <v>1</v>
      </c>
      <c r="E15588" t="s">
        <v>1</v>
      </c>
      <c r="F15588" t="s">
        <v>0</v>
      </c>
      <c r="G15588" t="str">
        <f>"2018-10-31 15:56:41"</f>
        <v>2018-10-31 15:56:41</v>
      </c>
    </row>
    <row r="15589" spans="1:7" x14ac:dyDescent="0.2">
      <c r="A15589" t="s">
        <v>15091</v>
      </c>
      <c r="B15589" t="str">
        <f>"13990498892"</f>
        <v>13990498892</v>
      </c>
      <c r="C15589" t="str">
        <f>"51332719861001801X"</f>
        <v>51332719861001801X</v>
      </c>
      <c r="D15589" t="s">
        <v>1</v>
      </c>
      <c r="E15589" t="s">
        <v>1</v>
      </c>
      <c r="F15589" t="s">
        <v>0</v>
      </c>
      <c r="G15589" t="str">
        <f>"2018-10-12 14:48:36"</f>
        <v>2018-10-12 14:48:36</v>
      </c>
    </row>
    <row r="15590" spans="1:7" x14ac:dyDescent="0.2">
      <c r="A15590" t="s">
        <v>15092</v>
      </c>
      <c r="B15590" t="str">
        <f>"18008186521"</f>
        <v>18008186521</v>
      </c>
      <c r="C15590" t="str">
        <f>"513022199204152471"</f>
        <v>513022199204152471</v>
      </c>
      <c r="D15590" t="s">
        <v>1</v>
      </c>
      <c r="E15590" t="s">
        <v>1</v>
      </c>
      <c r="F15590" t="s">
        <v>0</v>
      </c>
      <c r="G15590" t="str">
        <f>"2018-10-12 14:47:26"</f>
        <v>2018-10-12 14:47:26</v>
      </c>
    </row>
    <row r="15591" spans="1:7" x14ac:dyDescent="0.2">
      <c r="A15591" t="s">
        <v>1</v>
      </c>
      <c r="B15591" t="str">
        <f>"18523314236"</f>
        <v>18523314236</v>
      </c>
      <c r="C15591" t="s">
        <v>1</v>
      </c>
      <c r="D15591" t="s">
        <v>1</v>
      </c>
      <c r="E15591" t="s">
        <v>1</v>
      </c>
      <c r="F15591" t="s">
        <v>0</v>
      </c>
      <c r="G15591" t="str">
        <f>"2018-10-12 14:46:18"</f>
        <v>2018-10-12 14:46:18</v>
      </c>
    </row>
    <row r="15592" spans="1:7" x14ac:dyDescent="0.2">
      <c r="A15592" t="s">
        <v>1</v>
      </c>
      <c r="B15592" t="str">
        <f>"15536274477"</f>
        <v>15536274477</v>
      </c>
      <c r="C15592" t="s">
        <v>1</v>
      </c>
      <c r="D15592" t="s">
        <v>1</v>
      </c>
      <c r="E15592" t="s">
        <v>1</v>
      </c>
      <c r="F15592" t="s">
        <v>0</v>
      </c>
      <c r="G15592" t="str">
        <f>"2018-10-12 14:46:18"</f>
        <v>2018-10-12 14:46:18</v>
      </c>
    </row>
    <row r="15593" spans="1:7" x14ac:dyDescent="0.2">
      <c r="A15593" t="s">
        <v>1</v>
      </c>
      <c r="B15593" t="str">
        <f>"17156996411"</f>
        <v>17156996411</v>
      </c>
      <c r="C15593" t="s">
        <v>1</v>
      </c>
      <c r="D15593" t="s">
        <v>1</v>
      </c>
      <c r="E15593" t="s">
        <v>1</v>
      </c>
      <c r="F15593" t="s">
        <v>0</v>
      </c>
      <c r="G15593" t="str">
        <f>"2018-10-12 14:45:47"</f>
        <v>2018-10-12 14:45:47</v>
      </c>
    </row>
    <row r="15594" spans="1:7" x14ac:dyDescent="0.2">
      <c r="A15594" t="s">
        <v>3856</v>
      </c>
      <c r="B15594" t="str">
        <f>"13349570590"</f>
        <v>13349570590</v>
      </c>
      <c r="C15594" t="str">
        <f>"23232619870305201X"</f>
        <v>23232619870305201X</v>
      </c>
      <c r="D15594" t="s">
        <v>1</v>
      </c>
      <c r="E15594" t="s">
        <v>1</v>
      </c>
      <c r="F15594" t="s">
        <v>0</v>
      </c>
      <c r="G15594" t="str">
        <f>"2018-10-12 14:48:21"</f>
        <v>2018-10-12 14:48:21</v>
      </c>
    </row>
    <row r="15595" spans="1:7" x14ac:dyDescent="0.2">
      <c r="A15595" t="s">
        <v>358</v>
      </c>
      <c r="B15595" t="str">
        <f>"14790419978"</f>
        <v>14790419978</v>
      </c>
      <c r="C15595" t="str">
        <f>"342425199309180872"</f>
        <v>342425199309180872</v>
      </c>
      <c r="D15595" t="s">
        <v>1</v>
      </c>
      <c r="E15595" t="s">
        <v>1</v>
      </c>
      <c r="F15595" t="s">
        <v>0</v>
      </c>
      <c r="G15595" t="str">
        <f>"2018-10-12 14:48:27"</f>
        <v>2018-10-12 14:48:27</v>
      </c>
    </row>
    <row r="15596" spans="1:7" x14ac:dyDescent="0.2">
      <c r="A15596" t="s">
        <v>15093</v>
      </c>
      <c r="B15596" t="str">
        <f>"17752232419"</f>
        <v>17752232419</v>
      </c>
      <c r="C15596" t="str">
        <f>"620524199502064069"</f>
        <v>620524199502064069</v>
      </c>
      <c r="D15596" t="s">
        <v>1</v>
      </c>
      <c r="E15596" t="s">
        <v>1</v>
      </c>
      <c r="F15596" t="s">
        <v>0</v>
      </c>
      <c r="G15596" t="str">
        <f>"2018-10-12 14:47:29"</f>
        <v>2018-10-12 14:47:29</v>
      </c>
    </row>
    <row r="15597" spans="1:7" x14ac:dyDescent="0.2">
      <c r="A15597" t="s">
        <v>15094</v>
      </c>
      <c r="B15597" t="str">
        <f>"15263257345"</f>
        <v>15263257345</v>
      </c>
      <c r="C15597" t="str">
        <f>"370402199703084335"</f>
        <v>370402199703084335</v>
      </c>
      <c r="D15597" t="s">
        <v>15095</v>
      </c>
      <c r="E15597" t="s">
        <v>15096</v>
      </c>
      <c r="F15597" t="s">
        <v>0</v>
      </c>
      <c r="G15597" t="str">
        <f>"2018-10-12 14:46:40"</f>
        <v>2018-10-12 14:46:40</v>
      </c>
    </row>
    <row r="15598" spans="1:7" x14ac:dyDescent="0.2">
      <c r="A15598" t="s">
        <v>1</v>
      </c>
      <c r="B15598" t="str">
        <f>"18363239101"</f>
        <v>18363239101</v>
      </c>
      <c r="C15598" t="s">
        <v>1</v>
      </c>
      <c r="D15598" t="s">
        <v>1</v>
      </c>
      <c r="E15598" t="s">
        <v>1</v>
      </c>
      <c r="F15598" t="s">
        <v>0</v>
      </c>
      <c r="G15598" t="str">
        <f>"2018-10-12 14:44:57"</f>
        <v>2018-10-12 14:44:57</v>
      </c>
    </row>
    <row r="15599" spans="1:7" x14ac:dyDescent="0.2">
      <c r="A15599" t="s">
        <v>15097</v>
      </c>
      <c r="B15599" t="str">
        <f>"18179024319"</f>
        <v>18179024319</v>
      </c>
      <c r="C15599" t="str">
        <f>"360502198609024319"</f>
        <v>360502198609024319</v>
      </c>
      <c r="D15599" t="s">
        <v>1</v>
      </c>
      <c r="E15599" t="s">
        <v>1</v>
      </c>
      <c r="F15599" t="s">
        <v>0</v>
      </c>
      <c r="G15599" t="str">
        <f>"2018-10-12 14:53:48"</f>
        <v>2018-10-12 14:53:48</v>
      </c>
    </row>
    <row r="15600" spans="1:7" x14ac:dyDescent="0.2">
      <c r="A15600" t="s">
        <v>1</v>
      </c>
      <c r="B15600" t="str">
        <f>"18757209906"</f>
        <v>18757209906</v>
      </c>
      <c r="C15600" t="s">
        <v>1</v>
      </c>
      <c r="D15600" t="s">
        <v>1</v>
      </c>
      <c r="E15600" t="s">
        <v>1</v>
      </c>
      <c r="F15600" t="s">
        <v>0</v>
      </c>
      <c r="G15600" t="str">
        <f>"2018-10-12 14:44:28"</f>
        <v>2018-10-12 14:44:28</v>
      </c>
    </row>
    <row r="15601" spans="1:7" x14ac:dyDescent="0.2">
      <c r="A15601" t="s">
        <v>15098</v>
      </c>
      <c r="B15601" t="str">
        <f>"13216972337"</f>
        <v>13216972337</v>
      </c>
      <c r="C15601" t="str">
        <f>"331082199911142337"</f>
        <v>331082199911142337</v>
      </c>
      <c r="D15601" t="s">
        <v>1</v>
      </c>
      <c r="E15601" t="s">
        <v>1</v>
      </c>
      <c r="F15601" t="s">
        <v>0</v>
      </c>
      <c r="G15601" t="str">
        <f>"2018-10-13 07:09:37"</f>
        <v>2018-10-13 07:09:37</v>
      </c>
    </row>
    <row r="15602" spans="1:7" x14ac:dyDescent="0.2">
      <c r="A15602" t="s">
        <v>1</v>
      </c>
      <c r="B15602" t="str">
        <f>"17041861290"</f>
        <v>17041861290</v>
      </c>
      <c r="C15602" t="s">
        <v>1</v>
      </c>
      <c r="D15602" t="s">
        <v>1</v>
      </c>
      <c r="E15602" t="s">
        <v>1</v>
      </c>
      <c r="F15602" t="s">
        <v>0</v>
      </c>
      <c r="G15602" t="str">
        <f>"2018-10-12 14:43:53"</f>
        <v>2018-10-12 14:43:53</v>
      </c>
    </row>
    <row r="15603" spans="1:7" x14ac:dyDescent="0.2">
      <c r="A15603" t="s">
        <v>15099</v>
      </c>
      <c r="B15603" t="str">
        <f>"15862071850"</f>
        <v>15862071850</v>
      </c>
      <c r="C15603" t="str">
        <f>"320982199210016473"</f>
        <v>320982199210016473</v>
      </c>
      <c r="D15603" t="s">
        <v>1</v>
      </c>
      <c r="E15603" t="s">
        <v>1</v>
      </c>
      <c r="F15603" t="s">
        <v>0</v>
      </c>
      <c r="G15603" t="str">
        <f>"2018-10-21 14:45:39"</f>
        <v>2018-10-21 14:45:39</v>
      </c>
    </row>
    <row r="15604" spans="1:7" x14ac:dyDescent="0.2">
      <c r="A15604" t="s">
        <v>1</v>
      </c>
      <c r="B15604" t="str">
        <f>"15169331212"</f>
        <v>15169331212</v>
      </c>
      <c r="C15604" t="s">
        <v>1</v>
      </c>
      <c r="D15604" t="s">
        <v>1</v>
      </c>
      <c r="E15604" t="s">
        <v>1</v>
      </c>
      <c r="F15604" t="s">
        <v>0</v>
      </c>
      <c r="G15604" t="str">
        <f>"2018-10-12 14:43:25"</f>
        <v>2018-10-12 14:43:25</v>
      </c>
    </row>
    <row r="15605" spans="1:7" x14ac:dyDescent="0.2">
      <c r="A15605" t="s">
        <v>15100</v>
      </c>
      <c r="B15605" t="str">
        <f>"15985778358"</f>
        <v>15985778358</v>
      </c>
      <c r="C15605" t="str">
        <f>"350128199206082332"</f>
        <v>350128199206082332</v>
      </c>
      <c r="D15605" t="s">
        <v>1</v>
      </c>
      <c r="E15605" t="s">
        <v>1</v>
      </c>
      <c r="F15605" t="s">
        <v>0</v>
      </c>
      <c r="G15605" t="str">
        <f>"2018-10-12 14:45:05"</f>
        <v>2018-10-12 14:45:05</v>
      </c>
    </row>
    <row r="15606" spans="1:7" x14ac:dyDescent="0.2">
      <c r="A15606" t="s">
        <v>12056</v>
      </c>
      <c r="B15606" t="str">
        <f>"18791113377"</f>
        <v>18791113377</v>
      </c>
      <c r="C15606" t="str">
        <f>"612732198502162730"</f>
        <v>612732198502162730</v>
      </c>
      <c r="D15606" t="s">
        <v>1</v>
      </c>
      <c r="E15606" t="s">
        <v>1</v>
      </c>
      <c r="F15606" t="s">
        <v>0</v>
      </c>
      <c r="G15606" t="str">
        <f>"2018-10-12 14:44:39"</f>
        <v>2018-10-12 14:44:39</v>
      </c>
    </row>
    <row r="15607" spans="1:7" x14ac:dyDescent="0.2">
      <c r="A15607" t="s">
        <v>15101</v>
      </c>
      <c r="B15607" t="str">
        <f>"15856312469"</f>
        <v>15856312469</v>
      </c>
      <c r="C15607" t="str">
        <f>"342502198204027229"</f>
        <v>342502198204027229</v>
      </c>
      <c r="D15607" t="s">
        <v>1</v>
      </c>
      <c r="E15607" t="s">
        <v>1</v>
      </c>
      <c r="F15607" t="s">
        <v>0</v>
      </c>
      <c r="G15607" t="str">
        <f>"2018-10-12 14:42:40"</f>
        <v>2018-10-12 14:42:40</v>
      </c>
    </row>
    <row r="15608" spans="1:7" x14ac:dyDescent="0.2">
      <c r="A15608" t="s">
        <v>15102</v>
      </c>
      <c r="B15608" t="str">
        <f>"17839142787"</f>
        <v>17839142787</v>
      </c>
      <c r="C15608" t="str">
        <f>"412727199511246270"</f>
        <v>412727199511246270</v>
      </c>
      <c r="D15608" t="s">
        <v>1</v>
      </c>
      <c r="E15608" t="s">
        <v>1</v>
      </c>
      <c r="F15608" t="s">
        <v>0</v>
      </c>
      <c r="G15608" t="str">
        <f>"2018-10-12 14:45:18"</f>
        <v>2018-10-12 14:45:18</v>
      </c>
    </row>
    <row r="15609" spans="1:7" x14ac:dyDescent="0.2">
      <c r="A15609" t="s">
        <v>15103</v>
      </c>
      <c r="B15609" t="str">
        <f>"18011307092"</f>
        <v>18011307092</v>
      </c>
      <c r="C15609" t="str">
        <f>"51090219831127477X"</f>
        <v>51090219831127477X</v>
      </c>
      <c r="D15609" t="s">
        <v>1</v>
      </c>
      <c r="E15609" t="s">
        <v>1</v>
      </c>
      <c r="F15609" t="s">
        <v>0</v>
      </c>
      <c r="G15609" t="str">
        <f>"2018-10-12 14:43:32"</f>
        <v>2018-10-12 14:43:32</v>
      </c>
    </row>
    <row r="15610" spans="1:7" x14ac:dyDescent="0.2">
      <c r="A15610" t="s">
        <v>15104</v>
      </c>
      <c r="B15610" t="str">
        <f>"15298245329"</f>
        <v>15298245329</v>
      </c>
      <c r="C15610" t="str">
        <f>"512921197802187917"</f>
        <v>512921197802187917</v>
      </c>
      <c r="D15610" t="s">
        <v>1</v>
      </c>
      <c r="E15610" t="s">
        <v>1</v>
      </c>
      <c r="F15610" t="s">
        <v>0</v>
      </c>
      <c r="G15610" t="str">
        <f>"2018-10-12 14:44:07"</f>
        <v>2018-10-12 14:44:07</v>
      </c>
    </row>
    <row r="15611" spans="1:7" x14ac:dyDescent="0.2">
      <c r="A15611" t="s">
        <v>15105</v>
      </c>
      <c r="B15611" t="str">
        <f>"18235661497"</f>
        <v>18235661497</v>
      </c>
      <c r="C15611" t="str">
        <f>"140522199008111061"</f>
        <v>140522199008111061</v>
      </c>
      <c r="D15611" t="s">
        <v>1</v>
      </c>
      <c r="E15611" t="s">
        <v>1</v>
      </c>
      <c r="F15611" t="s">
        <v>0</v>
      </c>
      <c r="G15611" t="str">
        <f>"2018-10-12 14:42:25"</f>
        <v>2018-10-12 14:42:25</v>
      </c>
    </row>
    <row r="15612" spans="1:7" x14ac:dyDescent="0.2">
      <c r="A15612" t="s">
        <v>15106</v>
      </c>
      <c r="B15612" t="str">
        <f>"15081946373"</f>
        <v>15081946373</v>
      </c>
      <c r="C15612" t="str">
        <f>"130283199305101534"</f>
        <v>130283199305101534</v>
      </c>
      <c r="D15612" t="s">
        <v>15107</v>
      </c>
      <c r="E15612" t="s">
        <v>15108</v>
      </c>
      <c r="F15612" t="s">
        <v>0</v>
      </c>
      <c r="G15612" t="str">
        <f>"2018-10-12 14:42:02"</f>
        <v>2018-10-12 14:42:02</v>
      </c>
    </row>
    <row r="15613" spans="1:7" x14ac:dyDescent="0.2">
      <c r="A15613" t="s">
        <v>1</v>
      </c>
      <c r="B15613" t="str">
        <f>"15861433603"</f>
        <v>15861433603</v>
      </c>
      <c r="C15613" t="s">
        <v>1</v>
      </c>
      <c r="D15613" t="s">
        <v>1</v>
      </c>
      <c r="E15613" t="s">
        <v>1</v>
      </c>
      <c r="F15613" t="s">
        <v>0</v>
      </c>
      <c r="G15613" t="str">
        <f>"2018-10-12 14:43:58"</f>
        <v>2018-10-12 14:43:58</v>
      </c>
    </row>
    <row r="15614" spans="1:7" x14ac:dyDescent="0.2">
      <c r="A15614" t="s">
        <v>15109</v>
      </c>
      <c r="B15614" t="str">
        <f>"15995670262"</f>
        <v>15995670262</v>
      </c>
      <c r="C15614" t="str">
        <f>"320324198710150635"</f>
        <v>320324198710150635</v>
      </c>
      <c r="D15614" t="s">
        <v>1</v>
      </c>
      <c r="E15614" t="s">
        <v>1</v>
      </c>
      <c r="F15614" t="s">
        <v>0</v>
      </c>
      <c r="G15614" t="str">
        <f>"2018-10-12 14:42:21"</f>
        <v>2018-10-12 14:42:21</v>
      </c>
    </row>
    <row r="15615" spans="1:7" x14ac:dyDescent="0.2">
      <c r="A15615" t="s">
        <v>15110</v>
      </c>
      <c r="B15615" t="str">
        <f>"15871678787"</f>
        <v>15871678787</v>
      </c>
      <c r="C15615" t="str">
        <f>"420528199003221814"</f>
        <v>420528199003221814</v>
      </c>
      <c r="D15615" t="s">
        <v>1</v>
      </c>
      <c r="E15615" t="s">
        <v>1</v>
      </c>
      <c r="F15615" t="s">
        <v>0</v>
      </c>
      <c r="G15615" t="str">
        <f>"2018-10-12 14:48:31"</f>
        <v>2018-10-12 14:48:31</v>
      </c>
    </row>
    <row r="15616" spans="1:7" x14ac:dyDescent="0.2">
      <c r="A15616" t="s">
        <v>15111</v>
      </c>
      <c r="B15616" t="str">
        <f>"13985310852"</f>
        <v>13985310852</v>
      </c>
      <c r="C15616" t="str">
        <f>"522527199206280020"</f>
        <v>522527199206280020</v>
      </c>
      <c r="D15616" t="s">
        <v>1</v>
      </c>
      <c r="E15616" t="s">
        <v>1</v>
      </c>
      <c r="F15616" t="s">
        <v>0</v>
      </c>
      <c r="G15616" t="str">
        <f>"2018-10-12 14:42:33"</f>
        <v>2018-10-12 14:42:33</v>
      </c>
    </row>
    <row r="15617" spans="1:7" x14ac:dyDescent="0.2">
      <c r="A15617" t="s">
        <v>1</v>
      </c>
      <c r="B15617" t="str">
        <f>"13406916651"</f>
        <v>13406916651</v>
      </c>
      <c r="C15617" t="s">
        <v>1</v>
      </c>
      <c r="D15617" t="s">
        <v>1</v>
      </c>
      <c r="E15617" t="s">
        <v>1</v>
      </c>
      <c r="F15617" t="s">
        <v>0</v>
      </c>
      <c r="G15617" t="str">
        <f>"2018-10-12 15:05:27"</f>
        <v>2018-10-12 15:05:27</v>
      </c>
    </row>
    <row r="15618" spans="1:7" x14ac:dyDescent="0.2">
      <c r="A15618" t="s">
        <v>1</v>
      </c>
      <c r="B15618" t="str">
        <f>"15959209361"</f>
        <v>15959209361</v>
      </c>
      <c r="C15618" t="s">
        <v>1</v>
      </c>
      <c r="D15618" t="s">
        <v>1</v>
      </c>
      <c r="E15618" t="s">
        <v>1</v>
      </c>
      <c r="F15618" t="s">
        <v>0</v>
      </c>
      <c r="G15618" t="str">
        <f>"2018-10-12 14:40:05"</f>
        <v>2018-10-12 14:40:05</v>
      </c>
    </row>
    <row r="15619" spans="1:7" x14ac:dyDescent="0.2">
      <c r="A15619" t="s">
        <v>15112</v>
      </c>
      <c r="B15619" t="str">
        <f>"18655897163"</f>
        <v>18655897163</v>
      </c>
      <c r="C15619" t="str">
        <f>"341226200204041315"</f>
        <v>341226200204041315</v>
      </c>
      <c r="D15619" t="s">
        <v>1</v>
      </c>
      <c r="E15619" t="s">
        <v>1</v>
      </c>
      <c r="F15619" t="s">
        <v>0</v>
      </c>
      <c r="G15619" t="str">
        <f>"2018-10-12 14:41:06"</f>
        <v>2018-10-12 14:41:06</v>
      </c>
    </row>
    <row r="15620" spans="1:7" x14ac:dyDescent="0.2">
      <c r="A15620" t="s">
        <v>15113</v>
      </c>
      <c r="B15620" t="str">
        <f>"15072273656"</f>
        <v>15072273656</v>
      </c>
      <c r="C15620" t="str">
        <f>"411328198311105026"</f>
        <v>411328198311105026</v>
      </c>
      <c r="D15620" t="s">
        <v>15114</v>
      </c>
      <c r="E15620" t="s">
        <v>15115</v>
      </c>
      <c r="F15620" t="s">
        <v>0</v>
      </c>
      <c r="G15620" t="str">
        <f>"2018-10-31 15:46:23"</f>
        <v>2018-10-31 15:46:23</v>
      </c>
    </row>
    <row r="15621" spans="1:7" x14ac:dyDescent="0.2">
      <c r="A15621" t="s">
        <v>1202</v>
      </c>
      <c r="B15621" t="str">
        <f>"13867279024"</f>
        <v>13867279024</v>
      </c>
      <c r="C15621" t="str">
        <f>"330523199703311331"</f>
        <v>330523199703311331</v>
      </c>
      <c r="D15621" t="s">
        <v>1</v>
      </c>
      <c r="E15621" t="s">
        <v>1</v>
      </c>
      <c r="F15621" t="s">
        <v>0</v>
      </c>
      <c r="G15621" t="str">
        <f>"2018-10-12 14:45:04"</f>
        <v>2018-10-12 14:45:04</v>
      </c>
    </row>
    <row r="15622" spans="1:7" x14ac:dyDescent="0.2">
      <c r="A15622" t="s">
        <v>1</v>
      </c>
      <c r="B15622" t="str">
        <f>"13118862655"</f>
        <v>13118862655</v>
      </c>
      <c r="C15622" t="s">
        <v>1</v>
      </c>
      <c r="D15622" t="s">
        <v>1</v>
      </c>
      <c r="E15622" t="s">
        <v>1</v>
      </c>
      <c r="F15622" t="s">
        <v>0</v>
      </c>
      <c r="G15622" t="str">
        <f>"2018-10-12 14:47:42"</f>
        <v>2018-10-12 14:47:42</v>
      </c>
    </row>
    <row r="15623" spans="1:7" x14ac:dyDescent="0.2">
      <c r="A15623" t="s">
        <v>1</v>
      </c>
      <c r="B15623" t="str">
        <f>"15959979133"</f>
        <v>15959979133</v>
      </c>
      <c r="C15623" t="s">
        <v>1</v>
      </c>
      <c r="D15623" t="s">
        <v>1</v>
      </c>
      <c r="E15623" t="s">
        <v>1</v>
      </c>
      <c r="F15623" t="s">
        <v>0</v>
      </c>
      <c r="G15623" t="str">
        <f>"2018-10-12 14:38:53"</f>
        <v>2018-10-12 14:38:53</v>
      </c>
    </row>
    <row r="15624" spans="1:7" x14ac:dyDescent="0.2">
      <c r="A15624" t="s">
        <v>15116</v>
      </c>
      <c r="B15624" t="str">
        <f>"18701272657"</f>
        <v>18701272657</v>
      </c>
      <c r="C15624" t="str">
        <f>"610422199708280111"</f>
        <v>610422199708280111</v>
      </c>
      <c r="D15624" t="s">
        <v>15117</v>
      </c>
      <c r="E15624" t="s">
        <v>15118</v>
      </c>
      <c r="F15624" t="s">
        <v>0</v>
      </c>
      <c r="G15624" t="str">
        <f>"2018-10-15 15:02:07"</f>
        <v>2018-10-15 15:02:07</v>
      </c>
    </row>
    <row r="15625" spans="1:7" x14ac:dyDescent="0.2">
      <c r="A15625" t="s">
        <v>1</v>
      </c>
      <c r="B15625" t="str">
        <f>"13185811032"</f>
        <v>13185811032</v>
      </c>
      <c r="C15625" t="s">
        <v>1</v>
      </c>
      <c r="D15625" t="s">
        <v>1</v>
      </c>
      <c r="E15625" t="s">
        <v>1</v>
      </c>
      <c r="F15625" t="s">
        <v>0</v>
      </c>
      <c r="G15625" t="str">
        <f>"2018-10-12 14:38:19"</f>
        <v>2018-10-12 14:38:19</v>
      </c>
    </row>
    <row r="15626" spans="1:7" x14ac:dyDescent="0.2">
      <c r="A15626" t="s">
        <v>15119</v>
      </c>
      <c r="B15626" t="str">
        <f>"15277560827"</f>
        <v>15277560827</v>
      </c>
      <c r="C15626" t="str">
        <f>"45082119910915301X"</f>
        <v>45082119910915301X</v>
      </c>
      <c r="D15626" t="s">
        <v>1</v>
      </c>
      <c r="E15626" t="s">
        <v>1</v>
      </c>
      <c r="F15626" t="s">
        <v>0</v>
      </c>
      <c r="G15626" t="str">
        <f>"2018-10-12 14:38:53"</f>
        <v>2018-10-12 14:38:53</v>
      </c>
    </row>
    <row r="15627" spans="1:7" x14ac:dyDescent="0.2">
      <c r="A15627" t="s">
        <v>15120</v>
      </c>
      <c r="B15627" t="str">
        <f>"18622236277"</f>
        <v>18622236277</v>
      </c>
      <c r="C15627" t="str">
        <f>"120103198310061721"</f>
        <v>120103198310061721</v>
      </c>
      <c r="D15627" t="s">
        <v>1</v>
      </c>
      <c r="E15627" t="s">
        <v>1</v>
      </c>
      <c r="F15627" t="s">
        <v>0</v>
      </c>
      <c r="G15627" t="str">
        <f>"2018-10-15 15:48:06"</f>
        <v>2018-10-15 15:48:06</v>
      </c>
    </row>
    <row r="15628" spans="1:7" x14ac:dyDescent="0.2">
      <c r="A15628" t="s">
        <v>15121</v>
      </c>
      <c r="B15628" t="str">
        <f>"18046921599"</f>
        <v>18046921599</v>
      </c>
      <c r="C15628" t="str">
        <f>"431121198911063497"</f>
        <v>431121198911063497</v>
      </c>
      <c r="D15628" t="s">
        <v>1</v>
      </c>
      <c r="E15628" t="s">
        <v>1</v>
      </c>
      <c r="F15628" t="s">
        <v>0</v>
      </c>
      <c r="G15628" t="str">
        <f>"2018-10-12 14:38:18"</f>
        <v>2018-10-12 14:38:18</v>
      </c>
    </row>
    <row r="15629" spans="1:7" x14ac:dyDescent="0.2">
      <c r="A15629" t="s">
        <v>15122</v>
      </c>
      <c r="B15629" t="str">
        <f>"18709266128"</f>
        <v>18709266128</v>
      </c>
      <c r="C15629" t="str">
        <f>"612524199311243814"</f>
        <v>612524199311243814</v>
      </c>
      <c r="D15629" t="s">
        <v>15123</v>
      </c>
      <c r="E15629" t="s">
        <v>15124</v>
      </c>
      <c r="F15629" t="s">
        <v>0</v>
      </c>
      <c r="G15629" t="str">
        <f>"2018-10-19 10:07:01"</f>
        <v>2018-10-19 10:07:01</v>
      </c>
    </row>
    <row r="15630" spans="1:7" x14ac:dyDescent="0.2">
      <c r="A15630" t="s">
        <v>15125</v>
      </c>
      <c r="B15630" t="str">
        <f>"18354925993"</f>
        <v>18354925993</v>
      </c>
      <c r="C15630" t="str">
        <f>"372823195901185214"</f>
        <v>372823195901185214</v>
      </c>
      <c r="D15630" t="s">
        <v>1</v>
      </c>
      <c r="E15630" t="s">
        <v>1</v>
      </c>
      <c r="F15630" t="s">
        <v>0</v>
      </c>
      <c r="G15630" t="str">
        <f>"2018-10-12 14:40:37"</f>
        <v>2018-10-12 14:40:37</v>
      </c>
    </row>
    <row r="15631" spans="1:7" x14ac:dyDescent="0.2">
      <c r="A15631" t="s">
        <v>1</v>
      </c>
      <c r="B15631" t="str">
        <f>"15003328299"</f>
        <v>15003328299</v>
      </c>
      <c r="C15631" t="s">
        <v>1</v>
      </c>
      <c r="D15631" t="s">
        <v>1</v>
      </c>
      <c r="E15631" t="s">
        <v>1</v>
      </c>
      <c r="F15631" t="s">
        <v>0</v>
      </c>
      <c r="G15631" t="str">
        <f>"2018-10-12 14:37:16"</f>
        <v>2018-10-12 14:37:16</v>
      </c>
    </row>
    <row r="15632" spans="1:7" x14ac:dyDescent="0.2">
      <c r="A15632" t="s">
        <v>159</v>
      </c>
      <c r="B15632" t="str">
        <f>"13572561823"</f>
        <v>13572561823</v>
      </c>
      <c r="C15632" t="str">
        <f>"61020219900724084X"</f>
        <v>61020219900724084X</v>
      </c>
      <c r="D15632" t="s">
        <v>1</v>
      </c>
      <c r="E15632" t="s">
        <v>1</v>
      </c>
      <c r="F15632" t="s">
        <v>0</v>
      </c>
      <c r="G15632" t="str">
        <f>"2018-10-12 14:39:00"</f>
        <v>2018-10-12 14:39:00</v>
      </c>
    </row>
    <row r="15633" spans="1:7" x14ac:dyDescent="0.2">
      <c r="A15633" t="s">
        <v>105</v>
      </c>
      <c r="B15633" t="str">
        <f>"13285317775"</f>
        <v>13285317775</v>
      </c>
      <c r="C15633" t="str">
        <f>"37092319831005253X"</f>
        <v>37092319831005253X</v>
      </c>
      <c r="D15633" t="s">
        <v>1</v>
      </c>
      <c r="E15633" t="s">
        <v>1</v>
      </c>
      <c r="F15633" t="s">
        <v>0</v>
      </c>
      <c r="G15633" t="str">
        <f>"2018-10-12 14:37:22"</f>
        <v>2018-10-12 14:37:22</v>
      </c>
    </row>
    <row r="15634" spans="1:7" x14ac:dyDescent="0.2">
      <c r="A15634" t="s">
        <v>15126</v>
      </c>
      <c r="B15634" t="str">
        <f>"15578709608"</f>
        <v>15578709608</v>
      </c>
      <c r="C15634" t="str">
        <f>"450702199610080016"</f>
        <v>450702199610080016</v>
      </c>
      <c r="D15634" t="s">
        <v>1</v>
      </c>
      <c r="E15634" t="s">
        <v>1</v>
      </c>
      <c r="F15634" t="s">
        <v>0</v>
      </c>
      <c r="G15634" t="str">
        <f>"2018-10-12 16:03:48"</f>
        <v>2018-10-12 16:03:48</v>
      </c>
    </row>
    <row r="15635" spans="1:7" x14ac:dyDescent="0.2">
      <c r="A15635" t="s">
        <v>15127</v>
      </c>
      <c r="B15635" t="str">
        <f>"18364444062"</f>
        <v>18364444062</v>
      </c>
      <c r="C15635" t="str">
        <f>"370683198710162914"</f>
        <v>370683198710162914</v>
      </c>
      <c r="D15635" t="s">
        <v>1</v>
      </c>
      <c r="E15635" t="s">
        <v>1</v>
      </c>
      <c r="F15635" t="s">
        <v>0</v>
      </c>
      <c r="G15635" t="str">
        <f>"2018-10-12 14:36:35"</f>
        <v>2018-10-12 14:36:35</v>
      </c>
    </row>
    <row r="15636" spans="1:7" x14ac:dyDescent="0.2">
      <c r="A15636" t="s">
        <v>15128</v>
      </c>
      <c r="B15636" t="str">
        <f>"18292639206"</f>
        <v>18292639206</v>
      </c>
      <c r="C15636" t="str">
        <f>"610528199312067211"</f>
        <v>610528199312067211</v>
      </c>
      <c r="D15636" t="s">
        <v>1</v>
      </c>
      <c r="E15636" t="s">
        <v>1</v>
      </c>
      <c r="F15636" t="s">
        <v>0</v>
      </c>
      <c r="G15636" t="str">
        <f>"2018-10-29 17:20:36"</f>
        <v>2018-10-29 17:20:36</v>
      </c>
    </row>
    <row r="15637" spans="1:7" x14ac:dyDescent="0.2">
      <c r="A15637" t="s">
        <v>15129</v>
      </c>
      <c r="B15637" t="str">
        <f>"13926533371"</f>
        <v>13926533371</v>
      </c>
      <c r="C15637" t="str">
        <f>"441423199004062330"</f>
        <v>441423199004062330</v>
      </c>
      <c r="D15637" t="s">
        <v>15130</v>
      </c>
      <c r="E15637" t="s">
        <v>15130</v>
      </c>
      <c r="F15637" t="s">
        <v>0</v>
      </c>
      <c r="G15637" t="str">
        <f>"2018-10-23 16:22:22"</f>
        <v>2018-10-23 16:22:22</v>
      </c>
    </row>
    <row r="15638" spans="1:7" x14ac:dyDescent="0.2">
      <c r="A15638" t="s">
        <v>12710</v>
      </c>
      <c r="B15638" t="str">
        <f>"13575084026"</f>
        <v>13575084026</v>
      </c>
      <c r="C15638" t="str">
        <f>"430603198107052010"</f>
        <v>430603198107052010</v>
      </c>
      <c r="D15638" t="s">
        <v>1</v>
      </c>
      <c r="E15638" t="s">
        <v>1</v>
      </c>
      <c r="F15638" t="s">
        <v>0</v>
      </c>
      <c r="G15638" t="str">
        <f>"2018-10-12 14:37:24"</f>
        <v>2018-10-12 14:37:24</v>
      </c>
    </row>
    <row r="15639" spans="1:7" x14ac:dyDescent="0.2">
      <c r="A15639" t="s">
        <v>1</v>
      </c>
      <c r="B15639" t="str">
        <f>"18308449706"</f>
        <v>18308449706</v>
      </c>
      <c r="C15639" t="s">
        <v>1</v>
      </c>
      <c r="D15639" t="s">
        <v>1</v>
      </c>
      <c r="E15639" t="s">
        <v>1</v>
      </c>
      <c r="F15639" t="s">
        <v>0</v>
      </c>
      <c r="G15639" t="str">
        <f>"2018-10-12 14:35:08"</f>
        <v>2018-10-12 14:35:08</v>
      </c>
    </row>
    <row r="15640" spans="1:7" x14ac:dyDescent="0.2">
      <c r="A15640" t="s">
        <v>323</v>
      </c>
      <c r="B15640" t="str">
        <f>"17691234716"</f>
        <v>17691234716</v>
      </c>
      <c r="C15640" t="str">
        <f>"610113199007160931"</f>
        <v>610113199007160931</v>
      </c>
      <c r="D15640" t="s">
        <v>15131</v>
      </c>
      <c r="E15640" t="s">
        <v>15132</v>
      </c>
      <c r="F15640" t="s">
        <v>0</v>
      </c>
      <c r="G15640" t="str">
        <f>"2018-10-12 14:36:15"</f>
        <v>2018-10-12 14:36:15</v>
      </c>
    </row>
    <row r="15641" spans="1:7" x14ac:dyDescent="0.2">
      <c r="A15641" t="s">
        <v>1</v>
      </c>
      <c r="B15641" t="str">
        <f>"13907680435"</f>
        <v>13907680435</v>
      </c>
      <c r="C15641" t="s">
        <v>1</v>
      </c>
      <c r="D15641" t="s">
        <v>1</v>
      </c>
      <c r="E15641" t="s">
        <v>1</v>
      </c>
      <c r="F15641" t="s">
        <v>0</v>
      </c>
      <c r="G15641" t="str">
        <f>"2018-10-12 14:34:21"</f>
        <v>2018-10-12 14:34:21</v>
      </c>
    </row>
    <row r="15642" spans="1:7" x14ac:dyDescent="0.2">
      <c r="A15642" t="s">
        <v>1</v>
      </c>
      <c r="B15642" t="str">
        <f>"15735940115"</f>
        <v>15735940115</v>
      </c>
      <c r="C15642" t="s">
        <v>1</v>
      </c>
      <c r="D15642" t="s">
        <v>1</v>
      </c>
      <c r="E15642" t="s">
        <v>1</v>
      </c>
      <c r="F15642" t="s">
        <v>0</v>
      </c>
      <c r="G15642" t="str">
        <f>"2018-10-12 14:34:12"</f>
        <v>2018-10-12 14:34:12</v>
      </c>
    </row>
    <row r="15643" spans="1:7" x14ac:dyDescent="0.2">
      <c r="A15643" t="s">
        <v>1</v>
      </c>
      <c r="B15643" t="str">
        <f>"13611975792"</f>
        <v>13611975792</v>
      </c>
      <c r="C15643" t="s">
        <v>1</v>
      </c>
      <c r="D15643" t="s">
        <v>1</v>
      </c>
      <c r="E15643" t="s">
        <v>1</v>
      </c>
      <c r="F15643" t="s">
        <v>0</v>
      </c>
      <c r="G15643" t="str">
        <f>"2018-10-12 14:33:56"</f>
        <v>2018-10-12 14:33:56</v>
      </c>
    </row>
    <row r="15644" spans="1:7" x14ac:dyDescent="0.2">
      <c r="A15644" t="s">
        <v>1542</v>
      </c>
      <c r="B15644" t="str">
        <f>"13104386200"</f>
        <v>13104386200</v>
      </c>
      <c r="C15644" t="str">
        <f>"220721197102161810"</f>
        <v>220721197102161810</v>
      </c>
      <c r="D15644" t="s">
        <v>1</v>
      </c>
      <c r="E15644" t="s">
        <v>1</v>
      </c>
      <c r="F15644" t="s">
        <v>0</v>
      </c>
      <c r="G15644" t="str">
        <f>"2018-10-12 14:40:35"</f>
        <v>2018-10-12 14:40:35</v>
      </c>
    </row>
    <row r="15645" spans="1:7" x14ac:dyDescent="0.2">
      <c r="A15645" t="s">
        <v>15133</v>
      </c>
      <c r="B15645" t="str">
        <f>"13278532132"</f>
        <v>13278532132</v>
      </c>
      <c r="C15645" t="str">
        <f>"220382199706242742"</f>
        <v>220382199706242742</v>
      </c>
      <c r="D15645" t="s">
        <v>1</v>
      </c>
      <c r="E15645" t="s">
        <v>1</v>
      </c>
      <c r="F15645" t="s">
        <v>0</v>
      </c>
      <c r="G15645" t="str">
        <f>"2018-10-12 14:34:31"</f>
        <v>2018-10-12 14:34:31</v>
      </c>
    </row>
    <row r="15646" spans="1:7" x14ac:dyDescent="0.2">
      <c r="A15646" t="s">
        <v>1</v>
      </c>
      <c r="B15646" t="str">
        <f>"13931801478"</f>
        <v>13931801478</v>
      </c>
      <c r="C15646" t="s">
        <v>1</v>
      </c>
      <c r="D15646" t="s">
        <v>1</v>
      </c>
      <c r="E15646" t="s">
        <v>1</v>
      </c>
      <c r="F15646" t="s">
        <v>0</v>
      </c>
      <c r="G15646" t="str">
        <f>"2018-10-12 14:32:57"</f>
        <v>2018-10-12 14:32:57</v>
      </c>
    </row>
    <row r="15647" spans="1:7" x14ac:dyDescent="0.2">
      <c r="A15647" t="s">
        <v>1</v>
      </c>
      <c r="B15647" t="str">
        <f>"17156996415"</f>
        <v>17156996415</v>
      </c>
      <c r="C15647" t="s">
        <v>1</v>
      </c>
      <c r="D15647" t="s">
        <v>1</v>
      </c>
      <c r="E15647" t="s">
        <v>1</v>
      </c>
      <c r="F15647" t="s">
        <v>0</v>
      </c>
      <c r="G15647" t="str">
        <f>"2018-10-12 14:32:56"</f>
        <v>2018-10-12 14:32:56</v>
      </c>
    </row>
    <row r="15648" spans="1:7" x14ac:dyDescent="0.2">
      <c r="A15648" t="s">
        <v>14611</v>
      </c>
      <c r="B15648" t="str">
        <f>"13593400457"</f>
        <v>13593400457</v>
      </c>
      <c r="C15648" t="str">
        <f>"142328199009050829"</f>
        <v>142328199009050829</v>
      </c>
      <c r="D15648" t="s">
        <v>1</v>
      </c>
      <c r="E15648" t="s">
        <v>1</v>
      </c>
      <c r="F15648" t="s">
        <v>0</v>
      </c>
      <c r="G15648" t="str">
        <f>"2018-10-12 14:34:11"</f>
        <v>2018-10-12 14:34:11</v>
      </c>
    </row>
    <row r="15649" spans="1:7" x14ac:dyDescent="0.2">
      <c r="A15649" t="s">
        <v>15134</v>
      </c>
      <c r="B15649" t="str">
        <f>"15212735617"</f>
        <v>15212735617</v>
      </c>
      <c r="C15649" t="str">
        <f>"341226199706145215"</f>
        <v>341226199706145215</v>
      </c>
      <c r="D15649" t="s">
        <v>15135</v>
      </c>
      <c r="E15649" t="s">
        <v>15136</v>
      </c>
      <c r="F15649" t="s">
        <v>0</v>
      </c>
      <c r="G15649" t="str">
        <f>"2018-10-12 14:32:07"</f>
        <v>2018-10-12 14:32:07</v>
      </c>
    </row>
    <row r="15650" spans="1:7" x14ac:dyDescent="0.2">
      <c r="A15650" t="s">
        <v>15137</v>
      </c>
      <c r="B15650" t="str">
        <f>"13899515171"</f>
        <v>13899515171</v>
      </c>
      <c r="C15650" t="str">
        <f>"65900119880730362X"</f>
        <v>65900119880730362X</v>
      </c>
      <c r="D15650" t="s">
        <v>1</v>
      </c>
      <c r="E15650" t="s">
        <v>1</v>
      </c>
      <c r="F15650" t="s">
        <v>0</v>
      </c>
      <c r="G15650" t="str">
        <f>"2018-10-12 14:54:40"</f>
        <v>2018-10-12 14:54:40</v>
      </c>
    </row>
    <row r="15651" spans="1:7" x14ac:dyDescent="0.2">
      <c r="A15651" t="s">
        <v>15138</v>
      </c>
      <c r="B15651" t="str">
        <f>"15236039858"</f>
        <v>15236039858</v>
      </c>
      <c r="C15651" t="str">
        <f>"41133019870321002X"</f>
        <v>41133019870321002X</v>
      </c>
      <c r="D15651" t="s">
        <v>15139</v>
      </c>
      <c r="E15651" t="s">
        <v>15140</v>
      </c>
      <c r="F15651" t="s">
        <v>0</v>
      </c>
      <c r="G15651" t="str">
        <f>"2018-10-12 17:53:28"</f>
        <v>2018-10-12 17:53:28</v>
      </c>
    </row>
    <row r="15652" spans="1:7" x14ac:dyDescent="0.2">
      <c r="A15652" t="s">
        <v>15141</v>
      </c>
      <c r="B15652" t="str">
        <f>"13548827126"</f>
        <v>13548827126</v>
      </c>
      <c r="C15652" t="str">
        <f>"430903198706044270"</f>
        <v>430903198706044270</v>
      </c>
      <c r="D15652" t="s">
        <v>15142</v>
      </c>
      <c r="E15652" t="s">
        <v>15143</v>
      </c>
      <c r="F15652" t="s">
        <v>0</v>
      </c>
      <c r="G15652" t="str">
        <f>"2018-10-12 14:37:14"</f>
        <v>2018-10-12 14:37:14</v>
      </c>
    </row>
    <row r="15653" spans="1:7" x14ac:dyDescent="0.2">
      <c r="A15653" t="s">
        <v>15144</v>
      </c>
      <c r="B15653" t="str">
        <f>"18859933139"</f>
        <v>18859933139</v>
      </c>
      <c r="C15653" t="str">
        <f>"350525198901281622"</f>
        <v>350525198901281622</v>
      </c>
      <c r="D15653" t="s">
        <v>1</v>
      </c>
      <c r="E15653" t="s">
        <v>1</v>
      </c>
      <c r="F15653" t="s">
        <v>0</v>
      </c>
      <c r="G15653" t="str">
        <f>"2018-10-12 20:11:11"</f>
        <v>2018-10-12 20:11:11</v>
      </c>
    </row>
    <row r="15654" spans="1:7" x14ac:dyDescent="0.2">
      <c r="A15654" t="s">
        <v>15145</v>
      </c>
      <c r="B15654" t="str">
        <f>"18025497617"</f>
        <v>18025497617</v>
      </c>
      <c r="C15654" t="str">
        <f>"612132195208094048"</f>
        <v>612132195208094048</v>
      </c>
      <c r="D15654" t="s">
        <v>1</v>
      </c>
      <c r="E15654" t="s">
        <v>1</v>
      </c>
      <c r="F15654" t="s">
        <v>0</v>
      </c>
      <c r="G15654" t="str">
        <f>"2018-10-12 14:29:35"</f>
        <v>2018-10-12 14:29:35</v>
      </c>
    </row>
    <row r="15655" spans="1:7" x14ac:dyDescent="0.2">
      <c r="A15655" t="s">
        <v>1</v>
      </c>
      <c r="B15655" t="str">
        <f>"18632989329"</f>
        <v>18632989329</v>
      </c>
      <c r="C15655" t="s">
        <v>1</v>
      </c>
      <c r="D15655" t="s">
        <v>1</v>
      </c>
      <c r="E15655" t="s">
        <v>1</v>
      </c>
      <c r="F15655" t="s">
        <v>0</v>
      </c>
      <c r="G15655" t="str">
        <f>"2018-10-12 14:31:59"</f>
        <v>2018-10-12 14:31:59</v>
      </c>
    </row>
    <row r="15656" spans="1:7" x14ac:dyDescent="0.2">
      <c r="A15656" t="s">
        <v>545</v>
      </c>
      <c r="B15656" t="str">
        <f>"13707331999"</f>
        <v>13707331999</v>
      </c>
      <c r="C15656" t="str">
        <f>"430203197312073017"</f>
        <v>430203197312073017</v>
      </c>
      <c r="D15656" t="s">
        <v>15146</v>
      </c>
      <c r="E15656" t="s">
        <v>15147</v>
      </c>
      <c r="F15656" t="s">
        <v>0</v>
      </c>
      <c r="G15656" t="str">
        <f>"2018-10-12 14:31:35"</f>
        <v>2018-10-12 14:31:35</v>
      </c>
    </row>
    <row r="15657" spans="1:7" x14ac:dyDescent="0.2">
      <c r="A15657" t="s">
        <v>1138</v>
      </c>
      <c r="B15657" t="str">
        <f>"18352590361"</f>
        <v>18352590361</v>
      </c>
      <c r="C15657" t="str">
        <f>"320282198710101137"</f>
        <v>320282198710101137</v>
      </c>
      <c r="D15657" t="s">
        <v>1</v>
      </c>
      <c r="E15657" t="s">
        <v>1</v>
      </c>
      <c r="F15657" t="s">
        <v>0</v>
      </c>
      <c r="G15657" t="str">
        <f>"2018-10-12 14:28:47"</f>
        <v>2018-10-12 14:28:47</v>
      </c>
    </row>
    <row r="15658" spans="1:7" x14ac:dyDescent="0.2">
      <c r="A15658" t="s">
        <v>15148</v>
      </c>
      <c r="B15658" t="str">
        <f>"15830103478"</f>
        <v>15830103478</v>
      </c>
      <c r="C15658" t="str">
        <f>"130130198405142453"</f>
        <v>130130198405142453</v>
      </c>
      <c r="D15658" t="s">
        <v>1</v>
      </c>
      <c r="E15658" t="s">
        <v>1</v>
      </c>
      <c r="F15658" t="s">
        <v>0</v>
      </c>
      <c r="G15658" t="str">
        <f>"2018-10-12 16:07:33"</f>
        <v>2018-10-12 16:07:33</v>
      </c>
    </row>
    <row r="15659" spans="1:7" x14ac:dyDescent="0.2">
      <c r="A15659" t="s">
        <v>14</v>
      </c>
      <c r="B15659" t="str">
        <f>"17663715004"</f>
        <v>17663715004</v>
      </c>
      <c r="C15659" t="str">
        <f>"371425199511102872"</f>
        <v>371425199511102872</v>
      </c>
      <c r="D15659" t="s">
        <v>1</v>
      </c>
      <c r="E15659" t="s">
        <v>1</v>
      </c>
      <c r="F15659" t="s">
        <v>0</v>
      </c>
      <c r="G15659" t="str">
        <f>"2018-10-12 14:26:28"</f>
        <v>2018-10-12 14:26:28</v>
      </c>
    </row>
    <row r="15660" spans="1:7" x14ac:dyDescent="0.2">
      <c r="A15660" t="s">
        <v>15149</v>
      </c>
      <c r="B15660" t="str">
        <f>"13266226433"</f>
        <v>13266226433</v>
      </c>
      <c r="C15660" t="str">
        <f>"52212119941005125X"</f>
        <v>52212119941005125X</v>
      </c>
      <c r="D15660" t="s">
        <v>1</v>
      </c>
      <c r="E15660" t="s">
        <v>1</v>
      </c>
      <c r="F15660" t="s">
        <v>0</v>
      </c>
      <c r="G15660" t="str">
        <f>"2018-10-12 14:30:29"</f>
        <v>2018-10-12 14:30:29</v>
      </c>
    </row>
    <row r="15661" spans="1:7" x14ac:dyDescent="0.2">
      <c r="A15661" t="s">
        <v>15150</v>
      </c>
      <c r="B15661" t="str">
        <f>"18520588696"</f>
        <v>18520588696</v>
      </c>
      <c r="C15661" t="str">
        <f>"431322199702270010"</f>
        <v>431322199702270010</v>
      </c>
      <c r="D15661" t="s">
        <v>15151</v>
      </c>
      <c r="E15661" t="s">
        <v>15152</v>
      </c>
      <c r="F15661" t="s">
        <v>0</v>
      </c>
      <c r="G15661" t="str">
        <f>"2018-10-12 14:37:02"</f>
        <v>2018-10-12 14:37:02</v>
      </c>
    </row>
    <row r="15662" spans="1:7" x14ac:dyDescent="0.2">
      <c r="A15662" t="s">
        <v>15153</v>
      </c>
      <c r="B15662" t="str">
        <f>"13226525220"</f>
        <v>13226525220</v>
      </c>
      <c r="C15662" t="str">
        <f>"440204199601063912"</f>
        <v>440204199601063912</v>
      </c>
      <c r="D15662" t="s">
        <v>1</v>
      </c>
      <c r="E15662" t="s">
        <v>1</v>
      </c>
      <c r="F15662" t="s">
        <v>0</v>
      </c>
      <c r="G15662" t="str">
        <f>"2018-10-12 14:27:10"</f>
        <v>2018-10-12 14:27:10</v>
      </c>
    </row>
    <row r="15663" spans="1:7" x14ac:dyDescent="0.2">
      <c r="A15663" t="s">
        <v>15154</v>
      </c>
      <c r="B15663" t="str">
        <f>"15069465570"</f>
        <v>15069465570</v>
      </c>
      <c r="C15663" t="str">
        <f>"320382199205205234"</f>
        <v>320382199205205234</v>
      </c>
      <c r="D15663" t="s">
        <v>15155</v>
      </c>
      <c r="E15663" t="s">
        <v>15156</v>
      </c>
      <c r="F15663" t="s">
        <v>0</v>
      </c>
      <c r="G15663" t="str">
        <f>"2018-10-12 14:36:05"</f>
        <v>2018-10-12 14:36:05</v>
      </c>
    </row>
    <row r="15664" spans="1:7" x14ac:dyDescent="0.2">
      <c r="A15664" t="s">
        <v>15157</v>
      </c>
      <c r="B15664" t="str">
        <f>"13700662192"</f>
        <v>13700662192</v>
      </c>
      <c r="C15664" t="str">
        <f>"533522198608152239"</f>
        <v>533522198608152239</v>
      </c>
      <c r="D15664" t="s">
        <v>1</v>
      </c>
      <c r="E15664" t="s">
        <v>1</v>
      </c>
      <c r="F15664" t="s">
        <v>0</v>
      </c>
      <c r="G15664" t="str">
        <f>"2018-10-12 14:25:41"</f>
        <v>2018-10-12 14:25:41</v>
      </c>
    </row>
    <row r="15665" spans="1:7" x14ac:dyDescent="0.2">
      <c r="A15665" t="s">
        <v>15158</v>
      </c>
      <c r="B15665" t="str">
        <f>"15108188998"</f>
        <v>15108188998</v>
      </c>
      <c r="C15665" t="str">
        <f>"510521199608288015"</f>
        <v>510521199608288015</v>
      </c>
      <c r="D15665" t="s">
        <v>1</v>
      </c>
      <c r="E15665" t="s">
        <v>1</v>
      </c>
      <c r="F15665" t="s">
        <v>0</v>
      </c>
      <c r="G15665" t="str">
        <f>"2018-10-12 14:35:59"</f>
        <v>2018-10-12 14:35:59</v>
      </c>
    </row>
    <row r="15666" spans="1:7" x14ac:dyDescent="0.2">
      <c r="A15666" t="s">
        <v>1</v>
      </c>
      <c r="B15666" t="str">
        <f>"15027048730"</f>
        <v>15027048730</v>
      </c>
      <c r="C15666" t="s">
        <v>1</v>
      </c>
      <c r="D15666" t="s">
        <v>1</v>
      </c>
      <c r="E15666" t="s">
        <v>1</v>
      </c>
      <c r="F15666" t="s">
        <v>0</v>
      </c>
      <c r="G15666" t="str">
        <f>"2018-10-12 14:28:43"</f>
        <v>2018-10-12 14:28:43</v>
      </c>
    </row>
    <row r="15667" spans="1:7" x14ac:dyDescent="0.2">
      <c r="A15667" t="s">
        <v>15159</v>
      </c>
      <c r="B15667" t="str">
        <f>"13572366793"</f>
        <v>13572366793</v>
      </c>
      <c r="C15667" t="str">
        <f>"610103195901093613"</f>
        <v>610103195901093613</v>
      </c>
      <c r="D15667" t="s">
        <v>1</v>
      </c>
      <c r="E15667" t="s">
        <v>1</v>
      </c>
      <c r="F15667" t="s">
        <v>0</v>
      </c>
      <c r="G15667" t="str">
        <f>"2018-10-12 14:29:37"</f>
        <v>2018-10-12 14:29:37</v>
      </c>
    </row>
    <row r="15668" spans="1:7" x14ac:dyDescent="0.2">
      <c r="A15668" t="s">
        <v>15160</v>
      </c>
      <c r="B15668" t="str">
        <f>"15118697384"</f>
        <v>15118697384</v>
      </c>
      <c r="C15668" t="str">
        <f>"441225199802022933"</f>
        <v>441225199802022933</v>
      </c>
      <c r="D15668" t="s">
        <v>1</v>
      </c>
      <c r="E15668" t="s">
        <v>1</v>
      </c>
      <c r="F15668" t="s">
        <v>0</v>
      </c>
      <c r="G15668" t="str">
        <f>"2018-10-12 14:29:04"</f>
        <v>2018-10-12 14:29:04</v>
      </c>
    </row>
    <row r="15669" spans="1:7" x14ac:dyDescent="0.2">
      <c r="A15669" t="s">
        <v>1</v>
      </c>
      <c r="B15669" t="str">
        <f>"15305416050"</f>
        <v>15305416050</v>
      </c>
      <c r="C15669" t="s">
        <v>1</v>
      </c>
      <c r="D15669" t="s">
        <v>1</v>
      </c>
      <c r="E15669" t="s">
        <v>1</v>
      </c>
      <c r="F15669" t="s">
        <v>0</v>
      </c>
      <c r="G15669" t="str">
        <f>"2018-10-12 15:13:50"</f>
        <v>2018-10-12 15:13:50</v>
      </c>
    </row>
    <row r="15670" spans="1:7" x14ac:dyDescent="0.2">
      <c r="A15670" t="s">
        <v>427</v>
      </c>
      <c r="B15670" t="str">
        <f>"15146151100"</f>
        <v>15146151100</v>
      </c>
      <c r="C15670" t="str">
        <f>"23032119811215001X"</f>
        <v>23032119811215001X</v>
      </c>
      <c r="D15670" t="s">
        <v>1</v>
      </c>
      <c r="E15670" t="s">
        <v>1</v>
      </c>
      <c r="F15670" t="s">
        <v>0</v>
      </c>
      <c r="G15670" t="str">
        <f>"2018-10-12 14:25:55"</f>
        <v>2018-10-12 14:25:55</v>
      </c>
    </row>
    <row r="15671" spans="1:7" x14ac:dyDescent="0.2">
      <c r="A15671" t="s">
        <v>15161</v>
      </c>
      <c r="B15671" t="str">
        <f>"15556097635"</f>
        <v>15556097635</v>
      </c>
      <c r="C15671" t="str">
        <f>"341222199204290273"</f>
        <v>341222199204290273</v>
      </c>
      <c r="D15671" t="s">
        <v>1</v>
      </c>
      <c r="E15671" t="s">
        <v>1</v>
      </c>
      <c r="F15671" t="s">
        <v>0</v>
      </c>
      <c r="G15671" t="str">
        <f>"2018-10-12 14:28:10"</f>
        <v>2018-10-12 14:28:10</v>
      </c>
    </row>
    <row r="15672" spans="1:7" x14ac:dyDescent="0.2">
      <c r="A15672" t="s">
        <v>15162</v>
      </c>
      <c r="B15672" t="str">
        <f>"15060884921"</f>
        <v>15060884921</v>
      </c>
      <c r="C15672" t="str">
        <f>"350524198504220029"</f>
        <v>350524198504220029</v>
      </c>
      <c r="D15672" t="s">
        <v>1</v>
      </c>
      <c r="E15672" t="s">
        <v>1</v>
      </c>
      <c r="F15672" t="s">
        <v>0</v>
      </c>
      <c r="G15672" t="str">
        <f>"2018-10-17 15:10:55"</f>
        <v>2018-10-17 15:10:55</v>
      </c>
    </row>
    <row r="15673" spans="1:7" x14ac:dyDescent="0.2">
      <c r="A15673" t="s">
        <v>15163</v>
      </c>
      <c r="B15673" t="str">
        <f>"15869715871"</f>
        <v>15869715871</v>
      </c>
      <c r="C15673" t="str">
        <f>"430202197605254034"</f>
        <v>430202197605254034</v>
      </c>
      <c r="D15673" t="s">
        <v>1</v>
      </c>
      <c r="E15673" t="s">
        <v>1</v>
      </c>
      <c r="F15673" t="s">
        <v>0</v>
      </c>
      <c r="G15673" t="str">
        <f>"2018-10-12 14:24:15"</f>
        <v>2018-10-12 14:24:15</v>
      </c>
    </row>
    <row r="15674" spans="1:7" x14ac:dyDescent="0.2">
      <c r="A15674" t="s">
        <v>1</v>
      </c>
      <c r="B15674" t="str">
        <f>"15134205430"</f>
        <v>15134205430</v>
      </c>
      <c r="C15674" t="s">
        <v>1</v>
      </c>
      <c r="D15674" t="s">
        <v>1</v>
      </c>
      <c r="E15674" t="s">
        <v>1</v>
      </c>
      <c r="F15674" t="s">
        <v>0</v>
      </c>
      <c r="G15674" t="str">
        <f>"2018-10-12 14:22:03"</f>
        <v>2018-10-12 14:22:03</v>
      </c>
    </row>
    <row r="15675" spans="1:7" x14ac:dyDescent="0.2">
      <c r="A15675" t="s">
        <v>15164</v>
      </c>
      <c r="B15675" t="str">
        <f>"18297212012"</f>
        <v>18297212012</v>
      </c>
      <c r="C15675" t="str">
        <f>"63012119870128487X"</f>
        <v>63012119870128487X</v>
      </c>
      <c r="D15675" t="s">
        <v>15165</v>
      </c>
      <c r="E15675" t="s">
        <v>15166</v>
      </c>
      <c r="F15675" t="s">
        <v>0</v>
      </c>
      <c r="G15675" t="str">
        <f>"2018-10-12 14:33:00"</f>
        <v>2018-10-12 14:33:00</v>
      </c>
    </row>
    <row r="15676" spans="1:7" x14ac:dyDescent="0.2">
      <c r="A15676" t="s">
        <v>1</v>
      </c>
      <c r="B15676" t="str">
        <f>"15023315254"</f>
        <v>15023315254</v>
      </c>
      <c r="C15676" t="s">
        <v>1</v>
      </c>
      <c r="D15676" t="s">
        <v>1</v>
      </c>
      <c r="E15676" t="s">
        <v>1</v>
      </c>
      <c r="F15676" t="s">
        <v>0</v>
      </c>
      <c r="G15676" t="str">
        <f>"2018-10-12 14:46:36"</f>
        <v>2018-10-12 14:46:36</v>
      </c>
    </row>
    <row r="15677" spans="1:7" x14ac:dyDescent="0.2">
      <c r="A15677" t="s">
        <v>404</v>
      </c>
      <c r="B15677" t="str">
        <f>"15581452960"</f>
        <v>15581452960</v>
      </c>
      <c r="C15677" t="str">
        <f>"431124199412175156"</f>
        <v>431124199412175156</v>
      </c>
      <c r="D15677" t="s">
        <v>1</v>
      </c>
      <c r="E15677" t="s">
        <v>1</v>
      </c>
      <c r="F15677" t="s">
        <v>0</v>
      </c>
      <c r="G15677" t="str">
        <f>"2018-10-12 14:22:19"</f>
        <v>2018-10-12 14:22:19</v>
      </c>
    </row>
    <row r="15678" spans="1:7" x14ac:dyDescent="0.2">
      <c r="A15678" t="s">
        <v>1</v>
      </c>
      <c r="B15678" t="str">
        <f>"13306816623"</f>
        <v>13306816623</v>
      </c>
      <c r="C15678" t="s">
        <v>1</v>
      </c>
      <c r="D15678" t="s">
        <v>1</v>
      </c>
      <c r="E15678" t="s">
        <v>1</v>
      </c>
      <c r="F15678" t="s">
        <v>0</v>
      </c>
      <c r="G15678" t="str">
        <f>"2018-10-12 14:21:35"</f>
        <v>2018-10-12 14:21:35</v>
      </c>
    </row>
    <row r="15679" spans="1:7" x14ac:dyDescent="0.2">
      <c r="A15679" t="s">
        <v>15167</v>
      </c>
      <c r="B15679" t="str">
        <f>"18354570314"</f>
        <v>18354570314</v>
      </c>
      <c r="C15679" t="str">
        <f>"370684198212266119"</f>
        <v>370684198212266119</v>
      </c>
      <c r="D15679" t="s">
        <v>1</v>
      </c>
      <c r="E15679" t="s">
        <v>1</v>
      </c>
      <c r="F15679" t="s">
        <v>0</v>
      </c>
      <c r="G15679" t="str">
        <f>"2018-10-12 14:22:30"</f>
        <v>2018-10-12 14:22:30</v>
      </c>
    </row>
    <row r="15680" spans="1:7" x14ac:dyDescent="0.2">
      <c r="A15680" t="s">
        <v>1</v>
      </c>
      <c r="B15680" t="str">
        <f>"17156996414"</f>
        <v>17156996414</v>
      </c>
      <c r="C15680" t="s">
        <v>1</v>
      </c>
      <c r="D15680" t="s">
        <v>1</v>
      </c>
      <c r="E15680" t="s">
        <v>1</v>
      </c>
      <c r="F15680" t="s">
        <v>0</v>
      </c>
      <c r="G15680" t="str">
        <f>"2018-10-12 14:19:09"</f>
        <v>2018-10-12 14:19:09</v>
      </c>
    </row>
    <row r="15681" spans="1:7" x14ac:dyDescent="0.2">
      <c r="A15681" t="s">
        <v>4223</v>
      </c>
      <c r="B15681" t="str">
        <f>"18340630008"</f>
        <v>18340630008</v>
      </c>
      <c r="C15681" t="str">
        <f>"21088119821018001X"</f>
        <v>21088119821018001X</v>
      </c>
      <c r="D15681" t="s">
        <v>1</v>
      </c>
      <c r="E15681" t="s">
        <v>1</v>
      </c>
      <c r="F15681" t="s">
        <v>0</v>
      </c>
      <c r="G15681" t="str">
        <f>"2018-10-28 19:03:37"</f>
        <v>2018-10-28 19:03:37</v>
      </c>
    </row>
    <row r="15682" spans="1:7" x14ac:dyDescent="0.2">
      <c r="A15682" t="s">
        <v>15168</v>
      </c>
      <c r="B15682" t="str">
        <f>"18835960891"</f>
        <v>18835960891</v>
      </c>
      <c r="C15682" t="str">
        <f>"142732199001024411"</f>
        <v>142732199001024411</v>
      </c>
      <c r="D15682" t="s">
        <v>1</v>
      </c>
      <c r="E15682" t="s">
        <v>1</v>
      </c>
      <c r="F15682" t="s">
        <v>0</v>
      </c>
      <c r="G15682" t="str">
        <f>"2018-10-12 14:20:50"</f>
        <v>2018-10-12 14:20:50</v>
      </c>
    </row>
    <row r="15683" spans="1:7" x14ac:dyDescent="0.2">
      <c r="A15683" t="s">
        <v>1</v>
      </c>
      <c r="B15683" t="str">
        <f>"13117711034"</f>
        <v>13117711034</v>
      </c>
      <c r="C15683" t="s">
        <v>1</v>
      </c>
      <c r="D15683" t="s">
        <v>1</v>
      </c>
      <c r="E15683" t="s">
        <v>1</v>
      </c>
      <c r="F15683" t="s">
        <v>0</v>
      </c>
      <c r="G15683" t="str">
        <f>"2018-10-12 14:18:40"</f>
        <v>2018-10-12 14:18:40</v>
      </c>
    </row>
    <row r="15684" spans="1:7" x14ac:dyDescent="0.2">
      <c r="A15684" t="s">
        <v>1</v>
      </c>
      <c r="B15684" t="str">
        <f>"15854540094"</f>
        <v>15854540094</v>
      </c>
      <c r="C15684" t="s">
        <v>1</v>
      </c>
      <c r="D15684" t="s">
        <v>1</v>
      </c>
      <c r="E15684" t="s">
        <v>1</v>
      </c>
      <c r="F15684" t="s">
        <v>0</v>
      </c>
      <c r="G15684" t="str">
        <f>"2018-10-12 14:17:49"</f>
        <v>2018-10-12 14:17:49</v>
      </c>
    </row>
    <row r="15685" spans="1:7" x14ac:dyDescent="0.2">
      <c r="A15685" t="s">
        <v>15169</v>
      </c>
      <c r="B15685" t="str">
        <f>"18806358040"</f>
        <v>18806358040</v>
      </c>
      <c r="C15685" t="str">
        <f>"372501198302241519"</f>
        <v>372501198302241519</v>
      </c>
      <c r="D15685" t="s">
        <v>15170</v>
      </c>
      <c r="E15685" t="s">
        <v>15171</v>
      </c>
      <c r="F15685" t="s">
        <v>0</v>
      </c>
      <c r="G15685" t="str">
        <f>"2018-10-12 14:20:25"</f>
        <v>2018-10-12 14:20:25</v>
      </c>
    </row>
    <row r="15686" spans="1:7" x14ac:dyDescent="0.2">
      <c r="A15686" t="s">
        <v>15172</v>
      </c>
      <c r="B15686" t="str">
        <f>"15666156217"</f>
        <v>15666156217</v>
      </c>
      <c r="C15686" t="str">
        <f>"371327199003200211"</f>
        <v>371327199003200211</v>
      </c>
      <c r="D15686" t="s">
        <v>1</v>
      </c>
      <c r="E15686" t="s">
        <v>1</v>
      </c>
      <c r="F15686" t="s">
        <v>0</v>
      </c>
      <c r="G15686" t="str">
        <f>"2018-10-12 14:19:17"</f>
        <v>2018-10-12 14:19:17</v>
      </c>
    </row>
    <row r="15687" spans="1:7" x14ac:dyDescent="0.2">
      <c r="A15687" t="s">
        <v>184</v>
      </c>
      <c r="B15687" t="str">
        <f>"13186067915"</f>
        <v>13186067915</v>
      </c>
      <c r="C15687" t="str">
        <f>"610425199809150630"</f>
        <v>610425199809150630</v>
      </c>
      <c r="D15687" t="s">
        <v>1</v>
      </c>
      <c r="E15687" t="s">
        <v>1</v>
      </c>
      <c r="F15687" t="s">
        <v>0</v>
      </c>
      <c r="G15687" t="str">
        <f>"2018-10-12 14:16:48"</f>
        <v>2018-10-12 14:16:48</v>
      </c>
    </row>
    <row r="15688" spans="1:7" x14ac:dyDescent="0.2">
      <c r="A15688" t="s">
        <v>1</v>
      </c>
      <c r="B15688" t="str">
        <f>"18633397588"</f>
        <v>18633397588</v>
      </c>
      <c r="C15688" t="s">
        <v>1</v>
      </c>
      <c r="D15688" t="s">
        <v>1</v>
      </c>
      <c r="E15688" t="s">
        <v>1</v>
      </c>
      <c r="F15688" t="s">
        <v>0</v>
      </c>
      <c r="G15688" t="str">
        <f>"2018-10-12 14:15:30"</f>
        <v>2018-10-12 14:15:30</v>
      </c>
    </row>
    <row r="15689" spans="1:7" x14ac:dyDescent="0.2">
      <c r="A15689" t="s">
        <v>15173</v>
      </c>
      <c r="B15689" t="str">
        <f>"18364856967"</f>
        <v>18364856967</v>
      </c>
      <c r="C15689" t="str">
        <f>"370921198908074845"</f>
        <v>370921198908074845</v>
      </c>
      <c r="D15689" t="s">
        <v>1</v>
      </c>
      <c r="E15689" t="s">
        <v>1</v>
      </c>
      <c r="F15689" t="s">
        <v>0</v>
      </c>
      <c r="G15689" t="str">
        <f>"2018-10-22 16:35:59"</f>
        <v>2018-10-22 16:35:59</v>
      </c>
    </row>
    <row r="15690" spans="1:7" x14ac:dyDescent="0.2">
      <c r="A15690" t="s">
        <v>1</v>
      </c>
      <c r="B15690" t="str">
        <f>"15845833701"</f>
        <v>15845833701</v>
      </c>
      <c r="C15690" t="s">
        <v>1</v>
      </c>
      <c r="D15690" t="s">
        <v>1</v>
      </c>
      <c r="E15690" t="s">
        <v>1</v>
      </c>
      <c r="F15690" t="s">
        <v>0</v>
      </c>
      <c r="G15690" t="str">
        <f>"2018-10-12 14:15:57"</f>
        <v>2018-10-12 14:15:57</v>
      </c>
    </row>
    <row r="15691" spans="1:7" x14ac:dyDescent="0.2">
      <c r="A15691" t="s">
        <v>15174</v>
      </c>
      <c r="B15691" t="str">
        <f>"18148202220"</f>
        <v>18148202220</v>
      </c>
      <c r="C15691" t="str">
        <f>"152201199002102012"</f>
        <v>152201199002102012</v>
      </c>
      <c r="D15691" t="s">
        <v>1</v>
      </c>
      <c r="E15691" t="s">
        <v>1</v>
      </c>
      <c r="F15691" t="s">
        <v>0</v>
      </c>
      <c r="G15691" t="str">
        <f>"2018-10-12 14:13:15"</f>
        <v>2018-10-12 14:13:15</v>
      </c>
    </row>
    <row r="15692" spans="1:7" x14ac:dyDescent="0.2">
      <c r="A15692" t="s">
        <v>1</v>
      </c>
      <c r="B15692" t="str">
        <f>"18275761801"</f>
        <v>18275761801</v>
      </c>
      <c r="C15692" t="s">
        <v>1</v>
      </c>
      <c r="D15692" t="s">
        <v>1</v>
      </c>
      <c r="E15692" t="s">
        <v>1</v>
      </c>
      <c r="F15692" t="s">
        <v>0</v>
      </c>
      <c r="G15692" t="str">
        <f>"2018-10-12 14:12:11"</f>
        <v>2018-10-12 14:12:11</v>
      </c>
    </row>
    <row r="15693" spans="1:7" x14ac:dyDescent="0.2">
      <c r="A15693" t="s">
        <v>1</v>
      </c>
      <c r="B15693" t="str">
        <f>"13938855465"</f>
        <v>13938855465</v>
      </c>
      <c r="C15693" t="s">
        <v>1</v>
      </c>
      <c r="D15693" t="s">
        <v>1</v>
      </c>
      <c r="E15693" t="s">
        <v>1</v>
      </c>
      <c r="F15693" t="s">
        <v>0</v>
      </c>
      <c r="G15693" t="str">
        <f>"2018-10-12 14:10:47"</f>
        <v>2018-10-12 14:10:47</v>
      </c>
    </row>
    <row r="15694" spans="1:7" x14ac:dyDescent="0.2">
      <c r="A15694" t="s">
        <v>423</v>
      </c>
      <c r="B15694" t="str">
        <f>"15535475766"</f>
        <v>15535475766</v>
      </c>
      <c r="C15694" t="str">
        <f>"140721199306090099"</f>
        <v>140721199306090099</v>
      </c>
      <c r="D15694" t="s">
        <v>15175</v>
      </c>
      <c r="E15694" t="s">
        <v>15176</v>
      </c>
      <c r="F15694" t="s">
        <v>0</v>
      </c>
      <c r="G15694" t="str">
        <f>"2018-10-12 14:13:43"</f>
        <v>2018-10-12 14:13:43</v>
      </c>
    </row>
    <row r="15695" spans="1:7" x14ac:dyDescent="0.2">
      <c r="A15695" t="s">
        <v>15177</v>
      </c>
      <c r="B15695" t="str">
        <f>"15132304459"</f>
        <v>15132304459</v>
      </c>
      <c r="C15695" t="str">
        <f>"130727199503300821"</f>
        <v>130727199503300821</v>
      </c>
      <c r="D15695" t="s">
        <v>1</v>
      </c>
      <c r="E15695" t="s">
        <v>1</v>
      </c>
      <c r="F15695" t="s">
        <v>0</v>
      </c>
      <c r="G15695" t="str">
        <f>"2018-10-12 14:14:17"</f>
        <v>2018-10-12 14:14:17</v>
      </c>
    </row>
    <row r="15696" spans="1:7" x14ac:dyDescent="0.2">
      <c r="A15696" t="s">
        <v>1</v>
      </c>
      <c r="B15696" t="str">
        <f>"18236602103"</f>
        <v>18236602103</v>
      </c>
      <c r="C15696" t="s">
        <v>1</v>
      </c>
      <c r="D15696" t="s">
        <v>1</v>
      </c>
      <c r="E15696" t="s">
        <v>1</v>
      </c>
      <c r="F15696" t="s">
        <v>0</v>
      </c>
      <c r="G15696" t="str">
        <f>"2018-10-12 14:10:11"</f>
        <v>2018-10-12 14:10:11</v>
      </c>
    </row>
    <row r="15697" spans="1:7" x14ac:dyDescent="0.2">
      <c r="A15697" t="s">
        <v>15178</v>
      </c>
      <c r="B15697" t="str">
        <f>"18391240984"</f>
        <v>18391240984</v>
      </c>
      <c r="C15697" t="str">
        <f>"612729199208284223"</f>
        <v>612729199208284223</v>
      </c>
      <c r="D15697" t="s">
        <v>1</v>
      </c>
      <c r="E15697" t="s">
        <v>1</v>
      </c>
      <c r="F15697" t="s">
        <v>0</v>
      </c>
      <c r="G15697" t="str">
        <f>"2018-10-12 14:10:20"</f>
        <v>2018-10-12 14:10:20</v>
      </c>
    </row>
    <row r="15698" spans="1:7" x14ac:dyDescent="0.2">
      <c r="A15698" t="s">
        <v>590</v>
      </c>
      <c r="B15698" t="str">
        <f>"13280597082"</f>
        <v>13280597082</v>
      </c>
      <c r="C15698" t="str">
        <f>"371326199106027013"</f>
        <v>371326199106027013</v>
      </c>
      <c r="D15698" t="s">
        <v>15179</v>
      </c>
      <c r="E15698" t="s">
        <v>15180</v>
      </c>
      <c r="F15698" t="s">
        <v>0</v>
      </c>
      <c r="G15698" t="str">
        <f>"2018-10-12 14:09:38"</f>
        <v>2018-10-12 14:09:38</v>
      </c>
    </row>
    <row r="15699" spans="1:7" x14ac:dyDescent="0.2">
      <c r="A15699" t="s">
        <v>15181</v>
      </c>
      <c r="B15699" t="str">
        <f>"17632090067"</f>
        <v>17632090067</v>
      </c>
      <c r="C15699" t="str">
        <f>"132930198803201178"</f>
        <v>132930198803201178</v>
      </c>
      <c r="D15699" t="s">
        <v>1</v>
      </c>
      <c r="E15699" t="s">
        <v>1</v>
      </c>
      <c r="F15699" t="s">
        <v>0</v>
      </c>
      <c r="G15699" t="str">
        <f>"2018-10-12 14:09:26"</f>
        <v>2018-10-12 14:09:26</v>
      </c>
    </row>
    <row r="15700" spans="1:7" x14ac:dyDescent="0.2">
      <c r="A15700" t="s">
        <v>15182</v>
      </c>
      <c r="B15700" t="str">
        <f>"18136966858"</f>
        <v>18136966858</v>
      </c>
      <c r="C15700" t="str">
        <f>"320586198909064814"</f>
        <v>320586198909064814</v>
      </c>
      <c r="D15700" t="s">
        <v>15183</v>
      </c>
      <c r="E15700" t="s">
        <v>15184</v>
      </c>
      <c r="F15700" t="s">
        <v>0</v>
      </c>
      <c r="G15700" t="str">
        <f>"2018-10-12 14:11:25"</f>
        <v>2018-10-12 14:11:25</v>
      </c>
    </row>
    <row r="15701" spans="1:7" x14ac:dyDescent="0.2">
      <c r="A15701" t="s">
        <v>15185</v>
      </c>
      <c r="B15701" t="str">
        <f>"15720086219"</f>
        <v>15720086219</v>
      </c>
      <c r="C15701" t="str">
        <f>"13060419790902213X"</f>
        <v>13060419790902213X</v>
      </c>
      <c r="D15701" t="s">
        <v>1</v>
      </c>
      <c r="E15701" t="s">
        <v>1</v>
      </c>
      <c r="F15701" t="s">
        <v>0</v>
      </c>
      <c r="G15701" t="str">
        <f>"2018-10-12 14:07:54"</f>
        <v>2018-10-12 14:07:54</v>
      </c>
    </row>
    <row r="15702" spans="1:7" x14ac:dyDescent="0.2">
      <c r="A15702" t="s">
        <v>1</v>
      </c>
      <c r="B15702" t="str">
        <f>"18439170327"</f>
        <v>18439170327</v>
      </c>
      <c r="C15702" t="s">
        <v>1</v>
      </c>
      <c r="D15702" t="s">
        <v>1</v>
      </c>
      <c r="E15702" t="s">
        <v>1</v>
      </c>
      <c r="F15702" t="s">
        <v>0</v>
      </c>
      <c r="G15702" t="str">
        <f>"2018-10-12 14:08:19"</f>
        <v>2018-10-12 14:08:19</v>
      </c>
    </row>
    <row r="15703" spans="1:7" x14ac:dyDescent="0.2">
      <c r="A15703" t="s">
        <v>1</v>
      </c>
      <c r="B15703" t="str">
        <f>"13003925350"</f>
        <v>13003925350</v>
      </c>
      <c r="C15703" t="s">
        <v>1</v>
      </c>
      <c r="D15703" t="s">
        <v>1</v>
      </c>
      <c r="E15703" t="s">
        <v>1</v>
      </c>
      <c r="F15703" t="s">
        <v>0</v>
      </c>
      <c r="G15703" t="str">
        <f>"2018-10-12 14:06:06"</f>
        <v>2018-10-12 14:06:06</v>
      </c>
    </row>
    <row r="15704" spans="1:7" x14ac:dyDescent="0.2">
      <c r="A15704" t="s">
        <v>15186</v>
      </c>
      <c r="B15704" t="str">
        <f>"15206081755"</f>
        <v>15206081755</v>
      </c>
      <c r="C15704" t="str">
        <f>"35082519951019192X"</f>
        <v>35082519951019192X</v>
      </c>
      <c r="D15704" t="s">
        <v>1</v>
      </c>
      <c r="E15704" t="s">
        <v>1</v>
      </c>
      <c r="F15704" t="s">
        <v>0</v>
      </c>
      <c r="G15704" t="str">
        <f>"2018-10-12 14:13:26"</f>
        <v>2018-10-12 14:13:26</v>
      </c>
    </row>
    <row r="15705" spans="1:7" x14ac:dyDescent="0.2">
      <c r="A15705" t="s">
        <v>15187</v>
      </c>
      <c r="B15705" t="str">
        <f>"13686399968"</f>
        <v>13686399968</v>
      </c>
      <c r="C15705" t="str">
        <f>"371312198711276015"</f>
        <v>371312198711276015</v>
      </c>
      <c r="D15705" t="s">
        <v>1</v>
      </c>
      <c r="E15705" t="s">
        <v>1</v>
      </c>
      <c r="F15705" t="s">
        <v>0</v>
      </c>
      <c r="G15705" t="str">
        <f>"2018-10-12 14:05:46"</f>
        <v>2018-10-12 14:05:46</v>
      </c>
    </row>
    <row r="15706" spans="1:7" x14ac:dyDescent="0.2">
      <c r="A15706" t="s">
        <v>1</v>
      </c>
      <c r="B15706" t="str">
        <f>"17156996413"</f>
        <v>17156996413</v>
      </c>
      <c r="C15706" t="s">
        <v>1</v>
      </c>
      <c r="D15706" t="s">
        <v>1</v>
      </c>
      <c r="E15706" t="s">
        <v>1</v>
      </c>
      <c r="F15706" t="s">
        <v>0</v>
      </c>
      <c r="G15706" t="str">
        <f>"2018-10-12 14:05:32"</f>
        <v>2018-10-12 14:05:32</v>
      </c>
    </row>
    <row r="15707" spans="1:7" x14ac:dyDescent="0.2">
      <c r="A15707" t="s">
        <v>15188</v>
      </c>
      <c r="B15707" t="str">
        <f>"18984841748"</f>
        <v>18984841748</v>
      </c>
      <c r="C15707" t="str">
        <f>"520181199710180015"</f>
        <v>520181199710180015</v>
      </c>
      <c r="D15707" t="s">
        <v>1</v>
      </c>
      <c r="E15707" t="s">
        <v>1</v>
      </c>
      <c r="F15707" t="s">
        <v>0</v>
      </c>
      <c r="G15707" t="str">
        <f>"2018-10-13 12:16:11"</f>
        <v>2018-10-13 12:16:11</v>
      </c>
    </row>
    <row r="15708" spans="1:7" x14ac:dyDescent="0.2">
      <c r="A15708" t="s">
        <v>692</v>
      </c>
      <c r="B15708" t="str">
        <f>"17731382888"</f>
        <v>17731382888</v>
      </c>
      <c r="C15708" t="str">
        <f>"130721199012013619"</f>
        <v>130721199012013619</v>
      </c>
      <c r="D15708" t="s">
        <v>1</v>
      </c>
      <c r="E15708" t="s">
        <v>1</v>
      </c>
      <c r="F15708" t="s">
        <v>0</v>
      </c>
      <c r="G15708" t="str">
        <f>"2018-10-20 11:05:20"</f>
        <v>2018-10-20 11:05:20</v>
      </c>
    </row>
    <row r="15709" spans="1:7" x14ac:dyDescent="0.2">
      <c r="A15709" t="s">
        <v>1</v>
      </c>
      <c r="B15709" t="str">
        <f>"15306602691"</f>
        <v>15306602691</v>
      </c>
      <c r="C15709" t="s">
        <v>1</v>
      </c>
      <c r="D15709" t="s">
        <v>1</v>
      </c>
      <c r="E15709" t="s">
        <v>1</v>
      </c>
      <c r="F15709" t="s">
        <v>0</v>
      </c>
      <c r="G15709" t="str">
        <f>"2018-10-12 14:04:11"</f>
        <v>2018-10-12 14:04:11</v>
      </c>
    </row>
    <row r="15710" spans="1:7" x14ac:dyDescent="0.2">
      <c r="A15710" t="s">
        <v>15189</v>
      </c>
      <c r="B15710" t="str">
        <f>"15030583778"</f>
        <v>15030583778</v>
      </c>
      <c r="C15710" t="str">
        <f>"130227197803162866"</f>
        <v>130227197803162866</v>
      </c>
      <c r="D15710" t="s">
        <v>1</v>
      </c>
      <c r="E15710" t="s">
        <v>1</v>
      </c>
      <c r="F15710" t="s">
        <v>0</v>
      </c>
      <c r="G15710" t="str">
        <f>"2018-10-15 08:59:14"</f>
        <v>2018-10-15 08:59:14</v>
      </c>
    </row>
    <row r="15711" spans="1:7" x14ac:dyDescent="0.2">
      <c r="A15711" t="s">
        <v>15190</v>
      </c>
      <c r="B15711" t="str">
        <f>"15136812833"</f>
        <v>15136812833</v>
      </c>
      <c r="C15711" t="str">
        <f>"411023198911094051"</f>
        <v>411023198911094051</v>
      </c>
      <c r="D15711" t="s">
        <v>1</v>
      </c>
      <c r="E15711" t="s">
        <v>1</v>
      </c>
      <c r="F15711" t="s">
        <v>0</v>
      </c>
      <c r="G15711" t="str">
        <f>"2018-10-12 14:10:17"</f>
        <v>2018-10-12 14:10:17</v>
      </c>
    </row>
    <row r="15712" spans="1:7" x14ac:dyDescent="0.2">
      <c r="A15712" t="s">
        <v>15191</v>
      </c>
      <c r="B15712" t="str">
        <f>"13635385203"</f>
        <v>13635385203</v>
      </c>
      <c r="C15712" t="str">
        <f>"500228198508047582"</f>
        <v>500228198508047582</v>
      </c>
      <c r="D15712" t="s">
        <v>1</v>
      </c>
      <c r="E15712" t="s">
        <v>1</v>
      </c>
      <c r="F15712" t="s">
        <v>0</v>
      </c>
      <c r="G15712" t="str">
        <f>"2018-10-12 14:04:22"</f>
        <v>2018-10-12 14:04:22</v>
      </c>
    </row>
    <row r="15713" spans="1:7" x14ac:dyDescent="0.2">
      <c r="A15713" t="s">
        <v>1</v>
      </c>
      <c r="B15713" t="str">
        <f>"17074975808"</f>
        <v>17074975808</v>
      </c>
      <c r="C15713" t="s">
        <v>1</v>
      </c>
      <c r="D15713" t="s">
        <v>1</v>
      </c>
      <c r="E15713" t="s">
        <v>1</v>
      </c>
      <c r="F15713" t="s">
        <v>0</v>
      </c>
      <c r="G15713" t="str">
        <f>"2018-10-12 14:02:42"</f>
        <v>2018-10-12 14:02:42</v>
      </c>
    </row>
    <row r="15714" spans="1:7" x14ac:dyDescent="0.2">
      <c r="A15714" t="s">
        <v>15192</v>
      </c>
      <c r="B15714" t="str">
        <f>"17767704007"</f>
        <v>17767704007</v>
      </c>
      <c r="C15714" t="str">
        <f>"220422199410224413"</f>
        <v>220422199410224413</v>
      </c>
      <c r="D15714" t="s">
        <v>1</v>
      </c>
      <c r="E15714" t="s">
        <v>1</v>
      </c>
      <c r="F15714" t="s">
        <v>0</v>
      </c>
      <c r="G15714" t="str">
        <f>"2018-10-12 14:03:17"</f>
        <v>2018-10-12 14:03:17</v>
      </c>
    </row>
    <row r="15715" spans="1:7" x14ac:dyDescent="0.2">
      <c r="A15715" t="s">
        <v>1</v>
      </c>
      <c r="B15715" t="str">
        <f>"13885157521"</f>
        <v>13885157521</v>
      </c>
      <c r="C15715" t="s">
        <v>1</v>
      </c>
      <c r="D15715" t="s">
        <v>1</v>
      </c>
      <c r="E15715" t="s">
        <v>1</v>
      </c>
      <c r="F15715" t="s">
        <v>0</v>
      </c>
      <c r="G15715" t="str">
        <f>"2018-10-12 14:02:07"</f>
        <v>2018-10-12 14:02:07</v>
      </c>
    </row>
    <row r="15716" spans="1:7" x14ac:dyDescent="0.2">
      <c r="A15716" t="s">
        <v>15193</v>
      </c>
      <c r="B15716" t="str">
        <f>"15285584074"</f>
        <v>15285584074</v>
      </c>
      <c r="C15716" t="str">
        <f>"52242420000810465X"</f>
        <v>52242420000810465X</v>
      </c>
      <c r="D15716" t="s">
        <v>1</v>
      </c>
      <c r="E15716" t="s">
        <v>1</v>
      </c>
      <c r="F15716" t="s">
        <v>0</v>
      </c>
      <c r="G15716" t="str">
        <f>"2018-10-12 14:01:48"</f>
        <v>2018-10-12 14:01:48</v>
      </c>
    </row>
    <row r="15717" spans="1:7" x14ac:dyDescent="0.2">
      <c r="A15717" t="s">
        <v>15194</v>
      </c>
      <c r="B15717" t="str">
        <f>"18016258816"</f>
        <v>18016258816</v>
      </c>
      <c r="C15717" t="str">
        <f>"230107199107151516"</f>
        <v>230107199107151516</v>
      </c>
      <c r="D15717" t="s">
        <v>1</v>
      </c>
      <c r="E15717" t="s">
        <v>1</v>
      </c>
      <c r="F15717" t="s">
        <v>0</v>
      </c>
      <c r="G15717" t="str">
        <f>"2018-10-12 14:03:04"</f>
        <v>2018-10-12 14:03:04</v>
      </c>
    </row>
    <row r="15718" spans="1:7" x14ac:dyDescent="0.2">
      <c r="A15718" t="s">
        <v>15195</v>
      </c>
      <c r="B15718" t="str">
        <f>"18220993362"</f>
        <v>18220993362</v>
      </c>
      <c r="C15718" t="str">
        <f>"612524199606250018"</f>
        <v>612524199606250018</v>
      </c>
      <c r="D15718" t="s">
        <v>15196</v>
      </c>
      <c r="E15718" t="s">
        <v>15197</v>
      </c>
      <c r="F15718" t="s">
        <v>0</v>
      </c>
      <c r="G15718" t="str">
        <f>"2018-10-26 16:10:40"</f>
        <v>2018-10-26 16:10:40</v>
      </c>
    </row>
    <row r="15719" spans="1:7" x14ac:dyDescent="0.2">
      <c r="A15719" t="s">
        <v>1</v>
      </c>
      <c r="B15719" t="str">
        <f>"13599729515"</f>
        <v>13599729515</v>
      </c>
      <c r="C15719" t="s">
        <v>1</v>
      </c>
      <c r="D15719" t="s">
        <v>1</v>
      </c>
      <c r="E15719" t="s">
        <v>1</v>
      </c>
      <c r="F15719" t="s">
        <v>0</v>
      </c>
      <c r="G15719" t="str">
        <f>"2018-10-12 14:03:46"</f>
        <v>2018-10-12 14:03:46</v>
      </c>
    </row>
    <row r="15720" spans="1:7" x14ac:dyDescent="0.2">
      <c r="A15720" t="s">
        <v>15198</v>
      </c>
      <c r="B15720" t="str">
        <f>"15278191209"</f>
        <v>15278191209</v>
      </c>
      <c r="C15720" t="str">
        <f>"452130198502011240"</f>
        <v>452130198502011240</v>
      </c>
      <c r="D15720" t="s">
        <v>15199</v>
      </c>
      <c r="E15720" t="s">
        <v>15200</v>
      </c>
      <c r="F15720" t="s">
        <v>0</v>
      </c>
      <c r="G15720" t="str">
        <f>"2018-10-12 14:04:11"</f>
        <v>2018-10-12 14:04:11</v>
      </c>
    </row>
    <row r="15721" spans="1:7" x14ac:dyDescent="0.2">
      <c r="A15721" t="s">
        <v>15201</v>
      </c>
      <c r="B15721" t="str">
        <f>"18338837881"</f>
        <v>18338837881</v>
      </c>
      <c r="C15721" t="str">
        <f>"410381199712251011"</f>
        <v>410381199712251011</v>
      </c>
      <c r="D15721" t="s">
        <v>1</v>
      </c>
      <c r="E15721" t="s">
        <v>1</v>
      </c>
      <c r="F15721" t="s">
        <v>0</v>
      </c>
      <c r="G15721" t="str">
        <f>"2018-10-12 14:00:11"</f>
        <v>2018-10-12 14:00:11</v>
      </c>
    </row>
    <row r="15722" spans="1:7" x14ac:dyDescent="0.2">
      <c r="A15722" t="s">
        <v>673</v>
      </c>
      <c r="B15722" t="str">
        <f>"15953637097"</f>
        <v>15953637097</v>
      </c>
      <c r="C15722" t="str">
        <f>"37078119980922027X"</f>
        <v>37078119980922027X</v>
      </c>
      <c r="D15722" t="s">
        <v>15202</v>
      </c>
      <c r="E15722" t="s">
        <v>15203</v>
      </c>
      <c r="F15722" t="s">
        <v>0</v>
      </c>
      <c r="G15722" t="str">
        <f>"2018-10-19 12:11:08"</f>
        <v>2018-10-19 12:11:08</v>
      </c>
    </row>
    <row r="15723" spans="1:7" x14ac:dyDescent="0.2">
      <c r="A15723" t="s">
        <v>15204</v>
      </c>
      <c r="B15723" t="str">
        <f>"17763351144"</f>
        <v>17763351144</v>
      </c>
      <c r="C15723" t="str">
        <f>"371102198706112215"</f>
        <v>371102198706112215</v>
      </c>
      <c r="D15723" t="s">
        <v>15205</v>
      </c>
      <c r="E15723" t="s">
        <v>15206</v>
      </c>
      <c r="F15723" t="s">
        <v>0</v>
      </c>
      <c r="G15723" t="str">
        <f>"2018-10-12 14:02:22"</f>
        <v>2018-10-12 14:02:22</v>
      </c>
    </row>
    <row r="15724" spans="1:7" x14ac:dyDescent="0.2">
      <c r="A15724" t="s">
        <v>1</v>
      </c>
      <c r="B15724" t="str">
        <f>"15023561127"</f>
        <v>15023561127</v>
      </c>
      <c r="C15724" t="s">
        <v>1</v>
      </c>
      <c r="D15724" t="s">
        <v>1</v>
      </c>
      <c r="E15724" t="s">
        <v>1</v>
      </c>
      <c r="F15724" t="s">
        <v>0</v>
      </c>
      <c r="G15724" t="str">
        <f>"2018-10-15 13:36:14"</f>
        <v>2018-10-15 13:36:14</v>
      </c>
    </row>
    <row r="15725" spans="1:7" x14ac:dyDescent="0.2">
      <c r="A15725" t="s">
        <v>822</v>
      </c>
      <c r="B15725" t="str">
        <f>"18560385087"</f>
        <v>18560385087</v>
      </c>
      <c r="C15725" t="str">
        <f>"370306197312156021"</f>
        <v>370306197312156021</v>
      </c>
      <c r="D15725" t="s">
        <v>1</v>
      </c>
      <c r="E15725" t="s">
        <v>1</v>
      </c>
      <c r="F15725" t="s">
        <v>0</v>
      </c>
      <c r="G15725" t="str">
        <f>"2018-10-12 13:59:04"</f>
        <v>2018-10-12 13:59:04</v>
      </c>
    </row>
    <row r="15726" spans="1:7" x14ac:dyDescent="0.2">
      <c r="A15726" t="s">
        <v>15207</v>
      </c>
      <c r="B15726" t="str">
        <f>"15299947115"</f>
        <v>15299947115</v>
      </c>
      <c r="C15726" t="str">
        <f>"211324199403210730"</f>
        <v>211324199403210730</v>
      </c>
      <c r="D15726" t="s">
        <v>1</v>
      </c>
      <c r="E15726" t="s">
        <v>1</v>
      </c>
      <c r="F15726" t="s">
        <v>0</v>
      </c>
      <c r="G15726" t="str">
        <f>"2018-10-12 14:00:38"</f>
        <v>2018-10-12 14:00:38</v>
      </c>
    </row>
    <row r="15727" spans="1:7" x14ac:dyDescent="0.2">
      <c r="A15727" t="s">
        <v>15208</v>
      </c>
      <c r="B15727" t="str">
        <f>"18259086046"</f>
        <v>18259086046</v>
      </c>
      <c r="C15727" t="str">
        <f>"352123197406024015"</f>
        <v>352123197406024015</v>
      </c>
      <c r="D15727" t="s">
        <v>1</v>
      </c>
      <c r="E15727" t="s">
        <v>1</v>
      </c>
      <c r="F15727" t="s">
        <v>0</v>
      </c>
      <c r="G15727" t="str">
        <f>"2018-10-22 20:54:14"</f>
        <v>2018-10-22 20:54:14</v>
      </c>
    </row>
    <row r="15728" spans="1:7" x14ac:dyDescent="0.2">
      <c r="A15728" t="s">
        <v>401</v>
      </c>
      <c r="B15728" t="str">
        <f>"15100729221"</f>
        <v>15100729221</v>
      </c>
      <c r="C15728" t="str">
        <f>"132825199511070223"</f>
        <v>132825199511070223</v>
      </c>
      <c r="D15728" t="s">
        <v>1</v>
      </c>
      <c r="E15728" t="s">
        <v>1</v>
      </c>
      <c r="F15728" t="s">
        <v>0</v>
      </c>
      <c r="G15728" t="str">
        <f>"2018-10-12 14:06:45"</f>
        <v>2018-10-12 14:06:45</v>
      </c>
    </row>
    <row r="15729" spans="1:7" x14ac:dyDescent="0.2">
      <c r="A15729" t="s">
        <v>613</v>
      </c>
      <c r="B15729" t="str">
        <f>"13486186686"</f>
        <v>13486186686</v>
      </c>
      <c r="C15729" t="str">
        <f>"339005198512108510"</f>
        <v>339005198512108510</v>
      </c>
      <c r="D15729" t="s">
        <v>1</v>
      </c>
      <c r="E15729" t="s">
        <v>1</v>
      </c>
      <c r="F15729" t="s">
        <v>0</v>
      </c>
      <c r="G15729" t="str">
        <f>"2018-10-25 11:10:32"</f>
        <v>2018-10-25 11:10:32</v>
      </c>
    </row>
    <row r="15730" spans="1:7" x14ac:dyDescent="0.2">
      <c r="A15730" t="s">
        <v>15209</v>
      </c>
      <c r="B15730" t="str">
        <f>"17305035081"</f>
        <v>17305035081</v>
      </c>
      <c r="C15730" t="str">
        <f>"352202198909280510"</f>
        <v>352202198909280510</v>
      </c>
      <c r="D15730" t="s">
        <v>1</v>
      </c>
      <c r="E15730" t="s">
        <v>1</v>
      </c>
      <c r="F15730" t="s">
        <v>0</v>
      </c>
      <c r="G15730" t="str">
        <f>"2018-10-12 13:58:02"</f>
        <v>2018-10-12 13:58:02</v>
      </c>
    </row>
    <row r="15731" spans="1:7" x14ac:dyDescent="0.2">
      <c r="A15731" t="s">
        <v>15210</v>
      </c>
      <c r="B15731" t="str">
        <f>"15278260299"</f>
        <v>15278260299</v>
      </c>
      <c r="C15731" t="str">
        <f>"452526197409040410"</f>
        <v>452526197409040410</v>
      </c>
      <c r="D15731" t="s">
        <v>1</v>
      </c>
      <c r="E15731" t="s">
        <v>1</v>
      </c>
      <c r="F15731" t="s">
        <v>0</v>
      </c>
      <c r="G15731" t="str">
        <f>"2018-10-12 13:58:48"</f>
        <v>2018-10-12 13:58:48</v>
      </c>
    </row>
    <row r="15732" spans="1:7" x14ac:dyDescent="0.2">
      <c r="A15732" t="s">
        <v>15211</v>
      </c>
      <c r="B15732" t="str">
        <f>"18587895385"</f>
        <v>18587895385</v>
      </c>
      <c r="C15732" t="str">
        <f>"522128199508242016"</f>
        <v>522128199508242016</v>
      </c>
      <c r="D15732" t="s">
        <v>1</v>
      </c>
      <c r="E15732" t="s">
        <v>1</v>
      </c>
      <c r="F15732" t="s">
        <v>0</v>
      </c>
      <c r="G15732" t="str">
        <f>"2018-10-12 16:04:28"</f>
        <v>2018-10-12 16:04:28</v>
      </c>
    </row>
    <row r="15733" spans="1:7" x14ac:dyDescent="0.2">
      <c r="A15733" t="s">
        <v>15212</v>
      </c>
      <c r="B15733" t="str">
        <f>"18382097694"</f>
        <v>18382097694</v>
      </c>
      <c r="C15733" t="str">
        <f>"510124199808045728"</f>
        <v>510124199808045728</v>
      </c>
      <c r="D15733" t="s">
        <v>1</v>
      </c>
      <c r="E15733" t="s">
        <v>1</v>
      </c>
      <c r="F15733" t="s">
        <v>0</v>
      </c>
      <c r="G15733" t="str">
        <f>"2018-11-04 09:52:16"</f>
        <v>2018-11-04 09:52:16</v>
      </c>
    </row>
    <row r="15734" spans="1:7" x14ac:dyDescent="0.2">
      <c r="A15734" t="s">
        <v>15213</v>
      </c>
      <c r="B15734" t="str">
        <f>"15293276088"</f>
        <v>15293276088</v>
      </c>
      <c r="C15734" t="str">
        <f>"320323197407017929"</f>
        <v>320323197407017929</v>
      </c>
      <c r="D15734" t="s">
        <v>1</v>
      </c>
      <c r="E15734" t="s">
        <v>1</v>
      </c>
      <c r="F15734" t="s">
        <v>0</v>
      </c>
      <c r="G15734" t="str">
        <f>"2018-10-12 13:59:28"</f>
        <v>2018-10-12 13:59:28</v>
      </c>
    </row>
    <row r="15735" spans="1:7" x14ac:dyDescent="0.2">
      <c r="A15735" t="s">
        <v>15214</v>
      </c>
      <c r="B15735" t="str">
        <f>"13699055905"</f>
        <v>13699055905</v>
      </c>
      <c r="C15735" t="str">
        <f>"51012219861206767X"</f>
        <v>51012219861206767X</v>
      </c>
      <c r="D15735" t="s">
        <v>1</v>
      </c>
      <c r="E15735" t="s">
        <v>1</v>
      </c>
      <c r="F15735" t="s">
        <v>0</v>
      </c>
      <c r="G15735" t="str">
        <f>"2018-10-12 13:57:35"</f>
        <v>2018-10-12 13:57:35</v>
      </c>
    </row>
    <row r="15736" spans="1:7" x14ac:dyDescent="0.2">
      <c r="A15736" t="s">
        <v>15215</v>
      </c>
      <c r="B15736" t="str">
        <f>"18389294401"</f>
        <v>18389294401</v>
      </c>
      <c r="C15736" t="str">
        <f>"460004199603205016"</f>
        <v>460004199603205016</v>
      </c>
      <c r="D15736" t="s">
        <v>15216</v>
      </c>
      <c r="E15736" t="s">
        <v>15217</v>
      </c>
      <c r="F15736" t="s">
        <v>0</v>
      </c>
      <c r="G15736" t="str">
        <f>"2018-10-12 13:58:06"</f>
        <v>2018-10-12 13:58:06</v>
      </c>
    </row>
    <row r="15737" spans="1:7" x14ac:dyDescent="0.2">
      <c r="A15737" t="s">
        <v>1</v>
      </c>
      <c r="B15737" t="str">
        <f>"13712914891"</f>
        <v>13712914891</v>
      </c>
      <c r="C15737" t="s">
        <v>1</v>
      </c>
      <c r="D15737" t="s">
        <v>1</v>
      </c>
      <c r="E15737" t="s">
        <v>1</v>
      </c>
      <c r="F15737" t="s">
        <v>0</v>
      </c>
      <c r="G15737" t="str">
        <f>"2018-10-12 13:55:00"</f>
        <v>2018-10-12 13:55:00</v>
      </c>
    </row>
    <row r="15738" spans="1:7" x14ac:dyDescent="0.2">
      <c r="A15738" t="s">
        <v>15218</v>
      </c>
      <c r="B15738" t="str">
        <f>"18087326202"</f>
        <v>18087326202</v>
      </c>
      <c r="C15738" t="str">
        <f>"511011198407297843"</f>
        <v>511011198407297843</v>
      </c>
      <c r="D15738" t="s">
        <v>1</v>
      </c>
      <c r="E15738" t="s">
        <v>1</v>
      </c>
      <c r="F15738" t="s">
        <v>0</v>
      </c>
      <c r="G15738" t="str">
        <f>"2018-10-12 13:59:17"</f>
        <v>2018-10-12 13:59:17</v>
      </c>
    </row>
    <row r="15739" spans="1:7" x14ac:dyDescent="0.2">
      <c r="A15739" t="s">
        <v>1</v>
      </c>
      <c r="B15739" t="str">
        <f>"17790022535"</f>
        <v>17790022535</v>
      </c>
      <c r="C15739" t="s">
        <v>1</v>
      </c>
      <c r="D15739" t="s">
        <v>1</v>
      </c>
      <c r="E15739" t="s">
        <v>1</v>
      </c>
      <c r="F15739" t="s">
        <v>0</v>
      </c>
      <c r="G15739" t="str">
        <f>"2018-10-12 13:53:23"</f>
        <v>2018-10-12 13:53:23</v>
      </c>
    </row>
    <row r="15740" spans="1:7" x14ac:dyDescent="0.2">
      <c r="A15740" t="s">
        <v>15219</v>
      </c>
      <c r="B15740" t="str">
        <f>"18795738929"</f>
        <v>18795738929</v>
      </c>
      <c r="C15740" t="str">
        <f>"320621198809293529"</f>
        <v>320621198809293529</v>
      </c>
      <c r="D15740" t="s">
        <v>1</v>
      </c>
      <c r="E15740" t="s">
        <v>1</v>
      </c>
      <c r="F15740" t="s">
        <v>0</v>
      </c>
      <c r="G15740" t="str">
        <f>"2018-10-23 19:39:25"</f>
        <v>2018-10-23 19:39:25</v>
      </c>
    </row>
    <row r="15741" spans="1:7" x14ac:dyDescent="0.2">
      <c r="A15741" t="s">
        <v>1606</v>
      </c>
      <c r="B15741" t="str">
        <f>"15160609190"</f>
        <v>15160609190</v>
      </c>
      <c r="C15741" t="str">
        <f>"350821198702090453"</f>
        <v>350821198702090453</v>
      </c>
      <c r="D15741" t="s">
        <v>1</v>
      </c>
      <c r="E15741" t="s">
        <v>1</v>
      </c>
      <c r="F15741" t="s">
        <v>0</v>
      </c>
      <c r="G15741" t="str">
        <f>"2018-10-12 15:13:52"</f>
        <v>2018-10-12 15:13:52</v>
      </c>
    </row>
    <row r="15742" spans="1:7" x14ac:dyDescent="0.2">
      <c r="A15742" t="s">
        <v>15220</v>
      </c>
      <c r="B15742" t="str">
        <f>"15088686103"</f>
        <v>15088686103</v>
      </c>
      <c r="C15742" t="str">
        <f>"339005198912119016"</f>
        <v>339005198912119016</v>
      </c>
      <c r="D15742" t="s">
        <v>1</v>
      </c>
      <c r="E15742" t="s">
        <v>1</v>
      </c>
      <c r="F15742" t="s">
        <v>0</v>
      </c>
      <c r="G15742" t="str">
        <f>"2018-10-12 18:27:31"</f>
        <v>2018-10-12 18:27:31</v>
      </c>
    </row>
    <row r="15743" spans="1:7" x14ac:dyDescent="0.2">
      <c r="A15743" t="s">
        <v>15221</v>
      </c>
      <c r="B15743" t="str">
        <f>"13104485501"</f>
        <v>13104485501</v>
      </c>
      <c r="C15743" t="str">
        <f>"220821198608146351"</f>
        <v>220821198608146351</v>
      </c>
      <c r="D15743" t="s">
        <v>1</v>
      </c>
      <c r="E15743" t="s">
        <v>1</v>
      </c>
      <c r="F15743" t="s">
        <v>0</v>
      </c>
      <c r="G15743" t="str">
        <f>"2018-10-12 13:53:50"</f>
        <v>2018-10-12 13:53:50</v>
      </c>
    </row>
    <row r="15744" spans="1:7" x14ac:dyDescent="0.2">
      <c r="A15744" t="s">
        <v>37</v>
      </c>
      <c r="B15744" t="str">
        <f>"17802622416"</f>
        <v>17802622416</v>
      </c>
      <c r="C15744" t="str">
        <f>"32030319630201043X"</f>
        <v>32030319630201043X</v>
      </c>
      <c r="D15744" t="s">
        <v>1</v>
      </c>
      <c r="E15744" t="s">
        <v>1</v>
      </c>
      <c r="F15744" t="s">
        <v>0</v>
      </c>
      <c r="G15744" t="str">
        <f>"2018-10-12 13:54:07"</f>
        <v>2018-10-12 13:54:07</v>
      </c>
    </row>
    <row r="15745" spans="1:7" x14ac:dyDescent="0.2">
      <c r="A15745" t="s">
        <v>15222</v>
      </c>
      <c r="B15745" t="str">
        <f>"18759555268"</f>
        <v>18759555268</v>
      </c>
      <c r="C15745" t="str">
        <f>"360421197602134450"</f>
        <v>360421197602134450</v>
      </c>
      <c r="D15745" t="s">
        <v>1</v>
      </c>
      <c r="E15745" t="s">
        <v>1</v>
      </c>
      <c r="F15745" t="s">
        <v>0</v>
      </c>
      <c r="G15745" t="str">
        <f>"2018-10-12 13:52:04"</f>
        <v>2018-10-12 13:52:04</v>
      </c>
    </row>
    <row r="15746" spans="1:7" x14ac:dyDescent="0.2">
      <c r="A15746" t="s">
        <v>1252</v>
      </c>
      <c r="B15746" t="str">
        <f>"15090700080"</f>
        <v>15090700080</v>
      </c>
      <c r="C15746" t="str">
        <f>"421022199301251814"</f>
        <v>421022199301251814</v>
      </c>
      <c r="D15746" t="s">
        <v>1</v>
      </c>
      <c r="E15746" t="s">
        <v>1</v>
      </c>
      <c r="F15746" t="s">
        <v>0</v>
      </c>
      <c r="G15746" t="str">
        <f>"2018-10-12 13:51:30"</f>
        <v>2018-10-12 13:51:30</v>
      </c>
    </row>
    <row r="15747" spans="1:7" x14ac:dyDescent="0.2">
      <c r="A15747" t="s">
        <v>1</v>
      </c>
      <c r="B15747" t="str">
        <f>"17156996412"</f>
        <v>17156996412</v>
      </c>
      <c r="C15747" t="s">
        <v>1</v>
      </c>
      <c r="D15747" t="s">
        <v>1</v>
      </c>
      <c r="E15747" t="s">
        <v>1</v>
      </c>
      <c r="F15747" t="s">
        <v>0</v>
      </c>
      <c r="G15747" t="str">
        <f>"2018-10-12 13:51:29"</f>
        <v>2018-10-12 13:51:29</v>
      </c>
    </row>
    <row r="15748" spans="1:7" x14ac:dyDescent="0.2">
      <c r="A15748" t="s">
        <v>1</v>
      </c>
      <c r="B15748" t="str">
        <f>"13589262346"</f>
        <v>13589262346</v>
      </c>
      <c r="C15748" t="s">
        <v>1</v>
      </c>
      <c r="D15748" t="s">
        <v>1</v>
      </c>
      <c r="E15748" t="s">
        <v>1</v>
      </c>
      <c r="F15748" t="s">
        <v>0</v>
      </c>
      <c r="G15748" t="str">
        <f>"2018-10-12 13:51:20"</f>
        <v>2018-10-12 13:51:20</v>
      </c>
    </row>
    <row r="15749" spans="1:7" x14ac:dyDescent="0.2">
      <c r="A15749" t="s">
        <v>1</v>
      </c>
      <c r="B15749" t="str">
        <f>"18341830628"</f>
        <v>18341830628</v>
      </c>
      <c r="C15749" t="s">
        <v>1</v>
      </c>
      <c r="D15749" t="s">
        <v>1</v>
      </c>
      <c r="E15749" t="s">
        <v>1</v>
      </c>
      <c r="F15749" t="s">
        <v>0</v>
      </c>
      <c r="G15749" t="str">
        <f>"2018-10-12 13:56:56"</f>
        <v>2018-10-12 13:56:56</v>
      </c>
    </row>
    <row r="15750" spans="1:7" x14ac:dyDescent="0.2">
      <c r="A15750" t="s">
        <v>15223</v>
      </c>
      <c r="B15750" t="str">
        <f>"15956224666"</f>
        <v>15956224666</v>
      </c>
      <c r="C15750" t="str">
        <f>"340823197602281232"</f>
        <v>340823197602281232</v>
      </c>
      <c r="D15750" t="s">
        <v>1</v>
      </c>
      <c r="E15750" t="s">
        <v>1</v>
      </c>
      <c r="F15750" t="s">
        <v>0</v>
      </c>
      <c r="G15750" t="str">
        <f>"2018-10-13 09:39:38"</f>
        <v>2018-10-13 09:39:38</v>
      </c>
    </row>
    <row r="15751" spans="1:7" x14ac:dyDescent="0.2">
      <c r="A15751" t="s">
        <v>1</v>
      </c>
      <c r="B15751" t="str">
        <f>"18176236924"</f>
        <v>18176236924</v>
      </c>
      <c r="C15751" t="s">
        <v>1</v>
      </c>
      <c r="D15751" t="s">
        <v>1</v>
      </c>
      <c r="E15751" t="s">
        <v>1</v>
      </c>
      <c r="F15751" t="s">
        <v>0</v>
      </c>
      <c r="G15751" t="str">
        <f>"2018-10-12 13:50:09"</f>
        <v>2018-10-12 13:50:09</v>
      </c>
    </row>
    <row r="15752" spans="1:7" x14ac:dyDescent="0.2">
      <c r="A15752" t="s">
        <v>1</v>
      </c>
      <c r="B15752" t="str">
        <f>"18786771775"</f>
        <v>18786771775</v>
      </c>
      <c r="C15752" t="s">
        <v>1</v>
      </c>
      <c r="D15752" t="s">
        <v>1</v>
      </c>
      <c r="E15752" t="s">
        <v>1</v>
      </c>
      <c r="F15752" t="s">
        <v>0</v>
      </c>
      <c r="G15752" t="str">
        <f>"2018-10-12 14:14:56"</f>
        <v>2018-10-12 14:14:56</v>
      </c>
    </row>
    <row r="15753" spans="1:7" x14ac:dyDescent="0.2">
      <c r="A15753" t="s">
        <v>15224</v>
      </c>
      <c r="B15753" t="str">
        <f>"15093675757"</f>
        <v>15093675757</v>
      </c>
      <c r="C15753" t="str">
        <f>"41018319930115653X"</f>
        <v>41018319930115653X</v>
      </c>
      <c r="D15753" t="s">
        <v>1</v>
      </c>
      <c r="E15753" t="s">
        <v>1</v>
      </c>
      <c r="F15753" t="s">
        <v>0</v>
      </c>
      <c r="G15753" t="str">
        <f>"2018-10-12 13:52:10"</f>
        <v>2018-10-12 13:52:10</v>
      </c>
    </row>
    <row r="15754" spans="1:7" x14ac:dyDescent="0.2">
      <c r="A15754" t="s">
        <v>15225</v>
      </c>
      <c r="B15754" t="str">
        <f>"18286576863"</f>
        <v>18286576863</v>
      </c>
      <c r="C15754" t="str">
        <f>"522631199407202555"</f>
        <v>522631199407202555</v>
      </c>
      <c r="D15754" t="s">
        <v>1</v>
      </c>
      <c r="E15754" t="s">
        <v>1</v>
      </c>
      <c r="F15754" t="s">
        <v>0</v>
      </c>
      <c r="G15754" t="str">
        <f>"2018-10-12 13:50:07"</f>
        <v>2018-10-12 13:50:07</v>
      </c>
    </row>
    <row r="15755" spans="1:7" x14ac:dyDescent="0.2">
      <c r="A15755" t="s">
        <v>15226</v>
      </c>
      <c r="B15755" t="str">
        <f>"18093865868"</f>
        <v>18093865868</v>
      </c>
      <c r="C15755" t="str">
        <f>"62052319921126411X"</f>
        <v>62052319921126411X</v>
      </c>
      <c r="D15755" t="s">
        <v>1</v>
      </c>
      <c r="E15755" t="s">
        <v>1</v>
      </c>
      <c r="F15755" t="s">
        <v>0</v>
      </c>
      <c r="G15755" t="str">
        <f>"2018-10-12 13:51:28"</f>
        <v>2018-10-12 13:51:28</v>
      </c>
    </row>
    <row r="15756" spans="1:7" x14ac:dyDescent="0.2">
      <c r="A15756" t="s">
        <v>15227</v>
      </c>
      <c r="B15756" t="str">
        <f>"13987152883"</f>
        <v>13987152883</v>
      </c>
      <c r="C15756" t="str">
        <f>"532530198505043258"</f>
        <v>532530198505043258</v>
      </c>
      <c r="D15756" t="s">
        <v>1</v>
      </c>
      <c r="E15756" t="s">
        <v>1</v>
      </c>
      <c r="F15756" t="s">
        <v>0</v>
      </c>
      <c r="G15756" t="str">
        <f>"2018-10-12 13:51:07"</f>
        <v>2018-10-12 13:51:07</v>
      </c>
    </row>
    <row r="15757" spans="1:7" x14ac:dyDescent="0.2">
      <c r="A15757" t="s">
        <v>1</v>
      </c>
      <c r="B15757" t="str">
        <f>"17714917177"</f>
        <v>17714917177</v>
      </c>
      <c r="C15757" t="s">
        <v>1</v>
      </c>
      <c r="D15757" t="s">
        <v>1</v>
      </c>
      <c r="E15757" t="s">
        <v>1</v>
      </c>
      <c r="F15757" t="s">
        <v>0</v>
      </c>
      <c r="G15757" t="str">
        <f>"2018-10-12 13:48:28"</f>
        <v>2018-10-12 13:48:28</v>
      </c>
    </row>
    <row r="15758" spans="1:7" x14ac:dyDescent="0.2">
      <c r="A15758" t="s">
        <v>15228</v>
      </c>
      <c r="B15758" t="str">
        <f>"18297213893"</f>
        <v>18297213893</v>
      </c>
      <c r="C15758" t="str">
        <f>"632126198105112717"</f>
        <v>632126198105112717</v>
      </c>
      <c r="D15758" t="s">
        <v>1</v>
      </c>
      <c r="E15758" t="s">
        <v>1</v>
      </c>
      <c r="F15758" t="s">
        <v>0</v>
      </c>
      <c r="G15758" t="str">
        <f>"2018-10-12 13:57:13"</f>
        <v>2018-10-12 13:57:13</v>
      </c>
    </row>
    <row r="15759" spans="1:7" x14ac:dyDescent="0.2">
      <c r="A15759" t="s">
        <v>15229</v>
      </c>
      <c r="B15759" t="str">
        <f>"13789368397"</f>
        <v>13789368397</v>
      </c>
      <c r="C15759" t="str">
        <f>"430422199202197931"</f>
        <v>430422199202197931</v>
      </c>
      <c r="D15759" t="s">
        <v>1</v>
      </c>
      <c r="E15759" t="s">
        <v>1</v>
      </c>
      <c r="F15759" t="s">
        <v>0</v>
      </c>
      <c r="G15759" t="str">
        <f>"2018-10-12 13:47:57"</f>
        <v>2018-10-12 13:47:57</v>
      </c>
    </row>
    <row r="15760" spans="1:7" x14ac:dyDescent="0.2">
      <c r="A15760" t="s">
        <v>15230</v>
      </c>
      <c r="B15760" t="str">
        <f>"13819330875"</f>
        <v>13819330875</v>
      </c>
      <c r="C15760" t="str">
        <f>"511527199206253812"</f>
        <v>511527199206253812</v>
      </c>
      <c r="D15760" t="s">
        <v>15231</v>
      </c>
      <c r="E15760" t="s">
        <v>15232</v>
      </c>
      <c r="F15760" t="s">
        <v>0</v>
      </c>
      <c r="G15760" t="str">
        <f>"2018-10-12 13:48:15"</f>
        <v>2018-10-12 13:48:15</v>
      </c>
    </row>
    <row r="15761" spans="1:7" x14ac:dyDescent="0.2">
      <c r="A15761" t="s">
        <v>15233</v>
      </c>
      <c r="B15761" t="str">
        <f>"15367241549"</f>
        <v>15367241549</v>
      </c>
      <c r="C15761" t="str">
        <f>"431025198205038825"</f>
        <v>431025198205038825</v>
      </c>
      <c r="D15761" t="s">
        <v>1</v>
      </c>
      <c r="E15761" t="s">
        <v>1</v>
      </c>
      <c r="F15761" t="s">
        <v>0</v>
      </c>
      <c r="G15761" t="str">
        <f>"2018-10-12 13:49:01"</f>
        <v>2018-10-12 13:49:01</v>
      </c>
    </row>
    <row r="15762" spans="1:7" x14ac:dyDescent="0.2">
      <c r="A15762" t="s">
        <v>15234</v>
      </c>
      <c r="B15762" t="str">
        <f>"13853422091"</f>
        <v>13853422091</v>
      </c>
      <c r="C15762" t="str">
        <f>"371424197904240058"</f>
        <v>371424197904240058</v>
      </c>
      <c r="D15762" t="s">
        <v>1</v>
      </c>
      <c r="E15762" t="s">
        <v>1</v>
      </c>
      <c r="F15762" t="s">
        <v>0</v>
      </c>
      <c r="G15762" t="str">
        <f>"2018-10-12 13:47:45"</f>
        <v>2018-10-12 13:47:45</v>
      </c>
    </row>
    <row r="15763" spans="1:7" x14ac:dyDescent="0.2">
      <c r="A15763" t="s">
        <v>183</v>
      </c>
      <c r="B15763" t="str">
        <f>"15720187396"</f>
        <v>15720187396</v>
      </c>
      <c r="C15763" t="str">
        <f>"130625199206106303"</f>
        <v>130625199206106303</v>
      </c>
      <c r="D15763" t="s">
        <v>1</v>
      </c>
      <c r="E15763" t="s">
        <v>1</v>
      </c>
      <c r="F15763" t="s">
        <v>0</v>
      </c>
      <c r="G15763" t="str">
        <f>"2018-10-12 13:45:28"</f>
        <v>2018-10-12 13:45:28</v>
      </c>
    </row>
    <row r="15764" spans="1:7" x14ac:dyDescent="0.2">
      <c r="A15764" t="s">
        <v>15235</v>
      </c>
      <c r="B15764" t="str">
        <f>"15383618437"</f>
        <v>15383618437</v>
      </c>
      <c r="C15764" t="str">
        <f>"141127199508270174"</f>
        <v>141127199508270174</v>
      </c>
      <c r="D15764" t="s">
        <v>1</v>
      </c>
      <c r="E15764" t="s">
        <v>1</v>
      </c>
      <c r="F15764" t="s">
        <v>0</v>
      </c>
      <c r="G15764" t="str">
        <f>"2018-10-13 11:27:38"</f>
        <v>2018-10-13 11:27:38</v>
      </c>
    </row>
    <row r="15765" spans="1:7" x14ac:dyDescent="0.2">
      <c r="A15765" t="s">
        <v>1</v>
      </c>
      <c r="B15765" t="str">
        <f>"18342207000"</f>
        <v>18342207000</v>
      </c>
      <c r="C15765" t="s">
        <v>1</v>
      </c>
      <c r="D15765" t="s">
        <v>1</v>
      </c>
      <c r="E15765" t="s">
        <v>1</v>
      </c>
      <c r="F15765" t="s">
        <v>0</v>
      </c>
      <c r="G15765" t="str">
        <f>"2018-10-12 13:44:31"</f>
        <v>2018-10-12 13:44:31</v>
      </c>
    </row>
    <row r="15766" spans="1:7" x14ac:dyDescent="0.2">
      <c r="A15766" t="s">
        <v>929</v>
      </c>
      <c r="B15766" t="str">
        <f>"17634045646"</f>
        <v>17634045646</v>
      </c>
      <c r="C15766" t="str">
        <f>"142702199309153019"</f>
        <v>142702199309153019</v>
      </c>
      <c r="D15766" t="s">
        <v>1</v>
      </c>
      <c r="E15766" t="s">
        <v>1</v>
      </c>
      <c r="F15766" t="s">
        <v>0</v>
      </c>
      <c r="G15766" t="str">
        <f>"2018-10-12 13:45:06"</f>
        <v>2018-10-12 13:45:06</v>
      </c>
    </row>
    <row r="15767" spans="1:7" x14ac:dyDescent="0.2">
      <c r="A15767" t="s">
        <v>1241</v>
      </c>
      <c r="B15767" t="str">
        <f>"18219293415"</f>
        <v>18219293415</v>
      </c>
      <c r="C15767" t="str">
        <f>"441402198307020019"</f>
        <v>441402198307020019</v>
      </c>
      <c r="D15767" t="s">
        <v>1</v>
      </c>
      <c r="E15767" t="s">
        <v>1</v>
      </c>
      <c r="F15767" t="s">
        <v>0</v>
      </c>
      <c r="G15767" t="str">
        <f>"2018-10-12 13:45:29"</f>
        <v>2018-10-12 13:45:29</v>
      </c>
    </row>
    <row r="15768" spans="1:7" x14ac:dyDescent="0.2">
      <c r="A15768" t="s">
        <v>628</v>
      </c>
      <c r="B15768" t="str">
        <f>"15606321314"</f>
        <v>15606321314</v>
      </c>
      <c r="C15768" t="str">
        <f>"370406198810226010"</f>
        <v>370406198810226010</v>
      </c>
      <c r="D15768" t="s">
        <v>1</v>
      </c>
      <c r="E15768" t="s">
        <v>1</v>
      </c>
      <c r="F15768" t="s">
        <v>0</v>
      </c>
      <c r="G15768" t="str">
        <f>"2018-10-12 13:45:28"</f>
        <v>2018-10-12 13:45:28</v>
      </c>
    </row>
    <row r="15769" spans="1:7" x14ac:dyDescent="0.2">
      <c r="A15769" t="s">
        <v>15236</v>
      </c>
      <c r="B15769" t="str">
        <f>"13547026974"</f>
        <v>13547026974</v>
      </c>
      <c r="C15769" t="str">
        <f>"510623199408170010"</f>
        <v>510623199408170010</v>
      </c>
      <c r="D15769" t="s">
        <v>1</v>
      </c>
      <c r="E15769" t="s">
        <v>1</v>
      </c>
      <c r="F15769" t="s">
        <v>0</v>
      </c>
      <c r="G15769" t="str">
        <f>"2018-10-12 13:43:48"</f>
        <v>2018-10-12 13:43:48</v>
      </c>
    </row>
    <row r="15770" spans="1:7" x14ac:dyDescent="0.2">
      <c r="A15770" t="s">
        <v>15237</v>
      </c>
      <c r="B15770" t="str">
        <f>"18805939893"</f>
        <v>18805939893</v>
      </c>
      <c r="C15770" t="str">
        <f>"35222719900816002X"</f>
        <v>35222719900816002X</v>
      </c>
      <c r="D15770" t="s">
        <v>1</v>
      </c>
      <c r="E15770" t="s">
        <v>1</v>
      </c>
      <c r="F15770" t="s">
        <v>0</v>
      </c>
      <c r="G15770" t="str">
        <f>"2018-10-12 13:47:19"</f>
        <v>2018-10-12 13:47:19</v>
      </c>
    </row>
    <row r="15771" spans="1:7" x14ac:dyDescent="0.2">
      <c r="A15771" t="s">
        <v>9226</v>
      </c>
      <c r="B15771" t="str">
        <f>"18627993984"</f>
        <v>18627993984</v>
      </c>
      <c r="C15771" t="str">
        <f>"42010519881202043X"</f>
        <v>42010519881202043X</v>
      </c>
      <c r="D15771" t="s">
        <v>1</v>
      </c>
      <c r="E15771" t="s">
        <v>1</v>
      </c>
      <c r="F15771" t="s">
        <v>0</v>
      </c>
      <c r="G15771" t="str">
        <f>"2018-10-16 15:20:28"</f>
        <v>2018-10-16 15:20:28</v>
      </c>
    </row>
    <row r="15772" spans="1:7" x14ac:dyDescent="0.2">
      <c r="A15772" t="s">
        <v>41</v>
      </c>
      <c r="B15772" t="str">
        <f>"13897963636"</f>
        <v>13897963636</v>
      </c>
      <c r="C15772" t="str">
        <f>"210102198603121025"</f>
        <v>210102198603121025</v>
      </c>
      <c r="D15772" t="s">
        <v>1</v>
      </c>
      <c r="E15772" t="s">
        <v>1</v>
      </c>
      <c r="F15772" t="s">
        <v>0</v>
      </c>
      <c r="G15772" t="str">
        <f>"2018-10-12 13:45:54"</f>
        <v>2018-10-12 13:45:54</v>
      </c>
    </row>
    <row r="15773" spans="1:7" x14ac:dyDescent="0.2">
      <c r="A15773" t="s">
        <v>1556</v>
      </c>
      <c r="B15773" t="str">
        <f>"18677695879"</f>
        <v>18677695879</v>
      </c>
      <c r="C15773" t="str">
        <f>"452622197010310052"</f>
        <v>452622197010310052</v>
      </c>
      <c r="D15773" t="s">
        <v>1</v>
      </c>
      <c r="E15773" t="s">
        <v>1</v>
      </c>
      <c r="F15773" t="s">
        <v>0</v>
      </c>
      <c r="G15773" t="str">
        <f>"2018-10-12 13:43:47"</f>
        <v>2018-10-12 13:43:47</v>
      </c>
    </row>
    <row r="15774" spans="1:7" x14ac:dyDescent="0.2">
      <c r="A15774" t="s">
        <v>1</v>
      </c>
      <c r="B15774" t="str">
        <f>"18522105994"</f>
        <v>18522105994</v>
      </c>
      <c r="C15774" t="s">
        <v>1</v>
      </c>
      <c r="D15774" t="s">
        <v>1</v>
      </c>
      <c r="E15774" t="s">
        <v>1</v>
      </c>
      <c r="F15774" t="s">
        <v>0</v>
      </c>
      <c r="G15774" t="str">
        <f>"2018-10-12 13:42:29"</f>
        <v>2018-10-12 13:42:29</v>
      </c>
    </row>
    <row r="15775" spans="1:7" x14ac:dyDescent="0.2">
      <c r="A15775" t="s">
        <v>1600</v>
      </c>
      <c r="B15775" t="str">
        <f>"18223986660"</f>
        <v>18223986660</v>
      </c>
      <c r="C15775" t="str">
        <f>"51120219791128083X"</f>
        <v>51120219791128083X</v>
      </c>
      <c r="D15775" t="s">
        <v>1</v>
      </c>
      <c r="E15775" t="s">
        <v>1</v>
      </c>
      <c r="F15775" t="s">
        <v>0</v>
      </c>
      <c r="G15775" t="str">
        <f>"2018-10-12 13:46:05"</f>
        <v>2018-10-12 13:46:05</v>
      </c>
    </row>
    <row r="15776" spans="1:7" x14ac:dyDescent="0.2">
      <c r="A15776" t="s">
        <v>15238</v>
      </c>
      <c r="B15776" t="str">
        <f>"15814617924"</f>
        <v>15814617924</v>
      </c>
      <c r="C15776" t="str">
        <f>"410328198408274538"</f>
        <v>410328198408274538</v>
      </c>
      <c r="D15776" t="s">
        <v>1</v>
      </c>
      <c r="E15776" t="s">
        <v>1</v>
      </c>
      <c r="F15776" t="s">
        <v>0</v>
      </c>
      <c r="G15776" t="str">
        <f>"2018-10-12 13:45:33"</f>
        <v>2018-10-12 13:45:33</v>
      </c>
    </row>
    <row r="15777" spans="1:7" x14ac:dyDescent="0.2">
      <c r="A15777" t="s">
        <v>1</v>
      </c>
      <c r="B15777" t="str">
        <f>"13500708772"</f>
        <v>13500708772</v>
      </c>
      <c r="C15777" t="s">
        <v>1</v>
      </c>
      <c r="D15777" t="s">
        <v>1</v>
      </c>
      <c r="E15777" t="s">
        <v>1</v>
      </c>
      <c r="F15777" t="s">
        <v>0</v>
      </c>
      <c r="G15777" t="str">
        <f>"2018-10-12 13:41:33"</f>
        <v>2018-10-12 13:41:33</v>
      </c>
    </row>
    <row r="15778" spans="1:7" x14ac:dyDescent="0.2">
      <c r="A15778" t="s">
        <v>15239</v>
      </c>
      <c r="B15778" t="str">
        <f>"15705691813"</f>
        <v>15705691813</v>
      </c>
      <c r="C15778" t="str">
        <f>"342425199106195759"</f>
        <v>342425199106195759</v>
      </c>
      <c r="D15778" t="s">
        <v>1</v>
      </c>
      <c r="E15778" t="s">
        <v>1</v>
      </c>
      <c r="F15778" t="s">
        <v>0</v>
      </c>
      <c r="G15778" t="str">
        <f>"2018-10-12 15:08:02"</f>
        <v>2018-10-12 15:08:02</v>
      </c>
    </row>
    <row r="15779" spans="1:7" x14ac:dyDescent="0.2">
      <c r="A15779" t="s">
        <v>1</v>
      </c>
      <c r="B15779" t="str">
        <f>"13876805853"</f>
        <v>13876805853</v>
      </c>
      <c r="C15779" t="s">
        <v>1</v>
      </c>
      <c r="D15779" t="s">
        <v>1</v>
      </c>
      <c r="E15779" t="s">
        <v>1</v>
      </c>
      <c r="F15779" t="s">
        <v>0</v>
      </c>
      <c r="G15779" t="str">
        <f>"2018-10-12 13:41:15"</f>
        <v>2018-10-12 13:41:15</v>
      </c>
    </row>
    <row r="15780" spans="1:7" x14ac:dyDescent="0.2">
      <c r="A15780" t="s">
        <v>1</v>
      </c>
      <c r="B15780" t="str">
        <f>"15830275430"</f>
        <v>15830275430</v>
      </c>
      <c r="C15780" t="s">
        <v>1</v>
      </c>
      <c r="D15780" t="s">
        <v>1</v>
      </c>
      <c r="E15780" t="s">
        <v>1</v>
      </c>
      <c r="F15780" t="s">
        <v>0</v>
      </c>
      <c r="G15780" t="str">
        <f>"2018-10-12 13:40:10"</f>
        <v>2018-10-12 13:40:10</v>
      </c>
    </row>
    <row r="15781" spans="1:7" x14ac:dyDescent="0.2">
      <c r="A15781" t="s">
        <v>15240</v>
      </c>
      <c r="B15781" t="str">
        <f>"17634074932"</f>
        <v>17634074932</v>
      </c>
      <c r="C15781" t="str">
        <f>"610113198008062191"</f>
        <v>610113198008062191</v>
      </c>
      <c r="D15781" t="s">
        <v>15241</v>
      </c>
      <c r="E15781" t="s">
        <v>15242</v>
      </c>
      <c r="F15781" t="s">
        <v>0</v>
      </c>
      <c r="G15781" t="str">
        <f>"2018-10-12 13:40:47"</f>
        <v>2018-10-12 13:40:47</v>
      </c>
    </row>
    <row r="15782" spans="1:7" x14ac:dyDescent="0.2">
      <c r="A15782" t="s">
        <v>1</v>
      </c>
      <c r="B15782" t="str">
        <f>"17794345040"</f>
        <v>17794345040</v>
      </c>
      <c r="C15782" t="s">
        <v>1</v>
      </c>
      <c r="D15782" t="s">
        <v>1</v>
      </c>
      <c r="E15782" t="s">
        <v>1</v>
      </c>
      <c r="F15782" t="s">
        <v>0</v>
      </c>
      <c r="G15782" t="str">
        <f>"2018-10-12 13:39:18"</f>
        <v>2018-10-12 13:39:18</v>
      </c>
    </row>
    <row r="15783" spans="1:7" x14ac:dyDescent="0.2">
      <c r="A15783" t="s">
        <v>1</v>
      </c>
      <c r="B15783" t="str">
        <f>"17156996438"</f>
        <v>17156996438</v>
      </c>
      <c r="C15783" t="s">
        <v>1</v>
      </c>
      <c r="D15783" t="s">
        <v>1</v>
      </c>
      <c r="E15783" t="s">
        <v>1</v>
      </c>
      <c r="F15783" t="s">
        <v>0</v>
      </c>
      <c r="G15783" t="str">
        <f>"2018-10-12 13:38:38"</f>
        <v>2018-10-12 13:38:38</v>
      </c>
    </row>
    <row r="15784" spans="1:7" x14ac:dyDescent="0.2">
      <c r="A15784" t="s">
        <v>15243</v>
      </c>
      <c r="B15784" t="str">
        <f>"13807705769"</f>
        <v>13807705769</v>
      </c>
      <c r="C15784" t="str">
        <f>"450603199102101256"</f>
        <v>450603199102101256</v>
      </c>
      <c r="D15784" t="s">
        <v>1</v>
      </c>
      <c r="E15784" t="s">
        <v>1</v>
      </c>
      <c r="F15784" t="s">
        <v>0</v>
      </c>
      <c r="G15784" t="str">
        <f>"2018-10-12 13:39:59"</f>
        <v>2018-10-12 13:39:59</v>
      </c>
    </row>
    <row r="15785" spans="1:7" x14ac:dyDescent="0.2">
      <c r="A15785" t="s">
        <v>15244</v>
      </c>
      <c r="B15785" t="str">
        <f>"18307078631"</f>
        <v>18307078631</v>
      </c>
      <c r="C15785" t="str">
        <f>"362132198309176538"</f>
        <v>362132198309176538</v>
      </c>
      <c r="D15785" t="s">
        <v>15245</v>
      </c>
      <c r="E15785" t="s">
        <v>15246</v>
      </c>
      <c r="F15785" t="s">
        <v>0</v>
      </c>
      <c r="G15785" t="str">
        <f>"2018-10-12 13:40:46"</f>
        <v>2018-10-12 13:40:46</v>
      </c>
    </row>
    <row r="15786" spans="1:7" x14ac:dyDescent="0.2">
      <c r="A15786" t="s">
        <v>15247</v>
      </c>
      <c r="B15786" t="str">
        <f>"15526268568"</f>
        <v>15526268568</v>
      </c>
      <c r="C15786" t="str">
        <f>"431026198811303015"</f>
        <v>431026198811303015</v>
      </c>
      <c r="D15786" t="s">
        <v>1</v>
      </c>
      <c r="E15786" t="s">
        <v>1</v>
      </c>
      <c r="F15786" t="s">
        <v>0</v>
      </c>
      <c r="G15786" t="str">
        <f>"2018-10-12 13:38:33"</f>
        <v>2018-10-12 13:38:33</v>
      </c>
    </row>
    <row r="15787" spans="1:7" x14ac:dyDescent="0.2">
      <c r="A15787" t="s">
        <v>15248</v>
      </c>
      <c r="B15787" t="str">
        <f>"15614380181"</f>
        <v>15614380181</v>
      </c>
      <c r="C15787" t="str">
        <f>"130127199612271529"</f>
        <v>130127199612271529</v>
      </c>
      <c r="D15787" t="s">
        <v>15249</v>
      </c>
      <c r="E15787" t="s">
        <v>15250</v>
      </c>
      <c r="F15787" t="s">
        <v>0</v>
      </c>
      <c r="G15787" t="str">
        <f>"2018-11-04 14:46:39"</f>
        <v>2018-11-04 14:46:39</v>
      </c>
    </row>
    <row r="15788" spans="1:7" x14ac:dyDescent="0.2">
      <c r="A15788" t="s">
        <v>1</v>
      </c>
      <c r="B15788" t="str">
        <f>"18772268936"</f>
        <v>18772268936</v>
      </c>
      <c r="C15788" t="s">
        <v>1</v>
      </c>
      <c r="D15788" t="s">
        <v>1</v>
      </c>
      <c r="E15788" t="s">
        <v>1</v>
      </c>
      <c r="F15788" t="s">
        <v>0</v>
      </c>
      <c r="G15788" t="str">
        <f>"2018-10-12 13:36:00"</f>
        <v>2018-10-12 13:36:00</v>
      </c>
    </row>
    <row r="15789" spans="1:7" x14ac:dyDescent="0.2">
      <c r="A15789" t="s">
        <v>15251</v>
      </c>
      <c r="B15789" t="str">
        <f>"18375483249"</f>
        <v>18375483249</v>
      </c>
      <c r="C15789" t="str">
        <f>"370921198202034825"</f>
        <v>370921198202034825</v>
      </c>
      <c r="D15789" t="s">
        <v>1</v>
      </c>
      <c r="E15789" t="s">
        <v>1</v>
      </c>
      <c r="F15789" t="s">
        <v>0</v>
      </c>
      <c r="G15789" t="str">
        <f>"2018-10-12 13:37:00"</f>
        <v>2018-10-12 13:37:00</v>
      </c>
    </row>
    <row r="15790" spans="1:7" x14ac:dyDescent="0.2">
      <c r="A15790" t="s">
        <v>15252</v>
      </c>
      <c r="B15790" t="str">
        <f>"15849172848"</f>
        <v>15849172848</v>
      </c>
      <c r="C15790" t="str">
        <f>"152327199801204428"</f>
        <v>152327199801204428</v>
      </c>
      <c r="D15790" t="s">
        <v>1</v>
      </c>
      <c r="E15790" t="s">
        <v>1</v>
      </c>
      <c r="F15790" t="s">
        <v>0</v>
      </c>
      <c r="G15790" t="str">
        <f>"2018-10-12 13:40:41"</f>
        <v>2018-10-12 13:40:41</v>
      </c>
    </row>
    <row r="15791" spans="1:7" x14ac:dyDescent="0.2">
      <c r="A15791" t="s">
        <v>15253</v>
      </c>
      <c r="B15791" t="str">
        <f>"13514348277"</f>
        <v>13514348277</v>
      </c>
      <c r="C15791" t="str">
        <f>"220302198108221056"</f>
        <v>220302198108221056</v>
      </c>
      <c r="D15791" t="s">
        <v>1</v>
      </c>
      <c r="E15791" t="s">
        <v>1</v>
      </c>
      <c r="F15791" t="s">
        <v>0</v>
      </c>
      <c r="G15791" t="str">
        <f>"2018-10-12 13:35:20"</f>
        <v>2018-10-12 13:35:20</v>
      </c>
    </row>
    <row r="15792" spans="1:7" x14ac:dyDescent="0.2">
      <c r="A15792" t="s">
        <v>15254</v>
      </c>
      <c r="B15792" t="str">
        <f>"13686869842"</f>
        <v>13686869842</v>
      </c>
      <c r="C15792" t="str">
        <f>"440301199304084131"</f>
        <v>440301199304084131</v>
      </c>
      <c r="D15792" t="s">
        <v>1</v>
      </c>
      <c r="E15792" t="s">
        <v>1</v>
      </c>
      <c r="F15792" t="s">
        <v>0</v>
      </c>
      <c r="G15792" t="str">
        <f>"2018-10-12 13:38:30"</f>
        <v>2018-10-12 13:38:30</v>
      </c>
    </row>
    <row r="15793" spans="1:7" x14ac:dyDescent="0.2">
      <c r="A15793" t="s">
        <v>15255</v>
      </c>
      <c r="B15793" t="str">
        <f>"15265509984"</f>
        <v>15265509984</v>
      </c>
      <c r="C15793" t="str">
        <f>"371581199002180887"</f>
        <v>371581199002180887</v>
      </c>
      <c r="D15793" t="s">
        <v>15256</v>
      </c>
      <c r="E15793" t="s">
        <v>15257</v>
      </c>
      <c r="F15793" t="s">
        <v>0</v>
      </c>
      <c r="G15793" t="str">
        <f>"2018-10-12 13:35:50"</f>
        <v>2018-10-12 13:35:50</v>
      </c>
    </row>
    <row r="15794" spans="1:7" x14ac:dyDescent="0.2">
      <c r="A15794" t="s">
        <v>15258</v>
      </c>
      <c r="B15794" t="str">
        <f>"17628084442"</f>
        <v>17628084442</v>
      </c>
      <c r="C15794" t="str">
        <f>"51312419870218447X"</f>
        <v>51312419870218447X</v>
      </c>
      <c r="D15794" t="s">
        <v>1</v>
      </c>
      <c r="E15794" t="s">
        <v>1</v>
      </c>
      <c r="F15794" t="s">
        <v>0</v>
      </c>
      <c r="G15794" t="str">
        <f>"2018-10-12 14:20:22"</f>
        <v>2018-10-12 14:20:22</v>
      </c>
    </row>
    <row r="15795" spans="1:7" x14ac:dyDescent="0.2">
      <c r="A15795" t="s">
        <v>15259</v>
      </c>
      <c r="B15795" t="str">
        <f>"13087157981"</f>
        <v>13087157981</v>
      </c>
      <c r="C15795" t="str">
        <f>"15232119770702241X"</f>
        <v>15232119770702241X</v>
      </c>
      <c r="D15795" t="s">
        <v>1</v>
      </c>
      <c r="E15795" t="s">
        <v>1</v>
      </c>
      <c r="F15795" t="s">
        <v>0</v>
      </c>
      <c r="G15795" t="str">
        <f>"2018-10-12 13:34:03"</f>
        <v>2018-10-12 13:34:03</v>
      </c>
    </row>
    <row r="15796" spans="1:7" x14ac:dyDescent="0.2">
      <c r="A15796" t="s">
        <v>15260</v>
      </c>
      <c r="B15796" t="str">
        <f>"15045532539"</f>
        <v>15045532539</v>
      </c>
      <c r="C15796" t="str">
        <f>"232326199910086540"</f>
        <v>232326199910086540</v>
      </c>
      <c r="D15796" t="s">
        <v>1</v>
      </c>
      <c r="E15796" t="s">
        <v>1</v>
      </c>
      <c r="F15796" t="s">
        <v>0</v>
      </c>
      <c r="G15796" t="str">
        <f>"2018-10-12 13:32:34"</f>
        <v>2018-10-12 13:32:34</v>
      </c>
    </row>
    <row r="15797" spans="1:7" x14ac:dyDescent="0.2">
      <c r="A15797" t="s">
        <v>15261</v>
      </c>
      <c r="B15797" t="str">
        <f>"15777552708"</f>
        <v>15777552708</v>
      </c>
      <c r="C15797" t="str">
        <f>"452528198301067483"</f>
        <v>452528198301067483</v>
      </c>
      <c r="D15797" t="s">
        <v>1</v>
      </c>
      <c r="E15797" t="s">
        <v>1</v>
      </c>
      <c r="F15797" t="s">
        <v>0</v>
      </c>
      <c r="G15797" t="str">
        <f>"2018-10-12 13:33:07"</f>
        <v>2018-10-12 13:33:07</v>
      </c>
    </row>
    <row r="15798" spans="1:7" x14ac:dyDescent="0.2">
      <c r="A15798" t="s">
        <v>28</v>
      </c>
      <c r="B15798" t="str">
        <f>"13833351423"</f>
        <v>13833351423</v>
      </c>
      <c r="C15798" t="str">
        <f>"132530198105123211"</f>
        <v>132530198105123211</v>
      </c>
      <c r="D15798" t="s">
        <v>15262</v>
      </c>
      <c r="E15798" t="s">
        <v>15263</v>
      </c>
      <c r="F15798" t="s">
        <v>0</v>
      </c>
      <c r="G15798" t="str">
        <f>"2018-10-12 13:30:49"</f>
        <v>2018-10-12 13:30:49</v>
      </c>
    </row>
    <row r="15799" spans="1:7" x14ac:dyDescent="0.2">
      <c r="A15799" t="s">
        <v>15264</v>
      </c>
      <c r="B15799" t="str">
        <f>"15641402106"</f>
        <v>15641402106</v>
      </c>
      <c r="C15799" t="str">
        <f>"210504198105121318"</f>
        <v>210504198105121318</v>
      </c>
      <c r="D15799" t="s">
        <v>1</v>
      </c>
      <c r="E15799" t="s">
        <v>1</v>
      </c>
      <c r="F15799" t="s">
        <v>0</v>
      </c>
      <c r="G15799" t="str">
        <f>"2018-10-21 12:13:46"</f>
        <v>2018-10-21 12:13:46</v>
      </c>
    </row>
    <row r="15800" spans="1:7" x14ac:dyDescent="0.2">
      <c r="A15800" t="s">
        <v>10672</v>
      </c>
      <c r="B15800" t="str">
        <f>"17696149171"</f>
        <v>17696149171</v>
      </c>
      <c r="C15800" t="str">
        <f>"142703198806283350"</f>
        <v>142703198806283350</v>
      </c>
      <c r="D15800" t="s">
        <v>1</v>
      </c>
      <c r="E15800" t="s">
        <v>1</v>
      </c>
      <c r="F15800" t="s">
        <v>0</v>
      </c>
      <c r="G15800" t="str">
        <f>"2018-10-12 13:31:41"</f>
        <v>2018-10-12 13:31:41</v>
      </c>
    </row>
    <row r="15801" spans="1:7" x14ac:dyDescent="0.2">
      <c r="A15801" t="s">
        <v>15265</v>
      </c>
      <c r="B15801" t="str">
        <f>"15860513150"</f>
        <v>15860513150</v>
      </c>
      <c r="C15801" t="str">
        <f>"350582198810298530"</f>
        <v>350582198810298530</v>
      </c>
      <c r="D15801" t="s">
        <v>1</v>
      </c>
      <c r="E15801" t="s">
        <v>1</v>
      </c>
      <c r="F15801" t="s">
        <v>0</v>
      </c>
      <c r="G15801" t="str">
        <f>"2018-10-12 13:31:50"</f>
        <v>2018-10-12 13:31:50</v>
      </c>
    </row>
    <row r="15802" spans="1:7" x14ac:dyDescent="0.2">
      <c r="A15802" t="s">
        <v>1</v>
      </c>
      <c r="B15802" t="str">
        <f>"13400266415"</f>
        <v>13400266415</v>
      </c>
      <c r="C15802" t="s">
        <v>1</v>
      </c>
      <c r="D15802" t="s">
        <v>1</v>
      </c>
      <c r="E15802" t="s">
        <v>1</v>
      </c>
      <c r="F15802" t="s">
        <v>0</v>
      </c>
      <c r="G15802" t="str">
        <f>"2018-10-12 13:32:30"</f>
        <v>2018-10-12 13:32:30</v>
      </c>
    </row>
    <row r="15803" spans="1:7" x14ac:dyDescent="0.2">
      <c r="A15803" t="s">
        <v>15266</v>
      </c>
      <c r="B15803" t="str">
        <f>"15880619336"</f>
        <v>15880619336</v>
      </c>
      <c r="C15803" t="str">
        <f>"352625198011155891"</f>
        <v>352625198011155891</v>
      </c>
      <c r="D15803" t="s">
        <v>15267</v>
      </c>
      <c r="E15803" t="s">
        <v>15268</v>
      </c>
      <c r="F15803" t="s">
        <v>0</v>
      </c>
      <c r="G15803" t="str">
        <f>"2018-10-12 13:28:33"</f>
        <v>2018-10-12 13:28:33</v>
      </c>
    </row>
    <row r="15804" spans="1:7" x14ac:dyDescent="0.2">
      <c r="A15804" t="s">
        <v>1</v>
      </c>
      <c r="B15804" t="str">
        <f>"15529311357"</f>
        <v>15529311357</v>
      </c>
      <c r="C15804" t="s">
        <v>1</v>
      </c>
      <c r="D15804" t="s">
        <v>1</v>
      </c>
      <c r="E15804" t="s">
        <v>1</v>
      </c>
      <c r="F15804" t="s">
        <v>0</v>
      </c>
      <c r="G15804" t="str">
        <f>"2018-10-12 13:27:54"</f>
        <v>2018-10-12 13:27:54</v>
      </c>
    </row>
    <row r="15805" spans="1:7" x14ac:dyDescent="0.2">
      <c r="A15805" t="s">
        <v>15269</v>
      </c>
      <c r="B15805" t="str">
        <f>"13940185311"</f>
        <v>13940185311</v>
      </c>
      <c r="C15805" t="str">
        <f>"210112197708044028"</f>
        <v>210112197708044028</v>
      </c>
      <c r="D15805" t="s">
        <v>1</v>
      </c>
      <c r="E15805" t="s">
        <v>1</v>
      </c>
      <c r="F15805" t="s">
        <v>0</v>
      </c>
      <c r="G15805" t="str">
        <f>"2018-10-12 13:27:42"</f>
        <v>2018-10-12 13:27:42</v>
      </c>
    </row>
    <row r="15806" spans="1:7" x14ac:dyDescent="0.2">
      <c r="A15806" t="s">
        <v>1</v>
      </c>
      <c r="B15806" t="str">
        <f>"15259223676"</f>
        <v>15259223676</v>
      </c>
      <c r="C15806" t="s">
        <v>1</v>
      </c>
      <c r="D15806" t="s">
        <v>1</v>
      </c>
      <c r="E15806" t="s">
        <v>1</v>
      </c>
      <c r="F15806" t="s">
        <v>0</v>
      </c>
      <c r="G15806" t="str">
        <f>"2018-10-12 13:27:22"</f>
        <v>2018-10-12 13:27:22</v>
      </c>
    </row>
    <row r="15807" spans="1:7" x14ac:dyDescent="0.2">
      <c r="A15807" t="s">
        <v>778</v>
      </c>
      <c r="B15807" t="str">
        <f>"17866934053"</f>
        <v>17866934053</v>
      </c>
      <c r="C15807" t="str">
        <f>"370126199312063128"</f>
        <v>370126199312063128</v>
      </c>
      <c r="D15807" t="s">
        <v>1</v>
      </c>
      <c r="E15807" t="s">
        <v>1</v>
      </c>
      <c r="F15807" t="s">
        <v>0</v>
      </c>
      <c r="G15807" t="str">
        <f>"2018-10-12 13:28:58"</f>
        <v>2018-10-12 13:28:58</v>
      </c>
    </row>
    <row r="15808" spans="1:7" x14ac:dyDescent="0.2">
      <c r="A15808" t="s">
        <v>15270</v>
      </c>
      <c r="B15808" t="str">
        <f>"18289355307"</f>
        <v>18289355307</v>
      </c>
      <c r="C15808" t="str">
        <f>"460004199411280679"</f>
        <v>460004199411280679</v>
      </c>
      <c r="D15808" t="s">
        <v>15271</v>
      </c>
      <c r="E15808" t="s">
        <v>15272</v>
      </c>
      <c r="F15808" t="s">
        <v>0</v>
      </c>
      <c r="G15808" t="str">
        <f>"2018-10-12 14:03:52"</f>
        <v>2018-10-12 14:03:52</v>
      </c>
    </row>
    <row r="15809" spans="1:7" x14ac:dyDescent="0.2">
      <c r="A15809" t="s">
        <v>1</v>
      </c>
      <c r="B15809" t="str">
        <f>"18696413549"</f>
        <v>18696413549</v>
      </c>
      <c r="C15809" t="s">
        <v>1</v>
      </c>
      <c r="D15809" t="s">
        <v>1</v>
      </c>
      <c r="E15809" t="s">
        <v>1</v>
      </c>
      <c r="F15809" t="s">
        <v>0</v>
      </c>
      <c r="G15809" t="str">
        <f>"2018-10-12 13:26:15"</f>
        <v>2018-10-12 13:26:15</v>
      </c>
    </row>
    <row r="15810" spans="1:7" x14ac:dyDescent="0.2">
      <c r="A15810" t="s">
        <v>1</v>
      </c>
      <c r="B15810" t="str">
        <f>"15105990007"</f>
        <v>15105990007</v>
      </c>
      <c r="C15810" t="s">
        <v>1</v>
      </c>
      <c r="D15810" t="s">
        <v>1</v>
      </c>
      <c r="E15810" t="s">
        <v>1</v>
      </c>
      <c r="F15810" t="s">
        <v>0</v>
      </c>
      <c r="G15810" t="str">
        <f>"2018-10-12 13:40:51"</f>
        <v>2018-10-12 13:40:51</v>
      </c>
    </row>
    <row r="15811" spans="1:7" x14ac:dyDescent="0.2">
      <c r="A15811" t="s">
        <v>15273</v>
      </c>
      <c r="B15811" t="str">
        <f>"17752926526"</f>
        <v>17752926526</v>
      </c>
      <c r="C15811" t="str">
        <f>"130481199704141662"</f>
        <v>130481199704141662</v>
      </c>
      <c r="D15811" t="s">
        <v>1</v>
      </c>
      <c r="E15811" t="s">
        <v>1</v>
      </c>
      <c r="F15811" t="s">
        <v>0</v>
      </c>
      <c r="G15811" t="str">
        <f>"2018-10-12 13:26:41"</f>
        <v>2018-10-12 13:26:41</v>
      </c>
    </row>
    <row r="15812" spans="1:7" x14ac:dyDescent="0.2">
      <c r="A15812" t="s">
        <v>15274</v>
      </c>
      <c r="B15812" t="str">
        <f>"13399446333"</f>
        <v>13399446333</v>
      </c>
      <c r="C15812" t="str">
        <f>"622201199007036619"</f>
        <v>622201199007036619</v>
      </c>
      <c r="D15812" t="s">
        <v>1</v>
      </c>
      <c r="E15812" t="s">
        <v>1</v>
      </c>
      <c r="F15812" t="s">
        <v>0</v>
      </c>
      <c r="G15812" t="str">
        <f>"2018-10-12 14:46:04"</f>
        <v>2018-10-12 14:46:04</v>
      </c>
    </row>
    <row r="15813" spans="1:7" x14ac:dyDescent="0.2">
      <c r="A15813" t="s">
        <v>45</v>
      </c>
      <c r="B15813" t="str">
        <f>"18771639686"</f>
        <v>18771639686</v>
      </c>
      <c r="C15813" t="str">
        <f>"421102199408153616"</f>
        <v>421102199408153616</v>
      </c>
      <c r="D15813" t="s">
        <v>1</v>
      </c>
      <c r="E15813" t="s">
        <v>1</v>
      </c>
      <c r="F15813" t="s">
        <v>0</v>
      </c>
      <c r="G15813" t="str">
        <f>"2018-10-16 20:26:41"</f>
        <v>2018-10-16 20:26:41</v>
      </c>
    </row>
    <row r="15814" spans="1:7" x14ac:dyDescent="0.2">
      <c r="A15814" t="s">
        <v>1</v>
      </c>
      <c r="B15814" t="str">
        <f>"17156996437"</f>
        <v>17156996437</v>
      </c>
      <c r="C15814" t="s">
        <v>1</v>
      </c>
      <c r="D15814" t="s">
        <v>1</v>
      </c>
      <c r="E15814" t="s">
        <v>1</v>
      </c>
      <c r="F15814" t="s">
        <v>0</v>
      </c>
      <c r="G15814" t="str">
        <f>"2018-10-12 13:24:19"</f>
        <v>2018-10-12 13:24:19</v>
      </c>
    </row>
    <row r="15815" spans="1:7" x14ac:dyDescent="0.2">
      <c r="A15815" t="s">
        <v>12043</v>
      </c>
      <c r="B15815" t="str">
        <f>"15733645689"</f>
        <v>15733645689</v>
      </c>
      <c r="C15815" t="str">
        <f>"130182199104281434"</f>
        <v>130182199104281434</v>
      </c>
      <c r="D15815" t="s">
        <v>1</v>
      </c>
      <c r="E15815" t="s">
        <v>1</v>
      </c>
      <c r="F15815" t="s">
        <v>0</v>
      </c>
      <c r="G15815" t="str">
        <f>"2018-10-12 13:24:30"</f>
        <v>2018-10-12 13:24:30</v>
      </c>
    </row>
    <row r="15816" spans="1:7" x14ac:dyDescent="0.2">
      <c r="A15816" t="s">
        <v>15275</v>
      </c>
      <c r="B15816" t="str">
        <f>"18341281381"</f>
        <v>18341281381</v>
      </c>
      <c r="C15816" t="str">
        <f>"210381197702226326"</f>
        <v>210381197702226326</v>
      </c>
      <c r="D15816" t="s">
        <v>1</v>
      </c>
      <c r="E15816" t="s">
        <v>1</v>
      </c>
      <c r="F15816" t="s">
        <v>0</v>
      </c>
      <c r="G15816" t="str">
        <f>"2018-10-12 13:22:37"</f>
        <v>2018-10-12 13:22:37</v>
      </c>
    </row>
    <row r="15817" spans="1:7" x14ac:dyDescent="0.2">
      <c r="A15817" t="s">
        <v>15276</v>
      </c>
      <c r="B15817" t="str">
        <f>"13489892448"</f>
        <v>13489892448</v>
      </c>
      <c r="C15817" t="str">
        <f>"350521198412203038"</f>
        <v>350521198412203038</v>
      </c>
      <c r="D15817" t="s">
        <v>15277</v>
      </c>
      <c r="E15817" t="s">
        <v>15278</v>
      </c>
      <c r="F15817" t="s">
        <v>0</v>
      </c>
      <c r="G15817" t="str">
        <f>"2018-10-12 13:23:57"</f>
        <v>2018-10-12 13:23:57</v>
      </c>
    </row>
    <row r="15818" spans="1:7" x14ac:dyDescent="0.2">
      <c r="A15818" t="s">
        <v>1</v>
      </c>
      <c r="B15818" t="str">
        <f>"18219767255"</f>
        <v>18219767255</v>
      </c>
      <c r="C15818" t="s">
        <v>1</v>
      </c>
      <c r="D15818" t="s">
        <v>1</v>
      </c>
      <c r="E15818" t="s">
        <v>1</v>
      </c>
      <c r="F15818" t="s">
        <v>0</v>
      </c>
      <c r="G15818" t="str">
        <f>"2018-10-13 19:42:06"</f>
        <v>2018-10-13 19:42:06</v>
      </c>
    </row>
    <row r="15819" spans="1:7" x14ac:dyDescent="0.2">
      <c r="A15819" t="s">
        <v>15279</v>
      </c>
      <c r="B15819" t="str">
        <f>"13526535921"</f>
        <v>13526535921</v>
      </c>
      <c r="C15819" t="str">
        <f>"320623198710052517"</f>
        <v>320623198710052517</v>
      </c>
      <c r="D15819" t="s">
        <v>1</v>
      </c>
      <c r="E15819" t="s">
        <v>1</v>
      </c>
      <c r="F15819" t="s">
        <v>0</v>
      </c>
      <c r="G15819" t="str">
        <f>"2018-10-12 13:36:35"</f>
        <v>2018-10-12 13:36:35</v>
      </c>
    </row>
    <row r="15820" spans="1:7" x14ac:dyDescent="0.2">
      <c r="A15820" t="s">
        <v>15280</v>
      </c>
      <c r="B15820" t="str">
        <f>"13478718111"</f>
        <v>13478718111</v>
      </c>
      <c r="C15820" t="str">
        <f>"21022119621121077X"</f>
        <v>21022119621121077X</v>
      </c>
      <c r="D15820" t="s">
        <v>1</v>
      </c>
      <c r="E15820" t="s">
        <v>1</v>
      </c>
      <c r="F15820" t="s">
        <v>0</v>
      </c>
      <c r="G15820" t="str">
        <f>"2018-10-12 13:24:04"</f>
        <v>2018-10-12 13:24:04</v>
      </c>
    </row>
    <row r="15821" spans="1:7" x14ac:dyDescent="0.2">
      <c r="A15821" t="s">
        <v>15281</v>
      </c>
      <c r="B15821" t="str">
        <f>"15389104785"</f>
        <v>15389104785</v>
      </c>
      <c r="C15821" t="str">
        <f>"610404197903242047"</f>
        <v>610404197903242047</v>
      </c>
      <c r="D15821" t="s">
        <v>1</v>
      </c>
      <c r="E15821" t="s">
        <v>1</v>
      </c>
      <c r="F15821" t="s">
        <v>0</v>
      </c>
      <c r="G15821" t="str">
        <f>"2018-10-18 22:00:18"</f>
        <v>2018-10-18 22:00:18</v>
      </c>
    </row>
    <row r="15822" spans="1:7" x14ac:dyDescent="0.2">
      <c r="A15822" t="s">
        <v>1796</v>
      </c>
      <c r="B15822" t="str">
        <f>"15907259015"</f>
        <v>15907259015</v>
      </c>
      <c r="C15822" t="str">
        <f>"421126199211040811"</f>
        <v>421126199211040811</v>
      </c>
      <c r="D15822" t="s">
        <v>1</v>
      </c>
      <c r="E15822" t="s">
        <v>1</v>
      </c>
      <c r="F15822" t="s">
        <v>0</v>
      </c>
      <c r="G15822" t="str">
        <f>"2018-10-12 13:21:11"</f>
        <v>2018-10-12 13:21:11</v>
      </c>
    </row>
    <row r="15823" spans="1:7" x14ac:dyDescent="0.2">
      <c r="A15823" t="s">
        <v>15282</v>
      </c>
      <c r="B15823" t="str">
        <f>"15090848772"</f>
        <v>15090848772</v>
      </c>
      <c r="C15823" t="str">
        <f>"421002198010140516"</f>
        <v>421002198010140516</v>
      </c>
      <c r="D15823" t="s">
        <v>1</v>
      </c>
      <c r="E15823" t="s">
        <v>1</v>
      </c>
      <c r="F15823" t="s">
        <v>0</v>
      </c>
      <c r="G15823" t="str">
        <f>"2018-10-12 13:24:00"</f>
        <v>2018-10-12 13:24:00</v>
      </c>
    </row>
    <row r="15824" spans="1:7" x14ac:dyDescent="0.2">
      <c r="A15824" t="s">
        <v>124</v>
      </c>
      <c r="B15824" t="str">
        <f>"13942619537"</f>
        <v>13942619537</v>
      </c>
      <c r="C15824" t="str">
        <f>"210212198705202510"</f>
        <v>210212198705202510</v>
      </c>
      <c r="D15824" t="s">
        <v>1</v>
      </c>
      <c r="E15824" t="s">
        <v>1</v>
      </c>
      <c r="F15824" t="s">
        <v>0</v>
      </c>
      <c r="G15824" t="str">
        <f>"2018-10-12 15:07:56"</f>
        <v>2018-10-12 15:07:56</v>
      </c>
    </row>
    <row r="15825" spans="1:7" x14ac:dyDescent="0.2">
      <c r="A15825" t="s">
        <v>1</v>
      </c>
      <c r="B15825" t="str">
        <f>"13557017683"</f>
        <v>13557017683</v>
      </c>
      <c r="C15825" t="s">
        <v>1</v>
      </c>
      <c r="D15825" t="s">
        <v>1</v>
      </c>
      <c r="E15825" t="s">
        <v>1</v>
      </c>
      <c r="F15825" t="s">
        <v>0</v>
      </c>
      <c r="G15825" t="str">
        <f>"2018-10-12 13:19:48"</f>
        <v>2018-10-12 13:19:48</v>
      </c>
    </row>
    <row r="15826" spans="1:7" x14ac:dyDescent="0.2">
      <c r="A15826" t="s">
        <v>15283</v>
      </c>
      <c r="B15826" t="str">
        <f>"18824978913"</f>
        <v>18824978913</v>
      </c>
      <c r="C15826" t="str">
        <f>"45212219960813151X"</f>
        <v>45212219960813151X</v>
      </c>
      <c r="D15826" t="s">
        <v>1</v>
      </c>
      <c r="E15826" t="s">
        <v>1</v>
      </c>
      <c r="F15826" t="s">
        <v>0</v>
      </c>
      <c r="G15826" t="str">
        <f>"2018-10-18 15:14:33"</f>
        <v>2018-10-18 15:14:33</v>
      </c>
    </row>
    <row r="15827" spans="1:7" x14ac:dyDescent="0.2">
      <c r="A15827" t="s">
        <v>1224</v>
      </c>
      <c r="B15827" t="str">
        <f>"15905013425"</f>
        <v>15905013425</v>
      </c>
      <c r="C15827" t="str">
        <f>"350583198212296638"</f>
        <v>350583198212296638</v>
      </c>
      <c r="D15827" t="s">
        <v>15284</v>
      </c>
      <c r="E15827" t="s">
        <v>15285</v>
      </c>
      <c r="F15827" t="s">
        <v>0</v>
      </c>
      <c r="G15827" t="str">
        <f>"2018-10-12 13:29:44"</f>
        <v>2018-10-12 13:29:44</v>
      </c>
    </row>
    <row r="15828" spans="1:7" x14ac:dyDescent="0.2">
      <c r="A15828" t="s">
        <v>15286</v>
      </c>
      <c r="B15828" t="str">
        <f>"15630204821"</f>
        <v>15630204821</v>
      </c>
      <c r="C15828" t="str">
        <f>"130624196602090243"</f>
        <v>130624196602090243</v>
      </c>
      <c r="D15828" t="s">
        <v>1</v>
      </c>
      <c r="E15828" t="s">
        <v>1</v>
      </c>
      <c r="F15828" t="s">
        <v>0</v>
      </c>
      <c r="G15828" t="str">
        <f>"2018-10-12 13:24:12"</f>
        <v>2018-10-12 13:24:12</v>
      </c>
    </row>
    <row r="15829" spans="1:7" x14ac:dyDescent="0.2">
      <c r="A15829" t="s">
        <v>15287</v>
      </c>
      <c r="B15829" t="str">
        <f>"13985033316"</f>
        <v>13985033316</v>
      </c>
      <c r="C15829" t="str">
        <f>"520123199204251219"</f>
        <v>520123199204251219</v>
      </c>
      <c r="D15829" t="s">
        <v>1</v>
      </c>
      <c r="E15829" t="s">
        <v>1</v>
      </c>
      <c r="F15829" t="s">
        <v>0</v>
      </c>
      <c r="G15829" t="str">
        <f>"2018-10-12 14:26:22"</f>
        <v>2018-10-12 14:26:22</v>
      </c>
    </row>
    <row r="15830" spans="1:7" x14ac:dyDescent="0.2">
      <c r="A15830" t="s">
        <v>15288</v>
      </c>
      <c r="B15830" t="str">
        <f>"18598915511"</f>
        <v>18598915511</v>
      </c>
      <c r="C15830" t="str">
        <f>"430621199703299439"</f>
        <v>430621199703299439</v>
      </c>
      <c r="D15830" t="s">
        <v>1</v>
      </c>
      <c r="E15830" t="s">
        <v>1</v>
      </c>
      <c r="F15830" t="s">
        <v>0</v>
      </c>
      <c r="G15830" t="str">
        <f>"2018-10-12 13:21:10"</f>
        <v>2018-10-12 13:21:10</v>
      </c>
    </row>
    <row r="15831" spans="1:7" x14ac:dyDescent="0.2">
      <c r="A15831" t="s">
        <v>1</v>
      </c>
      <c r="B15831" t="str">
        <f>"18241771776"</f>
        <v>18241771776</v>
      </c>
      <c r="C15831" t="s">
        <v>1</v>
      </c>
      <c r="D15831" t="s">
        <v>1</v>
      </c>
      <c r="E15831" t="s">
        <v>1</v>
      </c>
      <c r="F15831" t="s">
        <v>0</v>
      </c>
      <c r="G15831" t="str">
        <f>"2018-10-12 13:17:13"</f>
        <v>2018-10-12 13:17:13</v>
      </c>
    </row>
    <row r="15832" spans="1:7" x14ac:dyDescent="0.2">
      <c r="A15832" t="s">
        <v>467</v>
      </c>
      <c r="B15832" t="str">
        <f>"17633940328"</f>
        <v>17633940328</v>
      </c>
      <c r="C15832" t="str">
        <f>"412702199710111830"</f>
        <v>412702199710111830</v>
      </c>
      <c r="D15832" t="s">
        <v>1</v>
      </c>
      <c r="E15832" t="s">
        <v>1</v>
      </c>
      <c r="F15832" t="s">
        <v>0</v>
      </c>
      <c r="G15832" t="str">
        <f>"2018-10-12 13:17:57"</f>
        <v>2018-10-12 13:17:57</v>
      </c>
    </row>
    <row r="15833" spans="1:7" x14ac:dyDescent="0.2">
      <c r="A15833" t="s">
        <v>15289</v>
      </c>
      <c r="B15833" t="str">
        <f>"13635700814"</f>
        <v>13635700814</v>
      </c>
      <c r="C15833" t="str">
        <f>"420321198707230014"</f>
        <v>420321198707230014</v>
      </c>
      <c r="D15833" t="s">
        <v>1</v>
      </c>
      <c r="E15833" t="s">
        <v>1</v>
      </c>
      <c r="F15833" t="s">
        <v>0</v>
      </c>
      <c r="G15833" t="str">
        <f>"2018-10-12 13:16:47"</f>
        <v>2018-10-12 13:16:47</v>
      </c>
    </row>
    <row r="15834" spans="1:7" x14ac:dyDescent="0.2">
      <c r="A15834" t="s">
        <v>1</v>
      </c>
      <c r="B15834" t="str">
        <f>"18258110344"</f>
        <v>18258110344</v>
      </c>
      <c r="C15834" t="s">
        <v>1</v>
      </c>
      <c r="D15834" t="s">
        <v>1</v>
      </c>
      <c r="E15834" t="s">
        <v>1</v>
      </c>
      <c r="F15834" t="s">
        <v>0</v>
      </c>
      <c r="G15834" t="str">
        <f>"2018-10-12 13:15:38"</f>
        <v>2018-10-12 13:15:38</v>
      </c>
    </row>
    <row r="15835" spans="1:7" x14ac:dyDescent="0.2">
      <c r="A15835" t="s">
        <v>1</v>
      </c>
      <c r="B15835" t="str">
        <f>"13923276165"</f>
        <v>13923276165</v>
      </c>
      <c r="C15835" t="s">
        <v>1</v>
      </c>
      <c r="D15835" t="s">
        <v>1</v>
      </c>
      <c r="E15835" t="s">
        <v>1</v>
      </c>
      <c r="F15835" t="s">
        <v>0</v>
      </c>
      <c r="G15835" t="str">
        <f>"2018-10-12 13:15:06"</f>
        <v>2018-10-12 13:15:06</v>
      </c>
    </row>
    <row r="15836" spans="1:7" x14ac:dyDescent="0.2">
      <c r="A15836" t="s">
        <v>23</v>
      </c>
      <c r="B15836" t="str">
        <f>"18736720529"</f>
        <v>18736720529</v>
      </c>
      <c r="C15836" t="str">
        <f>"411403199708026919"</f>
        <v>411403199708026919</v>
      </c>
      <c r="D15836" t="s">
        <v>1</v>
      </c>
      <c r="E15836" t="s">
        <v>1</v>
      </c>
      <c r="F15836" t="s">
        <v>0</v>
      </c>
      <c r="G15836" t="str">
        <f>"2018-10-12 13:18:31"</f>
        <v>2018-10-12 13:18:31</v>
      </c>
    </row>
    <row r="15837" spans="1:7" x14ac:dyDescent="0.2">
      <c r="A15837" t="s">
        <v>15290</v>
      </c>
      <c r="B15837" t="str">
        <f>"18758982118"</f>
        <v>18758982118</v>
      </c>
      <c r="C15837" t="str">
        <f>"330824199305304518"</f>
        <v>330824199305304518</v>
      </c>
      <c r="D15837" t="s">
        <v>15291</v>
      </c>
      <c r="E15837" t="s">
        <v>15292</v>
      </c>
      <c r="F15837" t="s">
        <v>0</v>
      </c>
      <c r="G15837" t="str">
        <f>"2018-10-12 13:15:56"</f>
        <v>2018-10-12 13:15:56</v>
      </c>
    </row>
    <row r="15838" spans="1:7" x14ac:dyDescent="0.2">
      <c r="A15838" t="s">
        <v>15293</v>
      </c>
      <c r="B15838" t="str">
        <f>"13893859696"</f>
        <v>13893859696</v>
      </c>
      <c r="C15838" t="str">
        <f>"620502198410226136"</f>
        <v>620502198410226136</v>
      </c>
      <c r="D15838" t="s">
        <v>1</v>
      </c>
      <c r="E15838" t="s">
        <v>1</v>
      </c>
      <c r="F15838" t="s">
        <v>0</v>
      </c>
      <c r="G15838" t="str">
        <f>"2018-10-12 17:28:49"</f>
        <v>2018-10-12 17:28:49</v>
      </c>
    </row>
    <row r="15839" spans="1:7" x14ac:dyDescent="0.2">
      <c r="A15839" t="s">
        <v>1</v>
      </c>
      <c r="B15839" t="str">
        <f>"15042925097"</f>
        <v>15042925097</v>
      </c>
      <c r="C15839" t="s">
        <v>1</v>
      </c>
      <c r="D15839" t="s">
        <v>1</v>
      </c>
      <c r="E15839" t="s">
        <v>1</v>
      </c>
      <c r="F15839" t="s">
        <v>0</v>
      </c>
      <c r="G15839" t="str">
        <f>"2018-10-12 13:16:49"</f>
        <v>2018-10-12 13:16:49</v>
      </c>
    </row>
    <row r="15840" spans="1:7" x14ac:dyDescent="0.2">
      <c r="A15840" t="s">
        <v>68</v>
      </c>
      <c r="B15840" t="str">
        <f>"15750922152"</f>
        <v>15750922152</v>
      </c>
      <c r="C15840" t="str">
        <f>"513029198305176093"</f>
        <v>513029198305176093</v>
      </c>
      <c r="D15840" t="s">
        <v>15294</v>
      </c>
      <c r="E15840" t="s">
        <v>15295</v>
      </c>
      <c r="F15840" t="s">
        <v>0</v>
      </c>
      <c r="G15840" t="str">
        <f>"2018-10-12 18:53:58"</f>
        <v>2018-10-12 18:53:58</v>
      </c>
    </row>
    <row r="15841" spans="1:7" x14ac:dyDescent="0.2">
      <c r="A15841" t="s">
        <v>15296</v>
      </c>
      <c r="B15841" t="str">
        <f>"13519671302"</f>
        <v>13519671302</v>
      </c>
      <c r="C15841" t="str">
        <f>"622427199608051659"</f>
        <v>622427199608051659</v>
      </c>
      <c r="D15841" t="s">
        <v>15297</v>
      </c>
      <c r="E15841" t="s">
        <v>15298</v>
      </c>
      <c r="F15841" t="s">
        <v>0</v>
      </c>
      <c r="G15841" t="str">
        <f>"2018-10-12 13:15:04"</f>
        <v>2018-10-12 13:15:04</v>
      </c>
    </row>
    <row r="15842" spans="1:7" x14ac:dyDescent="0.2">
      <c r="A15842" t="s">
        <v>15299</v>
      </c>
      <c r="B15842" t="str">
        <f>"18121339815"</f>
        <v>18121339815</v>
      </c>
      <c r="C15842" t="str">
        <f>"411324198503163452"</f>
        <v>411324198503163452</v>
      </c>
      <c r="D15842" t="s">
        <v>1</v>
      </c>
      <c r="E15842" t="s">
        <v>1</v>
      </c>
      <c r="F15842" t="s">
        <v>0</v>
      </c>
      <c r="G15842" t="str">
        <f>"2018-10-12 13:15:59"</f>
        <v>2018-10-12 13:15:59</v>
      </c>
    </row>
    <row r="15843" spans="1:7" x14ac:dyDescent="0.2">
      <c r="A15843" t="s">
        <v>1</v>
      </c>
      <c r="B15843" t="str">
        <f>"18791924566"</f>
        <v>18791924566</v>
      </c>
      <c r="C15843" t="s">
        <v>1</v>
      </c>
      <c r="D15843" t="s">
        <v>1</v>
      </c>
      <c r="E15843" t="s">
        <v>1</v>
      </c>
      <c r="F15843" t="s">
        <v>0</v>
      </c>
      <c r="G15843" t="str">
        <f>"2018-10-12 13:16:14"</f>
        <v>2018-10-12 13:16:14</v>
      </c>
    </row>
    <row r="15844" spans="1:7" x14ac:dyDescent="0.2">
      <c r="A15844" t="s">
        <v>15300</v>
      </c>
      <c r="B15844" t="str">
        <f>"15840713030"</f>
        <v>15840713030</v>
      </c>
      <c r="C15844" t="str">
        <f>"21088119900504243X"</f>
        <v>21088119900504243X</v>
      </c>
      <c r="D15844" t="s">
        <v>1</v>
      </c>
      <c r="E15844" t="s">
        <v>1</v>
      </c>
      <c r="F15844" t="s">
        <v>0</v>
      </c>
      <c r="G15844" t="str">
        <f>"2018-10-18 16:48:32"</f>
        <v>2018-10-18 16:48:32</v>
      </c>
    </row>
    <row r="15845" spans="1:7" x14ac:dyDescent="0.2">
      <c r="A15845" t="s">
        <v>15301</v>
      </c>
      <c r="B15845" t="str">
        <f>"13981959318"</f>
        <v>13981959318</v>
      </c>
      <c r="C15845" t="str">
        <f>"513021198912310206"</f>
        <v>513021198912310206</v>
      </c>
      <c r="D15845" t="s">
        <v>1</v>
      </c>
      <c r="E15845" t="s">
        <v>1</v>
      </c>
      <c r="F15845" t="s">
        <v>0</v>
      </c>
      <c r="G15845" t="str">
        <f>"2018-10-12 13:14:04"</f>
        <v>2018-10-12 13:14:04</v>
      </c>
    </row>
    <row r="15846" spans="1:7" x14ac:dyDescent="0.2">
      <c r="A15846" t="s">
        <v>15302</v>
      </c>
      <c r="B15846" t="str">
        <f>"13945507356"</f>
        <v>13945507356</v>
      </c>
      <c r="C15846" t="str">
        <f>"232321198305151125"</f>
        <v>232321198305151125</v>
      </c>
      <c r="D15846" t="s">
        <v>1</v>
      </c>
      <c r="E15846" t="s">
        <v>1</v>
      </c>
      <c r="F15846" t="s">
        <v>0</v>
      </c>
      <c r="G15846" t="str">
        <f>"2018-10-12 13:12:10"</f>
        <v>2018-10-12 13:12:10</v>
      </c>
    </row>
    <row r="15847" spans="1:7" x14ac:dyDescent="0.2">
      <c r="A15847" t="s">
        <v>1</v>
      </c>
      <c r="B15847" t="str">
        <f>"13909222778"</f>
        <v>13909222778</v>
      </c>
      <c r="C15847" t="s">
        <v>1</v>
      </c>
      <c r="D15847" t="s">
        <v>1</v>
      </c>
      <c r="E15847" t="s">
        <v>1</v>
      </c>
      <c r="F15847" t="s">
        <v>0</v>
      </c>
      <c r="G15847" t="str">
        <f>"2018-10-12 13:10:28"</f>
        <v>2018-10-12 13:10:28</v>
      </c>
    </row>
    <row r="15848" spans="1:7" x14ac:dyDescent="0.2">
      <c r="A15848" t="s">
        <v>1581</v>
      </c>
      <c r="B15848" t="str">
        <f>"15027506906"</f>
        <v>15027506906</v>
      </c>
      <c r="C15848" t="str">
        <f>"130202197809060919"</f>
        <v>130202197809060919</v>
      </c>
      <c r="D15848" t="s">
        <v>1</v>
      </c>
      <c r="E15848" t="s">
        <v>1</v>
      </c>
      <c r="F15848" t="s">
        <v>0</v>
      </c>
      <c r="G15848" t="str">
        <f>"2018-10-12 13:10:23"</f>
        <v>2018-10-12 13:10:23</v>
      </c>
    </row>
    <row r="15849" spans="1:7" x14ac:dyDescent="0.2">
      <c r="A15849" t="s">
        <v>1</v>
      </c>
      <c r="B15849" t="str">
        <f>"18989330661"</f>
        <v>18989330661</v>
      </c>
      <c r="C15849" t="s">
        <v>1</v>
      </c>
      <c r="D15849" t="s">
        <v>1</v>
      </c>
      <c r="E15849" t="s">
        <v>1</v>
      </c>
      <c r="F15849" t="s">
        <v>0</v>
      </c>
      <c r="G15849" t="str">
        <f>"2018-10-12 13:10:10"</f>
        <v>2018-10-12 13:10:10</v>
      </c>
    </row>
    <row r="15850" spans="1:7" x14ac:dyDescent="0.2">
      <c r="A15850" t="s">
        <v>15303</v>
      </c>
      <c r="B15850" t="str">
        <f>"15148779060"</f>
        <v>15148779060</v>
      </c>
      <c r="C15850" t="str">
        <f>"152326199510304289"</f>
        <v>152326199510304289</v>
      </c>
      <c r="D15850" t="s">
        <v>15304</v>
      </c>
      <c r="E15850" t="s">
        <v>15305</v>
      </c>
      <c r="F15850" t="s">
        <v>0</v>
      </c>
      <c r="G15850" t="str">
        <f>"2018-10-12 13:17:11"</f>
        <v>2018-10-12 13:17:11</v>
      </c>
    </row>
    <row r="15851" spans="1:7" x14ac:dyDescent="0.2">
      <c r="A15851" t="s">
        <v>15306</v>
      </c>
      <c r="B15851" t="str">
        <f>"13644100410"</f>
        <v>13644100410</v>
      </c>
      <c r="C15851" t="str">
        <f>"211224198604248110"</f>
        <v>211224198604248110</v>
      </c>
      <c r="D15851" t="s">
        <v>1</v>
      </c>
      <c r="E15851" t="s">
        <v>1</v>
      </c>
      <c r="F15851" t="s">
        <v>0</v>
      </c>
      <c r="G15851" t="str">
        <f>"2018-10-13 11:14:07"</f>
        <v>2018-10-13 11:14:07</v>
      </c>
    </row>
    <row r="15852" spans="1:7" x14ac:dyDescent="0.2">
      <c r="A15852" t="s">
        <v>15307</v>
      </c>
      <c r="B15852" t="str">
        <f>"15007079271"</f>
        <v>15007079271</v>
      </c>
      <c r="C15852" t="str">
        <f>"360731198908028910"</f>
        <v>360731198908028910</v>
      </c>
      <c r="D15852" t="s">
        <v>1</v>
      </c>
      <c r="E15852" t="s">
        <v>1</v>
      </c>
      <c r="F15852" t="s">
        <v>0</v>
      </c>
      <c r="G15852" t="str">
        <f>"2018-10-12 13:09:10"</f>
        <v>2018-10-12 13:09:10</v>
      </c>
    </row>
    <row r="15853" spans="1:7" x14ac:dyDescent="0.2">
      <c r="A15853" t="s">
        <v>1</v>
      </c>
      <c r="B15853" t="str">
        <f>"15195583123"</f>
        <v>15195583123</v>
      </c>
      <c r="C15853" t="s">
        <v>1</v>
      </c>
      <c r="D15853" t="s">
        <v>1</v>
      </c>
      <c r="E15853" t="s">
        <v>1</v>
      </c>
      <c r="F15853" t="s">
        <v>0</v>
      </c>
      <c r="G15853" t="str">
        <f>"2018-10-12 13:09:07"</f>
        <v>2018-10-12 13:09:07</v>
      </c>
    </row>
    <row r="15854" spans="1:7" x14ac:dyDescent="0.2">
      <c r="A15854" t="s">
        <v>15308</v>
      </c>
      <c r="B15854" t="str">
        <f>"18755449878"</f>
        <v>18755449878</v>
      </c>
      <c r="C15854" t="str">
        <f>"340421198611062015"</f>
        <v>340421198611062015</v>
      </c>
      <c r="D15854" t="s">
        <v>1</v>
      </c>
      <c r="E15854" t="s">
        <v>1</v>
      </c>
      <c r="F15854" t="s">
        <v>0</v>
      </c>
      <c r="G15854" t="str">
        <f>"2018-10-12 13:52:25"</f>
        <v>2018-10-12 13:52:25</v>
      </c>
    </row>
    <row r="15855" spans="1:7" x14ac:dyDescent="0.2">
      <c r="A15855" t="s">
        <v>1</v>
      </c>
      <c r="B15855" t="str">
        <f>"15905793090"</f>
        <v>15905793090</v>
      </c>
      <c r="C15855" t="s">
        <v>1</v>
      </c>
      <c r="D15855" t="s">
        <v>1</v>
      </c>
      <c r="E15855" t="s">
        <v>1</v>
      </c>
      <c r="F15855" t="s">
        <v>0</v>
      </c>
      <c r="G15855" t="str">
        <f>"2018-10-12 13:11:03"</f>
        <v>2018-10-12 13:11:03</v>
      </c>
    </row>
    <row r="15856" spans="1:7" x14ac:dyDescent="0.2">
      <c r="A15856" t="s">
        <v>15309</v>
      </c>
      <c r="B15856" t="str">
        <f>"13811148043"</f>
        <v>13811148043</v>
      </c>
      <c r="C15856" t="str">
        <f>"320722197106120071"</f>
        <v>320722197106120071</v>
      </c>
      <c r="D15856" t="s">
        <v>1</v>
      </c>
      <c r="E15856" t="s">
        <v>1</v>
      </c>
      <c r="F15856" t="s">
        <v>0</v>
      </c>
      <c r="G15856" t="str">
        <f>"2018-10-12 13:06:21"</f>
        <v>2018-10-12 13:06:21</v>
      </c>
    </row>
    <row r="15857" spans="1:7" x14ac:dyDescent="0.2">
      <c r="A15857" t="s">
        <v>1</v>
      </c>
      <c r="B15857" t="str">
        <f>"18047652308"</f>
        <v>18047652308</v>
      </c>
      <c r="C15857" t="s">
        <v>1</v>
      </c>
      <c r="D15857" t="s">
        <v>1</v>
      </c>
      <c r="E15857" t="s">
        <v>1</v>
      </c>
      <c r="F15857" t="s">
        <v>0</v>
      </c>
      <c r="G15857" t="str">
        <f>"2018-10-12 13:06:18"</f>
        <v>2018-10-12 13:06:18</v>
      </c>
    </row>
    <row r="15858" spans="1:7" x14ac:dyDescent="0.2">
      <c r="A15858" t="s">
        <v>15310</v>
      </c>
      <c r="B15858" t="str">
        <f>"18852205186"</f>
        <v>18852205186</v>
      </c>
      <c r="C15858" t="str">
        <f>"320321199207280534"</f>
        <v>320321199207280534</v>
      </c>
      <c r="D15858" t="s">
        <v>15311</v>
      </c>
      <c r="E15858" t="s">
        <v>15312</v>
      </c>
      <c r="F15858" t="s">
        <v>0</v>
      </c>
      <c r="G15858" t="str">
        <f>"2018-10-29 18:05:36"</f>
        <v>2018-10-29 18:05:36</v>
      </c>
    </row>
    <row r="15859" spans="1:7" x14ac:dyDescent="0.2">
      <c r="A15859" t="s">
        <v>15313</v>
      </c>
      <c r="B15859" t="str">
        <f>"18577714468"</f>
        <v>18577714468</v>
      </c>
      <c r="C15859" t="str">
        <f>"513028198601026798"</f>
        <v>513028198601026798</v>
      </c>
      <c r="D15859" t="s">
        <v>1</v>
      </c>
      <c r="E15859" t="s">
        <v>1</v>
      </c>
      <c r="F15859" t="s">
        <v>0</v>
      </c>
      <c r="G15859" t="str">
        <f>"2018-10-12 17:27:15"</f>
        <v>2018-10-12 17:27:15</v>
      </c>
    </row>
    <row r="15860" spans="1:7" x14ac:dyDescent="0.2">
      <c r="A15860" t="s">
        <v>15314</v>
      </c>
      <c r="B15860" t="str">
        <f>"13246956582"</f>
        <v>13246956582</v>
      </c>
      <c r="C15860" t="str">
        <f>"445224199602261814"</f>
        <v>445224199602261814</v>
      </c>
      <c r="D15860" t="s">
        <v>1</v>
      </c>
      <c r="E15860" t="s">
        <v>1</v>
      </c>
      <c r="F15860" t="s">
        <v>0</v>
      </c>
      <c r="G15860" t="str">
        <f>"2018-10-12 13:08:29"</f>
        <v>2018-10-12 13:08:29</v>
      </c>
    </row>
    <row r="15861" spans="1:7" x14ac:dyDescent="0.2">
      <c r="A15861" t="s">
        <v>15315</v>
      </c>
      <c r="B15861" t="str">
        <f>"13012126667"</f>
        <v>13012126667</v>
      </c>
      <c r="C15861" t="str">
        <f>"130503198905151826"</f>
        <v>130503198905151826</v>
      </c>
      <c r="D15861" t="s">
        <v>15316</v>
      </c>
      <c r="E15861" t="s">
        <v>15317</v>
      </c>
      <c r="F15861" t="s">
        <v>0</v>
      </c>
      <c r="G15861" t="str">
        <f>"2018-10-12 13:07:37"</f>
        <v>2018-10-12 13:07:37</v>
      </c>
    </row>
    <row r="15862" spans="1:7" x14ac:dyDescent="0.2">
      <c r="A15862" t="s">
        <v>15318</v>
      </c>
      <c r="B15862" t="str">
        <f>"17604087708"</f>
        <v>17604087708</v>
      </c>
      <c r="C15862" t="str">
        <f>"230622198403267958"</f>
        <v>230622198403267958</v>
      </c>
      <c r="D15862" t="s">
        <v>1</v>
      </c>
      <c r="E15862" t="s">
        <v>1</v>
      </c>
      <c r="F15862" t="s">
        <v>0</v>
      </c>
      <c r="G15862" t="str">
        <f>"2018-10-12 13:04:03"</f>
        <v>2018-10-12 13:04:03</v>
      </c>
    </row>
    <row r="15863" spans="1:7" x14ac:dyDescent="0.2">
      <c r="A15863" t="s">
        <v>15319</v>
      </c>
      <c r="B15863" t="str">
        <f>"15800006145"</f>
        <v>15800006145</v>
      </c>
      <c r="C15863" t="str">
        <f>"441426199310182858"</f>
        <v>441426199310182858</v>
      </c>
      <c r="D15863" t="s">
        <v>15320</v>
      </c>
      <c r="E15863" t="s">
        <v>15321</v>
      </c>
      <c r="F15863" t="s">
        <v>0</v>
      </c>
      <c r="G15863" t="str">
        <f>"2018-10-12 13:11:46"</f>
        <v>2018-10-12 13:11:46</v>
      </c>
    </row>
    <row r="15864" spans="1:7" x14ac:dyDescent="0.2">
      <c r="A15864" t="s">
        <v>1121</v>
      </c>
      <c r="B15864" t="str">
        <f>"15369406053"</f>
        <v>15369406053</v>
      </c>
      <c r="C15864" t="str">
        <f>"130104200010053015"</f>
        <v>130104200010053015</v>
      </c>
      <c r="D15864" t="s">
        <v>1</v>
      </c>
      <c r="E15864" t="s">
        <v>1</v>
      </c>
      <c r="F15864" t="s">
        <v>0</v>
      </c>
      <c r="G15864" t="str">
        <f>"2018-10-12 22:05:41"</f>
        <v>2018-10-12 22:05:41</v>
      </c>
    </row>
    <row r="15865" spans="1:7" x14ac:dyDescent="0.2">
      <c r="A15865" t="s">
        <v>15322</v>
      </c>
      <c r="B15865" t="str">
        <f>"13876906353"</f>
        <v>13876906353</v>
      </c>
      <c r="C15865" t="str">
        <f>"460027198709180435"</f>
        <v>460027198709180435</v>
      </c>
      <c r="D15865" t="s">
        <v>1</v>
      </c>
      <c r="E15865" t="s">
        <v>1</v>
      </c>
      <c r="F15865" t="s">
        <v>0</v>
      </c>
      <c r="G15865" t="str">
        <f>"2018-10-12 13:05:06"</f>
        <v>2018-10-12 13:05:06</v>
      </c>
    </row>
    <row r="15866" spans="1:7" x14ac:dyDescent="0.2">
      <c r="A15866" t="s">
        <v>1</v>
      </c>
      <c r="B15866" t="str">
        <f>"15090439026"</f>
        <v>15090439026</v>
      </c>
      <c r="C15866" t="s">
        <v>1</v>
      </c>
      <c r="D15866" t="s">
        <v>1</v>
      </c>
      <c r="E15866" t="s">
        <v>1</v>
      </c>
      <c r="F15866" t="s">
        <v>0</v>
      </c>
      <c r="G15866" t="str">
        <f>"2018-10-12 13:02:24"</f>
        <v>2018-10-12 13:02:24</v>
      </c>
    </row>
    <row r="15867" spans="1:7" x14ac:dyDescent="0.2">
      <c r="A15867" t="s">
        <v>1</v>
      </c>
      <c r="B15867" t="str">
        <f>"15892111533"</f>
        <v>15892111533</v>
      </c>
      <c r="C15867" t="s">
        <v>1</v>
      </c>
      <c r="D15867" t="s">
        <v>1</v>
      </c>
      <c r="E15867" t="s">
        <v>1</v>
      </c>
      <c r="F15867" t="s">
        <v>0</v>
      </c>
      <c r="G15867" t="str">
        <f>"2018-10-12 13:02:22"</f>
        <v>2018-10-12 13:02:22</v>
      </c>
    </row>
    <row r="15868" spans="1:7" x14ac:dyDescent="0.2">
      <c r="A15868" t="s">
        <v>1</v>
      </c>
      <c r="B15868" t="str">
        <f>"15249934845"</f>
        <v>15249934845</v>
      </c>
      <c r="C15868" t="s">
        <v>1</v>
      </c>
      <c r="D15868" t="s">
        <v>1</v>
      </c>
      <c r="E15868" t="s">
        <v>1</v>
      </c>
      <c r="F15868" t="s">
        <v>0</v>
      </c>
      <c r="G15868" t="str">
        <f>"2018-10-12 13:01:49"</f>
        <v>2018-10-12 13:01:49</v>
      </c>
    </row>
    <row r="15869" spans="1:7" x14ac:dyDescent="0.2">
      <c r="A15869" t="s">
        <v>1</v>
      </c>
      <c r="B15869" t="str">
        <f>"13765945867"</f>
        <v>13765945867</v>
      </c>
      <c r="C15869" t="s">
        <v>1</v>
      </c>
      <c r="D15869" t="s">
        <v>1</v>
      </c>
      <c r="E15869" t="s">
        <v>1</v>
      </c>
      <c r="F15869" t="s">
        <v>0</v>
      </c>
      <c r="G15869" t="str">
        <f>"2018-10-12 13:03:44"</f>
        <v>2018-10-12 13:03:44</v>
      </c>
    </row>
    <row r="15870" spans="1:7" x14ac:dyDescent="0.2">
      <c r="A15870" t="s">
        <v>15323</v>
      </c>
      <c r="B15870" t="str">
        <f>"15015643505"</f>
        <v>15015643505</v>
      </c>
      <c r="C15870" t="str">
        <f>"440682199408226610"</f>
        <v>440682199408226610</v>
      </c>
      <c r="D15870" t="s">
        <v>1</v>
      </c>
      <c r="E15870" t="s">
        <v>1</v>
      </c>
      <c r="F15870" t="s">
        <v>0</v>
      </c>
      <c r="G15870" t="str">
        <f>"2018-10-12 13:03:00"</f>
        <v>2018-10-12 13:03:00</v>
      </c>
    </row>
    <row r="15871" spans="1:7" x14ac:dyDescent="0.2">
      <c r="A15871" t="s">
        <v>1</v>
      </c>
      <c r="B15871" t="str">
        <f>"18249248900"</f>
        <v>18249248900</v>
      </c>
      <c r="C15871" t="s">
        <v>1</v>
      </c>
      <c r="D15871" t="s">
        <v>1</v>
      </c>
      <c r="E15871" t="s">
        <v>1</v>
      </c>
      <c r="F15871" t="s">
        <v>0</v>
      </c>
      <c r="G15871" t="str">
        <f>"2018-10-12 13:00:03"</f>
        <v>2018-10-12 13:00:03</v>
      </c>
    </row>
    <row r="15872" spans="1:7" x14ac:dyDescent="0.2">
      <c r="A15872" t="s">
        <v>15324</v>
      </c>
      <c r="B15872" t="str">
        <f>"13473749343"</f>
        <v>13473749343</v>
      </c>
      <c r="C15872" t="str">
        <f>"130183198702022821"</f>
        <v>130183198702022821</v>
      </c>
      <c r="D15872" t="s">
        <v>15325</v>
      </c>
      <c r="E15872" t="s">
        <v>15326</v>
      </c>
      <c r="F15872" t="s">
        <v>0</v>
      </c>
      <c r="G15872" t="str">
        <f>"2018-10-12 13:00:20"</f>
        <v>2018-10-12 13:00:20</v>
      </c>
    </row>
    <row r="15873" spans="1:7" x14ac:dyDescent="0.2">
      <c r="A15873" t="s">
        <v>15327</v>
      </c>
      <c r="B15873" t="str">
        <f>"15143858635"</f>
        <v>15143858635</v>
      </c>
      <c r="C15873" t="str">
        <f>"220722199501302620"</f>
        <v>220722199501302620</v>
      </c>
      <c r="D15873" t="s">
        <v>1</v>
      </c>
      <c r="E15873" t="s">
        <v>1</v>
      </c>
      <c r="F15873" t="s">
        <v>0</v>
      </c>
      <c r="G15873" t="str">
        <f>"2018-10-12 15:27:31"</f>
        <v>2018-10-12 15:27:31</v>
      </c>
    </row>
    <row r="15874" spans="1:7" x14ac:dyDescent="0.2">
      <c r="A15874" t="s">
        <v>15328</v>
      </c>
      <c r="B15874" t="str">
        <f>"15812265764"</f>
        <v>15812265764</v>
      </c>
      <c r="C15874" t="str">
        <f>"532621199205040534"</f>
        <v>532621199205040534</v>
      </c>
      <c r="D15874" t="s">
        <v>15329</v>
      </c>
      <c r="E15874" t="s">
        <v>15330</v>
      </c>
      <c r="F15874" t="s">
        <v>0</v>
      </c>
      <c r="G15874" t="str">
        <f>"2018-10-12 13:00:01"</f>
        <v>2018-10-12 13:00:01</v>
      </c>
    </row>
    <row r="15875" spans="1:7" x14ac:dyDescent="0.2">
      <c r="A15875" t="s">
        <v>1</v>
      </c>
      <c r="B15875" t="str">
        <f>"18366291575"</f>
        <v>18366291575</v>
      </c>
      <c r="C15875" t="s">
        <v>1</v>
      </c>
      <c r="D15875" t="s">
        <v>1</v>
      </c>
      <c r="E15875" t="s">
        <v>1</v>
      </c>
      <c r="F15875" t="s">
        <v>0</v>
      </c>
      <c r="G15875" t="str">
        <f>"2018-10-12 12:58:31"</f>
        <v>2018-10-12 12:58:31</v>
      </c>
    </row>
    <row r="15876" spans="1:7" x14ac:dyDescent="0.2">
      <c r="A15876" t="s">
        <v>129</v>
      </c>
      <c r="B15876" t="str">
        <f>"15165482262"</f>
        <v>15165482262</v>
      </c>
      <c r="C15876" t="str">
        <f>"372928199507174117"</f>
        <v>372928199507174117</v>
      </c>
      <c r="D15876" t="s">
        <v>1</v>
      </c>
      <c r="E15876" t="s">
        <v>1</v>
      </c>
      <c r="F15876" t="s">
        <v>0</v>
      </c>
      <c r="G15876" t="str">
        <f>"2018-10-19 13:23:48"</f>
        <v>2018-10-19 13:23:48</v>
      </c>
    </row>
    <row r="15877" spans="1:7" x14ac:dyDescent="0.2">
      <c r="A15877" t="s">
        <v>15331</v>
      </c>
      <c r="B15877" t="str">
        <f>"15084037303"</f>
        <v>15084037303</v>
      </c>
      <c r="C15877" t="str">
        <f>"21068219890820105X"</f>
        <v>21068219890820105X</v>
      </c>
      <c r="D15877" t="s">
        <v>1</v>
      </c>
      <c r="E15877" t="s">
        <v>1</v>
      </c>
      <c r="F15877" t="s">
        <v>0</v>
      </c>
      <c r="G15877" t="str">
        <f>"2018-10-12 12:59:45"</f>
        <v>2018-10-12 12:59:45</v>
      </c>
    </row>
    <row r="15878" spans="1:7" x14ac:dyDescent="0.2">
      <c r="A15878" t="s">
        <v>1</v>
      </c>
      <c r="B15878" t="str">
        <f>"13063218877"</f>
        <v>13063218877</v>
      </c>
      <c r="C15878" t="s">
        <v>1</v>
      </c>
      <c r="D15878" t="s">
        <v>1</v>
      </c>
      <c r="E15878" t="s">
        <v>1</v>
      </c>
      <c r="F15878" t="s">
        <v>0</v>
      </c>
      <c r="G15878" t="str">
        <f>"2018-10-22 14:38:58"</f>
        <v>2018-10-22 14:38:58</v>
      </c>
    </row>
    <row r="15879" spans="1:7" x14ac:dyDescent="0.2">
      <c r="A15879" t="s">
        <v>15332</v>
      </c>
      <c r="B15879" t="str">
        <f>"18710216057"</f>
        <v>18710216057</v>
      </c>
      <c r="C15879" t="str">
        <f>"410927198910232014"</f>
        <v>410927198910232014</v>
      </c>
      <c r="D15879" t="s">
        <v>1</v>
      </c>
      <c r="E15879" t="s">
        <v>1</v>
      </c>
      <c r="F15879" t="s">
        <v>0</v>
      </c>
      <c r="G15879" t="str">
        <f>"2018-10-12 12:57:20"</f>
        <v>2018-10-12 12:57:20</v>
      </c>
    </row>
    <row r="15880" spans="1:7" x14ac:dyDescent="0.2">
      <c r="A15880" t="s">
        <v>15333</v>
      </c>
      <c r="B15880" t="str">
        <f>"15142020329"</f>
        <v>15142020329</v>
      </c>
      <c r="C15880" t="str">
        <f>"210181199103295811"</f>
        <v>210181199103295811</v>
      </c>
      <c r="D15880" t="s">
        <v>1</v>
      </c>
      <c r="E15880" t="s">
        <v>1</v>
      </c>
      <c r="F15880" t="s">
        <v>0</v>
      </c>
      <c r="G15880" t="str">
        <f>"2018-10-12 13:40:34"</f>
        <v>2018-10-12 13:40:34</v>
      </c>
    </row>
    <row r="15881" spans="1:7" x14ac:dyDescent="0.2">
      <c r="A15881" t="s">
        <v>15334</v>
      </c>
      <c r="B15881" t="str">
        <f>"15659632431"</f>
        <v>15659632431</v>
      </c>
      <c r="C15881" t="str">
        <f>"350426199411075514"</f>
        <v>350426199411075514</v>
      </c>
      <c r="D15881" t="s">
        <v>1</v>
      </c>
      <c r="E15881" t="s">
        <v>1</v>
      </c>
      <c r="F15881" t="s">
        <v>0</v>
      </c>
      <c r="G15881" t="str">
        <f>"2018-10-12 12:58:00"</f>
        <v>2018-10-12 12:58:00</v>
      </c>
    </row>
    <row r="15882" spans="1:7" x14ac:dyDescent="0.2">
      <c r="A15882" t="s">
        <v>80</v>
      </c>
      <c r="B15882" t="str">
        <f>"18089363720"</f>
        <v>18089363720</v>
      </c>
      <c r="C15882" t="str">
        <f>"622224199503250512"</f>
        <v>622224199503250512</v>
      </c>
      <c r="D15882" t="s">
        <v>1</v>
      </c>
      <c r="E15882" t="s">
        <v>1</v>
      </c>
      <c r="F15882" t="s">
        <v>0</v>
      </c>
      <c r="G15882" t="str">
        <f>"2018-10-12 13:50:56"</f>
        <v>2018-10-12 13:50:56</v>
      </c>
    </row>
    <row r="15883" spans="1:7" x14ac:dyDescent="0.2">
      <c r="A15883" t="s">
        <v>1</v>
      </c>
      <c r="B15883" t="str">
        <f>"18235960508"</f>
        <v>18235960508</v>
      </c>
      <c r="C15883" t="s">
        <v>1</v>
      </c>
      <c r="D15883" t="s">
        <v>1</v>
      </c>
      <c r="E15883" t="s">
        <v>1</v>
      </c>
      <c r="F15883" t="s">
        <v>0</v>
      </c>
      <c r="G15883" t="str">
        <f>"2018-10-12 12:55:31"</f>
        <v>2018-10-12 12:55:31</v>
      </c>
    </row>
    <row r="15884" spans="1:7" x14ac:dyDescent="0.2">
      <c r="A15884" t="s">
        <v>15335</v>
      </c>
      <c r="B15884" t="str">
        <f>"13881474727"</f>
        <v>13881474727</v>
      </c>
      <c r="C15884" t="str">
        <f>"513401199407182830"</f>
        <v>513401199407182830</v>
      </c>
      <c r="D15884" t="s">
        <v>1</v>
      </c>
      <c r="E15884" t="s">
        <v>1</v>
      </c>
      <c r="F15884" t="s">
        <v>0</v>
      </c>
      <c r="G15884" t="str">
        <f>"2018-10-12 12:57:10"</f>
        <v>2018-10-12 12:57:10</v>
      </c>
    </row>
    <row r="15885" spans="1:7" x14ac:dyDescent="0.2">
      <c r="A15885" t="s">
        <v>828</v>
      </c>
      <c r="B15885" t="str">
        <f>"13627953996"</f>
        <v>13627953996</v>
      </c>
      <c r="C15885" t="str">
        <f>"362228199003263714"</f>
        <v>362228199003263714</v>
      </c>
      <c r="D15885" t="s">
        <v>1</v>
      </c>
      <c r="E15885" t="s">
        <v>1</v>
      </c>
      <c r="F15885" t="s">
        <v>0</v>
      </c>
      <c r="G15885" t="str">
        <f>"2018-10-19 16:07:07"</f>
        <v>2018-10-19 16:07:07</v>
      </c>
    </row>
    <row r="15886" spans="1:7" x14ac:dyDescent="0.2">
      <c r="A15886" t="s">
        <v>1550</v>
      </c>
      <c r="B15886" t="str">
        <f>"15958446582"</f>
        <v>15958446582</v>
      </c>
      <c r="C15886" t="str">
        <f>"370406198906070137"</f>
        <v>370406198906070137</v>
      </c>
      <c r="D15886" t="s">
        <v>1</v>
      </c>
      <c r="E15886" t="s">
        <v>1</v>
      </c>
      <c r="F15886" t="s">
        <v>0</v>
      </c>
      <c r="G15886" t="str">
        <f>"2018-10-12 12:55:52"</f>
        <v>2018-10-12 12:55:52</v>
      </c>
    </row>
    <row r="15887" spans="1:7" x14ac:dyDescent="0.2">
      <c r="A15887" t="s">
        <v>15336</v>
      </c>
      <c r="B15887" t="str">
        <f>"15219639582"</f>
        <v>15219639582</v>
      </c>
      <c r="C15887" t="str">
        <f>"445222199405280087"</f>
        <v>445222199405280087</v>
      </c>
      <c r="D15887" t="s">
        <v>1</v>
      </c>
      <c r="E15887" t="s">
        <v>1</v>
      </c>
      <c r="F15887" t="s">
        <v>0</v>
      </c>
      <c r="G15887" t="str">
        <f>"2018-10-12 13:26:30"</f>
        <v>2018-10-12 13:26:30</v>
      </c>
    </row>
    <row r="15888" spans="1:7" x14ac:dyDescent="0.2">
      <c r="A15888" t="s">
        <v>16</v>
      </c>
      <c r="B15888" t="str">
        <f>"13596222735"</f>
        <v>13596222735</v>
      </c>
      <c r="C15888" t="str">
        <f>"22240319850612110X"</f>
        <v>22240319850612110X</v>
      </c>
      <c r="D15888" t="s">
        <v>1</v>
      </c>
      <c r="E15888" t="s">
        <v>1</v>
      </c>
      <c r="F15888" t="s">
        <v>0</v>
      </c>
      <c r="G15888" t="str">
        <f>"2018-10-12 13:42:07"</f>
        <v>2018-10-12 13:42:07</v>
      </c>
    </row>
    <row r="15889" spans="1:7" x14ac:dyDescent="0.2">
      <c r="A15889" t="s">
        <v>15337</v>
      </c>
      <c r="B15889" t="str">
        <f>"15971205451"</f>
        <v>15971205451</v>
      </c>
      <c r="C15889" t="str">
        <f>"422202199602106553"</f>
        <v>422202199602106553</v>
      </c>
      <c r="D15889" t="s">
        <v>1</v>
      </c>
      <c r="E15889" t="s">
        <v>1</v>
      </c>
      <c r="F15889" t="s">
        <v>0</v>
      </c>
      <c r="G15889" t="str">
        <f>"2018-10-30 20:08:45"</f>
        <v>2018-10-30 20:08:45</v>
      </c>
    </row>
    <row r="15890" spans="1:7" x14ac:dyDescent="0.2">
      <c r="A15890" t="s">
        <v>15338</v>
      </c>
      <c r="B15890" t="str">
        <f>"18656501116"</f>
        <v>18656501116</v>
      </c>
      <c r="C15890" t="str">
        <f>"340121197906200015"</f>
        <v>340121197906200015</v>
      </c>
      <c r="D15890" t="s">
        <v>1</v>
      </c>
      <c r="E15890" t="s">
        <v>1</v>
      </c>
      <c r="F15890" t="s">
        <v>0</v>
      </c>
      <c r="G15890" t="str">
        <f>"2018-10-12 13:04:42"</f>
        <v>2018-10-12 13:04:42</v>
      </c>
    </row>
    <row r="15891" spans="1:7" x14ac:dyDescent="0.2">
      <c r="A15891" t="s">
        <v>15339</v>
      </c>
      <c r="B15891" t="str">
        <f>"18158877739"</f>
        <v>18158877739</v>
      </c>
      <c r="C15891" t="str">
        <f>"342622199302124095"</f>
        <v>342622199302124095</v>
      </c>
      <c r="D15891" t="s">
        <v>1</v>
      </c>
      <c r="E15891" t="s">
        <v>1</v>
      </c>
      <c r="F15891" t="s">
        <v>0</v>
      </c>
      <c r="G15891" t="str">
        <f>"2018-10-12 12:54:26"</f>
        <v>2018-10-12 12:54:26</v>
      </c>
    </row>
    <row r="15892" spans="1:7" x14ac:dyDescent="0.2">
      <c r="A15892" t="s">
        <v>15340</v>
      </c>
      <c r="B15892" t="str">
        <f>"18035977166"</f>
        <v>18035977166</v>
      </c>
      <c r="C15892" t="str">
        <f>"142727199408270015"</f>
        <v>142727199408270015</v>
      </c>
      <c r="D15892" t="s">
        <v>1</v>
      </c>
      <c r="E15892" t="s">
        <v>1</v>
      </c>
      <c r="F15892" t="s">
        <v>0</v>
      </c>
      <c r="G15892" t="str">
        <f>"2018-10-12 12:52:42"</f>
        <v>2018-10-12 12:52:42</v>
      </c>
    </row>
    <row r="15893" spans="1:7" x14ac:dyDescent="0.2">
      <c r="A15893" t="s">
        <v>15341</v>
      </c>
      <c r="B15893" t="str">
        <f>"18215406656"</f>
        <v>18215406656</v>
      </c>
      <c r="C15893" t="str">
        <f>"622801199706060813"</f>
        <v>622801199706060813</v>
      </c>
      <c r="D15893" t="s">
        <v>1</v>
      </c>
      <c r="E15893" t="s">
        <v>1</v>
      </c>
      <c r="F15893" t="s">
        <v>0</v>
      </c>
      <c r="G15893" t="str">
        <f>"2018-10-12 12:54:00"</f>
        <v>2018-10-12 12:54:00</v>
      </c>
    </row>
    <row r="15894" spans="1:7" x14ac:dyDescent="0.2">
      <c r="A15894" t="s">
        <v>15342</v>
      </c>
      <c r="B15894" t="str">
        <f>"18224981032"</f>
        <v>18224981032</v>
      </c>
      <c r="C15894" t="str">
        <f>"522322199708071648"</f>
        <v>522322199708071648</v>
      </c>
      <c r="D15894" t="s">
        <v>1</v>
      </c>
      <c r="E15894" t="s">
        <v>1</v>
      </c>
      <c r="F15894" t="s">
        <v>0</v>
      </c>
      <c r="G15894" t="str">
        <f>"2018-10-12 13:11:18"</f>
        <v>2018-10-12 13:11:18</v>
      </c>
    </row>
    <row r="15895" spans="1:7" x14ac:dyDescent="0.2">
      <c r="A15895" t="s">
        <v>15343</v>
      </c>
      <c r="B15895" t="str">
        <f>"15049826282"</f>
        <v>15049826282</v>
      </c>
      <c r="C15895" t="str">
        <f>"152824199104102328"</f>
        <v>152824199104102328</v>
      </c>
      <c r="D15895" t="s">
        <v>1</v>
      </c>
      <c r="E15895" t="s">
        <v>1</v>
      </c>
      <c r="F15895" t="s">
        <v>0</v>
      </c>
      <c r="G15895" t="str">
        <f>"2018-10-12 13:17:40"</f>
        <v>2018-10-12 13:17:40</v>
      </c>
    </row>
    <row r="15896" spans="1:7" x14ac:dyDescent="0.2">
      <c r="A15896" t="s">
        <v>1174</v>
      </c>
      <c r="B15896" t="str">
        <f>"13937054444"</f>
        <v>13937054444</v>
      </c>
      <c r="C15896" t="str">
        <f>"412301197304054538"</f>
        <v>412301197304054538</v>
      </c>
      <c r="D15896" t="s">
        <v>15344</v>
      </c>
      <c r="E15896" t="s">
        <v>15345</v>
      </c>
      <c r="F15896" t="s">
        <v>0</v>
      </c>
      <c r="G15896" t="str">
        <f>"2018-10-12 12:50:59"</f>
        <v>2018-10-12 12:50:59</v>
      </c>
    </row>
    <row r="15897" spans="1:7" x14ac:dyDescent="0.2">
      <c r="A15897" t="s">
        <v>15346</v>
      </c>
      <c r="B15897" t="str">
        <f>"18398275526"</f>
        <v>18398275526</v>
      </c>
      <c r="C15897" t="str">
        <f>"330823197811031131"</f>
        <v>330823197811031131</v>
      </c>
      <c r="D15897" t="s">
        <v>1</v>
      </c>
      <c r="E15897" t="s">
        <v>1</v>
      </c>
      <c r="F15897" t="s">
        <v>0</v>
      </c>
      <c r="G15897" t="str">
        <f>"2018-10-12 12:51:54"</f>
        <v>2018-10-12 12:51:54</v>
      </c>
    </row>
    <row r="15898" spans="1:7" x14ac:dyDescent="0.2">
      <c r="A15898" t="s">
        <v>15347</v>
      </c>
      <c r="B15898" t="str">
        <f>"15753426653"</f>
        <v>15753426653</v>
      </c>
      <c r="C15898" t="str">
        <f>"371422198909075014"</f>
        <v>371422198909075014</v>
      </c>
      <c r="D15898" t="s">
        <v>1</v>
      </c>
      <c r="E15898" t="s">
        <v>1</v>
      </c>
      <c r="F15898" t="s">
        <v>0</v>
      </c>
      <c r="G15898" t="str">
        <f>"2018-10-12 12:51:25"</f>
        <v>2018-10-12 12:51:25</v>
      </c>
    </row>
    <row r="15899" spans="1:7" x14ac:dyDescent="0.2">
      <c r="A15899" t="s">
        <v>15348</v>
      </c>
      <c r="B15899" t="str">
        <f>"15657921502"</f>
        <v>15657921502</v>
      </c>
      <c r="C15899" t="str">
        <f>"330726199912041534"</f>
        <v>330726199912041534</v>
      </c>
      <c r="D15899" t="s">
        <v>15349</v>
      </c>
      <c r="E15899" t="s">
        <v>15350</v>
      </c>
      <c r="F15899" t="s">
        <v>0</v>
      </c>
      <c r="G15899" t="str">
        <f>"2018-10-12 12:50:05"</f>
        <v>2018-10-12 12:50:05</v>
      </c>
    </row>
    <row r="15900" spans="1:7" x14ac:dyDescent="0.2">
      <c r="A15900" t="s">
        <v>1</v>
      </c>
      <c r="B15900" t="str">
        <f>"13369511180"</f>
        <v>13369511180</v>
      </c>
      <c r="C15900" t="s">
        <v>1</v>
      </c>
      <c r="D15900" t="s">
        <v>1</v>
      </c>
      <c r="E15900" t="s">
        <v>1</v>
      </c>
      <c r="F15900" t="s">
        <v>0</v>
      </c>
      <c r="G15900" t="str">
        <f>"2018-10-12 12:50:41"</f>
        <v>2018-10-12 12:50:41</v>
      </c>
    </row>
    <row r="15901" spans="1:7" x14ac:dyDescent="0.2">
      <c r="A15901" t="s">
        <v>593</v>
      </c>
      <c r="B15901" t="str">
        <f>"15203245444"</f>
        <v>15203245444</v>
      </c>
      <c r="C15901" t="str">
        <f>"130824199207192017"</f>
        <v>130824199207192017</v>
      </c>
      <c r="D15901" t="s">
        <v>15351</v>
      </c>
      <c r="E15901" t="s">
        <v>15352</v>
      </c>
      <c r="F15901" t="s">
        <v>0</v>
      </c>
      <c r="G15901" t="str">
        <f>"2018-10-12 12:50:50"</f>
        <v>2018-10-12 12:50:50</v>
      </c>
    </row>
    <row r="15902" spans="1:7" x14ac:dyDescent="0.2">
      <c r="A15902" t="s">
        <v>1</v>
      </c>
      <c r="B15902" t="str">
        <f>"13489895292"</f>
        <v>13489895292</v>
      </c>
      <c r="C15902" t="s">
        <v>1</v>
      </c>
      <c r="D15902" t="s">
        <v>1</v>
      </c>
      <c r="E15902" t="s">
        <v>1</v>
      </c>
      <c r="F15902" t="s">
        <v>0</v>
      </c>
      <c r="G15902" t="str">
        <f>"2018-10-12 12:47:26"</f>
        <v>2018-10-12 12:47:26</v>
      </c>
    </row>
    <row r="15903" spans="1:7" x14ac:dyDescent="0.2">
      <c r="A15903" t="s">
        <v>1</v>
      </c>
      <c r="B15903" t="str">
        <f>"18537008887"</f>
        <v>18537008887</v>
      </c>
      <c r="C15903" t="s">
        <v>1</v>
      </c>
      <c r="D15903" t="s">
        <v>1</v>
      </c>
      <c r="E15903" t="s">
        <v>1</v>
      </c>
      <c r="F15903" t="s">
        <v>0</v>
      </c>
      <c r="G15903" t="str">
        <f>"2018-10-12 12:47:00"</f>
        <v>2018-10-12 12:47:00</v>
      </c>
    </row>
    <row r="15904" spans="1:7" x14ac:dyDescent="0.2">
      <c r="A15904" t="s">
        <v>15353</v>
      </c>
      <c r="B15904" t="str">
        <f>"13807761436"</f>
        <v>13807761436</v>
      </c>
      <c r="C15904" t="str">
        <f>"452623198606272115"</f>
        <v>452623198606272115</v>
      </c>
      <c r="D15904" t="s">
        <v>1</v>
      </c>
      <c r="E15904" t="s">
        <v>1</v>
      </c>
      <c r="F15904" t="s">
        <v>0</v>
      </c>
      <c r="G15904" t="str">
        <f>"2018-10-20 14:08:28"</f>
        <v>2018-10-20 14:08:28</v>
      </c>
    </row>
    <row r="15905" spans="1:7" x14ac:dyDescent="0.2">
      <c r="A15905" t="s">
        <v>512</v>
      </c>
      <c r="B15905" t="str">
        <f>"18318892640"</f>
        <v>18318892640</v>
      </c>
      <c r="C15905" t="str">
        <f>"320324199106281633"</f>
        <v>320324199106281633</v>
      </c>
      <c r="D15905" t="s">
        <v>1</v>
      </c>
      <c r="E15905" t="s">
        <v>1</v>
      </c>
      <c r="F15905" t="s">
        <v>0</v>
      </c>
      <c r="G15905" t="str">
        <f>"2018-10-12 13:14:17"</f>
        <v>2018-10-12 13:14:17</v>
      </c>
    </row>
    <row r="15906" spans="1:7" x14ac:dyDescent="0.2">
      <c r="A15906" t="s">
        <v>1</v>
      </c>
      <c r="B15906" t="str">
        <f>"18286239236"</f>
        <v>18286239236</v>
      </c>
      <c r="C15906" t="s">
        <v>1</v>
      </c>
      <c r="D15906" t="s">
        <v>1</v>
      </c>
      <c r="E15906" t="s">
        <v>1</v>
      </c>
      <c r="F15906" t="s">
        <v>0</v>
      </c>
      <c r="G15906" t="str">
        <f>"2018-10-12 12:45:08"</f>
        <v>2018-10-12 12:45:08</v>
      </c>
    </row>
    <row r="15907" spans="1:7" x14ac:dyDescent="0.2">
      <c r="A15907" t="s">
        <v>15354</v>
      </c>
      <c r="B15907" t="str">
        <f>"17789134339"</f>
        <v>17789134339</v>
      </c>
      <c r="C15907" t="str">
        <f>"61010319920205324X"</f>
        <v>61010319920205324X</v>
      </c>
      <c r="D15907" t="s">
        <v>1</v>
      </c>
      <c r="E15907" t="s">
        <v>1</v>
      </c>
      <c r="F15907" t="s">
        <v>0</v>
      </c>
      <c r="G15907" t="str">
        <f>"2018-10-12 12:46:22"</f>
        <v>2018-10-12 12:46:22</v>
      </c>
    </row>
    <row r="15908" spans="1:7" x14ac:dyDescent="0.2">
      <c r="A15908" t="s">
        <v>1</v>
      </c>
      <c r="B15908" t="str">
        <f>"18723811241"</f>
        <v>18723811241</v>
      </c>
      <c r="C15908" t="s">
        <v>1</v>
      </c>
      <c r="D15908" t="s">
        <v>1</v>
      </c>
      <c r="E15908" t="s">
        <v>1</v>
      </c>
      <c r="F15908" t="s">
        <v>0</v>
      </c>
      <c r="G15908" t="str">
        <f>"2018-10-12 12:44:05"</f>
        <v>2018-10-12 12:44:05</v>
      </c>
    </row>
    <row r="15909" spans="1:7" x14ac:dyDescent="0.2">
      <c r="A15909" t="s">
        <v>1</v>
      </c>
      <c r="B15909" t="str">
        <f>"15811037765"</f>
        <v>15811037765</v>
      </c>
      <c r="C15909" t="s">
        <v>1</v>
      </c>
      <c r="D15909" t="s">
        <v>1</v>
      </c>
      <c r="E15909" t="s">
        <v>1</v>
      </c>
      <c r="F15909" t="s">
        <v>0</v>
      </c>
      <c r="G15909" t="str">
        <f>"2018-10-12 12:43:22"</f>
        <v>2018-10-12 12:43:22</v>
      </c>
    </row>
    <row r="15910" spans="1:7" x14ac:dyDescent="0.2">
      <c r="A15910" t="s">
        <v>1</v>
      </c>
      <c r="B15910" t="str">
        <f>"18657839557"</f>
        <v>18657839557</v>
      </c>
      <c r="C15910" t="s">
        <v>1</v>
      </c>
      <c r="D15910" t="s">
        <v>1</v>
      </c>
      <c r="E15910" t="s">
        <v>1</v>
      </c>
      <c r="F15910" t="s">
        <v>0</v>
      </c>
      <c r="G15910" t="str">
        <f>"2018-10-12 12:42:58"</f>
        <v>2018-10-12 12:42:58</v>
      </c>
    </row>
    <row r="15911" spans="1:7" x14ac:dyDescent="0.2">
      <c r="A15911" t="s">
        <v>448</v>
      </c>
      <c r="B15911" t="str">
        <f>"15942994441"</f>
        <v>15942994441</v>
      </c>
      <c r="C15911" t="str">
        <f>"211402199306122613"</f>
        <v>211402199306122613</v>
      </c>
      <c r="D15911" t="s">
        <v>15355</v>
      </c>
      <c r="E15911" t="s">
        <v>15356</v>
      </c>
      <c r="F15911" t="s">
        <v>0</v>
      </c>
      <c r="G15911" t="str">
        <f>"2018-10-12 12:43:31"</f>
        <v>2018-10-12 12:43:31</v>
      </c>
    </row>
    <row r="15912" spans="1:7" x14ac:dyDescent="0.2">
      <c r="A15912" t="s">
        <v>1</v>
      </c>
      <c r="B15912" t="str">
        <f>"18584861258"</f>
        <v>18584861258</v>
      </c>
      <c r="C15912" t="s">
        <v>1</v>
      </c>
      <c r="D15912" t="s">
        <v>1</v>
      </c>
      <c r="E15912" t="s">
        <v>1</v>
      </c>
      <c r="F15912" t="s">
        <v>0</v>
      </c>
      <c r="G15912" t="str">
        <f>"2018-10-12 12:42:14"</f>
        <v>2018-10-12 12:42:14</v>
      </c>
    </row>
    <row r="15913" spans="1:7" x14ac:dyDescent="0.2">
      <c r="A15913" t="s">
        <v>15357</v>
      </c>
      <c r="B15913" t="str">
        <f>"15770346764"</f>
        <v>15770346764</v>
      </c>
      <c r="C15913" t="str">
        <f>"532524199510131516"</f>
        <v>532524199510131516</v>
      </c>
      <c r="D15913" t="s">
        <v>15358</v>
      </c>
      <c r="E15913" t="s">
        <v>15359</v>
      </c>
      <c r="F15913" t="s">
        <v>0</v>
      </c>
      <c r="G15913" t="str">
        <f>"2018-10-12 12:55:34"</f>
        <v>2018-10-12 12:55:34</v>
      </c>
    </row>
    <row r="15914" spans="1:7" x14ac:dyDescent="0.2">
      <c r="A15914" t="s">
        <v>15360</v>
      </c>
      <c r="B15914" t="str">
        <f>"15892682057"</f>
        <v>15892682057</v>
      </c>
      <c r="C15914" t="str">
        <f>"513101199108180337"</f>
        <v>513101199108180337</v>
      </c>
      <c r="D15914" t="s">
        <v>15361</v>
      </c>
      <c r="E15914" t="s">
        <v>15362</v>
      </c>
      <c r="F15914" t="s">
        <v>0</v>
      </c>
      <c r="G15914" t="str">
        <f>"2018-10-19 22:10:17"</f>
        <v>2018-10-19 22:10:17</v>
      </c>
    </row>
    <row r="15915" spans="1:7" x14ac:dyDescent="0.2">
      <c r="A15915" t="s">
        <v>15363</v>
      </c>
      <c r="B15915" t="str">
        <f>"13737513532"</f>
        <v>13737513532</v>
      </c>
      <c r="C15915" t="str">
        <f>"450981198910080036"</f>
        <v>450981198910080036</v>
      </c>
      <c r="D15915" t="s">
        <v>1</v>
      </c>
      <c r="E15915" t="s">
        <v>1</v>
      </c>
      <c r="F15915" t="s">
        <v>0</v>
      </c>
      <c r="G15915" t="str">
        <f>"2018-10-25 12:33:53"</f>
        <v>2018-10-25 12:33:53</v>
      </c>
    </row>
    <row r="15916" spans="1:7" x14ac:dyDescent="0.2">
      <c r="A15916" t="s">
        <v>15364</v>
      </c>
      <c r="B15916" t="str">
        <f>"15955501543"</f>
        <v>15955501543</v>
      </c>
      <c r="C15916" t="str">
        <f>"341125199202058319"</f>
        <v>341125199202058319</v>
      </c>
      <c r="D15916" t="s">
        <v>15365</v>
      </c>
      <c r="E15916" t="s">
        <v>15366</v>
      </c>
      <c r="F15916" t="s">
        <v>0</v>
      </c>
      <c r="G15916" t="str">
        <f>"2018-10-12 12:57:17"</f>
        <v>2018-10-12 12:57:17</v>
      </c>
    </row>
    <row r="15917" spans="1:7" x14ac:dyDescent="0.2">
      <c r="A15917" t="s">
        <v>15367</v>
      </c>
      <c r="B15917" t="str">
        <f>"15035551506"</f>
        <v>15035551506</v>
      </c>
      <c r="C15917" t="str">
        <f>"140424199103020421"</f>
        <v>140424199103020421</v>
      </c>
      <c r="D15917" t="s">
        <v>1</v>
      </c>
      <c r="E15917" t="s">
        <v>1</v>
      </c>
      <c r="F15917" t="s">
        <v>0</v>
      </c>
      <c r="G15917" t="str">
        <f>"2018-10-12 12:42:11"</f>
        <v>2018-10-12 12:42:11</v>
      </c>
    </row>
    <row r="15918" spans="1:7" x14ac:dyDescent="0.2">
      <c r="A15918" t="s">
        <v>1129</v>
      </c>
      <c r="B15918" t="str">
        <f>"13882445212"</f>
        <v>13882445212</v>
      </c>
      <c r="C15918" t="str">
        <f>"513101199108150541"</f>
        <v>513101199108150541</v>
      </c>
      <c r="D15918" t="s">
        <v>1</v>
      </c>
      <c r="E15918" t="s">
        <v>1</v>
      </c>
      <c r="F15918" t="s">
        <v>0</v>
      </c>
      <c r="G15918" t="str">
        <f>"2018-10-12 12:51:40"</f>
        <v>2018-10-12 12:51:40</v>
      </c>
    </row>
    <row r="15919" spans="1:7" x14ac:dyDescent="0.2">
      <c r="A15919" t="s">
        <v>15368</v>
      </c>
      <c r="B15919" t="str">
        <f>"18031474323"</f>
        <v>18031474323</v>
      </c>
      <c r="C15919" t="str">
        <f>"132627198909230052"</f>
        <v>132627198909230052</v>
      </c>
      <c r="D15919" t="s">
        <v>1</v>
      </c>
      <c r="E15919" t="s">
        <v>1</v>
      </c>
      <c r="F15919" t="s">
        <v>0</v>
      </c>
      <c r="G15919" t="str">
        <f>"2018-10-12 12:41:24"</f>
        <v>2018-10-12 12:41:24</v>
      </c>
    </row>
    <row r="15920" spans="1:7" x14ac:dyDescent="0.2">
      <c r="A15920" t="s">
        <v>1509</v>
      </c>
      <c r="B15920" t="str">
        <f>"13684289085"</f>
        <v>13684289085</v>
      </c>
      <c r="C15920" t="str">
        <f>"510411198902152714"</f>
        <v>510411198902152714</v>
      </c>
      <c r="D15920" t="s">
        <v>15369</v>
      </c>
      <c r="E15920" t="s">
        <v>15370</v>
      </c>
      <c r="F15920" t="s">
        <v>0</v>
      </c>
      <c r="G15920" t="str">
        <f>"2018-10-12 12:42:20"</f>
        <v>2018-10-12 12:42:20</v>
      </c>
    </row>
    <row r="15921" spans="1:7" x14ac:dyDescent="0.2">
      <c r="A15921" t="s">
        <v>15371</v>
      </c>
      <c r="B15921" t="str">
        <f>"18354973477"</f>
        <v>18354973477</v>
      </c>
      <c r="C15921" t="str">
        <f>"371323198702068424"</f>
        <v>371323198702068424</v>
      </c>
      <c r="D15921" t="s">
        <v>1</v>
      </c>
      <c r="E15921" t="s">
        <v>1</v>
      </c>
      <c r="F15921" t="s">
        <v>0</v>
      </c>
      <c r="G15921" t="str">
        <f>"2018-10-12 12:40:54"</f>
        <v>2018-10-12 12:40:54</v>
      </c>
    </row>
    <row r="15922" spans="1:7" x14ac:dyDescent="0.2">
      <c r="A15922" t="s">
        <v>15372</v>
      </c>
      <c r="B15922" t="str">
        <f>"13874389960"</f>
        <v>13874389960</v>
      </c>
      <c r="C15922" t="str">
        <f>"432928198307034621"</f>
        <v>432928198307034621</v>
      </c>
      <c r="D15922" t="s">
        <v>1</v>
      </c>
      <c r="E15922" t="s">
        <v>1</v>
      </c>
      <c r="F15922" t="s">
        <v>0</v>
      </c>
      <c r="G15922" t="str">
        <f>"2018-10-12 12:41:59"</f>
        <v>2018-10-12 12:41:59</v>
      </c>
    </row>
    <row r="15923" spans="1:7" x14ac:dyDescent="0.2">
      <c r="A15923" t="s">
        <v>15373</v>
      </c>
      <c r="B15923" t="str">
        <f>"13572968668"</f>
        <v>13572968668</v>
      </c>
      <c r="C15923" t="str">
        <f>"610124197808113916"</f>
        <v>610124197808113916</v>
      </c>
      <c r="D15923" t="s">
        <v>1</v>
      </c>
      <c r="E15923" t="s">
        <v>1</v>
      </c>
      <c r="F15923" t="s">
        <v>0</v>
      </c>
      <c r="G15923" t="str">
        <f>"2018-10-12 12:41:29"</f>
        <v>2018-10-12 12:41:29</v>
      </c>
    </row>
    <row r="15924" spans="1:7" x14ac:dyDescent="0.2">
      <c r="A15924" t="s">
        <v>1</v>
      </c>
      <c r="B15924" t="str">
        <f>"13538043520"</f>
        <v>13538043520</v>
      </c>
      <c r="C15924" t="s">
        <v>1</v>
      </c>
      <c r="D15924" t="s">
        <v>1</v>
      </c>
      <c r="E15924" t="s">
        <v>1</v>
      </c>
      <c r="F15924" t="s">
        <v>0</v>
      </c>
      <c r="G15924" t="str">
        <f>"2018-10-12 12:38:21"</f>
        <v>2018-10-12 12:38:21</v>
      </c>
    </row>
    <row r="15925" spans="1:7" x14ac:dyDescent="0.2">
      <c r="A15925" t="s">
        <v>1</v>
      </c>
      <c r="B15925" t="str">
        <f>"13959637217"</f>
        <v>13959637217</v>
      </c>
      <c r="C15925" t="s">
        <v>1</v>
      </c>
      <c r="D15925" t="s">
        <v>1</v>
      </c>
      <c r="E15925" t="s">
        <v>1</v>
      </c>
      <c r="F15925" t="s">
        <v>0</v>
      </c>
      <c r="G15925" t="str">
        <f>"2018-10-12 12:38:00"</f>
        <v>2018-10-12 12:38:00</v>
      </c>
    </row>
    <row r="15926" spans="1:7" x14ac:dyDescent="0.2">
      <c r="A15926" t="s">
        <v>1</v>
      </c>
      <c r="B15926" t="str">
        <f>"13911750283"</f>
        <v>13911750283</v>
      </c>
      <c r="C15926" t="s">
        <v>1</v>
      </c>
      <c r="D15926" t="s">
        <v>1</v>
      </c>
      <c r="E15926" t="s">
        <v>1</v>
      </c>
      <c r="F15926" t="s">
        <v>0</v>
      </c>
      <c r="G15926" t="str">
        <f>"2018-10-12 12:37:56"</f>
        <v>2018-10-12 12:37:56</v>
      </c>
    </row>
    <row r="15927" spans="1:7" x14ac:dyDescent="0.2">
      <c r="A15927" t="s">
        <v>15374</v>
      </c>
      <c r="B15927" t="str">
        <f>"13078927890"</f>
        <v>13078927890</v>
      </c>
      <c r="C15927" t="str">
        <f>"460004196711195413"</f>
        <v>460004196711195413</v>
      </c>
      <c r="D15927" t="s">
        <v>15375</v>
      </c>
      <c r="E15927" t="s">
        <v>15376</v>
      </c>
      <c r="F15927" t="s">
        <v>0</v>
      </c>
      <c r="G15927" t="str">
        <f>"2018-10-12 12:37:29"</f>
        <v>2018-10-12 12:37:29</v>
      </c>
    </row>
    <row r="15928" spans="1:7" x14ac:dyDescent="0.2">
      <c r="A15928" t="s">
        <v>15377</v>
      </c>
      <c r="B15928" t="str">
        <f>"17625580662"</f>
        <v>17625580662</v>
      </c>
      <c r="C15928" t="str">
        <f>"610327199406271830"</f>
        <v>610327199406271830</v>
      </c>
      <c r="D15928" t="s">
        <v>1</v>
      </c>
      <c r="E15928" t="s">
        <v>1</v>
      </c>
      <c r="F15928" t="s">
        <v>0</v>
      </c>
      <c r="G15928" t="str">
        <f>"2018-10-12 12:49:29"</f>
        <v>2018-10-12 12:49:29</v>
      </c>
    </row>
    <row r="15929" spans="1:7" x14ac:dyDescent="0.2">
      <c r="A15929" t="s">
        <v>15378</v>
      </c>
      <c r="B15929" t="str">
        <f>"18350897716"</f>
        <v>18350897716</v>
      </c>
      <c r="C15929" t="str">
        <f>"350429200008245020"</f>
        <v>350429200008245020</v>
      </c>
      <c r="D15929" t="s">
        <v>1</v>
      </c>
      <c r="E15929" t="s">
        <v>1</v>
      </c>
      <c r="F15929" t="s">
        <v>0</v>
      </c>
      <c r="G15929" t="str">
        <f>"2018-10-18 15:31:22"</f>
        <v>2018-10-18 15:31:22</v>
      </c>
    </row>
    <row r="15930" spans="1:7" x14ac:dyDescent="0.2">
      <c r="A15930" t="s">
        <v>15379</v>
      </c>
      <c r="B15930" t="str">
        <f>"15715843351"</f>
        <v>15715843351</v>
      </c>
      <c r="C15930" t="str">
        <f>"42900119860903282X"</f>
        <v>42900119860903282X</v>
      </c>
      <c r="D15930" t="s">
        <v>1</v>
      </c>
      <c r="E15930" t="s">
        <v>1</v>
      </c>
      <c r="F15930" t="s">
        <v>0</v>
      </c>
      <c r="G15930" t="str">
        <f>"2018-10-12 12:36:31"</f>
        <v>2018-10-12 12:36:31</v>
      </c>
    </row>
    <row r="15931" spans="1:7" x14ac:dyDescent="0.2">
      <c r="A15931" t="s">
        <v>674</v>
      </c>
      <c r="B15931" t="str">
        <f>"15911378096"</f>
        <v>15911378096</v>
      </c>
      <c r="C15931" t="str">
        <f>"532524199408221267"</f>
        <v>532524199408221267</v>
      </c>
      <c r="D15931" t="s">
        <v>15380</v>
      </c>
      <c r="E15931" t="s">
        <v>15381</v>
      </c>
      <c r="F15931" t="s">
        <v>0</v>
      </c>
      <c r="G15931" t="str">
        <f>"2018-10-12 12:35:55"</f>
        <v>2018-10-12 12:35:55</v>
      </c>
    </row>
    <row r="15932" spans="1:7" x14ac:dyDescent="0.2">
      <c r="A15932" t="s">
        <v>1</v>
      </c>
      <c r="B15932" t="str">
        <f>"13859877289"</f>
        <v>13859877289</v>
      </c>
      <c r="C15932" t="s">
        <v>1</v>
      </c>
      <c r="D15932" t="s">
        <v>1</v>
      </c>
      <c r="E15932" t="s">
        <v>1</v>
      </c>
      <c r="F15932" t="s">
        <v>0</v>
      </c>
      <c r="G15932" t="str">
        <f>"2018-10-12 12:34:36"</f>
        <v>2018-10-12 12:34:36</v>
      </c>
    </row>
    <row r="15933" spans="1:7" x14ac:dyDescent="0.2">
      <c r="A15933" t="s">
        <v>1</v>
      </c>
      <c r="B15933" t="str">
        <f>"18319276190"</f>
        <v>18319276190</v>
      </c>
      <c r="C15933" t="s">
        <v>1</v>
      </c>
      <c r="D15933" t="s">
        <v>1</v>
      </c>
      <c r="E15933" t="s">
        <v>1</v>
      </c>
      <c r="F15933" t="s">
        <v>0</v>
      </c>
      <c r="G15933" t="str">
        <f>"2018-10-12 12:35:21"</f>
        <v>2018-10-12 12:35:21</v>
      </c>
    </row>
    <row r="15934" spans="1:7" x14ac:dyDescent="0.2">
      <c r="A15934" t="s">
        <v>15382</v>
      </c>
      <c r="B15934" t="str">
        <f>"17680649109"</f>
        <v>17680649109</v>
      </c>
      <c r="C15934" t="str">
        <f>"430105199807246131"</f>
        <v>430105199807246131</v>
      </c>
      <c r="D15934" t="s">
        <v>1</v>
      </c>
      <c r="E15934" t="s">
        <v>1</v>
      </c>
      <c r="F15934" t="s">
        <v>0</v>
      </c>
      <c r="G15934" t="str">
        <f>"2018-10-12 12:35:38"</f>
        <v>2018-10-12 12:35:38</v>
      </c>
    </row>
    <row r="15935" spans="1:7" x14ac:dyDescent="0.2">
      <c r="A15935" t="s">
        <v>1</v>
      </c>
      <c r="B15935" t="str">
        <f>"18889765136"</f>
        <v>18889765136</v>
      </c>
      <c r="C15935" t="s">
        <v>1</v>
      </c>
      <c r="D15935" t="s">
        <v>1</v>
      </c>
      <c r="E15935" t="s">
        <v>1</v>
      </c>
      <c r="F15935" t="s">
        <v>0</v>
      </c>
      <c r="G15935" t="str">
        <f>"2018-10-12 12:35:51"</f>
        <v>2018-10-12 12:35:51</v>
      </c>
    </row>
    <row r="15936" spans="1:7" x14ac:dyDescent="0.2">
      <c r="A15936" t="s">
        <v>15383</v>
      </c>
      <c r="B15936" t="str">
        <f>"15240658033"</f>
        <v>15240658033</v>
      </c>
      <c r="C15936" t="str">
        <f>"450722199503150010"</f>
        <v>450722199503150010</v>
      </c>
      <c r="D15936" t="s">
        <v>1</v>
      </c>
      <c r="E15936" t="s">
        <v>1</v>
      </c>
      <c r="F15936" t="s">
        <v>0</v>
      </c>
      <c r="G15936" t="str">
        <f>"2018-10-29 17:06:35"</f>
        <v>2018-10-29 17:06:35</v>
      </c>
    </row>
    <row r="15937" spans="1:7" x14ac:dyDescent="0.2">
      <c r="A15937" t="s">
        <v>897</v>
      </c>
      <c r="B15937" t="str">
        <f>"13937631275"</f>
        <v>13937631275</v>
      </c>
      <c r="C15937" t="str">
        <f>"411524199411130018"</f>
        <v>411524199411130018</v>
      </c>
      <c r="D15937" t="s">
        <v>1</v>
      </c>
      <c r="E15937" t="s">
        <v>1</v>
      </c>
      <c r="F15937" t="s">
        <v>0</v>
      </c>
      <c r="G15937" t="str">
        <f>"2018-10-12 12:33:24"</f>
        <v>2018-10-12 12:33:24</v>
      </c>
    </row>
    <row r="15938" spans="1:7" x14ac:dyDescent="0.2">
      <c r="A15938" t="s">
        <v>15384</v>
      </c>
      <c r="B15938" t="str">
        <f>"13937582790"</f>
        <v>13937582790</v>
      </c>
      <c r="C15938" t="str">
        <f>"410403198807155761"</f>
        <v>410403198807155761</v>
      </c>
      <c r="D15938" t="s">
        <v>1</v>
      </c>
      <c r="E15938" t="s">
        <v>1</v>
      </c>
      <c r="F15938" t="s">
        <v>0</v>
      </c>
      <c r="G15938" t="str">
        <f>"2018-10-12 12:47:37"</f>
        <v>2018-10-12 12:47:37</v>
      </c>
    </row>
    <row r="15939" spans="1:7" x14ac:dyDescent="0.2">
      <c r="A15939" t="s">
        <v>15385</v>
      </c>
      <c r="B15939" t="str">
        <f>"13513249226"</f>
        <v>13513249226</v>
      </c>
      <c r="C15939" t="str">
        <f>"130824198704216011"</f>
        <v>130824198704216011</v>
      </c>
      <c r="D15939" t="s">
        <v>15386</v>
      </c>
      <c r="E15939" t="s">
        <v>15387</v>
      </c>
      <c r="F15939" t="s">
        <v>0</v>
      </c>
      <c r="G15939" t="str">
        <f>"2018-10-14 09:05:09"</f>
        <v>2018-10-14 09:05:09</v>
      </c>
    </row>
    <row r="15940" spans="1:7" x14ac:dyDescent="0.2">
      <c r="A15940" t="s">
        <v>1</v>
      </c>
      <c r="B15940" t="str">
        <f>"17648124494"</f>
        <v>17648124494</v>
      </c>
      <c r="C15940" t="s">
        <v>1</v>
      </c>
      <c r="D15940" t="s">
        <v>1</v>
      </c>
      <c r="E15940" t="s">
        <v>1</v>
      </c>
      <c r="F15940" t="s">
        <v>0</v>
      </c>
      <c r="G15940" t="str">
        <f>"2018-10-12 12:34:22"</f>
        <v>2018-10-12 12:34:22</v>
      </c>
    </row>
    <row r="15941" spans="1:7" x14ac:dyDescent="0.2">
      <c r="A15941" t="s">
        <v>1</v>
      </c>
      <c r="B15941" t="str">
        <f>"18133728955"</f>
        <v>18133728955</v>
      </c>
      <c r="C15941" t="s">
        <v>1</v>
      </c>
      <c r="D15941" t="s">
        <v>1</v>
      </c>
      <c r="E15941" t="s">
        <v>1</v>
      </c>
      <c r="F15941" t="s">
        <v>0</v>
      </c>
      <c r="G15941" t="str">
        <f>"2018-10-12 12:31:35"</f>
        <v>2018-10-12 12:31:35</v>
      </c>
    </row>
    <row r="15942" spans="1:7" x14ac:dyDescent="0.2">
      <c r="A15942" t="s">
        <v>15388</v>
      </c>
      <c r="B15942" t="str">
        <f>"18830416533"</f>
        <v>18830416533</v>
      </c>
      <c r="C15942" t="str">
        <f>"130627198809114829"</f>
        <v>130627198809114829</v>
      </c>
      <c r="D15942" t="s">
        <v>1</v>
      </c>
      <c r="E15942" t="s">
        <v>1</v>
      </c>
      <c r="F15942" t="s">
        <v>0</v>
      </c>
      <c r="G15942" t="str">
        <f>"2018-10-12 12:41:16"</f>
        <v>2018-10-12 12:41:16</v>
      </c>
    </row>
    <row r="15943" spans="1:7" x14ac:dyDescent="0.2">
      <c r="A15943" t="s">
        <v>15389</v>
      </c>
      <c r="B15943" t="str">
        <f>"18729405977"</f>
        <v>18729405977</v>
      </c>
      <c r="C15943" t="str">
        <f>"610425198907292013"</f>
        <v>610425198907292013</v>
      </c>
      <c r="D15943" t="s">
        <v>1</v>
      </c>
      <c r="E15943" t="s">
        <v>1</v>
      </c>
      <c r="F15943" t="s">
        <v>0</v>
      </c>
      <c r="G15943" t="str">
        <f>"2018-10-12 12:36:18"</f>
        <v>2018-10-12 12:36:18</v>
      </c>
    </row>
    <row r="15944" spans="1:7" x14ac:dyDescent="0.2">
      <c r="A15944" t="s">
        <v>15390</v>
      </c>
      <c r="B15944" t="str">
        <f>"15763577619"</f>
        <v>15763577619</v>
      </c>
      <c r="C15944" t="str">
        <f>"371523199711043072"</f>
        <v>371523199711043072</v>
      </c>
      <c r="D15944" t="s">
        <v>1</v>
      </c>
      <c r="E15944" t="s">
        <v>1</v>
      </c>
      <c r="F15944" t="s">
        <v>0</v>
      </c>
      <c r="G15944" t="str">
        <f>"2018-10-12 12:33:42"</f>
        <v>2018-10-12 12:33:42</v>
      </c>
    </row>
    <row r="15945" spans="1:7" x14ac:dyDescent="0.2">
      <c r="A15945" t="s">
        <v>1</v>
      </c>
      <c r="B15945" t="str">
        <f>"13760651259"</f>
        <v>13760651259</v>
      </c>
      <c r="C15945" t="s">
        <v>1</v>
      </c>
      <c r="D15945" t="s">
        <v>1</v>
      </c>
      <c r="E15945" t="s">
        <v>1</v>
      </c>
      <c r="F15945" t="s">
        <v>0</v>
      </c>
      <c r="G15945" t="str">
        <f>"2018-10-12 12:30:58"</f>
        <v>2018-10-12 12:30:58</v>
      </c>
    </row>
    <row r="15946" spans="1:7" x14ac:dyDescent="0.2">
      <c r="A15946" t="s">
        <v>15391</v>
      </c>
      <c r="B15946" t="str">
        <f>"17640183857"</f>
        <v>17640183857</v>
      </c>
      <c r="C15946" t="str">
        <f>"210113199711201114"</f>
        <v>210113199711201114</v>
      </c>
      <c r="D15946" t="s">
        <v>15392</v>
      </c>
      <c r="E15946" t="s">
        <v>15393</v>
      </c>
      <c r="F15946" t="s">
        <v>0</v>
      </c>
      <c r="G15946" t="str">
        <f>"2018-10-12 12:39:30"</f>
        <v>2018-10-12 12:39:30</v>
      </c>
    </row>
    <row r="15947" spans="1:7" x14ac:dyDescent="0.2">
      <c r="A15947" t="s">
        <v>15394</v>
      </c>
      <c r="B15947" t="str">
        <f>"15285607162"</f>
        <v>15285607162</v>
      </c>
      <c r="C15947" t="str">
        <f>"522425199507193336"</f>
        <v>522425199507193336</v>
      </c>
      <c r="D15947" t="s">
        <v>15395</v>
      </c>
      <c r="E15947" t="s">
        <v>15396</v>
      </c>
      <c r="F15947" t="s">
        <v>0</v>
      </c>
      <c r="G15947" t="str">
        <f>"2018-10-12 12:31:55"</f>
        <v>2018-10-12 12:31:55</v>
      </c>
    </row>
    <row r="15948" spans="1:7" x14ac:dyDescent="0.2">
      <c r="A15948" t="s">
        <v>15397</v>
      </c>
      <c r="B15948" t="str">
        <f>"13525025192"</f>
        <v>13525025192</v>
      </c>
      <c r="C15948" t="str">
        <f>"410725198410202878"</f>
        <v>410725198410202878</v>
      </c>
      <c r="D15948" t="s">
        <v>1</v>
      </c>
      <c r="E15948" t="s">
        <v>1</v>
      </c>
      <c r="F15948" t="s">
        <v>0</v>
      </c>
      <c r="G15948" t="str">
        <f>"2018-10-12 18:43:30"</f>
        <v>2018-10-12 18:43:30</v>
      </c>
    </row>
    <row r="15949" spans="1:7" x14ac:dyDescent="0.2">
      <c r="A15949" t="s">
        <v>15398</v>
      </c>
      <c r="B15949" t="str">
        <f>"13077008925"</f>
        <v>13077008925</v>
      </c>
      <c r="C15949" t="str">
        <f>"430281199605246821"</f>
        <v>430281199605246821</v>
      </c>
      <c r="D15949" t="s">
        <v>1</v>
      </c>
      <c r="E15949" t="s">
        <v>1</v>
      </c>
      <c r="F15949" t="s">
        <v>0</v>
      </c>
      <c r="G15949" t="str">
        <f>"2018-10-12 12:37:12"</f>
        <v>2018-10-12 12:37:12</v>
      </c>
    </row>
    <row r="15950" spans="1:7" x14ac:dyDescent="0.2">
      <c r="A15950" t="s">
        <v>1</v>
      </c>
      <c r="B15950" t="str">
        <f>"18659123932"</f>
        <v>18659123932</v>
      </c>
      <c r="C15950" t="s">
        <v>1</v>
      </c>
      <c r="D15950" t="s">
        <v>1</v>
      </c>
      <c r="E15950" t="s">
        <v>1</v>
      </c>
      <c r="F15950" t="s">
        <v>0</v>
      </c>
      <c r="G15950" t="str">
        <f>"2018-10-12 12:29:26"</f>
        <v>2018-10-12 12:29:26</v>
      </c>
    </row>
    <row r="15951" spans="1:7" x14ac:dyDescent="0.2">
      <c r="A15951" t="s">
        <v>220</v>
      </c>
      <c r="B15951" t="str">
        <f>"15155161771"</f>
        <v>15155161771</v>
      </c>
      <c r="C15951" t="str">
        <f>"340122199506126616"</f>
        <v>340122199506126616</v>
      </c>
      <c r="D15951" t="s">
        <v>1</v>
      </c>
      <c r="E15951" t="s">
        <v>1</v>
      </c>
      <c r="F15951" t="s">
        <v>0</v>
      </c>
      <c r="G15951" t="str">
        <f>"2018-10-12 12:32:16"</f>
        <v>2018-10-12 12:32:16</v>
      </c>
    </row>
    <row r="15952" spans="1:7" x14ac:dyDescent="0.2">
      <c r="A15952" t="s">
        <v>1</v>
      </c>
      <c r="B15952" t="str">
        <f>"15718057896"</f>
        <v>15718057896</v>
      </c>
      <c r="C15952" t="s">
        <v>1</v>
      </c>
      <c r="D15952" t="s">
        <v>1</v>
      </c>
      <c r="E15952" t="s">
        <v>1</v>
      </c>
      <c r="F15952" t="s">
        <v>0</v>
      </c>
      <c r="G15952" t="str">
        <f>"2018-10-12 12:37:17"</f>
        <v>2018-10-12 12:37:17</v>
      </c>
    </row>
    <row r="15953" spans="1:7" x14ac:dyDescent="0.2">
      <c r="A15953" t="s">
        <v>15399</v>
      </c>
      <c r="B15953" t="str">
        <f>"15888861886"</f>
        <v>15888861886</v>
      </c>
      <c r="C15953" t="str">
        <f>"330127197911214514"</f>
        <v>330127197911214514</v>
      </c>
      <c r="D15953" t="s">
        <v>1</v>
      </c>
      <c r="E15953" t="s">
        <v>1</v>
      </c>
      <c r="F15953" t="s">
        <v>0</v>
      </c>
      <c r="G15953" t="str">
        <f>"2018-10-12 12:32:49"</f>
        <v>2018-10-12 12:32:49</v>
      </c>
    </row>
    <row r="15954" spans="1:7" x14ac:dyDescent="0.2">
      <c r="A15954" t="s">
        <v>4995</v>
      </c>
      <c r="B15954" t="str">
        <f>"18281462841"</f>
        <v>18281462841</v>
      </c>
      <c r="C15954" t="str">
        <f>"510781199510262471"</f>
        <v>510781199510262471</v>
      </c>
      <c r="D15954" t="s">
        <v>1</v>
      </c>
      <c r="E15954" t="s">
        <v>1</v>
      </c>
      <c r="F15954" t="s">
        <v>0</v>
      </c>
      <c r="G15954" t="str">
        <f>"2018-10-12 12:30:21"</f>
        <v>2018-10-12 12:30:21</v>
      </c>
    </row>
    <row r="15955" spans="1:7" x14ac:dyDescent="0.2">
      <c r="A15955" t="s">
        <v>15400</v>
      </c>
      <c r="B15955" t="str">
        <f>"15806490590"</f>
        <v>15806490590</v>
      </c>
      <c r="C15955" t="str">
        <f>"370785199310122772"</f>
        <v>370785199310122772</v>
      </c>
      <c r="D15955" t="s">
        <v>1</v>
      </c>
      <c r="E15955" t="s">
        <v>1</v>
      </c>
      <c r="F15955" t="s">
        <v>0</v>
      </c>
      <c r="G15955" t="str">
        <f>"2018-10-12 12:33:57"</f>
        <v>2018-10-12 12:33:57</v>
      </c>
    </row>
    <row r="15956" spans="1:7" x14ac:dyDescent="0.2">
      <c r="A15956" t="s">
        <v>15401</v>
      </c>
      <c r="B15956" t="str">
        <f>"18369092906"</f>
        <v>18369092906</v>
      </c>
      <c r="C15956" t="str">
        <f>"372928199108091875"</f>
        <v>372928199108091875</v>
      </c>
      <c r="D15956" t="s">
        <v>1</v>
      </c>
      <c r="E15956" t="s">
        <v>1</v>
      </c>
      <c r="F15956" t="s">
        <v>0</v>
      </c>
      <c r="G15956" t="str">
        <f>"2018-10-12 13:21:07"</f>
        <v>2018-10-12 13:21:07</v>
      </c>
    </row>
    <row r="15957" spans="1:7" x14ac:dyDescent="0.2">
      <c r="A15957" t="s">
        <v>15402</v>
      </c>
      <c r="B15957" t="str">
        <f>"13126014466"</f>
        <v>13126014466</v>
      </c>
      <c r="C15957" t="str">
        <f>"440981199907253533"</f>
        <v>440981199907253533</v>
      </c>
      <c r="D15957" t="s">
        <v>1</v>
      </c>
      <c r="E15957" t="s">
        <v>1</v>
      </c>
      <c r="F15957" t="s">
        <v>0</v>
      </c>
      <c r="G15957" t="str">
        <f>"2018-10-12 12:28:40"</f>
        <v>2018-10-12 12:28:40</v>
      </c>
    </row>
    <row r="15958" spans="1:7" x14ac:dyDescent="0.2">
      <c r="A15958" t="s">
        <v>15403</v>
      </c>
      <c r="B15958" t="str">
        <f>"15009962555"</f>
        <v>15009962555</v>
      </c>
      <c r="C15958" t="str">
        <f>"230823197109150073"</f>
        <v>230823197109150073</v>
      </c>
      <c r="D15958" t="s">
        <v>1</v>
      </c>
      <c r="E15958" t="s">
        <v>1</v>
      </c>
      <c r="F15958" t="s">
        <v>0</v>
      </c>
      <c r="G15958" t="str">
        <f>"2018-10-12 12:28:50"</f>
        <v>2018-10-12 12:28:50</v>
      </c>
    </row>
    <row r="15959" spans="1:7" x14ac:dyDescent="0.2">
      <c r="A15959" t="s">
        <v>1</v>
      </c>
      <c r="B15959" t="str">
        <f>"15590773311"</f>
        <v>15590773311</v>
      </c>
      <c r="C15959" t="s">
        <v>1</v>
      </c>
      <c r="D15959" t="s">
        <v>1</v>
      </c>
      <c r="E15959" t="s">
        <v>1</v>
      </c>
      <c r="F15959" t="s">
        <v>0</v>
      </c>
      <c r="G15959" t="str">
        <f>"2018-10-12 12:27:07"</f>
        <v>2018-10-12 12:27:07</v>
      </c>
    </row>
    <row r="15960" spans="1:7" x14ac:dyDescent="0.2">
      <c r="A15960" t="s">
        <v>15404</v>
      </c>
      <c r="B15960" t="str">
        <f>"18323618504"</f>
        <v>18323618504</v>
      </c>
      <c r="C15960" t="str">
        <f>"500235199811146813"</f>
        <v>500235199811146813</v>
      </c>
      <c r="D15960" t="s">
        <v>1</v>
      </c>
      <c r="E15960" t="s">
        <v>1</v>
      </c>
      <c r="F15960" t="s">
        <v>0</v>
      </c>
      <c r="G15960" t="str">
        <f>"2018-10-12 12:27:04"</f>
        <v>2018-10-12 12:27:04</v>
      </c>
    </row>
    <row r="15961" spans="1:7" x14ac:dyDescent="0.2">
      <c r="A15961" t="s">
        <v>1</v>
      </c>
      <c r="B15961" t="str">
        <f>"13288606023"</f>
        <v>13288606023</v>
      </c>
      <c r="C15961" t="s">
        <v>1</v>
      </c>
      <c r="D15961" t="s">
        <v>1</v>
      </c>
      <c r="E15961" t="s">
        <v>1</v>
      </c>
      <c r="F15961" t="s">
        <v>0</v>
      </c>
      <c r="G15961" t="str">
        <f>"2018-10-12 12:26:45"</f>
        <v>2018-10-12 12:26:45</v>
      </c>
    </row>
    <row r="15962" spans="1:7" x14ac:dyDescent="0.2">
      <c r="A15962" t="s">
        <v>15405</v>
      </c>
      <c r="B15962" t="str">
        <f>"13737773915"</f>
        <v>13737773915</v>
      </c>
      <c r="C15962" t="str">
        <f>"450702198605316317"</f>
        <v>450702198605316317</v>
      </c>
      <c r="D15962" t="s">
        <v>15406</v>
      </c>
      <c r="E15962" t="s">
        <v>15407</v>
      </c>
      <c r="F15962" t="s">
        <v>0</v>
      </c>
      <c r="G15962" t="str">
        <f>"2018-10-12 12:28:07"</f>
        <v>2018-10-12 12:28:07</v>
      </c>
    </row>
    <row r="15963" spans="1:7" x14ac:dyDescent="0.2">
      <c r="A15963" t="s">
        <v>15408</v>
      </c>
      <c r="B15963" t="str">
        <f>"15914454076"</f>
        <v>15914454076</v>
      </c>
      <c r="C15963" t="str">
        <f>"431124199406015711"</f>
        <v>431124199406015711</v>
      </c>
      <c r="D15963" t="s">
        <v>1</v>
      </c>
      <c r="E15963" t="s">
        <v>1</v>
      </c>
      <c r="F15963" t="s">
        <v>0</v>
      </c>
      <c r="G15963" t="str">
        <f>"2018-10-12 12:33:03"</f>
        <v>2018-10-12 12:33:03</v>
      </c>
    </row>
    <row r="15964" spans="1:7" x14ac:dyDescent="0.2">
      <c r="A15964" t="s">
        <v>1</v>
      </c>
      <c r="B15964" t="str">
        <f>"13796109992"</f>
        <v>13796109992</v>
      </c>
      <c r="C15964" t="s">
        <v>1</v>
      </c>
      <c r="D15964" t="s">
        <v>1</v>
      </c>
      <c r="E15964" t="s">
        <v>1</v>
      </c>
      <c r="F15964" t="s">
        <v>0</v>
      </c>
      <c r="G15964" t="str">
        <f>"2018-10-12 12:28:12"</f>
        <v>2018-10-12 12:28:12</v>
      </c>
    </row>
    <row r="15965" spans="1:7" x14ac:dyDescent="0.2">
      <c r="A15965" t="s">
        <v>1</v>
      </c>
      <c r="B15965" t="str">
        <f>"13797136156"</f>
        <v>13797136156</v>
      </c>
      <c r="C15965" t="s">
        <v>1</v>
      </c>
      <c r="D15965" t="s">
        <v>1</v>
      </c>
      <c r="E15965" t="s">
        <v>1</v>
      </c>
      <c r="F15965" t="s">
        <v>0</v>
      </c>
      <c r="G15965" t="str">
        <f>"2018-10-12 12:45:20"</f>
        <v>2018-10-12 12:45:20</v>
      </c>
    </row>
    <row r="15966" spans="1:7" x14ac:dyDescent="0.2">
      <c r="A15966" t="s">
        <v>15409</v>
      </c>
      <c r="B15966" t="str">
        <f>"13229149621"</f>
        <v>13229149621</v>
      </c>
      <c r="C15966" t="str">
        <f>"510923199406283915"</f>
        <v>510923199406283915</v>
      </c>
      <c r="D15966" t="s">
        <v>1</v>
      </c>
      <c r="E15966" t="s">
        <v>1</v>
      </c>
      <c r="F15966" t="s">
        <v>0</v>
      </c>
      <c r="G15966" t="str">
        <f>"2018-10-13 13:36:36"</f>
        <v>2018-10-13 13:36:36</v>
      </c>
    </row>
    <row r="15967" spans="1:7" x14ac:dyDescent="0.2">
      <c r="A15967" t="s">
        <v>15410</v>
      </c>
      <c r="B15967" t="str">
        <f>"13464458182"</f>
        <v>13464458182</v>
      </c>
      <c r="C15967" t="str">
        <f>"210782199501124427"</f>
        <v>210782199501124427</v>
      </c>
      <c r="D15967" t="s">
        <v>1</v>
      </c>
      <c r="E15967" t="s">
        <v>1</v>
      </c>
      <c r="F15967" t="s">
        <v>0</v>
      </c>
      <c r="G15967" t="str">
        <f>"2018-10-12 12:26:05"</f>
        <v>2018-10-12 12:26:05</v>
      </c>
    </row>
    <row r="15968" spans="1:7" x14ac:dyDescent="0.2">
      <c r="A15968" t="s">
        <v>1</v>
      </c>
      <c r="B15968" t="str">
        <f>"17805910362"</f>
        <v>17805910362</v>
      </c>
      <c r="C15968" t="s">
        <v>1</v>
      </c>
      <c r="D15968" t="s">
        <v>1</v>
      </c>
      <c r="E15968" t="s">
        <v>1</v>
      </c>
      <c r="F15968" t="s">
        <v>0</v>
      </c>
      <c r="G15968" t="str">
        <f>"2018-10-12 12:23:21"</f>
        <v>2018-10-12 12:23:21</v>
      </c>
    </row>
    <row r="15969" spans="1:7" x14ac:dyDescent="0.2">
      <c r="A15969" t="s">
        <v>15411</v>
      </c>
      <c r="B15969" t="str">
        <f>"13669534022"</f>
        <v>13669534022</v>
      </c>
      <c r="C15969" t="str">
        <f>"441621199005251836"</f>
        <v>441621199005251836</v>
      </c>
      <c r="D15969" t="s">
        <v>15412</v>
      </c>
      <c r="E15969" t="s">
        <v>15413</v>
      </c>
      <c r="F15969" t="s">
        <v>0</v>
      </c>
      <c r="G15969" t="str">
        <f>"2018-10-12 12:24:16"</f>
        <v>2018-10-12 12:24:16</v>
      </c>
    </row>
    <row r="15970" spans="1:7" x14ac:dyDescent="0.2">
      <c r="A15970" t="s">
        <v>15414</v>
      </c>
      <c r="B15970" t="str">
        <f>"15379542375"</f>
        <v>15379542375</v>
      </c>
      <c r="C15970" t="str">
        <f>"642221200009200894"</f>
        <v>642221200009200894</v>
      </c>
      <c r="D15970" t="s">
        <v>1</v>
      </c>
      <c r="E15970" t="s">
        <v>1</v>
      </c>
      <c r="F15970" t="s">
        <v>0</v>
      </c>
      <c r="G15970" t="str">
        <f>"2018-10-12 12:23:59"</f>
        <v>2018-10-12 12:23:59</v>
      </c>
    </row>
    <row r="15971" spans="1:7" x14ac:dyDescent="0.2">
      <c r="A15971" t="s">
        <v>15415</v>
      </c>
      <c r="B15971" t="str">
        <f>"13577334002"</f>
        <v>13577334002</v>
      </c>
      <c r="C15971" t="str">
        <f>"532524198404084010"</f>
        <v>532524198404084010</v>
      </c>
      <c r="D15971" t="s">
        <v>1</v>
      </c>
      <c r="E15971" t="s">
        <v>1</v>
      </c>
      <c r="F15971" t="s">
        <v>0</v>
      </c>
      <c r="G15971" t="str">
        <f>"2018-10-12 12:25:25"</f>
        <v>2018-10-12 12:25:25</v>
      </c>
    </row>
    <row r="15972" spans="1:7" x14ac:dyDescent="0.2">
      <c r="A15972" t="s">
        <v>1</v>
      </c>
      <c r="B15972" t="str">
        <f>"13557527372"</f>
        <v>13557527372</v>
      </c>
      <c r="C15972" t="s">
        <v>1</v>
      </c>
      <c r="D15972" t="s">
        <v>1</v>
      </c>
      <c r="E15972" t="s">
        <v>1</v>
      </c>
      <c r="F15972" t="s">
        <v>0</v>
      </c>
      <c r="G15972" t="str">
        <f>"2018-10-12 12:21:20"</f>
        <v>2018-10-12 12:21:20</v>
      </c>
    </row>
    <row r="15973" spans="1:7" x14ac:dyDescent="0.2">
      <c r="A15973" t="s">
        <v>15416</v>
      </c>
      <c r="B15973" t="str">
        <f>"15055376888"</f>
        <v>15055376888</v>
      </c>
      <c r="C15973" t="str">
        <f>"340603197406010332"</f>
        <v>340603197406010332</v>
      </c>
      <c r="D15973" t="s">
        <v>1</v>
      </c>
      <c r="E15973" t="s">
        <v>1</v>
      </c>
      <c r="F15973" t="s">
        <v>0</v>
      </c>
      <c r="G15973" t="str">
        <f>"2018-10-13 15:05:36"</f>
        <v>2018-10-13 15:05:36</v>
      </c>
    </row>
    <row r="15974" spans="1:7" x14ac:dyDescent="0.2">
      <c r="A15974" t="s">
        <v>1</v>
      </c>
      <c r="B15974" t="str">
        <f>"18259516253"</f>
        <v>18259516253</v>
      </c>
      <c r="C15974" t="s">
        <v>1</v>
      </c>
      <c r="D15974" t="s">
        <v>1</v>
      </c>
      <c r="E15974" t="s">
        <v>1</v>
      </c>
      <c r="F15974" t="s">
        <v>0</v>
      </c>
      <c r="G15974" t="str">
        <f>"2018-10-12 12:25:26"</f>
        <v>2018-10-12 12:25:26</v>
      </c>
    </row>
    <row r="15975" spans="1:7" x14ac:dyDescent="0.2">
      <c r="A15975" t="s">
        <v>1</v>
      </c>
      <c r="B15975" t="str">
        <f>"13268108055"</f>
        <v>13268108055</v>
      </c>
      <c r="C15975" t="s">
        <v>1</v>
      </c>
      <c r="D15975" t="s">
        <v>1</v>
      </c>
      <c r="E15975" t="s">
        <v>1</v>
      </c>
      <c r="F15975" t="s">
        <v>0</v>
      </c>
      <c r="G15975" t="str">
        <f>"2018-10-12 12:21:16"</f>
        <v>2018-10-12 12:21:16</v>
      </c>
    </row>
    <row r="15976" spans="1:7" x14ac:dyDescent="0.2">
      <c r="A15976" t="s">
        <v>15417</v>
      </c>
      <c r="B15976" t="str">
        <f>"18876727257"</f>
        <v>18876727257</v>
      </c>
      <c r="C15976" t="str">
        <f>"460006198812026821"</f>
        <v>460006198812026821</v>
      </c>
      <c r="D15976" t="s">
        <v>1</v>
      </c>
      <c r="E15976" t="s">
        <v>1</v>
      </c>
      <c r="F15976" t="s">
        <v>0</v>
      </c>
      <c r="G15976" t="str">
        <f>"2018-10-12 12:20:41"</f>
        <v>2018-10-12 12:20:41</v>
      </c>
    </row>
    <row r="15977" spans="1:7" x14ac:dyDescent="0.2">
      <c r="A15977" t="s">
        <v>1</v>
      </c>
      <c r="B15977" t="str">
        <f>"13082487090"</f>
        <v>13082487090</v>
      </c>
      <c r="C15977" t="s">
        <v>1</v>
      </c>
      <c r="D15977" t="s">
        <v>1</v>
      </c>
      <c r="E15977" t="s">
        <v>1</v>
      </c>
      <c r="F15977" t="s">
        <v>0</v>
      </c>
      <c r="G15977" t="str">
        <f>"2018-10-12 12:19:26"</f>
        <v>2018-10-12 12:19:26</v>
      </c>
    </row>
    <row r="15978" spans="1:7" x14ac:dyDescent="0.2">
      <c r="A15978" t="s">
        <v>1</v>
      </c>
      <c r="B15978" t="str">
        <f>"13549448946"</f>
        <v>13549448946</v>
      </c>
      <c r="C15978" t="s">
        <v>1</v>
      </c>
      <c r="D15978" t="s">
        <v>1</v>
      </c>
      <c r="E15978" t="s">
        <v>1</v>
      </c>
      <c r="F15978" t="s">
        <v>0</v>
      </c>
      <c r="G15978" t="str">
        <f>"2018-10-12 12:20:58"</f>
        <v>2018-10-12 12:20:58</v>
      </c>
    </row>
    <row r="15979" spans="1:7" x14ac:dyDescent="0.2">
      <c r="A15979" t="s">
        <v>74</v>
      </c>
      <c r="B15979" t="str">
        <f>"17776476505"</f>
        <v>17776476505</v>
      </c>
      <c r="C15979" t="str">
        <f>"150428199501092014"</f>
        <v>150428199501092014</v>
      </c>
      <c r="D15979" t="s">
        <v>15418</v>
      </c>
      <c r="E15979" t="s">
        <v>15419</v>
      </c>
      <c r="F15979" t="s">
        <v>0</v>
      </c>
      <c r="G15979" t="str">
        <f>"2018-10-20 11:32:19"</f>
        <v>2018-10-20 11:32:19</v>
      </c>
    </row>
    <row r="15980" spans="1:7" x14ac:dyDescent="0.2">
      <c r="A15980" t="s">
        <v>15420</v>
      </c>
      <c r="B15980" t="str">
        <f>"18666305174"</f>
        <v>18666305174</v>
      </c>
      <c r="C15980" t="str">
        <f>"445281199508223894"</f>
        <v>445281199508223894</v>
      </c>
      <c r="D15980" t="s">
        <v>15421</v>
      </c>
      <c r="E15980" t="s">
        <v>15421</v>
      </c>
      <c r="F15980" t="s">
        <v>0</v>
      </c>
      <c r="G15980" t="str">
        <f>"2018-10-12 14:00:19"</f>
        <v>2018-10-12 14:00:19</v>
      </c>
    </row>
    <row r="15981" spans="1:7" x14ac:dyDescent="0.2">
      <c r="A15981" t="s">
        <v>947</v>
      </c>
      <c r="B15981" t="str">
        <f>"13203592122"</f>
        <v>13203592122</v>
      </c>
      <c r="C15981" t="str">
        <f>"142730198703211820"</f>
        <v>142730198703211820</v>
      </c>
      <c r="D15981" t="s">
        <v>1</v>
      </c>
      <c r="E15981" t="s">
        <v>1</v>
      </c>
      <c r="F15981" t="s">
        <v>0</v>
      </c>
      <c r="G15981" t="str">
        <f>"2018-10-12 12:18:23"</f>
        <v>2018-10-12 12:18:23</v>
      </c>
    </row>
    <row r="15982" spans="1:7" x14ac:dyDescent="0.2">
      <c r="A15982" t="s">
        <v>15422</v>
      </c>
      <c r="B15982" t="str">
        <f>"18999538612"</f>
        <v>18999538612</v>
      </c>
      <c r="C15982" t="str">
        <f>"659001198612080614"</f>
        <v>659001198612080614</v>
      </c>
      <c r="D15982" t="s">
        <v>15423</v>
      </c>
      <c r="E15982" t="s">
        <v>15424</v>
      </c>
      <c r="F15982" t="s">
        <v>0</v>
      </c>
      <c r="G15982" t="str">
        <f>"2018-10-12 14:36:01"</f>
        <v>2018-10-12 14:36:01</v>
      </c>
    </row>
    <row r="15983" spans="1:7" x14ac:dyDescent="0.2">
      <c r="A15983" t="s">
        <v>374</v>
      </c>
      <c r="B15983" t="str">
        <f>"13072183655"</f>
        <v>13072183655</v>
      </c>
      <c r="C15983" t="str">
        <f>"350925199410220039"</f>
        <v>350925199410220039</v>
      </c>
      <c r="D15983" t="s">
        <v>15425</v>
      </c>
      <c r="E15983" t="s">
        <v>15425</v>
      </c>
      <c r="F15983" t="s">
        <v>0</v>
      </c>
      <c r="G15983" t="str">
        <f>"2018-10-12 12:20:10"</f>
        <v>2018-10-12 12:20:10</v>
      </c>
    </row>
    <row r="15984" spans="1:7" x14ac:dyDescent="0.2">
      <c r="A15984" t="s">
        <v>15426</v>
      </c>
      <c r="B15984" t="str">
        <f>"18643496303"</f>
        <v>18643496303</v>
      </c>
      <c r="C15984" t="str">
        <f>"22032219790310022X"</f>
        <v>22032219790310022X</v>
      </c>
      <c r="D15984" t="s">
        <v>1</v>
      </c>
      <c r="E15984" t="s">
        <v>1</v>
      </c>
      <c r="F15984" t="s">
        <v>0</v>
      </c>
      <c r="G15984" t="str">
        <f>"2018-10-13 17:34:21"</f>
        <v>2018-10-13 17:34:21</v>
      </c>
    </row>
    <row r="15985" spans="1:7" x14ac:dyDescent="0.2">
      <c r="A15985" t="s">
        <v>1</v>
      </c>
      <c r="B15985" t="str">
        <f>"18259665115"</f>
        <v>18259665115</v>
      </c>
      <c r="C15985" t="s">
        <v>1</v>
      </c>
      <c r="D15985" t="s">
        <v>1</v>
      </c>
      <c r="E15985" t="s">
        <v>1</v>
      </c>
      <c r="F15985" t="s">
        <v>0</v>
      </c>
      <c r="G15985" t="str">
        <f>"2018-10-12 12:15:55"</f>
        <v>2018-10-12 12:15:55</v>
      </c>
    </row>
    <row r="15986" spans="1:7" x14ac:dyDescent="0.2">
      <c r="A15986" t="s">
        <v>311</v>
      </c>
      <c r="B15986" t="str">
        <f>"17635212426"</f>
        <v>17635212426</v>
      </c>
      <c r="C15986" t="str">
        <f>"140227199805102016"</f>
        <v>140227199805102016</v>
      </c>
      <c r="D15986" t="s">
        <v>1</v>
      </c>
      <c r="E15986" t="s">
        <v>1</v>
      </c>
      <c r="F15986" t="s">
        <v>0</v>
      </c>
      <c r="G15986" t="str">
        <f>"2018-10-20 11:04:50"</f>
        <v>2018-10-20 11:04:50</v>
      </c>
    </row>
    <row r="15987" spans="1:7" x14ac:dyDescent="0.2">
      <c r="A15987" t="s">
        <v>15427</v>
      </c>
      <c r="B15987" t="str">
        <f>"15892052234"</f>
        <v>15892052234</v>
      </c>
      <c r="C15987" t="str">
        <f>"350322199410085146"</f>
        <v>350322199410085146</v>
      </c>
      <c r="D15987" t="s">
        <v>1</v>
      </c>
      <c r="E15987" t="s">
        <v>1</v>
      </c>
      <c r="F15987" t="s">
        <v>0</v>
      </c>
      <c r="G15987" t="str">
        <f>"2018-10-12 12:16:07"</f>
        <v>2018-10-12 12:16:07</v>
      </c>
    </row>
    <row r="15988" spans="1:7" x14ac:dyDescent="0.2">
      <c r="A15988" t="s">
        <v>1726</v>
      </c>
      <c r="B15988" t="str">
        <f>"13952021490"</f>
        <v>13952021490</v>
      </c>
      <c r="C15988" t="str">
        <f>"320683199806292559"</f>
        <v>320683199806292559</v>
      </c>
      <c r="D15988" t="s">
        <v>1</v>
      </c>
      <c r="E15988" t="s">
        <v>1</v>
      </c>
      <c r="F15988" t="s">
        <v>0</v>
      </c>
      <c r="G15988" t="str">
        <f>"2018-10-12 12:47:13"</f>
        <v>2018-10-12 12:47:13</v>
      </c>
    </row>
    <row r="15989" spans="1:7" x14ac:dyDescent="0.2">
      <c r="A15989" t="s">
        <v>15428</v>
      </c>
      <c r="B15989" t="str">
        <f>"15302621785"</f>
        <v>15302621785</v>
      </c>
      <c r="C15989" t="str">
        <f>"510525200003296945"</f>
        <v>510525200003296945</v>
      </c>
      <c r="D15989" t="s">
        <v>15429</v>
      </c>
      <c r="E15989" t="s">
        <v>15430</v>
      </c>
      <c r="F15989" t="s">
        <v>0</v>
      </c>
      <c r="G15989" t="str">
        <f>"2018-10-12 12:15:55"</f>
        <v>2018-10-12 12:15:55</v>
      </c>
    </row>
    <row r="15990" spans="1:7" x14ac:dyDescent="0.2">
      <c r="A15990" t="s">
        <v>15431</v>
      </c>
      <c r="B15990" t="str">
        <f>"18600032515"</f>
        <v>18600032515</v>
      </c>
      <c r="C15990" t="str">
        <f>"53011119710224658X"</f>
        <v>53011119710224658X</v>
      </c>
      <c r="D15990" t="s">
        <v>15432</v>
      </c>
      <c r="E15990" t="s">
        <v>15433</v>
      </c>
      <c r="F15990" t="s">
        <v>0</v>
      </c>
      <c r="G15990" t="str">
        <f>"2018-10-12 12:15:55"</f>
        <v>2018-10-12 12:15:55</v>
      </c>
    </row>
    <row r="15991" spans="1:7" x14ac:dyDescent="0.2">
      <c r="A15991" t="s">
        <v>15434</v>
      </c>
      <c r="B15991" t="str">
        <f>"15087063310"</f>
        <v>15087063310</v>
      </c>
      <c r="C15991" t="str">
        <f>"530111199611064433"</f>
        <v>530111199611064433</v>
      </c>
      <c r="D15991" t="s">
        <v>1</v>
      </c>
      <c r="E15991" t="s">
        <v>1</v>
      </c>
      <c r="F15991" t="s">
        <v>0</v>
      </c>
      <c r="G15991" t="str">
        <f>"2018-10-13 23:54:24"</f>
        <v>2018-10-13 23:54:24</v>
      </c>
    </row>
    <row r="15992" spans="1:7" x14ac:dyDescent="0.2">
      <c r="A15992" t="s">
        <v>1</v>
      </c>
      <c r="B15992" t="str">
        <f>"13706944529"</f>
        <v>13706944529</v>
      </c>
      <c r="C15992" t="s">
        <v>1</v>
      </c>
      <c r="D15992" t="s">
        <v>1</v>
      </c>
      <c r="E15992" t="s">
        <v>1</v>
      </c>
      <c r="F15992" t="s">
        <v>0</v>
      </c>
      <c r="G15992" t="str">
        <f>"2018-10-12 12:12:57"</f>
        <v>2018-10-12 12:12:57</v>
      </c>
    </row>
    <row r="15993" spans="1:7" x14ac:dyDescent="0.2">
      <c r="A15993" t="s">
        <v>1</v>
      </c>
      <c r="B15993" t="str">
        <f>"13919238086"</f>
        <v>13919238086</v>
      </c>
      <c r="C15993" t="s">
        <v>1</v>
      </c>
      <c r="D15993" t="s">
        <v>1</v>
      </c>
      <c r="E15993" t="s">
        <v>1</v>
      </c>
      <c r="F15993" t="s">
        <v>0</v>
      </c>
      <c r="G15993" t="str">
        <f>"2018-10-12 12:12:24"</f>
        <v>2018-10-12 12:12:24</v>
      </c>
    </row>
    <row r="15994" spans="1:7" x14ac:dyDescent="0.2">
      <c r="A15994" t="s">
        <v>15435</v>
      </c>
      <c r="B15994" t="str">
        <f>"15506128862"</f>
        <v>15506128862</v>
      </c>
      <c r="C15994" t="str">
        <f>"320322198903222831"</f>
        <v>320322198903222831</v>
      </c>
      <c r="D15994" t="s">
        <v>1</v>
      </c>
      <c r="E15994" t="s">
        <v>1</v>
      </c>
      <c r="F15994" t="s">
        <v>0</v>
      </c>
      <c r="G15994" t="str">
        <f>"2018-10-12 12:12:20"</f>
        <v>2018-10-12 12:12:20</v>
      </c>
    </row>
    <row r="15995" spans="1:7" x14ac:dyDescent="0.2">
      <c r="A15995" t="s">
        <v>15436</v>
      </c>
      <c r="B15995" t="str">
        <f>"13899759923"</f>
        <v>13899759923</v>
      </c>
      <c r="C15995" t="str">
        <f>"654123198312106017"</f>
        <v>654123198312106017</v>
      </c>
      <c r="D15995" t="s">
        <v>1</v>
      </c>
      <c r="E15995" t="s">
        <v>1</v>
      </c>
      <c r="F15995" t="s">
        <v>0</v>
      </c>
      <c r="G15995" t="str">
        <f>"2018-10-20 13:10:41"</f>
        <v>2018-10-20 13:10:41</v>
      </c>
    </row>
    <row r="15996" spans="1:7" x14ac:dyDescent="0.2">
      <c r="A15996" t="s">
        <v>15437</v>
      </c>
      <c r="B15996" t="str">
        <f>"15961800551"</f>
        <v>15961800551</v>
      </c>
      <c r="C15996" t="str">
        <f>"320202199608280514"</f>
        <v>320202199608280514</v>
      </c>
      <c r="D15996" t="s">
        <v>1</v>
      </c>
      <c r="E15996" t="s">
        <v>1</v>
      </c>
      <c r="F15996" t="s">
        <v>0</v>
      </c>
      <c r="G15996" t="str">
        <f>"2018-10-12 12:12:09"</f>
        <v>2018-10-12 12:12:09</v>
      </c>
    </row>
    <row r="15997" spans="1:7" x14ac:dyDescent="0.2">
      <c r="A15997" t="s">
        <v>15438</v>
      </c>
      <c r="B15997" t="str">
        <f>"13805699100"</f>
        <v>13805699100</v>
      </c>
      <c r="C15997" t="str">
        <f>"340104196807021010"</f>
        <v>340104196807021010</v>
      </c>
      <c r="D15997" t="s">
        <v>15439</v>
      </c>
      <c r="E15997" t="s">
        <v>15440</v>
      </c>
      <c r="F15997" t="s">
        <v>0</v>
      </c>
      <c r="G15997" t="str">
        <f>"2018-10-12 12:12:29"</f>
        <v>2018-10-12 12:12:29</v>
      </c>
    </row>
    <row r="15998" spans="1:7" x14ac:dyDescent="0.2">
      <c r="A15998" t="s">
        <v>1</v>
      </c>
      <c r="B15998" t="str">
        <f>"17156996417"</f>
        <v>17156996417</v>
      </c>
      <c r="C15998" t="s">
        <v>1</v>
      </c>
      <c r="D15998" t="s">
        <v>1</v>
      </c>
      <c r="E15998" t="s">
        <v>1</v>
      </c>
      <c r="F15998" t="s">
        <v>0</v>
      </c>
      <c r="G15998" t="str">
        <f>"2018-10-12 12:08:53"</f>
        <v>2018-10-12 12:08:53</v>
      </c>
    </row>
    <row r="15999" spans="1:7" x14ac:dyDescent="0.2">
      <c r="A15999" t="s">
        <v>1</v>
      </c>
      <c r="B15999" t="str">
        <f>"15955193766"</f>
        <v>15955193766</v>
      </c>
      <c r="C15999" t="s">
        <v>1</v>
      </c>
      <c r="D15999" t="s">
        <v>1</v>
      </c>
      <c r="E15999" t="s">
        <v>1</v>
      </c>
      <c r="F15999" t="s">
        <v>0</v>
      </c>
      <c r="G15999" t="str">
        <f>"2018-10-12 12:08:04"</f>
        <v>2018-10-12 12:08:04</v>
      </c>
    </row>
    <row r="16000" spans="1:7" x14ac:dyDescent="0.2">
      <c r="A16000" t="s">
        <v>1333</v>
      </c>
      <c r="B16000" t="str">
        <f>"18776329124"</f>
        <v>18776329124</v>
      </c>
      <c r="C16000" t="str">
        <f>"450902199009132728"</f>
        <v>450902199009132728</v>
      </c>
      <c r="D16000" t="s">
        <v>1</v>
      </c>
      <c r="E16000" t="s">
        <v>1</v>
      </c>
      <c r="F16000" t="s">
        <v>0</v>
      </c>
      <c r="G16000" t="str">
        <f>"2018-10-12 12:12:30"</f>
        <v>2018-10-12 12:12:30</v>
      </c>
    </row>
    <row r="16001" spans="1:7" x14ac:dyDescent="0.2">
      <c r="A16001" t="s">
        <v>15441</v>
      </c>
      <c r="B16001" t="str">
        <f>"15882881112"</f>
        <v>15882881112</v>
      </c>
      <c r="C16001" t="str">
        <f>"513233198612231916"</f>
        <v>513233198612231916</v>
      </c>
      <c r="D16001" t="s">
        <v>1</v>
      </c>
      <c r="E16001" t="s">
        <v>1</v>
      </c>
      <c r="F16001" t="s">
        <v>0</v>
      </c>
      <c r="G16001" t="str">
        <f>"2018-10-12 12:10:02"</f>
        <v>2018-10-12 12:10:02</v>
      </c>
    </row>
    <row r="16002" spans="1:7" x14ac:dyDescent="0.2">
      <c r="A16002" t="s">
        <v>15442</v>
      </c>
      <c r="B16002" t="str">
        <f>"13177833786"</f>
        <v>13177833786</v>
      </c>
      <c r="C16002" t="str">
        <f>"360122199709262718"</f>
        <v>360122199709262718</v>
      </c>
      <c r="D16002" t="s">
        <v>1</v>
      </c>
      <c r="E16002" t="s">
        <v>1</v>
      </c>
      <c r="F16002" t="s">
        <v>0</v>
      </c>
      <c r="G16002" t="str">
        <f>"2018-10-12 12:17:07"</f>
        <v>2018-10-12 12:17:07</v>
      </c>
    </row>
    <row r="16003" spans="1:7" x14ac:dyDescent="0.2">
      <c r="A16003" t="s">
        <v>1</v>
      </c>
      <c r="B16003" t="str">
        <f>"18220690380"</f>
        <v>18220690380</v>
      </c>
      <c r="C16003" t="s">
        <v>1</v>
      </c>
      <c r="D16003" t="s">
        <v>1</v>
      </c>
      <c r="E16003" t="s">
        <v>1</v>
      </c>
      <c r="F16003" t="s">
        <v>0</v>
      </c>
      <c r="G16003" t="str">
        <f>"2018-10-12 12:06:55"</f>
        <v>2018-10-12 12:06:55</v>
      </c>
    </row>
    <row r="16004" spans="1:7" x14ac:dyDescent="0.2">
      <c r="A16004" t="s">
        <v>15443</v>
      </c>
      <c r="B16004" t="str">
        <f>"13158366224"</f>
        <v>13158366224</v>
      </c>
      <c r="C16004" t="str">
        <f>"533001199801017536"</f>
        <v>533001199801017536</v>
      </c>
      <c r="D16004" t="s">
        <v>1</v>
      </c>
      <c r="E16004" t="s">
        <v>1</v>
      </c>
      <c r="F16004" t="s">
        <v>0</v>
      </c>
      <c r="G16004" t="str">
        <f>"2018-10-12 12:19:32"</f>
        <v>2018-10-12 12:19:32</v>
      </c>
    </row>
    <row r="16005" spans="1:7" x14ac:dyDescent="0.2">
      <c r="A16005" t="s">
        <v>1</v>
      </c>
      <c r="B16005" t="str">
        <f>"18875735967"</f>
        <v>18875735967</v>
      </c>
      <c r="C16005" t="s">
        <v>1</v>
      </c>
      <c r="D16005" t="s">
        <v>1</v>
      </c>
      <c r="E16005" t="s">
        <v>1</v>
      </c>
      <c r="F16005" t="s">
        <v>0</v>
      </c>
      <c r="G16005" t="str">
        <f>"2018-10-12 12:07:20"</f>
        <v>2018-10-12 12:07:20</v>
      </c>
    </row>
    <row r="16006" spans="1:7" x14ac:dyDescent="0.2">
      <c r="A16006" t="s">
        <v>15444</v>
      </c>
      <c r="B16006" t="str">
        <f>"13177477797"</f>
        <v>13177477797</v>
      </c>
      <c r="C16006" t="str">
        <f>"420321198910172112"</f>
        <v>420321198910172112</v>
      </c>
      <c r="D16006" t="s">
        <v>1</v>
      </c>
      <c r="E16006" t="s">
        <v>1</v>
      </c>
      <c r="F16006" t="s">
        <v>0</v>
      </c>
      <c r="G16006" t="str">
        <f>"2018-10-12 13:24:53"</f>
        <v>2018-10-12 13:24:53</v>
      </c>
    </row>
    <row r="16007" spans="1:7" x14ac:dyDescent="0.2">
      <c r="A16007" t="s">
        <v>15445</v>
      </c>
      <c r="B16007" t="str">
        <f>"15184699355"</f>
        <v>15184699355</v>
      </c>
      <c r="C16007" t="str">
        <f>"230522198803211077"</f>
        <v>230522198803211077</v>
      </c>
      <c r="D16007" t="s">
        <v>1</v>
      </c>
      <c r="E16007" t="s">
        <v>1</v>
      </c>
      <c r="F16007" t="s">
        <v>0</v>
      </c>
      <c r="G16007" t="str">
        <f>"2018-10-12 12:10:28"</f>
        <v>2018-10-12 12:10:28</v>
      </c>
    </row>
    <row r="16008" spans="1:7" x14ac:dyDescent="0.2">
      <c r="A16008" t="s">
        <v>1</v>
      </c>
      <c r="B16008" t="str">
        <f>"13523215933"</f>
        <v>13523215933</v>
      </c>
      <c r="C16008" t="s">
        <v>1</v>
      </c>
      <c r="D16008" t="s">
        <v>1</v>
      </c>
      <c r="E16008" t="s">
        <v>1</v>
      </c>
      <c r="F16008" t="s">
        <v>0</v>
      </c>
      <c r="G16008" t="str">
        <f>"2018-10-12 12:05:49"</f>
        <v>2018-10-12 12:05:49</v>
      </c>
    </row>
    <row r="16009" spans="1:7" x14ac:dyDescent="0.2">
      <c r="A16009" t="s">
        <v>15446</v>
      </c>
      <c r="B16009" t="str">
        <f>"18036712866"</f>
        <v>18036712866</v>
      </c>
      <c r="C16009" t="str">
        <f>"320723198803300626"</f>
        <v>320723198803300626</v>
      </c>
      <c r="D16009" t="s">
        <v>1</v>
      </c>
      <c r="E16009" t="s">
        <v>1</v>
      </c>
      <c r="F16009" t="s">
        <v>0</v>
      </c>
      <c r="G16009" t="str">
        <f>"2018-10-12 14:27:33"</f>
        <v>2018-10-12 14:27:33</v>
      </c>
    </row>
    <row r="16010" spans="1:7" x14ac:dyDescent="0.2">
      <c r="A16010" t="s">
        <v>1227</v>
      </c>
      <c r="B16010" t="str">
        <f>"15348400798"</f>
        <v>15348400798</v>
      </c>
      <c r="C16010" t="str">
        <f>"430626199512025613"</f>
        <v>430626199512025613</v>
      </c>
      <c r="D16010" t="s">
        <v>1</v>
      </c>
      <c r="E16010" t="s">
        <v>1</v>
      </c>
      <c r="F16010" t="s">
        <v>0</v>
      </c>
      <c r="G16010" t="str">
        <f>"2018-10-12 12:24:29"</f>
        <v>2018-10-12 12:24:29</v>
      </c>
    </row>
    <row r="16011" spans="1:7" x14ac:dyDescent="0.2">
      <c r="A16011" t="s">
        <v>1</v>
      </c>
      <c r="B16011" t="str">
        <f>"18787391374"</f>
        <v>18787391374</v>
      </c>
      <c r="C16011" t="s">
        <v>1</v>
      </c>
      <c r="D16011" t="s">
        <v>1</v>
      </c>
      <c r="E16011" t="s">
        <v>1</v>
      </c>
      <c r="F16011" t="s">
        <v>0</v>
      </c>
      <c r="G16011" t="str">
        <f>"2018-10-12 12:15:32"</f>
        <v>2018-10-12 12:15:32</v>
      </c>
    </row>
    <row r="16012" spans="1:7" x14ac:dyDescent="0.2">
      <c r="A16012" t="s">
        <v>15447</v>
      </c>
      <c r="B16012" t="str">
        <f>"17854208679"</f>
        <v>17854208679</v>
      </c>
      <c r="C16012" t="str">
        <f>"37012619941030591X"</f>
        <v>37012619941030591X</v>
      </c>
      <c r="D16012" t="s">
        <v>15448</v>
      </c>
      <c r="E16012" t="s">
        <v>15449</v>
      </c>
      <c r="F16012" t="s">
        <v>0</v>
      </c>
      <c r="G16012" t="str">
        <f>"2018-10-12 12:08:02"</f>
        <v>2018-10-12 12:08:02</v>
      </c>
    </row>
    <row r="16013" spans="1:7" x14ac:dyDescent="0.2">
      <c r="A16013" t="s">
        <v>15450</v>
      </c>
      <c r="B16013" t="str">
        <f>"13304190188"</f>
        <v>13304190188</v>
      </c>
      <c r="C16013" t="str">
        <f>"210111198103205923"</f>
        <v>210111198103205923</v>
      </c>
      <c r="D16013" t="s">
        <v>1</v>
      </c>
      <c r="E16013" t="s">
        <v>1</v>
      </c>
      <c r="F16013" t="s">
        <v>0</v>
      </c>
      <c r="G16013" t="str">
        <f>"2018-10-12 12:24:36"</f>
        <v>2018-10-12 12:24:36</v>
      </c>
    </row>
    <row r="16014" spans="1:7" x14ac:dyDescent="0.2">
      <c r="A16014" t="s">
        <v>1626</v>
      </c>
      <c r="B16014" t="str">
        <f>"15837156975"</f>
        <v>15837156975</v>
      </c>
      <c r="C16014" t="str">
        <f>"410184198806051823"</f>
        <v>410184198806051823</v>
      </c>
      <c r="D16014" t="s">
        <v>1</v>
      </c>
      <c r="E16014" t="s">
        <v>1</v>
      </c>
      <c r="F16014" t="s">
        <v>0</v>
      </c>
      <c r="G16014" t="str">
        <f>"2018-10-30 17:20:30"</f>
        <v>2018-10-30 17:20:30</v>
      </c>
    </row>
    <row r="16015" spans="1:7" x14ac:dyDescent="0.2">
      <c r="A16015" t="s">
        <v>15451</v>
      </c>
      <c r="B16015" t="str">
        <f>"15105971260"</f>
        <v>15105971260</v>
      </c>
      <c r="C16015" t="str">
        <f>"352622197901110835"</f>
        <v>352622197901110835</v>
      </c>
      <c r="D16015" t="s">
        <v>1</v>
      </c>
      <c r="E16015" t="s">
        <v>1</v>
      </c>
      <c r="F16015" t="s">
        <v>0</v>
      </c>
      <c r="G16015" t="str">
        <f>"2018-10-12 12:03:01"</f>
        <v>2018-10-12 12:03:01</v>
      </c>
    </row>
    <row r="16016" spans="1:7" x14ac:dyDescent="0.2">
      <c r="A16016" t="s">
        <v>1</v>
      </c>
      <c r="B16016" t="str">
        <f>"18910350103"</f>
        <v>18910350103</v>
      </c>
      <c r="C16016" t="s">
        <v>1</v>
      </c>
      <c r="D16016" t="s">
        <v>1</v>
      </c>
      <c r="E16016" t="s">
        <v>1</v>
      </c>
      <c r="F16016" t="s">
        <v>0</v>
      </c>
      <c r="G16016" t="str">
        <f>"2018-10-12 12:02:44"</f>
        <v>2018-10-12 12:02:44</v>
      </c>
    </row>
    <row r="16017" spans="1:7" x14ac:dyDescent="0.2">
      <c r="A16017" t="s">
        <v>15452</v>
      </c>
      <c r="B16017" t="str">
        <f>"15084501444"</f>
        <v>15084501444</v>
      </c>
      <c r="C16017" t="str">
        <f>"231121198601231320"</f>
        <v>231121198601231320</v>
      </c>
      <c r="D16017" t="s">
        <v>1</v>
      </c>
      <c r="E16017" t="s">
        <v>1</v>
      </c>
      <c r="F16017" t="s">
        <v>0</v>
      </c>
      <c r="G16017" t="str">
        <f>"2018-10-21 14:31:44"</f>
        <v>2018-10-21 14:31:44</v>
      </c>
    </row>
    <row r="16018" spans="1:7" x14ac:dyDescent="0.2">
      <c r="A16018" t="s">
        <v>15453</v>
      </c>
      <c r="B16018" t="str">
        <f>"15002816711"</f>
        <v>15002816711</v>
      </c>
      <c r="C16018" t="str">
        <f>"510105198607250262"</f>
        <v>510105198607250262</v>
      </c>
      <c r="D16018" t="s">
        <v>1</v>
      </c>
      <c r="E16018" t="s">
        <v>1</v>
      </c>
      <c r="F16018" t="s">
        <v>0</v>
      </c>
      <c r="G16018" t="str">
        <f>"2018-10-12 12:01:48"</f>
        <v>2018-10-12 12:01:48</v>
      </c>
    </row>
    <row r="16019" spans="1:7" x14ac:dyDescent="0.2">
      <c r="A16019" t="s">
        <v>15454</v>
      </c>
      <c r="B16019" t="str">
        <f>"18183407028"</f>
        <v>18183407028</v>
      </c>
      <c r="C16019" t="str">
        <f>"522129199202015511"</f>
        <v>522129199202015511</v>
      </c>
      <c r="D16019" t="s">
        <v>15455</v>
      </c>
      <c r="E16019" t="s">
        <v>15456</v>
      </c>
      <c r="F16019" t="s">
        <v>0</v>
      </c>
      <c r="G16019" t="str">
        <f>"2018-10-12 12:26:02"</f>
        <v>2018-10-12 12:26:02</v>
      </c>
    </row>
    <row r="16020" spans="1:7" x14ac:dyDescent="0.2">
      <c r="A16020" t="s">
        <v>15457</v>
      </c>
      <c r="B16020" t="str">
        <f>"15705168170"</f>
        <v>15705168170</v>
      </c>
      <c r="C16020" t="str">
        <f>"320511199608261252"</f>
        <v>320511199608261252</v>
      </c>
      <c r="D16020" t="s">
        <v>15458</v>
      </c>
      <c r="E16020" t="s">
        <v>15459</v>
      </c>
      <c r="F16020" t="s">
        <v>0</v>
      </c>
      <c r="G16020" t="str">
        <f>"2018-10-12 19:39:14"</f>
        <v>2018-10-12 19:39:14</v>
      </c>
    </row>
    <row r="16021" spans="1:7" x14ac:dyDescent="0.2">
      <c r="A16021" t="s">
        <v>15460</v>
      </c>
      <c r="B16021" t="str">
        <f>"15909951596"</f>
        <v>15909951596</v>
      </c>
      <c r="C16021" t="str">
        <f>"652122200007041415"</f>
        <v>652122200007041415</v>
      </c>
      <c r="D16021" t="s">
        <v>1</v>
      </c>
      <c r="E16021" t="s">
        <v>1</v>
      </c>
      <c r="F16021" t="s">
        <v>0</v>
      </c>
      <c r="G16021" t="str">
        <f>"2018-10-12 12:01:28"</f>
        <v>2018-10-12 12:01:28</v>
      </c>
    </row>
    <row r="16022" spans="1:7" x14ac:dyDescent="0.2">
      <c r="A16022" t="s">
        <v>1</v>
      </c>
      <c r="B16022" t="str">
        <f>"15283191900"</f>
        <v>15283191900</v>
      </c>
      <c r="C16022" t="s">
        <v>1</v>
      </c>
      <c r="D16022" t="s">
        <v>1</v>
      </c>
      <c r="E16022" t="s">
        <v>1</v>
      </c>
      <c r="F16022" t="s">
        <v>0</v>
      </c>
      <c r="G16022" t="str">
        <f>"2018-10-12 12:01:51"</f>
        <v>2018-10-12 12:01:51</v>
      </c>
    </row>
    <row r="16023" spans="1:7" x14ac:dyDescent="0.2">
      <c r="A16023" t="s">
        <v>15461</v>
      </c>
      <c r="B16023" t="str">
        <f>"13556328544"</f>
        <v>13556328544</v>
      </c>
      <c r="C16023" t="str">
        <f>"440582198612115512"</f>
        <v>440582198612115512</v>
      </c>
      <c r="D16023" t="s">
        <v>1</v>
      </c>
      <c r="E16023" t="s">
        <v>1</v>
      </c>
      <c r="F16023" t="s">
        <v>0</v>
      </c>
      <c r="G16023" t="str">
        <f>"2018-10-12 12:03:07"</f>
        <v>2018-10-12 12:03:07</v>
      </c>
    </row>
    <row r="16024" spans="1:7" x14ac:dyDescent="0.2">
      <c r="A16024" t="s">
        <v>1</v>
      </c>
      <c r="B16024" t="str">
        <f>"18529158216"</f>
        <v>18529158216</v>
      </c>
      <c r="C16024" t="s">
        <v>1</v>
      </c>
      <c r="D16024" t="s">
        <v>1</v>
      </c>
      <c r="E16024" t="s">
        <v>1</v>
      </c>
      <c r="F16024" t="s">
        <v>0</v>
      </c>
      <c r="G16024" t="str">
        <f>"2018-10-12 12:02:05"</f>
        <v>2018-10-12 12:02:05</v>
      </c>
    </row>
    <row r="16025" spans="1:7" x14ac:dyDescent="0.2">
      <c r="A16025" t="s">
        <v>15462</v>
      </c>
      <c r="B16025" t="str">
        <f>"15103771123"</f>
        <v>15103771123</v>
      </c>
      <c r="C16025" t="str">
        <f>"411302198204230012"</f>
        <v>411302198204230012</v>
      </c>
      <c r="D16025" t="s">
        <v>15463</v>
      </c>
      <c r="E16025" t="s">
        <v>15464</v>
      </c>
      <c r="F16025" t="s">
        <v>0</v>
      </c>
      <c r="G16025" t="str">
        <f>"2018-10-12 12:02:39"</f>
        <v>2018-10-12 12:02:39</v>
      </c>
    </row>
    <row r="16026" spans="1:7" x14ac:dyDescent="0.2">
      <c r="A16026" t="s">
        <v>15465</v>
      </c>
      <c r="B16026" t="str">
        <f>"13658168260"</f>
        <v>13658168260</v>
      </c>
      <c r="C16026" t="str">
        <f>"51072319950427435X"</f>
        <v>51072319950427435X</v>
      </c>
      <c r="D16026" t="s">
        <v>1</v>
      </c>
      <c r="E16026" t="s">
        <v>1</v>
      </c>
      <c r="F16026" t="s">
        <v>0</v>
      </c>
      <c r="G16026" t="str">
        <f>"2018-10-12 11:58:51"</f>
        <v>2018-10-12 11:58:51</v>
      </c>
    </row>
    <row r="16027" spans="1:7" x14ac:dyDescent="0.2">
      <c r="A16027" t="s">
        <v>15466</v>
      </c>
      <c r="B16027" t="str">
        <f>"18345643655"</f>
        <v>18345643655</v>
      </c>
      <c r="C16027" t="str">
        <f>"230421199304173312"</f>
        <v>230421199304173312</v>
      </c>
      <c r="D16027" t="s">
        <v>1</v>
      </c>
      <c r="E16027" t="s">
        <v>1</v>
      </c>
      <c r="F16027" t="s">
        <v>0</v>
      </c>
      <c r="G16027" t="str">
        <f>"2018-10-12 12:00:01"</f>
        <v>2018-10-12 12:00:01</v>
      </c>
    </row>
    <row r="16028" spans="1:7" x14ac:dyDescent="0.2">
      <c r="A16028" t="s">
        <v>15467</v>
      </c>
      <c r="B16028" t="str">
        <f>"15918229994"</f>
        <v>15918229994</v>
      </c>
      <c r="C16028" t="str">
        <f>"442000198904071582"</f>
        <v>442000198904071582</v>
      </c>
      <c r="D16028" t="s">
        <v>1</v>
      </c>
      <c r="E16028" t="s">
        <v>1</v>
      </c>
      <c r="F16028" t="s">
        <v>0</v>
      </c>
      <c r="G16028" t="str">
        <f>"2018-10-12 12:14:35"</f>
        <v>2018-10-12 12:14:35</v>
      </c>
    </row>
    <row r="16029" spans="1:7" x14ac:dyDescent="0.2">
      <c r="A16029" t="s">
        <v>1</v>
      </c>
      <c r="B16029" t="str">
        <f>"15733588877"</f>
        <v>15733588877</v>
      </c>
      <c r="C16029" t="s">
        <v>1</v>
      </c>
      <c r="D16029" t="s">
        <v>1</v>
      </c>
      <c r="E16029" t="s">
        <v>1</v>
      </c>
      <c r="F16029" t="s">
        <v>0</v>
      </c>
      <c r="G16029" t="str">
        <f>"2018-10-12 11:57:40"</f>
        <v>2018-10-12 11:57:40</v>
      </c>
    </row>
    <row r="16030" spans="1:7" x14ac:dyDescent="0.2">
      <c r="A16030" t="s">
        <v>1</v>
      </c>
      <c r="B16030" t="str">
        <f>"13962587144"</f>
        <v>13962587144</v>
      </c>
      <c r="C16030" t="s">
        <v>1</v>
      </c>
      <c r="D16030" t="s">
        <v>1</v>
      </c>
      <c r="E16030" t="s">
        <v>1</v>
      </c>
      <c r="F16030" t="s">
        <v>0</v>
      </c>
      <c r="G16030" t="str">
        <f>"2018-10-12 11:57:10"</f>
        <v>2018-10-12 11:57:10</v>
      </c>
    </row>
    <row r="16031" spans="1:7" x14ac:dyDescent="0.2">
      <c r="A16031" t="s">
        <v>15468</v>
      </c>
      <c r="B16031" t="str">
        <f>"15989549713"</f>
        <v>15989549713</v>
      </c>
      <c r="C16031" t="str">
        <f>"44528119951008431X"</f>
        <v>44528119951008431X</v>
      </c>
      <c r="D16031" t="s">
        <v>1</v>
      </c>
      <c r="E16031" t="s">
        <v>1</v>
      </c>
      <c r="F16031" t="s">
        <v>0</v>
      </c>
      <c r="G16031" t="str">
        <f>"2018-10-12 11:58:24"</f>
        <v>2018-10-12 11:58:24</v>
      </c>
    </row>
    <row r="16032" spans="1:7" x14ac:dyDescent="0.2">
      <c r="A16032" t="s">
        <v>15469</v>
      </c>
      <c r="B16032" t="str">
        <f>"15288048036"</f>
        <v>15288048036</v>
      </c>
      <c r="C16032" t="str">
        <f>"530322199611202007"</f>
        <v>530322199611202007</v>
      </c>
      <c r="D16032" t="s">
        <v>1</v>
      </c>
      <c r="E16032" t="s">
        <v>1</v>
      </c>
      <c r="F16032" t="s">
        <v>0</v>
      </c>
      <c r="G16032" t="str">
        <f>"2018-10-22 14:57:00"</f>
        <v>2018-10-22 14:57:00</v>
      </c>
    </row>
    <row r="16033" spans="1:7" x14ac:dyDescent="0.2">
      <c r="A16033" t="s">
        <v>15470</v>
      </c>
      <c r="B16033" t="str">
        <f>"17710726029"</f>
        <v>17710726029</v>
      </c>
      <c r="C16033" t="str">
        <f>"37030519951216001X"</f>
        <v>37030519951216001X</v>
      </c>
      <c r="D16033" t="s">
        <v>1</v>
      </c>
      <c r="E16033" t="s">
        <v>1</v>
      </c>
      <c r="F16033" t="s">
        <v>0</v>
      </c>
      <c r="G16033" t="str">
        <f>"2018-10-12 12:00:20"</f>
        <v>2018-10-12 12:00:20</v>
      </c>
    </row>
    <row r="16034" spans="1:7" x14ac:dyDescent="0.2">
      <c r="A16034" t="s">
        <v>15471</v>
      </c>
      <c r="B16034" t="str">
        <f>"15008004235"</f>
        <v>15008004235</v>
      </c>
      <c r="C16034" t="str">
        <f>"460027198507094731"</f>
        <v>460027198507094731</v>
      </c>
      <c r="D16034" t="s">
        <v>1</v>
      </c>
      <c r="E16034" t="s">
        <v>1</v>
      </c>
      <c r="F16034" t="s">
        <v>0</v>
      </c>
      <c r="G16034" t="str">
        <f>"2018-10-12 12:00:19"</f>
        <v>2018-10-12 12:00:19</v>
      </c>
    </row>
    <row r="16035" spans="1:7" x14ac:dyDescent="0.2">
      <c r="A16035" t="s">
        <v>15472</v>
      </c>
      <c r="B16035" t="str">
        <f>"13667733734"</f>
        <v>13667733734</v>
      </c>
      <c r="C16035" t="str">
        <f>"450322198511131518"</f>
        <v>450322198511131518</v>
      </c>
      <c r="D16035" t="s">
        <v>1</v>
      </c>
      <c r="E16035" t="s">
        <v>1</v>
      </c>
      <c r="F16035" t="s">
        <v>0</v>
      </c>
      <c r="G16035" t="str">
        <f>"2018-10-12 11:56:02"</f>
        <v>2018-10-12 11:56:02</v>
      </c>
    </row>
    <row r="16036" spans="1:7" x14ac:dyDescent="0.2">
      <c r="A16036" t="s">
        <v>15473</v>
      </c>
      <c r="B16036" t="str">
        <f>"15849614122"</f>
        <v>15849614122</v>
      </c>
      <c r="C16036" t="str">
        <f>"150429198002181233"</f>
        <v>150429198002181233</v>
      </c>
      <c r="D16036" t="s">
        <v>1</v>
      </c>
      <c r="E16036" t="s">
        <v>1</v>
      </c>
      <c r="F16036" t="s">
        <v>0</v>
      </c>
      <c r="G16036" t="str">
        <f>"2018-10-16 15:04:45"</f>
        <v>2018-10-16 15:04:45</v>
      </c>
    </row>
    <row r="16037" spans="1:7" x14ac:dyDescent="0.2">
      <c r="A16037" t="s">
        <v>11882</v>
      </c>
      <c r="B16037" t="str">
        <f>"15542034756"</f>
        <v>15542034756</v>
      </c>
      <c r="C16037" t="str">
        <f>"211321198705161328"</f>
        <v>211321198705161328</v>
      </c>
      <c r="D16037" t="s">
        <v>1</v>
      </c>
      <c r="E16037" t="s">
        <v>1</v>
      </c>
      <c r="F16037" t="s">
        <v>0</v>
      </c>
      <c r="G16037" t="str">
        <f>"2018-10-12 11:55:11"</f>
        <v>2018-10-12 11:55:11</v>
      </c>
    </row>
    <row r="16038" spans="1:7" x14ac:dyDescent="0.2">
      <c r="A16038" t="s">
        <v>15474</v>
      </c>
      <c r="B16038" t="str">
        <f>"15813416656"</f>
        <v>15813416656</v>
      </c>
      <c r="C16038" t="str">
        <f>"45082119930812537X"</f>
        <v>45082119930812537X</v>
      </c>
      <c r="D16038" t="s">
        <v>1</v>
      </c>
      <c r="E16038" t="s">
        <v>1</v>
      </c>
      <c r="F16038" t="s">
        <v>0</v>
      </c>
      <c r="G16038" t="str">
        <f>"2018-10-12 11:55:47"</f>
        <v>2018-10-12 11:55:47</v>
      </c>
    </row>
    <row r="16039" spans="1:7" x14ac:dyDescent="0.2">
      <c r="A16039" t="s">
        <v>1</v>
      </c>
      <c r="B16039" t="str">
        <f>"13984411943"</f>
        <v>13984411943</v>
      </c>
      <c r="C16039" t="s">
        <v>1</v>
      </c>
      <c r="D16039" t="s">
        <v>1</v>
      </c>
      <c r="E16039" t="s">
        <v>1</v>
      </c>
      <c r="F16039" t="s">
        <v>0</v>
      </c>
      <c r="G16039" t="str">
        <f>"2018-10-12 11:55:09"</f>
        <v>2018-10-12 11:55:09</v>
      </c>
    </row>
    <row r="16040" spans="1:7" x14ac:dyDescent="0.2">
      <c r="A16040" t="s">
        <v>15475</v>
      </c>
      <c r="B16040" t="str">
        <f>"15041044455"</f>
        <v>15041044455</v>
      </c>
      <c r="C16040" t="str">
        <f>"21122419830607831X"</f>
        <v>21122419830607831X</v>
      </c>
      <c r="D16040" t="s">
        <v>1</v>
      </c>
      <c r="E16040" t="s">
        <v>1</v>
      </c>
      <c r="F16040" t="s">
        <v>0</v>
      </c>
      <c r="G16040" t="str">
        <f>"2018-10-12 12:40:14"</f>
        <v>2018-10-12 12:40:14</v>
      </c>
    </row>
    <row r="16041" spans="1:7" x14ac:dyDescent="0.2">
      <c r="A16041" t="s">
        <v>15476</v>
      </c>
      <c r="B16041" t="str">
        <f>"18717100995"</f>
        <v>18717100995</v>
      </c>
      <c r="C16041" t="str">
        <f>"420115199309073232"</f>
        <v>420115199309073232</v>
      </c>
      <c r="D16041" t="s">
        <v>15477</v>
      </c>
      <c r="E16041" t="s">
        <v>15478</v>
      </c>
      <c r="F16041" t="s">
        <v>0</v>
      </c>
      <c r="G16041" t="str">
        <f>"2018-10-12 11:52:58"</f>
        <v>2018-10-12 11:52:58</v>
      </c>
    </row>
    <row r="16042" spans="1:7" x14ac:dyDescent="0.2">
      <c r="A16042" t="s">
        <v>1</v>
      </c>
      <c r="B16042" t="str">
        <f>"18048623038"</f>
        <v>18048623038</v>
      </c>
      <c r="C16042" t="s">
        <v>1</v>
      </c>
      <c r="D16042" t="s">
        <v>1</v>
      </c>
      <c r="E16042" t="s">
        <v>1</v>
      </c>
      <c r="F16042" t="s">
        <v>0</v>
      </c>
      <c r="G16042" t="str">
        <f>"2018-10-12 11:51:42"</f>
        <v>2018-10-12 11:51:42</v>
      </c>
    </row>
    <row r="16043" spans="1:7" x14ac:dyDescent="0.2">
      <c r="A16043" t="s">
        <v>15479</v>
      </c>
      <c r="B16043" t="str">
        <f>"13347485188"</f>
        <v>13347485188</v>
      </c>
      <c r="C16043" t="str">
        <f>"612726199310106918"</f>
        <v>612726199310106918</v>
      </c>
      <c r="D16043" t="s">
        <v>1</v>
      </c>
      <c r="E16043" t="s">
        <v>1</v>
      </c>
      <c r="F16043" t="s">
        <v>0</v>
      </c>
      <c r="G16043" t="str">
        <f>"2018-10-12 11:52:53"</f>
        <v>2018-10-12 11:52:53</v>
      </c>
    </row>
    <row r="16044" spans="1:7" x14ac:dyDescent="0.2">
      <c r="A16044" t="s">
        <v>15480</v>
      </c>
      <c r="B16044" t="str">
        <f>"15539338475"</f>
        <v>15539338475</v>
      </c>
      <c r="C16044" t="str">
        <f>"410901198306021137"</f>
        <v>410901198306021137</v>
      </c>
      <c r="D16044" t="s">
        <v>1</v>
      </c>
      <c r="E16044" t="s">
        <v>1</v>
      </c>
      <c r="F16044" t="s">
        <v>0</v>
      </c>
      <c r="G16044" t="str">
        <f>"2018-10-12 12:08:46"</f>
        <v>2018-10-12 12:08:46</v>
      </c>
    </row>
    <row r="16045" spans="1:7" x14ac:dyDescent="0.2">
      <c r="A16045" t="s">
        <v>1</v>
      </c>
      <c r="B16045" t="str">
        <f>"13613710185"</f>
        <v>13613710185</v>
      </c>
      <c r="C16045" t="s">
        <v>1</v>
      </c>
      <c r="D16045" t="s">
        <v>1</v>
      </c>
      <c r="E16045" t="s">
        <v>1</v>
      </c>
      <c r="F16045" t="s">
        <v>0</v>
      </c>
      <c r="G16045" t="str">
        <f>"2018-10-12 11:51:21"</f>
        <v>2018-10-12 11:51:21</v>
      </c>
    </row>
    <row r="16046" spans="1:7" x14ac:dyDescent="0.2">
      <c r="A16046" t="s">
        <v>1</v>
      </c>
      <c r="B16046" t="str">
        <f>"15081719966"</f>
        <v>15081719966</v>
      </c>
      <c r="C16046" t="s">
        <v>1</v>
      </c>
      <c r="D16046" t="s">
        <v>1</v>
      </c>
      <c r="E16046" t="s">
        <v>1</v>
      </c>
      <c r="F16046" t="s">
        <v>0</v>
      </c>
      <c r="G16046" t="str">
        <f>"2018-10-12 11:54:30"</f>
        <v>2018-10-12 11:54:30</v>
      </c>
    </row>
    <row r="16047" spans="1:7" x14ac:dyDescent="0.2">
      <c r="A16047" t="s">
        <v>15481</v>
      </c>
      <c r="B16047" t="str">
        <f>"18523674695"</f>
        <v>18523674695</v>
      </c>
      <c r="C16047" t="str">
        <f>"50023119890428625X"</f>
        <v>50023119890428625X</v>
      </c>
      <c r="D16047" t="s">
        <v>1</v>
      </c>
      <c r="E16047" t="s">
        <v>1</v>
      </c>
      <c r="F16047" t="s">
        <v>0</v>
      </c>
      <c r="G16047" t="str">
        <f>"2018-10-12 12:53:26"</f>
        <v>2018-10-12 12:53:26</v>
      </c>
    </row>
    <row r="16048" spans="1:7" x14ac:dyDescent="0.2">
      <c r="A16048" t="s">
        <v>1</v>
      </c>
      <c r="B16048" t="str">
        <f>"17156996442"</f>
        <v>17156996442</v>
      </c>
      <c r="C16048" t="s">
        <v>1</v>
      </c>
      <c r="D16048" t="s">
        <v>1</v>
      </c>
      <c r="E16048" t="s">
        <v>1</v>
      </c>
      <c r="F16048" t="s">
        <v>0</v>
      </c>
      <c r="G16048" t="str">
        <f>"2018-10-12 11:51:03"</f>
        <v>2018-10-12 11:51:03</v>
      </c>
    </row>
    <row r="16049" spans="1:7" x14ac:dyDescent="0.2">
      <c r="A16049" t="s">
        <v>15482</v>
      </c>
      <c r="B16049" t="str">
        <f>"17548212582"</f>
        <v>17548212582</v>
      </c>
      <c r="C16049" t="str">
        <f>"152223199612241317"</f>
        <v>152223199612241317</v>
      </c>
      <c r="D16049" t="s">
        <v>1</v>
      </c>
      <c r="E16049" t="s">
        <v>1</v>
      </c>
      <c r="F16049" t="s">
        <v>0</v>
      </c>
      <c r="G16049" t="str">
        <f>"2018-10-12 11:51:53"</f>
        <v>2018-10-12 11:51:53</v>
      </c>
    </row>
    <row r="16050" spans="1:7" x14ac:dyDescent="0.2">
      <c r="A16050" t="s">
        <v>18</v>
      </c>
      <c r="B16050" t="str">
        <f>"15951133356"</f>
        <v>15951133356</v>
      </c>
      <c r="C16050" t="str">
        <f>"413026198708046338"</f>
        <v>413026198708046338</v>
      </c>
      <c r="D16050" t="s">
        <v>1</v>
      </c>
      <c r="E16050" t="s">
        <v>1</v>
      </c>
      <c r="F16050" t="s">
        <v>0</v>
      </c>
      <c r="G16050" t="str">
        <f>"2018-10-12 11:54:24"</f>
        <v>2018-10-12 11:54:24</v>
      </c>
    </row>
    <row r="16051" spans="1:7" x14ac:dyDescent="0.2">
      <c r="A16051" t="s">
        <v>15483</v>
      </c>
      <c r="B16051" t="str">
        <f>"18046778520"</f>
        <v>18046778520</v>
      </c>
      <c r="C16051" t="str">
        <f>"36073419870822131X"</f>
        <v>36073419870822131X</v>
      </c>
      <c r="D16051" t="s">
        <v>1</v>
      </c>
      <c r="E16051" t="s">
        <v>1</v>
      </c>
      <c r="F16051" t="s">
        <v>0</v>
      </c>
      <c r="G16051" t="str">
        <f>"2018-10-12 11:50:46"</f>
        <v>2018-10-12 11:50:46</v>
      </c>
    </row>
    <row r="16052" spans="1:7" x14ac:dyDescent="0.2">
      <c r="A16052" t="s">
        <v>1</v>
      </c>
      <c r="B16052" t="str">
        <f>"18738589700"</f>
        <v>18738589700</v>
      </c>
      <c r="C16052" t="s">
        <v>1</v>
      </c>
      <c r="D16052" t="s">
        <v>1</v>
      </c>
      <c r="E16052" t="s">
        <v>1</v>
      </c>
      <c r="F16052" t="s">
        <v>0</v>
      </c>
      <c r="G16052" t="str">
        <f>"2018-10-12 11:48:52"</f>
        <v>2018-10-12 11:48:52</v>
      </c>
    </row>
    <row r="16053" spans="1:7" x14ac:dyDescent="0.2">
      <c r="A16053" t="s">
        <v>15484</v>
      </c>
      <c r="B16053" t="str">
        <f>"13940700474"</f>
        <v>13940700474</v>
      </c>
      <c r="C16053" t="str">
        <f>"230229198908153916"</f>
        <v>230229198908153916</v>
      </c>
      <c r="D16053" t="s">
        <v>15485</v>
      </c>
      <c r="E16053" t="s">
        <v>15486</v>
      </c>
      <c r="F16053" t="s">
        <v>0</v>
      </c>
      <c r="G16053" t="str">
        <f>"2018-10-28 14:32:01"</f>
        <v>2018-10-28 14:32:01</v>
      </c>
    </row>
    <row r="16054" spans="1:7" x14ac:dyDescent="0.2">
      <c r="A16054" t="s">
        <v>15487</v>
      </c>
      <c r="B16054" t="str">
        <f>"15827459014"</f>
        <v>15827459014</v>
      </c>
      <c r="C16054" t="str">
        <f>"420115198603055858"</f>
        <v>420115198603055858</v>
      </c>
      <c r="D16054" t="s">
        <v>1</v>
      </c>
      <c r="E16054" t="s">
        <v>1</v>
      </c>
      <c r="F16054" t="s">
        <v>0</v>
      </c>
      <c r="G16054" t="str">
        <f>"2018-10-12 11:50:11"</f>
        <v>2018-10-12 11:50:11</v>
      </c>
    </row>
    <row r="16055" spans="1:7" x14ac:dyDescent="0.2">
      <c r="A16055" t="s">
        <v>1</v>
      </c>
      <c r="B16055" t="str">
        <f>"13985516606"</f>
        <v>13985516606</v>
      </c>
      <c r="C16055" t="s">
        <v>1</v>
      </c>
      <c r="D16055" t="s">
        <v>1</v>
      </c>
      <c r="E16055" t="s">
        <v>1</v>
      </c>
      <c r="F16055" t="s">
        <v>0</v>
      </c>
      <c r="G16055" t="str">
        <f>"2018-11-02 19:27:49"</f>
        <v>2018-11-02 19:27:49</v>
      </c>
    </row>
    <row r="16056" spans="1:7" x14ac:dyDescent="0.2">
      <c r="A16056" t="s">
        <v>1</v>
      </c>
      <c r="B16056" t="str">
        <f>"15172660401"</f>
        <v>15172660401</v>
      </c>
      <c r="C16056" t="s">
        <v>1</v>
      </c>
      <c r="D16056" t="s">
        <v>1</v>
      </c>
      <c r="E16056" t="s">
        <v>1</v>
      </c>
      <c r="F16056" t="s">
        <v>0</v>
      </c>
      <c r="G16056" t="str">
        <f>"2018-10-12 11:46:20"</f>
        <v>2018-10-12 11:46:20</v>
      </c>
    </row>
    <row r="16057" spans="1:7" x14ac:dyDescent="0.2">
      <c r="A16057" t="s">
        <v>1</v>
      </c>
      <c r="B16057" t="str">
        <f>"15766641350"</f>
        <v>15766641350</v>
      </c>
      <c r="C16057" t="s">
        <v>1</v>
      </c>
      <c r="D16057" t="s">
        <v>1</v>
      </c>
      <c r="E16057" t="s">
        <v>1</v>
      </c>
      <c r="F16057" t="s">
        <v>0</v>
      </c>
      <c r="G16057" t="str">
        <f>"2018-10-14 20:18:49"</f>
        <v>2018-10-14 20:18:49</v>
      </c>
    </row>
    <row r="16058" spans="1:7" x14ac:dyDescent="0.2">
      <c r="A16058" t="s">
        <v>43</v>
      </c>
      <c r="B16058" t="str">
        <f>"15940071747"</f>
        <v>15940071747</v>
      </c>
      <c r="C16058" t="str">
        <f>"21011119890515622X"</f>
        <v>21011119890515622X</v>
      </c>
      <c r="D16058" t="s">
        <v>15488</v>
      </c>
      <c r="E16058" t="s">
        <v>15489</v>
      </c>
      <c r="F16058" t="s">
        <v>0</v>
      </c>
      <c r="G16058" t="str">
        <f>"2018-10-26 21:41:18"</f>
        <v>2018-10-26 21:41:18</v>
      </c>
    </row>
    <row r="16059" spans="1:7" x14ac:dyDescent="0.2">
      <c r="A16059" t="s">
        <v>15490</v>
      </c>
      <c r="B16059" t="str">
        <f>"15624521838"</f>
        <v>15624521838</v>
      </c>
      <c r="C16059" t="str">
        <f>"42280219810913177X"</f>
        <v>42280219810913177X</v>
      </c>
      <c r="D16059" t="s">
        <v>1</v>
      </c>
      <c r="E16059" t="s">
        <v>1</v>
      </c>
      <c r="F16059" t="s">
        <v>0</v>
      </c>
      <c r="G16059" t="str">
        <f>"2018-10-12 11:46:49"</f>
        <v>2018-10-12 11:46:49</v>
      </c>
    </row>
    <row r="16060" spans="1:7" x14ac:dyDescent="0.2">
      <c r="A16060" t="s">
        <v>5426</v>
      </c>
      <c r="B16060" t="str">
        <f>"13337137014"</f>
        <v>13337137014</v>
      </c>
      <c r="C16060" t="str">
        <f>"152601199504114111"</f>
        <v>152601199504114111</v>
      </c>
      <c r="D16060" t="s">
        <v>1</v>
      </c>
      <c r="E16060" t="s">
        <v>1</v>
      </c>
      <c r="F16060" t="s">
        <v>0</v>
      </c>
      <c r="G16060" t="str">
        <f>"2018-10-12 11:45:42"</f>
        <v>2018-10-12 11:45:42</v>
      </c>
    </row>
    <row r="16061" spans="1:7" x14ac:dyDescent="0.2">
      <c r="A16061" t="s">
        <v>15491</v>
      </c>
      <c r="B16061" t="str">
        <f>"18893124364"</f>
        <v>18893124364</v>
      </c>
      <c r="C16061" t="str">
        <f>"620121199206224610"</f>
        <v>620121199206224610</v>
      </c>
      <c r="D16061" t="s">
        <v>15492</v>
      </c>
      <c r="E16061" t="s">
        <v>15493</v>
      </c>
      <c r="F16061" t="s">
        <v>0</v>
      </c>
      <c r="G16061" t="str">
        <f>"2018-10-12 11:45:38"</f>
        <v>2018-10-12 11:45:38</v>
      </c>
    </row>
    <row r="16062" spans="1:7" x14ac:dyDescent="0.2">
      <c r="A16062" t="s">
        <v>1</v>
      </c>
      <c r="B16062" t="str">
        <f>"15982454401"</f>
        <v>15982454401</v>
      </c>
      <c r="C16062" t="s">
        <v>1</v>
      </c>
      <c r="D16062" t="s">
        <v>1</v>
      </c>
      <c r="E16062" t="s">
        <v>1</v>
      </c>
      <c r="F16062" t="s">
        <v>0</v>
      </c>
      <c r="G16062" t="str">
        <f>"2018-10-12 11:44:37"</f>
        <v>2018-10-12 11:44:37</v>
      </c>
    </row>
    <row r="16063" spans="1:7" x14ac:dyDescent="0.2">
      <c r="A16063" t="s">
        <v>15494</v>
      </c>
      <c r="B16063" t="str">
        <f>"13233185489"</f>
        <v>13233185489</v>
      </c>
      <c r="C16063" t="str">
        <f>"140202198609051512"</f>
        <v>140202198609051512</v>
      </c>
      <c r="D16063" t="s">
        <v>1</v>
      </c>
      <c r="E16063" t="s">
        <v>1</v>
      </c>
      <c r="F16063" t="s">
        <v>0</v>
      </c>
      <c r="G16063" t="str">
        <f>"2018-10-20 13:05:30"</f>
        <v>2018-10-20 13:05:30</v>
      </c>
    </row>
    <row r="16064" spans="1:7" x14ac:dyDescent="0.2">
      <c r="A16064" t="s">
        <v>15495</v>
      </c>
      <c r="B16064" t="str">
        <f>"17689259062"</f>
        <v>17689259062</v>
      </c>
      <c r="C16064" t="str">
        <f>"431126199702205010"</f>
        <v>431126199702205010</v>
      </c>
      <c r="D16064" t="s">
        <v>1</v>
      </c>
      <c r="E16064" t="s">
        <v>1</v>
      </c>
      <c r="F16064" t="s">
        <v>0</v>
      </c>
      <c r="G16064" t="str">
        <f>"2018-10-12 11:48:56"</f>
        <v>2018-10-12 11:48:56</v>
      </c>
    </row>
    <row r="16065" spans="1:7" x14ac:dyDescent="0.2">
      <c r="A16065" t="s">
        <v>15496</v>
      </c>
      <c r="B16065" t="str">
        <f>"18160582490"</f>
        <v>18160582490</v>
      </c>
      <c r="C16065" t="str">
        <f>"511323199207241171"</f>
        <v>511323199207241171</v>
      </c>
      <c r="D16065" t="s">
        <v>1</v>
      </c>
      <c r="E16065" t="s">
        <v>1</v>
      </c>
      <c r="F16065" t="s">
        <v>0</v>
      </c>
      <c r="G16065" t="str">
        <f>"2018-10-12 11:45:46"</f>
        <v>2018-10-12 11:45:46</v>
      </c>
    </row>
    <row r="16066" spans="1:7" x14ac:dyDescent="0.2">
      <c r="A16066" t="s">
        <v>15497</v>
      </c>
      <c r="B16066" t="str">
        <f>"18162978797"</f>
        <v>18162978797</v>
      </c>
      <c r="C16066" t="str">
        <f>"420525198608120035"</f>
        <v>420525198608120035</v>
      </c>
      <c r="D16066" t="s">
        <v>15498</v>
      </c>
      <c r="E16066" t="s">
        <v>15499</v>
      </c>
      <c r="F16066" t="s">
        <v>0</v>
      </c>
      <c r="G16066" t="str">
        <f>"2018-10-12 11:45:41"</f>
        <v>2018-10-12 11:45:41</v>
      </c>
    </row>
    <row r="16067" spans="1:7" x14ac:dyDescent="0.2">
      <c r="A16067" t="s">
        <v>12172</v>
      </c>
      <c r="B16067" t="str">
        <f>"15009368378"</f>
        <v>15009368378</v>
      </c>
      <c r="C16067" t="str">
        <f>"622201199411156639"</f>
        <v>622201199411156639</v>
      </c>
      <c r="D16067" t="s">
        <v>1</v>
      </c>
      <c r="E16067" t="s">
        <v>1</v>
      </c>
      <c r="F16067" t="s">
        <v>0</v>
      </c>
      <c r="G16067" t="str">
        <f>"2018-10-12 11:43:31"</f>
        <v>2018-10-12 11:43:31</v>
      </c>
    </row>
    <row r="16068" spans="1:7" x14ac:dyDescent="0.2">
      <c r="A16068" t="s">
        <v>15500</v>
      </c>
      <c r="B16068" t="str">
        <f>"13687069678"</f>
        <v>13687069678</v>
      </c>
      <c r="C16068" t="str">
        <f>"36242719821017671X"</f>
        <v>36242719821017671X</v>
      </c>
      <c r="D16068" t="s">
        <v>1</v>
      </c>
      <c r="E16068" t="s">
        <v>1</v>
      </c>
      <c r="F16068" t="s">
        <v>0</v>
      </c>
      <c r="G16068" t="str">
        <f>"2018-10-12 11:46:04"</f>
        <v>2018-10-12 11:46:04</v>
      </c>
    </row>
    <row r="16069" spans="1:7" x14ac:dyDescent="0.2">
      <c r="A16069" t="s">
        <v>419</v>
      </c>
      <c r="B16069" t="str">
        <f>"18179309361"</f>
        <v>18179309361</v>
      </c>
      <c r="C16069" t="str">
        <f>"362330199807173113"</f>
        <v>362330199807173113</v>
      </c>
      <c r="D16069" t="s">
        <v>1</v>
      </c>
      <c r="E16069" t="s">
        <v>1</v>
      </c>
      <c r="F16069" t="s">
        <v>0</v>
      </c>
      <c r="G16069" t="str">
        <f>"2018-10-15 09:31:24"</f>
        <v>2018-10-15 09:31:24</v>
      </c>
    </row>
    <row r="16070" spans="1:7" x14ac:dyDescent="0.2">
      <c r="A16070" t="s">
        <v>1</v>
      </c>
      <c r="B16070" t="str">
        <f>"13885730347"</f>
        <v>13885730347</v>
      </c>
      <c r="C16070" t="s">
        <v>1</v>
      </c>
      <c r="D16070" t="s">
        <v>1</v>
      </c>
      <c r="E16070" t="s">
        <v>1</v>
      </c>
      <c r="F16070" t="s">
        <v>0</v>
      </c>
      <c r="G16070" t="str">
        <f>"2018-10-12 11:42:13"</f>
        <v>2018-10-12 11:42:13</v>
      </c>
    </row>
    <row r="16071" spans="1:7" x14ac:dyDescent="0.2">
      <c r="A16071" t="s">
        <v>1</v>
      </c>
      <c r="B16071" t="str">
        <f>"13959704110"</f>
        <v>13959704110</v>
      </c>
      <c r="C16071" t="s">
        <v>1</v>
      </c>
      <c r="D16071" t="s">
        <v>1</v>
      </c>
      <c r="E16071" t="s">
        <v>1</v>
      </c>
      <c r="F16071" t="s">
        <v>0</v>
      </c>
      <c r="G16071" t="str">
        <f>"2018-10-18 13:27:48"</f>
        <v>2018-10-18 13:27:48</v>
      </c>
    </row>
    <row r="16072" spans="1:7" x14ac:dyDescent="0.2">
      <c r="A16072" t="s">
        <v>15501</v>
      </c>
      <c r="B16072" t="str">
        <f>"15272975200"</f>
        <v>15272975200</v>
      </c>
      <c r="C16072" t="str">
        <f>"42282319950108023X"</f>
        <v>42282319950108023X</v>
      </c>
      <c r="D16072" t="s">
        <v>15502</v>
      </c>
      <c r="E16072" t="s">
        <v>15503</v>
      </c>
      <c r="F16072" t="s">
        <v>0</v>
      </c>
      <c r="G16072" t="str">
        <f>"2018-10-12 13:20:57"</f>
        <v>2018-10-12 13:20:57</v>
      </c>
    </row>
    <row r="16073" spans="1:7" x14ac:dyDescent="0.2">
      <c r="A16073" t="s">
        <v>2768</v>
      </c>
      <c r="B16073" t="str">
        <f>"13264617000"</f>
        <v>13264617000</v>
      </c>
      <c r="C16073" t="str">
        <f>"421002199109021837"</f>
        <v>421002199109021837</v>
      </c>
      <c r="D16073" t="s">
        <v>1</v>
      </c>
      <c r="E16073" t="s">
        <v>1</v>
      </c>
      <c r="F16073" t="s">
        <v>0</v>
      </c>
      <c r="G16073" t="str">
        <f>"2018-11-03 20:27:54"</f>
        <v>2018-11-03 20:27:54</v>
      </c>
    </row>
    <row r="16074" spans="1:7" x14ac:dyDescent="0.2">
      <c r="A16074" t="s">
        <v>15504</v>
      </c>
      <c r="B16074" t="str">
        <f>"15208231755"</f>
        <v>15208231755</v>
      </c>
      <c r="C16074" t="str">
        <f>"510824199007130533"</f>
        <v>510824199007130533</v>
      </c>
      <c r="D16074" t="s">
        <v>1</v>
      </c>
      <c r="E16074" t="s">
        <v>1</v>
      </c>
      <c r="F16074" t="s">
        <v>0</v>
      </c>
      <c r="G16074" t="str">
        <f>"2018-10-12 12:13:52"</f>
        <v>2018-10-12 12:13:52</v>
      </c>
    </row>
    <row r="16075" spans="1:7" x14ac:dyDescent="0.2">
      <c r="A16075" t="s">
        <v>1090</v>
      </c>
      <c r="B16075" t="str">
        <f>"13897255374"</f>
        <v>13897255374</v>
      </c>
      <c r="C16075" t="str">
        <f>"630104199001093018"</f>
        <v>630104199001093018</v>
      </c>
      <c r="D16075" t="s">
        <v>15505</v>
      </c>
      <c r="E16075" t="s">
        <v>15506</v>
      </c>
      <c r="F16075" t="s">
        <v>0</v>
      </c>
      <c r="G16075" t="str">
        <f>"2018-10-12 11:42:35"</f>
        <v>2018-10-12 11:42:35</v>
      </c>
    </row>
    <row r="16076" spans="1:7" x14ac:dyDescent="0.2">
      <c r="A16076" t="s">
        <v>1</v>
      </c>
      <c r="B16076" t="str">
        <f>"18512370004"</f>
        <v>18512370004</v>
      </c>
      <c r="C16076" t="s">
        <v>1</v>
      </c>
      <c r="D16076" t="s">
        <v>1</v>
      </c>
      <c r="E16076" t="s">
        <v>1</v>
      </c>
      <c r="F16076" t="s">
        <v>0</v>
      </c>
      <c r="G16076" t="str">
        <f>"2018-10-12 11:40:22"</f>
        <v>2018-10-12 11:40:22</v>
      </c>
    </row>
    <row r="16077" spans="1:7" x14ac:dyDescent="0.2">
      <c r="A16077" t="s">
        <v>15507</v>
      </c>
      <c r="B16077" t="str">
        <f>"18502318826"</f>
        <v>18502318826</v>
      </c>
      <c r="C16077" t="str">
        <f>"500234199512077997"</f>
        <v>500234199512077997</v>
      </c>
      <c r="D16077" t="s">
        <v>15508</v>
      </c>
      <c r="E16077" t="s">
        <v>15509</v>
      </c>
      <c r="F16077" t="s">
        <v>0</v>
      </c>
      <c r="G16077" t="str">
        <f>"2018-10-12 11:41:38"</f>
        <v>2018-10-12 11:41:38</v>
      </c>
    </row>
    <row r="16078" spans="1:7" x14ac:dyDescent="0.2">
      <c r="A16078" t="s">
        <v>15510</v>
      </c>
      <c r="B16078" t="str">
        <f>"13387712119"</f>
        <v>13387712119</v>
      </c>
      <c r="C16078" t="str">
        <f>"450322198210072016"</f>
        <v>450322198210072016</v>
      </c>
      <c r="D16078" t="s">
        <v>1</v>
      </c>
      <c r="E16078" t="s">
        <v>1</v>
      </c>
      <c r="F16078" t="s">
        <v>0</v>
      </c>
      <c r="G16078" t="str">
        <f>"2018-10-12 12:06:40"</f>
        <v>2018-10-12 12:06:40</v>
      </c>
    </row>
    <row r="16079" spans="1:7" x14ac:dyDescent="0.2">
      <c r="A16079" t="s">
        <v>126</v>
      </c>
      <c r="B16079" t="str">
        <f>"18632474973"</f>
        <v>18632474973</v>
      </c>
      <c r="C16079" t="str">
        <f>"130828200009165713"</f>
        <v>130828200009165713</v>
      </c>
      <c r="D16079" t="s">
        <v>1</v>
      </c>
      <c r="E16079" t="s">
        <v>1</v>
      </c>
      <c r="F16079" t="s">
        <v>0</v>
      </c>
      <c r="G16079" t="str">
        <f>"2018-10-12 11:41:41"</f>
        <v>2018-10-12 11:41:41</v>
      </c>
    </row>
    <row r="16080" spans="1:7" x14ac:dyDescent="0.2">
      <c r="A16080" t="s">
        <v>1</v>
      </c>
      <c r="B16080" t="str">
        <f>"13724985640"</f>
        <v>13724985640</v>
      </c>
      <c r="C16080" t="s">
        <v>1</v>
      </c>
      <c r="D16080" t="s">
        <v>1</v>
      </c>
      <c r="E16080" t="s">
        <v>1</v>
      </c>
      <c r="F16080" t="s">
        <v>0</v>
      </c>
      <c r="G16080" t="str">
        <f>"2018-10-12 11:39:55"</f>
        <v>2018-10-12 11:39:55</v>
      </c>
    </row>
    <row r="16081" spans="1:7" x14ac:dyDescent="0.2">
      <c r="A16081" t="s">
        <v>15511</v>
      </c>
      <c r="B16081" t="str">
        <f>"18038385109"</f>
        <v>18038385109</v>
      </c>
      <c r="C16081" t="str">
        <f>"612423198803030421"</f>
        <v>612423198803030421</v>
      </c>
      <c r="D16081" t="s">
        <v>1</v>
      </c>
      <c r="E16081" t="s">
        <v>1</v>
      </c>
      <c r="F16081" t="s">
        <v>0</v>
      </c>
      <c r="G16081" t="str">
        <f>"2018-10-13 08:46:55"</f>
        <v>2018-10-13 08:46:55</v>
      </c>
    </row>
    <row r="16082" spans="1:7" x14ac:dyDescent="0.2">
      <c r="A16082" t="s">
        <v>15512</v>
      </c>
      <c r="B16082" t="str">
        <f>"18727472711"</f>
        <v>18727472711</v>
      </c>
      <c r="C16082" t="str">
        <f>"420984199411211730"</f>
        <v>420984199411211730</v>
      </c>
      <c r="D16082" t="s">
        <v>15513</v>
      </c>
      <c r="E16082" t="s">
        <v>15514</v>
      </c>
      <c r="F16082" t="s">
        <v>0</v>
      </c>
      <c r="G16082" t="str">
        <f>"2018-10-18 15:20:16"</f>
        <v>2018-10-18 15:20:16</v>
      </c>
    </row>
    <row r="16083" spans="1:7" x14ac:dyDescent="0.2">
      <c r="A16083" t="s">
        <v>15515</v>
      </c>
      <c r="B16083" t="str">
        <f>"18679922229"</f>
        <v>18679922229</v>
      </c>
      <c r="C16083" t="str">
        <f>"360311199506062013"</f>
        <v>360311199506062013</v>
      </c>
      <c r="D16083" t="s">
        <v>1</v>
      </c>
      <c r="E16083" t="s">
        <v>1</v>
      </c>
      <c r="F16083" t="s">
        <v>0</v>
      </c>
      <c r="G16083" t="str">
        <f>"2018-10-12 11:47:11"</f>
        <v>2018-10-12 11:47:11</v>
      </c>
    </row>
    <row r="16084" spans="1:7" x14ac:dyDescent="0.2">
      <c r="A16084" t="s">
        <v>15516</v>
      </c>
      <c r="B16084" t="str">
        <f>"18213420225"</f>
        <v>18213420225</v>
      </c>
      <c r="C16084" t="str">
        <f>"532231199607280929"</f>
        <v>532231199607280929</v>
      </c>
      <c r="D16084" t="s">
        <v>15517</v>
      </c>
      <c r="E16084" t="s">
        <v>15518</v>
      </c>
      <c r="F16084" t="s">
        <v>0</v>
      </c>
      <c r="G16084" t="str">
        <f>"2018-10-12 11:37:12"</f>
        <v>2018-10-12 11:37:12</v>
      </c>
    </row>
    <row r="16085" spans="1:7" x14ac:dyDescent="0.2">
      <c r="A16085" t="s">
        <v>28</v>
      </c>
      <c r="B16085" t="str">
        <f>"13936839022"</f>
        <v>13936839022</v>
      </c>
      <c r="C16085" t="str">
        <f>"230204198607190927"</f>
        <v>230204198607190927</v>
      </c>
      <c r="D16085" t="s">
        <v>15519</v>
      </c>
      <c r="E16085" t="s">
        <v>15520</v>
      </c>
      <c r="F16085" t="s">
        <v>0</v>
      </c>
      <c r="G16085" t="str">
        <f>"2018-10-12 11:39:09"</f>
        <v>2018-10-12 11:39:09</v>
      </c>
    </row>
    <row r="16086" spans="1:7" x14ac:dyDescent="0.2">
      <c r="A16086" t="s">
        <v>1</v>
      </c>
      <c r="B16086" t="str">
        <f>"17156996419"</f>
        <v>17156996419</v>
      </c>
      <c r="C16086" t="s">
        <v>1</v>
      </c>
      <c r="D16086" t="s">
        <v>1</v>
      </c>
      <c r="E16086" t="s">
        <v>1</v>
      </c>
      <c r="F16086" t="s">
        <v>0</v>
      </c>
      <c r="G16086" t="str">
        <f>"2018-10-12 11:36:59"</f>
        <v>2018-10-12 11:36:59</v>
      </c>
    </row>
    <row r="16087" spans="1:7" x14ac:dyDescent="0.2">
      <c r="A16087" t="s">
        <v>15521</v>
      </c>
      <c r="B16087" t="str">
        <f>"13127102297"</f>
        <v>13127102297</v>
      </c>
      <c r="C16087" t="str">
        <f>"220202199109236021"</f>
        <v>220202199109236021</v>
      </c>
      <c r="D16087" t="s">
        <v>1</v>
      </c>
      <c r="E16087" t="s">
        <v>1</v>
      </c>
      <c r="F16087" t="s">
        <v>0</v>
      </c>
      <c r="G16087" t="str">
        <f>"2018-10-12 11:37:29"</f>
        <v>2018-10-12 11:37:29</v>
      </c>
    </row>
    <row r="16088" spans="1:7" x14ac:dyDescent="0.2">
      <c r="A16088" t="s">
        <v>15522</v>
      </c>
      <c r="B16088" t="str">
        <f>"18953205132"</f>
        <v>18953205132</v>
      </c>
      <c r="C16088" t="str">
        <f>"37028319860520261X"</f>
        <v>37028319860520261X</v>
      </c>
      <c r="D16088" t="s">
        <v>15523</v>
      </c>
      <c r="E16088" t="s">
        <v>15524</v>
      </c>
      <c r="F16088" t="s">
        <v>0</v>
      </c>
      <c r="G16088" t="str">
        <f>"2018-10-12 15:04:49"</f>
        <v>2018-10-12 15:04:49</v>
      </c>
    </row>
    <row r="16089" spans="1:7" x14ac:dyDescent="0.2">
      <c r="A16089" t="s">
        <v>15525</v>
      </c>
      <c r="B16089" t="str">
        <f>"13809545621"</f>
        <v>13809545621</v>
      </c>
      <c r="C16089" t="str">
        <f>"350111198209244729"</f>
        <v>350111198209244729</v>
      </c>
      <c r="D16089" t="s">
        <v>1</v>
      </c>
      <c r="E16089" t="s">
        <v>1</v>
      </c>
      <c r="F16089" t="s">
        <v>0</v>
      </c>
      <c r="G16089" t="str">
        <f>"2018-10-12 11:40:08"</f>
        <v>2018-10-12 11:40:08</v>
      </c>
    </row>
    <row r="16090" spans="1:7" x14ac:dyDescent="0.2">
      <c r="A16090" t="s">
        <v>612</v>
      </c>
      <c r="B16090" t="str">
        <f>"13485696339"</f>
        <v>13485696339</v>
      </c>
      <c r="C16090" t="str">
        <f>"340102198807211013"</f>
        <v>340102198807211013</v>
      </c>
      <c r="D16090" t="s">
        <v>1</v>
      </c>
      <c r="E16090" t="s">
        <v>1</v>
      </c>
      <c r="F16090" t="s">
        <v>0</v>
      </c>
      <c r="G16090" t="str">
        <f>"2018-10-12 12:17:46"</f>
        <v>2018-10-12 12:17:46</v>
      </c>
    </row>
    <row r="16091" spans="1:7" x14ac:dyDescent="0.2">
      <c r="A16091" t="s">
        <v>15526</v>
      </c>
      <c r="B16091" t="str">
        <f>"18734457711"</f>
        <v>18734457711</v>
      </c>
      <c r="C16091" t="str">
        <f>"142402198604010028"</f>
        <v>142402198604010028</v>
      </c>
      <c r="D16091" t="s">
        <v>1</v>
      </c>
      <c r="E16091" t="s">
        <v>1</v>
      </c>
      <c r="F16091" t="s">
        <v>0</v>
      </c>
      <c r="G16091" t="str">
        <f>"2018-10-12 11:38:17"</f>
        <v>2018-10-12 11:38:17</v>
      </c>
    </row>
    <row r="16092" spans="1:7" x14ac:dyDescent="0.2">
      <c r="A16092" t="s">
        <v>15527</v>
      </c>
      <c r="B16092" t="str">
        <f>"13428999704"</f>
        <v>13428999704</v>
      </c>
      <c r="C16092" t="str">
        <f>"441622199304255462"</f>
        <v>441622199304255462</v>
      </c>
      <c r="D16092" t="s">
        <v>15528</v>
      </c>
      <c r="E16092" t="s">
        <v>15529</v>
      </c>
      <c r="F16092" t="s">
        <v>0</v>
      </c>
      <c r="G16092" t="str">
        <f>"2018-10-12 11:45:10"</f>
        <v>2018-10-12 11:45:10</v>
      </c>
    </row>
    <row r="16093" spans="1:7" x14ac:dyDescent="0.2">
      <c r="A16093" t="s">
        <v>15530</v>
      </c>
      <c r="B16093" t="str">
        <f>"17311759119"</f>
        <v>17311759119</v>
      </c>
      <c r="C16093" t="str">
        <f>"513425199708227829"</f>
        <v>513425199708227829</v>
      </c>
      <c r="D16093" t="s">
        <v>1</v>
      </c>
      <c r="E16093" t="s">
        <v>1</v>
      </c>
      <c r="F16093" t="s">
        <v>0</v>
      </c>
      <c r="G16093" t="str">
        <f>"2018-10-12 11:35:38"</f>
        <v>2018-10-12 11:35:38</v>
      </c>
    </row>
    <row r="16094" spans="1:7" x14ac:dyDescent="0.2">
      <c r="A16094" t="s">
        <v>15531</v>
      </c>
      <c r="B16094" t="str">
        <f>"13781008579"</f>
        <v>13781008579</v>
      </c>
      <c r="C16094" t="str">
        <f>"411222199708020515"</f>
        <v>411222199708020515</v>
      </c>
      <c r="D16094" t="s">
        <v>15532</v>
      </c>
      <c r="E16094" t="s">
        <v>15533</v>
      </c>
      <c r="F16094" t="s">
        <v>0</v>
      </c>
      <c r="G16094" t="str">
        <f>"2018-10-12 11:35:37"</f>
        <v>2018-10-12 11:35:37</v>
      </c>
    </row>
    <row r="16095" spans="1:7" x14ac:dyDescent="0.2">
      <c r="A16095" t="s">
        <v>1</v>
      </c>
      <c r="B16095" t="str">
        <f>"15070746409"</f>
        <v>15070746409</v>
      </c>
      <c r="C16095" t="s">
        <v>1</v>
      </c>
      <c r="D16095" t="s">
        <v>1</v>
      </c>
      <c r="E16095" t="s">
        <v>1</v>
      </c>
      <c r="F16095" t="s">
        <v>0</v>
      </c>
      <c r="G16095" t="str">
        <f>"2018-10-12 11:33:52"</f>
        <v>2018-10-12 11:33:52</v>
      </c>
    </row>
    <row r="16096" spans="1:7" x14ac:dyDescent="0.2">
      <c r="A16096" t="s">
        <v>15534</v>
      </c>
      <c r="B16096" t="str">
        <f>"13954785475"</f>
        <v>13954785475</v>
      </c>
      <c r="C16096" t="str">
        <f>"370830197809146133"</f>
        <v>370830197809146133</v>
      </c>
      <c r="D16096" t="s">
        <v>1</v>
      </c>
      <c r="E16096" t="s">
        <v>1</v>
      </c>
      <c r="F16096" t="s">
        <v>0</v>
      </c>
      <c r="G16096" t="str">
        <f>"2018-10-12 11:35:15"</f>
        <v>2018-10-12 11:35:15</v>
      </c>
    </row>
    <row r="16097" spans="1:7" x14ac:dyDescent="0.2">
      <c r="A16097" t="s">
        <v>15535</v>
      </c>
      <c r="B16097" t="str">
        <f>"15019296583"</f>
        <v>15019296583</v>
      </c>
      <c r="C16097" t="str">
        <f>"511602199310035901"</f>
        <v>511602199310035901</v>
      </c>
      <c r="D16097" t="s">
        <v>1</v>
      </c>
      <c r="E16097" t="s">
        <v>1</v>
      </c>
      <c r="F16097" t="s">
        <v>0</v>
      </c>
      <c r="G16097" t="str">
        <f>"2018-10-12 11:36:29"</f>
        <v>2018-10-12 11:36:29</v>
      </c>
    </row>
    <row r="16098" spans="1:7" x14ac:dyDescent="0.2">
      <c r="A16098" t="s">
        <v>1</v>
      </c>
      <c r="B16098" t="str">
        <f>"13557089178"</f>
        <v>13557089178</v>
      </c>
      <c r="C16098" t="s">
        <v>1</v>
      </c>
      <c r="D16098" t="s">
        <v>1</v>
      </c>
      <c r="E16098" t="s">
        <v>1</v>
      </c>
      <c r="F16098" t="s">
        <v>0</v>
      </c>
      <c r="G16098" t="str">
        <f>"2018-10-12 11:44:51"</f>
        <v>2018-10-12 11:44:51</v>
      </c>
    </row>
    <row r="16099" spans="1:7" x14ac:dyDescent="0.2">
      <c r="A16099" t="s">
        <v>15536</v>
      </c>
      <c r="B16099" t="str">
        <f>"18040455288"</f>
        <v>18040455288</v>
      </c>
      <c r="C16099" t="str">
        <f>"511525199104120012"</f>
        <v>511525199104120012</v>
      </c>
      <c r="D16099" t="s">
        <v>1</v>
      </c>
      <c r="E16099" t="s">
        <v>1</v>
      </c>
      <c r="F16099" t="s">
        <v>0</v>
      </c>
      <c r="G16099" t="str">
        <f>"2018-10-12 12:55:05"</f>
        <v>2018-10-12 12:55:05</v>
      </c>
    </row>
    <row r="16100" spans="1:7" x14ac:dyDescent="0.2">
      <c r="A16100" t="s">
        <v>9082</v>
      </c>
      <c r="B16100" t="str">
        <f>"15259624449"</f>
        <v>15259624449</v>
      </c>
      <c r="C16100" t="str">
        <f>"350623199609105418"</f>
        <v>350623199609105418</v>
      </c>
      <c r="D16100" t="s">
        <v>1</v>
      </c>
      <c r="E16100" t="s">
        <v>1</v>
      </c>
      <c r="F16100" t="s">
        <v>0</v>
      </c>
      <c r="G16100" t="str">
        <f>"2018-10-12 16:21:25"</f>
        <v>2018-10-12 16:21:25</v>
      </c>
    </row>
    <row r="16101" spans="1:7" x14ac:dyDescent="0.2">
      <c r="A16101" t="s">
        <v>15537</v>
      </c>
      <c r="B16101" t="str">
        <f>"13557987270"</f>
        <v>13557987270</v>
      </c>
      <c r="C16101" t="str">
        <f>"450122198905264515"</f>
        <v>450122198905264515</v>
      </c>
      <c r="D16101" t="s">
        <v>1</v>
      </c>
      <c r="E16101" t="s">
        <v>1</v>
      </c>
      <c r="F16101" t="s">
        <v>0</v>
      </c>
      <c r="G16101" t="str">
        <f>"2018-10-12 11:33:25"</f>
        <v>2018-10-12 11:33:25</v>
      </c>
    </row>
    <row r="16102" spans="1:7" x14ac:dyDescent="0.2">
      <c r="A16102" t="s">
        <v>366</v>
      </c>
      <c r="B16102" t="str">
        <f>"13395436031"</f>
        <v>13395436031</v>
      </c>
      <c r="C16102" t="str">
        <f>"372328198602111213"</f>
        <v>372328198602111213</v>
      </c>
      <c r="D16102" t="s">
        <v>15538</v>
      </c>
      <c r="E16102" t="s">
        <v>15539</v>
      </c>
      <c r="F16102" t="s">
        <v>0</v>
      </c>
      <c r="G16102" t="str">
        <f>"2018-10-12 12:26:14"</f>
        <v>2018-10-12 12:26:14</v>
      </c>
    </row>
    <row r="16103" spans="1:7" x14ac:dyDescent="0.2">
      <c r="A16103" t="s">
        <v>381</v>
      </c>
      <c r="B16103" t="str">
        <f>"13985797606"</f>
        <v>13985797606</v>
      </c>
      <c r="C16103" t="str">
        <f>"522724198504295690"</f>
        <v>522724198504295690</v>
      </c>
      <c r="D16103" t="s">
        <v>1</v>
      </c>
      <c r="E16103" t="s">
        <v>1</v>
      </c>
      <c r="F16103" t="s">
        <v>0</v>
      </c>
      <c r="G16103" t="str">
        <f>"2018-10-15 09:19:17"</f>
        <v>2018-10-15 09:19:17</v>
      </c>
    </row>
    <row r="16104" spans="1:7" x14ac:dyDescent="0.2">
      <c r="A16104" t="s">
        <v>8005</v>
      </c>
      <c r="B16104" t="str">
        <f>"13936326945"</f>
        <v>13936326945</v>
      </c>
      <c r="C16104" t="str">
        <f>"230921198708070128"</f>
        <v>230921198708070128</v>
      </c>
      <c r="D16104" t="s">
        <v>1</v>
      </c>
      <c r="E16104" t="s">
        <v>1</v>
      </c>
      <c r="F16104" t="s">
        <v>0</v>
      </c>
      <c r="G16104" t="str">
        <f>"2018-10-12 11:49:05"</f>
        <v>2018-10-12 11:49:05</v>
      </c>
    </row>
    <row r="16105" spans="1:7" x14ac:dyDescent="0.2">
      <c r="A16105" t="s">
        <v>1</v>
      </c>
      <c r="B16105" t="str">
        <f>"15669503512"</f>
        <v>15669503512</v>
      </c>
      <c r="C16105" t="s">
        <v>1</v>
      </c>
      <c r="D16105" t="s">
        <v>1</v>
      </c>
      <c r="E16105" t="s">
        <v>1</v>
      </c>
      <c r="F16105" t="s">
        <v>0</v>
      </c>
      <c r="G16105" t="str">
        <f>"2018-10-12 11:30:40"</f>
        <v>2018-10-12 11:30:40</v>
      </c>
    </row>
    <row r="16106" spans="1:7" x14ac:dyDescent="0.2">
      <c r="A16106" t="s">
        <v>15540</v>
      </c>
      <c r="B16106" t="str">
        <f>"18268887707"</f>
        <v>18268887707</v>
      </c>
      <c r="C16106" t="str">
        <f>"339005198407103013"</f>
        <v>339005198407103013</v>
      </c>
      <c r="D16106" t="s">
        <v>15541</v>
      </c>
      <c r="E16106" t="s">
        <v>15542</v>
      </c>
      <c r="F16106" t="s">
        <v>0</v>
      </c>
      <c r="G16106" t="str">
        <f>"2018-10-19 10:13:04"</f>
        <v>2018-10-19 10:13:04</v>
      </c>
    </row>
    <row r="16107" spans="1:7" x14ac:dyDescent="0.2">
      <c r="A16107" t="s">
        <v>1</v>
      </c>
      <c r="B16107" t="str">
        <f>"13679092373"</f>
        <v>13679092373</v>
      </c>
      <c r="C16107" t="s">
        <v>1</v>
      </c>
      <c r="D16107" t="s">
        <v>1</v>
      </c>
      <c r="E16107" t="s">
        <v>1</v>
      </c>
      <c r="F16107" t="s">
        <v>0</v>
      </c>
      <c r="G16107" t="str">
        <f>"2018-10-12 11:28:40"</f>
        <v>2018-10-12 11:28:40</v>
      </c>
    </row>
    <row r="16108" spans="1:7" x14ac:dyDescent="0.2">
      <c r="A16108" t="s">
        <v>15543</v>
      </c>
      <c r="B16108" t="str">
        <f>"17625126700"</f>
        <v>17625126700</v>
      </c>
      <c r="C16108" t="str">
        <f>"321284199908152018"</f>
        <v>321284199908152018</v>
      </c>
      <c r="D16108" t="s">
        <v>15544</v>
      </c>
      <c r="E16108" t="s">
        <v>15545</v>
      </c>
      <c r="F16108" t="s">
        <v>0</v>
      </c>
      <c r="G16108" t="str">
        <f>"2018-10-12 11:31:32"</f>
        <v>2018-10-12 11:31:32</v>
      </c>
    </row>
    <row r="16109" spans="1:7" x14ac:dyDescent="0.2">
      <c r="A16109" t="s">
        <v>1</v>
      </c>
      <c r="B16109" t="str">
        <f>"13607728658"</f>
        <v>13607728658</v>
      </c>
      <c r="C16109" t="s">
        <v>1</v>
      </c>
      <c r="D16109" t="s">
        <v>1</v>
      </c>
      <c r="E16109" t="s">
        <v>1</v>
      </c>
      <c r="F16109" t="s">
        <v>0</v>
      </c>
      <c r="G16109" t="str">
        <f>"2018-10-12 11:27:25"</f>
        <v>2018-10-12 11:27:25</v>
      </c>
    </row>
    <row r="16110" spans="1:7" x14ac:dyDescent="0.2">
      <c r="A16110" t="s">
        <v>15546</v>
      </c>
      <c r="B16110" t="str">
        <f>"15261688647"</f>
        <v>15261688647</v>
      </c>
      <c r="C16110" t="str">
        <f>"320921198101255056"</f>
        <v>320921198101255056</v>
      </c>
      <c r="D16110" t="s">
        <v>1</v>
      </c>
      <c r="E16110" t="s">
        <v>1</v>
      </c>
      <c r="F16110" t="s">
        <v>0</v>
      </c>
      <c r="G16110" t="str">
        <f>"2018-10-12 11:31:44"</f>
        <v>2018-10-12 11:31:44</v>
      </c>
    </row>
    <row r="16111" spans="1:7" x14ac:dyDescent="0.2">
      <c r="A16111" t="s">
        <v>1269</v>
      </c>
      <c r="B16111" t="str">
        <f>"18798171739"</f>
        <v>18798171739</v>
      </c>
      <c r="C16111" t="str">
        <f>"522128198505011517"</f>
        <v>522128198505011517</v>
      </c>
      <c r="D16111" t="s">
        <v>15547</v>
      </c>
      <c r="E16111" t="s">
        <v>15548</v>
      </c>
      <c r="F16111" t="s">
        <v>0</v>
      </c>
      <c r="G16111" t="str">
        <f>"2018-10-12 17:20:12"</f>
        <v>2018-10-12 17:20:12</v>
      </c>
    </row>
    <row r="16112" spans="1:7" x14ac:dyDescent="0.2">
      <c r="A16112" t="s">
        <v>15549</v>
      </c>
      <c r="B16112" t="str">
        <f>"17701752264"</f>
        <v>17701752264</v>
      </c>
      <c r="C16112" t="str">
        <f>"321023199101031633"</f>
        <v>321023199101031633</v>
      </c>
      <c r="D16112" t="s">
        <v>1</v>
      </c>
      <c r="E16112" t="s">
        <v>1</v>
      </c>
      <c r="F16112" t="s">
        <v>0</v>
      </c>
      <c r="G16112" t="str">
        <f>"2018-10-12 11:28:22"</f>
        <v>2018-10-12 11:28:22</v>
      </c>
    </row>
    <row r="16113" spans="1:7" x14ac:dyDescent="0.2">
      <c r="A16113" t="s">
        <v>1</v>
      </c>
      <c r="B16113" t="str">
        <f>"15163555609"</f>
        <v>15163555609</v>
      </c>
      <c r="C16113" t="s">
        <v>1</v>
      </c>
      <c r="D16113" t="s">
        <v>1</v>
      </c>
      <c r="E16113" t="s">
        <v>1</v>
      </c>
      <c r="F16113" t="s">
        <v>0</v>
      </c>
      <c r="G16113" t="str">
        <f>"2018-10-12 11:27:00"</f>
        <v>2018-10-12 11:27:00</v>
      </c>
    </row>
    <row r="16114" spans="1:7" x14ac:dyDescent="0.2">
      <c r="A16114" t="s">
        <v>15550</v>
      </c>
      <c r="B16114" t="str">
        <f>"13509595683"</f>
        <v>13509595683</v>
      </c>
      <c r="C16114" t="str">
        <f>"352231197301012419"</f>
        <v>352231197301012419</v>
      </c>
      <c r="D16114" t="s">
        <v>1</v>
      </c>
      <c r="E16114" t="s">
        <v>1</v>
      </c>
      <c r="F16114" t="s">
        <v>0</v>
      </c>
      <c r="G16114" t="str">
        <f>"2018-10-12 11:27:04"</f>
        <v>2018-10-12 11:27:04</v>
      </c>
    </row>
    <row r="16115" spans="1:7" x14ac:dyDescent="0.2">
      <c r="A16115" t="s">
        <v>15551</v>
      </c>
      <c r="B16115" t="str">
        <f>"18653266112"</f>
        <v>18653266112</v>
      </c>
      <c r="C16115" t="str">
        <f>"370202199611255415"</f>
        <v>370202199611255415</v>
      </c>
      <c r="D16115" t="s">
        <v>1</v>
      </c>
      <c r="E16115" t="s">
        <v>1</v>
      </c>
      <c r="F16115" t="s">
        <v>0</v>
      </c>
      <c r="G16115" t="str">
        <f>"2018-10-12 12:14:04"</f>
        <v>2018-10-12 12:14:04</v>
      </c>
    </row>
    <row r="16116" spans="1:7" x14ac:dyDescent="0.2">
      <c r="A16116" t="s">
        <v>15552</v>
      </c>
      <c r="B16116" t="str">
        <f>"18655315858"</f>
        <v>18655315858</v>
      </c>
      <c r="C16116" t="str">
        <f>"340222198911140033"</f>
        <v>340222198911140033</v>
      </c>
      <c r="D16116" t="s">
        <v>1</v>
      </c>
      <c r="E16116" t="s">
        <v>1</v>
      </c>
      <c r="F16116" t="s">
        <v>0</v>
      </c>
      <c r="G16116" t="str">
        <f>"2018-10-12 11:54:18"</f>
        <v>2018-10-12 11:54:18</v>
      </c>
    </row>
    <row r="16117" spans="1:7" x14ac:dyDescent="0.2">
      <c r="A16117" t="s">
        <v>15553</v>
      </c>
      <c r="B16117" t="str">
        <f>"13578987179"</f>
        <v>13578987179</v>
      </c>
      <c r="C16117" t="str">
        <f>"220125197705104236"</f>
        <v>220125197705104236</v>
      </c>
      <c r="D16117" t="s">
        <v>1</v>
      </c>
      <c r="E16117" t="s">
        <v>1</v>
      </c>
      <c r="F16117" t="s">
        <v>0</v>
      </c>
      <c r="G16117" t="str">
        <f>"2018-10-12 11:25:06"</f>
        <v>2018-10-12 11:25:06</v>
      </c>
    </row>
    <row r="16118" spans="1:7" x14ac:dyDescent="0.2">
      <c r="A16118" t="s">
        <v>15554</v>
      </c>
      <c r="B16118" t="str">
        <f>"13947361761"</f>
        <v>13947361761</v>
      </c>
      <c r="C16118" t="str">
        <f>"15042819970818002X"</f>
        <v>15042819970818002X</v>
      </c>
      <c r="D16118" t="s">
        <v>1</v>
      </c>
      <c r="E16118" t="s">
        <v>1</v>
      </c>
      <c r="F16118" t="s">
        <v>0</v>
      </c>
      <c r="G16118" t="str">
        <f>"2018-10-12 22:32:43"</f>
        <v>2018-10-12 22:32:43</v>
      </c>
    </row>
    <row r="16119" spans="1:7" x14ac:dyDescent="0.2">
      <c r="A16119" t="s">
        <v>15555</v>
      </c>
      <c r="B16119" t="str">
        <f>"13682537409"</f>
        <v>13682537409</v>
      </c>
      <c r="C16119" t="str">
        <f>"432503199609025021"</f>
        <v>432503199609025021</v>
      </c>
      <c r="D16119" t="s">
        <v>1</v>
      </c>
      <c r="E16119" t="s">
        <v>1</v>
      </c>
      <c r="F16119" t="s">
        <v>0</v>
      </c>
      <c r="G16119" t="str">
        <f>"2018-10-12 11:24:04"</f>
        <v>2018-10-12 11:24:04</v>
      </c>
    </row>
    <row r="16120" spans="1:7" x14ac:dyDescent="0.2">
      <c r="A16120" t="s">
        <v>475</v>
      </c>
      <c r="B16120" t="str">
        <f>"15984536792"</f>
        <v>15984536792</v>
      </c>
      <c r="C16120" t="str">
        <f>"513101197206201016"</f>
        <v>513101197206201016</v>
      </c>
      <c r="D16120" t="s">
        <v>15556</v>
      </c>
      <c r="E16120" t="s">
        <v>15557</v>
      </c>
      <c r="F16120" t="s">
        <v>0</v>
      </c>
      <c r="G16120" t="str">
        <f>"2018-10-24 22:23:03"</f>
        <v>2018-10-24 22:23:03</v>
      </c>
    </row>
    <row r="16121" spans="1:7" x14ac:dyDescent="0.2">
      <c r="A16121" t="s">
        <v>1</v>
      </c>
      <c r="B16121" t="str">
        <f>"13585047511"</f>
        <v>13585047511</v>
      </c>
      <c r="C16121" t="s">
        <v>1</v>
      </c>
      <c r="D16121" t="s">
        <v>1</v>
      </c>
      <c r="E16121" t="s">
        <v>1</v>
      </c>
      <c r="F16121" t="s">
        <v>0</v>
      </c>
      <c r="G16121" t="str">
        <f>"2018-10-12 11:23:49"</f>
        <v>2018-10-12 11:23:49</v>
      </c>
    </row>
    <row r="16122" spans="1:7" x14ac:dyDescent="0.2">
      <c r="A16122" t="s">
        <v>1</v>
      </c>
      <c r="B16122" t="str">
        <f>"13465103330"</f>
        <v>13465103330</v>
      </c>
      <c r="C16122" t="s">
        <v>1</v>
      </c>
      <c r="D16122" t="s">
        <v>1</v>
      </c>
      <c r="E16122" t="s">
        <v>1</v>
      </c>
      <c r="F16122" t="s">
        <v>0</v>
      </c>
      <c r="G16122" t="str">
        <f>"2018-10-12 11:23:37"</f>
        <v>2018-10-12 11:23:37</v>
      </c>
    </row>
    <row r="16123" spans="1:7" x14ac:dyDescent="0.2">
      <c r="A16123" t="s">
        <v>1</v>
      </c>
      <c r="B16123" t="str">
        <f>"15902656866"</f>
        <v>15902656866</v>
      </c>
      <c r="C16123" t="s">
        <v>1</v>
      </c>
      <c r="D16123" t="s">
        <v>1</v>
      </c>
      <c r="E16123" t="s">
        <v>1</v>
      </c>
      <c r="F16123" t="s">
        <v>0</v>
      </c>
      <c r="G16123" t="str">
        <f>"2018-10-12 11:23:20"</f>
        <v>2018-10-12 11:23:20</v>
      </c>
    </row>
    <row r="16124" spans="1:7" x14ac:dyDescent="0.2">
      <c r="A16124" t="s">
        <v>15558</v>
      </c>
      <c r="B16124" t="str">
        <f>"18832290621"</f>
        <v>18832290621</v>
      </c>
      <c r="C16124" t="str">
        <f>"130681198910034338"</f>
        <v>130681198910034338</v>
      </c>
      <c r="D16124" t="s">
        <v>1</v>
      </c>
      <c r="E16124" t="s">
        <v>1</v>
      </c>
      <c r="F16124" t="s">
        <v>0</v>
      </c>
      <c r="G16124" t="str">
        <f>"2018-10-12 17:17:11"</f>
        <v>2018-10-12 17:17:11</v>
      </c>
    </row>
    <row r="16125" spans="1:7" x14ac:dyDescent="0.2">
      <c r="A16125" t="s">
        <v>15559</v>
      </c>
      <c r="B16125" t="str">
        <f>"13946061568"</f>
        <v>13946061568</v>
      </c>
      <c r="C16125" t="str">
        <f>"23010719730917301X"</f>
        <v>23010719730917301X</v>
      </c>
      <c r="D16125" t="s">
        <v>1</v>
      </c>
      <c r="E16125" t="s">
        <v>1</v>
      </c>
      <c r="F16125" t="s">
        <v>0</v>
      </c>
      <c r="G16125" t="str">
        <f>"2018-10-12 11:24:20"</f>
        <v>2018-10-12 11:24:20</v>
      </c>
    </row>
    <row r="16126" spans="1:7" x14ac:dyDescent="0.2">
      <c r="A16126" t="s">
        <v>15560</v>
      </c>
      <c r="B16126" t="str">
        <f>"18682692292"</f>
        <v>18682692292</v>
      </c>
      <c r="C16126" t="str">
        <f>"510623198909189014"</f>
        <v>510623198909189014</v>
      </c>
      <c r="D16126" t="s">
        <v>15561</v>
      </c>
      <c r="E16126" t="s">
        <v>15562</v>
      </c>
      <c r="F16126" t="s">
        <v>0</v>
      </c>
      <c r="G16126" t="str">
        <f>"2018-10-22 11:32:13"</f>
        <v>2018-10-22 11:32:13</v>
      </c>
    </row>
    <row r="16127" spans="1:7" x14ac:dyDescent="0.2">
      <c r="A16127" t="s">
        <v>15563</v>
      </c>
      <c r="B16127" t="str">
        <f>"18512825520"</f>
        <v>18512825520</v>
      </c>
      <c r="C16127" t="str">
        <f>"511521199512172510"</f>
        <v>511521199512172510</v>
      </c>
      <c r="D16127" t="s">
        <v>1</v>
      </c>
      <c r="E16127" t="s">
        <v>1</v>
      </c>
      <c r="F16127" t="s">
        <v>0</v>
      </c>
      <c r="G16127" t="str">
        <f>"2018-10-16 17:07:12"</f>
        <v>2018-10-16 17:07:12</v>
      </c>
    </row>
    <row r="16128" spans="1:7" x14ac:dyDescent="0.2">
      <c r="A16128" t="s">
        <v>15564</v>
      </c>
      <c r="B16128" t="str">
        <f>"13595399721"</f>
        <v>13595399721</v>
      </c>
      <c r="C16128" t="str">
        <f>"522530198705060018"</f>
        <v>522530198705060018</v>
      </c>
      <c r="D16128" t="s">
        <v>15565</v>
      </c>
      <c r="E16128" t="s">
        <v>15566</v>
      </c>
      <c r="F16128" t="s">
        <v>0</v>
      </c>
      <c r="G16128" t="str">
        <f>"2018-10-12 14:35:36"</f>
        <v>2018-10-12 14:35:36</v>
      </c>
    </row>
    <row r="16129" spans="1:7" x14ac:dyDescent="0.2">
      <c r="A16129" t="s">
        <v>15567</v>
      </c>
      <c r="B16129" t="str">
        <f>"18838411158"</f>
        <v>18838411158</v>
      </c>
      <c r="C16129" t="str">
        <f>"411721199509156437"</f>
        <v>411721199509156437</v>
      </c>
      <c r="D16129" t="s">
        <v>1</v>
      </c>
      <c r="E16129" t="s">
        <v>1</v>
      </c>
      <c r="F16129" t="s">
        <v>0</v>
      </c>
      <c r="G16129" t="str">
        <f>"2018-10-16 12:58:14"</f>
        <v>2018-10-16 12:58:14</v>
      </c>
    </row>
    <row r="16130" spans="1:7" x14ac:dyDescent="0.2">
      <c r="A16130" t="s">
        <v>15568</v>
      </c>
      <c r="B16130" t="str">
        <f>"18109655526"</f>
        <v>18109655526</v>
      </c>
      <c r="C16130" t="str">
        <f>"340321199010068699"</f>
        <v>340321199010068699</v>
      </c>
      <c r="D16130" t="s">
        <v>1</v>
      </c>
      <c r="E16130" t="s">
        <v>1</v>
      </c>
      <c r="F16130" t="s">
        <v>0</v>
      </c>
      <c r="G16130" t="str">
        <f>"2018-10-12 17:24:17"</f>
        <v>2018-10-12 17:24:17</v>
      </c>
    </row>
    <row r="16131" spans="1:7" x14ac:dyDescent="0.2">
      <c r="A16131" t="s">
        <v>1</v>
      </c>
      <c r="B16131" t="str">
        <f>"13984591460"</f>
        <v>13984591460</v>
      </c>
      <c r="C16131" t="s">
        <v>1</v>
      </c>
      <c r="D16131" t="s">
        <v>1</v>
      </c>
      <c r="E16131" t="s">
        <v>1</v>
      </c>
      <c r="F16131" t="s">
        <v>0</v>
      </c>
      <c r="G16131" t="str">
        <f>"2018-10-12 11:21:24"</f>
        <v>2018-10-12 11:21:24</v>
      </c>
    </row>
    <row r="16132" spans="1:7" x14ac:dyDescent="0.2">
      <c r="A16132" t="s">
        <v>1458</v>
      </c>
      <c r="B16132" t="str">
        <f>"13045237019"</f>
        <v>13045237019</v>
      </c>
      <c r="C16132" t="str">
        <f>"230602199501207114"</f>
        <v>230602199501207114</v>
      </c>
      <c r="D16132" t="s">
        <v>15569</v>
      </c>
      <c r="E16132" t="s">
        <v>15570</v>
      </c>
      <c r="F16132" t="s">
        <v>0</v>
      </c>
      <c r="G16132" t="str">
        <f>"2018-10-12 11:27:52"</f>
        <v>2018-10-12 11:27:52</v>
      </c>
    </row>
    <row r="16133" spans="1:7" x14ac:dyDescent="0.2">
      <c r="A16133" t="s">
        <v>15571</v>
      </c>
      <c r="B16133" t="str">
        <f>"13173053087"</f>
        <v>13173053087</v>
      </c>
      <c r="C16133" t="str">
        <f>"370181199909163054"</f>
        <v>370181199909163054</v>
      </c>
      <c r="D16133" t="s">
        <v>1</v>
      </c>
      <c r="E16133" t="s">
        <v>1</v>
      </c>
      <c r="F16133" t="s">
        <v>0</v>
      </c>
      <c r="G16133" t="str">
        <f>"2018-10-12 11:21:33"</f>
        <v>2018-10-12 11:21:33</v>
      </c>
    </row>
    <row r="16134" spans="1:7" x14ac:dyDescent="0.2">
      <c r="A16134" t="s">
        <v>15572</v>
      </c>
      <c r="B16134" t="str">
        <f>"15080665041"</f>
        <v>15080665041</v>
      </c>
      <c r="C16134" t="str">
        <f>"43072519990615031X"</f>
        <v>43072519990615031X</v>
      </c>
      <c r="D16134" t="s">
        <v>1</v>
      </c>
      <c r="E16134" t="s">
        <v>1</v>
      </c>
      <c r="F16134" t="s">
        <v>0</v>
      </c>
      <c r="G16134" t="str">
        <f>"2018-10-12 13:42:51"</f>
        <v>2018-10-12 13:42:51</v>
      </c>
    </row>
    <row r="16135" spans="1:7" x14ac:dyDescent="0.2">
      <c r="A16135" t="s">
        <v>15573</v>
      </c>
      <c r="B16135" t="str">
        <f>"18702176881"</f>
        <v>18702176881</v>
      </c>
      <c r="C16135" t="str">
        <f>"500101198906199658"</f>
        <v>500101198906199658</v>
      </c>
      <c r="D16135" t="s">
        <v>1</v>
      </c>
      <c r="E16135" t="s">
        <v>1</v>
      </c>
      <c r="F16135" t="s">
        <v>0</v>
      </c>
      <c r="G16135" t="str">
        <f>"2018-10-12 12:34:19"</f>
        <v>2018-10-12 12:34:19</v>
      </c>
    </row>
    <row r="16136" spans="1:7" x14ac:dyDescent="0.2">
      <c r="A16136" t="s">
        <v>1846</v>
      </c>
      <c r="B16136" t="str">
        <f>"15689790028"</f>
        <v>15689790028</v>
      </c>
      <c r="C16136" t="str">
        <f>"370830199304062275"</f>
        <v>370830199304062275</v>
      </c>
      <c r="D16136" t="s">
        <v>1</v>
      </c>
      <c r="E16136" t="s">
        <v>1</v>
      </c>
      <c r="F16136" t="s">
        <v>0</v>
      </c>
      <c r="G16136" t="str">
        <f>"2018-10-12 11:19:10"</f>
        <v>2018-10-12 11:19:10</v>
      </c>
    </row>
    <row r="16137" spans="1:7" x14ac:dyDescent="0.2">
      <c r="A16137" t="s">
        <v>1</v>
      </c>
      <c r="B16137" t="str">
        <f>"13844100931"</f>
        <v>13844100931</v>
      </c>
      <c r="C16137" t="s">
        <v>1</v>
      </c>
      <c r="D16137" t="s">
        <v>1</v>
      </c>
      <c r="E16137" t="s">
        <v>1</v>
      </c>
      <c r="F16137" t="s">
        <v>0</v>
      </c>
      <c r="G16137" t="str">
        <f>"2018-10-12 11:18:34"</f>
        <v>2018-10-12 11:18:34</v>
      </c>
    </row>
    <row r="16138" spans="1:7" x14ac:dyDescent="0.2">
      <c r="A16138" t="s">
        <v>744</v>
      </c>
      <c r="B16138" t="str">
        <f>"15547283130"</f>
        <v>15547283130</v>
      </c>
      <c r="C16138" t="str">
        <f>"150222199310064417"</f>
        <v>150222199310064417</v>
      </c>
      <c r="D16138" t="s">
        <v>1</v>
      </c>
      <c r="E16138" t="s">
        <v>1</v>
      </c>
      <c r="F16138" t="s">
        <v>0</v>
      </c>
      <c r="G16138" t="str">
        <f>"2018-10-15 11:49:19"</f>
        <v>2018-10-15 11:49:19</v>
      </c>
    </row>
    <row r="16139" spans="1:7" x14ac:dyDescent="0.2">
      <c r="A16139" t="s">
        <v>15574</v>
      </c>
      <c r="B16139" t="str">
        <f>"15296312509"</f>
        <v>15296312509</v>
      </c>
      <c r="C16139" t="str">
        <f>"452130199011141221"</f>
        <v>452130199011141221</v>
      </c>
      <c r="D16139" t="s">
        <v>1</v>
      </c>
      <c r="E16139" t="s">
        <v>1</v>
      </c>
      <c r="F16139" t="s">
        <v>0</v>
      </c>
      <c r="G16139" t="str">
        <f>"2018-10-12 11:28:25"</f>
        <v>2018-10-12 11:28:25</v>
      </c>
    </row>
    <row r="16140" spans="1:7" x14ac:dyDescent="0.2">
      <c r="A16140" t="s">
        <v>15575</v>
      </c>
      <c r="B16140" t="str">
        <f>"18525753286"</f>
        <v>18525753286</v>
      </c>
      <c r="C16140" t="str">
        <f>"211422198511033514"</f>
        <v>211422198511033514</v>
      </c>
      <c r="D16140" t="s">
        <v>1</v>
      </c>
      <c r="E16140" t="s">
        <v>1</v>
      </c>
      <c r="F16140" t="s">
        <v>0</v>
      </c>
      <c r="G16140" t="str">
        <f>"2018-10-12 11:18:55"</f>
        <v>2018-10-12 11:18:55</v>
      </c>
    </row>
    <row r="16141" spans="1:7" x14ac:dyDescent="0.2">
      <c r="A16141" t="s">
        <v>1</v>
      </c>
      <c r="B16141" t="str">
        <f>"15003205250"</f>
        <v>15003205250</v>
      </c>
      <c r="C16141" t="s">
        <v>1</v>
      </c>
      <c r="D16141" t="s">
        <v>1</v>
      </c>
      <c r="E16141" t="s">
        <v>1</v>
      </c>
      <c r="F16141" t="s">
        <v>0</v>
      </c>
      <c r="G16141" t="str">
        <f>"2018-10-12 11:16:23"</f>
        <v>2018-10-12 11:16:23</v>
      </c>
    </row>
    <row r="16142" spans="1:7" x14ac:dyDescent="0.2">
      <c r="A16142" t="s">
        <v>15576</v>
      </c>
      <c r="B16142" t="str">
        <f>"18887699932"</f>
        <v>18887699932</v>
      </c>
      <c r="C16142" t="str">
        <f>"532625199611051314"</f>
        <v>532625199611051314</v>
      </c>
      <c r="D16142" t="s">
        <v>1</v>
      </c>
      <c r="E16142" t="s">
        <v>1</v>
      </c>
      <c r="F16142" t="s">
        <v>0</v>
      </c>
      <c r="G16142" t="str">
        <f>"2018-10-12 11:17:31"</f>
        <v>2018-10-12 11:17:31</v>
      </c>
    </row>
    <row r="16143" spans="1:7" x14ac:dyDescent="0.2">
      <c r="A16143" t="s">
        <v>15577</v>
      </c>
      <c r="B16143" t="str">
        <f>"15589241102"</f>
        <v>15589241102</v>
      </c>
      <c r="C16143" t="str">
        <f>"37040319800115613X"</f>
        <v>37040319800115613X</v>
      </c>
      <c r="D16143" t="s">
        <v>1</v>
      </c>
      <c r="E16143" t="s">
        <v>1</v>
      </c>
      <c r="F16143" t="s">
        <v>0</v>
      </c>
      <c r="G16143" t="str">
        <f>"2018-10-12 11:17:04"</f>
        <v>2018-10-12 11:17:04</v>
      </c>
    </row>
    <row r="16144" spans="1:7" x14ac:dyDescent="0.2">
      <c r="A16144" t="s">
        <v>15578</v>
      </c>
      <c r="B16144" t="str">
        <f>"15876671750"</f>
        <v>15876671750</v>
      </c>
      <c r="C16144" t="str">
        <f>"44142319951007043X"</f>
        <v>44142319951007043X</v>
      </c>
      <c r="D16144" t="s">
        <v>1</v>
      </c>
      <c r="E16144" t="s">
        <v>1</v>
      </c>
      <c r="F16144" t="s">
        <v>0</v>
      </c>
      <c r="G16144" t="str">
        <f>"2018-10-12 11:17:06"</f>
        <v>2018-10-12 11:17:06</v>
      </c>
    </row>
    <row r="16145" spans="1:7" x14ac:dyDescent="0.2">
      <c r="A16145" t="s">
        <v>1</v>
      </c>
      <c r="B16145" t="str">
        <f>"18396980488"</f>
        <v>18396980488</v>
      </c>
      <c r="C16145" t="s">
        <v>1</v>
      </c>
      <c r="D16145" t="s">
        <v>1</v>
      </c>
      <c r="E16145" t="s">
        <v>1</v>
      </c>
      <c r="F16145" t="s">
        <v>0</v>
      </c>
      <c r="G16145" t="str">
        <f>"2018-10-12 11:17:03"</f>
        <v>2018-10-12 11:17:03</v>
      </c>
    </row>
    <row r="16146" spans="1:7" x14ac:dyDescent="0.2">
      <c r="A16146" t="s">
        <v>1</v>
      </c>
      <c r="B16146" t="str">
        <f>"15576027910"</f>
        <v>15576027910</v>
      </c>
      <c r="C16146" t="s">
        <v>1</v>
      </c>
      <c r="D16146" t="s">
        <v>1</v>
      </c>
      <c r="E16146" t="s">
        <v>1</v>
      </c>
      <c r="F16146" t="s">
        <v>0</v>
      </c>
      <c r="G16146" t="str">
        <f>"2018-10-12 11:14:57"</f>
        <v>2018-10-12 11:14:57</v>
      </c>
    </row>
    <row r="16147" spans="1:7" x14ac:dyDescent="0.2">
      <c r="A16147" t="s">
        <v>15579</v>
      </c>
      <c r="B16147" t="str">
        <f>"15973670813"</f>
        <v>15973670813</v>
      </c>
      <c r="C16147" t="str">
        <f>"430703198802190752"</f>
        <v>430703198802190752</v>
      </c>
      <c r="D16147" t="s">
        <v>1</v>
      </c>
      <c r="E16147" t="s">
        <v>1</v>
      </c>
      <c r="F16147" t="s">
        <v>0</v>
      </c>
      <c r="G16147" t="str">
        <f>"2018-10-12 14:51:36"</f>
        <v>2018-10-12 14:51:36</v>
      </c>
    </row>
    <row r="16148" spans="1:7" x14ac:dyDescent="0.2">
      <c r="A16148" t="s">
        <v>791</v>
      </c>
      <c r="B16148" t="str">
        <f>"13130204731"</f>
        <v>13130204731</v>
      </c>
      <c r="C16148" t="str">
        <f>"210102198308146035"</f>
        <v>210102198308146035</v>
      </c>
      <c r="D16148" t="s">
        <v>1</v>
      </c>
      <c r="E16148" t="s">
        <v>1</v>
      </c>
      <c r="F16148" t="s">
        <v>0</v>
      </c>
      <c r="G16148" t="str">
        <f>"2018-10-20 14:18:53"</f>
        <v>2018-10-20 14:18:53</v>
      </c>
    </row>
    <row r="16149" spans="1:7" x14ac:dyDescent="0.2">
      <c r="A16149" t="s">
        <v>15580</v>
      </c>
      <c r="B16149" t="str">
        <f>"13676418879"</f>
        <v>13676418879</v>
      </c>
      <c r="C16149" t="str">
        <f>"362523199702220830"</f>
        <v>362523199702220830</v>
      </c>
      <c r="D16149" t="s">
        <v>1</v>
      </c>
      <c r="E16149" t="s">
        <v>1</v>
      </c>
      <c r="F16149" t="s">
        <v>0</v>
      </c>
      <c r="G16149" t="str">
        <f>"2018-10-12 11:16:43"</f>
        <v>2018-10-12 11:16:43</v>
      </c>
    </row>
    <row r="16150" spans="1:7" x14ac:dyDescent="0.2">
      <c r="A16150" t="s">
        <v>1</v>
      </c>
      <c r="B16150" t="str">
        <f>"18889488014"</f>
        <v>18889488014</v>
      </c>
      <c r="C16150" t="s">
        <v>1</v>
      </c>
      <c r="D16150" t="s">
        <v>1</v>
      </c>
      <c r="E16150" t="s">
        <v>1</v>
      </c>
      <c r="F16150" t="s">
        <v>0</v>
      </c>
      <c r="G16150" t="str">
        <f>"2018-10-12 11:33:56"</f>
        <v>2018-10-12 11:33:56</v>
      </c>
    </row>
    <row r="16151" spans="1:7" x14ac:dyDescent="0.2">
      <c r="A16151" t="s">
        <v>1</v>
      </c>
      <c r="B16151" t="str">
        <f>"15952809775"</f>
        <v>15952809775</v>
      </c>
      <c r="C16151" t="s">
        <v>1</v>
      </c>
      <c r="D16151" t="s">
        <v>1</v>
      </c>
      <c r="E16151" t="s">
        <v>1</v>
      </c>
      <c r="F16151" t="s">
        <v>0</v>
      </c>
      <c r="G16151" t="str">
        <f>"2018-10-12 11:16:04"</f>
        <v>2018-10-12 11:16:04</v>
      </c>
    </row>
    <row r="16152" spans="1:7" x14ac:dyDescent="0.2">
      <c r="A16152" t="s">
        <v>15581</v>
      </c>
      <c r="B16152" t="str">
        <f>"18690887560"</f>
        <v>18690887560</v>
      </c>
      <c r="C16152" t="str">
        <f>"650104199108044420"</f>
        <v>650104199108044420</v>
      </c>
      <c r="D16152" t="s">
        <v>1</v>
      </c>
      <c r="E16152" t="s">
        <v>1</v>
      </c>
      <c r="F16152" t="s">
        <v>0</v>
      </c>
      <c r="G16152" t="str">
        <f>"2018-10-24 12:10:00"</f>
        <v>2018-10-24 12:10:00</v>
      </c>
    </row>
    <row r="16153" spans="1:7" x14ac:dyDescent="0.2">
      <c r="A16153" t="s">
        <v>15582</v>
      </c>
      <c r="B16153" t="str">
        <f>"18994660464"</f>
        <v>18994660464</v>
      </c>
      <c r="C16153" t="str">
        <f>"321284198408201050"</f>
        <v>321284198408201050</v>
      </c>
      <c r="D16153" t="s">
        <v>1</v>
      </c>
      <c r="E16153" t="s">
        <v>1</v>
      </c>
      <c r="F16153" t="s">
        <v>0</v>
      </c>
      <c r="G16153" t="str">
        <f>"2018-10-20 10:58:49"</f>
        <v>2018-10-20 10:58:49</v>
      </c>
    </row>
    <row r="16154" spans="1:7" x14ac:dyDescent="0.2">
      <c r="A16154" t="s">
        <v>1</v>
      </c>
      <c r="B16154" t="str">
        <f>"15131365255"</f>
        <v>15131365255</v>
      </c>
      <c r="C16154" t="s">
        <v>1</v>
      </c>
      <c r="D16154" t="s">
        <v>1</v>
      </c>
      <c r="E16154" t="s">
        <v>1</v>
      </c>
      <c r="F16154" t="s">
        <v>0</v>
      </c>
      <c r="G16154" t="str">
        <f>"2018-10-12 11:24:48"</f>
        <v>2018-10-12 11:24:48</v>
      </c>
    </row>
    <row r="16155" spans="1:7" x14ac:dyDescent="0.2">
      <c r="A16155" t="s">
        <v>1</v>
      </c>
      <c r="B16155" t="str">
        <f>"13286587695"</f>
        <v>13286587695</v>
      </c>
      <c r="C16155" t="s">
        <v>1</v>
      </c>
      <c r="D16155" t="s">
        <v>1</v>
      </c>
      <c r="E16155" t="s">
        <v>1</v>
      </c>
      <c r="F16155" t="s">
        <v>0</v>
      </c>
      <c r="G16155" t="str">
        <f>"2018-10-12 11:12:17"</f>
        <v>2018-10-12 11:12:17</v>
      </c>
    </row>
    <row r="16156" spans="1:7" x14ac:dyDescent="0.2">
      <c r="A16156" t="s">
        <v>15583</v>
      </c>
      <c r="B16156" t="str">
        <f>"15614100907"</f>
        <v>15614100907</v>
      </c>
      <c r="C16156" t="str">
        <f>"620121199406182830"</f>
        <v>620121199406182830</v>
      </c>
      <c r="D16156" t="s">
        <v>1</v>
      </c>
      <c r="E16156" t="s">
        <v>1</v>
      </c>
      <c r="F16156" t="s">
        <v>0</v>
      </c>
      <c r="G16156" t="str">
        <f>"2018-10-12 11:15:58"</f>
        <v>2018-10-12 11:15:58</v>
      </c>
    </row>
    <row r="16157" spans="1:7" x14ac:dyDescent="0.2">
      <c r="A16157" t="s">
        <v>15584</v>
      </c>
      <c r="B16157" t="str">
        <f>"14707087769"</f>
        <v>14707087769</v>
      </c>
      <c r="C16157" t="str">
        <f>"360281199102261933"</f>
        <v>360281199102261933</v>
      </c>
      <c r="D16157" t="s">
        <v>1</v>
      </c>
      <c r="E16157" t="s">
        <v>1</v>
      </c>
      <c r="F16157" t="s">
        <v>0</v>
      </c>
      <c r="G16157" t="str">
        <f>"2018-10-12 14:48:54"</f>
        <v>2018-10-12 14:48:54</v>
      </c>
    </row>
    <row r="16158" spans="1:7" x14ac:dyDescent="0.2">
      <c r="A16158" t="s">
        <v>15585</v>
      </c>
      <c r="B16158" t="str">
        <f>"18179733833"</f>
        <v>18179733833</v>
      </c>
      <c r="C16158" t="str">
        <f>"360726199103121812"</f>
        <v>360726199103121812</v>
      </c>
      <c r="D16158" t="s">
        <v>1</v>
      </c>
      <c r="E16158" t="s">
        <v>1</v>
      </c>
      <c r="F16158" t="s">
        <v>0</v>
      </c>
      <c r="G16158" t="str">
        <f>"2018-10-24 09:17:05"</f>
        <v>2018-10-24 09:17:05</v>
      </c>
    </row>
    <row r="16159" spans="1:7" x14ac:dyDescent="0.2">
      <c r="A16159" t="s">
        <v>83</v>
      </c>
      <c r="B16159" t="str">
        <f>"15965790663"</f>
        <v>15965790663</v>
      </c>
      <c r="C16159" t="str">
        <f>"370831199304182812"</f>
        <v>370831199304182812</v>
      </c>
      <c r="D16159" t="s">
        <v>1</v>
      </c>
      <c r="E16159" t="s">
        <v>1</v>
      </c>
      <c r="F16159" t="s">
        <v>0</v>
      </c>
      <c r="G16159" t="str">
        <f>"2018-10-12 11:30:44"</f>
        <v>2018-10-12 11:30:44</v>
      </c>
    </row>
    <row r="16160" spans="1:7" x14ac:dyDescent="0.2">
      <c r="A16160" t="s">
        <v>15586</v>
      </c>
      <c r="B16160" t="str">
        <f>"15150146348"</f>
        <v>15150146348</v>
      </c>
      <c r="C16160" t="str">
        <f>"321323199108145314"</f>
        <v>321323199108145314</v>
      </c>
      <c r="D16160" t="s">
        <v>15587</v>
      </c>
      <c r="E16160" t="s">
        <v>15587</v>
      </c>
      <c r="F16160" t="s">
        <v>0</v>
      </c>
      <c r="G16160" t="str">
        <f>"2018-10-12 11:11:42"</f>
        <v>2018-10-12 11:11:42</v>
      </c>
    </row>
    <row r="16161" spans="1:7" x14ac:dyDescent="0.2">
      <c r="A16161" t="s">
        <v>15588</v>
      </c>
      <c r="B16161" t="str">
        <f>"15614100921"</f>
        <v>15614100921</v>
      </c>
      <c r="C16161" t="str">
        <f>"620402199408032411"</f>
        <v>620402199408032411</v>
      </c>
      <c r="D16161" t="s">
        <v>1</v>
      </c>
      <c r="E16161" t="s">
        <v>1</v>
      </c>
      <c r="F16161" t="s">
        <v>0</v>
      </c>
      <c r="G16161" t="str">
        <f>"2018-10-12 11:11:24"</f>
        <v>2018-10-12 11:11:24</v>
      </c>
    </row>
    <row r="16162" spans="1:7" x14ac:dyDescent="0.2">
      <c r="A16162" t="s">
        <v>15589</v>
      </c>
      <c r="B16162" t="str">
        <f>"13557213008"</f>
        <v>13557213008</v>
      </c>
      <c r="C16162" t="str">
        <f>"350121196905096030"</f>
        <v>350121196905096030</v>
      </c>
      <c r="D16162" t="s">
        <v>1</v>
      </c>
      <c r="E16162" t="s">
        <v>1</v>
      </c>
      <c r="F16162" t="s">
        <v>0</v>
      </c>
      <c r="G16162" t="str">
        <f>"2018-10-12 11:10:49"</f>
        <v>2018-10-12 11:10:49</v>
      </c>
    </row>
    <row r="16163" spans="1:7" x14ac:dyDescent="0.2">
      <c r="A16163" t="s">
        <v>15590</v>
      </c>
      <c r="B16163" t="str">
        <f>"18555282038"</f>
        <v>18555282038</v>
      </c>
      <c r="C16163" t="str">
        <f>"342401199508206528"</f>
        <v>342401199508206528</v>
      </c>
      <c r="D16163" t="s">
        <v>1</v>
      </c>
      <c r="E16163" t="s">
        <v>1</v>
      </c>
      <c r="F16163" t="s">
        <v>0</v>
      </c>
      <c r="G16163" t="str">
        <f>"2018-10-12 11:09:21"</f>
        <v>2018-10-12 11:09:21</v>
      </c>
    </row>
    <row r="16164" spans="1:7" x14ac:dyDescent="0.2">
      <c r="A16164" t="s">
        <v>1</v>
      </c>
      <c r="B16164" t="str">
        <f>"13985526668"</f>
        <v>13985526668</v>
      </c>
      <c r="C16164" t="s">
        <v>1</v>
      </c>
      <c r="D16164" t="s">
        <v>1</v>
      </c>
      <c r="E16164" t="s">
        <v>1</v>
      </c>
      <c r="F16164" t="s">
        <v>0</v>
      </c>
      <c r="G16164" t="str">
        <f>"2018-10-12 11:14:36"</f>
        <v>2018-10-12 11:14:36</v>
      </c>
    </row>
    <row r="16165" spans="1:7" x14ac:dyDescent="0.2">
      <c r="A16165" t="s">
        <v>15591</v>
      </c>
      <c r="B16165" t="str">
        <f>"18203671532"</f>
        <v>18203671532</v>
      </c>
      <c r="C16165" t="str">
        <f>"410526198908084448"</f>
        <v>410526198908084448</v>
      </c>
      <c r="D16165" t="s">
        <v>15592</v>
      </c>
      <c r="E16165" t="s">
        <v>15593</v>
      </c>
      <c r="F16165" t="s">
        <v>0</v>
      </c>
      <c r="G16165" t="str">
        <f>"2018-10-12 11:26:33"</f>
        <v>2018-10-12 11:26:33</v>
      </c>
    </row>
    <row r="16166" spans="1:7" x14ac:dyDescent="0.2">
      <c r="A16166" t="s">
        <v>15594</v>
      </c>
      <c r="B16166" t="str">
        <f>"13707816955"</f>
        <v>13707816955</v>
      </c>
      <c r="C16166" t="str">
        <f>"450121198706201259"</f>
        <v>450121198706201259</v>
      </c>
      <c r="D16166" t="s">
        <v>1</v>
      </c>
      <c r="E16166" t="s">
        <v>1</v>
      </c>
      <c r="F16166" t="s">
        <v>0</v>
      </c>
      <c r="G16166" t="str">
        <f>"2018-10-13 18:35:33"</f>
        <v>2018-10-13 18:35:33</v>
      </c>
    </row>
    <row r="16167" spans="1:7" x14ac:dyDescent="0.2">
      <c r="A16167" t="s">
        <v>15595</v>
      </c>
      <c r="B16167" t="str">
        <f>"18784117854"</f>
        <v>18784117854</v>
      </c>
      <c r="C16167" t="str">
        <f>"511528199801145417"</f>
        <v>511528199801145417</v>
      </c>
      <c r="D16167" t="s">
        <v>1</v>
      </c>
      <c r="E16167" t="s">
        <v>1</v>
      </c>
      <c r="F16167" t="s">
        <v>0</v>
      </c>
      <c r="G16167" t="str">
        <f>"2018-10-12 11:12:22"</f>
        <v>2018-10-12 11:12:22</v>
      </c>
    </row>
    <row r="16168" spans="1:7" x14ac:dyDescent="0.2">
      <c r="A16168" t="s">
        <v>110</v>
      </c>
      <c r="B16168" t="str">
        <f>"17751632226"</f>
        <v>17751632226</v>
      </c>
      <c r="C16168" t="str">
        <f>"321282199205081214"</f>
        <v>321282199205081214</v>
      </c>
      <c r="D16168" t="s">
        <v>1</v>
      </c>
      <c r="E16168" t="s">
        <v>1</v>
      </c>
      <c r="F16168" t="s">
        <v>0</v>
      </c>
      <c r="G16168" t="str">
        <f>"2018-10-12 11:09:25"</f>
        <v>2018-10-12 11:09:25</v>
      </c>
    </row>
    <row r="16169" spans="1:7" x14ac:dyDescent="0.2">
      <c r="A16169" t="s">
        <v>15596</v>
      </c>
      <c r="B16169" t="str">
        <f>"13600772107"</f>
        <v>13600772107</v>
      </c>
      <c r="C16169" t="str">
        <f>"350521199101263097"</f>
        <v>350521199101263097</v>
      </c>
      <c r="D16169" t="s">
        <v>1</v>
      </c>
      <c r="E16169" t="s">
        <v>1</v>
      </c>
      <c r="F16169" t="s">
        <v>0</v>
      </c>
      <c r="G16169" t="str">
        <f>"2018-10-12 11:08:39"</f>
        <v>2018-10-12 11:08:39</v>
      </c>
    </row>
    <row r="16170" spans="1:7" x14ac:dyDescent="0.2">
      <c r="A16170" t="s">
        <v>15597</v>
      </c>
      <c r="B16170" t="str">
        <f>"17554353630"</f>
        <v>17554353630</v>
      </c>
      <c r="C16170" t="str">
        <f>"372328199412281873"</f>
        <v>372328199412281873</v>
      </c>
      <c r="D16170" t="s">
        <v>1</v>
      </c>
      <c r="E16170" t="s">
        <v>1</v>
      </c>
      <c r="F16170" t="s">
        <v>0</v>
      </c>
      <c r="G16170" t="str">
        <f>"2018-10-12 11:07:58"</f>
        <v>2018-10-12 11:07:58</v>
      </c>
    </row>
    <row r="16171" spans="1:7" x14ac:dyDescent="0.2">
      <c r="A16171" t="s">
        <v>15598</v>
      </c>
      <c r="B16171" t="str">
        <f>"13765808252"</f>
        <v>13765808252</v>
      </c>
      <c r="C16171" t="str">
        <f>"350124198708121397"</f>
        <v>350124198708121397</v>
      </c>
      <c r="D16171" t="s">
        <v>15599</v>
      </c>
      <c r="E16171" t="s">
        <v>15600</v>
      </c>
      <c r="F16171" t="s">
        <v>0</v>
      </c>
      <c r="G16171" t="str">
        <f>"2018-10-12 11:05:35"</f>
        <v>2018-10-12 11:05:35</v>
      </c>
    </row>
    <row r="16172" spans="1:7" x14ac:dyDescent="0.2">
      <c r="A16172" t="s">
        <v>15601</v>
      </c>
      <c r="B16172" t="str">
        <f>"15111840254"</f>
        <v>15111840254</v>
      </c>
      <c r="C16172" t="str">
        <f>"510202197710183821"</f>
        <v>510202197710183821</v>
      </c>
      <c r="D16172" t="s">
        <v>1</v>
      </c>
      <c r="E16172" t="s">
        <v>1</v>
      </c>
      <c r="F16172" t="s">
        <v>0</v>
      </c>
      <c r="G16172" t="str">
        <f>"2018-10-12 11:06:48"</f>
        <v>2018-10-12 11:06:48</v>
      </c>
    </row>
    <row r="16173" spans="1:7" x14ac:dyDescent="0.2">
      <c r="A16173" t="s">
        <v>1</v>
      </c>
      <c r="B16173" t="str">
        <f>"13669435888"</f>
        <v>13669435888</v>
      </c>
      <c r="C16173" t="s">
        <v>1</v>
      </c>
      <c r="D16173" t="s">
        <v>1</v>
      </c>
      <c r="E16173" t="s">
        <v>1</v>
      </c>
      <c r="F16173" t="s">
        <v>0</v>
      </c>
      <c r="G16173" t="str">
        <f>"2018-10-12 11:04:27"</f>
        <v>2018-10-12 11:04:27</v>
      </c>
    </row>
    <row r="16174" spans="1:7" x14ac:dyDescent="0.2">
      <c r="A16174" t="s">
        <v>15602</v>
      </c>
      <c r="B16174" t="str">
        <f>"15285542865"</f>
        <v>15285542865</v>
      </c>
      <c r="C16174" t="str">
        <f>"43128119871013262X"</f>
        <v>43128119871013262X</v>
      </c>
      <c r="D16174" t="s">
        <v>1</v>
      </c>
      <c r="E16174" t="s">
        <v>1</v>
      </c>
      <c r="F16174" t="s">
        <v>0</v>
      </c>
      <c r="G16174" t="str">
        <f>"2018-10-12 11:06:48"</f>
        <v>2018-10-12 11:06:48</v>
      </c>
    </row>
    <row r="16175" spans="1:7" x14ac:dyDescent="0.2">
      <c r="A16175" t="s">
        <v>1</v>
      </c>
      <c r="B16175" t="str">
        <f>"15900682291"</f>
        <v>15900682291</v>
      </c>
      <c r="C16175" t="s">
        <v>1</v>
      </c>
      <c r="D16175" t="s">
        <v>1</v>
      </c>
      <c r="E16175" t="s">
        <v>1</v>
      </c>
      <c r="F16175" t="s">
        <v>0</v>
      </c>
      <c r="G16175" t="str">
        <f>"2018-10-12 11:03:54"</f>
        <v>2018-10-12 11:03:54</v>
      </c>
    </row>
    <row r="16176" spans="1:7" x14ac:dyDescent="0.2">
      <c r="A16176" t="s">
        <v>1</v>
      </c>
      <c r="B16176" t="str">
        <f>"15078468358"</f>
        <v>15078468358</v>
      </c>
      <c r="C16176" t="s">
        <v>1</v>
      </c>
      <c r="D16176" t="s">
        <v>1</v>
      </c>
      <c r="E16176" t="s">
        <v>1</v>
      </c>
      <c r="F16176" t="s">
        <v>0</v>
      </c>
      <c r="G16176" t="str">
        <f>"2018-10-12 11:03:37"</f>
        <v>2018-10-12 11:03:37</v>
      </c>
    </row>
    <row r="16177" spans="1:7" x14ac:dyDescent="0.2">
      <c r="A16177" t="s">
        <v>1</v>
      </c>
      <c r="B16177" t="str">
        <f>"15813331114"</f>
        <v>15813331114</v>
      </c>
      <c r="C16177" t="s">
        <v>1</v>
      </c>
      <c r="D16177" t="s">
        <v>1</v>
      </c>
      <c r="E16177" t="s">
        <v>1</v>
      </c>
      <c r="F16177" t="s">
        <v>0</v>
      </c>
      <c r="G16177" t="str">
        <f>"2018-10-12 11:06:28"</f>
        <v>2018-10-12 11:06:28</v>
      </c>
    </row>
    <row r="16178" spans="1:7" x14ac:dyDescent="0.2">
      <c r="A16178" t="s">
        <v>15603</v>
      </c>
      <c r="B16178" t="str">
        <f>"18928170966"</f>
        <v>18928170966</v>
      </c>
      <c r="C16178" t="str">
        <f>"442000198103017092"</f>
        <v>442000198103017092</v>
      </c>
      <c r="D16178" t="s">
        <v>15604</v>
      </c>
      <c r="E16178" t="s">
        <v>15605</v>
      </c>
      <c r="F16178" t="s">
        <v>0</v>
      </c>
      <c r="G16178" t="str">
        <f>"2018-10-12 16:18:45"</f>
        <v>2018-10-12 16:18:45</v>
      </c>
    </row>
    <row r="16179" spans="1:7" x14ac:dyDescent="0.2">
      <c r="A16179" t="s">
        <v>15606</v>
      </c>
      <c r="B16179" t="str">
        <f>"18707979878"</f>
        <v>18707979878</v>
      </c>
      <c r="C16179" t="str">
        <f>"362133198103254437"</f>
        <v>362133198103254437</v>
      </c>
      <c r="D16179" t="s">
        <v>1</v>
      </c>
      <c r="E16179" t="s">
        <v>1</v>
      </c>
      <c r="F16179" t="s">
        <v>0</v>
      </c>
      <c r="G16179" t="str">
        <f>"2018-10-12 11:30:07"</f>
        <v>2018-10-12 11:30:07</v>
      </c>
    </row>
    <row r="16180" spans="1:7" x14ac:dyDescent="0.2">
      <c r="A16180" t="s">
        <v>15607</v>
      </c>
      <c r="B16180" t="str">
        <f>"15126227795"</f>
        <v>15126227795</v>
      </c>
      <c r="C16180" t="str">
        <f>"532522199610144223"</f>
        <v>532522199610144223</v>
      </c>
      <c r="D16180" t="s">
        <v>1</v>
      </c>
      <c r="E16180" t="s">
        <v>1</v>
      </c>
      <c r="F16180" t="s">
        <v>0</v>
      </c>
      <c r="G16180" t="str">
        <f>"2018-10-12 11:05:42"</f>
        <v>2018-10-12 11:05:42</v>
      </c>
    </row>
    <row r="16181" spans="1:7" x14ac:dyDescent="0.2">
      <c r="A16181" t="s">
        <v>15608</v>
      </c>
      <c r="B16181" t="str">
        <f>"13828178444"</f>
        <v>13828178444</v>
      </c>
      <c r="C16181" t="str">
        <f>"440526197609143832"</f>
        <v>440526197609143832</v>
      </c>
      <c r="D16181" t="s">
        <v>1</v>
      </c>
      <c r="E16181" t="s">
        <v>1</v>
      </c>
      <c r="F16181" t="s">
        <v>0</v>
      </c>
      <c r="G16181" t="str">
        <f>"2018-10-12 11:12:21"</f>
        <v>2018-10-12 11:12:21</v>
      </c>
    </row>
    <row r="16182" spans="1:7" x14ac:dyDescent="0.2">
      <c r="A16182" t="s">
        <v>1</v>
      </c>
      <c r="B16182" t="str">
        <f>"15590806915"</f>
        <v>15590806915</v>
      </c>
      <c r="C16182" t="s">
        <v>1</v>
      </c>
      <c r="D16182" t="s">
        <v>1</v>
      </c>
      <c r="E16182" t="s">
        <v>1</v>
      </c>
      <c r="F16182" t="s">
        <v>0</v>
      </c>
      <c r="G16182" t="str">
        <f>"2018-10-12 11:01:49"</f>
        <v>2018-10-12 11:01:49</v>
      </c>
    </row>
    <row r="16183" spans="1:7" x14ac:dyDescent="0.2">
      <c r="A16183" t="s">
        <v>1</v>
      </c>
      <c r="B16183" t="str">
        <f>"18376757736"</f>
        <v>18376757736</v>
      </c>
      <c r="C16183" t="s">
        <v>1</v>
      </c>
      <c r="D16183" t="s">
        <v>1</v>
      </c>
      <c r="E16183" t="s">
        <v>1</v>
      </c>
      <c r="F16183" t="s">
        <v>0</v>
      </c>
      <c r="G16183" t="str">
        <f>"2018-10-12 11:01:47"</f>
        <v>2018-10-12 11:01:47</v>
      </c>
    </row>
    <row r="16184" spans="1:7" x14ac:dyDescent="0.2">
      <c r="A16184" t="s">
        <v>1</v>
      </c>
      <c r="B16184" t="str">
        <f>"13768963728"</f>
        <v>13768963728</v>
      </c>
      <c r="C16184" t="s">
        <v>1</v>
      </c>
      <c r="D16184" t="s">
        <v>1</v>
      </c>
      <c r="E16184" t="s">
        <v>1</v>
      </c>
      <c r="F16184" t="s">
        <v>0</v>
      </c>
      <c r="G16184" t="str">
        <f>"2018-10-12 11:01:46"</f>
        <v>2018-10-12 11:01:46</v>
      </c>
    </row>
    <row r="16185" spans="1:7" x14ac:dyDescent="0.2">
      <c r="A16185" t="s">
        <v>15609</v>
      </c>
      <c r="B16185" t="str">
        <f>"13885150416"</f>
        <v>13885150416</v>
      </c>
      <c r="C16185" t="str">
        <f>"520103197204191610"</f>
        <v>520103197204191610</v>
      </c>
      <c r="D16185" t="s">
        <v>1</v>
      </c>
      <c r="E16185" t="s">
        <v>1</v>
      </c>
      <c r="F16185" t="s">
        <v>0</v>
      </c>
      <c r="G16185" t="str">
        <f>"2018-10-12 11:06:51"</f>
        <v>2018-10-12 11:06:51</v>
      </c>
    </row>
    <row r="16186" spans="1:7" x14ac:dyDescent="0.2">
      <c r="A16186" t="s">
        <v>15610</v>
      </c>
      <c r="B16186" t="str">
        <f>"15151893403"</f>
        <v>15151893403</v>
      </c>
      <c r="C16186" t="str">
        <f>"321181199305255179"</f>
        <v>321181199305255179</v>
      </c>
      <c r="D16186" t="s">
        <v>1</v>
      </c>
      <c r="E16186" t="s">
        <v>1</v>
      </c>
      <c r="F16186" t="s">
        <v>0</v>
      </c>
      <c r="G16186" t="str">
        <f>"2018-10-12 11:21:25"</f>
        <v>2018-10-12 11:21:25</v>
      </c>
    </row>
    <row r="16187" spans="1:7" x14ac:dyDescent="0.2">
      <c r="A16187" t="s">
        <v>1</v>
      </c>
      <c r="B16187" t="str">
        <f>"13132989542"</f>
        <v>13132989542</v>
      </c>
      <c r="C16187" t="s">
        <v>1</v>
      </c>
      <c r="D16187" t="s">
        <v>1</v>
      </c>
      <c r="E16187" t="s">
        <v>1</v>
      </c>
      <c r="F16187" t="s">
        <v>0</v>
      </c>
      <c r="G16187" t="str">
        <f>"2018-10-12 11:00:41"</f>
        <v>2018-10-12 11:00:41</v>
      </c>
    </row>
    <row r="16188" spans="1:7" x14ac:dyDescent="0.2">
      <c r="A16188" t="s">
        <v>1</v>
      </c>
      <c r="B16188" t="str">
        <f>"18508550444"</f>
        <v>18508550444</v>
      </c>
      <c r="C16188" t="s">
        <v>1</v>
      </c>
      <c r="D16188" t="s">
        <v>1</v>
      </c>
      <c r="E16188" t="s">
        <v>1</v>
      </c>
      <c r="F16188" t="s">
        <v>0</v>
      </c>
      <c r="G16188" t="str">
        <f>"2018-10-12 11:02:48"</f>
        <v>2018-10-12 11:02:48</v>
      </c>
    </row>
    <row r="16189" spans="1:7" x14ac:dyDescent="0.2">
      <c r="A16189" t="s">
        <v>1</v>
      </c>
      <c r="B16189" t="str">
        <f>"18475627528"</f>
        <v>18475627528</v>
      </c>
      <c r="C16189" t="s">
        <v>1</v>
      </c>
      <c r="D16189" t="s">
        <v>1</v>
      </c>
      <c r="E16189" t="s">
        <v>1</v>
      </c>
      <c r="F16189" t="s">
        <v>0</v>
      </c>
      <c r="G16189" t="str">
        <f>"2018-10-12 11:00:16"</f>
        <v>2018-10-12 11:00:16</v>
      </c>
    </row>
    <row r="16190" spans="1:7" x14ac:dyDescent="0.2">
      <c r="A16190" t="s">
        <v>1</v>
      </c>
      <c r="B16190" t="str">
        <f>"15860262433"</f>
        <v>15860262433</v>
      </c>
      <c r="C16190" t="s">
        <v>1</v>
      </c>
      <c r="D16190" t="s">
        <v>1</v>
      </c>
      <c r="E16190" t="s">
        <v>1</v>
      </c>
      <c r="F16190" t="s">
        <v>0</v>
      </c>
      <c r="G16190" t="str">
        <f>"2018-10-12 11:01:06"</f>
        <v>2018-10-12 11:01:06</v>
      </c>
    </row>
    <row r="16191" spans="1:7" x14ac:dyDescent="0.2">
      <c r="A16191" t="s">
        <v>1</v>
      </c>
      <c r="B16191" t="str">
        <f>"18266625386"</f>
        <v>18266625386</v>
      </c>
      <c r="C16191" t="s">
        <v>1</v>
      </c>
      <c r="D16191" t="s">
        <v>1</v>
      </c>
      <c r="E16191" t="s">
        <v>1</v>
      </c>
      <c r="F16191" t="s">
        <v>0</v>
      </c>
      <c r="G16191" t="str">
        <f>"2018-10-12 10:59:56"</f>
        <v>2018-10-12 10:59:56</v>
      </c>
    </row>
    <row r="16192" spans="1:7" x14ac:dyDescent="0.2">
      <c r="A16192" t="s">
        <v>15611</v>
      </c>
      <c r="B16192" t="str">
        <f>"15283119899"</f>
        <v>15283119899</v>
      </c>
      <c r="C16192" t="str">
        <f>"512533198010314517"</f>
        <v>512533198010314517</v>
      </c>
      <c r="D16192" t="s">
        <v>1</v>
      </c>
      <c r="E16192" t="s">
        <v>1</v>
      </c>
      <c r="F16192" t="s">
        <v>0</v>
      </c>
      <c r="G16192" t="str">
        <f>"2018-10-12 10:59:42"</f>
        <v>2018-10-12 10:59:42</v>
      </c>
    </row>
    <row r="16193" spans="1:7" x14ac:dyDescent="0.2">
      <c r="A16193" t="s">
        <v>15612</v>
      </c>
      <c r="B16193" t="str">
        <f>"13859810748"</f>
        <v>13859810748</v>
      </c>
      <c r="C16193" t="str">
        <f>"350322198202065111"</f>
        <v>350322198202065111</v>
      </c>
      <c r="D16193" t="s">
        <v>1</v>
      </c>
      <c r="E16193" t="s">
        <v>1</v>
      </c>
      <c r="F16193" t="s">
        <v>0</v>
      </c>
      <c r="G16193" t="str">
        <f>"2018-10-12 11:01:20"</f>
        <v>2018-10-12 11:01:20</v>
      </c>
    </row>
    <row r="16194" spans="1:7" x14ac:dyDescent="0.2">
      <c r="A16194" t="s">
        <v>15613</v>
      </c>
      <c r="B16194" t="str">
        <f>"15360648512"</f>
        <v>15360648512</v>
      </c>
      <c r="C16194" t="str">
        <f>"511381200003297279"</f>
        <v>511381200003297279</v>
      </c>
      <c r="D16194" t="s">
        <v>1</v>
      </c>
      <c r="E16194" t="s">
        <v>1</v>
      </c>
      <c r="F16194" t="s">
        <v>0</v>
      </c>
      <c r="G16194" t="str">
        <f>"2018-10-12 11:04:05"</f>
        <v>2018-10-12 11:04:05</v>
      </c>
    </row>
    <row r="16195" spans="1:7" x14ac:dyDescent="0.2">
      <c r="A16195" t="s">
        <v>15614</v>
      </c>
      <c r="B16195" t="str">
        <f>"15151799157"</f>
        <v>15151799157</v>
      </c>
      <c r="C16195" t="str">
        <f>"320921198910212937"</f>
        <v>320921198910212937</v>
      </c>
      <c r="D16195" t="s">
        <v>1</v>
      </c>
      <c r="E16195" t="s">
        <v>1</v>
      </c>
      <c r="F16195" t="s">
        <v>0</v>
      </c>
      <c r="G16195" t="str">
        <f>"2018-10-14 14:00:56"</f>
        <v>2018-10-14 14:00:56</v>
      </c>
    </row>
    <row r="16196" spans="1:7" x14ac:dyDescent="0.2">
      <c r="A16196" t="s">
        <v>15615</v>
      </c>
      <c r="B16196" t="str">
        <f>"13452553585"</f>
        <v>13452553585</v>
      </c>
      <c r="C16196" t="str">
        <f>"522729198507041540"</f>
        <v>522729198507041540</v>
      </c>
      <c r="D16196" t="s">
        <v>1</v>
      </c>
      <c r="E16196" t="s">
        <v>1</v>
      </c>
      <c r="F16196" t="s">
        <v>0</v>
      </c>
      <c r="G16196" t="str">
        <f>"2018-10-13 08:37:19"</f>
        <v>2018-10-13 08:37:19</v>
      </c>
    </row>
    <row r="16197" spans="1:7" x14ac:dyDescent="0.2">
      <c r="A16197" t="s">
        <v>33</v>
      </c>
      <c r="B16197" t="str">
        <f>"18373602927"</f>
        <v>18373602927</v>
      </c>
      <c r="C16197" t="str">
        <f>"430703199303082049"</f>
        <v>430703199303082049</v>
      </c>
      <c r="D16197" t="s">
        <v>1</v>
      </c>
      <c r="E16197" t="s">
        <v>1</v>
      </c>
      <c r="F16197" t="s">
        <v>0</v>
      </c>
      <c r="G16197" t="str">
        <f>"2018-10-12 11:10:46"</f>
        <v>2018-10-12 11:10:46</v>
      </c>
    </row>
    <row r="16198" spans="1:7" x14ac:dyDescent="0.2">
      <c r="A16198" t="s">
        <v>1</v>
      </c>
      <c r="B16198" t="str">
        <f>"18539782188"</f>
        <v>18539782188</v>
      </c>
      <c r="C16198" t="s">
        <v>1</v>
      </c>
      <c r="D16198" t="s">
        <v>1</v>
      </c>
      <c r="E16198" t="s">
        <v>1</v>
      </c>
      <c r="F16198" t="s">
        <v>0</v>
      </c>
      <c r="G16198" t="str">
        <f>"2018-10-12 10:58:31"</f>
        <v>2018-10-12 10:58:31</v>
      </c>
    </row>
    <row r="16199" spans="1:7" x14ac:dyDescent="0.2">
      <c r="A16199" t="s">
        <v>1</v>
      </c>
      <c r="B16199" t="str">
        <f>"17382800099"</f>
        <v>17382800099</v>
      </c>
      <c r="C16199" t="s">
        <v>1</v>
      </c>
      <c r="D16199" t="s">
        <v>1</v>
      </c>
      <c r="E16199" t="s">
        <v>1</v>
      </c>
      <c r="F16199" t="s">
        <v>0</v>
      </c>
      <c r="G16199" t="str">
        <f>"2018-10-12 10:58:30"</f>
        <v>2018-10-12 10:58:30</v>
      </c>
    </row>
    <row r="16200" spans="1:7" x14ac:dyDescent="0.2">
      <c r="A16200" t="s">
        <v>15616</v>
      </c>
      <c r="B16200" t="str">
        <f>"18615451245"</f>
        <v>18615451245</v>
      </c>
      <c r="C16200" t="str">
        <f>"371482199203081413"</f>
        <v>371482199203081413</v>
      </c>
      <c r="D16200" t="s">
        <v>1</v>
      </c>
      <c r="E16200" t="s">
        <v>1</v>
      </c>
      <c r="F16200" t="s">
        <v>0</v>
      </c>
      <c r="G16200" t="str">
        <f>"2018-10-12 11:51:12"</f>
        <v>2018-10-12 11:51:12</v>
      </c>
    </row>
    <row r="16201" spans="1:7" x14ac:dyDescent="0.2">
      <c r="A16201" t="s">
        <v>15617</v>
      </c>
      <c r="B16201" t="str">
        <f>"17696274875"</f>
        <v>17696274875</v>
      </c>
      <c r="C16201" t="str">
        <f>"140426199611094817"</f>
        <v>140426199611094817</v>
      </c>
      <c r="D16201" t="s">
        <v>1</v>
      </c>
      <c r="E16201" t="s">
        <v>1</v>
      </c>
      <c r="F16201" t="s">
        <v>0</v>
      </c>
      <c r="G16201" t="str">
        <f>"2018-10-12 10:59:21"</f>
        <v>2018-10-12 10:59:21</v>
      </c>
    </row>
    <row r="16202" spans="1:7" x14ac:dyDescent="0.2">
      <c r="A16202" t="s">
        <v>15618</v>
      </c>
      <c r="B16202" t="str">
        <f>"13353779123"</f>
        <v>13353779123</v>
      </c>
      <c r="C16202" t="str">
        <f>"411327198309131130"</f>
        <v>411327198309131130</v>
      </c>
      <c r="D16202" t="s">
        <v>1</v>
      </c>
      <c r="E16202" t="s">
        <v>1</v>
      </c>
      <c r="F16202" t="s">
        <v>0</v>
      </c>
      <c r="G16202" t="str">
        <f>"2018-10-12 10:58:47"</f>
        <v>2018-10-12 10:58:47</v>
      </c>
    </row>
    <row r="16203" spans="1:7" x14ac:dyDescent="0.2">
      <c r="A16203" t="s">
        <v>15619</v>
      </c>
      <c r="B16203" t="str">
        <f>"13336367962"</f>
        <v>13336367962</v>
      </c>
      <c r="C16203" t="str">
        <f>"370702199002250325"</f>
        <v>370702199002250325</v>
      </c>
      <c r="D16203" t="s">
        <v>1</v>
      </c>
      <c r="E16203" t="s">
        <v>1</v>
      </c>
      <c r="F16203" t="s">
        <v>0</v>
      </c>
      <c r="G16203" t="str">
        <f>"2018-10-12 11:02:03"</f>
        <v>2018-10-12 11:02:03</v>
      </c>
    </row>
    <row r="16204" spans="1:7" x14ac:dyDescent="0.2">
      <c r="A16204" t="s">
        <v>1</v>
      </c>
      <c r="B16204" t="str">
        <f>"13732833722"</f>
        <v>13732833722</v>
      </c>
      <c r="C16204" t="s">
        <v>1</v>
      </c>
      <c r="D16204" t="s">
        <v>1</v>
      </c>
      <c r="E16204" t="s">
        <v>1</v>
      </c>
      <c r="F16204" t="s">
        <v>0</v>
      </c>
      <c r="G16204" t="str">
        <f>"2018-10-12 10:57:28"</f>
        <v>2018-10-12 10:57:28</v>
      </c>
    </row>
    <row r="16205" spans="1:7" x14ac:dyDescent="0.2">
      <c r="A16205" t="s">
        <v>15620</v>
      </c>
      <c r="B16205" t="str">
        <f>"18642722224"</f>
        <v>18642722224</v>
      </c>
      <c r="C16205" t="str">
        <f>"211122198811182910"</f>
        <v>211122198811182910</v>
      </c>
      <c r="D16205" t="s">
        <v>1</v>
      </c>
      <c r="E16205" t="s">
        <v>1</v>
      </c>
      <c r="F16205" t="s">
        <v>0</v>
      </c>
      <c r="G16205" t="str">
        <f>"2018-10-12 15:01:49"</f>
        <v>2018-10-12 15:01:49</v>
      </c>
    </row>
    <row r="16206" spans="1:7" x14ac:dyDescent="0.2">
      <c r="A16206" t="s">
        <v>1</v>
      </c>
      <c r="B16206" t="str">
        <f>"13694575615"</f>
        <v>13694575615</v>
      </c>
      <c r="C16206" t="s">
        <v>1</v>
      </c>
      <c r="D16206" t="s">
        <v>1</v>
      </c>
      <c r="E16206" t="s">
        <v>1</v>
      </c>
      <c r="F16206" t="s">
        <v>0</v>
      </c>
      <c r="G16206" t="str">
        <f>"2018-10-12 10:57:25"</f>
        <v>2018-10-12 10:57:25</v>
      </c>
    </row>
    <row r="16207" spans="1:7" x14ac:dyDescent="0.2">
      <c r="A16207" t="s">
        <v>15621</v>
      </c>
      <c r="B16207" t="str">
        <f>"18748370039"</f>
        <v>18748370039</v>
      </c>
      <c r="C16207" t="str">
        <f>"220182199301176424"</f>
        <v>220182199301176424</v>
      </c>
      <c r="D16207" t="s">
        <v>1</v>
      </c>
      <c r="E16207" t="s">
        <v>1</v>
      </c>
      <c r="F16207" t="s">
        <v>0</v>
      </c>
      <c r="G16207" t="str">
        <f>"2018-10-12 11:01:52"</f>
        <v>2018-10-12 11:01:52</v>
      </c>
    </row>
    <row r="16208" spans="1:7" x14ac:dyDescent="0.2">
      <c r="A16208" t="s">
        <v>1</v>
      </c>
      <c r="B16208" t="str">
        <f>"13548482114"</f>
        <v>13548482114</v>
      </c>
      <c r="C16208" t="s">
        <v>1</v>
      </c>
      <c r="D16208" t="s">
        <v>1</v>
      </c>
      <c r="E16208" t="s">
        <v>1</v>
      </c>
      <c r="F16208" t="s">
        <v>0</v>
      </c>
      <c r="G16208" t="str">
        <f>"2018-10-12 10:56:57"</f>
        <v>2018-10-12 10:56:57</v>
      </c>
    </row>
    <row r="16209" spans="1:7" x14ac:dyDescent="0.2">
      <c r="A16209" t="s">
        <v>15622</v>
      </c>
      <c r="B16209" t="str">
        <f>"18584555765"</f>
        <v>18584555765</v>
      </c>
      <c r="C16209" t="str">
        <f>"500106198610263536"</f>
        <v>500106198610263536</v>
      </c>
      <c r="D16209" t="s">
        <v>1</v>
      </c>
      <c r="E16209" t="s">
        <v>1</v>
      </c>
      <c r="F16209" t="s">
        <v>0</v>
      </c>
      <c r="G16209" t="str">
        <f>"2018-10-12 11:08:57"</f>
        <v>2018-10-12 11:08:57</v>
      </c>
    </row>
    <row r="16210" spans="1:7" x14ac:dyDescent="0.2">
      <c r="A16210" t="s">
        <v>1</v>
      </c>
      <c r="B16210" t="str">
        <f>"13599004702"</f>
        <v>13599004702</v>
      </c>
      <c r="C16210" t="s">
        <v>1</v>
      </c>
      <c r="D16210" t="s">
        <v>1</v>
      </c>
      <c r="E16210" t="s">
        <v>1</v>
      </c>
      <c r="F16210" t="s">
        <v>0</v>
      </c>
      <c r="G16210" t="str">
        <f>"2018-10-12 10:56:29"</f>
        <v>2018-10-12 10:56:29</v>
      </c>
    </row>
    <row r="16211" spans="1:7" x14ac:dyDescent="0.2">
      <c r="A16211" t="s">
        <v>15623</v>
      </c>
      <c r="B16211" t="str">
        <f>"18632242193"</f>
        <v>18632242193</v>
      </c>
      <c r="C16211" t="str">
        <f>"130423198810212155"</f>
        <v>130423198810212155</v>
      </c>
      <c r="D16211" t="s">
        <v>1</v>
      </c>
      <c r="E16211" t="s">
        <v>1</v>
      </c>
      <c r="F16211" t="s">
        <v>0</v>
      </c>
      <c r="G16211" t="str">
        <f>"2018-10-12 10:57:23"</f>
        <v>2018-10-12 10:57:23</v>
      </c>
    </row>
    <row r="16212" spans="1:7" x14ac:dyDescent="0.2">
      <c r="A16212" t="s">
        <v>15624</v>
      </c>
      <c r="B16212" t="str">
        <f>"15124228199"</f>
        <v>15124228199</v>
      </c>
      <c r="C16212" t="str">
        <f>"210824196901275695"</f>
        <v>210824196901275695</v>
      </c>
      <c r="D16212" t="s">
        <v>1</v>
      </c>
      <c r="E16212" t="s">
        <v>1</v>
      </c>
      <c r="F16212" t="s">
        <v>0</v>
      </c>
      <c r="G16212" t="str">
        <f>"2018-10-12 10:57:46"</f>
        <v>2018-10-12 10:57:46</v>
      </c>
    </row>
    <row r="16213" spans="1:7" x14ac:dyDescent="0.2">
      <c r="A16213" t="s">
        <v>1</v>
      </c>
      <c r="B16213" t="str">
        <f>"18886133238"</f>
        <v>18886133238</v>
      </c>
      <c r="C16213" t="s">
        <v>1</v>
      </c>
      <c r="D16213" t="s">
        <v>1</v>
      </c>
      <c r="E16213" t="s">
        <v>1</v>
      </c>
      <c r="F16213" t="s">
        <v>0</v>
      </c>
      <c r="G16213" t="str">
        <f>"2018-10-12 10:55:10"</f>
        <v>2018-10-12 10:55:10</v>
      </c>
    </row>
    <row r="16214" spans="1:7" x14ac:dyDescent="0.2">
      <c r="A16214" t="s">
        <v>15625</v>
      </c>
      <c r="B16214" t="str">
        <f>"15281591269"</f>
        <v>15281591269</v>
      </c>
      <c r="C16214" t="str">
        <f>"513326197508280029"</f>
        <v>513326197508280029</v>
      </c>
      <c r="D16214" t="s">
        <v>1</v>
      </c>
      <c r="E16214" t="s">
        <v>1</v>
      </c>
      <c r="F16214" t="s">
        <v>0</v>
      </c>
      <c r="G16214" t="str">
        <f>"2018-10-12 10:56:20"</f>
        <v>2018-10-12 10:56:20</v>
      </c>
    </row>
    <row r="16215" spans="1:7" x14ac:dyDescent="0.2">
      <c r="A16215" t="s">
        <v>1</v>
      </c>
      <c r="B16215" t="str">
        <f>"13733489045"</f>
        <v>13733489045</v>
      </c>
      <c r="C16215" t="s">
        <v>1</v>
      </c>
      <c r="D16215" t="s">
        <v>1</v>
      </c>
      <c r="E16215" t="s">
        <v>1</v>
      </c>
      <c r="F16215" t="s">
        <v>0</v>
      </c>
      <c r="G16215" t="str">
        <f>"2018-10-12 10:54:12"</f>
        <v>2018-10-12 10:54:12</v>
      </c>
    </row>
    <row r="16216" spans="1:7" x14ac:dyDescent="0.2">
      <c r="A16216" t="s">
        <v>1</v>
      </c>
      <c r="B16216" t="str">
        <f>"13542741306"</f>
        <v>13542741306</v>
      </c>
      <c r="C16216" t="s">
        <v>1</v>
      </c>
      <c r="D16216" t="s">
        <v>1</v>
      </c>
      <c r="E16216" t="s">
        <v>1</v>
      </c>
      <c r="F16216" t="s">
        <v>0</v>
      </c>
      <c r="G16216" t="str">
        <f>"2018-10-12 10:53:52"</f>
        <v>2018-10-12 10:53:52</v>
      </c>
    </row>
    <row r="16217" spans="1:7" x14ac:dyDescent="0.2">
      <c r="A16217" t="s">
        <v>15626</v>
      </c>
      <c r="B16217" t="str">
        <f>"13806425535"</f>
        <v>13806425535</v>
      </c>
      <c r="C16217" t="str">
        <f>"370281197812012619"</f>
        <v>370281197812012619</v>
      </c>
      <c r="D16217" t="s">
        <v>1</v>
      </c>
      <c r="E16217" t="s">
        <v>1</v>
      </c>
      <c r="F16217" t="s">
        <v>0</v>
      </c>
      <c r="G16217" t="str">
        <f>"2018-10-12 10:56:17"</f>
        <v>2018-10-12 10:56:17</v>
      </c>
    </row>
    <row r="16218" spans="1:7" x14ac:dyDescent="0.2">
      <c r="A16218" t="s">
        <v>90</v>
      </c>
      <c r="B16218" t="str">
        <f>"15586429476"</f>
        <v>15586429476</v>
      </c>
      <c r="C16218" t="str">
        <f>"422825199106041014"</f>
        <v>422825199106041014</v>
      </c>
      <c r="D16218" t="s">
        <v>15627</v>
      </c>
      <c r="E16218" t="s">
        <v>15628</v>
      </c>
      <c r="F16218" t="s">
        <v>0</v>
      </c>
      <c r="G16218" t="str">
        <f>"2018-10-12 11:20:13"</f>
        <v>2018-10-12 11:20:13</v>
      </c>
    </row>
    <row r="16219" spans="1:7" x14ac:dyDescent="0.2">
      <c r="A16219" t="s">
        <v>1</v>
      </c>
      <c r="B16219" t="str">
        <f>"18871369688"</f>
        <v>18871369688</v>
      </c>
      <c r="C16219" t="s">
        <v>1</v>
      </c>
      <c r="D16219" t="s">
        <v>1</v>
      </c>
      <c r="E16219" t="s">
        <v>1</v>
      </c>
      <c r="F16219" t="s">
        <v>0</v>
      </c>
      <c r="G16219" t="str">
        <f>"2018-10-12 10:53:14"</f>
        <v>2018-10-12 10:53:14</v>
      </c>
    </row>
    <row r="16220" spans="1:7" x14ac:dyDescent="0.2">
      <c r="A16220" t="s">
        <v>15629</v>
      </c>
      <c r="B16220" t="str">
        <f>"13579559019"</f>
        <v>13579559019</v>
      </c>
      <c r="C16220" t="str">
        <f>"632123199203105962"</f>
        <v>632123199203105962</v>
      </c>
      <c r="D16220" t="s">
        <v>15630</v>
      </c>
      <c r="E16220" t="s">
        <v>15631</v>
      </c>
      <c r="F16220" t="s">
        <v>0</v>
      </c>
      <c r="G16220" t="str">
        <f>"2018-10-12 14:09:57"</f>
        <v>2018-10-12 14:09:57</v>
      </c>
    </row>
    <row r="16221" spans="1:7" x14ac:dyDescent="0.2">
      <c r="A16221" t="s">
        <v>15632</v>
      </c>
      <c r="B16221" t="str">
        <f>"13729980511"</f>
        <v>13729980511</v>
      </c>
      <c r="C16221" t="str">
        <f>"412724197901282957"</f>
        <v>412724197901282957</v>
      </c>
      <c r="D16221" t="s">
        <v>1</v>
      </c>
      <c r="E16221" t="s">
        <v>1</v>
      </c>
      <c r="F16221" t="s">
        <v>0</v>
      </c>
      <c r="G16221" t="str">
        <f>"2018-10-12 11:25:04"</f>
        <v>2018-10-12 11:25:04</v>
      </c>
    </row>
    <row r="16222" spans="1:7" x14ac:dyDescent="0.2">
      <c r="A16222" t="s">
        <v>1</v>
      </c>
      <c r="B16222" t="str">
        <f>"15027924947"</f>
        <v>15027924947</v>
      </c>
      <c r="C16222" t="s">
        <v>1</v>
      </c>
      <c r="D16222" t="s">
        <v>1</v>
      </c>
      <c r="E16222" t="s">
        <v>1</v>
      </c>
      <c r="F16222" t="s">
        <v>0</v>
      </c>
      <c r="G16222" t="str">
        <f>"2018-10-12 10:52:09"</f>
        <v>2018-10-12 10:52:09</v>
      </c>
    </row>
    <row r="16223" spans="1:7" x14ac:dyDescent="0.2">
      <c r="A16223" t="s">
        <v>15633</v>
      </c>
      <c r="B16223" t="str">
        <f>"18666780704"</f>
        <v>18666780704</v>
      </c>
      <c r="C16223" t="str">
        <f>"441283198202226077"</f>
        <v>441283198202226077</v>
      </c>
      <c r="D16223" t="s">
        <v>1</v>
      </c>
      <c r="E16223" t="s">
        <v>1</v>
      </c>
      <c r="F16223" t="s">
        <v>0</v>
      </c>
      <c r="G16223" t="str">
        <f>"2018-10-12 10:53:07"</f>
        <v>2018-10-12 10:53:07</v>
      </c>
    </row>
    <row r="16224" spans="1:7" x14ac:dyDescent="0.2">
      <c r="A16224" t="s">
        <v>1</v>
      </c>
      <c r="B16224" t="str">
        <f>"15960663889"</f>
        <v>15960663889</v>
      </c>
      <c r="C16224" t="s">
        <v>1</v>
      </c>
      <c r="D16224" t="s">
        <v>1</v>
      </c>
      <c r="E16224" t="s">
        <v>1</v>
      </c>
      <c r="F16224" t="s">
        <v>0</v>
      </c>
      <c r="G16224" t="str">
        <f>"2018-10-12 10:51:54"</f>
        <v>2018-10-12 10:51:54</v>
      </c>
    </row>
    <row r="16225" spans="1:7" x14ac:dyDescent="0.2">
      <c r="A16225" t="s">
        <v>1764</v>
      </c>
      <c r="B16225" t="str">
        <f>"15893829960"</f>
        <v>15893829960</v>
      </c>
      <c r="C16225" t="str">
        <f>"410724199111012511"</f>
        <v>410724199111012511</v>
      </c>
      <c r="D16225" t="s">
        <v>1</v>
      </c>
      <c r="E16225" t="s">
        <v>1</v>
      </c>
      <c r="F16225" t="s">
        <v>0</v>
      </c>
      <c r="G16225" t="str">
        <f>"2018-10-12 10:53:07"</f>
        <v>2018-10-12 10:53:07</v>
      </c>
    </row>
    <row r="16226" spans="1:7" x14ac:dyDescent="0.2">
      <c r="A16226" t="s">
        <v>1</v>
      </c>
      <c r="B16226" t="str">
        <f>"18145601899"</f>
        <v>18145601899</v>
      </c>
      <c r="C16226" t="s">
        <v>1</v>
      </c>
      <c r="D16226" t="s">
        <v>1</v>
      </c>
      <c r="E16226" t="s">
        <v>1</v>
      </c>
      <c r="F16226" t="s">
        <v>0</v>
      </c>
      <c r="G16226" t="str">
        <f>"2018-10-12 10:51:42"</f>
        <v>2018-10-12 10:51:42</v>
      </c>
    </row>
    <row r="16227" spans="1:7" x14ac:dyDescent="0.2">
      <c r="A16227" t="s">
        <v>1</v>
      </c>
      <c r="B16227" t="str">
        <f>"13674602941"</f>
        <v>13674602941</v>
      </c>
      <c r="C16227" t="s">
        <v>1</v>
      </c>
      <c r="D16227" t="s">
        <v>1</v>
      </c>
      <c r="E16227" t="s">
        <v>1</v>
      </c>
      <c r="F16227" t="s">
        <v>0</v>
      </c>
      <c r="G16227" t="str">
        <f>"2018-10-12 10:52:46"</f>
        <v>2018-10-12 10:52:46</v>
      </c>
    </row>
    <row r="16228" spans="1:7" x14ac:dyDescent="0.2">
      <c r="A16228" t="s">
        <v>1148</v>
      </c>
      <c r="B16228" t="str">
        <f>"15945583225"</f>
        <v>15945583225</v>
      </c>
      <c r="C16228" t="str">
        <f>"232331199310163013"</f>
        <v>232331199310163013</v>
      </c>
      <c r="D16228" t="s">
        <v>1</v>
      </c>
      <c r="E16228" t="s">
        <v>1</v>
      </c>
      <c r="F16228" t="s">
        <v>0</v>
      </c>
      <c r="G16228" t="str">
        <f>"2018-10-12 10:53:11"</f>
        <v>2018-10-12 10:53:11</v>
      </c>
    </row>
    <row r="16229" spans="1:7" x14ac:dyDescent="0.2">
      <c r="A16229" t="s">
        <v>15634</v>
      </c>
      <c r="B16229" t="str">
        <f>"13654532131"</f>
        <v>13654532131</v>
      </c>
      <c r="C16229" t="str">
        <f>"232324198902065136"</f>
        <v>232324198902065136</v>
      </c>
      <c r="D16229" t="s">
        <v>1</v>
      </c>
      <c r="E16229" t="s">
        <v>1</v>
      </c>
      <c r="F16229" t="s">
        <v>0</v>
      </c>
      <c r="G16229" t="str">
        <f>"2018-10-12 10:51:09"</f>
        <v>2018-10-12 10:51:09</v>
      </c>
    </row>
    <row r="16230" spans="1:7" x14ac:dyDescent="0.2">
      <c r="A16230" t="s">
        <v>1</v>
      </c>
      <c r="B16230" t="str">
        <f>"17783852226"</f>
        <v>17783852226</v>
      </c>
      <c r="C16230" t="s">
        <v>1</v>
      </c>
      <c r="D16230" t="s">
        <v>1</v>
      </c>
      <c r="E16230" t="s">
        <v>1</v>
      </c>
      <c r="F16230" t="s">
        <v>0</v>
      </c>
      <c r="G16230" t="str">
        <f>"2018-10-12 10:50:27"</f>
        <v>2018-10-12 10:50:27</v>
      </c>
    </row>
    <row r="16231" spans="1:7" x14ac:dyDescent="0.2">
      <c r="A16231" t="s">
        <v>15635</v>
      </c>
      <c r="B16231" t="str">
        <f>"18547535620"</f>
        <v>18547535620</v>
      </c>
      <c r="C16231" t="str">
        <f>"152326199104173578"</f>
        <v>152326199104173578</v>
      </c>
      <c r="D16231" t="s">
        <v>1</v>
      </c>
      <c r="E16231" t="s">
        <v>1</v>
      </c>
      <c r="F16231" t="s">
        <v>0</v>
      </c>
      <c r="G16231" t="str">
        <f>"2018-10-12 11:02:56"</f>
        <v>2018-10-12 11:02:56</v>
      </c>
    </row>
    <row r="16232" spans="1:7" x14ac:dyDescent="0.2">
      <c r="A16232" t="s">
        <v>15636</v>
      </c>
      <c r="B16232" t="str">
        <f>"13972895407"</f>
        <v>13972895407</v>
      </c>
      <c r="C16232" t="str">
        <f>"420881197906100019"</f>
        <v>420881197906100019</v>
      </c>
      <c r="D16232" t="s">
        <v>1</v>
      </c>
      <c r="E16232" t="s">
        <v>1</v>
      </c>
      <c r="F16232" t="s">
        <v>0</v>
      </c>
      <c r="G16232" t="str">
        <f>"2018-10-12 10:52:54"</f>
        <v>2018-10-12 10:52:54</v>
      </c>
    </row>
    <row r="16233" spans="1:7" x14ac:dyDescent="0.2">
      <c r="A16233" t="s">
        <v>15637</v>
      </c>
      <c r="B16233" t="str">
        <f>"15858247900"</f>
        <v>15858247900</v>
      </c>
      <c r="C16233" t="str">
        <f>"330105199210280616"</f>
        <v>330105199210280616</v>
      </c>
      <c r="D16233" t="s">
        <v>1</v>
      </c>
      <c r="E16233" t="s">
        <v>1</v>
      </c>
      <c r="F16233" t="s">
        <v>0</v>
      </c>
      <c r="G16233" t="str">
        <f>"2018-10-12 14:13:43"</f>
        <v>2018-10-12 14:13:43</v>
      </c>
    </row>
    <row r="16234" spans="1:7" x14ac:dyDescent="0.2">
      <c r="A16234" t="s">
        <v>15638</v>
      </c>
      <c r="B16234" t="str">
        <f>"15011322307"</f>
        <v>15011322307</v>
      </c>
      <c r="C16234" t="str">
        <f>"410183198701297097"</f>
        <v>410183198701297097</v>
      </c>
      <c r="D16234" t="s">
        <v>1</v>
      </c>
      <c r="E16234" t="s">
        <v>1</v>
      </c>
      <c r="F16234" t="s">
        <v>0</v>
      </c>
      <c r="G16234" t="str">
        <f>"2018-10-12 10:50:00"</f>
        <v>2018-10-12 10:50:00</v>
      </c>
    </row>
    <row r="16235" spans="1:7" x14ac:dyDescent="0.2">
      <c r="A16235" t="s">
        <v>1</v>
      </c>
      <c r="B16235" t="str">
        <f>"17560380785"</f>
        <v>17560380785</v>
      </c>
      <c r="C16235" t="s">
        <v>1</v>
      </c>
      <c r="D16235" t="s">
        <v>1</v>
      </c>
      <c r="E16235" t="s">
        <v>1</v>
      </c>
      <c r="F16235" t="s">
        <v>0</v>
      </c>
      <c r="G16235" t="str">
        <f>"2018-10-12 11:21:35"</f>
        <v>2018-10-12 11:21:35</v>
      </c>
    </row>
    <row r="16236" spans="1:7" x14ac:dyDescent="0.2">
      <c r="A16236" t="s">
        <v>15639</v>
      </c>
      <c r="B16236" t="str">
        <f>"15043855111"</f>
        <v>15043855111</v>
      </c>
      <c r="C16236" t="str">
        <f>"220722199209144637"</f>
        <v>220722199209144637</v>
      </c>
      <c r="D16236" t="s">
        <v>1</v>
      </c>
      <c r="E16236" t="s">
        <v>1</v>
      </c>
      <c r="F16236" t="s">
        <v>0</v>
      </c>
      <c r="G16236" t="str">
        <f>"2018-10-13 00:18:44"</f>
        <v>2018-10-13 00:18:44</v>
      </c>
    </row>
    <row r="16237" spans="1:7" x14ac:dyDescent="0.2">
      <c r="A16237" t="s">
        <v>15640</v>
      </c>
      <c r="B16237" t="str">
        <f>"13860539911"</f>
        <v>13860539911</v>
      </c>
      <c r="C16237" t="str">
        <f>"350125197405022465"</f>
        <v>350125197405022465</v>
      </c>
      <c r="D16237" t="s">
        <v>1</v>
      </c>
      <c r="E16237" t="s">
        <v>1</v>
      </c>
      <c r="F16237" t="s">
        <v>0</v>
      </c>
      <c r="G16237" t="str">
        <f>"2018-10-13 13:03:46"</f>
        <v>2018-10-13 13:03:46</v>
      </c>
    </row>
    <row r="16238" spans="1:7" x14ac:dyDescent="0.2">
      <c r="A16238" t="s">
        <v>1</v>
      </c>
      <c r="B16238" t="str">
        <f>"15203796951"</f>
        <v>15203796951</v>
      </c>
      <c r="C16238" t="s">
        <v>1</v>
      </c>
      <c r="D16238" t="s">
        <v>1</v>
      </c>
      <c r="E16238" t="s">
        <v>1</v>
      </c>
      <c r="F16238" t="s">
        <v>0</v>
      </c>
      <c r="G16238" t="str">
        <f>"2018-10-12 10:44:43"</f>
        <v>2018-10-12 10:44:43</v>
      </c>
    </row>
    <row r="16239" spans="1:7" x14ac:dyDescent="0.2">
      <c r="A16239" t="s">
        <v>15641</v>
      </c>
      <c r="B16239" t="str">
        <f>"13977488360"</f>
        <v>13977488360</v>
      </c>
      <c r="C16239" t="str">
        <f>"450411197108271010"</f>
        <v>450411197108271010</v>
      </c>
      <c r="D16239" t="s">
        <v>1</v>
      </c>
      <c r="E16239" t="s">
        <v>1</v>
      </c>
      <c r="F16239" t="s">
        <v>0</v>
      </c>
      <c r="G16239" t="str">
        <f>"2018-10-12 10:46:27"</f>
        <v>2018-10-12 10:46:27</v>
      </c>
    </row>
    <row r="16240" spans="1:7" x14ac:dyDescent="0.2">
      <c r="A16240" t="s">
        <v>15642</v>
      </c>
      <c r="B16240" t="str">
        <f>"18292500421"</f>
        <v>18292500421</v>
      </c>
      <c r="C16240" t="str">
        <f>"612422198209111054"</f>
        <v>612422198209111054</v>
      </c>
      <c r="D16240" t="s">
        <v>1</v>
      </c>
      <c r="E16240" t="s">
        <v>1</v>
      </c>
      <c r="F16240" t="s">
        <v>0</v>
      </c>
      <c r="G16240" t="str">
        <f>"2018-10-12 10:44:09"</f>
        <v>2018-10-12 10:44:09</v>
      </c>
    </row>
    <row r="16241" spans="1:7" x14ac:dyDescent="0.2">
      <c r="A16241" t="s">
        <v>8</v>
      </c>
      <c r="B16241" t="str">
        <f>"13904472696"</f>
        <v>13904472696</v>
      </c>
      <c r="C16241" t="str">
        <f>"222404197103310215"</f>
        <v>222404197103310215</v>
      </c>
      <c r="D16241" t="s">
        <v>1</v>
      </c>
      <c r="E16241" t="s">
        <v>1</v>
      </c>
      <c r="F16241" t="s">
        <v>0</v>
      </c>
      <c r="G16241" t="str">
        <f>"2018-10-15 20:54:55"</f>
        <v>2018-10-15 20:54:55</v>
      </c>
    </row>
    <row r="16242" spans="1:7" x14ac:dyDescent="0.2">
      <c r="A16242" t="s">
        <v>15643</v>
      </c>
      <c r="B16242" t="str">
        <f>"18916051660"</f>
        <v>18916051660</v>
      </c>
      <c r="C16242" t="str">
        <f>"340322199408281656"</f>
        <v>340322199408281656</v>
      </c>
      <c r="D16242" t="s">
        <v>1</v>
      </c>
      <c r="E16242" t="s">
        <v>1</v>
      </c>
      <c r="F16242" t="s">
        <v>0</v>
      </c>
      <c r="G16242" t="str">
        <f>"2018-10-16 19:18:02"</f>
        <v>2018-10-16 19:18:02</v>
      </c>
    </row>
    <row r="16243" spans="1:7" x14ac:dyDescent="0.2">
      <c r="A16243" t="s">
        <v>1</v>
      </c>
      <c r="B16243" t="str">
        <f>"13686803275"</f>
        <v>13686803275</v>
      </c>
      <c r="C16243" t="s">
        <v>1</v>
      </c>
      <c r="D16243" t="s">
        <v>1</v>
      </c>
      <c r="E16243" t="s">
        <v>1</v>
      </c>
      <c r="F16243" t="s">
        <v>0</v>
      </c>
      <c r="G16243" t="str">
        <f>"2018-10-12 10:43:56"</f>
        <v>2018-10-12 10:43:56</v>
      </c>
    </row>
    <row r="16244" spans="1:7" x14ac:dyDescent="0.2">
      <c r="A16244" t="s">
        <v>1</v>
      </c>
      <c r="B16244" t="str">
        <f>"17777081821"</f>
        <v>17777081821</v>
      </c>
      <c r="C16244" t="s">
        <v>1</v>
      </c>
      <c r="D16244" t="s">
        <v>1</v>
      </c>
      <c r="E16244" t="s">
        <v>1</v>
      </c>
      <c r="F16244" t="s">
        <v>0</v>
      </c>
      <c r="G16244" t="str">
        <f>"2018-10-12 10:43:55"</f>
        <v>2018-10-12 10:43:55</v>
      </c>
    </row>
    <row r="16245" spans="1:7" x14ac:dyDescent="0.2">
      <c r="A16245" t="s">
        <v>15644</v>
      </c>
      <c r="B16245" t="str">
        <f>"15167592027"</f>
        <v>15167592027</v>
      </c>
      <c r="C16245" t="str">
        <f>"330183198206052615"</f>
        <v>330183198206052615</v>
      </c>
      <c r="D16245" t="s">
        <v>15645</v>
      </c>
      <c r="E16245" t="s">
        <v>15646</v>
      </c>
      <c r="F16245" t="s">
        <v>0</v>
      </c>
      <c r="G16245" t="str">
        <f>"2018-10-14 17:33:12"</f>
        <v>2018-10-14 17:33:12</v>
      </c>
    </row>
    <row r="16246" spans="1:7" x14ac:dyDescent="0.2">
      <c r="A16246" t="s">
        <v>15647</v>
      </c>
      <c r="B16246" t="str">
        <f>"15085470505"</f>
        <v>15085470505</v>
      </c>
      <c r="C16246" t="str">
        <f>"522130198305100031"</f>
        <v>522130198305100031</v>
      </c>
      <c r="D16246" t="s">
        <v>15648</v>
      </c>
      <c r="E16246" t="s">
        <v>15649</v>
      </c>
      <c r="F16246" t="s">
        <v>0</v>
      </c>
      <c r="G16246" t="str">
        <f>"2018-10-12 17:38:20"</f>
        <v>2018-10-12 17:38:20</v>
      </c>
    </row>
    <row r="16247" spans="1:7" x14ac:dyDescent="0.2">
      <c r="A16247" t="s">
        <v>15650</v>
      </c>
      <c r="B16247" t="str">
        <f>"13625947119"</f>
        <v>13625947119</v>
      </c>
      <c r="C16247" t="str">
        <f>"350625198201270514"</f>
        <v>350625198201270514</v>
      </c>
      <c r="D16247" t="s">
        <v>15651</v>
      </c>
      <c r="E16247" t="s">
        <v>15652</v>
      </c>
      <c r="F16247" t="s">
        <v>0</v>
      </c>
      <c r="G16247" t="str">
        <f>"2018-10-29 16:40:15"</f>
        <v>2018-10-29 16:40:15</v>
      </c>
    </row>
    <row r="16248" spans="1:7" x14ac:dyDescent="0.2">
      <c r="A16248" t="s">
        <v>1</v>
      </c>
      <c r="B16248" t="str">
        <f>"18859638118"</f>
        <v>18859638118</v>
      </c>
      <c r="C16248" t="s">
        <v>1</v>
      </c>
      <c r="D16248" t="s">
        <v>1</v>
      </c>
      <c r="E16248" t="s">
        <v>1</v>
      </c>
      <c r="F16248" t="s">
        <v>0</v>
      </c>
      <c r="G16248" t="str">
        <f>"2018-10-12 10:41:27"</f>
        <v>2018-10-12 10:41:27</v>
      </c>
    </row>
    <row r="16249" spans="1:7" x14ac:dyDescent="0.2">
      <c r="A16249" t="s">
        <v>15653</v>
      </c>
      <c r="B16249" t="str">
        <f>"18580119997"</f>
        <v>18580119997</v>
      </c>
      <c r="C16249" t="str">
        <f>"500383199510243990"</f>
        <v>500383199510243990</v>
      </c>
      <c r="D16249" t="s">
        <v>1</v>
      </c>
      <c r="E16249" t="s">
        <v>1</v>
      </c>
      <c r="F16249" t="s">
        <v>0</v>
      </c>
      <c r="G16249" t="str">
        <f>"2018-10-12 10:46:10"</f>
        <v>2018-10-12 10:46:10</v>
      </c>
    </row>
    <row r="16250" spans="1:7" x14ac:dyDescent="0.2">
      <c r="A16250" t="s">
        <v>1</v>
      </c>
      <c r="B16250" t="str">
        <f>"15071264276"</f>
        <v>15071264276</v>
      </c>
      <c r="C16250" t="s">
        <v>1</v>
      </c>
      <c r="D16250" t="s">
        <v>1</v>
      </c>
      <c r="E16250" t="s">
        <v>1</v>
      </c>
      <c r="F16250" t="s">
        <v>0</v>
      </c>
      <c r="G16250" t="str">
        <f>"2018-10-12 10:41:04"</f>
        <v>2018-10-12 10:41:04</v>
      </c>
    </row>
    <row r="16251" spans="1:7" x14ac:dyDescent="0.2">
      <c r="A16251" t="s">
        <v>308</v>
      </c>
      <c r="B16251" t="str">
        <f>"15524877890"</f>
        <v>15524877890</v>
      </c>
      <c r="C16251" t="str">
        <f>"210111198807075020"</f>
        <v>210111198807075020</v>
      </c>
      <c r="D16251" t="s">
        <v>1</v>
      </c>
      <c r="E16251" t="s">
        <v>1</v>
      </c>
      <c r="F16251" t="s">
        <v>0</v>
      </c>
      <c r="G16251" t="str">
        <f>"2018-10-12 10:42:54"</f>
        <v>2018-10-12 10:42:54</v>
      </c>
    </row>
    <row r="16252" spans="1:7" x14ac:dyDescent="0.2">
      <c r="A16252" t="s">
        <v>1</v>
      </c>
      <c r="B16252" t="str">
        <f>"13637913670"</f>
        <v>13637913670</v>
      </c>
      <c r="C16252" t="s">
        <v>1</v>
      </c>
      <c r="D16252" t="s">
        <v>1</v>
      </c>
      <c r="E16252" t="s">
        <v>1</v>
      </c>
      <c r="F16252" t="s">
        <v>0</v>
      </c>
      <c r="G16252" t="str">
        <f>"2018-10-12 10:40:19"</f>
        <v>2018-10-12 10:40:19</v>
      </c>
    </row>
    <row r="16253" spans="1:7" x14ac:dyDescent="0.2">
      <c r="A16253" t="s">
        <v>15654</v>
      </c>
      <c r="B16253" t="str">
        <f>"15086979821"</f>
        <v>15086979821</v>
      </c>
      <c r="C16253" t="str">
        <f>"500383198708131973"</f>
        <v>500383198708131973</v>
      </c>
      <c r="D16253" t="s">
        <v>15655</v>
      </c>
      <c r="E16253" t="s">
        <v>15656</v>
      </c>
      <c r="F16253" t="s">
        <v>0</v>
      </c>
      <c r="G16253" t="str">
        <f>"2018-10-12 11:15:02"</f>
        <v>2018-10-12 11:15:02</v>
      </c>
    </row>
    <row r="16254" spans="1:7" x14ac:dyDescent="0.2">
      <c r="A16254" t="s">
        <v>1</v>
      </c>
      <c r="B16254" t="str">
        <f>"13626921605"</f>
        <v>13626921605</v>
      </c>
      <c r="C16254" t="s">
        <v>1</v>
      </c>
      <c r="D16254" t="s">
        <v>1</v>
      </c>
      <c r="E16254" t="s">
        <v>1</v>
      </c>
      <c r="F16254" t="s">
        <v>0</v>
      </c>
      <c r="G16254" t="str">
        <f>"2018-10-12 11:03:35"</f>
        <v>2018-10-12 11:03:35</v>
      </c>
    </row>
    <row r="16255" spans="1:7" x14ac:dyDescent="0.2">
      <c r="A16255" t="s">
        <v>15657</v>
      </c>
      <c r="B16255" t="str">
        <f>"13590645637"</f>
        <v>13590645637</v>
      </c>
      <c r="C16255" t="str">
        <f>"452502198307105811"</f>
        <v>452502198307105811</v>
      </c>
      <c r="D16255" t="s">
        <v>1</v>
      </c>
      <c r="E16255" t="s">
        <v>1</v>
      </c>
      <c r="F16255" t="s">
        <v>0</v>
      </c>
      <c r="G16255" t="str">
        <f>"2018-10-19 15:19:45"</f>
        <v>2018-10-19 15:19:45</v>
      </c>
    </row>
    <row r="16256" spans="1:7" x14ac:dyDescent="0.2">
      <c r="A16256" t="s">
        <v>15658</v>
      </c>
      <c r="B16256" t="str">
        <f>"18295951701"</f>
        <v>18295951701</v>
      </c>
      <c r="C16256" t="str">
        <f>"140821198507140014"</f>
        <v>140821198507140014</v>
      </c>
      <c r="D16256" t="s">
        <v>1</v>
      </c>
      <c r="E16256" t="s">
        <v>1</v>
      </c>
      <c r="F16256" t="s">
        <v>0</v>
      </c>
      <c r="G16256" t="str">
        <f>"2018-10-16 09:43:09"</f>
        <v>2018-10-16 09:43:09</v>
      </c>
    </row>
    <row r="16257" spans="1:7" x14ac:dyDescent="0.2">
      <c r="A16257" t="s">
        <v>1</v>
      </c>
      <c r="B16257" t="str">
        <f>"15949444463"</f>
        <v>15949444463</v>
      </c>
      <c r="C16257" t="s">
        <v>1</v>
      </c>
      <c r="D16257" t="s">
        <v>1</v>
      </c>
      <c r="E16257" t="s">
        <v>1</v>
      </c>
      <c r="F16257" t="s">
        <v>0</v>
      </c>
      <c r="G16257" t="str">
        <f>"2018-10-12 10:39:14"</f>
        <v>2018-10-12 10:39:14</v>
      </c>
    </row>
    <row r="16258" spans="1:7" x14ac:dyDescent="0.2">
      <c r="A16258" t="s">
        <v>1315</v>
      </c>
      <c r="B16258" t="str">
        <f>"18623078633"</f>
        <v>18623078633</v>
      </c>
      <c r="C16258" t="str">
        <f>"50023419921016338X"</f>
        <v>50023419921016338X</v>
      </c>
      <c r="D16258" t="s">
        <v>1</v>
      </c>
      <c r="E16258" t="s">
        <v>1</v>
      </c>
      <c r="F16258" t="s">
        <v>0</v>
      </c>
      <c r="G16258" t="str">
        <f>"2018-10-12 10:40:37"</f>
        <v>2018-10-12 10:40:37</v>
      </c>
    </row>
    <row r="16259" spans="1:7" x14ac:dyDescent="0.2">
      <c r="A16259" t="s">
        <v>15659</v>
      </c>
      <c r="B16259" t="str">
        <f>"15053878168"</f>
        <v>15053878168</v>
      </c>
      <c r="C16259" t="str">
        <f>"37098319970227284X"</f>
        <v>37098319970227284X</v>
      </c>
      <c r="D16259" t="s">
        <v>1</v>
      </c>
      <c r="E16259" t="s">
        <v>1</v>
      </c>
      <c r="F16259" t="s">
        <v>0</v>
      </c>
      <c r="G16259" t="str">
        <f>"2018-10-12 10:54:00"</f>
        <v>2018-10-12 10:54:00</v>
      </c>
    </row>
    <row r="16260" spans="1:7" x14ac:dyDescent="0.2">
      <c r="A16260" t="s">
        <v>15660</v>
      </c>
      <c r="B16260" t="str">
        <f>"13635016585"</f>
        <v>13635016585</v>
      </c>
      <c r="C16260" t="str">
        <f>"452502198111085257"</f>
        <v>452502198111085257</v>
      </c>
      <c r="D16260" t="s">
        <v>1</v>
      </c>
      <c r="E16260" t="s">
        <v>1</v>
      </c>
      <c r="F16260" t="s">
        <v>0</v>
      </c>
      <c r="G16260" t="str">
        <f>"2018-10-12 10:40:15"</f>
        <v>2018-10-12 10:40:15</v>
      </c>
    </row>
    <row r="16261" spans="1:7" x14ac:dyDescent="0.2">
      <c r="A16261" t="s">
        <v>1</v>
      </c>
      <c r="B16261" t="str">
        <f>"13672029200"</f>
        <v>13672029200</v>
      </c>
      <c r="C16261" t="s">
        <v>1</v>
      </c>
      <c r="D16261" t="s">
        <v>1</v>
      </c>
      <c r="E16261" t="s">
        <v>1</v>
      </c>
      <c r="F16261" t="s">
        <v>0</v>
      </c>
      <c r="G16261" t="str">
        <f>"2018-10-12 10:38:33"</f>
        <v>2018-10-12 10:38:33</v>
      </c>
    </row>
    <row r="16262" spans="1:7" x14ac:dyDescent="0.2">
      <c r="A16262" t="s">
        <v>15661</v>
      </c>
      <c r="B16262" t="str">
        <f>"15685779998"</f>
        <v>15685779998</v>
      </c>
      <c r="C16262" t="str">
        <f>"522401199012137630"</f>
        <v>522401199012137630</v>
      </c>
      <c r="D16262" t="s">
        <v>1</v>
      </c>
      <c r="E16262" t="s">
        <v>1</v>
      </c>
      <c r="F16262" t="s">
        <v>0</v>
      </c>
      <c r="G16262" t="str">
        <f>"2018-10-12 10:42:16"</f>
        <v>2018-10-12 10:42:16</v>
      </c>
    </row>
    <row r="16263" spans="1:7" x14ac:dyDescent="0.2">
      <c r="A16263" t="s">
        <v>15662</v>
      </c>
      <c r="B16263" t="str">
        <f>"13178652876"</f>
        <v>13178652876</v>
      </c>
      <c r="C16263" t="str">
        <f>"42122119891006001X"</f>
        <v>42122119891006001X</v>
      </c>
      <c r="D16263" t="s">
        <v>1</v>
      </c>
      <c r="E16263" t="s">
        <v>1</v>
      </c>
      <c r="F16263" t="s">
        <v>0</v>
      </c>
      <c r="G16263" t="str">
        <f>"2018-10-12 10:49:38"</f>
        <v>2018-10-12 10:49:38</v>
      </c>
    </row>
    <row r="16264" spans="1:7" x14ac:dyDescent="0.2">
      <c r="A16264" t="s">
        <v>131</v>
      </c>
      <c r="B16264" t="str">
        <f>"18696132193"</f>
        <v>18696132193</v>
      </c>
      <c r="C16264" t="str">
        <f>"429005198802010919"</f>
        <v>429005198802010919</v>
      </c>
      <c r="D16264" t="s">
        <v>1</v>
      </c>
      <c r="E16264" t="s">
        <v>1</v>
      </c>
      <c r="F16264" t="s">
        <v>0</v>
      </c>
      <c r="G16264" t="str">
        <f>"2018-10-14 16:20:01"</f>
        <v>2018-10-14 16:20:01</v>
      </c>
    </row>
    <row r="16265" spans="1:7" x14ac:dyDescent="0.2">
      <c r="A16265" t="s">
        <v>15663</v>
      </c>
      <c r="B16265" t="str">
        <f>"18759383320"</f>
        <v>18759383320</v>
      </c>
      <c r="C16265" t="str">
        <f>"352202198305163030"</f>
        <v>352202198305163030</v>
      </c>
      <c r="D16265" t="s">
        <v>1</v>
      </c>
      <c r="E16265" t="s">
        <v>1</v>
      </c>
      <c r="F16265" t="s">
        <v>0</v>
      </c>
      <c r="G16265" t="str">
        <f>"2018-10-12 10:38:38"</f>
        <v>2018-10-12 10:38:38</v>
      </c>
    </row>
    <row r="16266" spans="1:7" x14ac:dyDescent="0.2">
      <c r="A16266" t="s">
        <v>15664</v>
      </c>
      <c r="B16266" t="str">
        <f>"15087675948"</f>
        <v>15087675948</v>
      </c>
      <c r="C16266" t="str">
        <f>"53282219830105455X"</f>
        <v>53282219830105455X</v>
      </c>
      <c r="D16266" t="s">
        <v>1</v>
      </c>
      <c r="E16266" t="s">
        <v>1</v>
      </c>
      <c r="F16266" t="s">
        <v>0</v>
      </c>
      <c r="G16266" t="str">
        <f>"2018-10-12 10:38:44"</f>
        <v>2018-10-12 10:38:44</v>
      </c>
    </row>
    <row r="16267" spans="1:7" x14ac:dyDescent="0.2">
      <c r="A16267" t="s">
        <v>15665</v>
      </c>
      <c r="B16267" t="str">
        <f>"18803282702"</f>
        <v>18803282702</v>
      </c>
      <c r="C16267" t="str">
        <f>"13112819921101588X"</f>
        <v>13112819921101588X</v>
      </c>
      <c r="D16267" t="s">
        <v>1</v>
      </c>
      <c r="E16267" t="s">
        <v>1</v>
      </c>
      <c r="F16267" t="s">
        <v>0</v>
      </c>
      <c r="G16267" t="str">
        <f>"2018-10-12 10:39:02"</f>
        <v>2018-10-12 10:39:02</v>
      </c>
    </row>
    <row r="16268" spans="1:7" x14ac:dyDescent="0.2">
      <c r="A16268" t="s">
        <v>15666</v>
      </c>
      <c r="B16268" t="str">
        <f>"15347778519"</f>
        <v>15347778519</v>
      </c>
      <c r="C16268" t="str">
        <f>"452724199101051022"</f>
        <v>452724199101051022</v>
      </c>
      <c r="D16268" t="s">
        <v>1</v>
      </c>
      <c r="E16268" t="s">
        <v>1</v>
      </c>
      <c r="F16268" t="s">
        <v>0</v>
      </c>
      <c r="G16268" t="str">
        <f>"2018-10-14 17:36:33"</f>
        <v>2018-10-14 17:36:33</v>
      </c>
    </row>
    <row r="16269" spans="1:7" x14ac:dyDescent="0.2">
      <c r="A16269" t="s">
        <v>1187</v>
      </c>
      <c r="B16269" t="str">
        <f>"13251522066"</f>
        <v>13251522066</v>
      </c>
      <c r="C16269" t="str">
        <f>"230208199405100217"</f>
        <v>230208199405100217</v>
      </c>
      <c r="D16269" t="s">
        <v>1</v>
      </c>
      <c r="E16269" t="s">
        <v>1</v>
      </c>
      <c r="F16269" t="s">
        <v>0</v>
      </c>
      <c r="G16269" t="str">
        <f>"2018-10-12 10:37:17"</f>
        <v>2018-10-12 10:37:17</v>
      </c>
    </row>
    <row r="16270" spans="1:7" x14ac:dyDescent="0.2">
      <c r="A16270" t="s">
        <v>15667</v>
      </c>
      <c r="B16270" t="str">
        <f>"18252578000"</f>
        <v>18252578000</v>
      </c>
      <c r="C16270" t="str">
        <f>"320811198711010592"</f>
        <v>320811198711010592</v>
      </c>
      <c r="D16270" t="s">
        <v>1</v>
      </c>
      <c r="E16270" t="s">
        <v>1</v>
      </c>
      <c r="F16270" t="s">
        <v>0</v>
      </c>
      <c r="G16270" t="str">
        <f>"2018-10-12 10:39:07"</f>
        <v>2018-10-12 10:39:07</v>
      </c>
    </row>
    <row r="16271" spans="1:7" x14ac:dyDescent="0.2">
      <c r="A16271" t="s">
        <v>15668</v>
      </c>
      <c r="B16271" t="str">
        <f>"17628245804"</f>
        <v>17628245804</v>
      </c>
      <c r="C16271" t="str">
        <f>"513701200010023614"</f>
        <v>513701200010023614</v>
      </c>
      <c r="D16271" t="s">
        <v>15669</v>
      </c>
      <c r="E16271" t="s">
        <v>15670</v>
      </c>
      <c r="F16271" t="s">
        <v>0</v>
      </c>
      <c r="G16271" t="str">
        <f>"2018-10-12 11:16:34"</f>
        <v>2018-10-12 11:16:34</v>
      </c>
    </row>
    <row r="16272" spans="1:7" x14ac:dyDescent="0.2">
      <c r="A16272" t="s">
        <v>15671</v>
      </c>
      <c r="B16272" t="str">
        <f>"18945915726"</f>
        <v>18945915726</v>
      </c>
      <c r="C16272" t="str">
        <f>"230622198001281095"</f>
        <v>230622198001281095</v>
      </c>
      <c r="D16272" t="s">
        <v>15672</v>
      </c>
      <c r="E16272" t="s">
        <v>15673</v>
      </c>
      <c r="F16272" t="s">
        <v>0</v>
      </c>
      <c r="G16272" t="str">
        <f>"2018-10-12 12:29:24"</f>
        <v>2018-10-12 12:29:24</v>
      </c>
    </row>
    <row r="16273" spans="1:7" x14ac:dyDescent="0.2">
      <c r="A16273" t="s">
        <v>15674</v>
      </c>
      <c r="B16273" t="str">
        <f>"15575273043"</f>
        <v>15575273043</v>
      </c>
      <c r="C16273" t="str">
        <f>"431123200007250043"</f>
        <v>431123200007250043</v>
      </c>
      <c r="D16273" t="s">
        <v>15675</v>
      </c>
      <c r="E16273" t="s">
        <v>15676</v>
      </c>
      <c r="F16273" t="s">
        <v>0</v>
      </c>
      <c r="G16273" t="str">
        <f>"2018-10-12 10:57:07"</f>
        <v>2018-10-12 10:57:07</v>
      </c>
    </row>
    <row r="16274" spans="1:7" x14ac:dyDescent="0.2">
      <c r="A16274" t="s">
        <v>15677</v>
      </c>
      <c r="B16274" t="str">
        <f>"13755101133"</f>
        <v>13755101133</v>
      </c>
      <c r="C16274" t="str">
        <f>"430722197904080727"</f>
        <v>430722197904080727</v>
      </c>
      <c r="D16274" t="s">
        <v>1</v>
      </c>
      <c r="E16274" t="s">
        <v>1</v>
      </c>
      <c r="F16274" t="s">
        <v>0</v>
      </c>
      <c r="G16274" t="str">
        <f>"2018-10-12 10:34:00"</f>
        <v>2018-10-12 10:34:00</v>
      </c>
    </row>
    <row r="16275" spans="1:7" x14ac:dyDescent="0.2">
      <c r="A16275" t="s">
        <v>1</v>
      </c>
      <c r="B16275" t="str">
        <f>"18212257474"</f>
        <v>18212257474</v>
      </c>
      <c r="C16275" t="s">
        <v>1</v>
      </c>
      <c r="D16275" t="s">
        <v>1</v>
      </c>
      <c r="E16275" t="s">
        <v>1</v>
      </c>
      <c r="F16275" t="s">
        <v>0</v>
      </c>
      <c r="G16275" t="str">
        <f>"2018-10-12 10:33:55"</f>
        <v>2018-10-12 10:33:55</v>
      </c>
    </row>
    <row r="16276" spans="1:7" x14ac:dyDescent="0.2">
      <c r="A16276" t="s">
        <v>15678</v>
      </c>
      <c r="B16276" t="str">
        <f>"15040089554"</f>
        <v>15040089554</v>
      </c>
      <c r="C16276" t="str">
        <f>"210104197811253741"</f>
        <v>210104197811253741</v>
      </c>
      <c r="D16276" t="s">
        <v>1</v>
      </c>
      <c r="E16276" t="s">
        <v>1</v>
      </c>
      <c r="F16276" t="s">
        <v>0</v>
      </c>
      <c r="G16276" t="str">
        <f>"2018-10-12 10:48:57"</f>
        <v>2018-10-12 10:48:57</v>
      </c>
    </row>
    <row r="16277" spans="1:7" x14ac:dyDescent="0.2">
      <c r="A16277" t="s">
        <v>15679</v>
      </c>
      <c r="B16277" t="str">
        <f>"15995425193"</f>
        <v>15995425193</v>
      </c>
      <c r="C16277" t="str">
        <f>"321023198601274215"</f>
        <v>321023198601274215</v>
      </c>
      <c r="D16277" t="s">
        <v>1</v>
      </c>
      <c r="E16277" t="s">
        <v>1</v>
      </c>
      <c r="F16277" t="s">
        <v>0</v>
      </c>
      <c r="G16277" t="str">
        <f>"2018-10-19 11:48:33"</f>
        <v>2018-10-19 11:48:33</v>
      </c>
    </row>
    <row r="16278" spans="1:7" x14ac:dyDescent="0.2">
      <c r="A16278" t="s">
        <v>1383</v>
      </c>
      <c r="B16278" t="str">
        <f>"15105129190"</f>
        <v>15105129190</v>
      </c>
      <c r="C16278" t="str">
        <f>"320704198412104012"</f>
        <v>320704198412104012</v>
      </c>
      <c r="D16278" t="s">
        <v>15680</v>
      </c>
      <c r="E16278" t="s">
        <v>15681</v>
      </c>
      <c r="F16278" t="s">
        <v>0</v>
      </c>
      <c r="G16278" t="str">
        <f>"2018-10-12 10:42:20"</f>
        <v>2018-10-12 10:42:20</v>
      </c>
    </row>
    <row r="16279" spans="1:7" x14ac:dyDescent="0.2">
      <c r="A16279" t="s">
        <v>477</v>
      </c>
      <c r="B16279" t="str">
        <f>"15803623003"</f>
        <v>15803623003</v>
      </c>
      <c r="C16279" t="str">
        <f>"500232199201066366"</f>
        <v>500232199201066366</v>
      </c>
      <c r="D16279" t="s">
        <v>1</v>
      </c>
      <c r="E16279" t="s">
        <v>1</v>
      </c>
      <c r="F16279" t="s">
        <v>0</v>
      </c>
      <c r="G16279" t="str">
        <f>"2018-10-12 10:42:37"</f>
        <v>2018-10-12 10:42:37</v>
      </c>
    </row>
    <row r="16280" spans="1:7" x14ac:dyDescent="0.2">
      <c r="A16280" t="s">
        <v>1</v>
      </c>
      <c r="B16280" t="str">
        <f>"15906030536"</f>
        <v>15906030536</v>
      </c>
      <c r="C16280" t="s">
        <v>1</v>
      </c>
      <c r="D16280" t="s">
        <v>1</v>
      </c>
      <c r="E16280" t="s">
        <v>1</v>
      </c>
      <c r="F16280" t="s">
        <v>0</v>
      </c>
      <c r="G16280" t="str">
        <f>"2018-10-12 10:33:16"</f>
        <v>2018-10-12 10:33:16</v>
      </c>
    </row>
    <row r="16281" spans="1:7" x14ac:dyDescent="0.2">
      <c r="A16281" t="s">
        <v>1</v>
      </c>
      <c r="B16281" t="str">
        <f>"13148470489"</f>
        <v>13148470489</v>
      </c>
      <c r="C16281" t="s">
        <v>1</v>
      </c>
      <c r="D16281" t="s">
        <v>1</v>
      </c>
      <c r="E16281" t="s">
        <v>1</v>
      </c>
      <c r="F16281" t="s">
        <v>0</v>
      </c>
      <c r="G16281" t="str">
        <f>"2018-10-12 10:33:10"</f>
        <v>2018-10-12 10:33:10</v>
      </c>
    </row>
    <row r="16282" spans="1:7" x14ac:dyDescent="0.2">
      <c r="A16282" t="s">
        <v>1</v>
      </c>
      <c r="B16282" t="str">
        <f>"18286101309"</f>
        <v>18286101309</v>
      </c>
      <c r="C16282" t="s">
        <v>1</v>
      </c>
      <c r="D16282" t="s">
        <v>1</v>
      </c>
      <c r="E16282" t="s">
        <v>1</v>
      </c>
      <c r="F16282" t="s">
        <v>0</v>
      </c>
      <c r="G16282" t="str">
        <f>"2018-10-12 10:33:00"</f>
        <v>2018-10-12 10:33:00</v>
      </c>
    </row>
    <row r="16283" spans="1:7" x14ac:dyDescent="0.2">
      <c r="A16283" t="s">
        <v>15682</v>
      </c>
      <c r="B16283" t="str">
        <f>"13983215834"</f>
        <v>13983215834</v>
      </c>
      <c r="C16283" t="str">
        <f>"500382199708279204"</f>
        <v>500382199708279204</v>
      </c>
      <c r="D16283" t="s">
        <v>1</v>
      </c>
      <c r="E16283" t="s">
        <v>1</v>
      </c>
      <c r="F16283" t="s">
        <v>0</v>
      </c>
      <c r="G16283" t="str">
        <f>"2018-10-12 10:35:24"</f>
        <v>2018-10-12 10:35:24</v>
      </c>
    </row>
    <row r="16284" spans="1:7" x14ac:dyDescent="0.2">
      <c r="A16284" t="s">
        <v>15683</v>
      </c>
      <c r="B16284" t="str">
        <f>"18614830259"</f>
        <v>18614830259</v>
      </c>
      <c r="C16284" t="str">
        <f>"513022199103263439"</f>
        <v>513022199103263439</v>
      </c>
      <c r="D16284" t="s">
        <v>1</v>
      </c>
      <c r="E16284" t="s">
        <v>1</v>
      </c>
      <c r="F16284" t="s">
        <v>0</v>
      </c>
      <c r="G16284" t="str">
        <f>"2018-10-12 10:34:35"</f>
        <v>2018-10-12 10:34:35</v>
      </c>
    </row>
    <row r="16285" spans="1:7" x14ac:dyDescent="0.2">
      <c r="A16285" t="s">
        <v>5301</v>
      </c>
      <c r="B16285" t="str">
        <f>"15170609097"</f>
        <v>15170609097</v>
      </c>
      <c r="C16285" t="str">
        <f>"360735199104012622"</f>
        <v>360735199104012622</v>
      </c>
      <c r="D16285" t="s">
        <v>1</v>
      </c>
      <c r="E16285" t="s">
        <v>1</v>
      </c>
      <c r="F16285" t="s">
        <v>0</v>
      </c>
      <c r="G16285" t="str">
        <f>"2018-10-12 10:40:28"</f>
        <v>2018-10-12 10:40:28</v>
      </c>
    </row>
    <row r="16286" spans="1:7" x14ac:dyDescent="0.2">
      <c r="A16286" t="s">
        <v>15684</v>
      </c>
      <c r="B16286" t="str">
        <f>"13985603203"</f>
        <v>13985603203</v>
      </c>
      <c r="C16286" t="str">
        <f>"52213019971003081X"</f>
        <v>52213019971003081X</v>
      </c>
      <c r="D16286" t="s">
        <v>1</v>
      </c>
      <c r="E16286" t="s">
        <v>1</v>
      </c>
      <c r="F16286" t="s">
        <v>0</v>
      </c>
      <c r="G16286" t="str">
        <f>"2018-10-12 10:32:38"</f>
        <v>2018-10-12 10:32:38</v>
      </c>
    </row>
    <row r="16287" spans="1:7" x14ac:dyDescent="0.2">
      <c r="A16287" t="s">
        <v>1</v>
      </c>
      <c r="B16287" t="str">
        <f>"14768658468"</f>
        <v>14768658468</v>
      </c>
      <c r="C16287" t="s">
        <v>1</v>
      </c>
      <c r="D16287" t="s">
        <v>1</v>
      </c>
      <c r="E16287" t="s">
        <v>1</v>
      </c>
      <c r="F16287" t="s">
        <v>0</v>
      </c>
      <c r="G16287" t="str">
        <f>"2018-10-12 10:31:53"</f>
        <v>2018-10-12 10:31:53</v>
      </c>
    </row>
    <row r="16288" spans="1:7" x14ac:dyDescent="0.2">
      <c r="A16288" t="s">
        <v>15685</v>
      </c>
      <c r="B16288" t="str">
        <f>"13893750977"</f>
        <v>13893750977</v>
      </c>
      <c r="C16288" t="str">
        <f>"620503197507174514"</f>
        <v>620503197507174514</v>
      </c>
      <c r="D16288" t="s">
        <v>15686</v>
      </c>
      <c r="E16288" t="s">
        <v>15687</v>
      </c>
      <c r="F16288" t="s">
        <v>0</v>
      </c>
      <c r="G16288" t="str">
        <f>"2018-10-12 10:33:12"</f>
        <v>2018-10-12 10:33:12</v>
      </c>
    </row>
    <row r="16289" spans="1:7" x14ac:dyDescent="0.2">
      <c r="A16289" t="s">
        <v>15688</v>
      </c>
      <c r="B16289" t="str">
        <f>"13177007751"</f>
        <v>13177007751</v>
      </c>
      <c r="C16289" t="str">
        <f>"430404198109112051"</f>
        <v>430404198109112051</v>
      </c>
      <c r="D16289" t="s">
        <v>15689</v>
      </c>
      <c r="E16289" t="s">
        <v>15690</v>
      </c>
      <c r="F16289" t="s">
        <v>0</v>
      </c>
      <c r="G16289" t="str">
        <f>"2018-10-17 01:17:26"</f>
        <v>2018-10-17 01:17:26</v>
      </c>
    </row>
    <row r="16290" spans="1:7" x14ac:dyDescent="0.2">
      <c r="A16290" t="s">
        <v>1</v>
      </c>
      <c r="B16290" t="str">
        <f>"18347592447"</f>
        <v>18347592447</v>
      </c>
      <c r="C16290" t="s">
        <v>1</v>
      </c>
      <c r="D16290" t="s">
        <v>1</v>
      </c>
      <c r="E16290" t="s">
        <v>1</v>
      </c>
      <c r="F16290" t="s">
        <v>0</v>
      </c>
      <c r="G16290" t="str">
        <f>"2018-10-12 10:33:17"</f>
        <v>2018-10-12 10:33:17</v>
      </c>
    </row>
    <row r="16291" spans="1:7" x14ac:dyDescent="0.2">
      <c r="A16291" t="s">
        <v>15691</v>
      </c>
      <c r="B16291" t="str">
        <f>"13665102271"</f>
        <v>13665102271</v>
      </c>
      <c r="C16291" t="str">
        <f>"513022198501256723"</f>
        <v>513022198501256723</v>
      </c>
      <c r="D16291" t="s">
        <v>1</v>
      </c>
      <c r="E16291" t="s">
        <v>1</v>
      </c>
      <c r="F16291" t="s">
        <v>0</v>
      </c>
      <c r="G16291" t="str">
        <f>"2018-10-12 10:32:11"</f>
        <v>2018-10-12 10:32:11</v>
      </c>
    </row>
    <row r="16292" spans="1:7" x14ac:dyDescent="0.2">
      <c r="A16292" t="s">
        <v>1</v>
      </c>
      <c r="B16292" t="str">
        <f>"15309340953"</f>
        <v>15309340953</v>
      </c>
      <c r="C16292" t="s">
        <v>1</v>
      </c>
      <c r="D16292" t="s">
        <v>1</v>
      </c>
      <c r="E16292" t="s">
        <v>1</v>
      </c>
      <c r="F16292" t="s">
        <v>0</v>
      </c>
      <c r="G16292" t="str">
        <f>"2018-10-12 10:31:34"</f>
        <v>2018-10-12 10:31:34</v>
      </c>
    </row>
    <row r="16293" spans="1:7" x14ac:dyDescent="0.2">
      <c r="A16293" t="s">
        <v>1</v>
      </c>
      <c r="B16293" t="str">
        <f>"15937652309"</f>
        <v>15937652309</v>
      </c>
      <c r="C16293" t="s">
        <v>1</v>
      </c>
      <c r="D16293" t="s">
        <v>1</v>
      </c>
      <c r="E16293" t="s">
        <v>1</v>
      </c>
      <c r="F16293" t="s">
        <v>0</v>
      </c>
      <c r="G16293" t="str">
        <f>"2018-10-12 10:30:27"</f>
        <v>2018-10-12 10:30:27</v>
      </c>
    </row>
    <row r="16294" spans="1:7" x14ac:dyDescent="0.2">
      <c r="A16294" t="s">
        <v>1</v>
      </c>
      <c r="B16294" t="str">
        <f>"15069278290"</f>
        <v>15069278290</v>
      </c>
      <c r="C16294" t="s">
        <v>1</v>
      </c>
      <c r="D16294" t="s">
        <v>1</v>
      </c>
      <c r="E16294" t="s">
        <v>1</v>
      </c>
      <c r="F16294" t="s">
        <v>0</v>
      </c>
      <c r="G16294" t="str">
        <f>"2018-10-12 10:30:21"</f>
        <v>2018-10-12 10:30:21</v>
      </c>
    </row>
    <row r="16295" spans="1:7" x14ac:dyDescent="0.2">
      <c r="A16295" t="s">
        <v>15692</v>
      </c>
      <c r="B16295" t="str">
        <f>"15546093201"</f>
        <v>15546093201</v>
      </c>
      <c r="C16295" t="str">
        <f>"230102199102072411"</f>
        <v>230102199102072411</v>
      </c>
      <c r="D16295" t="s">
        <v>1</v>
      </c>
      <c r="E16295" t="s">
        <v>1</v>
      </c>
      <c r="F16295" t="s">
        <v>0</v>
      </c>
      <c r="G16295" t="str">
        <f>"2018-10-12 10:32:15"</f>
        <v>2018-10-12 10:32:15</v>
      </c>
    </row>
    <row r="16296" spans="1:7" x14ac:dyDescent="0.2">
      <c r="A16296" t="s">
        <v>1</v>
      </c>
      <c r="B16296" t="str">
        <f>"15228074060"</f>
        <v>15228074060</v>
      </c>
      <c r="C16296" t="s">
        <v>1</v>
      </c>
      <c r="D16296" t="s">
        <v>1</v>
      </c>
      <c r="E16296" t="s">
        <v>1</v>
      </c>
      <c r="F16296" t="s">
        <v>0</v>
      </c>
      <c r="G16296" t="str">
        <f>"2018-10-12 10:29:55"</f>
        <v>2018-10-12 10:29:55</v>
      </c>
    </row>
    <row r="16297" spans="1:7" x14ac:dyDescent="0.2">
      <c r="A16297" t="s">
        <v>15693</v>
      </c>
      <c r="B16297" t="str">
        <f>"18888658205"</f>
        <v>18888658205</v>
      </c>
      <c r="C16297" t="str">
        <f>"33020619811105344X"</f>
        <v>33020619811105344X</v>
      </c>
      <c r="D16297" t="s">
        <v>1</v>
      </c>
      <c r="E16297" t="s">
        <v>1</v>
      </c>
      <c r="F16297" t="s">
        <v>0</v>
      </c>
      <c r="G16297" t="str">
        <f>"2018-10-19 19:26:40"</f>
        <v>2018-10-19 19:26:40</v>
      </c>
    </row>
    <row r="16298" spans="1:7" x14ac:dyDescent="0.2">
      <c r="A16298" t="s">
        <v>1</v>
      </c>
      <c r="B16298" t="str">
        <f>"18897870627"</f>
        <v>18897870627</v>
      </c>
      <c r="C16298" t="s">
        <v>1</v>
      </c>
      <c r="D16298" t="s">
        <v>1</v>
      </c>
      <c r="E16298" t="s">
        <v>1</v>
      </c>
      <c r="F16298" t="s">
        <v>0</v>
      </c>
      <c r="G16298" t="str">
        <f>"2018-10-12 10:29:29"</f>
        <v>2018-10-12 10:29:29</v>
      </c>
    </row>
    <row r="16299" spans="1:7" x14ac:dyDescent="0.2">
      <c r="A16299" t="s">
        <v>15694</v>
      </c>
      <c r="B16299" t="str">
        <f>"15614101224"</f>
        <v>15614101224</v>
      </c>
      <c r="C16299" t="str">
        <f>"341222199307155250"</f>
        <v>341222199307155250</v>
      </c>
      <c r="D16299" t="s">
        <v>15695</v>
      </c>
      <c r="E16299" t="s">
        <v>15696</v>
      </c>
      <c r="F16299" t="s">
        <v>0</v>
      </c>
      <c r="G16299" t="str">
        <f>"2018-10-12 10:31:00"</f>
        <v>2018-10-12 10:31:00</v>
      </c>
    </row>
    <row r="16300" spans="1:7" x14ac:dyDescent="0.2">
      <c r="A16300" t="s">
        <v>15697</v>
      </c>
      <c r="B16300" t="str">
        <f>"15119070774"</f>
        <v>15119070774</v>
      </c>
      <c r="C16300" t="str">
        <f>"441322199609154033"</f>
        <v>441322199609154033</v>
      </c>
      <c r="D16300" t="s">
        <v>1</v>
      </c>
      <c r="E16300" t="s">
        <v>1</v>
      </c>
      <c r="F16300" t="s">
        <v>0</v>
      </c>
      <c r="G16300" t="str">
        <f>"2018-10-12 10:34:06"</f>
        <v>2018-10-12 10:34:06</v>
      </c>
    </row>
    <row r="16301" spans="1:7" x14ac:dyDescent="0.2">
      <c r="A16301" t="s">
        <v>15698</v>
      </c>
      <c r="B16301" t="str">
        <f>"13972115712"</f>
        <v>13972115712</v>
      </c>
      <c r="C16301" t="str">
        <f>"421003199511233519"</f>
        <v>421003199511233519</v>
      </c>
      <c r="D16301" t="s">
        <v>1</v>
      </c>
      <c r="E16301" t="s">
        <v>1</v>
      </c>
      <c r="F16301" t="s">
        <v>0</v>
      </c>
      <c r="G16301" t="str">
        <f>"2018-10-12 10:42:57"</f>
        <v>2018-10-12 10:42:57</v>
      </c>
    </row>
    <row r="16302" spans="1:7" x14ac:dyDescent="0.2">
      <c r="A16302" t="s">
        <v>15699</v>
      </c>
      <c r="B16302" t="str">
        <f>"15931002246"</f>
        <v>15931002246</v>
      </c>
      <c r="C16302" t="str">
        <f>"130684197612067013"</f>
        <v>130684197612067013</v>
      </c>
      <c r="D16302" t="s">
        <v>15700</v>
      </c>
      <c r="E16302" t="s">
        <v>15701</v>
      </c>
      <c r="F16302" t="s">
        <v>0</v>
      </c>
      <c r="G16302" t="str">
        <f>"2018-10-12 10:32:16"</f>
        <v>2018-10-12 10:32:16</v>
      </c>
    </row>
    <row r="16303" spans="1:7" x14ac:dyDescent="0.2">
      <c r="A16303" t="s">
        <v>1</v>
      </c>
      <c r="B16303" t="str">
        <f>"15297333298"</f>
        <v>15297333298</v>
      </c>
      <c r="C16303" t="s">
        <v>1</v>
      </c>
      <c r="D16303" t="s">
        <v>1</v>
      </c>
      <c r="E16303" t="s">
        <v>1</v>
      </c>
      <c r="F16303" t="s">
        <v>0</v>
      </c>
      <c r="G16303" t="str">
        <f>"2018-10-12 13:46:48"</f>
        <v>2018-10-12 13:46:48</v>
      </c>
    </row>
    <row r="16304" spans="1:7" x14ac:dyDescent="0.2">
      <c r="A16304" t="s">
        <v>15702</v>
      </c>
      <c r="B16304" t="str">
        <f>"13884398092"</f>
        <v>13884398092</v>
      </c>
      <c r="C16304" t="str">
        <f>"332522198104108594"</f>
        <v>332522198104108594</v>
      </c>
      <c r="D16304" t="s">
        <v>1</v>
      </c>
      <c r="E16304" t="s">
        <v>1</v>
      </c>
      <c r="F16304" t="s">
        <v>0</v>
      </c>
      <c r="G16304" t="str">
        <f>"2018-10-12 10:50:40"</f>
        <v>2018-10-12 10:50:40</v>
      </c>
    </row>
    <row r="16305" spans="1:7" x14ac:dyDescent="0.2">
      <c r="A16305" t="s">
        <v>15703</v>
      </c>
      <c r="B16305" t="str">
        <f>"15147185789"</f>
        <v>15147185789</v>
      </c>
      <c r="C16305" t="str">
        <f>"150121197910158221"</f>
        <v>150121197910158221</v>
      </c>
      <c r="D16305" t="s">
        <v>1</v>
      </c>
      <c r="E16305" t="s">
        <v>1</v>
      </c>
      <c r="F16305" t="s">
        <v>0</v>
      </c>
      <c r="G16305" t="str">
        <f>"2018-10-12 10:32:12"</f>
        <v>2018-10-12 10:32:12</v>
      </c>
    </row>
    <row r="16306" spans="1:7" x14ac:dyDescent="0.2">
      <c r="A16306" t="s">
        <v>15704</v>
      </c>
      <c r="B16306" t="str">
        <f>"18332070667"</f>
        <v>18332070667</v>
      </c>
      <c r="C16306" t="str">
        <f>"130130198503012716"</f>
        <v>130130198503012716</v>
      </c>
      <c r="D16306" t="s">
        <v>1</v>
      </c>
      <c r="E16306" t="s">
        <v>1</v>
      </c>
      <c r="F16306" t="s">
        <v>0</v>
      </c>
      <c r="G16306" t="str">
        <f>"2018-11-02 20:01:48"</f>
        <v>2018-11-02 20:01:48</v>
      </c>
    </row>
    <row r="16307" spans="1:7" x14ac:dyDescent="0.2">
      <c r="A16307" t="s">
        <v>1</v>
      </c>
      <c r="B16307" t="str">
        <f>"13071807333"</f>
        <v>13071807333</v>
      </c>
      <c r="C16307" t="s">
        <v>1</v>
      </c>
      <c r="D16307" t="s">
        <v>1</v>
      </c>
      <c r="E16307" t="s">
        <v>1</v>
      </c>
      <c r="F16307" t="s">
        <v>0</v>
      </c>
      <c r="G16307" t="str">
        <f>"2018-10-12 10:27:16"</f>
        <v>2018-10-12 10:27:16</v>
      </c>
    </row>
    <row r="16308" spans="1:7" x14ac:dyDescent="0.2">
      <c r="A16308" t="s">
        <v>1</v>
      </c>
      <c r="B16308" t="str">
        <f>"15071201908"</f>
        <v>15071201908</v>
      </c>
      <c r="C16308" t="s">
        <v>1</v>
      </c>
      <c r="D16308" t="s">
        <v>1</v>
      </c>
      <c r="E16308" t="s">
        <v>1</v>
      </c>
      <c r="F16308" t="s">
        <v>0</v>
      </c>
      <c r="G16308" t="str">
        <f>"2018-10-12 10:26:53"</f>
        <v>2018-10-12 10:26:53</v>
      </c>
    </row>
    <row r="16309" spans="1:7" x14ac:dyDescent="0.2">
      <c r="A16309" t="s">
        <v>1217</v>
      </c>
      <c r="B16309" t="str">
        <f>"18684862758"</f>
        <v>18684862758</v>
      </c>
      <c r="C16309" t="str">
        <f>"430122198911150027"</f>
        <v>430122198911150027</v>
      </c>
      <c r="D16309" t="s">
        <v>1</v>
      </c>
      <c r="E16309" t="s">
        <v>1</v>
      </c>
      <c r="F16309" t="s">
        <v>0</v>
      </c>
      <c r="G16309" t="str">
        <f>"2018-10-19 13:32:23"</f>
        <v>2018-10-19 13:32:23</v>
      </c>
    </row>
    <row r="16310" spans="1:7" x14ac:dyDescent="0.2">
      <c r="A16310" t="s">
        <v>15705</v>
      </c>
      <c r="B16310" t="str">
        <f>"13884597973"</f>
        <v>13884597973</v>
      </c>
      <c r="C16310" t="str">
        <f>"622301197904044412"</f>
        <v>622301197904044412</v>
      </c>
      <c r="D16310" t="s">
        <v>1</v>
      </c>
      <c r="E16310" t="s">
        <v>1</v>
      </c>
      <c r="F16310" t="s">
        <v>0</v>
      </c>
      <c r="G16310" t="str">
        <f>"2018-10-12 10:29:12"</f>
        <v>2018-10-12 10:29:12</v>
      </c>
    </row>
    <row r="16311" spans="1:7" x14ac:dyDescent="0.2">
      <c r="A16311" t="s">
        <v>1</v>
      </c>
      <c r="B16311" t="str">
        <f>"13729677836"</f>
        <v>13729677836</v>
      </c>
      <c r="C16311" t="s">
        <v>1</v>
      </c>
      <c r="D16311" t="s">
        <v>1</v>
      </c>
      <c r="E16311" t="s">
        <v>1</v>
      </c>
      <c r="F16311" t="s">
        <v>0</v>
      </c>
      <c r="G16311" t="str">
        <f>"2018-10-12 10:25:47"</f>
        <v>2018-10-12 10:25:47</v>
      </c>
    </row>
    <row r="16312" spans="1:7" x14ac:dyDescent="0.2">
      <c r="A16312" t="s">
        <v>1</v>
      </c>
      <c r="B16312" t="str">
        <f>"18294645729"</f>
        <v>18294645729</v>
      </c>
      <c r="C16312" t="s">
        <v>1</v>
      </c>
      <c r="D16312" t="s">
        <v>1</v>
      </c>
      <c r="E16312" t="s">
        <v>1</v>
      </c>
      <c r="F16312" t="s">
        <v>0</v>
      </c>
      <c r="G16312" t="str">
        <f>"2018-10-12 10:28:22"</f>
        <v>2018-10-12 10:28:22</v>
      </c>
    </row>
    <row r="16313" spans="1:7" x14ac:dyDescent="0.2">
      <c r="A16313" t="s">
        <v>1</v>
      </c>
      <c r="B16313" t="str">
        <f>"18644821470"</f>
        <v>18644821470</v>
      </c>
      <c r="C16313" t="s">
        <v>1</v>
      </c>
      <c r="D16313" t="s">
        <v>1</v>
      </c>
      <c r="E16313" t="s">
        <v>1</v>
      </c>
      <c r="F16313" t="s">
        <v>0</v>
      </c>
      <c r="G16313" t="str">
        <f>"2018-10-12 10:25:32"</f>
        <v>2018-10-12 10:25:32</v>
      </c>
    </row>
    <row r="16314" spans="1:7" x14ac:dyDescent="0.2">
      <c r="A16314" t="s">
        <v>15706</v>
      </c>
      <c r="B16314" t="str">
        <f>"18659257447"</f>
        <v>18659257447</v>
      </c>
      <c r="C16314" t="str">
        <f>"352627197904224514"</f>
        <v>352627197904224514</v>
      </c>
      <c r="D16314" t="s">
        <v>1</v>
      </c>
      <c r="E16314" t="s">
        <v>1</v>
      </c>
      <c r="F16314" t="s">
        <v>0</v>
      </c>
      <c r="G16314" t="str">
        <f>"2018-10-12 10:26:54"</f>
        <v>2018-10-12 10:26:54</v>
      </c>
    </row>
    <row r="16315" spans="1:7" x14ac:dyDescent="0.2">
      <c r="A16315" t="s">
        <v>15707</v>
      </c>
      <c r="B16315" t="str">
        <f>"15078117737"</f>
        <v>15078117737</v>
      </c>
      <c r="C16315" t="str">
        <f>"441521198901032316"</f>
        <v>441521198901032316</v>
      </c>
      <c r="D16315" t="s">
        <v>15708</v>
      </c>
      <c r="E16315" t="s">
        <v>15709</v>
      </c>
      <c r="F16315" t="s">
        <v>0</v>
      </c>
      <c r="G16315" t="str">
        <f>"2018-10-12 10:27:02"</f>
        <v>2018-10-12 10:27:02</v>
      </c>
    </row>
    <row r="16316" spans="1:7" x14ac:dyDescent="0.2">
      <c r="A16316" t="s">
        <v>15710</v>
      </c>
      <c r="B16316" t="str">
        <f>"13581659398"</f>
        <v>13581659398</v>
      </c>
      <c r="C16316" t="str">
        <f>"421182199401035678"</f>
        <v>421182199401035678</v>
      </c>
      <c r="D16316" t="s">
        <v>1</v>
      </c>
      <c r="E16316" t="s">
        <v>1</v>
      </c>
      <c r="F16316" t="s">
        <v>0</v>
      </c>
      <c r="G16316" t="str">
        <f>"2018-10-17 22:06:17"</f>
        <v>2018-10-17 22:06:17</v>
      </c>
    </row>
    <row r="16317" spans="1:7" x14ac:dyDescent="0.2">
      <c r="A16317" t="s">
        <v>1</v>
      </c>
      <c r="B16317" t="str">
        <f>"13632965514"</f>
        <v>13632965514</v>
      </c>
      <c r="C16317" t="s">
        <v>1</v>
      </c>
      <c r="D16317" t="s">
        <v>1</v>
      </c>
      <c r="E16317" t="s">
        <v>1</v>
      </c>
      <c r="F16317" t="s">
        <v>0</v>
      </c>
      <c r="G16317" t="str">
        <f>"2018-10-12 10:24:43"</f>
        <v>2018-10-12 10:24:43</v>
      </c>
    </row>
    <row r="16318" spans="1:7" x14ac:dyDescent="0.2">
      <c r="A16318" t="s">
        <v>15711</v>
      </c>
      <c r="B16318" t="str">
        <f>"13765856964"</f>
        <v>13765856964</v>
      </c>
      <c r="C16318" t="str">
        <f>"510229197210048738"</f>
        <v>510229197210048738</v>
      </c>
      <c r="D16318" t="s">
        <v>1</v>
      </c>
      <c r="E16318" t="s">
        <v>1</v>
      </c>
      <c r="F16318" t="s">
        <v>0</v>
      </c>
      <c r="G16318" t="str">
        <f>"2018-10-12 10:27:31"</f>
        <v>2018-10-12 10:27:31</v>
      </c>
    </row>
    <row r="16319" spans="1:7" x14ac:dyDescent="0.2">
      <c r="A16319" t="s">
        <v>15712</v>
      </c>
      <c r="B16319" t="str">
        <f>"15120622858"</f>
        <v>15120622858</v>
      </c>
      <c r="C16319" t="str">
        <f>"371525199205226637"</f>
        <v>371525199205226637</v>
      </c>
      <c r="D16319" t="s">
        <v>1</v>
      </c>
      <c r="E16319" t="s">
        <v>1</v>
      </c>
      <c r="F16319" t="s">
        <v>0</v>
      </c>
      <c r="G16319" t="str">
        <f>"2018-10-19 16:57:10"</f>
        <v>2018-10-19 16:57:10</v>
      </c>
    </row>
    <row r="16320" spans="1:7" x14ac:dyDescent="0.2">
      <c r="A16320" t="s">
        <v>15713</v>
      </c>
      <c r="B16320" t="str">
        <f>"18295074641"</f>
        <v>18295074641</v>
      </c>
      <c r="C16320" t="str">
        <f>"610422199704242716"</f>
        <v>610422199704242716</v>
      </c>
      <c r="D16320" t="s">
        <v>1</v>
      </c>
      <c r="E16320" t="s">
        <v>1</v>
      </c>
      <c r="F16320" t="s">
        <v>0</v>
      </c>
      <c r="G16320" t="str">
        <f>"2018-10-12 10:25:40"</f>
        <v>2018-10-12 10:25:40</v>
      </c>
    </row>
    <row r="16321" spans="1:7" x14ac:dyDescent="0.2">
      <c r="A16321" t="s">
        <v>15714</v>
      </c>
      <c r="B16321" t="str">
        <f>"18084253426"</f>
        <v>18084253426</v>
      </c>
      <c r="C16321" t="str">
        <f>"452501198012183226"</f>
        <v>452501198012183226</v>
      </c>
      <c r="D16321" t="s">
        <v>1</v>
      </c>
      <c r="E16321" t="s">
        <v>1</v>
      </c>
      <c r="F16321" t="s">
        <v>0</v>
      </c>
      <c r="G16321" t="str">
        <f>"2018-10-12 10:24:56"</f>
        <v>2018-10-12 10:24:56</v>
      </c>
    </row>
    <row r="16322" spans="1:7" x14ac:dyDescent="0.2">
      <c r="A16322" t="s">
        <v>15715</v>
      </c>
      <c r="B16322" t="str">
        <f>"15846695786"</f>
        <v>15846695786</v>
      </c>
      <c r="C16322" t="str">
        <f>"23102519930508181X"</f>
        <v>23102519930508181X</v>
      </c>
      <c r="D16322" t="s">
        <v>1</v>
      </c>
      <c r="E16322" t="s">
        <v>1</v>
      </c>
      <c r="F16322" t="s">
        <v>0</v>
      </c>
      <c r="G16322" t="str">
        <f>"2018-10-12 10:23:57"</f>
        <v>2018-10-12 10:23:57</v>
      </c>
    </row>
    <row r="16323" spans="1:7" x14ac:dyDescent="0.2">
      <c r="A16323" t="s">
        <v>1</v>
      </c>
      <c r="B16323" t="str">
        <f>"13851395930"</f>
        <v>13851395930</v>
      </c>
      <c r="C16323" t="s">
        <v>1</v>
      </c>
      <c r="D16323" t="s">
        <v>1</v>
      </c>
      <c r="E16323" t="s">
        <v>1</v>
      </c>
      <c r="F16323" t="s">
        <v>0</v>
      </c>
      <c r="G16323" t="str">
        <f>"2018-10-12 10:25:48"</f>
        <v>2018-10-12 10:25:48</v>
      </c>
    </row>
    <row r="16324" spans="1:7" x14ac:dyDescent="0.2">
      <c r="A16324" t="s">
        <v>616</v>
      </c>
      <c r="B16324" t="str">
        <f>"18775516329"</f>
        <v>18775516329</v>
      </c>
      <c r="C16324" t="str">
        <f>"452501197703041716"</f>
        <v>452501197703041716</v>
      </c>
      <c r="D16324" t="s">
        <v>1</v>
      </c>
      <c r="E16324" t="s">
        <v>1</v>
      </c>
      <c r="F16324" t="s">
        <v>0</v>
      </c>
      <c r="G16324" t="str">
        <f>"2018-10-12 10:24:24"</f>
        <v>2018-10-12 10:24:24</v>
      </c>
    </row>
    <row r="16325" spans="1:7" x14ac:dyDescent="0.2">
      <c r="A16325" t="s">
        <v>1289</v>
      </c>
      <c r="B16325" t="str">
        <f>"15584777135"</f>
        <v>15584777135</v>
      </c>
      <c r="C16325" t="str">
        <f>"220322198711023818"</f>
        <v>220322198711023818</v>
      </c>
      <c r="D16325" t="s">
        <v>1</v>
      </c>
      <c r="E16325" t="s">
        <v>1</v>
      </c>
      <c r="F16325" t="s">
        <v>0</v>
      </c>
      <c r="G16325" t="str">
        <f>"2018-10-12 10:28:04"</f>
        <v>2018-10-12 10:28:04</v>
      </c>
    </row>
    <row r="16326" spans="1:7" x14ac:dyDescent="0.2">
      <c r="A16326" t="s">
        <v>15716</v>
      </c>
      <c r="B16326" t="str">
        <f>"15534703444"</f>
        <v>15534703444</v>
      </c>
      <c r="C16326" t="str">
        <f>"230522199407180015"</f>
        <v>230522199407180015</v>
      </c>
      <c r="D16326" t="s">
        <v>1</v>
      </c>
      <c r="E16326" t="s">
        <v>1</v>
      </c>
      <c r="F16326" t="s">
        <v>0</v>
      </c>
      <c r="G16326" t="str">
        <f>"2018-10-12 10:26:10"</f>
        <v>2018-10-12 10:26:10</v>
      </c>
    </row>
    <row r="16327" spans="1:7" x14ac:dyDescent="0.2">
      <c r="A16327" t="s">
        <v>15717</v>
      </c>
      <c r="B16327" t="str">
        <f>"15921445502"</f>
        <v>15921445502</v>
      </c>
      <c r="C16327" t="str">
        <f>"522725199309127158"</f>
        <v>522725199309127158</v>
      </c>
      <c r="D16327" t="s">
        <v>1</v>
      </c>
      <c r="E16327" t="s">
        <v>1</v>
      </c>
      <c r="F16327" t="s">
        <v>0</v>
      </c>
      <c r="G16327" t="str">
        <f>"2018-10-15 17:03:13"</f>
        <v>2018-10-15 17:03:13</v>
      </c>
    </row>
    <row r="16328" spans="1:7" x14ac:dyDescent="0.2">
      <c r="A16328" t="s">
        <v>15718</v>
      </c>
      <c r="B16328" t="str">
        <f>"18937887327"</f>
        <v>18937887327</v>
      </c>
      <c r="C16328" t="str">
        <f>"410221198303018415"</f>
        <v>410221198303018415</v>
      </c>
      <c r="D16328" t="s">
        <v>1</v>
      </c>
      <c r="E16328" t="s">
        <v>1</v>
      </c>
      <c r="F16328" t="s">
        <v>0</v>
      </c>
      <c r="G16328" t="str">
        <f>"2018-10-12 12:30:40"</f>
        <v>2018-10-12 12:30:40</v>
      </c>
    </row>
    <row r="16329" spans="1:7" x14ac:dyDescent="0.2">
      <c r="A16329" t="s">
        <v>15719</v>
      </c>
      <c r="B16329" t="str">
        <f>"13654726447"</f>
        <v>13654726447</v>
      </c>
      <c r="C16329" t="str">
        <f>"150425199502245167"</f>
        <v>150425199502245167</v>
      </c>
      <c r="D16329" t="s">
        <v>15720</v>
      </c>
      <c r="E16329" t="s">
        <v>15721</v>
      </c>
      <c r="F16329" t="s">
        <v>0</v>
      </c>
      <c r="G16329" t="str">
        <f>"2018-10-12 10:28:13"</f>
        <v>2018-10-12 10:28:13</v>
      </c>
    </row>
    <row r="16330" spans="1:7" x14ac:dyDescent="0.2">
      <c r="A16330" t="s">
        <v>1</v>
      </c>
      <c r="B16330" t="str">
        <f>"18268890703"</f>
        <v>18268890703</v>
      </c>
      <c r="C16330" t="s">
        <v>1</v>
      </c>
      <c r="D16330" t="s">
        <v>1</v>
      </c>
      <c r="E16330" t="s">
        <v>1</v>
      </c>
      <c r="F16330" t="s">
        <v>0</v>
      </c>
      <c r="G16330" t="str">
        <f>"2018-10-12 10:22:25"</f>
        <v>2018-10-12 10:22:25</v>
      </c>
    </row>
    <row r="16331" spans="1:7" x14ac:dyDescent="0.2">
      <c r="A16331" t="s">
        <v>15722</v>
      </c>
      <c r="B16331" t="str">
        <f>"13304648571"</f>
        <v>13304648571</v>
      </c>
      <c r="C16331" t="str">
        <f>"230105199408260326"</f>
        <v>230105199408260326</v>
      </c>
      <c r="D16331" t="s">
        <v>1</v>
      </c>
      <c r="E16331" t="s">
        <v>1</v>
      </c>
      <c r="F16331" t="s">
        <v>0</v>
      </c>
      <c r="G16331" t="str">
        <f>"2018-10-20 19:42:15"</f>
        <v>2018-10-20 19:42:15</v>
      </c>
    </row>
    <row r="16332" spans="1:7" x14ac:dyDescent="0.2">
      <c r="A16332" t="s">
        <v>1</v>
      </c>
      <c r="B16332" t="str">
        <f>"18710778511"</f>
        <v>18710778511</v>
      </c>
      <c r="C16332" t="s">
        <v>1</v>
      </c>
      <c r="D16332" t="s">
        <v>1</v>
      </c>
      <c r="E16332" t="s">
        <v>1</v>
      </c>
      <c r="F16332" t="s">
        <v>0</v>
      </c>
      <c r="G16332" t="str">
        <f>"2018-10-12 10:22:03"</f>
        <v>2018-10-12 10:22:03</v>
      </c>
    </row>
    <row r="16333" spans="1:7" x14ac:dyDescent="0.2">
      <c r="A16333" t="s">
        <v>1</v>
      </c>
      <c r="B16333" t="str">
        <f>"15120674507"</f>
        <v>15120674507</v>
      </c>
      <c r="C16333" t="s">
        <v>1</v>
      </c>
      <c r="D16333" t="s">
        <v>1</v>
      </c>
      <c r="E16333" t="s">
        <v>1</v>
      </c>
      <c r="F16333" t="s">
        <v>0</v>
      </c>
      <c r="G16333" t="str">
        <f>"2018-10-12 10:19:54"</f>
        <v>2018-10-12 10:19:54</v>
      </c>
    </row>
    <row r="16334" spans="1:7" x14ac:dyDescent="0.2">
      <c r="A16334" t="s">
        <v>1</v>
      </c>
      <c r="B16334" t="str">
        <f>"13959451324"</f>
        <v>13959451324</v>
      </c>
      <c r="C16334" t="s">
        <v>1</v>
      </c>
      <c r="D16334" t="s">
        <v>1</v>
      </c>
      <c r="E16334" t="s">
        <v>1</v>
      </c>
      <c r="F16334" t="s">
        <v>0</v>
      </c>
      <c r="G16334" t="str">
        <f>"2018-10-12 10:22:12"</f>
        <v>2018-10-12 10:22:12</v>
      </c>
    </row>
    <row r="16335" spans="1:7" x14ac:dyDescent="0.2">
      <c r="A16335" t="s">
        <v>1</v>
      </c>
      <c r="B16335" t="str">
        <f>"13600833772"</f>
        <v>13600833772</v>
      </c>
      <c r="C16335" t="s">
        <v>1</v>
      </c>
      <c r="D16335" t="s">
        <v>1</v>
      </c>
      <c r="E16335" t="s">
        <v>1</v>
      </c>
      <c r="F16335" t="s">
        <v>0</v>
      </c>
      <c r="G16335" t="str">
        <f>"2018-10-12 10:19:08"</f>
        <v>2018-10-12 10:19:08</v>
      </c>
    </row>
    <row r="16336" spans="1:7" x14ac:dyDescent="0.2">
      <c r="A16336" t="s">
        <v>15723</v>
      </c>
      <c r="B16336" t="str">
        <f>"15105687571"</f>
        <v>15105687571</v>
      </c>
      <c r="C16336" t="str">
        <f>"341202199701222110"</f>
        <v>341202199701222110</v>
      </c>
      <c r="D16336" t="s">
        <v>1</v>
      </c>
      <c r="E16336" t="s">
        <v>1</v>
      </c>
      <c r="F16336" t="s">
        <v>0</v>
      </c>
      <c r="G16336" t="str">
        <f>"2018-10-12 10:18:49"</f>
        <v>2018-10-12 10:18:49</v>
      </c>
    </row>
    <row r="16337" spans="1:7" x14ac:dyDescent="0.2">
      <c r="A16337" t="s">
        <v>1</v>
      </c>
      <c r="B16337" t="str">
        <f>"14785129812"</f>
        <v>14785129812</v>
      </c>
      <c r="C16337" t="s">
        <v>1</v>
      </c>
      <c r="D16337" t="s">
        <v>1</v>
      </c>
      <c r="E16337" t="s">
        <v>1</v>
      </c>
      <c r="F16337" t="s">
        <v>0</v>
      </c>
      <c r="G16337" t="str">
        <f>"2018-10-12 10:22:39"</f>
        <v>2018-10-12 10:22:39</v>
      </c>
    </row>
    <row r="16338" spans="1:7" x14ac:dyDescent="0.2">
      <c r="A16338" t="s">
        <v>15724</v>
      </c>
      <c r="B16338" t="str">
        <f>"15890156122"</f>
        <v>15890156122</v>
      </c>
      <c r="C16338" t="str">
        <f>"410126197711020719"</f>
        <v>410126197711020719</v>
      </c>
      <c r="D16338" t="s">
        <v>1</v>
      </c>
      <c r="E16338" t="s">
        <v>1</v>
      </c>
      <c r="F16338" t="s">
        <v>0</v>
      </c>
      <c r="G16338" t="str">
        <f>"2018-10-12 10:20:18"</f>
        <v>2018-10-12 10:20:18</v>
      </c>
    </row>
    <row r="16339" spans="1:7" x14ac:dyDescent="0.2">
      <c r="A16339" t="s">
        <v>15725</v>
      </c>
      <c r="B16339" t="str">
        <f>"18506293103"</f>
        <v>18506293103</v>
      </c>
      <c r="C16339" t="str">
        <f>"511529199709206412"</f>
        <v>511529199709206412</v>
      </c>
      <c r="D16339" t="s">
        <v>1</v>
      </c>
      <c r="E16339" t="s">
        <v>1</v>
      </c>
      <c r="F16339" t="s">
        <v>0</v>
      </c>
      <c r="G16339" t="str">
        <f>"2018-10-12 10:33:23"</f>
        <v>2018-10-12 10:33:23</v>
      </c>
    </row>
    <row r="16340" spans="1:7" x14ac:dyDescent="0.2">
      <c r="A16340" t="s">
        <v>15726</v>
      </c>
      <c r="B16340" t="str">
        <f>"13611035391"</f>
        <v>13611035391</v>
      </c>
      <c r="C16340" t="str">
        <f>"370284199305115611"</f>
        <v>370284199305115611</v>
      </c>
      <c r="D16340" t="s">
        <v>1</v>
      </c>
      <c r="E16340" t="s">
        <v>1</v>
      </c>
      <c r="F16340" t="s">
        <v>0</v>
      </c>
      <c r="G16340" t="str">
        <f>"2018-10-12 10:19:28"</f>
        <v>2018-10-12 10:19:28</v>
      </c>
    </row>
    <row r="16341" spans="1:7" x14ac:dyDescent="0.2">
      <c r="A16341" t="s">
        <v>15727</v>
      </c>
      <c r="B16341" t="str">
        <f>"18032003910"</f>
        <v>18032003910</v>
      </c>
      <c r="C16341" t="str">
        <f>"130184199206053013"</f>
        <v>130184199206053013</v>
      </c>
      <c r="D16341" t="s">
        <v>1</v>
      </c>
      <c r="E16341" t="s">
        <v>1</v>
      </c>
      <c r="F16341" t="s">
        <v>0</v>
      </c>
      <c r="G16341" t="str">
        <f>"2018-10-12 18:54:19"</f>
        <v>2018-10-12 18:54:19</v>
      </c>
    </row>
    <row r="16342" spans="1:7" x14ac:dyDescent="0.2">
      <c r="A16342" t="s">
        <v>1</v>
      </c>
      <c r="B16342" t="str">
        <f>"15108962363"</f>
        <v>15108962363</v>
      </c>
      <c r="C16342" t="s">
        <v>1</v>
      </c>
      <c r="D16342" t="s">
        <v>1</v>
      </c>
      <c r="E16342" t="s">
        <v>1</v>
      </c>
      <c r="F16342" t="s">
        <v>0</v>
      </c>
      <c r="G16342" t="str">
        <f>"2018-10-12 10:17:32"</f>
        <v>2018-10-12 10:17:32</v>
      </c>
    </row>
    <row r="16343" spans="1:7" x14ac:dyDescent="0.2">
      <c r="A16343" t="s">
        <v>15728</v>
      </c>
      <c r="B16343" t="str">
        <f>"18857517817"</f>
        <v>18857517817</v>
      </c>
      <c r="C16343" t="str">
        <f>"330621197010024237"</f>
        <v>330621197010024237</v>
      </c>
      <c r="D16343" t="s">
        <v>15729</v>
      </c>
      <c r="E16343" t="s">
        <v>15730</v>
      </c>
      <c r="F16343" t="s">
        <v>0</v>
      </c>
      <c r="G16343" t="str">
        <f>"2018-10-12 10:19:06"</f>
        <v>2018-10-12 10:19:06</v>
      </c>
    </row>
    <row r="16344" spans="1:7" x14ac:dyDescent="0.2">
      <c r="A16344" t="s">
        <v>1</v>
      </c>
      <c r="B16344" t="str">
        <f>"18889579753"</f>
        <v>18889579753</v>
      </c>
      <c r="C16344" t="s">
        <v>1</v>
      </c>
      <c r="D16344" t="s">
        <v>1</v>
      </c>
      <c r="E16344" t="s">
        <v>1</v>
      </c>
      <c r="F16344" t="s">
        <v>0</v>
      </c>
      <c r="G16344" t="str">
        <f>"2018-10-12 10:16:25"</f>
        <v>2018-10-12 10:16:25</v>
      </c>
    </row>
    <row r="16345" spans="1:7" x14ac:dyDescent="0.2">
      <c r="A16345" t="s">
        <v>15731</v>
      </c>
      <c r="B16345" t="str">
        <f>"18239573005"</f>
        <v>18239573005</v>
      </c>
      <c r="C16345" t="str">
        <f>"411123199205013517"</f>
        <v>411123199205013517</v>
      </c>
      <c r="D16345" t="s">
        <v>1</v>
      </c>
      <c r="E16345" t="s">
        <v>1</v>
      </c>
      <c r="F16345" t="s">
        <v>0</v>
      </c>
      <c r="G16345" t="str">
        <f>"2018-10-12 10:17:04"</f>
        <v>2018-10-12 10:17:04</v>
      </c>
    </row>
    <row r="16346" spans="1:7" x14ac:dyDescent="0.2">
      <c r="A16346" t="s">
        <v>15732</v>
      </c>
      <c r="B16346" t="str">
        <f>"18655485355"</f>
        <v>18655485355</v>
      </c>
      <c r="C16346" t="str">
        <f>"340406198412153455"</f>
        <v>340406198412153455</v>
      </c>
      <c r="D16346" t="s">
        <v>1</v>
      </c>
      <c r="E16346" t="s">
        <v>1</v>
      </c>
      <c r="F16346" t="s">
        <v>0</v>
      </c>
      <c r="G16346" t="str">
        <f>"2018-10-12 10:17:06"</f>
        <v>2018-10-12 10:17:06</v>
      </c>
    </row>
    <row r="16347" spans="1:7" x14ac:dyDescent="0.2">
      <c r="A16347" t="s">
        <v>15733</v>
      </c>
      <c r="B16347" t="str">
        <f>"13986401373"</f>
        <v>13986401373</v>
      </c>
      <c r="C16347" t="str">
        <f>"42070419941107477X"</f>
        <v>42070419941107477X</v>
      </c>
      <c r="D16347" t="s">
        <v>1</v>
      </c>
      <c r="E16347" t="s">
        <v>1</v>
      </c>
      <c r="F16347" t="s">
        <v>0</v>
      </c>
      <c r="G16347" t="str">
        <f>"2018-10-12 10:20:06"</f>
        <v>2018-10-12 10:20:06</v>
      </c>
    </row>
    <row r="16348" spans="1:7" x14ac:dyDescent="0.2">
      <c r="A16348" t="s">
        <v>15734</v>
      </c>
      <c r="B16348" t="str">
        <f>"13518518508"</f>
        <v>13518518508</v>
      </c>
      <c r="C16348" t="str">
        <f>"52252619680701641X"</f>
        <v>52252619680701641X</v>
      </c>
      <c r="D16348" t="s">
        <v>1</v>
      </c>
      <c r="E16348" t="s">
        <v>1</v>
      </c>
      <c r="F16348" t="s">
        <v>0</v>
      </c>
      <c r="G16348" t="str">
        <f>"2018-10-12 10:16:41"</f>
        <v>2018-10-12 10:16:41</v>
      </c>
    </row>
    <row r="16349" spans="1:7" x14ac:dyDescent="0.2">
      <c r="A16349" t="s">
        <v>15735</v>
      </c>
      <c r="B16349" t="str">
        <f>"15821125525"</f>
        <v>15821125525</v>
      </c>
      <c r="C16349" t="str">
        <f>"310103197806150438"</f>
        <v>310103197806150438</v>
      </c>
      <c r="D16349" t="s">
        <v>1</v>
      </c>
      <c r="E16349" t="s">
        <v>1</v>
      </c>
      <c r="F16349" t="s">
        <v>0</v>
      </c>
      <c r="G16349" t="str">
        <f>"2018-10-12 10:16:52"</f>
        <v>2018-10-12 10:16:52</v>
      </c>
    </row>
    <row r="16350" spans="1:7" x14ac:dyDescent="0.2">
      <c r="A16350" t="s">
        <v>15736</v>
      </c>
      <c r="B16350" t="str">
        <f>"13881163582"</f>
        <v>13881163582</v>
      </c>
      <c r="C16350" t="str">
        <f>"510704198602229284"</f>
        <v>510704198602229284</v>
      </c>
      <c r="D16350" t="s">
        <v>1</v>
      </c>
      <c r="E16350" t="s">
        <v>1</v>
      </c>
      <c r="F16350" t="s">
        <v>0</v>
      </c>
      <c r="G16350" t="str">
        <f>"2018-10-18 15:50:10"</f>
        <v>2018-10-18 15:50:10</v>
      </c>
    </row>
    <row r="16351" spans="1:7" x14ac:dyDescent="0.2">
      <c r="A16351" t="s">
        <v>178</v>
      </c>
      <c r="B16351" t="str">
        <f>"13593961071"</f>
        <v>13593961071</v>
      </c>
      <c r="C16351" t="str">
        <f>"429004198610180052"</f>
        <v>429004198610180052</v>
      </c>
      <c r="D16351" t="s">
        <v>1</v>
      </c>
      <c r="E16351" t="s">
        <v>1</v>
      </c>
      <c r="F16351" t="s">
        <v>0</v>
      </c>
      <c r="G16351" t="str">
        <f>"2018-10-12 10:16:36"</f>
        <v>2018-10-12 10:16:36</v>
      </c>
    </row>
    <row r="16352" spans="1:7" x14ac:dyDescent="0.2">
      <c r="A16352" t="s">
        <v>1397</v>
      </c>
      <c r="B16352" t="str">
        <f>"15853000723"</f>
        <v>15853000723</v>
      </c>
      <c r="C16352" t="str">
        <f>"372901198905158353"</f>
        <v>372901198905158353</v>
      </c>
      <c r="D16352" t="s">
        <v>1</v>
      </c>
      <c r="E16352" t="s">
        <v>1</v>
      </c>
      <c r="F16352" t="s">
        <v>0</v>
      </c>
      <c r="G16352" t="str">
        <f>"2018-10-17 09:30:39"</f>
        <v>2018-10-17 09:30:39</v>
      </c>
    </row>
    <row r="16353" spans="1:7" x14ac:dyDescent="0.2">
      <c r="A16353" t="s">
        <v>1</v>
      </c>
      <c r="B16353" t="str">
        <f>"15171699319"</f>
        <v>15171699319</v>
      </c>
      <c r="C16353" t="s">
        <v>1</v>
      </c>
      <c r="D16353" t="s">
        <v>1</v>
      </c>
      <c r="E16353" t="s">
        <v>1</v>
      </c>
      <c r="F16353" t="s">
        <v>0</v>
      </c>
      <c r="G16353" t="str">
        <f>"2018-10-12 10:14:58"</f>
        <v>2018-10-12 10:14:58</v>
      </c>
    </row>
    <row r="16354" spans="1:7" x14ac:dyDescent="0.2">
      <c r="A16354" t="s">
        <v>1</v>
      </c>
      <c r="B16354" t="str">
        <f>"13977296335"</f>
        <v>13977296335</v>
      </c>
      <c r="C16354" t="s">
        <v>1</v>
      </c>
      <c r="D16354" t="s">
        <v>1</v>
      </c>
      <c r="E16354" t="s">
        <v>1</v>
      </c>
      <c r="F16354" t="s">
        <v>0</v>
      </c>
      <c r="G16354" t="str">
        <f>"2018-10-12 10:14:12"</f>
        <v>2018-10-12 10:14:12</v>
      </c>
    </row>
    <row r="16355" spans="1:7" x14ac:dyDescent="0.2">
      <c r="A16355" t="s">
        <v>15737</v>
      </c>
      <c r="B16355" t="str">
        <f>"15003862073"</f>
        <v>15003862073</v>
      </c>
      <c r="C16355" t="str">
        <f>"410101199001063513"</f>
        <v>410101199001063513</v>
      </c>
      <c r="D16355" t="s">
        <v>1</v>
      </c>
      <c r="E16355" t="s">
        <v>1</v>
      </c>
      <c r="F16355" t="s">
        <v>0</v>
      </c>
      <c r="G16355" t="str">
        <f>"2018-10-12 10:25:29"</f>
        <v>2018-10-12 10:25:29</v>
      </c>
    </row>
    <row r="16356" spans="1:7" x14ac:dyDescent="0.2">
      <c r="A16356" t="s">
        <v>15738</v>
      </c>
      <c r="B16356" t="str">
        <f>"13078381857"</f>
        <v>13078381857</v>
      </c>
      <c r="C16356" t="str">
        <f>"44172319770425295X"</f>
        <v>44172319770425295X</v>
      </c>
      <c r="D16356" t="s">
        <v>1</v>
      </c>
      <c r="E16356" t="s">
        <v>1</v>
      </c>
      <c r="F16356" t="s">
        <v>0</v>
      </c>
      <c r="G16356" t="str">
        <f>"2018-10-12 10:15:57"</f>
        <v>2018-10-12 10:15:57</v>
      </c>
    </row>
    <row r="16357" spans="1:7" x14ac:dyDescent="0.2">
      <c r="A16357" t="s">
        <v>1</v>
      </c>
      <c r="B16357" t="str">
        <f>"13949118297"</f>
        <v>13949118297</v>
      </c>
      <c r="C16357" t="s">
        <v>1</v>
      </c>
      <c r="D16357" t="s">
        <v>1</v>
      </c>
      <c r="E16357" t="s">
        <v>1</v>
      </c>
      <c r="F16357" t="s">
        <v>0</v>
      </c>
      <c r="G16357" t="str">
        <f>"2018-10-12 10:13:18"</f>
        <v>2018-10-12 10:13:18</v>
      </c>
    </row>
    <row r="16358" spans="1:7" x14ac:dyDescent="0.2">
      <c r="A16358" t="s">
        <v>1</v>
      </c>
      <c r="B16358" t="str">
        <f>"15061768241"</f>
        <v>15061768241</v>
      </c>
      <c r="C16358" t="s">
        <v>1</v>
      </c>
      <c r="D16358" t="s">
        <v>1</v>
      </c>
      <c r="E16358" t="s">
        <v>1</v>
      </c>
      <c r="F16358" t="s">
        <v>0</v>
      </c>
      <c r="G16358" t="str">
        <f>"2018-10-12 10:14:11"</f>
        <v>2018-10-12 10:14:11</v>
      </c>
    </row>
    <row r="16359" spans="1:7" x14ac:dyDescent="0.2">
      <c r="A16359" t="s">
        <v>15739</v>
      </c>
      <c r="B16359" t="str">
        <f>"13272888345"</f>
        <v>13272888345</v>
      </c>
      <c r="C16359" t="str">
        <f>"230183198603261257"</f>
        <v>230183198603261257</v>
      </c>
      <c r="D16359" t="s">
        <v>1</v>
      </c>
      <c r="E16359" t="s">
        <v>1</v>
      </c>
      <c r="F16359" t="s">
        <v>0</v>
      </c>
      <c r="G16359" t="str">
        <f>"2018-10-12 10:17:08"</f>
        <v>2018-10-12 10:17:08</v>
      </c>
    </row>
    <row r="16360" spans="1:7" x14ac:dyDescent="0.2">
      <c r="A16360" t="s">
        <v>15740</v>
      </c>
      <c r="B16360" t="str">
        <f>"15133193656"</f>
        <v>15133193656</v>
      </c>
      <c r="C16360" t="str">
        <f>"130103198608250017"</f>
        <v>130103198608250017</v>
      </c>
      <c r="D16360" t="s">
        <v>1</v>
      </c>
      <c r="E16360" t="s">
        <v>1</v>
      </c>
      <c r="F16360" t="s">
        <v>0</v>
      </c>
      <c r="G16360" t="str">
        <f>"2018-10-29 15:53:41"</f>
        <v>2018-10-29 15:53:41</v>
      </c>
    </row>
    <row r="16361" spans="1:7" x14ac:dyDescent="0.2">
      <c r="A16361" t="s">
        <v>1</v>
      </c>
      <c r="B16361" t="str">
        <f>"13765760126"</f>
        <v>13765760126</v>
      </c>
      <c r="C16361" t="s">
        <v>1</v>
      </c>
      <c r="D16361" t="s">
        <v>1</v>
      </c>
      <c r="E16361" t="s">
        <v>1</v>
      </c>
      <c r="F16361" t="s">
        <v>0</v>
      </c>
      <c r="G16361" t="str">
        <f>"2018-10-12 10:12:50"</f>
        <v>2018-10-12 10:12:50</v>
      </c>
    </row>
    <row r="16362" spans="1:7" x14ac:dyDescent="0.2">
      <c r="A16362" t="s">
        <v>1799</v>
      </c>
      <c r="B16362" t="str">
        <f>"18371834746"</f>
        <v>18371834746</v>
      </c>
      <c r="C16362" t="str">
        <f>"422801199604110210"</f>
        <v>422801199604110210</v>
      </c>
      <c r="D16362" t="s">
        <v>1</v>
      </c>
      <c r="E16362" t="s">
        <v>1</v>
      </c>
      <c r="F16362" t="s">
        <v>0</v>
      </c>
      <c r="G16362" t="str">
        <f>"2018-10-12 10:13:28"</f>
        <v>2018-10-12 10:13:28</v>
      </c>
    </row>
    <row r="16363" spans="1:7" x14ac:dyDescent="0.2">
      <c r="A16363" t="s">
        <v>1</v>
      </c>
      <c r="B16363" t="str">
        <f>"13894277114"</f>
        <v>13894277114</v>
      </c>
      <c r="C16363" t="s">
        <v>1</v>
      </c>
      <c r="D16363" t="s">
        <v>1</v>
      </c>
      <c r="E16363" t="s">
        <v>1</v>
      </c>
      <c r="F16363" t="s">
        <v>0</v>
      </c>
      <c r="G16363" t="str">
        <f>"2018-10-12 10:11:56"</f>
        <v>2018-10-12 10:11:56</v>
      </c>
    </row>
    <row r="16364" spans="1:7" x14ac:dyDescent="0.2">
      <c r="A16364" t="s">
        <v>15741</v>
      </c>
      <c r="B16364" t="str">
        <f>"13437798674"</f>
        <v>13437798674</v>
      </c>
      <c r="C16364" t="str">
        <f>"44132219850821301X"</f>
        <v>44132219850821301X</v>
      </c>
      <c r="D16364" t="s">
        <v>1</v>
      </c>
      <c r="E16364" t="s">
        <v>1</v>
      </c>
      <c r="F16364" t="s">
        <v>0</v>
      </c>
      <c r="G16364" t="str">
        <f>"2018-10-12 10:13:00"</f>
        <v>2018-10-12 10:13:00</v>
      </c>
    </row>
    <row r="16365" spans="1:7" x14ac:dyDescent="0.2">
      <c r="A16365" t="s">
        <v>1</v>
      </c>
      <c r="B16365" t="str">
        <f>"13559554573"</f>
        <v>13559554573</v>
      </c>
      <c r="C16365" t="s">
        <v>1</v>
      </c>
      <c r="D16365" t="s">
        <v>1</v>
      </c>
      <c r="E16365" t="s">
        <v>1</v>
      </c>
      <c r="F16365" t="s">
        <v>0</v>
      </c>
      <c r="G16365" t="str">
        <f>"2018-10-12 10:13:38"</f>
        <v>2018-10-12 10:13:38</v>
      </c>
    </row>
    <row r="16366" spans="1:7" x14ac:dyDescent="0.2">
      <c r="A16366" t="s">
        <v>15742</v>
      </c>
      <c r="B16366" t="str">
        <f>"18778887279"</f>
        <v>18778887279</v>
      </c>
      <c r="C16366" t="str">
        <f>"452702198110213676"</f>
        <v>452702198110213676</v>
      </c>
      <c r="D16366" t="s">
        <v>1</v>
      </c>
      <c r="E16366" t="s">
        <v>1</v>
      </c>
      <c r="F16366" t="s">
        <v>0</v>
      </c>
      <c r="G16366" t="str">
        <f>"2018-10-12 10:12:28"</f>
        <v>2018-10-12 10:12:28</v>
      </c>
    </row>
    <row r="16367" spans="1:7" x14ac:dyDescent="0.2">
      <c r="A16367" t="s">
        <v>1</v>
      </c>
      <c r="B16367" t="str">
        <f>"13950182882"</f>
        <v>13950182882</v>
      </c>
      <c r="C16367" t="s">
        <v>1</v>
      </c>
      <c r="D16367" t="s">
        <v>1</v>
      </c>
      <c r="E16367" t="s">
        <v>1</v>
      </c>
      <c r="F16367" t="s">
        <v>0</v>
      </c>
      <c r="G16367" t="str">
        <f>"2018-10-12 10:11:17"</f>
        <v>2018-10-12 10:11:17</v>
      </c>
    </row>
    <row r="16368" spans="1:7" x14ac:dyDescent="0.2">
      <c r="A16368" t="s">
        <v>15743</v>
      </c>
      <c r="B16368" t="str">
        <f>"13662920785"</f>
        <v>13662920785</v>
      </c>
      <c r="C16368" t="str">
        <f>"441900199408121352"</f>
        <v>441900199408121352</v>
      </c>
      <c r="D16368" t="s">
        <v>1</v>
      </c>
      <c r="E16368" t="s">
        <v>1</v>
      </c>
      <c r="F16368" t="s">
        <v>0</v>
      </c>
      <c r="G16368" t="str">
        <f>"2018-10-17 10:15:35"</f>
        <v>2018-10-17 10:15:35</v>
      </c>
    </row>
    <row r="16369" spans="1:7" x14ac:dyDescent="0.2">
      <c r="A16369" t="s">
        <v>15744</v>
      </c>
      <c r="B16369" t="str">
        <f>"18808353035"</f>
        <v>18808353035</v>
      </c>
      <c r="C16369" t="str">
        <f>"513127200005181416"</f>
        <v>513127200005181416</v>
      </c>
      <c r="D16369" t="s">
        <v>15745</v>
      </c>
      <c r="E16369" t="s">
        <v>15745</v>
      </c>
      <c r="F16369" t="s">
        <v>0</v>
      </c>
      <c r="G16369" t="str">
        <f>"2018-10-12 10:13:05"</f>
        <v>2018-10-12 10:13:05</v>
      </c>
    </row>
    <row r="16370" spans="1:7" x14ac:dyDescent="0.2">
      <c r="A16370" t="s">
        <v>962</v>
      </c>
      <c r="B16370" t="str">
        <f>"18386422254"</f>
        <v>18386422254</v>
      </c>
      <c r="C16370" t="str">
        <f>"522324199703171626"</f>
        <v>522324199703171626</v>
      </c>
      <c r="D16370" t="s">
        <v>1</v>
      </c>
      <c r="E16370" t="s">
        <v>1</v>
      </c>
      <c r="F16370" t="s">
        <v>0</v>
      </c>
      <c r="G16370" t="str">
        <f>"2018-10-12 15:19:45"</f>
        <v>2018-10-12 15:19:45</v>
      </c>
    </row>
    <row r="16371" spans="1:7" x14ac:dyDescent="0.2">
      <c r="A16371" t="s">
        <v>1</v>
      </c>
      <c r="B16371" t="str">
        <f>"15053789398"</f>
        <v>15053789398</v>
      </c>
      <c r="C16371" t="s">
        <v>1</v>
      </c>
      <c r="D16371" t="s">
        <v>1</v>
      </c>
      <c r="E16371" t="s">
        <v>1</v>
      </c>
      <c r="F16371" t="s">
        <v>0</v>
      </c>
      <c r="G16371" t="str">
        <f>"2018-10-12 10:10:08"</f>
        <v>2018-10-12 10:10:08</v>
      </c>
    </row>
    <row r="16372" spans="1:7" x14ac:dyDescent="0.2">
      <c r="A16372" t="s">
        <v>15746</v>
      </c>
      <c r="B16372" t="str">
        <f>"18888303977"</f>
        <v>18888303977</v>
      </c>
      <c r="C16372" t="str">
        <f>"370181199302136818"</f>
        <v>370181199302136818</v>
      </c>
      <c r="D16372" t="s">
        <v>1</v>
      </c>
      <c r="E16372" t="s">
        <v>1</v>
      </c>
      <c r="F16372" t="s">
        <v>0</v>
      </c>
      <c r="G16372" t="str">
        <f>"2018-10-12 10:09:57"</f>
        <v>2018-10-12 10:09:57</v>
      </c>
    </row>
    <row r="16373" spans="1:7" x14ac:dyDescent="0.2">
      <c r="A16373" t="s">
        <v>822</v>
      </c>
      <c r="B16373" t="str">
        <f>"15293431563"</f>
        <v>15293431563</v>
      </c>
      <c r="C16373" t="str">
        <f>"622801196910180229"</f>
        <v>622801196910180229</v>
      </c>
      <c r="D16373" t="s">
        <v>1</v>
      </c>
      <c r="E16373" t="s">
        <v>1</v>
      </c>
      <c r="F16373" t="s">
        <v>0</v>
      </c>
      <c r="G16373" t="str">
        <f>"2018-10-12 10:14:09"</f>
        <v>2018-10-12 10:14:09</v>
      </c>
    </row>
    <row r="16374" spans="1:7" x14ac:dyDescent="0.2">
      <c r="A16374" t="s">
        <v>553</v>
      </c>
      <c r="B16374" t="str">
        <f>"15265387878"</f>
        <v>15265387878</v>
      </c>
      <c r="C16374" t="str">
        <f>"370123198308283829"</f>
        <v>370123198308283829</v>
      </c>
      <c r="D16374" t="s">
        <v>1</v>
      </c>
      <c r="E16374" t="s">
        <v>1</v>
      </c>
      <c r="F16374" t="s">
        <v>0</v>
      </c>
      <c r="G16374" t="str">
        <f>"2018-10-12 10:11:44"</f>
        <v>2018-10-12 10:11:44</v>
      </c>
    </row>
    <row r="16375" spans="1:7" x14ac:dyDescent="0.2">
      <c r="A16375" t="s">
        <v>15747</v>
      </c>
      <c r="B16375" t="str">
        <f>"13644037212"</f>
        <v>13644037212</v>
      </c>
      <c r="C16375" t="str">
        <f>"210921198904224311"</f>
        <v>210921198904224311</v>
      </c>
      <c r="D16375" t="s">
        <v>1</v>
      </c>
      <c r="E16375" t="s">
        <v>1</v>
      </c>
      <c r="F16375" t="s">
        <v>0</v>
      </c>
      <c r="G16375" t="str">
        <f>"2018-10-12 10:33:20"</f>
        <v>2018-10-12 10:33:20</v>
      </c>
    </row>
    <row r="16376" spans="1:7" x14ac:dyDescent="0.2">
      <c r="A16376" t="s">
        <v>15748</v>
      </c>
      <c r="B16376" t="str">
        <f>"13850817700"</f>
        <v>13850817700</v>
      </c>
      <c r="C16376" t="str">
        <f>"32052019750409432X"</f>
        <v>32052019750409432X</v>
      </c>
      <c r="D16376" t="s">
        <v>1</v>
      </c>
      <c r="E16376" t="s">
        <v>1</v>
      </c>
      <c r="F16376" t="s">
        <v>0</v>
      </c>
      <c r="G16376" t="str">
        <f>"2018-10-12 10:14:00"</f>
        <v>2018-10-12 10:14:00</v>
      </c>
    </row>
    <row r="16377" spans="1:7" x14ac:dyDescent="0.2">
      <c r="A16377" t="s">
        <v>15749</v>
      </c>
      <c r="B16377" t="str">
        <f>"15233102310"</f>
        <v>15233102310</v>
      </c>
      <c r="C16377" t="str">
        <f>"330323197007244913"</f>
        <v>330323197007244913</v>
      </c>
      <c r="D16377" t="s">
        <v>1</v>
      </c>
      <c r="E16377" t="s">
        <v>1</v>
      </c>
      <c r="F16377" t="s">
        <v>0</v>
      </c>
      <c r="G16377" t="str">
        <f>"2018-10-12 10:10:44"</f>
        <v>2018-10-12 10:10:44</v>
      </c>
    </row>
    <row r="16378" spans="1:7" x14ac:dyDescent="0.2">
      <c r="A16378" t="s">
        <v>15750</v>
      </c>
      <c r="B16378" t="str">
        <f>"13774440451"</f>
        <v>13774440451</v>
      </c>
      <c r="C16378" t="str">
        <f>"23100519890426102X"</f>
        <v>23100519890426102X</v>
      </c>
      <c r="D16378" t="s">
        <v>1</v>
      </c>
      <c r="E16378" t="s">
        <v>1</v>
      </c>
      <c r="F16378" t="s">
        <v>0</v>
      </c>
      <c r="G16378" t="str">
        <f>"2018-10-12 10:53:57"</f>
        <v>2018-10-12 10:53:57</v>
      </c>
    </row>
    <row r="16379" spans="1:7" x14ac:dyDescent="0.2">
      <c r="A16379" t="s">
        <v>241</v>
      </c>
      <c r="B16379" t="str">
        <f>"18018544311"</f>
        <v>18018544311</v>
      </c>
      <c r="C16379" t="str">
        <f>"310229197511120214"</f>
        <v>310229197511120214</v>
      </c>
      <c r="D16379" t="s">
        <v>15751</v>
      </c>
      <c r="E16379" t="s">
        <v>15752</v>
      </c>
      <c r="F16379" t="s">
        <v>0</v>
      </c>
      <c r="G16379" t="str">
        <f>"2018-10-12 10:10:33"</f>
        <v>2018-10-12 10:10:33</v>
      </c>
    </row>
    <row r="16380" spans="1:7" x14ac:dyDescent="0.2">
      <c r="A16380" t="s">
        <v>15753</v>
      </c>
      <c r="B16380" t="str">
        <f>"15186334312"</f>
        <v>15186334312</v>
      </c>
      <c r="C16380" t="str">
        <f>"520222199109090014"</f>
        <v>520222199109090014</v>
      </c>
      <c r="D16380" t="s">
        <v>1</v>
      </c>
      <c r="E16380" t="s">
        <v>1</v>
      </c>
      <c r="F16380" t="s">
        <v>0</v>
      </c>
      <c r="G16380" t="str">
        <f>"2018-10-12 10:09:00"</f>
        <v>2018-10-12 10:09:00</v>
      </c>
    </row>
    <row r="16381" spans="1:7" x14ac:dyDescent="0.2">
      <c r="A16381" t="s">
        <v>1</v>
      </c>
      <c r="B16381" t="str">
        <f>"18850473332"</f>
        <v>18850473332</v>
      </c>
      <c r="C16381" t="s">
        <v>1</v>
      </c>
      <c r="D16381" t="s">
        <v>1</v>
      </c>
      <c r="E16381" t="s">
        <v>1</v>
      </c>
      <c r="F16381" t="s">
        <v>0</v>
      </c>
      <c r="G16381" t="str">
        <f>"2018-10-12 10:07:20"</f>
        <v>2018-10-12 10:07:20</v>
      </c>
    </row>
    <row r="16382" spans="1:7" x14ac:dyDescent="0.2">
      <c r="A16382" t="s">
        <v>15754</v>
      </c>
      <c r="B16382" t="str">
        <f>"18653735993"</f>
        <v>18653735993</v>
      </c>
      <c r="C16382" t="str">
        <f>"370829199303195329"</f>
        <v>370829199303195329</v>
      </c>
      <c r="D16382" t="s">
        <v>15755</v>
      </c>
      <c r="E16382" t="s">
        <v>15756</v>
      </c>
      <c r="F16382" t="s">
        <v>0</v>
      </c>
      <c r="G16382" t="str">
        <f>"2018-10-12 10:09:43"</f>
        <v>2018-10-12 10:09:43</v>
      </c>
    </row>
    <row r="16383" spans="1:7" x14ac:dyDescent="0.2">
      <c r="A16383" t="s">
        <v>1</v>
      </c>
      <c r="B16383" t="str">
        <f>"18784439872"</f>
        <v>18784439872</v>
      </c>
      <c r="C16383" t="s">
        <v>1</v>
      </c>
      <c r="D16383" t="s">
        <v>1</v>
      </c>
      <c r="E16383" t="s">
        <v>1</v>
      </c>
      <c r="F16383" t="s">
        <v>0</v>
      </c>
      <c r="G16383" t="str">
        <f>"2018-10-12 10:05:54"</f>
        <v>2018-10-12 10:05:54</v>
      </c>
    </row>
    <row r="16384" spans="1:7" x14ac:dyDescent="0.2">
      <c r="A16384" t="s">
        <v>1</v>
      </c>
      <c r="B16384" t="str">
        <f>"13604751563"</f>
        <v>13604751563</v>
      </c>
      <c r="C16384" t="s">
        <v>1</v>
      </c>
      <c r="D16384" t="s">
        <v>1</v>
      </c>
      <c r="E16384" t="s">
        <v>1</v>
      </c>
      <c r="F16384" t="s">
        <v>0</v>
      </c>
      <c r="G16384" t="str">
        <f>"2018-10-12 10:05:31"</f>
        <v>2018-10-12 10:05:31</v>
      </c>
    </row>
    <row r="16385" spans="1:7" x14ac:dyDescent="0.2">
      <c r="A16385" t="s">
        <v>15757</v>
      </c>
      <c r="B16385" t="str">
        <f>"18269410280"</f>
        <v>18269410280</v>
      </c>
      <c r="C16385" t="str">
        <f>"452501197106242018"</f>
        <v>452501197106242018</v>
      </c>
      <c r="D16385" t="s">
        <v>1</v>
      </c>
      <c r="E16385" t="s">
        <v>1</v>
      </c>
      <c r="F16385" t="s">
        <v>0</v>
      </c>
      <c r="G16385" t="str">
        <f>"2018-10-12 10:06:38"</f>
        <v>2018-10-12 10:06:38</v>
      </c>
    </row>
    <row r="16386" spans="1:7" x14ac:dyDescent="0.2">
      <c r="A16386" t="s">
        <v>15758</v>
      </c>
      <c r="B16386" t="str">
        <f>"15123771314"</f>
        <v>15123771314</v>
      </c>
      <c r="C16386" t="str">
        <f>"500239199304032550"</f>
        <v>500239199304032550</v>
      </c>
      <c r="D16386" t="s">
        <v>1</v>
      </c>
      <c r="E16386" t="s">
        <v>1</v>
      </c>
      <c r="F16386" t="s">
        <v>0</v>
      </c>
      <c r="G16386" t="str">
        <f>"2018-10-12 10:04:41"</f>
        <v>2018-10-12 10:04:41</v>
      </c>
    </row>
    <row r="16387" spans="1:7" x14ac:dyDescent="0.2">
      <c r="A16387" t="s">
        <v>15759</v>
      </c>
      <c r="B16387" t="str">
        <f>"13623829512"</f>
        <v>13623829512</v>
      </c>
      <c r="C16387" t="str">
        <f>"41012619761103251X"</f>
        <v>41012619761103251X</v>
      </c>
      <c r="D16387" t="s">
        <v>1</v>
      </c>
      <c r="E16387" t="s">
        <v>1</v>
      </c>
      <c r="F16387" t="s">
        <v>0</v>
      </c>
      <c r="G16387" t="str">
        <f>"2018-11-03 13:48:07"</f>
        <v>2018-11-03 13:48:07</v>
      </c>
    </row>
    <row r="16388" spans="1:7" x14ac:dyDescent="0.2">
      <c r="A16388" t="s">
        <v>15760</v>
      </c>
      <c r="B16388" t="str">
        <f>"17804261666"</f>
        <v>17804261666</v>
      </c>
      <c r="C16388" t="str">
        <f>"210624199208201412"</f>
        <v>210624199208201412</v>
      </c>
      <c r="D16388" t="s">
        <v>1</v>
      </c>
      <c r="E16388" t="s">
        <v>1</v>
      </c>
      <c r="F16388" t="s">
        <v>0</v>
      </c>
      <c r="G16388" t="str">
        <f>"2018-10-26 16:26:10"</f>
        <v>2018-10-26 16:26:10</v>
      </c>
    </row>
    <row r="16389" spans="1:7" x14ac:dyDescent="0.2">
      <c r="A16389" t="s">
        <v>1</v>
      </c>
      <c r="B16389" t="str">
        <f>"13250721007"</f>
        <v>13250721007</v>
      </c>
      <c r="C16389" t="s">
        <v>1</v>
      </c>
      <c r="D16389" t="s">
        <v>1</v>
      </c>
      <c r="E16389" t="s">
        <v>1</v>
      </c>
      <c r="F16389" t="s">
        <v>0</v>
      </c>
      <c r="G16389" t="str">
        <f>"2018-10-12 10:03:49"</f>
        <v>2018-10-12 10:03:49</v>
      </c>
    </row>
    <row r="16390" spans="1:7" x14ac:dyDescent="0.2">
      <c r="A16390" t="s">
        <v>1</v>
      </c>
      <c r="B16390" t="str">
        <f>"15224599620"</f>
        <v>15224599620</v>
      </c>
      <c r="C16390" t="s">
        <v>1</v>
      </c>
      <c r="D16390" t="s">
        <v>1</v>
      </c>
      <c r="E16390" t="s">
        <v>1</v>
      </c>
      <c r="F16390" t="s">
        <v>0</v>
      </c>
      <c r="G16390" t="str">
        <f>"2018-10-12 10:02:49"</f>
        <v>2018-10-12 10:02:49</v>
      </c>
    </row>
    <row r="16391" spans="1:7" x14ac:dyDescent="0.2">
      <c r="A16391" t="s">
        <v>15761</v>
      </c>
      <c r="B16391" t="str">
        <f>"13477224995"</f>
        <v>13477224995</v>
      </c>
      <c r="C16391" t="str">
        <f>"422801199709204213"</f>
        <v>422801199709204213</v>
      </c>
      <c r="D16391" t="s">
        <v>1</v>
      </c>
      <c r="E16391" t="s">
        <v>1</v>
      </c>
      <c r="F16391" t="s">
        <v>0</v>
      </c>
      <c r="G16391" t="str">
        <f>"2018-10-12 15:53:31"</f>
        <v>2018-10-12 15:53:31</v>
      </c>
    </row>
    <row r="16392" spans="1:7" x14ac:dyDescent="0.2">
      <c r="A16392" t="s">
        <v>1</v>
      </c>
      <c r="B16392" t="str">
        <f>"13768712760"</f>
        <v>13768712760</v>
      </c>
      <c r="C16392" t="s">
        <v>1</v>
      </c>
      <c r="D16392" t="s">
        <v>1</v>
      </c>
      <c r="E16392" t="s">
        <v>1</v>
      </c>
      <c r="F16392" t="s">
        <v>0</v>
      </c>
      <c r="G16392" t="str">
        <f>"2018-10-12 10:02:22"</f>
        <v>2018-10-12 10:02:22</v>
      </c>
    </row>
    <row r="16393" spans="1:7" x14ac:dyDescent="0.2">
      <c r="A16393" t="s">
        <v>15762</v>
      </c>
      <c r="B16393" t="str">
        <f>"18212577466"</f>
        <v>18212577466</v>
      </c>
      <c r="C16393" t="str">
        <f>"52242619800716563X"</f>
        <v>52242619800716563X</v>
      </c>
      <c r="D16393" t="s">
        <v>1</v>
      </c>
      <c r="E16393" t="s">
        <v>1</v>
      </c>
      <c r="F16393" t="s">
        <v>0</v>
      </c>
      <c r="G16393" t="str">
        <f>"2018-10-12 10:43:13"</f>
        <v>2018-10-12 10:43:13</v>
      </c>
    </row>
    <row r="16394" spans="1:7" x14ac:dyDescent="0.2">
      <c r="A16394" t="s">
        <v>1</v>
      </c>
      <c r="B16394" t="str">
        <f>"18754616804"</f>
        <v>18754616804</v>
      </c>
      <c r="C16394" t="s">
        <v>1</v>
      </c>
      <c r="D16394" t="s">
        <v>1</v>
      </c>
      <c r="E16394" t="s">
        <v>1</v>
      </c>
      <c r="F16394" t="s">
        <v>0</v>
      </c>
      <c r="G16394" t="str">
        <f>"2018-10-12 10:02:12"</f>
        <v>2018-10-12 10:02:12</v>
      </c>
    </row>
    <row r="16395" spans="1:7" x14ac:dyDescent="0.2">
      <c r="A16395" t="s">
        <v>15763</v>
      </c>
      <c r="B16395" t="str">
        <f>"18789891852"</f>
        <v>18789891852</v>
      </c>
      <c r="C16395" t="str">
        <f>"352227197909174016"</f>
        <v>352227197909174016</v>
      </c>
      <c r="D16395" t="s">
        <v>1</v>
      </c>
      <c r="E16395" t="s">
        <v>1</v>
      </c>
      <c r="F16395" t="s">
        <v>0</v>
      </c>
      <c r="G16395" t="str">
        <f>"2018-10-12 10:05:00"</f>
        <v>2018-10-12 10:05:00</v>
      </c>
    </row>
    <row r="16396" spans="1:7" x14ac:dyDescent="0.2">
      <c r="A16396" t="s">
        <v>1</v>
      </c>
      <c r="B16396" t="str">
        <f>"15859675356"</f>
        <v>15859675356</v>
      </c>
      <c r="C16396" t="s">
        <v>1</v>
      </c>
      <c r="D16396" t="s">
        <v>1</v>
      </c>
      <c r="E16396" t="s">
        <v>1</v>
      </c>
      <c r="F16396" t="s">
        <v>0</v>
      </c>
      <c r="G16396" t="str">
        <f>"2018-10-12 10:01:40"</f>
        <v>2018-10-12 10:01:40</v>
      </c>
    </row>
    <row r="16397" spans="1:7" x14ac:dyDescent="0.2">
      <c r="A16397" t="s">
        <v>15764</v>
      </c>
      <c r="B16397" t="str">
        <f>"13642017333"</f>
        <v>13642017333</v>
      </c>
      <c r="C16397" t="str">
        <f>"23020619820618051X"</f>
        <v>23020619820618051X</v>
      </c>
      <c r="D16397" t="s">
        <v>1</v>
      </c>
      <c r="E16397" t="s">
        <v>1</v>
      </c>
      <c r="F16397" t="s">
        <v>0</v>
      </c>
      <c r="G16397" t="str">
        <f>"2018-10-12 10:09:13"</f>
        <v>2018-10-12 10:09:13</v>
      </c>
    </row>
    <row r="16398" spans="1:7" x14ac:dyDescent="0.2">
      <c r="A16398" t="s">
        <v>13462</v>
      </c>
      <c r="B16398" t="str">
        <f>"13705707556"</f>
        <v>13705707556</v>
      </c>
      <c r="C16398" t="str">
        <f>"330802196509204015"</f>
        <v>330802196509204015</v>
      </c>
      <c r="D16398" t="s">
        <v>1</v>
      </c>
      <c r="E16398" t="s">
        <v>1</v>
      </c>
      <c r="F16398" t="s">
        <v>0</v>
      </c>
      <c r="G16398" t="str">
        <f>"2018-10-12 10:04:22"</f>
        <v>2018-10-12 10:04:22</v>
      </c>
    </row>
    <row r="16399" spans="1:7" x14ac:dyDescent="0.2">
      <c r="A16399" t="s">
        <v>1</v>
      </c>
      <c r="B16399" t="str">
        <f>"15039495320"</f>
        <v>15039495320</v>
      </c>
      <c r="C16399" t="s">
        <v>1</v>
      </c>
      <c r="D16399" t="s">
        <v>1</v>
      </c>
      <c r="E16399" t="s">
        <v>1</v>
      </c>
      <c r="F16399" t="s">
        <v>0</v>
      </c>
      <c r="G16399" t="str">
        <f>"2018-10-12 10:03:04"</f>
        <v>2018-10-12 10:03:04</v>
      </c>
    </row>
    <row r="16400" spans="1:7" x14ac:dyDescent="0.2">
      <c r="A16400" t="s">
        <v>1</v>
      </c>
      <c r="B16400" t="str">
        <f>"15859677827"</f>
        <v>15859677827</v>
      </c>
      <c r="C16400" t="s">
        <v>1</v>
      </c>
      <c r="D16400" t="s">
        <v>1</v>
      </c>
      <c r="E16400" t="s">
        <v>1</v>
      </c>
      <c r="F16400" t="s">
        <v>0</v>
      </c>
      <c r="G16400" t="str">
        <f>"2018-10-12 10:01:01"</f>
        <v>2018-10-12 10:01:01</v>
      </c>
    </row>
    <row r="16401" spans="1:7" x14ac:dyDescent="0.2">
      <c r="A16401" t="s">
        <v>1</v>
      </c>
      <c r="B16401" t="str">
        <f>"15577413684"</f>
        <v>15577413684</v>
      </c>
      <c r="C16401" t="s">
        <v>1</v>
      </c>
      <c r="D16401" t="s">
        <v>1</v>
      </c>
      <c r="E16401" t="s">
        <v>1</v>
      </c>
      <c r="F16401" t="s">
        <v>0</v>
      </c>
      <c r="G16401" t="str">
        <f>"2018-10-12 10:00:59"</f>
        <v>2018-10-12 10:00:59</v>
      </c>
    </row>
    <row r="16402" spans="1:7" x14ac:dyDescent="0.2">
      <c r="A16402" t="s">
        <v>15765</v>
      </c>
      <c r="B16402" t="str">
        <f>"13389900911"</f>
        <v>13389900911</v>
      </c>
      <c r="C16402" t="str">
        <f>"120111199107293513"</f>
        <v>120111199107293513</v>
      </c>
      <c r="D16402" t="s">
        <v>1</v>
      </c>
      <c r="E16402" t="s">
        <v>1</v>
      </c>
      <c r="F16402" t="s">
        <v>0</v>
      </c>
      <c r="G16402" t="str">
        <f>"2018-10-12 10:01:35"</f>
        <v>2018-10-12 10:01:35</v>
      </c>
    </row>
    <row r="16403" spans="1:7" x14ac:dyDescent="0.2">
      <c r="A16403" t="s">
        <v>15766</v>
      </c>
      <c r="B16403" t="str">
        <f>"14797775085"</f>
        <v>14797775085</v>
      </c>
      <c r="C16403" t="str">
        <f>"450703199301013430"</f>
        <v>450703199301013430</v>
      </c>
      <c r="D16403" t="s">
        <v>1</v>
      </c>
      <c r="E16403" t="s">
        <v>1</v>
      </c>
      <c r="F16403" t="s">
        <v>0</v>
      </c>
      <c r="G16403" t="str">
        <f>"2018-10-12 10:02:06"</f>
        <v>2018-10-12 10:02:06</v>
      </c>
    </row>
    <row r="16404" spans="1:7" x14ac:dyDescent="0.2">
      <c r="A16404" t="s">
        <v>15767</v>
      </c>
      <c r="B16404" t="str">
        <f>"13876396595"</f>
        <v>13876396595</v>
      </c>
      <c r="C16404" t="str">
        <f>"460002199203052513"</f>
        <v>460002199203052513</v>
      </c>
      <c r="D16404" t="s">
        <v>1</v>
      </c>
      <c r="E16404" t="s">
        <v>1</v>
      </c>
      <c r="F16404" t="s">
        <v>0</v>
      </c>
      <c r="G16404" t="str">
        <f>"2018-11-05 10:55:30"</f>
        <v>2018-11-05 10:55:30</v>
      </c>
    </row>
    <row r="16405" spans="1:7" x14ac:dyDescent="0.2">
      <c r="A16405" t="s">
        <v>1</v>
      </c>
      <c r="B16405" t="str">
        <f>"15171910852"</f>
        <v>15171910852</v>
      </c>
      <c r="C16405" t="s">
        <v>1</v>
      </c>
      <c r="D16405" t="s">
        <v>1</v>
      </c>
      <c r="E16405" t="s">
        <v>1</v>
      </c>
      <c r="F16405" t="s">
        <v>0</v>
      </c>
      <c r="G16405" t="str">
        <f>"2018-10-12 10:00:21"</f>
        <v>2018-10-12 10:00:21</v>
      </c>
    </row>
    <row r="16406" spans="1:7" x14ac:dyDescent="0.2">
      <c r="A16406" t="s">
        <v>1</v>
      </c>
      <c r="B16406" t="str">
        <f>"15566380917"</f>
        <v>15566380917</v>
      </c>
      <c r="C16406" t="s">
        <v>1</v>
      </c>
      <c r="D16406" t="s">
        <v>1</v>
      </c>
      <c r="E16406" t="s">
        <v>1</v>
      </c>
      <c r="F16406" t="s">
        <v>0</v>
      </c>
      <c r="G16406" t="str">
        <f>"2018-10-12 10:00:07"</f>
        <v>2018-10-12 10:00:07</v>
      </c>
    </row>
    <row r="16407" spans="1:7" x14ac:dyDescent="0.2">
      <c r="A16407" t="s">
        <v>1</v>
      </c>
      <c r="B16407" t="str">
        <f>"18502226233"</f>
        <v>18502226233</v>
      </c>
      <c r="C16407" t="s">
        <v>1</v>
      </c>
      <c r="D16407" t="s">
        <v>1</v>
      </c>
      <c r="E16407" t="s">
        <v>1</v>
      </c>
      <c r="F16407" t="s">
        <v>0</v>
      </c>
      <c r="G16407" t="str">
        <f>"2018-10-12 10:00:00"</f>
        <v>2018-10-12 10:00:00</v>
      </c>
    </row>
    <row r="16408" spans="1:7" x14ac:dyDescent="0.2">
      <c r="A16408" t="s">
        <v>15768</v>
      </c>
      <c r="B16408" t="str">
        <f>"13799305741"</f>
        <v>13799305741</v>
      </c>
      <c r="C16408" t="str">
        <f>"350525198909263533"</f>
        <v>350525198909263533</v>
      </c>
      <c r="D16408" t="s">
        <v>1</v>
      </c>
      <c r="E16408" t="s">
        <v>1</v>
      </c>
      <c r="F16408" t="s">
        <v>0</v>
      </c>
      <c r="G16408" t="str">
        <f>"2018-10-12 10:00:57"</f>
        <v>2018-10-12 10:00:57</v>
      </c>
    </row>
    <row r="16409" spans="1:7" x14ac:dyDescent="0.2">
      <c r="A16409" t="s">
        <v>1</v>
      </c>
      <c r="B16409" t="str">
        <f>"15931396135"</f>
        <v>15931396135</v>
      </c>
      <c r="C16409" t="s">
        <v>1</v>
      </c>
      <c r="D16409" t="s">
        <v>1</v>
      </c>
      <c r="E16409" t="s">
        <v>1</v>
      </c>
      <c r="F16409" t="s">
        <v>0</v>
      </c>
      <c r="G16409" t="str">
        <f>"2018-10-12 10:02:12"</f>
        <v>2018-10-12 10:02:12</v>
      </c>
    </row>
    <row r="16410" spans="1:7" x14ac:dyDescent="0.2">
      <c r="A16410" t="s">
        <v>1</v>
      </c>
      <c r="B16410" t="str">
        <f>"13572660666"</f>
        <v>13572660666</v>
      </c>
      <c r="C16410" t="s">
        <v>1</v>
      </c>
      <c r="D16410" t="s">
        <v>1</v>
      </c>
      <c r="E16410" t="s">
        <v>1</v>
      </c>
      <c r="F16410" t="s">
        <v>0</v>
      </c>
      <c r="G16410" t="str">
        <f>"2018-10-12 09:59:09"</f>
        <v>2018-10-12 09:59:09</v>
      </c>
    </row>
    <row r="16411" spans="1:7" x14ac:dyDescent="0.2">
      <c r="A16411" t="s">
        <v>1</v>
      </c>
      <c r="B16411" t="str">
        <f>"15856653232"</f>
        <v>15856653232</v>
      </c>
      <c r="C16411" t="s">
        <v>1</v>
      </c>
      <c r="D16411" t="s">
        <v>1</v>
      </c>
      <c r="E16411" t="s">
        <v>1</v>
      </c>
      <c r="F16411" t="s">
        <v>0</v>
      </c>
      <c r="G16411" t="str">
        <f>"2018-10-12 09:59:05"</f>
        <v>2018-10-12 09:59:05</v>
      </c>
    </row>
    <row r="16412" spans="1:7" x14ac:dyDescent="0.2">
      <c r="A16412" t="s">
        <v>15769</v>
      </c>
      <c r="B16412" t="str">
        <f>"15159536282"</f>
        <v>15159536282</v>
      </c>
      <c r="C16412" t="str">
        <f>"350521198909087319"</f>
        <v>350521198909087319</v>
      </c>
      <c r="D16412" t="s">
        <v>1</v>
      </c>
      <c r="E16412" t="s">
        <v>1</v>
      </c>
      <c r="F16412" t="s">
        <v>0</v>
      </c>
      <c r="G16412" t="str">
        <f>"2018-10-12 10:00:07"</f>
        <v>2018-10-12 10:00:07</v>
      </c>
    </row>
    <row r="16413" spans="1:7" x14ac:dyDescent="0.2">
      <c r="A16413" t="s">
        <v>1</v>
      </c>
      <c r="B16413" t="str">
        <f>"15250682370"</f>
        <v>15250682370</v>
      </c>
      <c r="C16413" t="s">
        <v>1</v>
      </c>
      <c r="D16413" t="s">
        <v>1</v>
      </c>
      <c r="E16413" t="s">
        <v>1</v>
      </c>
      <c r="F16413" t="s">
        <v>0</v>
      </c>
      <c r="G16413" t="str">
        <f>"2018-10-12 09:58:57"</f>
        <v>2018-10-12 09:58:57</v>
      </c>
    </row>
    <row r="16414" spans="1:7" x14ac:dyDescent="0.2">
      <c r="A16414" t="s">
        <v>15770</v>
      </c>
      <c r="B16414" t="str">
        <f>"13876348186"</f>
        <v>13876348186</v>
      </c>
      <c r="C16414" t="str">
        <f>"460006199006281646"</f>
        <v>460006199006281646</v>
      </c>
      <c r="D16414" t="s">
        <v>1</v>
      </c>
      <c r="E16414" t="s">
        <v>1</v>
      </c>
      <c r="F16414" t="s">
        <v>0</v>
      </c>
      <c r="G16414" t="str">
        <f>"2018-10-12 10:00:04"</f>
        <v>2018-10-12 10:00:04</v>
      </c>
    </row>
    <row r="16415" spans="1:7" x14ac:dyDescent="0.2">
      <c r="A16415" t="s">
        <v>15771</v>
      </c>
      <c r="B16415" t="str">
        <f>"13376712972"</f>
        <v>13376712972</v>
      </c>
      <c r="C16415" t="str">
        <f>"440881199805065544"</f>
        <v>440881199805065544</v>
      </c>
      <c r="D16415" t="s">
        <v>1</v>
      </c>
      <c r="E16415" t="s">
        <v>1</v>
      </c>
      <c r="F16415" t="s">
        <v>0</v>
      </c>
      <c r="G16415" t="str">
        <f>"2018-10-12 09:58:52"</f>
        <v>2018-10-12 09:58:52</v>
      </c>
    </row>
    <row r="16416" spans="1:7" x14ac:dyDescent="0.2">
      <c r="A16416" t="s">
        <v>15772</v>
      </c>
      <c r="B16416" t="str">
        <f>"18570574900"</f>
        <v>18570574900</v>
      </c>
      <c r="C16416" t="str">
        <f>"43100219850411503X"</f>
        <v>43100219850411503X</v>
      </c>
      <c r="D16416" t="s">
        <v>1</v>
      </c>
      <c r="E16416" t="s">
        <v>1</v>
      </c>
      <c r="F16416" t="s">
        <v>0</v>
      </c>
      <c r="G16416" t="str">
        <f>"2018-10-12 10:00:56"</f>
        <v>2018-10-12 10:00:56</v>
      </c>
    </row>
    <row r="16417" spans="1:7" x14ac:dyDescent="0.2">
      <c r="A16417" t="s">
        <v>1</v>
      </c>
      <c r="B16417" t="str">
        <f>"15833068741"</f>
        <v>15833068741</v>
      </c>
      <c r="C16417" t="s">
        <v>1</v>
      </c>
      <c r="D16417" t="s">
        <v>1</v>
      </c>
      <c r="E16417" t="s">
        <v>1</v>
      </c>
      <c r="F16417" t="s">
        <v>0</v>
      </c>
      <c r="G16417" t="str">
        <f>"2018-10-12 09:57:14"</f>
        <v>2018-10-12 09:57:14</v>
      </c>
    </row>
    <row r="16418" spans="1:7" x14ac:dyDescent="0.2">
      <c r="A16418" t="s">
        <v>15773</v>
      </c>
      <c r="B16418" t="str">
        <f>"13919165951"</f>
        <v>13919165951</v>
      </c>
      <c r="C16418" t="str">
        <f>"620103198206271911"</f>
        <v>620103198206271911</v>
      </c>
      <c r="D16418" t="s">
        <v>15774</v>
      </c>
      <c r="E16418" t="s">
        <v>15775</v>
      </c>
      <c r="F16418" t="s">
        <v>0</v>
      </c>
      <c r="G16418" t="str">
        <f>"2018-10-12 10:01:47"</f>
        <v>2018-10-12 10:01:47</v>
      </c>
    </row>
    <row r="16419" spans="1:7" x14ac:dyDescent="0.2">
      <c r="A16419" t="s">
        <v>1</v>
      </c>
      <c r="B16419" t="str">
        <f>"13561774839"</f>
        <v>13561774839</v>
      </c>
      <c r="C16419" t="s">
        <v>1</v>
      </c>
      <c r="D16419" t="s">
        <v>1</v>
      </c>
      <c r="E16419" t="s">
        <v>1</v>
      </c>
      <c r="F16419" t="s">
        <v>0</v>
      </c>
      <c r="G16419" t="str">
        <f>"2018-10-12 09:57:04"</f>
        <v>2018-10-12 09:57:04</v>
      </c>
    </row>
    <row r="16420" spans="1:7" x14ac:dyDescent="0.2">
      <c r="A16420" t="s">
        <v>313</v>
      </c>
      <c r="B16420" t="str">
        <f>"17548951363"</f>
        <v>17548951363</v>
      </c>
      <c r="C16420" t="str">
        <f>"130727199802271901"</f>
        <v>130727199802271901</v>
      </c>
      <c r="D16420" t="s">
        <v>1</v>
      </c>
      <c r="E16420" t="s">
        <v>1</v>
      </c>
      <c r="F16420" t="s">
        <v>0</v>
      </c>
      <c r="G16420" t="str">
        <f>"2018-10-12 09:58:01"</f>
        <v>2018-10-12 09:58:01</v>
      </c>
    </row>
    <row r="16421" spans="1:7" x14ac:dyDescent="0.2">
      <c r="A16421" t="s">
        <v>1</v>
      </c>
      <c r="B16421" t="str">
        <f>"18609462111"</f>
        <v>18609462111</v>
      </c>
      <c r="C16421" t="s">
        <v>1</v>
      </c>
      <c r="D16421" t="s">
        <v>1</v>
      </c>
      <c r="E16421" t="s">
        <v>1</v>
      </c>
      <c r="F16421" t="s">
        <v>0</v>
      </c>
      <c r="G16421" t="str">
        <f>"2018-10-12 09:56:21"</f>
        <v>2018-10-12 09:56:21</v>
      </c>
    </row>
    <row r="16422" spans="1:7" x14ac:dyDescent="0.2">
      <c r="A16422" t="s">
        <v>1</v>
      </c>
      <c r="B16422" t="str">
        <f>"13615990296"</f>
        <v>13615990296</v>
      </c>
      <c r="C16422" t="s">
        <v>1</v>
      </c>
      <c r="D16422" t="s">
        <v>1</v>
      </c>
      <c r="E16422" t="s">
        <v>1</v>
      </c>
      <c r="F16422" t="s">
        <v>0</v>
      </c>
      <c r="G16422" t="str">
        <f>"2018-10-12 09:57:47"</f>
        <v>2018-10-12 09:57:47</v>
      </c>
    </row>
    <row r="16423" spans="1:7" x14ac:dyDescent="0.2">
      <c r="A16423" t="s">
        <v>15776</v>
      </c>
      <c r="B16423" t="str">
        <f>"13928732336"</f>
        <v>13928732336</v>
      </c>
      <c r="C16423" t="str">
        <f>"440181198403141230"</f>
        <v>440181198403141230</v>
      </c>
      <c r="D16423" t="s">
        <v>1</v>
      </c>
      <c r="E16423" t="s">
        <v>1</v>
      </c>
      <c r="F16423" t="s">
        <v>0</v>
      </c>
      <c r="G16423" t="str">
        <f>"2018-10-12 10:07:40"</f>
        <v>2018-10-12 10:07:40</v>
      </c>
    </row>
    <row r="16424" spans="1:7" x14ac:dyDescent="0.2">
      <c r="A16424" t="s">
        <v>15777</v>
      </c>
      <c r="B16424" t="str">
        <f>"13663917111"</f>
        <v>13663917111</v>
      </c>
      <c r="C16424" t="str">
        <f>"410822198906030084"</f>
        <v>410822198906030084</v>
      </c>
      <c r="D16424" t="s">
        <v>1</v>
      </c>
      <c r="E16424" t="s">
        <v>1</v>
      </c>
      <c r="F16424" t="s">
        <v>0</v>
      </c>
      <c r="G16424" t="str">
        <f>"2018-10-12 10:28:29"</f>
        <v>2018-10-12 10:28:29</v>
      </c>
    </row>
    <row r="16425" spans="1:7" x14ac:dyDescent="0.2">
      <c r="A16425" t="s">
        <v>15778</v>
      </c>
      <c r="B16425" t="str">
        <f>"18530056277"</f>
        <v>18530056277</v>
      </c>
      <c r="C16425" t="str">
        <f>"410105198010161685"</f>
        <v>410105198010161685</v>
      </c>
      <c r="D16425" t="s">
        <v>1</v>
      </c>
      <c r="E16425" t="s">
        <v>1</v>
      </c>
      <c r="F16425" t="s">
        <v>0</v>
      </c>
      <c r="G16425" t="str">
        <f>"2018-10-12 09:55:06"</f>
        <v>2018-10-12 09:55:06</v>
      </c>
    </row>
    <row r="16426" spans="1:7" x14ac:dyDescent="0.2">
      <c r="A16426" t="s">
        <v>15779</v>
      </c>
      <c r="B16426" t="str">
        <f>"13739269566"</f>
        <v>13739269566</v>
      </c>
      <c r="C16426" t="str">
        <f>"511227198101290026"</f>
        <v>511227198101290026</v>
      </c>
      <c r="D16426" t="s">
        <v>1</v>
      </c>
      <c r="E16426" t="s">
        <v>1</v>
      </c>
      <c r="F16426" t="s">
        <v>0</v>
      </c>
      <c r="G16426" t="str">
        <f>"2018-10-12 10:22:09"</f>
        <v>2018-10-12 10:22:09</v>
      </c>
    </row>
    <row r="16427" spans="1:7" x14ac:dyDescent="0.2">
      <c r="A16427" t="s">
        <v>1</v>
      </c>
      <c r="B16427" t="str">
        <f>"15251060282"</f>
        <v>15251060282</v>
      </c>
      <c r="C16427" t="s">
        <v>1</v>
      </c>
      <c r="D16427" t="s">
        <v>1</v>
      </c>
      <c r="E16427" t="s">
        <v>1</v>
      </c>
      <c r="F16427" t="s">
        <v>0</v>
      </c>
      <c r="G16427" t="str">
        <f>"2018-10-12 09:54:19"</f>
        <v>2018-10-12 09:54:19</v>
      </c>
    </row>
    <row r="16428" spans="1:7" x14ac:dyDescent="0.2">
      <c r="A16428" t="s">
        <v>1</v>
      </c>
      <c r="B16428" t="str">
        <f>"15949372093"</f>
        <v>15949372093</v>
      </c>
      <c r="C16428" t="s">
        <v>1</v>
      </c>
      <c r="D16428" t="s">
        <v>1</v>
      </c>
      <c r="E16428" t="s">
        <v>1</v>
      </c>
      <c r="F16428" t="s">
        <v>0</v>
      </c>
      <c r="G16428" t="str">
        <f>"2018-10-12 09:54:16"</f>
        <v>2018-10-12 09:54:16</v>
      </c>
    </row>
    <row r="16429" spans="1:7" x14ac:dyDescent="0.2">
      <c r="A16429" t="s">
        <v>1</v>
      </c>
      <c r="B16429" t="str">
        <f>"15280621892"</f>
        <v>15280621892</v>
      </c>
      <c r="C16429" t="s">
        <v>1</v>
      </c>
      <c r="D16429" t="s">
        <v>1</v>
      </c>
      <c r="E16429" t="s">
        <v>1</v>
      </c>
      <c r="F16429" t="s">
        <v>0</v>
      </c>
      <c r="G16429" t="str">
        <f>"2018-10-12 09:54:14"</f>
        <v>2018-10-12 09:54:14</v>
      </c>
    </row>
    <row r="16430" spans="1:7" x14ac:dyDescent="0.2">
      <c r="A16430" t="s">
        <v>15780</v>
      </c>
      <c r="B16430" t="str">
        <f>"15540736521"</f>
        <v>15540736521</v>
      </c>
      <c r="C16430" t="str">
        <f>"152326199507286876"</f>
        <v>152326199507286876</v>
      </c>
      <c r="D16430" t="s">
        <v>15781</v>
      </c>
      <c r="E16430" t="s">
        <v>15781</v>
      </c>
      <c r="F16430" t="s">
        <v>0</v>
      </c>
      <c r="G16430" t="str">
        <f>"2018-10-12 09:54:08"</f>
        <v>2018-10-12 09:54:08</v>
      </c>
    </row>
    <row r="16431" spans="1:7" x14ac:dyDescent="0.2">
      <c r="A16431" t="s">
        <v>1</v>
      </c>
      <c r="B16431" t="str">
        <f>"18642813844"</f>
        <v>18642813844</v>
      </c>
      <c r="C16431" t="s">
        <v>1</v>
      </c>
      <c r="D16431" t="s">
        <v>1</v>
      </c>
      <c r="E16431" t="s">
        <v>1</v>
      </c>
      <c r="F16431" t="s">
        <v>0</v>
      </c>
      <c r="G16431" t="str">
        <f>"2018-10-12 09:54:06"</f>
        <v>2018-10-12 09:54:06</v>
      </c>
    </row>
    <row r="16432" spans="1:7" x14ac:dyDescent="0.2">
      <c r="A16432" t="s">
        <v>15782</v>
      </c>
      <c r="B16432" t="str">
        <f>"15136586316"</f>
        <v>15136586316</v>
      </c>
      <c r="C16432" t="str">
        <f>"412823199507196012"</f>
        <v>412823199507196012</v>
      </c>
      <c r="D16432" t="s">
        <v>1</v>
      </c>
      <c r="E16432" t="s">
        <v>1</v>
      </c>
      <c r="F16432" t="s">
        <v>0</v>
      </c>
      <c r="G16432" t="str">
        <f>"2018-10-12 09:55:32"</f>
        <v>2018-10-12 09:55:32</v>
      </c>
    </row>
    <row r="16433" spans="1:7" x14ac:dyDescent="0.2">
      <c r="A16433" t="s">
        <v>15783</v>
      </c>
      <c r="B16433" t="str">
        <f>"18831902611"</f>
        <v>18831902611</v>
      </c>
      <c r="C16433" t="str">
        <f>"130534199407147719"</f>
        <v>130534199407147719</v>
      </c>
      <c r="D16433" t="s">
        <v>1</v>
      </c>
      <c r="E16433" t="s">
        <v>1</v>
      </c>
      <c r="F16433" t="s">
        <v>0</v>
      </c>
      <c r="G16433" t="str">
        <f>"2018-10-12 09:55:29"</f>
        <v>2018-10-12 09:55:29</v>
      </c>
    </row>
    <row r="16434" spans="1:7" x14ac:dyDescent="0.2">
      <c r="A16434" t="s">
        <v>15784</v>
      </c>
      <c r="B16434" t="str">
        <f>"18239198282"</f>
        <v>18239198282</v>
      </c>
      <c r="C16434" t="str">
        <f>"410822199507173517"</f>
        <v>410822199507173517</v>
      </c>
      <c r="D16434" t="s">
        <v>15785</v>
      </c>
      <c r="E16434" t="s">
        <v>15786</v>
      </c>
      <c r="F16434" t="s">
        <v>0</v>
      </c>
      <c r="G16434" t="str">
        <f>"2018-10-12 14:50:13"</f>
        <v>2018-10-12 14:50:13</v>
      </c>
    </row>
    <row r="16435" spans="1:7" x14ac:dyDescent="0.2">
      <c r="A16435" t="s">
        <v>1</v>
      </c>
      <c r="B16435" t="str">
        <f>"18736988073"</f>
        <v>18736988073</v>
      </c>
      <c r="C16435" t="s">
        <v>1</v>
      </c>
      <c r="D16435" t="s">
        <v>1</v>
      </c>
      <c r="E16435" t="s">
        <v>1</v>
      </c>
      <c r="F16435" t="s">
        <v>0</v>
      </c>
      <c r="G16435" t="str">
        <f>"2018-10-12 09:55:08"</f>
        <v>2018-10-12 09:55:08</v>
      </c>
    </row>
    <row r="16436" spans="1:7" x14ac:dyDescent="0.2">
      <c r="A16436" t="s">
        <v>15787</v>
      </c>
      <c r="B16436" t="str">
        <f>"15959359721"</f>
        <v>15959359721</v>
      </c>
      <c r="C16436" t="str">
        <f>"500228198410044164"</f>
        <v>500228198410044164</v>
      </c>
      <c r="D16436" t="s">
        <v>1</v>
      </c>
      <c r="E16436" t="s">
        <v>1</v>
      </c>
      <c r="F16436" t="s">
        <v>0</v>
      </c>
      <c r="G16436" t="str">
        <f>"2018-10-12 09:54:15"</f>
        <v>2018-10-12 09:54:15</v>
      </c>
    </row>
    <row r="16437" spans="1:7" x14ac:dyDescent="0.2">
      <c r="A16437" t="s">
        <v>1</v>
      </c>
      <c r="B16437" t="str">
        <f>"13878060969"</f>
        <v>13878060969</v>
      </c>
      <c r="C16437" t="s">
        <v>1</v>
      </c>
      <c r="D16437" t="s">
        <v>1</v>
      </c>
      <c r="E16437" t="s">
        <v>1</v>
      </c>
      <c r="F16437" t="s">
        <v>0</v>
      </c>
      <c r="G16437" t="str">
        <f>"2018-10-12 09:53:49"</f>
        <v>2018-10-12 09:53:49</v>
      </c>
    </row>
    <row r="16438" spans="1:7" x14ac:dyDescent="0.2">
      <c r="A16438" t="s">
        <v>15788</v>
      </c>
      <c r="B16438" t="str">
        <f>"18639529512"</f>
        <v>18639529512</v>
      </c>
      <c r="C16438" t="str">
        <f>"411526199108255419"</f>
        <v>411526199108255419</v>
      </c>
      <c r="D16438" t="s">
        <v>1</v>
      </c>
      <c r="E16438" t="s">
        <v>1</v>
      </c>
      <c r="F16438" t="s">
        <v>0</v>
      </c>
      <c r="G16438" t="str">
        <f>"2018-10-15 08:52:41"</f>
        <v>2018-10-15 08:52:41</v>
      </c>
    </row>
    <row r="16439" spans="1:7" x14ac:dyDescent="0.2">
      <c r="A16439" t="s">
        <v>15789</v>
      </c>
      <c r="B16439" t="str">
        <f>"13837681708"</f>
        <v>13837681708</v>
      </c>
      <c r="C16439" t="str">
        <f>"413028198310214656"</f>
        <v>413028198310214656</v>
      </c>
      <c r="D16439" t="s">
        <v>1</v>
      </c>
      <c r="E16439" t="s">
        <v>1</v>
      </c>
      <c r="F16439" t="s">
        <v>0</v>
      </c>
      <c r="G16439" t="str">
        <f>"2018-11-02 12:09:21"</f>
        <v>2018-11-02 12:09:21</v>
      </c>
    </row>
    <row r="16440" spans="1:7" x14ac:dyDescent="0.2">
      <c r="A16440" t="s">
        <v>15790</v>
      </c>
      <c r="B16440" t="str">
        <f>"13694939524"</f>
        <v>13694939524</v>
      </c>
      <c r="C16440" t="str">
        <f>"513023199504205324"</f>
        <v>513023199504205324</v>
      </c>
      <c r="D16440" t="s">
        <v>1</v>
      </c>
      <c r="E16440" t="s">
        <v>1</v>
      </c>
      <c r="F16440" t="s">
        <v>0</v>
      </c>
      <c r="G16440" t="str">
        <f>"2018-10-12 09:59:04"</f>
        <v>2018-10-12 09:59:04</v>
      </c>
    </row>
    <row r="16441" spans="1:7" x14ac:dyDescent="0.2">
      <c r="A16441" t="s">
        <v>15791</v>
      </c>
      <c r="B16441" t="str">
        <f>"13878783639"</f>
        <v>13878783639</v>
      </c>
      <c r="C16441" t="str">
        <f>"452124197108210039"</f>
        <v>452124197108210039</v>
      </c>
      <c r="D16441" t="s">
        <v>1</v>
      </c>
      <c r="E16441" t="s">
        <v>1</v>
      </c>
      <c r="F16441" t="s">
        <v>0</v>
      </c>
      <c r="G16441" t="str">
        <f>"2018-10-12 10:00:38"</f>
        <v>2018-10-12 10:00:38</v>
      </c>
    </row>
    <row r="16442" spans="1:7" x14ac:dyDescent="0.2">
      <c r="A16442" t="s">
        <v>1</v>
      </c>
      <c r="B16442" t="str">
        <f>"15655235529"</f>
        <v>15655235529</v>
      </c>
      <c r="C16442" t="s">
        <v>1</v>
      </c>
      <c r="D16442" t="s">
        <v>1</v>
      </c>
      <c r="E16442" t="s">
        <v>1</v>
      </c>
      <c r="F16442" t="s">
        <v>0</v>
      </c>
      <c r="G16442" t="str">
        <f>"2018-10-12 09:52:21"</f>
        <v>2018-10-12 09:52:21</v>
      </c>
    </row>
    <row r="16443" spans="1:7" x14ac:dyDescent="0.2">
      <c r="A16443" t="s">
        <v>1</v>
      </c>
      <c r="B16443" t="str">
        <f>"13859754436"</f>
        <v>13859754436</v>
      </c>
      <c r="C16443" t="s">
        <v>1</v>
      </c>
      <c r="D16443" t="s">
        <v>1</v>
      </c>
      <c r="E16443" t="s">
        <v>1</v>
      </c>
      <c r="F16443" t="s">
        <v>0</v>
      </c>
      <c r="G16443" t="str">
        <f>"2018-10-12 09:52:20"</f>
        <v>2018-10-12 09:52:20</v>
      </c>
    </row>
    <row r="16444" spans="1:7" x14ac:dyDescent="0.2">
      <c r="A16444" t="s">
        <v>15792</v>
      </c>
      <c r="B16444" t="str">
        <f>"18830116833"</f>
        <v>18830116833</v>
      </c>
      <c r="C16444" t="str">
        <f>"130126199401022147"</f>
        <v>130126199401022147</v>
      </c>
      <c r="D16444" t="s">
        <v>1</v>
      </c>
      <c r="E16444" t="s">
        <v>1</v>
      </c>
      <c r="F16444" t="s">
        <v>0</v>
      </c>
      <c r="G16444" t="str">
        <f>"2018-10-12 09:52:52"</f>
        <v>2018-10-12 09:52:52</v>
      </c>
    </row>
    <row r="16445" spans="1:7" x14ac:dyDescent="0.2">
      <c r="A16445" t="s">
        <v>1</v>
      </c>
      <c r="B16445" t="str">
        <f>"15977657571"</f>
        <v>15977657571</v>
      </c>
      <c r="C16445" t="s">
        <v>1</v>
      </c>
      <c r="D16445" t="s">
        <v>1</v>
      </c>
      <c r="E16445" t="s">
        <v>1</v>
      </c>
      <c r="F16445" t="s">
        <v>0</v>
      </c>
      <c r="G16445" t="str">
        <f>"2018-10-12 09:52:06"</f>
        <v>2018-10-12 09:52:06</v>
      </c>
    </row>
    <row r="16446" spans="1:7" x14ac:dyDescent="0.2">
      <c r="A16446" t="s">
        <v>1445</v>
      </c>
      <c r="B16446" t="str">
        <f>"13483637048"</f>
        <v>13483637048</v>
      </c>
      <c r="C16446" t="str">
        <f>"220402196811172221"</f>
        <v>220402196811172221</v>
      </c>
      <c r="D16446" t="s">
        <v>1</v>
      </c>
      <c r="E16446" t="s">
        <v>1</v>
      </c>
      <c r="F16446" t="s">
        <v>0</v>
      </c>
      <c r="G16446" t="str">
        <f>"2018-10-12 09:54:20"</f>
        <v>2018-10-12 09:54:20</v>
      </c>
    </row>
    <row r="16447" spans="1:7" x14ac:dyDescent="0.2">
      <c r="A16447" t="s">
        <v>1</v>
      </c>
      <c r="B16447" t="str">
        <f>"18738552386"</f>
        <v>18738552386</v>
      </c>
      <c r="C16447" t="s">
        <v>1</v>
      </c>
      <c r="D16447" t="s">
        <v>1</v>
      </c>
      <c r="E16447" t="s">
        <v>1</v>
      </c>
      <c r="F16447" t="s">
        <v>0</v>
      </c>
      <c r="G16447" t="str">
        <f>"2018-10-12 09:51:36"</f>
        <v>2018-10-12 09:51:36</v>
      </c>
    </row>
    <row r="16448" spans="1:7" x14ac:dyDescent="0.2">
      <c r="A16448" t="s">
        <v>15793</v>
      </c>
      <c r="B16448" t="str">
        <f>"18878869001"</f>
        <v>18878869001</v>
      </c>
      <c r="C16448" t="str">
        <f>"452127198203072731"</f>
        <v>452127198203072731</v>
      </c>
      <c r="D16448" t="s">
        <v>15794</v>
      </c>
      <c r="E16448" t="s">
        <v>15795</v>
      </c>
      <c r="F16448" t="s">
        <v>0</v>
      </c>
      <c r="G16448" t="str">
        <f>"2018-10-29 11:25:10"</f>
        <v>2018-10-29 11:25:10</v>
      </c>
    </row>
    <row r="16449" spans="1:7" x14ac:dyDescent="0.2">
      <c r="A16449" t="s">
        <v>15796</v>
      </c>
      <c r="B16449" t="str">
        <f>"15816485108"</f>
        <v>15816485108</v>
      </c>
      <c r="C16449" t="str">
        <f>"42112719800329152X"</f>
        <v>42112719800329152X</v>
      </c>
      <c r="D16449" t="s">
        <v>1</v>
      </c>
      <c r="E16449" t="s">
        <v>1</v>
      </c>
      <c r="F16449" t="s">
        <v>0</v>
      </c>
      <c r="G16449" t="str">
        <f>"2018-10-12 10:39:51"</f>
        <v>2018-10-12 10:39:51</v>
      </c>
    </row>
    <row r="16450" spans="1:7" x14ac:dyDescent="0.2">
      <c r="A16450" t="s">
        <v>1717</v>
      </c>
      <c r="B16450" t="str">
        <f>"15100432212"</f>
        <v>15100432212</v>
      </c>
      <c r="C16450" t="str">
        <f>"130406198909202727"</f>
        <v>130406198909202727</v>
      </c>
      <c r="D16450" t="s">
        <v>1</v>
      </c>
      <c r="E16450" t="s">
        <v>1</v>
      </c>
      <c r="F16450" t="s">
        <v>0</v>
      </c>
      <c r="G16450" t="str">
        <f>"2018-10-17 14:24:58"</f>
        <v>2018-10-17 14:24:58</v>
      </c>
    </row>
    <row r="16451" spans="1:7" x14ac:dyDescent="0.2">
      <c r="A16451" t="s">
        <v>15797</v>
      </c>
      <c r="B16451" t="str">
        <f>"15845145391"</f>
        <v>15845145391</v>
      </c>
      <c r="C16451" t="str">
        <f>"231282199607167414"</f>
        <v>231282199607167414</v>
      </c>
      <c r="D16451" t="s">
        <v>15798</v>
      </c>
      <c r="E16451" t="s">
        <v>15799</v>
      </c>
      <c r="F16451" t="s">
        <v>0</v>
      </c>
      <c r="G16451" t="str">
        <f>"2018-10-12 09:52:37"</f>
        <v>2018-10-12 09:52:37</v>
      </c>
    </row>
    <row r="16452" spans="1:7" x14ac:dyDescent="0.2">
      <c r="A16452" t="s">
        <v>15800</v>
      </c>
      <c r="B16452" t="str">
        <f>"18345419889"</f>
        <v>18345419889</v>
      </c>
      <c r="C16452" t="str">
        <f>"232321198609130411"</f>
        <v>232321198609130411</v>
      </c>
      <c r="D16452" t="s">
        <v>15801</v>
      </c>
      <c r="E16452" t="s">
        <v>15802</v>
      </c>
      <c r="F16452" t="s">
        <v>0</v>
      </c>
      <c r="G16452" t="str">
        <f>"2018-10-12 09:51:38"</f>
        <v>2018-10-12 09:51:38</v>
      </c>
    </row>
    <row r="16453" spans="1:7" x14ac:dyDescent="0.2">
      <c r="A16453" t="s">
        <v>1</v>
      </c>
      <c r="B16453" t="str">
        <f>"18675850515"</f>
        <v>18675850515</v>
      </c>
      <c r="C16453" t="s">
        <v>1</v>
      </c>
      <c r="D16453" t="s">
        <v>1</v>
      </c>
      <c r="E16453" t="s">
        <v>1</v>
      </c>
      <c r="F16453" t="s">
        <v>0</v>
      </c>
      <c r="G16453" t="str">
        <f>"2018-10-12 09:50:26"</f>
        <v>2018-10-12 09:50:26</v>
      </c>
    </row>
    <row r="16454" spans="1:7" x14ac:dyDescent="0.2">
      <c r="A16454" t="s">
        <v>1594</v>
      </c>
      <c r="B16454" t="str">
        <f>"13555009722"</f>
        <v>13555009722</v>
      </c>
      <c r="C16454" t="str">
        <f>"231005196805220522"</f>
        <v>231005196805220522</v>
      </c>
      <c r="D16454" t="s">
        <v>15803</v>
      </c>
      <c r="E16454" t="s">
        <v>15804</v>
      </c>
      <c r="F16454" t="s">
        <v>0</v>
      </c>
      <c r="G16454" t="str">
        <f>"2018-10-12 09:51:50"</f>
        <v>2018-10-12 09:51:50</v>
      </c>
    </row>
    <row r="16455" spans="1:7" x14ac:dyDescent="0.2">
      <c r="A16455" t="s">
        <v>15805</v>
      </c>
      <c r="B16455" t="str">
        <f>"15155408751"</f>
        <v>15155408751</v>
      </c>
      <c r="C16455" t="str">
        <f>"340403198510152617"</f>
        <v>340403198510152617</v>
      </c>
      <c r="D16455" t="s">
        <v>1</v>
      </c>
      <c r="E16455" t="s">
        <v>1</v>
      </c>
      <c r="F16455" t="s">
        <v>0</v>
      </c>
      <c r="G16455" t="str">
        <f>"2018-10-12 09:49:30"</f>
        <v>2018-10-12 09:49:30</v>
      </c>
    </row>
    <row r="16456" spans="1:7" x14ac:dyDescent="0.2">
      <c r="A16456" t="s">
        <v>15806</v>
      </c>
      <c r="B16456" t="str">
        <f>"18650633112"</f>
        <v>18650633112</v>
      </c>
      <c r="C16456" t="str">
        <f>"350783198508090226"</f>
        <v>350783198508090226</v>
      </c>
      <c r="D16456" t="s">
        <v>15807</v>
      </c>
      <c r="E16456" t="s">
        <v>15808</v>
      </c>
      <c r="F16456" t="s">
        <v>0</v>
      </c>
      <c r="G16456" t="str">
        <f>"2018-11-05 09:47:24"</f>
        <v>2018-11-05 09:47:24</v>
      </c>
    </row>
    <row r="16457" spans="1:7" x14ac:dyDescent="0.2">
      <c r="A16457" t="s">
        <v>15809</v>
      </c>
      <c r="B16457" t="str">
        <f>"18786064367"</f>
        <v>18786064367</v>
      </c>
      <c r="C16457" t="str">
        <f>"522601199303066810"</f>
        <v>522601199303066810</v>
      </c>
      <c r="D16457" t="s">
        <v>15810</v>
      </c>
      <c r="E16457" t="s">
        <v>15811</v>
      </c>
      <c r="F16457" t="s">
        <v>0</v>
      </c>
      <c r="G16457" t="str">
        <f>"2018-10-12 09:49:45"</f>
        <v>2018-10-12 09:49:45</v>
      </c>
    </row>
    <row r="16458" spans="1:7" x14ac:dyDescent="0.2">
      <c r="A16458" t="s">
        <v>1</v>
      </c>
      <c r="B16458" t="str">
        <f>"13626061689"</f>
        <v>13626061689</v>
      </c>
      <c r="C16458" t="s">
        <v>1</v>
      </c>
      <c r="D16458" t="s">
        <v>1</v>
      </c>
      <c r="E16458" t="s">
        <v>1</v>
      </c>
      <c r="F16458" t="s">
        <v>0</v>
      </c>
      <c r="G16458" t="str">
        <f>"2018-10-12 09:48:48"</f>
        <v>2018-10-12 09:48:48</v>
      </c>
    </row>
    <row r="16459" spans="1:7" x14ac:dyDescent="0.2">
      <c r="A16459" t="s">
        <v>35</v>
      </c>
      <c r="B16459" t="str">
        <f>"13781919310"</f>
        <v>13781919310</v>
      </c>
      <c r="C16459" t="str">
        <f>"410781197908010028"</f>
        <v>410781197908010028</v>
      </c>
      <c r="D16459" t="s">
        <v>1</v>
      </c>
      <c r="E16459" t="s">
        <v>1</v>
      </c>
      <c r="F16459" t="s">
        <v>0</v>
      </c>
      <c r="G16459" t="str">
        <f>"2018-10-12 09:55:08"</f>
        <v>2018-10-12 09:55:08</v>
      </c>
    </row>
    <row r="16460" spans="1:7" x14ac:dyDescent="0.2">
      <c r="A16460" t="s">
        <v>15812</v>
      </c>
      <c r="B16460" t="str">
        <f>"15038052166"</f>
        <v>15038052166</v>
      </c>
      <c r="C16460" t="str">
        <f>"410185199109253033"</f>
        <v>410185199109253033</v>
      </c>
      <c r="D16460" t="s">
        <v>1</v>
      </c>
      <c r="E16460" t="s">
        <v>1</v>
      </c>
      <c r="F16460" t="s">
        <v>0</v>
      </c>
      <c r="G16460" t="str">
        <f>"2018-10-12 09:56:14"</f>
        <v>2018-10-12 09:56:14</v>
      </c>
    </row>
    <row r="16461" spans="1:7" x14ac:dyDescent="0.2">
      <c r="A16461" t="s">
        <v>28</v>
      </c>
      <c r="B16461" t="str">
        <f>"15203360038"</f>
        <v>15203360038</v>
      </c>
      <c r="C16461" t="str">
        <f>"131082198002285814"</f>
        <v>131082198002285814</v>
      </c>
      <c r="D16461" t="s">
        <v>15813</v>
      </c>
      <c r="E16461" t="s">
        <v>15814</v>
      </c>
      <c r="F16461" t="s">
        <v>0</v>
      </c>
      <c r="G16461" t="str">
        <f>"2018-10-12 09:49:31"</f>
        <v>2018-10-12 09:49:31</v>
      </c>
    </row>
    <row r="16462" spans="1:7" x14ac:dyDescent="0.2">
      <c r="A16462" t="s">
        <v>1</v>
      </c>
      <c r="B16462" t="str">
        <f>"18856747557"</f>
        <v>18856747557</v>
      </c>
      <c r="C16462" t="s">
        <v>1</v>
      </c>
      <c r="D16462" t="s">
        <v>1</v>
      </c>
      <c r="E16462" t="s">
        <v>1</v>
      </c>
      <c r="F16462" t="s">
        <v>0</v>
      </c>
      <c r="G16462" t="str">
        <f>"2018-10-12 09:47:56"</f>
        <v>2018-10-12 09:47:56</v>
      </c>
    </row>
    <row r="16463" spans="1:7" x14ac:dyDescent="0.2">
      <c r="A16463" t="s">
        <v>1</v>
      </c>
      <c r="B16463" t="str">
        <f>"15104596234"</f>
        <v>15104596234</v>
      </c>
      <c r="C16463" t="s">
        <v>1</v>
      </c>
      <c r="D16463" t="s">
        <v>1</v>
      </c>
      <c r="E16463" t="s">
        <v>1</v>
      </c>
      <c r="F16463" t="s">
        <v>0</v>
      </c>
      <c r="G16463" t="str">
        <f>"2018-10-12 09:47:52"</f>
        <v>2018-10-12 09:47:52</v>
      </c>
    </row>
    <row r="16464" spans="1:7" x14ac:dyDescent="0.2">
      <c r="A16464" t="s">
        <v>15815</v>
      </c>
      <c r="B16464" t="str">
        <f>"13607613574"</f>
        <v>13607613574</v>
      </c>
      <c r="C16464" t="str">
        <f>"411528197106190029"</f>
        <v>411528197106190029</v>
      </c>
      <c r="D16464" t="s">
        <v>1</v>
      </c>
      <c r="E16464" t="s">
        <v>1</v>
      </c>
      <c r="F16464" t="s">
        <v>0</v>
      </c>
      <c r="G16464" t="str">
        <f>"2018-10-12 09:54:16"</f>
        <v>2018-10-12 09:54:16</v>
      </c>
    </row>
    <row r="16465" spans="1:7" x14ac:dyDescent="0.2">
      <c r="A16465" t="s">
        <v>15816</v>
      </c>
      <c r="B16465" t="str">
        <f>"15154925257"</f>
        <v>15154925257</v>
      </c>
      <c r="C16465" t="str">
        <f>"532531198312010018"</f>
        <v>532531198312010018</v>
      </c>
      <c r="D16465" t="s">
        <v>1</v>
      </c>
      <c r="E16465" t="s">
        <v>1</v>
      </c>
      <c r="F16465" t="s">
        <v>0</v>
      </c>
      <c r="G16465" t="str">
        <f>"2018-10-12 09:51:17"</f>
        <v>2018-10-12 09:51:17</v>
      </c>
    </row>
    <row r="16466" spans="1:7" x14ac:dyDescent="0.2">
      <c r="A16466" t="s">
        <v>1876</v>
      </c>
      <c r="B16466" t="str">
        <f>"18742389797"</f>
        <v>18742389797</v>
      </c>
      <c r="C16466" t="str">
        <f>"211121198409251248"</f>
        <v>211121198409251248</v>
      </c>
      <c r="D16466" t="s">
        <v>1</v>
      </c>
      <c r="E16466" t="s">
        <v>1</v>
      </c>
      <c r="F16466" t="s">
        <v>0</v>
      </c>
      <c r="G16466" t="str">
        <f>"2018-10-12 10:47:21"</f>
        <v>2018-10-12 10:47:21</v>
      </c>
    </row>
    <row r="16467" spans="1:7" x14ac:dyDescent="0.2">
      <c r="A16467" t="s">
        <v>1</v>
      </c>
      <c r="B16467" t="str">
        <f>"15055044664"</f>
        <v>15055044664</v>
      </c>
      <c r="C16467" t="s">
        <v>1</v>
      </c>
      <c r="D16467" t="s">
        <v>1</v>
      </c>
      <c r="E16467" t="s">
        <v>1</v>
      </c>
      <c r="F16467" t="s">
        <v>0</v>
      </c>
      <c r="G16467" t="str">
        <f>"2018-10-12 09:47:19"</f>
        <v>2018-10-12 09:47:19</v>
      </c>
    </row>
    <row r="16468" spans="1:7" x14ac:dyDescent="0.2">
      <c r="A16468" t="s">
        <v>15817</v>
      </c>
      <c r="B16468" t="str">
        <f>"18396256207"</f>
        <v>18396256207</v>
      </c>
      <c r="C16468" t="str">
        <f>"350628198811290036"</f>
        <v>350628198811290036</v>
      </c>
      <c r="D16468" t="s">
        <v>15818</v>
      </c>
      <c r="E16468" t="s">
        <v>15819</v>
      </c>
      <c r="F16468" t="s">
        <v>0</v>
      </c>
      <c r="G16468" t="str">
        <f>"2018-10-13 08:00:43"</f>
        <v>2018-10-13 08:00:43</v>
      </c>
    </row>
    <row r="16469" spans="1:7" x14ac:dyDescent="0.2">
      <c r="A16469" t="s">
        <v>15820</v>
      </c>
      <c r="B16469" t="str">
        <f>"18739869803"</f>
        <v>18739869803</v>
      </c>
      <c r="C16469" t="str">
        <f>"41122419801205351X"</f>
        <v>41122419801205351X</v>
      </c>
      <c r="D16469" t="s">
        <v>15821</v>
      </c>
      <c r="E16469" t="s">
        <v>15822</v>
      </c>
      <c r="F16469" t="s">
        <v>0</v>
      </c>
      <c r="G16469" t="str">
        <f>"2018-10-21 00:18:41"</f>
        <v>2018-10-21 00:18:41</v>
      </c>
    </row>
    <row r="16470" spans="1:7" x14ac:dyDescent="0.2">
      <c r="A16470" t="s">
        <v>15823</v>
      </c>
      <c r="B16470" t="str">
        <f>"15870203131"</f>
        <v>15870203131</v>
      </c>
      <c r="C16470" t="str">
        <f>"522628198601070047"</f>
        <v>522628198601070047</v>
      </c>
      <c r="D16470" t="s">
        <v>1</v>
      </c>
      <c r="E16470" t="s">
        <v>1</v>
      </c>
      <c r="F16470" t="s">
        <v>0</v>
      </c>
      <c r="G16470" t="str">
        <f>"2018-10-12 09:49:56"</f>
        <v>2018-10-12 09:49:56</v>
      </c>
    </row>
    <row r="16471" spans="1:7" x14ac:dyDescent="0.2">
      <c r="A16471" t="s">
        <v>15824</v>
      </c>
      <c r="B16471" t="str">
        <f>"18387316794"</f>
        <v>18387316794</v>
      </c>
      <c r="C16471" t="str">
        <f>"532526199410231440"</f>
        <v>532526199410231440</v>
      </c>
      <c r="D16471" t="s">
        <v>1</v>
      </c>
      <c r="E16471" t="s">
        <v>1</v>
      </c>
      <c r="F16471" t="s">
        <v>0</v>
      </c>
      <c r="G16471" t="str">
        <f>"2018-10-12 09:51:33"</f>
        <v>2018-10-12 09:51:33</v>
      </c>
    </row>
    <row r="16472" spans="1:7" x14ac:dyDescent="0.2">
      <c r="A16472" t="s">
        <v>1</v>
      </c>
      <c r="B16472" t="str">
        <f>"13708568050"</f>
        <v>13708568050</v>
      </c>
      <c r="C16472" t="s">
        <v>1</v>
      </c>
      <c r="D16472" t="s">
        <v>1</v>
      </c>
      <c r="E16472" t="s">
        <v>1</v>
      </c>
      <c r="F16472" t="s">
        <v>0</v>
      </c>
      <c r="G16472" t="str">
        <f>"2018-10-12 09:46:59"</f>
        <v>2018-10-12 09:46:59</v>
      </c>
    </row>
    <row r="16473" spans="1:7" x14ac:dyDescent="0.2">
      <c r="A16473" t="s">
        <v>1</v>
      </c>
      <c r="B16473" t="str">
        <f>"13784707817"</f>
        <v>13784707817</v>
      </c>
      <c r="C16473" t="s">
        <v>1</v>
      </c>
      <c r="D16473" t="s">
        <v>1</v>
      </c>
      <c r="E16473" t="s">
        <v>1</v>
      </c>
      <c r="F16473" t="s">
        <v>0</v>
      </c>
      <c r="G16473" t="str">
        <f>"2018-10-12 09:46:50"</f>
        <v>2018-10-12 09:46:50</v>
      </c>
    </row>
    <row r="16474" spans="1:7" x14ac:dyDescent="0.2">
      <c r="A16474" t="s">
        <v>15825</v>
      </c>
      <c r="B16474" t="str">
        <f>"18839108805"</f>
        <v>18839108805</v>
      </c>
      <c r="C16474" t="str">
        <f>"410823199210110490"</f>
        <v>410823199210110490</v>
      </c>
      <c r="D16474" t="s">
        <v>1</v>
      </c>
      <c r="E16474" t="s">
        <v>1</v>
      </c>
      <c r="F16474" t="s">
        <v>0</v>
      </c>
      <c r="G16474" t="str">
        <f>"2018-10-12 09:49:18"</f>
        <v>2018-10-12 09:49:18</v>
      </c>
    </row>
    <row r="16475" spans="1:7" x14ac:dyDescent="0.2">
      <c r="A16475" t="s">
        <v>1</v>
      </c>
      <c r="B16475" t="str">
        <f>"18681663686"</f>
        <v>18681663686</v>
      </c>
      <c r="C16475" t="s">
        <v>1</v>
      </c>
      <c r="D16475" t="s">
        <v>1</v>
      </c>
      <c r="E16475" t="s">
        <v>1</v>
      </c>
      <c r="F16475" t="s">
        <v>0</v>
      </c>
      <c r="G16475" t="str">
        <f>"2018-10-12 09:47:36"</f>
        <v>2018-10-12 09:47:36</v>
      </c>
    </row>
    <row r="16476" spans="1:7" x14ac:dyDescent="0.2">
      <c r="A16476" t="s">
        <v>15826</v>
      </c>
      <c r="B16476" t="str">
        <f>"13737878025"</f>
        <v>13737878025</v>
      </c>
      <c r="C16476" t="str">
        <f>"450403198305250918"</f>
        <v>450403198305250918</v>
      </c>
      <c r="D16476" t="s">
        <v>1</v>
      </c>
      <c r="E16476" t="s">
        <v>1</v>
      </c>
      <c r="F16476" t="s">
        <v>0</v>
      </c>
      <c r="G16476" t="str">
        <f>"2018-10-29 08:51:35"</f>
        <v>2018-10-29 08:51:35</v>
      </c>
    </row>
    <row r="16477" spans="1:7" x14ac:dyDescent="0.2">
      <c r="A16477" t="s">
        <v>15827</v>
      </c>
      <c r="B16477" t="str">
        <f>"13507727106"</f>
        <v>13507727106</v>
      </c>
      <c r="C16477" t="str">
        <f>"450204196003290312"</f>
        <v>450204196003290312</v>
      </c>
      <c r="D16477" t="s">
        <v>1</v>
      </c>
      <c r="E16477" t="s">
        <v>1</v>
      </c>
      <c r="F16477" t="s">
        <v>0</v>
      </c>
      <c r="G16477" t="str">
        <f>"2018-10-12 09:46:59"</f>
        <v>2018-10-12 09:46:59</v>
      </c>
    </row>
    <row r="16478" spans="1:7" x14ac:dyDescent="0.2">
      <c r="A16478" t="s">
        <v>15828</v>
      </c>
      <c r="B16478" t="str">
        <f>"15736831993"</f>
        <v>15736831993</v>
      </c>
      <c r="C16478" t="str">
        <f>"411023199504153522"</f>
        <v>411023199504153522</v>
      </c>
      <c r="D16478" t="s">
        <v>1</v>
      </c>
      <c r="E16478" t="s">
        <v>1</v>
      </c>
      <c r="F16478" t="s">
        <v>0</v>
      </c>
      <c r="G16478" t="str">
        <f>"2018-10-15 10:19:11"</f>
        <v>2018-10-15 10:19:11</v>
      </c>
    </row>
    <row r="16479" spans="1:7" x14ac:dyDescent="0.2">
      <c r="A16479" t="s">
        <v>1</v>
      </c>
      <c r="B16479" t="str">
        <f>"18755058696"</f>
        <v>18755058696</v>
      </c>
      <c r="C16479" t="s">
        <v>1</v>
      </c>
      <c r="D16479" t="s">
        <v>1</v>
      </c>
      <c r="E16479" t="s">
        <v>1</v>
      </c>
      <c r="F16479" t="s">
        <v>0</v>
      </c>
      <c r="G16479" t="str">
        <f>"2018-10-12 09:45:35"</f>
        <v>2018-10-12 09:45:35</v>
      </c>
    </row>
    <row r="16480" spans="1:7" x14ac:dyDescent="0.2">
      <c r="A16480" t="s">
        <v>15829</v>
      </c>
      <c r="B16480" t="str">
        <f>"13515070593"</f>
        <v>13515070593</v>
      </c>
      <c r="C16480" t="str">
        <f>"352202198803240510"</f>
        <v>352202198803240510</v>
      </c>
      <c r="D16480" t="s">
        <v>15830</v>
      </c>
      <c r="E16480" t="s">
        <v>15831</v>
      </c>
      <c r="F16480" t="s">
        <v>0</v>
      </c>
      <c r="G16480" t="str">
        <f>"2018-10-12 16:56:32"</f>
        <v>2018-10-12 16:56:32</v>
      </c>
    </row>
    <row r="16481" spans="1:7" x14ac:dyDescent="0.2">
      <c r="A16481" t="s">
        <v>15832</v>
      </c>
      <c r="B16481" t="str">
        <f>"18337155231"</f>
        <v>18337155231</v>
      </c>
      <c r="C16481" t="str">
        <f>"410526199112217676"</f>
        <v>410526199112217676</v>
      </c>
      <c r="D16481" t="s">
        <v>1</v>
      </c>
      <c r="E16481" t="s">
        <v>1</v>
      </c>
      <c r="F16481" t="s">
        <v>0</v>
      </c>
      <c r="G16481" t="str">
        <f>"2018-10-12 09:46:33"</f>
        <v>2018-10-12 09:46:33</v>
      </c>
    </row>
    <row r="16482" spans="1:7" x14ac:dyDescent="0.2">
      <c r="A16482" t="s">
        <v>15833</v>
      </c>
      <c r="B16482" t="str">
        <f>"18702188920"</f>
        <v>18702188920</v>
      </c>
      <c r="C16482" t="str">
        <f>"350102197906186711"</f>
        <v>350102197906186711</v>
      </c>
      <c r="D16482" t="s">
        <v>15834</v>
      </c>
      <c r="E16482" t="s">
        <v>15835</v>
      </c>
      <c r="F16482" t="s">
        <v>0</v>
      </c>
      <c r="G16482" t="str">
        <f>"2018-10-12 10:43:24"</f>
        <v>2018-10-12 10:43:24</v>
      </c>
    </row>
    <row r="16483" spans="1:7" x14ac:dyDescent="0.2">
      <c r="A16483" t="s">
        <v>1</v>
      </c>
      <c r="B16483" t="str">
        <f>"15885432278"</f>
        <v>15885432278</v>
      </c>
      <c r="C16483" t="s">
        <v>1</v>
      </c>
      <c r="D16483" t="s">
        <v>1</v>
      </c>
      <c r="E16483" t="s">
        <v>1</v>
      </c>
      <c r="F16483" t="s">
        <v>0</v>
      </c>
      <c r="G16483" t="str">
        <f>"2018-10-12 09:45:03"</f>
        <v>2018-10-12 09:45:03</v>
      </c>
    </row>
    <row r="16484" spans="1:7" x14ac:dyDescent="0.2">
      <c r="A16484" t="s">
        <v>15836</v>
      </c>
      <c r="B16484" t="str">
        <f>"15205524272"</f>
        <v>15205524272</v>
      </c>
      <c r="C16484" t="str">
        <f>"340322199308017866"</f>
        <v>340322199308017866</v>
      </c>
      <c r="D16484" t="s">
        <v>1</v>
      </c>
      <c r="E16484" t="s">
        <v>1</v>
      </c>
      <c r="F16484" t="s">
        <v>0</v>
      </c>
      <c r="G16484" t="str">
        <f>"2018-10-12 09:45:43"</f>
        <v>2018-10-12 09:45:43</v>
      </c>
    </row>
    <row r="16485" spans="1:7" x14ac:dyDescent="0.2">
      <c r="A16485" t="s">
        <v>15837</v>
      </c>
      <c r="B16485" t="str">
        <f>"18313770972"</f>
        <v>18313770972</v>
      </c>
      <c r="C16485" t="str">
        <f>"532331198605113837"</f>
        <v>532331198605113837</v>
      </c>
      <c r="D16485" t="s">
        <v>1</v>
      </c>
      <c r="E16485" t="s">
        <v>1</v>
      </c>
      <c r="F16485" t="s">
        <v>0</v>
      </c>
      <c r="G16485" t="str">
        <f>"2018-10-12 09:46:59"</f>
        <v>2018-10-12 09:46:59</v>
      </c>
    </row>
    <row r="16486" spans="1:7" x14ac:dyDescent="0.2">
      <c r="A16486" t="s">
        <v>1478</v>
      </c>
      <c r="B16486" t="str">
        <f>"13845058768"</f>
        <v>13845058768</v>
      </c>
      <c r="C16486" t="str">
        <f>"232602197502210254"</f>
        <v>232602197502210254</v>
      </c>
      <c r="D16486" t="s">
        <v>15838</v>
      </c>
      <c r="E16486" t="s">
        <v>15839</v>
      </c>
      <c r="F16486" t="s">
        <v>0</v>
      </c>
      <c r="G16486" t="str">
        <f>"2018-10-12 09:44:34"</f>
        <v>2018-10-12 09:44:34</v>
      </c>
    </row>
    <row r="16487" spans="1:7" x14ac:dyDescent="0.2">
      <c r="A16487" t="s">
        <v>15840</v>
      </c>
      <c r="B16487" t="str">
        <f>"13615009104"</f>
        <v>13615009104</v>
      </c>
      <c r="C16487" t="str">
        <f>"350127197203185891"</f>
        <v>350127197203185891</v>
      </c>
      <c r="D16487" t="s">
        <v>1</v>
      </c>
      <c r="E16487" t="s">
        <v>1</v>
      </c>
      <c r="F16487" t="s">
        <v>0</v>
      </c>
      <c r="G16487" t="str">
        <f>"2018-10-12 09:48:22"</f>
        <v>2018-10-12 09:48:22</v>
      </c>
    </row>
    <row r="16488" spans="1:7" x14ac:dyDescent="0.2">
      <c r="A16488" t="s">
        <v>1</v>
      </c>
      <c r="B16488" t="str">
        <f>"18292673578"</f>
        <v>18292673578</v>
      </c>
      <c r="C16488" t="s">
        <v>1</v>
      </c>
      <c r="D16488" t="s">
        <v>1</v>
      </c>
      <c r="E16488" t="s">
        <v>1</v>
      </c>
      <c r="F16488" t="s">
        <v>0</v>
      </c>
      <c r="G16488" t="str">
        <f>"2018-10-12 09:43:53"</f>
        <v>2018-10-12 09:43:53</v>
      </c>
    </row>
    <row r="16489" spans="1:7" x14ac:dyDescent="0.2">
      <c r="A16489" t="s">
        <v>15841</v>
      </c>
      <c r="B16489" t="str">
        <f>"17889898595"</f>
        <v>17889898595</v>
      </c>
      <c r="C16489" t="str">
        <f>"460002199511190010"</f>
        <v>460002199511190010</v>
      </c>
      <c r="D16489" t="s">
        <v>1</v>
      </c>
      <c r="E16489" t="s">
        <v>1</v>
      </c>
      <c r="F16489" t="s">
        <v>0</v>
      </c>
      <c r="G16489" t="str">
        <f>"2018-10-12 09:48:34"</f>
        <v>2018-10-12 09:48:34</v>
      </c>
    </row>
    <row r="16490" spans="1:7" x14ac:dyDescent="0.2">
      <c r="A16490" t="s">
        <v>15842</v>
      </c>
      <c r="B16490" t="str">
        <f>"15921502343"</f>
        <v>15921502343</v>
      </c>
      <c r="C16490" t="str">
        <f>"342422196807056775"</f>
        <v>342422196807056775</v>
      </c>
      <c r="D16490" t="s">
        <v>1</v>
      </c>
      <c r="E16490" t="s">
        <v>1</v>
      </c>
      <c r="F16490" t="s">
        <v>0</v>
      </c>
      <c r="G16490" t="str">
        <f>"2018-10-12 09:46:32"</f>
        <v>2018-10-12 09:46:32</v>
      </c>
    </row>
    <row r="16491" spans="1:7" x14ac:dyDescent="0.2">
      <c r="A16491" t="s">
        <v>15843</v>
      </c>
      <c r="B16491" t="str">
        <f>"13478031008"</f>
        <v>13478031008</v>
      </c>
      <c r="C16491" t="str">
        <f>"210381198807234618"</f>
        <v>210381198807234618</v>
      </c>
      <c r="D16491" t="s">
        <v>1</v>
      </c>
      <c r="E16491" t="s">
        <v>1</v>
      </c>
      <c r="F16491" t="s">
        <v>0</v>
      </c>
      <c r="G16491" t="str">
        <f>"2018-10-12 09:45:04"</f>
        <v>2018-10-12 09:45:04</v>
      </c>
    </row>
    <row r="16492" spans="1:7" x14ac:dyDescent="0.2">
      <c r="A16492" t="s">
        <v>15844</v>
      </c>
      <c r="B16492" t="str">
        <f>"13993165592"</f>
        <v>13993165592</v>
      </c>
      <c r="C16492" t="str">
        <f>"610423197807181714"</f>
        <v>610423197807181714</v>
      </c>
      <c r="D16492" t="s">
        <v>1</v>
      </c>
      <c r="E16492" t="s">
        <v>1</v>
      </c>
      <c r="F16492" t="s">
        <v>0</v>
      </c>
      <c r="G16492" t="str">
        <f>"2018-10-12 09:45:02"</f>
        <v>2018-10-12 09:45:02</v>
      </c>
    </row>
    <row r="16493" spans="1:7" x14ac:dyDescent="0.2">
      <c r="A16493" t="s">
        <v>15845</v>
      </c>
      <c r="B16493" t="str">
        <f>"15077283826"</f>
        <v>15077283826</v>
      </c>
      <c r="C16493" t="str">
        <f>"45222819780216001X"</f>
        <v>45222819780216001X</v>
      </c>
      <c r="D16493" t="s">
        <v>1</v>
      </c>
      <c r="E16493" t="s">
        <v>1</v>
      </c>
      <c r="F16493" t="s">
        <v>0</v>
      </c>
      <c r="G16493" t="str">
        <f>"2018-10-12 10:00:27"</f>
        <v>2018-10-12 10:00:27</v>
      </c>
    </row>
    <row r="16494" spans="1:7" x14ac:dyDescent="0.2">
      <c r="A16494" t="s">
        <v>15846</v>
      </c>
      <c r="B16494" t="str">
        <f>"15132663646"</f>
        <v>15132663646</v>
      </c>
      <c r="C16494" t="str">
        <f>"230704198308180427"</f>
        <v>230704198308180427</v>
      </c>
      <c r="D16494" t="s">
        <v>15847</v>
      </c>
      <c r="E16494" t="s">
        <v>15848</v>
      </c>
      <c r="F16494" t="s">
        <v>0</v>
      </c>
      <c r="G16494" t="str">
        <f>"2018-10-12 11:06:24"</f>
        <v>2018-10-12 11:06:24</v>
      </c>
    </row>
    <row r="16495" spans="1:7" x14ac:dyDescent="0.2">
      <c r="A16495" t="s">
        <v>15849</v>
      </c>
      <c r="B16495" t="str">
        <f>"15892118167"</f>
        <v>15892118167</v>
      </c>
      <c r="C16495" t="str">
        <f>"352228198407222015"</f>
        <v>352228198407222015</v>
      </c>
      <c r="D16495" t="s">
        <v>1</v>
      </c>
      <c r="E16495" t="s">
        <v>1</v>
      </c>
      <c r="F16495" t="s">
        <v>0</v>
      </c>
      <c r="G16495" t="str">
        <f>"2018-10-12 09:44:44"</f>
        <v>2018-10-12 09:44:44</v>
      </c>
    </row>
    <row r="16496" spans="1:7" x14ac:dyDescent="0.2">
      <c r="A16496" t="s">
        <v>15850</v>
      </c>
      <c r="B16496" t="str">
        <f>"18846465942"</f>
        <v>18846465942</v>
      </c>
      <c r="C16496" t="str">
        <f>"230903197603081114"</f>
        <v>230903197603081114</v>
      </c>
      <c r="D16496" t="s">
        <v>1</v>
      </c>
      <c r="E16496" t="s">
        <v>1</v>
      </c>
      <c r="F16496" t="s">
        <v>0</v>
      </c>
      <c r="G16496" t="str">
        <f>"2018-10-12 10:03:37"</f>
        <v>2018-10-12 10:03:37</v>
      </c>
    </row>
    <row r="16497" spans="1:7" x14ac:dyDescent="0.2">
      <c r="A16497" t="s">
        <v>15851</v>
      </c>
      <c r="B16497" t="str">
        <f>"13836178180"</f>
        <v>13836178180</v>
      </c>
      <c r="C16497" t="str">
        <f>"230102198005244328"</f>
        <v>230102198005244328</v>
      </c>
      <c r="D16497" t="s">
        <v>1</v>
      </c>
      <c r="E16497" t="s">
        <v>1</v>
      </c>
      <c r="F16497" t="s">
        <v>0</v>
      </c>
      <c r="G16497" t="str">
        <f>"2018-10-12 09:45:59"</f>
        <v>2018-10-12 09:45:59</v>
      </c>
    </row>
    <row r="16498" spans="1:7" x14ac:dyDescent="0.2">
      <c r="A16498" t="s">
        <v>15852</v>
      </c>
      <c r="B16498" t="str">
        <f>"18326861676"</f>
        <v>18326861676</v>
      </c>
      <c r="C16498" t="str">
        <f>"341226199201010411"</f>
        <v>341226199201010411</v>
      </c>
      <c r="D16498" t="s">
        <v>1</v>
      </c>
      <c r="E16498" t="s">
        <v>1</v>
      </c>
      <c r="F16498" t="s">
        <v>0</v>
      </c>
      <c r="G16498" t="str">
        <f>"2018-10-12 09:42:44"</f>
        <v>2018-10-12 09:42:44</v>
      </c>
    </row>
    <row r="16499" spans="1:7" x14ac:dyDescent="0.2">
      <c r="A16499" t="s">
        <v>1</v>
      </c>
      <c r="B16499" t="str">
        <f>"18876748620"</f>
        <v>18876748620</v>
      </c>
      <c r="C16499" t="s">
        <v>1</v>
      </c>
      <c r="D16499" t="s">
        <v>1</v>
      </c>
      <c r="E16499" t="s">
        <v>1</v>
      </c>
      <c r="F16499" t="s">
        <v>0</v>
      </c>
      <c r="G16499" t="str">
        <f>"2018-10-12 09:42:41"</f>
        <v>2018-10-12 09:42:41</v>
      </c>
    </row>
    <row r="16500" spans="1:7" x14ac:dyDescent="0.2">
      <c r="A16500" t="s">
        <v>1310</v>
      </c>
      <c r="B16500" t="str">
        <f>"13540798990"</f>
        <v>13540798990</v>
      </c>
      <c r="C16500" t="str">
        <f>"510725199107042013"</f>
        <v>510725199107042013</v>
      </c>
      <c r="D16500" t="s">
        <v>15853</v>
      </c>
      <c r="E16500" t="s">
        <v>15854</v>
      </c>
      <c r="F16500" t="s">
        <v>0</v>
      </c>
      <c r="G16500" t="str">
        <f>"2018-10-19 23:50:38"</f>
        <v>2018-10-19 23:50:38</v>
      </c>
    </row>
    <row r="16501" spans="1:7" x14ac:dyDescent="0.2">
      <c r="A16501" t="s">
        <v>15855</v>
      </c>
      <c r="B16501" t="str">
        <f>"13463477321"</f>
        <v>13463477321</v>
      </c>
      <c r="C16501" t="str">
        <f>"130927199312010339"</f>
        <v>130927199312010339</v>
      </c>
      <c r="D16501" t="s">
        <v>1</v>
      </c>
      <c r="E16501" t="s">
        <v>1</v>
      </c>
      <c r="F16501" t="s">
        <v>0</v>
      </c>
      <c r="G16501" t="str">
        <f>"2018-10-12 09:44:20"</f>
        <v>2018-10-12 09:44:20</v>
      </c>
    </row>
    <row r="16502" spans="1:7" x14ac:dyDescent="0.2">
      <c r="A16502" t="s">
        <v>15856</v>
      </c>
      <c r="B16502" t="str">
        <f>"13595837169"</f>
        <v>13595837169</v>
      </c>
      <c r="C16502" t="str">
        <f>"520202197812260412"</f>
        <v>520202197812260412</v>
      </c>
      <c r="D16502" t="s">
        <v>1</v>
      </c>
      <c r="E16502" t="s">
        <v>1</v>
      </c>
      <c r="F16502" t="s">
        <v>0</v>
      </c>
      <c r="G16502" t="str">
        <f>"2018-10-28 18:50:38"</f>
        <v>2018-10-28 18:50:38</v>
      </c>
    </row>
    <row r="16503" spans="1:7" x14ac:dyDescent="0.2">
      <c r="A16503" t="s">
        <v>1</v>
      </c>
      <c r="B16503" t="str">
        <f>"15086333218"</f>
        <v>15086333218</v>
      </c>
      <c r="C16503" t="s">
        <v>1</v>
      </c>
      <c r="D16503" t="s">
        <v>1</v>
      </c>
      <c r="E16503" t="s">
        <v>1</v>
      </c>
      <c r="F16503" t="s">
        <v>0</v>
      </c>
      <c r="G16503" t="str">
        <f>"2018-10-12 09:42:27"</f>
        <v>2018-10-12 09:42:27</v>
      </c>
    </row>
    <row r="16504" spans="1:7" x14ac:dyDescent="0.2">
      <c r="A16504" t="s">
        <v>15857</v>
      </c>
      <c r="B16504" t="str">
        <f>"18355340729"</f>
        <v>18355340729</v>
      </c>
      <c r="C16504" t="str">
        <f>"342626199703200824"</f>
        <v>342626199703200824</v>
      </c>
      <c r="D16504" t="s">
        <v>15858</v>
      </c>
      <c r="E16504" t="s">
        <v>15859</v>
      </c>
      <c r="F16504" t="s">
        <v>0</v>
      </c>
      <c r="G16504" t="str">
        <f>"2018-10-12 09:43:10"</f>
        <v>2018-10-12 09:43:10</v>
      </c>
    </row>
    <row r="16505" spans="1:7" x14ac:dyDescent="0.2">
      <c r="A16505" t="s">
        <v>15860</v>
      </c>
      <c r="B16505" t="str">
        <f>"13721222610"</f>
        <v>13721222610</v>
      </c>
      <c r="C16505" t="str">
        <f>"340505198707020624"</f>
        <v>340505198707020624</v>
      </c>
      <c r="D16505" t="s">
        <v>15861</v>
      </c>
      <c r="E16505" t="s">
        <v>15862</v>
      </c>
      <c r="F16505" t="s">
        <v>0</v>
      </c>
      <c r="G16505" t="str">
        <f>"2018-10-19 11:41:16"</f>
        <v>2018-10-19 11:41:16</v>
      </c>
    </row>
    <row r="16506" spans="1:7" x14ac:dyDescent="0.2">
      <c r="A16506" t="s">
        <v>15863</v>
      </c>
      <c r="B16506" t="str">
        <f>"13519036017"</f>
        <v>13519036017</v>
      </c>
      <c r="C16506" t="str">
        <f>"622722198505175210"</f>
        <v>622722198505175210</v>
      </c>
      <c r="D16506" t="s">
        <v>1</v>
      </c>
      <c r="E16506" t="s">
        <v>1</v>
      </c>
      <c r="F16506" t="s">
        <v>0</v>
      </c>
      <c r="G16506" t="str">
        <f>"2018-10-22 21:27:20"</f>
        <v>2018-10-22 21:27:20</v>
      </c>
    </row>
    <row r="16507" spans="1:7" x14ac:dyDescent="0.2">
      <c r="A16507" t="s">
        <v>1</v>
      </c>
      <c r="B16507" t="str">
        <f>"18707806100"</f>
        <v>18707806100</v>
      </c>
      <c r="C16507" t="s">
        <v>1</v>
      </c>
      <c r="D16507" t="s">
        <v>1</v>
      </c>
      <c r="E16507" t="s">
        <v>1</v>
      </c>
      <c r="F16507" t="s">
        <v>0</v>
      </c>
      <c r="G16507" t="str">
        <f>"2018-10-12 09:42:13"</f>
        <v>2018-10-12 09:42:13</v>
      </c>
    </row>
    <row r="16508" spans="1:7" x14ac:dyDescent="0.2">
      <c r="A16508" t="s">
        <v>1</v>
      </c>
      <c r="B16508" t="str">
        <f>"18808990849"</f>
        <v>18808990849</v>
      </c>
      <c r="C16508" t="s">
        <v>1</v>
      </c>
      <c r="D16508" t="s">
        <v>1</v>
      </c>
      <c r="E16508" t="s">
        <v>1</v>
      </c>
      <c r="F16508" t="s">
        <v>0</v>
      </c>
      <c r="G16508" t="str">
        <f>"2018-10-12 09:42:13"</f>
        <v>2018-10-12 09:42:13</v>
      </c>
    </row>
    <row r="16509" spans="1:7" x14ac:dyDescent="0.2">
      <c r="A16509" t="s">
        <v>15864</v>
      </c>
      <c r="B16509" t="str">
        <f>"13688567260"</f>
        <v>13688567260</v>
      </c>
      <c r="C16509" t="str">
        <f>"522224197309290016"</f>
        <v>522224197309290016</v>
      </c>
      <c r="D16509" t="s">
        <v>1</v>
      </c>
      <c r="E16509" t="s">
        <v>1</v>
      </c>
      <c r="F16509" t="s">
        <v>0</v>
      </c>
      <c r="G16509" t="str">
        <f>"2018-10-12 09:43:33"</f>
        <v>2018-10-12 09:43:33</v>
      </c>
    </row>
    <row r="16510" spans="1:7" x14ac:dyDescent="0.2">
      <c r="A16510" t="s">
        <v>1</v>
      </c>
      <c r="B16510" t="str">
        <f>"18778227759"</f>
        <v>18778227759</v>
      </c>
      <c r="C16510" t="s">
        <v>1</v>
      </c>
      <c r="D16510" t="s">
        <v>1</v>
      </c>
      <c r="E16510" t="s">
        <v>1</v>
      </c>
      <c r="F16510" t="s">
        <v>0</v>
      </c>
      <c r="G16510" t="str">
        <f>"2018-10-12 09:42:00"</f>
        <v>2018-10-12 09:42:00</v>
      </c>
    </row>
    <row r="16511" spans="1:7" x14ac:dyDescent="0.2">
      <c r="A16511" t="s">
        <v>776</v>
      </c>
      <c r="B16511" t="str">
        <f>"15081374604"</f>
        <v>15081374604</v>
      </c>
      <c r="C16511" t="str">
        <f>"132528198206260010"</f>
        <v>132528198206260010</v>
      </c>
      <c r="D16511" t="s">
        <v>1</v>
      </c>
      <c r="E16511" t="s">
        <v>1</v>
      </c>
      <c r="F16511" t="s">
        <v>0</v>
      </c>
      <c r="G16511" t="str">
        <f>"2018-10-12 09:41:58"</f>
        <v>2018-10-12 09:41:58</v>
      </c>
    </row>
    <row r="16512" spans="1:7" x14ac:dyDescent="0.2">
      <c r="A16512" t="s">
        <v>15865</v>
      </c>
      <c r="B16512" t="str">
        <f>"15985260160"</f>
        <v>15985260160</v>
      </c>
      <c r="C16512" t="str">
        <f>"522123198502165535"</f>
        <v>522123198502165535</v>
      </c>
      <c r="D16512" t="s">
        <v>1</v>
      </c>
      <c r="E16512" t="s">
        <v>1</v>
      </c>
      <c r="F16512" t="s">
        <v>0</v>
      </c>
      <c r="G16512" t="str">
        <f>"2018-10-13 11:14:15"</f>
        <v>2018-10-13 11:14:15</v>
      </c>
    </row>
    <row r="16513" spans="1:7" x14ac:dyDescent="0.2">
      <c r="A16513" t="s">
        <v>3905</v>
      </c>
      <c r="B16513" t="str">
        <f>"15131740423"</f>
        <v>15131740423</v>
      </c>
      <c r="C16513" t="str">
        <f>"130984199511152716"</f>
        <v>130984199511152716</v>
      </c>
      <c r="D16513" t="s">
        <v>15866</v>
      </c>
      <c r="E16513" t="s">
        <v>15867</v>
      </c>
      <c r="F16513" t="s">
        <v>0</v>
      </c>
      <c r="G16513" t="str">
        <f>"2018-10-12 09:42:42"</f>
        <v>2018-10-12 09:42:42</v>
      </c>
    </row>
    <row r="16514" spans="1:7" x14ac:dyDescent="0.2">
      <c r="A16514" t="s">
        <v>15868</v>
      </c>
      <c r="B16514" t="str">
        <f>"18956425976"</f>
        <v>18956425976</v>
      </c>
      <c r="C16514" t="str">
        <f>"342423198607027174"</f>
        <v>342423198607027174</v>
      </c>
      <c r="D16514" t="s">
        <v>1</v>
      </c>
      <c r="E16514" t="s">
        <v>1</v>
      </c>
      <c r="F16514" t="s">
        <v>0</v>
      </c>
      <c r="G16514" t="str">
        <f>"2018-10-12 09:43:12"</f>
        <v>2018-10-12 09:43:12</v>
      </c>
    </row>
    <row r="16515" spans="1:7" x14ac:dyDescent="0.2">
      <c r="A16515" t="s">
        <v>15869</v>
      </c>
      <c r="B16515" t="str">
        <f>"15134572918"</f>
        <v>15134572918</v>
      </c>
      <c r="C16515" t="str">
        <f>"230121199003053038"</f>
        <v>230121199003053038</v>
      </c>
      <c r="D16515" t="s">
        <v>1</v>
      </c>
      <c r="E16515" t="s">
        <v>1</v>
      </c>
      <c r="F16515" t="s">
        <v>0</v>
      </c>
      <c r="G16515" t="str">
        <f>"2018-10-28 15:10:41"</f>
        <v>2018-10-28 15:10:41</v>
      </c>
    </row>
    <row r="16516" spans="1:7" x14ac:dyDescent="0.2">
      <c r="A16516" t="s">
        <v>15870</v>
      </c>
      <c r="B16516" t="str">
        <f>"13733199949"</f>
        <v>13733199949</v>
      </c>
      <c r="C16516" t="str">
        <f>"410181199108038512"</f>
        <v>410181199108038512</v>
      </c>
      <c r="D16516" t="s">
        <v>1</v>
      </c>
      <c r="E16516" t="s">
        <v>1</v>
      </c>
      <c r="F16516" t="s">
        <v>0</v>
      </c>
      <c r="G16516" t="str">
        <f>"2018-10-12 09:42:45"</f>
        <v>2018-10-12 09:42:45</v>
      </c>
    </row>
    <row r="16517" spans="1:7" x14ac:dyDescent="0.2">
      <c r="A16517" t="s">
        <v>15871</v>
      </c>
      <c r="B16517" t="str">
        <f>"13471643318"</f>
        <v>13471643318</v>
      </c>
      <c r="C16517" t="str">
        <f>"452623198009203920"</f>
        <v>452623198009203920</v>
      </c>
      <c r="D16517" t="s">
        <v>1</v>
      </c>
      <c r="E16517" t="s">
        <v>1</v>
      </c>
      <c r="F16517" t="s">
        <v>0</v>
      </c>
      <c r="G16517" t="str">
        <f>"2018-10-12 09:43:05"</f>
        <v>2018-10-12 09:43:05</v>
      </c>
    </row>
    <row r="16518" spans="1:7" x14ac:dyDescent="0.2">
      <c r="A16518" t="s">
        <v>174</v>
      </c>
      <c r="B16518" t="str">
        <f>"15222912620"</f>
        <v>15222912620</v>
      </c>
      <c r="C16518" t="str">
        <f>"340111198312216046"</f>
        <v>340111198312216046</v>
      </c>
      <c r="D16518" t="s">
        <v>1</v>
      </c>
      <c r="E16518" t="s">
        <v>1</v>
      </c>
      <c r="F16518" t="s">
        <v>0</v>
      </c>
      <c r="G16518" t="str">
        <f>"2018-10-12 11:33:18"</f>
        <v>2018-10-12 11:33:18</v>
      </c>
    </row>
    <row r="16519" spans="1:7" x14ac:dyDescent="0.2">
      <c r="A16519" t="s">
        <v>1</v>
      </c>
      <c r="B16519" t="str">
        <f>"18830159030"</f>
        <v>18830159030</v>
      </c>
      <c r="C16519" t="s">
        <v>1</v>
      </c>
      <c r="D16519" t="s">
        <v>1</v>
      </c>
      <c r="E16519" t="s">
        <v>1</v>
      </c>
      <c r="F16519" t="s">
        <v>0</v>
      </c>
      <c r="G16519" t="str">
        <f>"2018-10-12 09:41:22"</f>
        <v>2018-10-12 09:41:22</v>
      </c>
    </row>
    <row r="16520" spans="1:7" x14ac:dyDescent="0.2">
      <c r="A16520" t="s">
        <v>1</v>
      </c>
      <c r="B16520" t="str">
        <f>"13907501334"</f>
        <v>13907501334</v>
      </c>
      <c r="C16520" t="s">
        <v>1</v>
      </c>
      <c r="D16520" t="s">
        <v>1</v>
      </c>
      <c r="E16520" t="s">
        <v>1</v>
      </c>
      <c r="F16520" t="s">
        <v>0</v>
      </c>
      <c r="G16520" t="str">
        <f>"2018-10-12 09:41:15"</f>
        <v>2018-10-12 09:41:15</v>
      </c>
    </row>
    <row r="16521" spans="1:7" x14ac:dyDescent="0.2">
      <c r="A16521" t="s">
        <v>15872</v>
      </c>
      <c r="B16521" t="str">
        <f>"13783571025"</f>
        <v>13783571025</v>
      </c>
      <c r="C16521" t="str">
        <f>"410183199208021569"</f>
        <v>410183199208021569</v>
      </c>
      <c r="D16521" t="s">
        <v>15873</v>
      </c>
      <c r="E16521" t="s">
        <v>15874</v>
      </c>
      <c r="F16521" t="s">
        <v>0</v>
      </c>
      <c r="G16521" t="str">
        <f>"2018-10-19 10:02:50"</f>
        <v>2018-10-19 10:02:50</v>
      </c>
    </row>
    <row r="16522" spans="1:7" x14ac:dyDescent="0.2">
      <c r="A16522" t="s">
        <v>15875</v>
      </c>
      <c r="B16522" t="str">
        <f>"13471350008"</f>
        <v>13471350008</v>
      </c>
      <c r="C16522" t="str">
        <f>"450321199009260523"</f>
        <v>450321199009260523</v>
      </c>
      <c r="D16522" t="s">
        <v>1</v>
      </c>
      <c r="E16522" t="s">
        <v>1</v>
      </c>
      <c r="F16522" t="s">
        <v>0</v>
      </c>
      <c r="G16522" t="str">
        <f>"2018-10-12 18:13:32"</f>
        <v>2018-10-12 18:13:32</v>
      </c>
    </row>
    <row r="16523" spans="1:7" x14ac:dyDescent="0.2">
      <c r="A16523" t="s">
        <v>1</v>
      </c>
      <c r="B16523" t="str">
        <f>"15716560599"</f>
        <v>15716560599</v>
      </c>
      <c r="C16523" t="s">
        <v>1</v>
      </c>
      <c r="D16523" t="s">
        <v>1</v>
      </c>
      <c r="E16523" t="s">
        <v>1</v>
      </c>
      <c r="F16523" t="s">
        <v>0</v>
      </c>
      <c r="G16523" t="str">
        <f>"2018-10-12 09:43:06"</f>
        <v>2018-10-12 09:43:06</v>
      </c>
    </row>
    <row r="16524" spans="1:7" x14ac:dyDescent="0.2">
      <c r="A16524" t="s">
        <v>15876</v>
      </c>
      <c r="B16524" t="str">
        <f>"15859278646"</f>
        <v>15859278646</v>
      </c>
      <c r="C16524" t="str">
        <f>"360621197304043914"</f>
        <v>360621197304043914</v>
      </c>
      <c r="D16524" t="s">
        <v>1</v>
      </c>
      <c r="E16524" t="s">
        <v>1</v>
      </c>
      <c r="F16524" t="s">
        <v>0</v>
      </c>
      <c r="G16524" t="str">
        <f>"2018-10-12 09:42:55"</f>
        <v>2018-10-12 09:42:55</v>
      </c>
    </row>
    <row r="16525" spans="1:7" x14ac:dyDescent="0.2">
      <c r="A16525" t="s">
        <v>15877</v>
      </c>
      <c r="B16525" t="str">
        <f>"18259680857"</f>
        <v>18259680857</v>
      </c>
      <c r="C16525" t="str">
        <f>"350626199708182514"</f>
        <v>350626199708182514</v>
      </c>
      <c r="D16525" t="s">
        <v>1</v>
      </c>
      <c r="E16525" t="s">
        <v>1</v>
      </c>
      <c r="F16525" t="s">
        <v>0</v>
      </c>
      <c r="G16525" t="str">
        <f>"2018-10-12 09:43:57"</f>
        <v>2018-10-12 09:43:57</v>
      </c>
    </row>
    <row r="16526" spans="1:7" x14ac:dyDescent="0.2">
      <c r="A16526" t="s">
        <v>136</v>
      </c>
      <c r="B16526" t="str">
        <f>"13781395670"</f>
        <v>13781395670</v>
      </c>
      <c r="C16526" t="str">
        <f>"410928199001096159"</f>
        <v>410928199001096159</v>
      </c>
      <c r="D16526" t="s">
        <v>1</v>
      </c>
      <c r="E16526" t="s">
        <v>1</v>
      </c>
      <c r="F16526" t="s">
        <v>0</v>
      </c>
      <c r="G16526" t="str">
        <f>"2018-10-12 09:42:03"</f>
        <v>2018-10-12 09:42:03</v>
      </c>
    </row>
    <row r="16527" spans="1:7" x14ac:dyDescent="0.2">
      <c r="A16527" t="s">
        <v>1</v>
      </c>
      <c r="B16527" t="str">
        <f>"13893355333"</f>
        <v>13893355333</v>
      </c>
      <c r="C16527" t="s">
        <v>1</v>
      </c>
      <c r="D16527" t="s">
        <v>1</v>
      </c>
      <c r="E16527" t="s">
        <v>1</v>
      </c>
      <c r="F16527" t="s">
        <v>0</v>
      </c>
      <c r="G16527" t="str">
        <f>"2018-10-12 09:41:01"</f>
        <v>2018-10-12 09:41:01</v>
      </c>
    </row>
    <row r="16528" spans="1:7" x14ac:dyDescent="0.2">
      <c r="A16528" t="s">
        <v>911</v>
      </c>
      <c r="B16528" t="str">
        <f>"13606056793"</f>
        <v>13606056793</v>
      </c>
      <c r="C16528" t="str">
        <f>"513030198010076330"</f>
        <v>513030198010076330</v>
      </c>
      <c r="D16528" t="s">
        <v>1</v>
      </c>
      <c r="E16528" t="s">
        <v>1</v>
      </c>
      <c r="F16528" t="s">
        <v>0</v>
      </c>
      <c r="G16528" t="str">
        <f>"2018-10-12 09:43:55"</f>
        <v>2018-10-12 09:43:55</v>
      </c>
    </row>
    <row r="16529" spans="1:7" x14ac:dyDescent="0.2">
      <c r="A16529" t="s">
        <v>15878</v>
      </c>
      <c r="B16529" t="str">
        <f>"13606072546"</f>
        <v>13606072546</v>
      </c>
      <c r="C16529" t="str">
        <f>"350221197509032019"</f>
        <v>350221197509032019</v>
      </c>
      <c r="D16529" t="s">
        <v>15879</v>
      </c>
      <c r="E16529" t="s">
        <v>15880</v>
      </c>
      <c r="F16529" t="s">
        <v>0</v>
      </c>
      <c r="G16529" t="str">
        <f>"2018-10-12 09:54:14"</f>
        <v>2018-10-12 09:54:14</v>
      </c>
    </row>
    <row r="16530" spans="1:7" x14ac:dyDescent="0.2">
      <c r="A16530" t="s">
        <v>1</v>
      </c>
      <c r="B16530" t="str">
        <f>"18350050122"</f>
        <v>18350050122</v>
      </c>
      <c r="C16530" t="s">
        <v>1</v>
      </c>
      <c r="D16530" t="s">
        <v>1</v>
      </c>
      <c r="E16530" t="s">
        <v>1</v>
      </c>
      <c r="F16530" t="s">
        <v>0</v>
      </c>
      <c r="G16530" t="str">
        <f>"2018-10-12 09:40:56"</f>
        <v>2018-10-12 09:40:56</v>
      </c>
    </row>
    <row r="16531" spans="1:7" x14ac:dyDescent="0.2">
      <c r="A16531" t="s">
        <v>1</v>
      </c>
      <c r="B16531" t="str">
        <f>"15188360783"</f>
        <v>15188360783</v>
      </c>
      <c r="C16531" t="s">
        <v>1</v>
      </c>
      <c r="D16531" t="s">
        <v>1</v>
      </c>
      <c r="E16531" t="s">
        <v>1</v>
      </c>
      <c r="F16531" t="s">
        <v>0</v>
      </c>
      <c r="G16531" t="str">
        <f>"2018-10-12 09:42:24"</f>
        <v>2018-10-12 09:42:24</v>
      </c>
    </row>
    <row r="16532" spans="1:7" x14ac:dyDescent="0.2">
      <c r="A16532" t="s">
        <v>15881</v>
      </c>
      <c r="B16532" t="str">
        <f>"13459511803"</f>
        <v>13459511803</v>
      </c>
      <c r="C16532" t="str">
        <f>"350583197212202633"</f>
        <v>350583197212202633</v>
      </c>
      <c r="D16532" t="s">
        <v>1</v>
      </c>
      <c r="E16532" t="s">
        <v>1</v>
      </c>
      <c r="F16532" t="s">
        <v>0</v>
      </c>
      <c r="G16532" t="str">
        <f>"2018-10-12 09:41:44"</f>
        <v>2018-10-12 09:41:44</v>
      </c>
    </row>
    <row r="16533" spans="1:7" x14ac:dyDescent="0.2">
      <c r="A16533" t="s">
        <v>1105</v>
      </c>
      <c r="B16533" t="str">
        <f>"15178130101"</f>
        <v>15178130101</v>
      </c>
      <c r="C16533" t="str">
        <f>"341222199301040516"</f>
        <v>341222199301040516</v>
      </c>
      <c r="D16533" t="s">
        <v>15882</v>
      </c>
      <c r="E16533" t="s">
        <v>15883</v>
      </c>
      <c r="F16533" t="s">
        <v>0</v>
      </c>
      <c r="G16533" t="str">
        <f>"2018-10-12 09:42:57"</f>
        <v>2018-10-12 09:42:57</v>
      </c>
    </row>
    <row r="16534" spans="1:7" x14ac:dyDescent="0.2">
      <c r="A16534" t="s">
        <v>1</v>
      </c>
      <c r="B16534" t="str">
        <f>"15055678076"</f>
        <v>15055678076</v>
      </c>
      <c r="C16534" t="s">
        <v>1</v>
      </c>
      <c r="D16534" t="s">
        <v>1</v>
      </c>
      <c r="E16534" t="s">
        <v>1</v>
      </c>
      <c r="F16534" t="s">
        <v>0</v>
      </c>
      <c r="G16534" t="str">
        <f>"2018-10-12 09:40:50"</f>
        <v>2018-10-12 09:40:50</v>
      </c>
    </row>
    <row r="16535" spans="1:7" x14ac:dyDescent="0.2">
      <c r="A16535" t="s">
        <v>1</v>
      </c>
      <c r="B16535" t="str">
        <f>"13856306989"</f>
        <v>13856306989</v>
      </c>
      <c r="C16535" t="s">
        <v>1</v>
      </c>
      <c r="D16535" t="s">
        <v>1</v>
      </c>
      <c r="E16535" t="s">
        <v>1</v>
      </c>
      <c r="F16535" t="s">
        <v>0</v>
      </c>
      <c r="G16535" t="str">
        <f>"2018-10-12 09:40:49"</f>
        <v>2018-10-12 09:40:49</v>
      </c>
    </row>
    <row r="16536" spans="1:7" x14ac:dyDescent="0.2">
      <c r="A16536" t="s">
        <v>15884</v>
      </c>
      <c r="B16536" t="str">
        <f>"18259173009"</f>
        <v>18259173009</v>
      </c>
      <c r="C16536" t="str">
        <f>"350125199002140036"</f>
        <v>350125199002140036</v>
      </c>
      <c r="D16536" t="s">
        <v>1</v>
      </c>
      <c r="E16536" t="s">
        <v>1</v>
      </c>
      <c r="F16536" t="s">
        <v>0</v>
      </c>
      <c r="G16536" t="str">
        <f>"2018-10-12 09:42:52"</f>
        <v>2018-10-12 09:42:52</v>
      </c>
    </row>
    <row r="16537" spans="1:7" x14ac:dyDescent="0.2">
      <c r="A16537" t="s">
        <v>1</v>
      </c>
      <c r="B16537" t="str">
        <f>"15180884809"</f>
        <v>15180884809</v>
      </c>
      <c r="C16537" t="s">
        <v>1</v>
      </c>
      <c r="D16537" t="s">
        <v>1</v>
      </c>
      <c r="E16537" t="s">
        <v>1</v>
      </c>
      <c r="F16537" t="s">
        <v>0</v>
      </c>
      <c r="G16537" t="str">
        <f>"2018-10-12 09:40:46"</f>
        <v>2018-10-12 09:40:46</v>
      </c>
    </row>
    <row r="16538" spans="1:7" x14ac:dyDescent="0.2">
      <c r="A16538" t="s">
        <v>1</v>
      </c>
      <c r="B16538" t="str">
        <f>"15838964015"</f>
        <v>15838964015</v>
      </c>
      <c r="C16538" t="s">
        <v>1</v>
      </c>
      <c r="D16538" t="s">
        <v>1</v>
      </c>
      <c r="E16538" t="s">
        <v>1</v>
      </c>
      <c r="F16538" t="s">
        <v>0</v>
      </c>
      <c r="G16538" t="str">
        <f>"2018-10-19 16:40:00"</f>
        <v>2018-10-19 16:40:00</v>
      </c>
    </row>
    <row r="16539" spans="1:7" x14ac:dyDescent="0.2">
      <c r="A16539" t="s">
        <v>15885</v>
      </c>
      <c r="B16539" t="str">
        <f>"13654517291"</f>
        <v>13654517291</v>
      </c>
      <c r="C16539" t="str">
        <f>"239004198410203314"</f>
        <v>239004198410203314</v>
      </c>
      <c r="D16539" t="s">
        <v>1</v>
      </c>
      <c r="E16539" t="s">
        <v>1</v>
      </c>
      <c r="F16539" t="s">
        <v>0</v>
      </c>
      <c r="G16539" t="str">
        <f>"2018-10-12 09:41:51"</f>
        <v>2018-10-12 09:41:51</v>
      </c>
    </row>
    <row r="16540" spans="1:7" x14ac:dyDescent="0.2">
      <c r="A16540" t="s">
        <v>1</v>
      </c>
      <c r="B16540" t="str">
        <f>"15955481098"</f>
        <v>15955481098</v>
      </c>
      <c r="C16540" t="s">
        <v>1</v>
      </c>
      <c r="D16540" t="s">
        <v>1</v>
      </c>
      <c r="E16540" t="s">
        <v>1</v>
      </c>
      <c r="F16540" t="s">
        <v>0</v>
      </c>
      <c r="G16540" t="str">
        <f>"2018-10-12 09:40:36"</f>
        <v>2018-10-12 09:40:36</v>
      </c>
    </row>
    <row r="16541" spans="1:7" x14ac:dyDescent="0.2">
      <c r="A16541" t="s">
        <v>1</v>
      </c>
      <c r="B16541" t="str">
        <f>"18748697825"</f>
        <v>18748697825</v>
      </c>
      <c r="C16541" t="s">
        <v>1</v>
      </c>
      <c r="D16541" t="s">
        <v>1</v>
      </c>
      <c r="E16541" t="s">
        <v>1</v>
      </c>
      <c r="F16541" t="s">
        <v>0</v>
      </c>
      <c r="G16541" t="str">
        <f>"2018-10-12 09:40:34"</f>
        <v>2018-10-12 09:40:34</v>
      </c>
    </row>
    <row r="16542" spans="1:7" x14ac:dyDescent="0.2">
      <c r="A16542" t="s">
        <v>1</v>
      </c>
      <c r="B16542" t="str">
        <f>"15705595800"</f>
        <v>15705595800</v>
      </c>
      <c r="C16542" t="s">
        <v>1</v>
      </c>
      <c r="D16542" t="s">
        <v>1</v>
      </c>
      <c r="E16542" t="s">
        <v>1</v>
      </c>
      <c r="F16542" t="s">
        <v>0</v>
      </c>
      <c r="G16542" t="str">
        <f>"2018-10-12 09:40:32"</f>
        <v>2018-10-12 09:40:32</v>
      </c>
    </row>
    <row r="16543" spans="1:7" x14ac:dyDescent="0.2">
      <c r="A16543" t="s">
        <v>1</v>
      </c>
      <c r="B16543" t="str">
        <f>"13932627495"</f>
        <v>13932627495</v>
      </c>
      <c r="C16543" t="s">
        <v>1</v>
      </c>
      <c r="D16543" t="s">
        <v>1</v>
      </c>
      <c r="E16543" t="s">
        <v>1</v>
      </c>
      <c r="F16543" t="s">
        <v>0</v>
      </c>
      <c r="G16543" t="str">
        <f>"2018-10-12 09:40:29"</f>
        <v>2018-10-12 09:40:29</v>
      </c>
    </row>
    <row r="16544" spans="1:7" x14ac:dyDescent="0.2">
      <c r="A16544" t="s">
        <v>15886</v>
      </c>
      <c r="B16544" t="str">
        <f>"15007731252"</f>
        <v>15007731252</v>
      </c>
      <c r="C16544" t="str">
        <f>"450323199308082715"</f>
        <v>450323199308082715</v>
      </c>
      <c r="D16544" t="s">
        <v>1</v>
      </c>
      <c r="E16544" t="s">
        <v>1</v>
      </c>
      <c r="F16544" t="s">
        <v>0</v>
      </c>
      <c r="G16544" t="str">
        <f>"2018-10-12 09:43:27"</f>
        <v>2018-10-12 09:43:27</v>
      </c>
    </row>
    <row r="16545" spans="1:7" x14ac:dyDescent="0.2">
      <c r="A16545" t="s">
        <v>15887</v>
      </c>
      <c r="B16545" t="str">
        <f>"15226720706"</f>
        <v>15226720706</v>
      </c>
      <c r="C16545" t="str">
        <f>"130684198906010666"</f>
        <v>130684198906010666</v>
      </c>
      <c r="D16545" t="s">
        <v>15888</v>
      </c>
      <c r="E16545" t="s">
        <v>15889</v>
      </c>
      <c r="F16545" t="s">
        <v>0</v>
      </c>
      <c r="G16545" t="str">
        <f>"2018-10-12 10:15:25"</f>
        <v>2018-10-12 10:15:25</v>
      </c>
    </row>
    <row r="16546" spans="1:7" x14ac:dyDescent="0.2">
      <c r="A16546" t="s">
        <v>1</v>
      </c>
      <c r="B16546" t="str">
        <f>"15379003612"</f>
        <v>15379003612</v>
      </c>
      <c r="C16546" t="s">
        <v>1</v>
      </c>
      <c r="D16546" t="s">
        <v>1</v>
      </c>
      <c r="E16546" t="s">
        <v>1</v>
      </c>
      <c r="F16546" t="s">
        <v>0</v>
      </c>
      <c r="G16546" t="str">
        <f>"2018-10-12 09:40:26"</f>
        <v>2018-10-12 09:40:26</v>
      </c>
    </row>
    <row r="16547" spans="1:7" x14ac:dyDescent="0.2">
      <c r="A16547" t="s">
        <v>1</v>
      </c>
      <c r="B16547" t="str">
        <f>"18212878584"</f>
        <v>18212878584</v>
      </c>
      <c r="C16547" t="s">
        <v>1</v>
      </c>
      <c r="D16547" t="s">
        <v>1</v>
      </c>
      <c r="E16547" t="s">
        <v>1</v>
      </c>
      <c r="F16547" t="s">
        <v>0</v>
      </c>
      <c r="G16547" t="str">
        <f>"2018-10-12 09:40:25"</f>
        <v>2018-10-12 09:40:25</v>
      </c>
    </row>
    <row r="16548" spans="1:7" x14ac:dyDescent="0.2">
      <c r="A16548" t="s">
        <v>15890</v>
      </c>
      <c r="B16548" t="str">
        <f>"18361305735"</f>
        <v>18361305735</v>
      </c>
      <c r="C16548" t="str">
        <f>"320202199408013518"</f>
        <v>320202199408013518</v>
      </c>
      <c r="D16548" t="s">
        <v>1</v>
      </c>
      <c r="E16548" t="s">
        <v>1</v>
      </c>
      <c r="F16548" t="s">
        <v>0</v>
      </c>
      <c r="G16548" t="str">
        <f>"2018-10-12 09:41:00"</f>
        <v>2018-10-12 09:41:00</v>
      </c>
    </row>
    <row r="16549" spans="1:7" x14ac:dyDescent="0.2">
      <c r="A16549" t="s">
        <v>15891</v>
      </c>
      <c r="B16549" t="str">
        <f>"13754483830"</f>
        <v>13754483830</v>
      </c>
      <c r="C16549" t="str">
        <f>"130481199605282419"</f>
        <v>130481199605282419</v>
      </c>
      <c r="D16549" t="s">
        <v>1</v>
      </c>
      <c r="E16549" t="s">
        <v>1</v>
      </c>
      <c r="F16549" t="s">
        <v>0</v>
      </c>
      <c r="G16549" t="str">
        <f>"2018-10-12 09:43:25"</f>
        <v>2018-10-12 09:43:25</v>
      </c>
    </row>
    <row r="16550" spans="1:7" x14ac:dyDescent="0.2">
      <c r="A16550" t="s">
        <v>15892</v>
      </c>
      <c r="B16550" t="str">
        <f>"13627570069"</f>
        <v>13627570069</v>
      </c>
      <c r="C16550" t="str">
        <f>"22020219880509304X"</f>
        <v>22020219880509304X</v>
      </c>
      <c r="D16550" t="s">
        <v>1</v>
      </c>
      <c r="E16550" t="s">
        <v>1</v>
      </c>
      <c r="F16550" t="s">
        <v>0</v>
      </c>
      <c r="G16550" t="str">
        <f>"2018-10-12 10:01:11"</f>
        <v>2018-10-12 10:01:11</v>
      </c>
    </row>
    <row r="16551" spans="1:7" x14ac:dyDescent="0.2">
      <c r="A16551" t="s">
        <v>15893</v>
      </c>
      <c r="B16551" t="str">
        <f>"13846688090"</f>
        <v>13846688090</v>
      </c>
      <c r="C16551" t="str">
        <f>"230702198402280018"</f>
        <v>230702198402280018</v>
      </c>
      <c r="D16551" t="s">
        <v>1</v>
      </c>
      <c r="E16551" t="s">
        <v>1</v>
      </c>
      <c r="F16551" t="s">
        <v>0</v>
      </c>
      <c r="G16551" t="str">
        <f>"2018-10-12 09:41:54"</f>
        <v>2018-10-12 09:41:54</v>
      </c>
    </row>
    <row r="16552" spans="1:7" x14ac:dyDescent="0.2">
      <c r="A16552" t="s">
        <v>1</v>
      </c>
      <c r="B16552" t="str">
        <f>"13859666398"</f>
        <v>13859666398</v>
      </c>
      <c r="C16552" t="s">
        <v>1</v>
      </c>
      <c r="D16552" t="s">
        <v>1</v>
      </c>
      <c r="E16552" t="s">
        <v>1</v>
      </c>
      <c r="F16552" t="s">
        <v>0</v>
      </c>
      <c r="G16552" t="str">
        <f>"2018-10-12 09:40:23"</f>
        <v>2018-10-12 09:40:23</v>
      </c>
    </row>
    <row r="16553" spans="1:7" x14ac:dyDescent="0.2">
      <c r="A16553" t="s">
        <v>994</v>
      </c>
      <c r="B16553" t="str">
        <f>"15160621012"</f>
        <v>15160621012</v>
      </c>
      <c r="C16553" t="str">
        <f>"350783198503050938"</f>
        <v>350783198503050938</v>
      </c>
      <c r="D16553" t="s">
        <v>15894</v>
      </c>
      <c r="E16553" t="s">
        <v>15895</v>
      </c>
      <c r="F16553" t="s">
        <v>0</v>
      </c>
      <c r="G16553" t="str">
        <f>"2018-10-12 12:42:28"</f>
        <v>2018-10-12 12:42:28</v>
      </c>
    </row>
    <row r="16554" spans="1:7" x14ac:dyDescent="0.2">
      <c r="A16554" t="s">
        <v>15896</v>
      </c>
      <c r="B16554" t="str">
        <f>"18736366671"</f>
        <v>18736366671</v>
      </c>
      <c r="C16554" t="str">
        <f>"410324199401260335"</f>
        <v>410324199401260335</v>
      </c>
      <c r="D16554" t="s">
        <v>1</v>
      </c>
      <c r="E16554" t="s">
        <v>1</v>
      </c>
      <c r="F16554" t="s">
        <v>0</v>
      </c>
      <c r="G16554" t="str">
        <f>"2018-10-12 09:41:32"</f>
        <v>2018-10-12 09:41:32</v>
      </c>
    </row>
    <row r="16555" spans="1:7" x14ac:dyDescent="0.2">
      <c r="A16555" t="s">
        <v>1</v>
      </c>
      <c r="B16555" t="str">
        <f>"13832959034"</f>
        <v>13832959034</v>
      </c>
      <c r="C16555" t="s">
        <v>1</v>
      </c>
      <c r="D16555" t="s">
        <v>1</v>
      </c>
      <c r="E16555" t="s">
        <v>1</v>
      </c>
      <c r="F16555" t="s">
        <v>0</v>
      </c>
      <c r="G16555" t="str">
        <f>"2018-10-12 09:42:26"</f>
        <v>2018-10-12 09:42:26</v>
      </c>
    </row>
    <row r="16556" spans="1:7" x14ac:dyDescent="0.2">
      <c r="A16556" t="s">
        <v>1</v>
      </c>
      <c r="B16556" t="str">
        <f>"13878826528"</f>
        <v>13878826528</v>
      </c>
      <c r="C16556" t="s">
        <v>1</v>
      </c>
      <c r="D16556" t="s">
        <v>1</v>
      </c>
      <c r="E16556" t="s">
        <v>1</v>
      </c>
      <c r="F16556" t="s">
        <v>0</v>
      </c>
      <c r="G16556" t="str">
        <f>"2018-10-12 09:40:13"</f>
        <v>2018-10-12 09:40:13</v>
      </c>
    </row>
    <row r="16557" spans="1:7" x14ac:dyDescent="0.2">
      <c r="A16557" t="s">
        <v>15897</v>
      </c>
      <c r="B16557" t="str">
        <f>"18237389182"</f>
        <v>18237389182</v>
      </c>
      <c r="C16557" t="str">
        <f>"410782199512109633"</f>
        <v>410782199512109633</v>
      </c>
      <c r="D16557" t="s">
        <v>15898</v>
      </c>
      <c r="E16557" t="s">
        <v>15899</v>
      </c>
      <c r="F16557" t="s">
        <v>0</v>
      </c>
      <c r="G16557" t="str">
        <f>"2018-10-12 09:40:11"</f>
        <v>2018-10-12 09:40:11</v>
      </c>
    </row>
    <row r="16558" spans="1:7" x14ac:dyDescent="0.2">
      <c r="A16558" t="s">
        <v>15900</v>
      </c>
      <c r="B16558" t="str">
        <f>"13919823041"</f>
        <v>13919823041</v>
      </c>
      <c r="C16558" t="str">
        <f>"620121197411094318"</f>
        <v>620121197411094318</v>
      </c>
      <c r="D16558" t="s">
        <v>1</v>
      </c>
      <c r="E16558" t="s">
        <v>1</v>
      </c>
      <c r="F16558" t="s">
        <v>0</v>
      </c>
      <c r="G16558" t="str">
        <f>"2018-10-12 09:41:47"</f>
        <v>2018-10-12 09:41:47</v>
      </c>
    </row>
    <row r="16559" spans="1:7" x14ac:dyDescent="0.2">
      <c r="A16559" t="s">
        <v>1</v>
      </c>
      <c r="B16559" t="str">
        <f>"18277065666"</f>
        <v>18277065666</v>
      </c>
      <c r="C16559" t="s">
        <v>1</v>
      </c>
      <c r="D16559" t="s">
        <v>1</v>
      </c>
      <c r="E16559" t="s">
        <v>1</v>
      </c>
      <c r="F16559" t="s">
        <v>0</v>
      </c>
      <c r="G16559" t="str">
        <f>"2018-10-12 09:40:07"</f>
        <v>2018-10-12 09:40:07</v>
      </c>
    </row>
    <row r="16560" spans="1:7" x14ac:dyDescent="0.2">
      <c r="A16560" t="s">
        <v>866</v>
      </c>
      <c r="B16560" t="str">
        <f>"13806075788"</f>
        <v>13806075788</v>
      </c>
      <c r="C16560" t="str">
        <f>"350204198010014012"</f>
        <v>350204198010014012</v>
      </c>
      <c r="D16560" t="s">
        <v>1</v>
      </c>
      <c r="E16560" t="s">
        <v>1</v>
      </c>
      <c r="F16560" t="s">
        <v>0</v>
      </c>
      <c r="G16560" t="str">
        <f>"2018-10-12 09:41:54"</f>
        <v>2018-10-12 09:41:54</v>
      </c>
    </row>
    <row r="16561" spans="1:7" x14ac:dyDescent="0.2">
      <c r="A16561" t="s">
        <v>15901</v>
      </c>
      <c r="B16561" t="str">
        <f>"13984812580"</f>
        <v>13984812580</v>
      </c>
      <c r="C16561" t="str">
        <f>"520102196801165815"</f>
        <v>520102196801165815</v>
      </c>
      <c r="D16561" t="s">
        <v>1</v>
      </c>
      <c r="E16561" t="s">
        <v>1</v>
      </c>
      <c r="F16561" t="s">
        <v>0</v>
      </c>
      <c r="G16561" t="str">
        <f>"2018-10-12 09:43:17"</f>
        <v>2018-10-12 09:43:17</v>
      </c>
    </row>
    <row r="16562" spans="1:7" x14ac:dyDescent="0.2">
      <c r="A16562" t="s">
        <v>1</v>
      </c>
      <c r="B16562" t="str">
        <f>"13607847269"</f>
        <v>13607847269</v>
      </c>
      <c r="C16562" t="s">
        <v>1</v>
      </c>
      <c r="D16562" t="s">
        <v>1</v>
      </c>
      <c r="E16562" t="s">
        <v>1</v>
      </c>
      <c r="F16562" t="s">
        <v>0</v>
      </c>
      <c r="G16562" t="str">
        <f>"2018-10-12 09:40:04"</f>
        <v>2018-10-12 09:40:04</v>
      </c>
    </row>
    <row r="16563" spans="1:7" x14ac:dyDescent="0.2">
      <c r="A16563" t="s">
        <v>15902</v>
      </c>
      <c r="B16563" t="str">
        <f>"15071608632"</f>
        <v>15071608632</v>
      </c>
      <c r="C16563" t="str">
        <f>"412825198112238829"</f>
        <v>412825198112238829</v>
      </c>
      <c r="D16563" t="s">
        <v>15903</v>
      </c>
      <c r="E16563" t="s">
        <v>15904</v>
      </c>
      <c r="F16563" t="s">
        <v>0</v>
      </c>
      <c r="G16563" t="str">
        <f>"2018-10-12 14:21:26"</f>
        <v>2018-10-12 14:21:26</v>
      </c>
    </row>
    <row r="16564" spans="1:7" x14ac:dyDescent="0.2">
      <c r="A16564" t="s">
        <v>1</v>
      </c>
      <c r="B16564" t="str">
        <f>"15186142604"</f>
        <v>15186142604</v>
      </c>
      <c r="C16564" t="s">
        <v>1</v>
      </c>
      <c r="D16564" t="s">
        <v>1</v>
      </c>
      <c r="E16564" t="s">
        <v>1</v>
      </c>
      <c r="F16564" t="s">
        <v>0</v>
      </c>
      <c r="G16564" t="str">
        <f>"2018-10-12 09:41:30"</f>
        <v>2018-10-12 09:41:30</v>
      </c>
    </row>
    <row r="16565" spans="1:7" x14ac:dyDescent="0.2">
      <c r="A16565" t="s">
        <v>401</v>
      </c>
      <c r="B16565" t="str">
        <f>"15861234442"</f>
        <v>15861234442</v>
      </c>
      <c r="C16565" t="str">
        <f>"320704199212263515"</f>
        <v>320704199212263515</v>
      </c>
      <c r="D16565" t="s">
        <v>1</v>
      </c>
      <c r="E16565" t="s">
        <v>1</v>
      </c>
      <c r="F16565" t="s">
        <v>0</v>
      </c>
      <c r="G16565" t="str">
        <f>"2018-10-13 09:54:04"</f>
        <v>2018-10-13 09:54:04</v>
      </c>
    </row>
    <row r="16566" spans="1:7" x14ac:dyDescent="0.2">
      <c r="A16566" t="s">
        <v>15905</v>
      </c>
      <c r="B16566" t="str">
        <f>"15717180434"</f>
        <v>15717180434</v>
      </c>
      <c r="C16566" t="str">
        <f>"420526199008261038"</f>
        <v>420526199008261038</v>
      </c>
      <c r="D16566" t="s">
        <v>1</v>
      </c>
      <c r="E16566" t="s">
        <v>1</v>
      </c>
      <c r="F16566" t="s">
        <v>0</v>
      </c>
      <c r="G16566" t="str">
        <f>"2018-10-25 15:29:10"</f>
        <v>2018-10-25 15:29:10</v>
      </c>
    </row>
    <row r="16567" spans="1:7" x14ac:dyDescent="0.2">
      <c r="A16567" t="s">
        <v>15906</v>
      </c>
      <c r="B16567" t="str">
        <f>"15878365200"</f>
        <v>15878365200</v>
      </c>
      <c r="C16567" t="str">
        <f>"450321198811054511"</f>
        <v>450321198811054511</v>
      </c>
      <c r="D16567" t="s">
        <v>1</v>
      </c>
      <c r="E16567" t="s">
        <v>1</v>
      </c>
      <c r="F16567" t="s">
        <v>0</v>
      </c>
      <c r="G16567" t="str">
        <f>"2018-10-12 09:42:30"</f>
        <v>2018-10-12 09:42:30</v>
      </c>
    </row>
    <row r="16568" spans="1:7" x14ac:dyDescent="0.2">
      <c r="A16568" t="s">
        <v>15907</v>
      </c>
      <c r="B16568" t="str">
        <f>"15178685751"</f>
        <v>15178685751</v>
      </c>
      <c r="C16568" t="str">
        <f>"340826198002215817"</f>
        <v>340826198002215817</v>
      </c>
      <c r="D16568" t="s">
        <v>1</v>
      </c>
      <c r="E16568" t="s">
        <v>1</v>
      </c>
      <c r="F16568" t="s">
        <v>0</v>
      </c>
      <c r="G16568" t="str">
        <f>"2018-10-12 09:41:46"</f>
        <v>2018-10-12 09:41:46</v>
      </c>
    </row>
    <row r="16569" spans="1:7" x14ac:dyDescent="0.2">
      <c r="A16569" t="s">
        <v>15908</v>
      </c>
      <c r="B16569" t="str">
        <f>"15807817181"</f>
        <v>15807817181</v>
      </c>
      <c r="C16569" t="str">
        <f>"452402198808060476"</f>
        <v>452402198808060476</v>
      </c>
      <c r="D16569" t="s">
        <v>1</v>
      </c>
      <c r="E16569" t="s">
        <v>1</v>
      </c>
      <c r="F16569" t="s">
        <v>0</v>
      </c>
      <c r="G16569" t="str">
        <f>"2018-10-12 09:43:19"</f>
        <v>2018-10-12 09:43:19</v>
      </c>
    </row>
    <row r="16570" spans="1:7" x14ac:dyDescent="0.2">
      <c r="A16570" t="s">
        <v>15909</v>
      </c>
      <c r="B16570" t="str">
        <f>"13705636144"</f>
        <v>13705636144</v>
      </c>
      <c r="C16570" t="str">
        <f>"342501197703010279"</f>
        <v>342501197703010279</v>
      </c>
      <c r="D16570" t="s">
        <v>1</v>
      </c>
      <c r="E16570" t="s">
        <v>1</v>
      </c>
      <c r="F16570" t="s">
        <v>0</v>
      </c>
      <c r="G16570" t="str">
        <f>"2018-10-12 09:42:18"</f>
        <v>2018-10-12 09:42:18</v>
      </c>
    </row>
    <row r="16571" spans="1:7" x14ac:dyDescent="0.2">
      <c r="A16571" t="s">
        <v>15910</v>
      </c>
      <c r="B16571" t="str">
        <f>"13876931428"</f>
        <v>13876931428</v>
      </c>
      <c r="C16571" t="str">
        <f>"330122197105171212"</f>
        <v>330122197105171212</v>
      </c>
      <c r="D16571" t="s">
        <v>1</v>
      </c>
      <c r="E16571" t="s">
        <v>1</v>
      </c>
      <c r="F16571" t="s">
        <v>0</v>
      </c>
      <c r="G16571" t="str">
        <f>"2018-10-12 09:40:49"</f>
        <v>2018-10-12 09:40:49</v>
      </c>
    </row>
    <row r="16572" spans="1:7" x14ac:dyDescent="0.2">
      <c r="A16572" t="s">
        <v>15911</v>
      </c>
      <c r="B16572" t="str">
        <f>"18386779898"</f>
        <v>18386779898</v>
      </c>
      <c r="C16572" t="str">
        <f>"522625197109071116"</f>
        <v>522625197109071116</v>
      </c>
      <c r="D16572" t="s">
        <v>1</v>
      </c>
      <c r="E16572" t="s">
        <v>1</v>
      </c>
      <c r="F16572" t="s">
        <v>0</v>
      </c>
      <c r="G16572" t="str">
        <f>"2018-10-12 09:42:19"</f>
        <v>2018-10-12 09:42:19</v>
      </c>
    </row>
    <row r="16573" spans="1:7" x14ac:dyDescent="0.2">
      <c r="A16573" t="s">
        <v>15912</v>
      </c>
      <c r="B16573" t="str">
        <f>"13503520723"</f>
        <v>13503520723</v>
      </c>
      <c r="C16573" t="str">
        <f>"140203198606075013"</f>
        <v>140203198606075013</v>
      </c>
      <c r="D16573" t="s">
        <v>15913</v>
      </c>
      <c r="E16573" t="s">
        <v>15914</v>
      </c>
      <c r="F16573" t="s">
        <v>0</v>
      </c>
      <c r="G16573" t="str">
        <f>"2018-10-12 10:08:56"</f>
        <v>2018-10-12 10:08:56</v>
      </c>
    </row>
    <row r="16574" spans="1:7" x14ac:dyDescent="0.2">
      <c r="A16574" t="s">
        <v>1</v>
      </c>
      <c r="B16574" t="str">
        <f>"15277207658"</f>
        <v>15277207658</v>
      </c>
      <c r="C16574" t="s">
        <v>1</v>
      </c>
      <c r="D16574" t="s">
        <v>1</v>
      </c>
      <c r="E16574" t="s">
        <v>1</v>
      </c>
      <c r="F16574" t="s">
        <v>0</v>
      </c>
      <c r="G16574" t="str">
        <f>"2018-10-12 09:39:42"</f>
        <v>2018-10-12 09:39:42</v>
      </c>
    </row>
    <row r="16575" spans="1:7" x14ac:dyDescent="0.2">
      <c r="A16575" t="s">
        <v>15915</v>
      </c>
      <c r="B16575" t="str">
        <f>"15878088838"</f>
        <v>15878088838</v>
      </c>
      <c r="C16575" t="str">
        <f>"452423198402230019"</f>
        <v>452423198402230019</v>
      </c>
      <c r="D16575" t="s">
        <v>1</v>
      </c>
      <c r="E16575" t="s">
        <v>1</v>
      </c>
      <c r="F16575" t="s">
        <v>0</v>
      </c>
      <c r="G16575" t="str">
        <f>"2018-10-12 09:40:58"</f>
        <v>2018-10-12 09:40:58</v>
      </c>
    </row>
    <row r="16576" spans="1:7" x14ac:dyDescent="0.2">
      <c r="A16576" t="s">
        <v>129</v>
      </c>
      <c r="B16576" t="str">
        <f>"13514646986"</f>
        <v>13514646986</v>
      </c>
      <c r="C16576" t="str">
        <f>"230202198011132432"</f>
        <v>230202198011132432</v>
      </c>
      <c r="D16576" t="s">
        <v>1</v>
      </c>
      <c r="E16576" t="s">
        <v>1</v>
      </c>
      <c r="F16576" t="s">
        <v>0</v>
      </c>
      <c r="G16576" t="str">
        <f>"2018-10-12 09:53:02"</f>
        <v>2018-10-12 09:53:02</v>
      </c>
    </row>
    <row r="16577" spans="1:7" x14ac:dyDescent="0.2">
      <c r="A16577" t="s">
        <v>15916</v>
      </c>
      <c r="B16577" t="str">
        <f>"13903337154"</f>
        <v>13903337154</v>
      </c>
      <c r="C16577" t="str">
        <f>"232331199304160422"</f>
        <v>232331199304160422</v>
      </c>
      <c r="D16577" t="s">
        <v>1</v>
      </c>
      <c r="E16577" t="s">
        <v>1</v>
      </c>
      <c r="F16577" t="s">
        <v>0</v>
      </c>
      <c r="G16577" t="str">
        <f>"2018-10-12 09:42:03"</f>
        <v>2018-10-12 09:42:03</v>
      </c>
    </row>
    <row r="16578" spans="1:7" x14ac:dyDescent="0.2">
      <c r="A16578" t="s">
        <v>15917</v>
      </c>
      <c r="B16578" t="str">
        <f>"18876003400"</f>
        <v>18876003400</v>
      </c>
      <c r="C16578" t="str">
        <f>"460002198609143832"</f>
        <v>460002198609143832</v>
      </c>
      <c r="D16578" t="s">
        <v>1</v>
      </c>
      <c r="E16578" t="s">
        <v>1</v>
      </c>
      <c r="F16578" t="s">
        <v>0</v>
      </c>
      <c r="G16578" t="str">
        <f>"2018-10-12 09:40:25"</f>
        <v>2018-10-12 09:40:25</v>
      </c>
    </row>
    <row r="16579" spans="1:7" x14ac:dyDescent="0.2">
      <c r="A16579" t="s">
        <v>15918</v>
      </c>
      <c r="B16579" t="str">
        <f>"18746837999"</f>
        <v>18746837999</v>
      </c>
      <c r="C16579" t="str">
        <f>"23022719830909064X"</f>
        <v>23022719830909064X</v>
      </c>
      <c r="D16579" t="s">
        <v>1</v>
      </c>
      <c r="E16579" t="s">
        <v>1</v>
      </c>
      <c r="F16579" t="s">
        <v>0</v>
      </c>
      <c r="G16579" t="str">
        <f>"2018-10-13 22:46:32"</f>
        <v>2018-10-13 22:46:32</v>
      </c>
    </row>
    <row r="16580" spans="1:7" x14ac:dyDescent="0.2">
      <c r="A16580" t="s">
        <v>514</v>
      </c>
      <c r="B16580" t="str">
        <f>"13507155558"</f>
        <v>13507155558</v>
      </c>
      <c r="C16580" t="str">
        <f>"420103198412262429"</f>
        <v>420103198412262429</v>
      </c>
      <c r="D16580" t="s">
        <v>1</v>
      </c>
      <c r="E16580" t="s">
        <v>1</v>
      </c>
      <c r="F16580" t="s">
        <v>0</v>
      </c>
      <c r="G16580" t="str">
        <f>"2018-10-12 09:42:59"</f>
        <v>2018-10-12 09:42:59</v>
      </c>
    </row>
    <row r="16581" spans="1:7" x14ac:dyDescent="0.2">
      <c r="A16581" t="s">
        <v>1</v>
      </c>
      <c r="B16581" t="str">
        <f>"18209382489"</f>
        <v>18209382489</v>
      </c>
      <c r="C16581" t="s">
        <v>1</v>
      </c>
      <c r="D16581" t="s">
        <v>1</v>
      </c>
      <c r="E16581" t="s">
        <v>1</v>
      </c>
      <c r="F16581" t="s">
        <v>0</v>
      </c>
      <c r="G16581" t="str">
        <f>"2018-10-12 09:39:34"</f>
        <v>2018-10-12 09:39:34</v>
      </c>
    </row>
    <row r="16582" spans="1:7" x14ac:dyDescent="0.2">
      <c r="A16582" t="s">
        <v>15919</v>
      </c>
      <c r="B16582" t="str">
        <f>"13511849307"</f>
        <v>13511849307</v>
      </c>
      <c r="C16582" t="str">
        <f>"522121198506265821"</f>
        <v>522121198506265821</v>
      </c>
      <c r="D16582" t="s">
        <v>1</v>
      </c>
      <c r="E16582" t="s">
        <v>1</v>
      </c>
      <c r="F16582" t="s">
        <v>0</v>
      </c>
      <c r="G16582" t="str">
        <f>"2018-10-12 09:41:18"</f>
        <v>2018-10-12 09:41:18</v>
      </c>
    </row>
    <row r="16583" spans="1:7" x14ac:dyDescent="0.2">
      <c r="A16583" t="s">
        <v>15920</v>
      </c>
      <c r="B16583" t="str">
        <f>"15027407169"</f>
        <v>15027407169</v>
      </c>
      <c r="C16583" t="str">
        <f>"130184198712123526"</f>
        <v>130184198712123526</v>
      </c>
      <c r="D16583" t="s">
        <v>1</v>
      </c>
      <c r="E16583" t="s">
        <v>1</v>
      </c>
      <c r="F16583" t="s">
        <v>0</v>
      </c>
      <c r="G16583" t="str">
        <f>"2018-10-12 09:40:36"</f>
        <v>2018-10-12 09:40:36</v>
      </c>
    </row>
    <row r="16584" spans="1:7" x14ac:dyDescent="0.2">
      <c r="A16584" t="s">
        <v>1</v>
      </c>
      <c r="B16584" t="str">
        <f>"13876622010"</f>
        <v>13876622010</v>
      </c>
      <c r="C16584" t="s">
        <v>1</v>
      </c>
      <c r="D16584" t="s">
        <v>1</v>
      </c>
      <c r="E16584" t="s">
        <v>1</v>
      </c>
      <c r="F16584" t="s">
        <v>0</v>
      </c>
      <c r="G16584" t="str">
        <f>"2018-10-12 09:39:31"</f>
        <v>2018-10-12 09:39:31</v>
      </c>
    </row>
    <row r="16585" spans="1:7" x14ac:dyDescent="0.2">
      <c r="A16585" t="s">
        <v>1720</v>
      </c>
      <c r="B16585" t="str">
        <f>"13599557303"</f>
        <v>13599557303</v>
      </c>
      <c r="C16585" t="str">
        <f>"350322199410107413"</f>
        <v>350322199410107413</v>
      </c>
      <c r="D16585" t="s">
        <v>1</v>
      </c>
      <c r="E16585" t="s">
        <v>1</v>
      </c>
      <c r="F16585" t="s">
        <v>0</v>
      </c>
      <c r="G16585" t="str">
        <f>"2018-10-12 09:42:33"</f>
        <v>2018-10-12 09:42:33</v>
      </c>
    </row>
    <row r="16586" spans="1:7" x14ac:dyDescent="0.2">
      <c r="A16586" t="s">
        <v>1</v>
      </c>
      <c r="B16586" t="str">
        <f>"15045697853"</f>
        <v>15045697853</v>
      </c>
      <c r="C16586" t="s">
        <v>1</v>
      </c>
      <c r="D16586" t="s">
        <v>1</v>
      </c>
      <c r="E16586" t="s">
        <v>1</v>
      </c>
      <c r="F16586" t="s">
        <v>0</v>
      </c>
      <c r="G16586" t="str">
        <f>"2018-10-12 09:39:20"</f>
        <v>2018-10-12 09:39:20</v>
      </c>
    </row>
    <row r="16587" spans="1:7" x14ac:dyDescent="0.2">
      <c r="A16587" t="s">
        <v>15921</v>
      </c>
      <c r="B16587" t="str">
        <f>"18855022589"</f>
        <v>18855022589</v>
      </c>
      <c r="C16587" t="str">
        <f>"341182199510182810"</f>
        <v>341182199510182810</v>
      </c>
      <c r="D16587" t="s">
        <v>1</v>
      </c>
      <c r="E16587" t="s">
        <v>1</v>
      </c>
      <c r="F16587" t="s">
        <v>0</v>
      </c>
      <c r="G16587" t="str">
        <f>"2018-10-25 06:52:08"</f>
        <v>2018-10-25 06:52:08</v>
      </c>
    </row>
    <row r="16588" spans="1:7" x14ac:dyDescent="0.2">
      <c r="A16588" t="s">
        <v>15922</v>
      </c>
      <c r="B16588" t="str">
        <f>"18733849992"</f>
        <v>18733849992</v>
      </c>
      <c r="C16588" t="str">
        <f>"130627199301022637"</f>
        <v>130627199301022637</v>
      </c>
      <c r="D16588" t="s">
        <v>1</v>
      </c>
      <c r="E16588" t="s">
        <v>1</v>
      </c>
      <c r="F16588" t="s">
        <v>0</v>
      </c>
      <c r="G16588" t="str">
        <f>"2018-10-12 09:39:47"</f>
        <v>2018-10-12 09:39:47</v>
      </c>
    </row>
    <row r="16589" spans="1:7" x14ac:dyDescent="0.2">
      <c r="A16589" t="s">
        <v>15923</v>
      </c>
      <c r="B16589" t="str">
        <f>"18845092051"</f>
        <v>18845092051</v>
      </c>
      <c r="C16589" t="str">
        <f>"152123199606160013"</f>
        <v>152123199606160013</v>
      </c>
      <c r="D16589" t="s">
        <v>1</v>
      </c>
      <c r="E16589" t="s">
        <v>1</v>
      </c>
      <c r="F16589" t="s">
        <v>0</v>
      </c>
      <c r="G16589" t="str">
        <f>"2018-10-12 09:40:46"</f>
        <v>2018-10-12 09:40:46</v>
      </c>
    </row>
    <row r="16590" spans="1:7" x14ac:dyDescent="0.2">
      <c r="A16590" t="s">
        <v>1</v>
      </c>
      <c r="B16590" t="str">
        <f>"13960888481"</f>
        <v>13960888481</v>
      </c>
      <c r="C16590" t="s">
        <v>1</v>
      </c>
      <c r="D16590" t="s">
        <v>1</v>
      </c>
      <c r="E16590" t="s">
        <v>1</v>
      </c>
      <c r="F16590" t="s">
        <v>0</v>
      </c>
      <c r="G16590" t="str">
        <f>"2018-10-12 09:39:59"</f>
        <v>2018-10-12 09:39:59</v>
      </c>
    </row>
    <row r="16591" spans="1:7" x14ac:dyDescent="0.2">
      <c r="A16591" t="s">
        <v>1</v>
      </c>
      <c r="B16591" t="str">
        <f>"15131134567"</f>
        <v>15131134567</v>
      </c>
      <c r="C16591" t="s">
        <v>1</v>
      </c>
      <c r="D16591" t="s">
        <v>1</v>
      </c>
      <c r="E16591" t="s">
        <v>1</v>
      </c>
      <c r="F16591" t="s">
        <v>0</v>
      </c>
      <c r="G16591" t="str">
        <f>"2018-10-12 09:39:14"</f>
        <v>2018-10-12 09:39:14</v>
      </c>
    </row>
    <row r="16592" spans="1:7" x14ac:dyDescent="0.2">
      <c r="A16592" t="s">
        <v>1</v>
      </c>
      <c r="B16592" t="str">
        <f>"18713451035"</f>
        <v>18713451035</v>
      </c>
      <c r="C16592" t="s">
        <v>1</v>
      </c>
      <c r="D16592" t="s">
        <v>1</v>
      </c>
      <c r="E16592" t="s">
        <v>1</v>
      </c>
      <c r="F16592" t="s">
        <v>0</v>
      </c>
      <c r="G16592" t="str">
        <f>"2018-10-12 09:39:14"</f>
        <v>2018-10-12 09:39:14</v>
      </c>
    </row>
    <row r="16593" spans="1:7" x14ac:dyDescent="0.2">
      <c r="A16593" t="s">
        <v>15924</v>
      </c>
      <c r="B16593" t="str">
        <f>"13856464824"</f>
        <v>13856464824</v>
      </c>
      <c r="C16593" t="str">
        <f>"342427199708060029"</f>
        <v>342427199708060029</v>
      </c>
      <c r="D16593" t="s">
        <v>1</v>
      </c>
      <c r="E16593" t="s">
        <v>1</v>
      </c>
      <c r="F16593" t="s">
        <v>0</v>
      </c>
      <c r="G16593" t="str">
        <f>"2018-10-12 09:46:04"</f>
        <v>2018-10-12 09:46:04</v>
      </c>
    </row>
    <row r="16594" spans="1:7" x14ac:dyDescent="0.2">
      <c r="A16594" t="s">
        <v>15925</v>
      </c>
      <c r="B16594" t="str">
        <f>"15703723555"</f>
        <v>15703723555</v>
      </c>
      <c r="C16594" t="str">
        <f>"130423199006193410"</f>
        <v>130423199006193410</v>
      </c>
      <c r="D16594" t="s">
        <v>1</v>
      </c>
      <c r="E16594" t="s">
        <v>1</v>
      </c>
      <c r="F16594" t="s">
        <v>0</v>
      </c>
      <c r="G16594" t="str">
        <f>"2018-10-12 09:54:49"</f>
        <v>2018-10-12 09:54:49</v>
      </c>
    </row>
    <row r="16595" spans="1:7" x14ac:dyDescent="0.2">
      <c r="A16595" t="s">
        <v>15926</v>
      </c>
      <c r="B16595" t="str">
        <f>"13453357075"</f>
        <v>13453357075</v>
      </c>
      <c r="C16595" t="str">
        <f>"140321198810313013"</f>
        <v>140321198810313013</v>
      </c>
      <c r="D16595" t="s">
        <v>1</v>
      </c>
      <c r="E16595" t="s">
        <v>1</v>
      </c>
      <c r="F16595" t="s">
        <v>0</v>
      </c>
      <c r="G16595" t="str">
        <f>"2018-10-12 09:39:46"</f>
        <v>2018-10-12 09:39:46</v>
      </c>
    </row>
    <row r="16596" spans="1:7" x14ac:dyDescent="0.2">
      <c r="A16596" t="s">
        <v>1</v>
      </c>
      <c r="B16596" t="str">
        <f>"15866945122"</f>
        <v>15866945122</v>
      </c>
      <c r="C16596" t="s">
        <v>1</v>
      </c>
      <c r="D16596" t="s">
        <v>1</v>
      </c>
      <c r="E16596" t="s">
        <v>1</v>
      </c>
      <c r="F16596" t="s">
        <v>0</v>
      </c>
      <c r="G16596" t="str">
        <f>"2018-10-12 09:38:09"</f>
        <v>2018-10-12 09:38:09</v>
      </c>
    </row>
    <row r="16597" spans="1:7" x14ac:dyDescent="0.2">
      <c r="A16597" t="s">
        <v>15927</v>
      </c>
      <c r="B16597" t="str">
        <f>"13871266028"</f>
        <v>13871266028</v>
      </c>
      <c r="C16597" t="str">
        <f>"420984197906071013"</f>
        <v>420984197906071013</v>
      </c>
      <c r="D16597" t="s">
        <v>1</v>
      </c>
      <c r="E16597" t="s">
        <v>1</v>
      </c>
      <c r="F16597" t="s">
        <v>0</v>
      </c>
      <c r="G16597" t="str">
        <f>"2018-10-12 09:37:59"</f>
        <v>2018-10-12 09:37:59</v>
      </c>
    </row>
    <row r="16598" spans="1:7" x14ac:dyDescent="0.2">
      <c r="A16598" t="s">
        <v>15928</v>
      </c>
      <c r="B16598" t="str">
        <f>"13375609521"</f>
        <v>13375609521</v>
      </c>
      <c r="C16598" t="str">
        <f>"372525197302130073"</f>
        <v>372525197302130073</v>
      </c>
      <c r="D16598" t="s">
        <v>1</v>
      </c>
      <c r="E16598" t="s">
        <v>1</v>
      </c>
      <c r="F16598" t="s">
        <v>0</v>
      </c>
      <c r="G16598" t="str">
        <f>"2018-10-12 09:38:27"</f>
        <v>2018-10-12 09:38:27</v>
      </c>
    </row>
    <row r="16599" spans="1:7" x14ac:dyDescent="0.2">
      <c r="A16599" t="s">
        <v>15929</v>
      </c>
      <c r="B16599" t="str">
        <f>"18262509289"</f>
        <v>18262509289</v>
      </c>
      <c r="C16599" t="str">
        <f>"320682199308120475"</f>
        <v>320682199308120475</v>
      </c>
      <c r="D16599" t="s">
        <v>1</v>
      </c>
      <c r="E16599" t="s">
        <v>1</v>
      </c>
      <c r="F16599" t="s">
        <v>0</v>
      </c>
      <c r="G16599" t="str">
        <f>"2018-10-12 10:15:40"</f>
        <v>2018-10-12 10:15:40</v>
      </c>
    </row>
    <row r="16600" spans="1:7" x14ac:dyDescent="0.2">
      <c r="A16600" t="s">
        <v>15930</v>
      </c>
      <c r="B16600" t="str">
        <f>"15286030742"</f>
        <v>15286030742</v>
      </c>
      <c r="C16600" t="str">
        <f>"520103197509042819"</f>
        <v>520103197509042819</v>
      </c>
      <c r="D16600" t="s">
        <v>1</v>
      </c>
      <c r="E16600" t="s">
        <v>1</v>
      </c>
      <c r="F16600" t="s">
        <v>0</v>
      </c>
      <c r="G16600" t="str">
        <f>"2018-10-12 09:37:28"</f>
        <v>2018-10-12 09:37:28</v>
      </c>
    </row>
    <row r="16601" spans="1:7" x14ac:dyDescent="0.2">
      <c r="A16601" t="s">
        <v>1</v>
      </c>
      <c r="B16601" t="str">
        <f>"15825882329"</f>
        <v>15825882329</v>
      </c>
      <c r="C16601" t="s">
        <v>1</v>
      </c>
      <c r="D16601" t="s">
        <v>1</v>
      </c>
      <c r="E16601" t="s">
        <v>1</v>
      </c>
      <c r="F16601" t="s">
        <v>0</v>
      </c>
      <c r="G16601" t="str">
        <f>"2018-10-13 18:12:47"</f>
        <v>2018-10-13 18:12:47</v>
      </c>
    </row>
    <row r="16602" spans="1:7" x14ac:dyDescent="0.2">
      <c r="A16602" t="s">
        <v>15931</v>
      </c>
      <c r="B16602" t="str">
        <f>"18645076442"</f>
        <v>18645076442</v>
      </c>
      <c r="C16602" t="str">
        <f>"142323198604130237"</f>
        <v>142323198604130237</v>
      </c>
      <c r="D16602" t="s">
        <v>15932</v>
      </c>
      <c r="E16602" t="s">
        <v>15932</v>
      </c>
      <c r="F16602" t="s">
        <v>0</v>
      </c>
      <c r="G16602" t="str">
        <f>"2018-10-12 13:27:11"</f>
        <v>2018-10-12 13:27:11</v>
      </c>
    </row>
    <row r="16603" spans="1:7" x14ac:dyDescent="0.2">
      <c r="A16603" t="s">
        <v>1</v>
      </c>
      <c r="B16603" t="str">
        <f>"15042658059"</f>
        <v>15042658059</v>
      </c>
      <c r="C16603" t="s">
        <v>1</v>
      </c>
      <c r="D16603" t="s">
        <v>1</v>
      </c>
      <c r="E16603" t="s">
        <v>1</v>
      </c>
      <c r="F16603" t="s">
        <v>0</v>
      </c>
      <c r="G16603" t="str">
        <f>"2018-10-12 09:33:10"</f>
        <v>2018-10-12 09:33:10</v>
      </c>
    </row>
    <row r="16604" spans="1:7" x14ac:dyDescent="0.2">
      <c r="A16604" t="s">
        <v>15933</v>
      </c>
      <c r="B16604" t="str">
        <f>"18685304884"</f>
        <v>18685304884</v>
      </c>
      <c r="C16604" t="str">
        <f>"522501199001030817"</f>
        <v>522501199001030817</v>
      </c>
      <c r="D16604" t="s">
        <v>1</v>
      </c>
      <c r="E16604" t="s">
        <v>1</v>
      </c>
      <c r="F16604" t="s">
        <v>0</v>
      </c>
      <c r="G16604" t="str">
        <f>"2018-10-12 09:42:17"</f>
        <v>2018-10-12 09:42:17</v>
      </c>
    </row>
    <row r="16605" spans="1:7" x14ac:dyDescent="0.2">
      <c r="A16605" t="s">
        <v>1</v>
      </c>
      <c r="B16605" t="str">
        <f>"13854310802"</f>
        <v>13854310802</v>
      </c>
      <c r="C16605" t="s">
        <v>1</v>
      </c>
      <c r="D16605" t="s">
        <v>1</v>
      </c>
      <c r="E16605" t="s">
        <v>1</v>
      </c>
      <c r="F16605" t="s">
        <v>0</v>
      </c>
      <c r="G16605" t="str">
        <f>"2018-10-12 09:32:42"</f>
        <v>2018-10-12 09:32:42</v>
      </c>
    </row>
    <row r="16606" spans="1:7" x14ac:dyDescent="0.2">
      <c r="A16606" t="s">
        <v>15934</v>
      </c>
      <c r="B16606" t="str">
        <f>"13312111522"</f>
        <v>13312111522</v>
      </c>
      <c r="C16606" t="str">
        <f>"120103198309060318"</f>
        <v>120103198309060318</v>
      </c>
      <c r="D16606" t="s">
        <v>1</v>
      </c>
      <c r="E16606" t="s">
        <v>1</v>
      </c>
      <c r="F16606" t="s">
        <v>0</v>
      </c>
      <c r="G16606" t="str">
        <f>"2018-10-12 09:33:48"</f>
        <v>2018-10-12 09:33:48</v>
      </c>
    </row>
    <row r="16607" spans="1:7" x14ac:dyDescent="0.2">
      <c r="A16607" t="s">
        <v>15935</v>
      </c>
      <c r="B16607" t="str">
        <f>"15191227112"</f>
        <v>15191227112</v>
      </c>
      <c r="C16607" t="str">
        <f>"612726197709062719"</f>
        <v>612726197709062719</v>
      </c>
      <c r="D16607" t="s">
        <v>1</v>
      </c>
      <c r="E16607" t="s">
        <v>1</v>
      </c>
      <c r="F16607" t="s">
        <v>0</v>
      </c>
      <c r="G16607" t="str">
        <f>"2018-10-12 09:33:24"</f>
        <v>2018-10-12 09:33:24</v>
      </c>
    </row>
    <row r="16608" spans="1:7" x14ac:dyDescent="0.2">
      <c r="A16608" t="s">
        <v>15936</v>
      </c>
      <c r="B16608" t="str">
        <f>"15959991142"</f>
        <v>15959991142</v>
      </c>
      <c r="C16608" t="str">
        <f>"45092419910909363X"</f>
        <v>45092419910909363X</v>
      </c>
      <c r="D16608" t="s">
        <v>15937</v>
      </c>
      <c r="E16608" t="s">
        <v>15938</v>
      </c>
      <c r="F16608" t="s">
        <v>0</v>
      </c>
      <c r="G16608" t="str">
        <f>"2018-10-12 09:33:15"</f>
        <v>2018-10-12 09:33:15</v>
      </c>
    </row>
    <row r="16609" spans="1:7" x14ac:dyDescent="0.2">
      <c r="A16609" t="s">
        <v>1</v>
      </c>
      <c r="B16609" t="str">
        <f>"18340798058"</f>
        <v>18340798058</v>
      </c>
      <c r="C16609" t="s">
        <v>1</v>
      </c>
      <c r="D16609" t="s">
        <v>1</v>
      </c>
      <c r="E16609" t="s">
        <v>1</v>
      </c>
      <c r="F16609" t="s">
        <v>0</v>
      </c>
      <c r="G16609" t="str">
        <f>"2018-10-12 13:27:14"</f>
        <v>2018-10-12 13:27:14</v>
      </c>
    </row>
    <row r="16610" spans="1:7" x14ac:dyDescent="0.2">
      <c r="A16610" t="s">
        <v>15939</v>
      </c>
      <c r="B16610" t="str">
        <f>"15849444982"</f>
        <v>15849444982</v>
      </c>
      <c r="C16610" t="str">
        <f>"152632199912310917"</f>
        <v>152632199912310917</v>
      </c>
      <c r="D16610" t="s">
        <v>1</v>
      </c>
      <c r="E16610" t="s">
        <v>1</v>
      </c>
      <c r="F16610" t="s">
        <v>0</v>
      </c>
      <c r="G16610" t="str">
        <f>"2018-10-12 09:34:25"</f>
        <v>2018-10-12 09:34:25</v>
      </c>
    </row>
    <row r="16611" spans="1:7" x14ac:dyDescent="0.2">
      <c r="A16611" t="s">
        <v>1</v>
      </c>
      <c r="B16611" t="str">
        <f>"15566554566"</f>
        <v>15566554566</v>
      </c>
      <c r="C16611" t="s">
        <v>1</v>
      </c>
      <c r="D16611" t="s">
        <v>1</v>
      </c>
      <c r="E16611" t="s">
        <v>1</v>
      </c>
      <c r="F16611" t="s">
        <v>0</v>
      </c>
      <c r="G16611" t="str">
        <f>"2018-10-12 09:33:34"</f>
        <v>2018-10-12 09:33:34</v>
      </c>
    </row>
    <row r="16612" spans="1:7" x14ac:dyDescent="0.2">
      <c r="A16612" t="s">
        <v>1</v>
      </c>
      <c r="B16612" t="str">
        <f>"13293799889"</f>
        <v>13293799889</v>
      </c>
      <c r="C16612" t="s">
        <v>1</v>
      </c>
      <c r="D16612" t="s">
        <v>1</v>
      </c>
      <c r="E16612" t="s">
        <v>1</v>
      </c>
      <c r="F16612" t="s">
        <v>0</v>
      </c>
      <c r="G16612" t="str">
        <f>"2018-10-12 09:33:09"</f>
        <v>2018-10-12 09:33:09</v>
      </c>
    </row>
    <row r="16613" spans="1:7" x14ac:dyDescent="0.2">
      <c r="A16613" t="s">
        <v>15940</v>
      </c>
      <c r="B16613" t="str">
        <f>"18538057007"</f>
        <v>18538057007</v>
      </c>
      <c r="C16613" t="str">
        <f>"410881199212223556"</f>
        <v>410881199212223556</v>
      </c>
      <c r="D16613" t="s">
        <v>15941</v>
      </c>
      <c r="E16613" t="s">
        <v>15942</v>
      </c>
      <c r="F16613" t="s">
        <v>0</v>
      </c>
      <c r="G16613" t="str">
        <f>"2018-10-12 09:52:15"</f>
        <v>2018-10-12 09:52:15</v>
      </c>
    </row>
    <row r="16614" spans="1:7" x14ac:dyDescent="0.2">
      <c r="A16614" t="s">
        <v>15943</v>
      </c>
      <c r="B16614" t="str">
        <f>"13135817671"</f>
        <v>13135817671</v>
      </c>
      <c r="C16614" t="str">
        <f>"42052119950623003X"</f>
        <v>42052119950623003X</v>
      </c>
      <c r="D16614" t="s">
        <v>1</v>
      </c>
      <c r="E16614" t="s">
        <v>1</v>
      </c>
      <c r="F16614" t="s">
        <v>0</v>
      </c>
      <c r="G16614" t="str">
        <f>"2018-10-12 09:30:49"</f>
        <v>2018-10-12 09:30:49</v>
      </c>
    </row>
    <row r="16615" spans="1:7" x14ac:dyDescent="0.2">
      <c r="A16615" t="s">
        <v>15944</v>
      </c>
      <c r="B16615" t="str">
        <f>"15851444424"</f>
        <v>15851444424</v>
      </c>
      <c r="C16615" t="str">
        <f>"35030119870228145X"</f>
        <v>35030119870228145X</v>
      </c>
      <c r="D16615" t="s">
        <v>1</v>
      </c>
      <c r="E16615" t="s">
        <v>1</v>
      </c>
      <c r="F16615" t="s">
        <v>0</v>
      </c>
      <c r="G16615" t="str">
        <f>"2018-10-12 09:29:35"</f>
        <v>2018-10-12 09:29:35</v>
      </c>
    </row>
    <row r="16616" spans="1:7" x14ac:dyDescent="0.2">
      <c r="A16616" t="s">
        <v>1</v>
      </c>
      <c r="B16616" t="str">
        <f>"18842714515"</f>
        <v>18842714515</v>
      </c>
      <c r="C16616" t="s">
        <v>1</v>
      </c>
      <c r="D16616" t="s">
        <v>1</v>
      </c>
      <c r="E16616" t="s">
        <v>1</v>
      </c>
      <c r="F16616" t="s">
        <v>0</v>
      </c>
      <c r="G16616" t="str">
        <f>"2018-10-12 20:24:30"</f>
        <v>2018-10-12 20:24:30</v>
      </c>
    </row>
    <row r="16617" spans="1:7" x14ac:dyDescent="0.2">
      <c r="A16617" t="s">
        <v>1</v>
      </c>
      <c r="B16617" t="str">
        <f>"13777450376"</f>
        <v>13777450376</v>
      </c>
      <c r="C16617" t="s">
        <v>1</v>
      </c>
      <c r="D16617" t="s">
        <v>1</v>
      </c>
      <c r="E16617" t="s">
        <v>1</v>
      </c>
      <c r="F16617" t="s">
        <v>0</v>
      </c>
      <c r="G16617" t="str">
        <f>"2018-10-12 09:27:56"</f>
        <v>2018-10-12 09:27:56</v>
      </c>
    </row>
    <row r="16618" spans="1:7" x14ac:dyDescent="0.2">
      <c r="A16618" t="s">
        <v>1</v>
      </c>
      <c r="B16618" t="str">
        <f>"13178003387"</f>
        <v>13178003387</v>
      </c>
      <c r="C16618" t="s">
        <v>1</v>
      </c>
      <c r="D16618" t="s">
        <v>1</v>
      </c>
      <c r="E16618" t="s">
        <v>1</v>
      </c>
      <c r="F16618" t="s">
        <v>0</v>
      </c>
      <c r="G16618" t="str">
        <f>"2018-10-12 09:27:39"</f>
        <v>2018-10-12 09:27:39</v>
      </c>
    </row>
    <row r="16619" spans="1:7" x14ac:dyDescent="0.2">
      <c r="A16619" t="s">
        <v>15945</v>
      </c>
      <c r="B16619" t="str">
        <f>"15970066492"</f>
        <v>15970066492</v>
      </c>
      <c r="C16619" t="str">
        <f>"360782199301105259"</f>
        <v>360782199301105259</v>
      </c>
      <c r="D16619" t="s">
        <v>1</v>
      </c>
      <c r="E16619" t="s">
        <v>1</v>
      </c>
      <c r="F16619" t="s">
        <v>0</v>
      </c>
      <c r="G16619" t="str">
        <f>"2018-10-12 09:26:33"</f>
        <v>2018-10-12 09:26:33</v>
      </c>
    </row>
    <row r="16620" spans="1:7" x14ac:dyDescent="0.2">
      <c r="A16620" t="s">
        <v>15946</v>
      </c>
      <c r="B16620" t="str">
        <f>"18608243523"</f>
        <v>18608243523</v>
      </c>
      <c r="C16620" t="str">
        <f>"513001198702080873"</f>
        <v>513001198702080873</v>
      </c>
      <c r="D16620" t="s">
        <v>1</v>
      </c>
      <c r="E16620" t="s">
        <v>1</v>
      </c>
      <c r="F16620" t="s">
        <v>0</v>
      </c>
      <c r="G16620" t="str">
        <f>"2018-10-12 09:51:58"</f>
        <v>2018-10-12 09:51:58</v>
      </c>
    </row>
    <row r="16621" spans="1:7" x14ac:dyDescent="0.2">
      <c r="A16621" t="s">
        <v>1</v>
      </c>
      <c r="B16621" t="str">
        <f>"13879852119"</f>
        <v>13879852119</v>
      </c>
      <c r="C16621" t="s">
        <v>1</v>
      </c>
      <c r="D16621" t="s">
        <v>1</v>
      </c>
      <c r="E16621" t="s">
        <v>1</v>
      </c>
      <c r="F16621" t="s">
        <v>0</v>
      </c>
      <c r="G16621" t="str">
        <f>"2018-10-12 09:23:15"</f>
        <v>2018-10-12 09:23:15</v>
      </c>
    </row>
    <row r="16622" spans="1:7" x14ac:dyDescent="0.2">
      <c r="A16622" t="s">
        <v>1</v>
      </c>
      <c r="B16622" t="str">
        <f>"18888051959"</f>
        <v>18888051959</v>
      </c>
      <c r="C16622" t="s">
        <v>1</v>
      </c>
      <c r="D16622" t="s">
        <v>1</v>
      </c>
      <c r="E16622" t="s">
        <v>1</v>
      </c>
      <c r="F16622" t="s">
        <v>0</v>
      </c>
      <c r="G16622" t="str">
        <f>"2018-10-12 09:22:44"</f>
        <v>2018-10-12 09:22:44</v>
      </c>
    </row>
    <row r="16623" spans="1:7" x14ac:dyDescent="0.2">
      <c r="A16623" t="s">
        <v>15947</v>
      </c>
      <c r="B16623" t="str">
        <f>"18771203516"</f>
        <v>18771203516</v>
      </c>
      <c r="C16623" t="str">
        <f>"422801199604201016"</f>
        <v>422801199604201016</v>
      </c>
      <c r="D16623" t="s">
        <v>1</v>
      </c>
      <c r="E16623" t="s">
        <v>1</v>
      </c>
      <c r="F16623" t="s">
        <v>0</v>
      </c>
      <c r="G16623" t="str">
        <f>"2018-10-12 09:22:30"</f>
        <v>2018-10-12 09:22:30</v>
      </c>
    </row>
    <row r="16624" spans="1:7" x14ac:dyDescent="0.2">
      <c r="A16624" t="s">
        <v>1</v>
      </c>
      <c r="B16624" t="str">
        <f>"13899055389"</f>
        <v>13899055389</v>
      </c>
      <c r="C16624" t="s">
        <v>1</v>
      </c>
      <c r="D16624" t="s">
        <v>1</v>
      </c>
      <c r="E16624" t="s">
        <v>1</v>
      </c>
      <c r="F16624" t="s">
        <v>0</v>
      </c>
      <c r="G16624" t="str">
        <f>"2018-10-12 09:20:59"</f>
        <v>2018-10-12 09:20:59</v>
      </c>
    </row>
    <row r="16625" spans="1:7" x14ac:dyDescent="0.2">
      <c r="A16625" t="s">
        <v>15948</v>
      </c>
      <c r="B16625" t="str">
        <f>"13848189521"</f>
        <v>13848189521</v>
      </c>
      <c r="C16625" t="str">
        <f>"152631198203206016"</f>
        <v>152631198203206016</v>
      </c>
      <c r="D16625" t="s">
        <v>1</v>
      </c>
      <c r="E16625" t="s">
        <v>1</v>
      </c>
      <c r="F16625" t="s">
        <v>0</v>
      </c>
      <c r="G16625" t="str">
        <f>"2018-11-01 19:25:22"</f>
        <v>2018-11-01 19:25:22</v>
      </c>
    </row>
    <row r="16626" spans="1:7" x14ac:dyDescent="0.2">
      <c r="A16626" t="s">
        <v>15949</v>
      </c>
      <c r="B16626" t="str">
        <f>"18641746050"</f>
        <v>18641746050</v>
      </c>
      <c r="C16626" t="str">
        <f>"210803198007210544"</f>
        <v>210803198007210544</v>
      </c>
      <c r="D16626" t="s">
        <v>1</v>
      </c>
      <c r="E16626" t="s">
        <v>1</v>
      </c>
      <c r="F16626" t="s">
        <v>0</v>
      </c>
      <c r="G16626" t="str">
        <f>"2018-10-12 12:48:57"</f>
        <v>2018-10-12 12:48:57</v>
      </c>
    </row>
    <row r="16627" spans="1:7" x14ac:dyDescent="0.2">
      <c r="A16627" t="s">
        <v>1</v>
      </c>
      <c r="B16627" t="str">
        <f>"18507001960"</f>
        <v>18507001960</v>
      </c>
      <c r="C16627" t="s">
        <v>1</v>
      </c>
      <c r="D16627" t="s">
        <v>1</v>
      </c>
      <c r="E16627" t="s">
        <v>1</v>
      </c>
      <c r="F16627" t="s">
        <v>0</v>
      </c>
      <c r="G16627" t="str">
        <f>"2018-10-12 09:20:43"</f>
        <v>2018-10-12 09:20:43</v>
      </c>
    </row>
    <row r="16628" spans="1:7" x14ac:dyDescent="0.2">
      <c r="A16628" t="s">
        <v>15950</v>
      </c>
      <c r="B16628" t="str">
        <f>"18558742179"</f>
        <v>18558742179</v>
      </c>
      <c r="C16628" t="str">
        <f>"350121196801171518"</f>
        <v>350121196801171518</v>
      </c>
      <c r="D16628" t="s">
        <v>1</v>
      </c>
      <c r="E16628" t="s">
        <v>1</v>
      </c>
      <c r="F16628" t="s">
        <v>0</v>
      </c>
      <c r="G16628" t="str">
        <f>"2018-10-12 09:22:07"</f>
        <v>2018-10-12 09:22:07</v>
      </c>
    </row>
    <row r="16629" spans="1:7" x14ac:dyDescent="0.2">
      <c r="A16629" t="s">
        <v>15951</v>
      </c>
      <c r="B16629" t="str">
        <f>"18626866267"</f>
        <v>18626866267</v>
      </c>
      <c r="C16629" t="str">
        <f>"220106199307260823"</f>
        <v>220106199307260823</v>
      </c>
      <c r="D16629" t="s">
        <v>1</v>
      </c>
      <c r="E16629" t="s">
        <v>1</v>
      </c>
      <c r="F16629" t="s">
        <v>0</v>
      </c>
      <c r="G16629" t="str">
        <f>"2018-10-12 09:21:28"</f>
        <v>2018-10-12 09:21:28</v>
      </c>
    </row>
    <row r="16630" spans="1:7" x14ac:dyDescent="0.2">
      <c r="A16630" t="s">
        <v>1</v>
      </c>
      <c r="B16630" t="str">
        <f>"18672750133"</f>
        <v>18672750133</v>
      </c>
      <c r="C16630" t="s">
        <v>1</v>
      </c>
      <c r="D16630" t="s">
        <v>1</v>
      </c>
      <c r="E16630" t="s">
        <v>1</v>
      </c>
      <c r="F16630" t="s">
        <v>0</v>
      </c>
      <c r="G16630" t="str">
        <f>"2018-10-12 09:36:14"</f>
        <v>2018-10-12 09:36:14</v>
      </c>
    </row>
    <row r="16631" spans="1:7" x14ac:dyDescent="0.2">
      <c r="A16631" t="s">
        <v>1</v>
      </c>
      <c r="B16631" t="str">
        <f>"15844892008"</f>
        <v>15844892008</v>
      </c>
      <c r="C16631" t="s">
        <v>1</v>
      </c>
      <c r="D16631" t="s">
        <v>1</v>
      </c>
      <c r="E16631" t="s">
        <v>1</v>
      </c>
      <c r="F16631" t="s">
        <v>0</v>
      </c>
      <c r="G16631" t="str">
        <f>"2018-10-12 09:19:08"</f>
        <v>2018-10-12 09:19:08</v>
      </c>
    </row>
    <row r="16632" spans="1:7" x14ac:dyDescent="0.2">
      <c r="A16632" t="s">
        <v>1</v>
      </c>
      <c r="B16632" t="str">
        <f>"15560263103"</f>
        <v>15560263103</v>
      </c>
      <c r="C16632" t="s">
        <v>1</v>
      </c>
      <c r="D16632" t="s">
        <v>1</v>
      </c>
      <c r="E16632" t="s">
        <v>1</v>
      </c>
      <c r="F16632" t="s">
        <v>0</v>
      </c>
      <c r="G16632" t="str">
        <f>"2018-10-12 09:18:44"</f>
        <v>2018-10-12 09:18:44</v>
      </c>
    </row>
    <row r="16633" spans="1:7" x14ac:dyDescent="0.2">
      <c r="A16633" t="s">
        <v>15952</v>
      </c>
      <c r="B16633" t="str">
        <f>"13894046678"</f>
        <v>13894046678</v>
      </c>
      <c r="C16633" t="str">
        <f>"220621198705160218"</f>
        <v>220621198705160218</v>
      </c>
      <c r="D16633" t="s">
        <v>1</v>
      </c>
      <c r="E16633" t="s">
        <v>1</v>
      </c>
      <c r="F16633" t="s">
        <v>0</v>
      </c>
      <c r="G16633" t="str">
        <f>"2018-10-12 09:45:02"</f>
        <v>2018-10-12 09:45:02</v>
      </c>
    </row>
    <row r="16634" spans="1:7" x14ac:dyDescent="0.2">
      <c r="A16634" t="s">
        <v>15953</v>
      </c>
      <c r="B16634" t="str">
        <f>"13289910290"</f>
        <v>13289910290</v>
      </c>
      <c r="C16634" t="str">
        <f>"650102199602196013"</f>
        <v>650102199602196013</v>
      </c>
      <c r="D16634" t="s">
        <v>15954</v>
      </c>
      <c r="E16634" t="s">
        <v>15955</v>
      </c>
      <c r="F16634" t="s">
        <v>0</v>
      </c>
      <c r="G16634" t="str">
        <f>"2018-10-12 09:18:26"</f>
        <v>2018-10-12 09:18:26</v>
      </c>
    </row>
    <row r="16635" spans="1:7" x14ac:dyDescent="0.2">
      <c r="A16635" t="s">
        <v>586</v>
      </c>
      <c r="B16635" t="str">
        <f>"13980321617"</f>
        <v>13980321617</v>
      </c>
      <c r="C16635" t="str">
        <f>"51292319710721439X"</f>
        <v>51292319710721439X</v>
      </c>
      <c r="D16635" t="s">
        <v>1</v>
      </c>
      <c r="E16635" t="s">
        <v>1</v>
      </c>
      <c r="F16635" t="s">
        <v>0</v>
      </c>
      <c r="G16635" t="str">
        <f>"2018-10-12 09:19:26"</f>
        <v>2018-10-12 09:19:26</v>
      </c>
    </row>
    <row r="16636" spans="1:7" x14ac:dyDescent="0.2">
      <c r="A16636" t="s">
        <v>15956</v>
      </c>
      <c r="B16636" t="str">
        <f>"15237407007"</f>
        <v>15237407007</v>
      </c>
      <c r="C16636" t="str">
        <f>"411082198807044855"</f>
        <v>411082198807044855</v>
      </c>
      <c r="D16636" t="s">
        <v>15957</v>
      </c>
      <c r="E16636" t="s">
        <v>15958</v>
      </c>
      <c r="F16636" t="s">
        <v>0</v>
      </c>
      <c r="G16636" t="str">
        <f>"2018-10-12 09:17:07"</f>
        <v>2018-10-12 09:17:07</v>
      </c>
    </row>
    <row r="16637" spans="1:7" x14ac:dyDescent="0.2">
      <c r="A16637" t="s">
        <v>8738</v>
      </c>
      <c r="B16637" t="str">
        <f>"15251160928"</f>
        <v>15251160928</v>
      </c>
      <c r="C16637" t="str">
        <f>"320924198902063440"</f>
        <v>320924198902063440</v>
      </c>
      <c r="D16637" t="s">
        <v>1</v>
      </c>
      <c r="E16637" t="s">
        <v>1</v>
      </c>
      <c r="F16637" t="s">
        <v>0</v>
      </c>
      <c r="G16637" t="str">
        <f>"2018-10-12 09:18:05"</f>
        <v>2018-10-12 09:18:05</v>
      </c>
    </row>
    <row r="16638" spans="1:7" x14ac:dyDescent="0.2">
      <c r="A16638" t="s">
        <v>4</v>
      </c>
      <c r="B16638" t="str">
        <f>"13841255753"</f>
        <v>13841255753</v>
      </c>
      <c r="C16638" t="str">
        <f>"210303197902130311"</f>
        <v>210303197902130311</v>
      </c>
      <c r="D16638" t="s">
        <v>1</v>
      </c>
      <c r="E16638" t="s">
        <v>1</v>
      </c>
      <c r="F16638" t="s">
        <v>0</v>
      </c>
      <c r="G16638" t="str">
        <f>"2018-10-12 09:32:25"</f>
        <v>2018-10-12 09:32:25</v>
      </c>
    </row>
    <row r="16639" spans="1:7" x14ac:dyDescent="0.2">
      <c r="A16639" t="s">
        <v>1</v>
      </c>
      <c r="B16639" t="str">
        <f>"13601501943"</f>
        <v>13601501943</v>
      </c>
      <c r="C16639" t="s">
        <v>1</v>
      </c>
      <c r="D16639" t="s">
        <v>1</v>
      </c>
      <c r="E16639" t="s">
        <v>1</v>
      </c>
      <c r="F16639" t="s">
        <v>0</v>
      </c>
      <c r="G16639" t="str">
        <f>"2018-10-12 09:16:35"</f>
        <v>2018-10-12 09:16:35</v>
      </c>
    </row>
    <row r="16640" spans="1:7" x14ac:dyDescent="0.2">
      <c r="A16640" t="s">
        <v>15959</v>
      </c>
      <c r="B16640" t="str">
        <f>"18264425158"</f>
        <v>18264425158</v>
      </c>
      <c r="C16640" t="str">
        <f>"370783198110162318"</f>
        <v>370783198110162318</v>
      </c>
      <c r="D16640" t="s">
        <v>15960</v>
      </c>
      <c r="E16640" t="s">
        <v>15961</v>
      </c>
      <c r="F16640" t="s">
        <v>0</v>
      </c>
      <c r="G16640" t="str">
        <f>"2018-10-12 09:17:55"</f>
        <v>2018-10-12 09:17:55</v>
      </c>
    </row>
    <row r="16641" spans="1:7" x14ac:dyDescent="0.2">
      <c r="A16641" t="s">
        <v>1</v>
      </c>
      <c r="B16641" t="str">
        <f>"13175683123"</f>
        <v>13175683123</v>
      </c>
      <c r="C16641" t="s">
        <v>1</v>
      </c>
      <c r="D16641" t="s">
        <v>1</v>
      </c>
      <c r="E16641" t="s">
        <v>1</v>
      </c>
      <c r="F16641" t="s">
        <v>0</v>
      </c>
      <c r="G16641" t="str">
        <f>"2018-10-12 09:15:33"</f>
        <v>2018-10-12 09:15:33</v>
      </c>
    </row>
    <row r="16642" spans="1:7" x14ac:dyDescent="0.2">
      <c r="A16642" t="s">
        <v>249</v>
      </c>
      <c r="B16642" t="str">
        <f>"18748982020"</f>
        <v>18748982020</v>
      </c>
      <c r="C16642" t="str">
        <f>"522328198910153229"</f>
        <v>522328198910153229</v>
      </c>
      <c r="D16642" t="s">
        <v>1</v>
      </c>
      <c r="E16642" t="s">
        <v>1</v>
      </c>
      <c r="F16642" t="s">
        <v>0</v>
      </c>
      <c r="G16642" t="str">
        <f>"2018-10-12 09:20:43"</f>
        <v>2018-10-12 09:20:43</v>
      </c>
    </row>
    <row r="16643" spans="1:7" x14ac:dyDescent="0.2">
      <c r="A16643" t="s">
        <v>1</v>
      </c>
      <c r="B16643" t="str">
        <f>"18286593232"</f>
        <v>18286593232</v>
      </c>
      <c r="C16643" t="s">
        <v>1</v>
      </c>
      <c r="D16643" t="s">
        <v>1</v>
      </c>
      <c r="E16643" t="s">
        <v>1</v>
      </c>
      <c r="F16643" t="s">
        <v>0</v>
      </c>
      <c r="G16643" t="str">
        <f>"2018-10-12 09:14:42"</f>
        <v>2018-10-12 09:14:42</v>
      </c>
    </row>
    <row r="16644" spans="1:7" x14ac:dyDescent="0.2">
      <c r="A16644" t="s">
        <v>15962</v>
      </c>
      <c r="B16644" t="str">
        <f>"13147929111"</f>
        <v>13147929111</v>
      </c>
      <c r="C16644" t="str">
        <f>"210702199303250412"</f>
        <v>210702199303250412</v>
      </c>
      <c r="D16644" t="s">
        <v>15963</v>
      </c>
      <c r="E16644" t="s">
        <v>15964</v>
      </c>
      <c r="F16644" t="s">
        <v>0</v>
      </c>
      <c r="G16644" t="str">
        <f>"2018-10-12 09:15:36"</f>
        <v>2018-10-12 09:15:36</v>
      </c>
    </row>
    <row r="16645" spans="1:7" x14ac:dyDescent="0.2">
      <c r="A16645" t="s">
        <v>15965</v>
      </c>
      <c r="B16645" t="str">
        <f>"13578154417"</f>
        <v>13578154417</v>
      </c>
      <c r="C16645" t="str">
        <f>"53282319810810008X"</f>
        <v>53282319810810008X</v>
      </c>
      <c r="D16645" t="s">
        <v>1</v>
      </c>
      <c r="E16645" t="s">
        <v>1</v>
      </c>
      <c r="F16645" t="s">
        <v>0</v>
      </c>
      <c r="G16645" t="str">
        <f>"2018-10-12 12:36:07"</f>
        <v>2018-10-12 12:36:07</v>
      </c>
    </row>
    <row r="16646" spans="1:7" x14ac:dyDescent="0.2">
      <c r="A16646" t="s">
        <v>15966</v>
      </c>
      <c r="B16646" t="str">
        <f>"13616628313"</f>
        <v>13616628313</v>
      </c>
      <c r="C16646" t="str">
        <f>"330326199103037939"</f>
        <v>330326199103037939</v>
      </c>
      <c r="D16646" t="s">
        <v>1</v>
      </c>
      <c r="E16646" t="s">
        <v>1</v>
      </c>
      <c r="F16646" t="s">
        <v>0</v>
      </c>
      <c r="G16646" t="str">
        <f>"2018-10-31 13:19:46"</f>
        <v>2018-10-31 13:19:46</v>
      </c>
    </row>
    <row r="16647" spans="1:7" x14ac:dyDescent="0.2">
      <c r="A16647" t="s">
        <v>15967</v>
      </c>
      <c r="B16647" t="str">
        <f>"18919206468"</f>
        <v>18919206468</v>
      </c>
      <c r="C16647" t="str">
        <f>"62052319921121004X"</f>
        <v>62052319921121004X</v>
      </c>
      <c r="D16647" t="s">
        <v>1</v>
      </c>
      <c r="E16647" t="s">
        <v>1</v>
      </c>
      <c r="F16647" t="s">
        <v>0</v>
      </c>
      <c r="G16647" t="str">
        <f>"2018-10-14 09:03:26"</f>
        <v>2018-10-14 09:03:26</v>
      </c>
    </row>
    <row r="16648" spans="1:7" x14ac:dyDescent="0.2">
      <c r="A16648" t="s">
        <v>1</v>
      </c>
      <c r="B16648" t="str">
        <f>"13582131525"</f>
        <v>13582131525</v>
      </c>
      <c r="C16648" t="s">
        <v>1</v>
      </c>
      <c r="D16648" t="s">
        <v>1</v>
      </c>
      <c r="E16648" t="s">
        <v>1</v>
      </c>
      <c r="F16648" t="s">
        <v>0</v>
      </c>
      <c r="G16648" t="str">
        <f>"2018-10-12 09:12:40"</f>
        <v>2018-10-12 09:12:40</v>
      </c>
    </row>
    <row r="16649" spans="1:7" x14ac:dyDescent="0.2">
      <c r="A16649" t="s">
        <v>9189</v>
      </c>
      <c r="B16649" t="str">
        <f>"17688723252"</f>
        <v>17688723252</v>
      </c>
      <c r="C16649" t="str">
        <f>"412825198905157623"</f>
        <v>412825198905157623</v>
      </c>
      <c r="D16649" t="s">
        <v>1</v>
      </c>
      <c r="E16649" t="s">
        <v>1</v>
      </c>
      <c r="F16649" t="s">
        <v>0</v>
      </c>
      <c r="G16649" t="str">
        <f>"2018-10-12 09:12:11"</f>
        <v>2018-10-12 09:12:11</v>
      </c>
    </row>
    <row r="16650" spans="1:7" x14ac:dyDescent="0.2">
      <c r="A16650" t="s">
        <v>15968</v>
      </c>
      <c r="B16650" t="str">
        <f>"15212315037"</f>
        <v>15212315037</v>
      </c>
      <c r="C16650" t="str">
        <f>"341022199109013955"</f>
        <v>341022199109013955</v>
      </c>
      <c r="D16650" t="s">
        <v>1</v>
      </c>
      <c r="E16650" t="s">
        <v>1</v>
      </c>
      <c r="F16650" t="s">
        <v>0</v>
      </c>
      <c r="G16650" t="str">
        <f>"2018-10-12 09:46:20"</f>
        <v>2018-10-12 09:46:20</v>
      </c>
    </row>
    <row r="16651" spans="1:7" x14ac:dyDescent="0.2">
      <c r="A16651" t="s">
        <v>15969</v>
      </c>
      <c r="B16651" t="str">
        <f>"17678999019"</f>
        <v>17678999019</v>
      </c>
      <c r="C16651" t="str">
        <f>"522328199011200831"</f>
        <v>522328199011200831</v>
      </c>
      <c r="D16651" t="s">
        <v>1</v>
      </c>
      <c r="E16651" t="s">
        <v>1</v>
      </c>
      <c r="F16651" t="s">
        <v>0</v>
      </c>
      <c r="G16651" t="str">
        <f>"2018-10-12 09:18:14"</f>
        <v>2018-10-12 09:18:14</v>
      </c>
    </row>
    <row r="16652" spans="1:7" x14ac:dyDescent="0.2">
      <c r="A16652" t="s">
        <v>1</v>
      </c>
      <c r="B16652" t="str">
        <f>"13361238238"</f>
        <v>13361238238</v>
      </c>
      <c r="C16652" t="s">
        <v>1</v>
      </c>
      <c r="D16652" t="s">
        <v>1</v>
      </c>
      <c r="E16652" t="s">
        <v>1</v>
      </c>
      <c r="F16652" t="s">
        <v>0</v>
      </c>
      <c r="G16652" t="str">
        <f>"2018-10-12 09:09:38"</f>
        <v>2018-10-12 09:09:38</v>
      </c>
    </row>
    <row r="16653" spans="1:7" x14ac:dyDescent="0.2">
      <c r="A16653" t="s">
        <v>1</v>
      </c>
      <c r="B16653" t="str">
        <f>"17699800505"</f>
        <v>17699800505</v>
      </c>
      <c r="C16653" t="s">
        <v>1</v>
      </c>
      <c r="D16653" t="s">
        <v>1</v>
      </c>
      <c r="E16653" t="s">
        <v>1</v>
      </c>
      <c r="F16653" t="s">
        <v>0</v>
      </c>
      <c r="G16653" t="str">
        <f>"2018-10-12 09:09:31"</f>
        <v>2018-10-12 09:09:31</v>
      </c>
    </row>
    <row r="16654" spans="1:7" x14ac:dyDescent="0.2">
      <c r="A16654" t="s">
        <v>1</v>
      </c>
      <c r="B16654" t="str">
        <f>"18647838496"</f>
        <v>18647838496</v>
      </c>
      <c r="C16654" t="s">
        <v>1</v>
      </c>
      <c r="D16654" t="s">
        <v>1</v>
      </c>
      <c r="E16654" t="s">
        <v>1</v>
      </c>
      <c r="F16654" t="s">
        <v>0</v>
      </c>
      <c r="G16654" t="str">
        <f>"2018-10-12 09:09:27"</f>
        <v>2018-10-12 09:09:27</v>
      </c>
    </row>
    <row r="16655" spans="1:7" x14ac:dyDescent="0.2">
      <c r="A16655" t="s">
        <v>354</v>
      </c>
      <c r="B16655" t="str">
        <f>"15148814217"</f>
        <v>15148814217</v>
      </c>
      <c r="C16655" t="str">
        <f>"152827199303156627"</f>
        <v>152827199303156627</v>
      </c>
      <c r="D16655" t="s">
        <v>1</v>
      </c>
      <c r="E16655" t="s">
        <v>1</v>
      </c>
      <c r="F16655" t="s">
        <v>0</v>
      </c>
      <c r="G16655" t="str">
        <f>"2018-10-19 16:33:00"</f>
        <v>2018-10-19 16:33:00</v>
      </c>
    </row>
    <row r="16656" spans="1:7" x14ac:dyDescent="0.2">
      <c r="A16656" t="s">
        <v>1</v>
      </c>
      <c r="B16656" t="str">
        <f>"15881161379"</f>
        <v>15881161379</v>
      </c>
      <c r="C16656" t="s">
        <v>1</v>
      </c>
      <c r="D16656" t="s">
        <v>1</v>
      </c>
      <c r="E16656" t="s">
        <v>1</v>
      </c>
      <c r="F16656" t="s">
        <v>0</v>
      </c>
      <c r="G16656" t="str">
        <f>"2018-10-12 09:09:01"</f>
        <v>2018-10-12 09:09:01</v>
      </c>
    </row>
    <row r="16657" spans="1:7" x14ac:dyDescent="0.2">
      <c r="A16657" t="s">
        <v>15970</v>
      </c>
      <c r="B16657" t="str">
        <f>"18992692876"</f>
        <v>18992692876</v>
      </c>
      <c r="C16657" t="str">
        <f>"612301198210244332"</f>
        <v>612301198210244332</v>
      </c>
      <c r="D16657" t="s">
        <v>1</v>
      </c>
      <c r="E16657" t="s">
        <v>1</v>
      </c>
      <c r="F16657" t="s">
        <v>0</v>
      </c>
      <c r="G16657" t="str">
        <f>"2018-10-12 09:10:54"</f>
        <v>2018-10-12 09:10:54</v>
      </c>
    </row>
    <row r="16658" spans="1:7" x14ac:dyDescent="0.2">
      <c r="A16658" t="s">
        <v>1</v>
      </c>
      <c r="B16658" t="str">
        <f>"15590326866"</f>
        <v>15590326866</v>
      </c>
      <c r="C16658" t="s">
        <v>1</v>
      </c>
      <c r="D16658" t="s">
        <v>1</v>
      </c>
      <c r="E16658" t="s">
        <v>1</v>
      </c>
      <c r="F16658" t="s">
        <v>0</v>
      </c>
      <c r="G16658" t="str">
        <f>"2018-10-12 09:09:30"</f>
        <v>2018-10-12 09:09:30</v>
      </c>
    </row>
    <row r="16659" spans="1:7" x14ac:dyDescent="0.2">
      <c r="A16659" t="s">
        <v>15971</v>
      </c>
      <c r="B16659" t="str">
        <f>"15800806628"</f>
        <v>15800806628</v>
      </c>
      <c r="C16659" t="str">
        <f>"310226199006133217"</f>
        <v>310226199006133217</v>
      </c>
      <c r="D16659" t="s">
        <v>1</v>
      </c>
      <c r="E16659" t="s">
        <v>1</v>
      </c>
      <c r="F16659" t="s">
        <v>0</v>
      </c>
      <c r="G16659" t="str">
        <f>"2018-10-12 09:07:55"</f>
        <v>2018-10-12 09:07:55</v>
      </c>
    </row>
    <row r="16660" spans="1:7" x14ac:dyDescent="0.2">
      <c r="A16660" t="s">
        <v>15972</v>
      </c>
      <c r="B16660" t="str">
        <f>"13877427220"</f>
        <v>13877427220</v>
      </c>
      <c r="C16660" t="str">
        <f>"452423197803021512"</f>
        <v>452423197803021512</v>
      </c>
      <c r="D16660" t="s">
        <v>1</v>
      </c>
      <c r="E16660" t="s">
        <v>1</v>
      </c>
      <c r="F16660" t="s">
        <v>0</v>
      </c>
      <c r="G16660" t="str">
        <f>"2018-10-12 09:08:12"</f>
        <v>2018-10-12 09:08:12</v>
      </c>
    </row>
    <row r="16661" spans="1:7" x14ac:dyDescent="0.2">
      <c r="A16661" t="s">
        <v>15973</v>
      </c>
      <c r="B16661" t="str">
        <f>"15877790576"</f>
        <v>15877790576</v>
      </c>
      <c r="C16661" t="str">
        <f>"532923198901291112"</f>
        <v>532923198901291112</v>
      </c>
      <c r="D16661" t="s">
        <v>1</v>
      </c>
      <c r="E16661" t="s">
        <v>1</v>
      </c>
      <c r="F16661" t="s">
        <v>0</v>
      </c>
      <c r="G16661" t="str">
        <f>"2018-10-12 09:09:17"</f>
        <v>2018-10-12 09:09:17</v>
      </c>
    </row>
    <row r="16662" spans="1:7" x14ac:dyDescent="0.2">
      <c r="A16662" t="s">
        <v>1</v>
      </c>
      <c r="B16662" t="str">
        <f>"13291858161"</f>
        <v>13291858161</v>
      </c>
      <c r="C16662" t="s">
        <v>1</v>
      </c>
      <c r="D16662" t="s">
        <v>1</v>
      </c>
      <c r="E16662" t="s">
        <v>1</v>
      </c>
      <c r="F16662" t="s">
        <v>0</v>
      </c>
      <c r="G16662" t="str">
        <f>"2018-10-12 09:06:12"</f>
        <v>2018-10-12 09:06:12</v>
      </c>
    </row>
    <row r="16663" spans="1:7" x14ac:dyDescent="0.2">
      <c r="A16663" t="s">
        <v>15974</v>
      </c>
      <c r="B16663" t="str">
        <f>"13659244260"</f>
        <v>13659244260</v>
      </c>
      <c r="C16663" t="str">
        <f>"512527197504013077"</f>
        <v>512527197504013077</v>
      </c>
      <c r="D16663" t="s">
        <v>1</v>
      </c>
      <c r="E16663" t="s">
        <v>1</v>
      </c>
      <c r="F16663" t="s">
        <v>0</v>
      </c>
      <c r="G16663" t="str">
        <f>"2018-10-12 11:40:32"</f>
        <v>2018-10-12 11:40:32</v>
      </c>
    </row>
    <row r="16664" spans="1:7" x14ac:dyDescent="0.2">
      <c r="A16664" t="s">
        <v>15975</v>
      </c>
      <c r="B16664" t="str">
        <f>"15573599352"</f>
        <v>15573599352</v>
      </c>
      <c r="C16664" t="str">
        <f>"43102619850112672X"</f>
        <v>43102619850112672X</v>
      </c>
      <c r="D16664" t="s">
        <v>1</v>
      </c>
      <c r="E16664" t="s">
        <v>1</v>
      </c>
      <c r="F16664" t="s">
        <v>0</v>
      </c>
      <c r="G16664" t="str">
        <f>"2018-10-12 09:05:37"</f>
        <v>2018-10-12 09:05:37</v>
      </c>
    </row>
    <row r="16665" spans="1:7" x14ac:dyDescent="0.2">
      <c r="A16665" t="s">
        <v>15976</v>
      </c>
      <c r="B16665" t="str">
        <f>"15871508159"</f>
        <v>15871508159</v>
      </c>
      <c r="C16665" t="str">
        <f>"420704199102084253"</f>
        <v>420704199102084253</v>
      </c>
      <c r="D16665" t="s">
        <v>15977</v>
      </c>
      <c r="E16665" t="s">
        <v>15978</v>
      </c>
      <c r="F16665" t="s">
        <v>0</v>
      </c>
      <c r="G16665" t="str">
        <f>"2018-10-12 10:22:12"</f>
        <v>2018-10-12 10:22:12</v>
      </c>
    </row>
    <row r="16666" spans="1:7" x14ac:dyDescent="0.2">
      <c r="A16666" t="s">
        <v>1</v>
      </c>
      <c r="B16666" t="str">
        <f>"18566804440"</f>
        <v>18566804440</v>
      </c>
      <c r="C16666" t="s">
        <v>1</v>
      </c>
      <c r="D16666" t="s">
        <v>1</v>
      </c>
      <c r="E16666" t="s">
        <v>1</v>
      </c>
      <c r="F16666" t="s">
        <v>0</v>
      </c>
      <c r="G16666" t="str">
        <f>"2018-10-12 09:06:13"</f>
        <v>2018-10-12 09:06:13</v>
      </c>
    </row>
    <row r="16667" spans="1:7" x14ac:dyDescent="0.2">
      <c r="A16667" t="s">
        <v>1</v>
      </c>
      <c r="B16667" t="str">
        <f>"18311625667"</f>
        <v>18311625667</v>
      </c>
      <c r="C16667" t="s">
        <v>1</v>
      </c>
      <c r="D16667" t="s">
        <v>1</v>
      </c>
      <c r="E16667" t="s">
        <v>1</v>
      </c>
      <c r="F16667" t="s">
        <v>0</v>
      </c>
      <c r="G16667" t="str">
        <f>"2018-10-12 09:04:20"</f>
        <v>2018-10-12 09:04:20</v>
      </c>
    </row>
    <row r="16668" spans="1:7" x14ac:dyDescent="0.2">
      <c r="A16668" t="s">
        <v>15979</v>
      </c>
      <c r="B16668" t="str">
        <f>"18643865337"</f>
        <v>18643865337</v>
      </c>
      <c r="C16668" t="str">
        <f>"220702198603194210"</f>
        <v>220702198603194210</v>
      </c>
      <c r="D16668" t="s">
        <v>1</v>
      </c>
      <c r="E16668" t="s">
        <v>1</v>
      </c>
      <c r="F16668" t="s">
        <v>0</v>
      </c>
      <c r="G16668" t="str">
        <f>"2018-10-12 09:04:43"</f>
        <v>2018-10-12 09:04:43</v>
      </c>
    </row>
    <row r="16669" spans="1:7" x14ac:dyDescent="0.2">
      <c r="A16669" t="s">
        <v>1</v>
      </c>
      <c r="B16669" t="str">
        <f>"15967844469"</f>
        <v>15967844469</v>
      </c>
      <c r="C16669" t="s">
        <v>1</v>
      </c>
      <c r="D16669" t="s">
        <v>1</v>
      </c>
      <c r="E16669" t="s">
        <v>1</v>
      </c>
      <c r="F16669" t="s">
        <v>0</v>
      </c>
      <c r="G16669" t="str">
        <f>"2018-10-12 09:03:36"</f>
        <v>2018-10-12 09:03:36</v>
      </c>
    </row>
    <row r="16670" spans="1:7" x14ac:dyDescent="0.2">
      <c r="A16670" t="s">
        <v>15980</v>
      </c>
      <c r="B16670" t="str">
        <f>"13847545004"</f>
        <v>13847545004</v>
      </c>
      <c r="C16670" t="str">
        <f>"152327198403310036"</f>
        <v>152327198403310036</v>
      </c>
      <c r="D16670" t="s">
        <v>15981</v>
      </c>
      <c r="E16670" t="s">
        <v>15982</v>
      </c>
      <c r="F16670" t="s">
        <v>0</v>
      </c>
      <c r="G16670" t="str">
        <f>"2018-10-12 09:04:07"</f>
        <v>2018-10-12 09:04:07</v>
      </c>
    </row>
    <row r="16671" spans="1:7" x14ac:dyDescent="0.2">
      <c r="A16671" t="s">
        <v>15983</v>
      </c>
      <c r="B16671" t="str">
        <f>"13603027214"</f>
        <v>13603027214</v>
      </c>
      <c r="C16671" t="str">
        <f>"420682199710194011"</f>
        <v>420682199710194011</v>
      </c>
      <c r="D16671" t="s">
        <v>1</v>
      </c>
      <c r="E16671" t="s">
        <v>1</v>
      </c>
      <c r="F16671" t="s">
        <v>0</v>
      </c>
      <c r="G16671" t="str">
        <f>"2018-10-12 09:06:25"</f>
        <v>2018-10-12 09:06:25</v>
      </c>
    </row>
    <row r="16672" spans="1:7" x14ac:dyDescent="0.2">
      <c r="A16672" t="s">
        <v>15984</v>
      </c>
      <c r="B16672" t="str">
        <f>"15003503270"</f>
        <v>15003503270</v>
      </c>
      <c r="C16672" t="str">
        <f>"142231199311061249"</f>
        <v>142231199311061249</v>
      </c>
      <c r="D16672" t="s">
        <v>1</v>
      </c>
      <c r="E16672" t="s">
        <v>1</v>
      </c>
      <c r="F16672" t="s">
        <v>0</v>
      </c>
      <c r="G16672" t="str">
        <f>"2018-10-12 09:03:14"</f>
        <v>2018-10-12 09:03:14</v>
      </c>
    </row>
    <row r="16673" spans="1:7" x14ac:dyDescent="0.2">
      <c r="A16673" t="s">
        <v>15985</v>
      </c>
      <c r="B16673" t="str">
        <f>"18646162837"</f>
        <v>18646162837</v>
      </c>
      <c r="C16673" t="str">
        <f>"232302199102083017"</f>
        <v>232302199102083017</v>
      </c>
      <c r="D16673" t="s">
        <v>1</v>
      </c>
      <c r="E16673" t="s">
        <v>1</v>
      </c>
      <c r="F16673" t="s">
        <v>0</v>
      </c>
      <c r="G16673" t="str">
        <f>"2018-10-29 12:24:12"</f>
        <v>2018-10-29 12:24:12</v>
      </c>
    </row>
    <row r="16674" spans="1:7" x14ac:dyDescent="0.2">
      <c r="A16674" t="s">
        <v>1</v>
      </c>
      <c r="B16674" t="str">
        <f>"13175085387"</f>
        <v>13175085387</v>
      </c>
      <c r="C16674" t="s">
        <v>1</v>
      </c>
      <c r="D16674" t="s">
        <v>1</v>
      </c>
      <c r="E16674" t="s">
        <v>1</v>
      </c>
      <c r="F16674" t="s">
        <v>0</v>
      </c>
      <c r="G16674" t="str">
        <f>"2018-10-12 09:03:10"</f>
        <v>2018-10-12 09:03:10</v>
      </c>
    </row>
    <row r="16675" spans="1:7" x14ac:dyDescent="0.2">
      <c r="A16675" t="s">
        <v>15986</v>
      </c>
      <c r="B16675" t="str">
        <f>"13888065474"</f>
        <v>13888065474</v>
      </c>
      <c r="C16675" t="str">
        <f>"532124198808140013"</f>
        <v>532124198808140013</v>
      </c>
      <c r="D16675" t="s">
        <v>1</v>
      </c>
      <c r="E16675" t="s">
        <v>1</v>
      </c>
      <c r="F16675" t="s">
        <v>0</v>
      </c>
      <c r="G16675" t="str">
        <f>"2018-10-15 14:02:34"</f>
        <v>2018-10-15 14:02:34</v>
      </c>
    </row>
    <row r="16676" spans="1:7" x14ac:dyDescent="0.2">
      <c r="A16676" t="s">
        <v>1</v>
      </c>
      <c r="B16676" t="str">
        <f>"13961853767"</f>
        <v>13961853767</v>
      </c>
      <c r="C16676" t="s">
        <v>1</v>
      </c>
      <c r="D16676" t="s">
        <v>1</v>
      </c>
      <c r="E16676" t="s">
        <v>1</v>
      </c>
      <c r="F16676" t="s">
        <v>0</v>
      </c>
      <c r="G16676" t="str">
        <f>"2018-10-12 09:00:08"</f>
        <v>2018-10-12 09:00:08</v>
      </c>
    </row>
    <row r="16677" spans="1:7" x14ac:dyDescent="0.2">
      <c r="A16677" t="s">
        <v>1</v>
      </c>
      <c r="B16677" t="str">
        <f>"18752550533"</f>
        <v>18752550533</v>
      </c>
      <c r="C16677" t="s">
        <v>1</v>
      </c>
      <c r="D16677" t="s">
        <v>1</v>
      </c>
      <c r="E16677" t="s">
        <v>1</v>
      </c>
      <c r="F16677" t="s">
        <v>0</v>
      </c>
      <c r="G16677" t="str">
        <f>"2018-10-12 09:01:45"</f>
        <v>2018-10-12 09:01:45</v>
      </c>
    </row>
    <row r="16678" spans="1:7" x14ac:dyDescent="0.2">
      <c r="A16678" t="s">
        <v>15987</v>
      </c>
      <c r="B16678" t="str">
        <f>"13861040005"</f>
        <v>13861040005</v>
      </c>
      <c r="C16678" t="str">
        <f>"320483198402146015"</f>
        <v>320483198402146015</v>
      </c>
      <c r="D16678" t="s">
        <v>1</v>
      </c>
      <c r="E16678" t="s">
        <v>1</v>
      </c>
      <c r="F16678" t="s">
        <v>0</v>
      </c>
      <c r="G16678" t="str">
        <f>"2018-10-12 09:05:29"</f>
        <v>2018-10-12 09:05:29</v>
      </c>
    </row>
    <row r="16679" spans="1:7" x14ac:dyDescent="0.2">
      <c r="A16679" t="s">
        <v>15988</v>
      </c>
      <c r="B16679" t="str">
        <f>"17507691873"</f>
        <v>17507691873</v>
      </c>
      <c r="C16679" t="str">
        <f>"411424199001022414"</f>
        <v>411424199001022414</v>
      </c>
      <c r="D16679" t="s">
        <v>1</v>
      </c>
      <c r="E16679" t="s">
        <v>1</v>
      </c>
      <c r="F16679" t="s">
        <v>0</v>
      </c>
      <c r="G16679" t="str">
        <f>"2018-10-12 09:00:39"</f>
        <v>2018-10-12 09:00:39</v>
      </c>
    </row>
    <row r="16680" spans="1:7" x14ac:dyDescent="0.2">
      <c r="A16680" t="s">
        <v>15989</v>
      </c>
      <c r="B16680" t="str">
        <f>"13754010015"</f>
        <v>13754010015</v>
      </c>
      <c r="C16680" t="str">
        <f>"150102198409114618"</f>
        <v>150102198409114618</v>
      </c>
      <c r="D16680" t="s">
        <v>1</v>
      </c>
      <c r="E16680" t="s">
        <v>1</v>
      </c>
      <c r="F16680" t="s">
        <v>0</v>
      </c>
      <c r="G16680" t="str">
        <f>"2018-10-16 19:16:47"</f>
        <v>2018-10-16 19:16:47</v>
      </c>
    </row>
    <row r="16681" spans="1:7" x14ac:dyDescent="0.2">
      <c r="A16681" t="s">
        <v>15990</v>
      </c>
      <c r="B16681" t="str">
        <f>"18620027453"</f>
        <v>18620027453</v>
      </c>
      <c r="C16681" t="str">
        <f>"452628198312241219"</f>
        <v>452628198312241219</v>
      </c>
      <c r="D16681" t="s">
        <v>1</v>
      </c>
      <c r="E16681" t="s">
        <v>1</v>
      </c>
      <c r="F16681" t="s">
        <v>0</v>
      </c>
      <c r="G16681" t="str">
        <f>"2018-10-15 15:22:53"</f>
        <v>2018-10-15 15:22:53</v>
      </c>
    </row>
    <row r="16682" spans="1:7" x14ac:dyDescent="0.2">
      <c r="A16682" t="s">
        <v>15991</v>
      </c>
      <c r="B16682" t="str">
        <f>"18684300811"</f>
        <v>18684300811</v>
      </c>
      <c r="C16682" t="str">
        <f>"220322197603200579"</f>
        <v>220322197603200579</v>
      </c>
      <c r="D16682" t="s">
        <v>1</v>
      </c>
      <c r="E16682" t="s">
        <v>1</v>
      </c>
      <c r="F16682" t="s">
        <v>0</v>
      </c>
      <c r="G16682" t="str">
        <f>"2018-10-12 08:59:49"</f>
        <v>2018-10-12 08:59:49</v>
      </c>
    </row>
    <row r="16683" spans="1:7" x14ac:dyDescent="0.2">
      <c r="A16683" t="s">
        <v>1</v>
      </c>
      <c r="B16683" t="str">
        <f>"15757066865"</f>
        <v>15757066865</v>
      </c>
      <c r="C16683" t="s">
        <v>1</v>
      </c>
      <c r="D16683" t="s">
        <v>1</v>
      </c>
      <c r="E16683" t="s">
        <v>1</v>
      </c>
      <c r="F16683" t="s">
        <v>0</v>
      </c>
      <c r="G16683" t="str">
        <f>"2018-10-12 08:56:44"</f>
        <v>2018-10-12 08:56:44</v>
      </c>
    </row>
    <row r="16684" spans="1:7" x14ac:dyDescent="0.2">
      <c r="A16684" t="s">
        <v>15992</v>
      </c>
      <c r="B16684" t="str">
        <f>"13082525180"</f>
        <v>13082525180</v>
      </c>
      <c r="C16684" t="str">
        <f>"410823198609278311"</f>
        <v>410823198609278311</v>
      </c>
      <c r="D16684" t="s">
        <v>1</v>
      </c>
      <c r="E16684" t="s">
        <v>1</v>
      </c>
      <c r="F16684" t="s">
        <v>0</v>
      </c>
      <c r="G16684" t="str">
        <f>"2018-10-12 08:57:18"</f>
        <v>2018-10-12 08:57:18</v>
      </c>
    </row>
    <row r="16685" spans="1:7" x14ac:dyDescent="0.2">
      <c r="A16685" t="s">
        <v>1</v>
      </c>
      <c r="B16685" t="str">
        <f>"13066693556"</f>
        <v>13066693556</v>
      </c>
      <c r="C16685" t="s">
        <v>1</v>
      </c>
      <c r="D16685" t="s">
        <v>1</v>
      </c>
      <c r="E16685" t="s">
        <v>1</v>
      </c>
      <c r="F16685" t="s">
        <v>0</v>
      </c>
      <c r="G16685" t="str">
        <f>"2018-10-12 08:56:19"</f>
        <v>2018-10-12 08:56:19</v>
      </c>
    </row>
    <row r="16686" spans="1:7" x14ac:dyDescent="0.2">
      <c r="A16686" t="s">
        <v>1666</v>
      </c>
      <c r="B16686" t="str">
        <f>"18811921325"</f>
        <v>18811921325</v>
      </c>
      <c r="C16686" t="str">
        <f>"320324198908201370"</f>
        <v>320324198908201370</v>
      </c>
      <c r="D16686" t="s">
        <v>15993</v>
      </c>
      <c r="E16686" t="s">
        <v>15994</v>
      </c>
      <c r="F16686" t="s">
        <v>0</v>
      </c>
      <c r="G16686" t="str">
        <f>"2018-10-12 10:07:39"</f>
        <v>2018-10-12 10:07:39</v>
      </c>
    </row>
    <row r="16687" spans="1:7" x14ac:dyDescent="0.2">
      <c r="A16687" t="s">
        <v>210</v>
      </c>
      <c r="B16687" t="str">
        <f>"18584058956"</f>
        <v>18584058956</v>
      </c>
      <c r="C16687" t="str">
        <f>"511902199405142917"</f>
        <v>511902199405142917</v>
      </c>
      <c r="D16687" t="s">
        <v>1</v>
      </c>
      <c r="E16687" t="s">
        <v>1</v>
      </c>
      <c r="F16687" t="s">
        <v>0</v>
      </c>
      <c r="G16687" t="str">
        <f>"2018-10-12 08:57:06"</f>
        <v>2018-10-12 08:57:06</v>
      </c>
    </row>
    <row r="16688" spans="1:7" x14ac:dyDescent="0.2">
      <c r="A16688" t="s">
        <v>725</v>
      </c>
      <c r="B16688" t="str">
        <f>"18878877312"</f>
        <v>18878877312</v>
      </c>
      <c r="C16688" t="str">
        <f>"450121198909266917"</f>
        <v>450121198909266917</v>
      </c>
      <c r="D16688" t="s">
        <v>15995</v>
      </c>
      <c r="E16688" t="s">
        <v>15996</v>
      </c>
      <c r="F16688" t="s">
        <v>0</v>
      </c>
      <c r="G16688" t="str">
        <f>"2018-10-19 15:28:51"</f>
        <v>2018-10-19 15:28:51</v>
      </c>
    </row>
    <row r="16689" spans="1:7" x14ac:dyDescent="0.2">
      <c r="A16689" t="s">
        <v>1</v>
      </c>
      <c r="B16689" t="str">
        <f>"18659832151"</f>
        <v>18659832151</v>
      </c>
      <c r="C16689" t="s">
        <v>1</v>
      </c>
      <c r="D16689" t="s">
        <v>1</v>
      </c>
      <c r="E16689" t="s">
        <v>1</v>
      </c>
      <c r="F16689" t="s">
        <v>0</v>
      </c>
      <c r="G16689" t="str">
        <f>"2018-10-12 08:54:52"</f>
        <v>2018-10-12 08:54:52</v>
      </c>
    </row>
    <row r="16690" spans="1:7" x14ac:dyDescent="0.2">
      <c r="A16690" t="s">
        <v>1</v>
      </c>
      <c r="B16690" t="str">
        <f>"18647011061"</f>
        <v>18647011061</v>
      </c>
      <c r="C16690" t="s">
        <v>1</v>
      </c>
      <c r="D16690" t="s">
        <v>1</v>
      </c>
      <c r="E16690" t="s">
        <v>1</v>
      </c>
      <c r="F16690" t="s">
        <v>0</v>
      </c>
      <c r="G16690" t="str">
        <f>"2018-10-12 08:54:38"</f>
        <v>2018-10-12 08:54:38</v>
      </c>
    </row>
    <row r="16691" spans="1:7" x14ac:dyDescent="0.2">
      <c r="A16691" t="s">
        <v>15997</v>
      </c>
      <c r="B16691" t="str">
        <f>"18688279714"</f>
        <v>18688279714</v>
      </c>
      <c r="C16691" t="str">
        <f>"430424198312233137"</f>
        <v>430424198312233137</v>
      </c>
      <c r="D16691" t="s">
        <v>1</v>
      </c>
      <c r="E16691" t="s">
        <v>1</v>
      </c>
      <c r="F16691" t="s">
        <v>0</v>
      </c>
      <c r="G16691" t="str">
        <f>"2018-10-12 08:56:05"</f>
        <v>2018-10-12 08:56:05</v>
      </c>
    </row>
    <row r="16692" spans="1:7" x14ac:dyDescent="0.2">
      <c r="A16692" t="s">
        <v>1</v>
      </c>
      <c r="B16692" t="str">
        <f>"17688131934"</f>
        <v>17688131934</v>
      </c>
      <c r="C16692" t="s">
        <v>1</v>
      </c>
      <c r="D16692" t="s">
        <v>1</v>
      </c>
      <c r="E16692" t="s">
        <v>1</v>
      </c>
      <c r="F16692" t="s">
        <v>0</v>
      </c>
      <c r="G16692" t="str">
        <f>"2018-10-12 08:53:57"</f>
        <v>2018-10-12 08:53:57</v>
      </c>
    </row>
    <row r="16693" spans="1:7" x14ac:dyDescent="0.2">
      <c r="A16693" t="s">
        <v>1002</v>
      </c>
      <c r="B16693" t="str">
        <f>"18711108022"</f>
        <v>18711108022</v>
      </c>
      <c r="C16693" t="str">
        <f>"430124198511097768"</f>
        <v>430124198511097768</v>
      </c>
      <c r="D16693" t="s">
        <v>1</v>
      </c>
      <c r="E16693" t="s">
        <v>1</v>
      </c>
      <c r="F16693" t="s">
        <v>0</v>
      </c>
      <c r="G16693" t="str">
        <f>"2018-10-12 08:53:41"</f>
        <v>2018-10-12 08:53:41</v>
      </c>
    </row>
    <row r="16694" spans="1:7" x14ac:dyDescent="0.2">
      <c r="A16694" t="s">
        <v>15998</v>
      </c>
      <c r="B16694" t="str">
        <f>"15726892402"</f>
        <v>15726892402</v>
      </c>
      <c r="C16694" t="str">
        <f>"362330199801022963"</f>
        <v>362330199801022963</v>
      </c>
      <c r="D16694" t="s">
        <v>1</v>
      </c>
      <c r="E16694" t="s">
        <v>1</v>
      </c>
      <c r="F16694" t="s">
        <v>0</v>
      </c>
      <c r="G16694" t="str">
        <f>"2018-10-12 08:54:24"</f>
        <v>2018-10-12 08:54:24</v>
      </c>
    </row>
    <row r="16695" spans="1:7" x14ac:dyDescent="0.2">
      <c r="A16695" t="s">
        <v>1</v>
      </c>
      <c r="B16695" t="str">
        <f>"15625819831"</f>
        <v>15625819831</v>
      </c>
      <c r="C16695" t="s">
        <v>1</v>
      </c>
      <c r="D16695" t="s">
        <v>1</v>
      </c>
      <c r="E16695" t="s">
        <v>1</v>
      </c>
      <c r="F16695" t="s">
        <v>0</v>
      </c>
      <c r="G16695" t="str">
        <f>"2018-10-12 08:54:15"</f>
        <v>2018-10-12 08:54:15</v>
      </c>
    </row>
    <row r="16696" spans="1:7" x14ac:dyDescent="0.2">
      <c r="A16696" t="s">
        <v>15999</v>
      </c>
      <c r="B16696" t="str">
        <f>"18665375112"</f>
        <v>18665375112</v>
      </c>
      <c r="C16696" t="str">
        <f>"430922199008157650"</f>
        <v>430922199008157650</v>
      </c>
      <c r="D16696" t="s">
        <v>1</v>
      </c>
      <c r="E16696" t="s">
        <v>1</v>
      </c>
      <c r="F16696" t="s">
        <v>0</v>
      </c>
      <c r="G16696" t="str">
        <f>"2018-10-12 08:52:38"</f>
        <v>2018-10-12 08:52:38</v>
      </c>
    </row>
    <row r="16697" spans="1:7" x14ac:dyDescent="0.2">
      <c r="A16697" t="s">
        <v>16000</v>
      </c>
      <c r="B16697" t="str">
        <f>"13012311101"</f>
        <v>13012311101</v>
      </c>
      <c r="C16697" t="str">
        <f>"500238198409020010"</f>
        <v>500238198409020010</v>
      </c>
      <c r="D16697" t="s">
        <v>1</v>
      </c>
      <c r="E16697" t="s">
        <v>1</v>
      </c>
      <c r="F16697" t="s">
        <v>0</v>
      </c>
      <c r="G16697" t="str">
        <f>"2018-10-12 08:54:45"</f>
        <v>2018-10-12 08:54:45</v>
      </c>
    </row>
    <row r="16698" spans="1:7" x14ac:dyDescent="0.2">
      <c r="A16698" t="s">
        <v>16001</v>
      </c>
      <c r="B16698" t="str">
        <f>"15977671076"</f>
        <v>15977671076</v>
      </c>
      <c r="C16698" t="str">
        <f>"452701197908010324"</f>
        <v>452701197908010324</v>
      </c>
      <c r="D16698" t="s">
        <v>1</v>
      </c>
      <c r="E16698" t="s">
        <v>1</v>
      </c>
      <c r="F16698" t="s">
        <v>0</v>
      </c>
      <c r="G16698" t="str">
        <f>"2018-10-12 08:53:12"</f>
        <v>2018-10-12 08:53:12</v>
      </c>
    </row>
    <row r="16699" spans="1:7" x14ac:dyDescent="0.2">
      <c r="A16699" t="s">
        <v>16002</v>
      </c>
      <c r="B16699" t="str">
        <f>"18227659583"</f>
        <v>18227659583</v>
      </c>
      <c r="C16699" t="str">
        <f>"511923199505036662"</f>
        <v>511923199505036662</v>
      </c>
      <c r="D16699" t="s">
        <v>1</v>
      </c>
      <c r="E16699" t="s">
        <v>1</v>
      </c>
      <c r="F16699" t="s">
        <v>0</v>
      </c>
      <c r="G16699" t="str">
        <f>"2018-10-13 16:28:47"</f>
        <v>2018-10-13 16:28:47</v>
      </c>
    </row>
    <row r="16700" spans="1:7" x14ac:dyDescent="0.2">
      <c r="A16700" t="s">
        <v>16003</v>
      </c>
      <c r="B16700" t="str">
        <f>"13116230963"</f>
        <v>13116230963</v>
      </c>
      <c r="C16700" t="str">
        <f>"53011119631019007X"</f>
        <v>53011119631019007X</v>
      </c>
      <c r="D16700" t="s">
        <v>1</v>
      </c>
      <c r="E16700" t="s">
        <v>1</v>
      </c>
      <c r="F16700" t="s">
        <v>0</v>
      </c>
      <c r="G16700" t="str">
        <f>"2018-10-12 08:53:38"</f>
        <v>2018-10-12 08:53:38</v>
      </c>
    </row>
    <row r="16701" spans="1:7" x14ac:dyDescent="0.2">
      <c r="A16701" t="s">
        <v>1</v>
      </c>
      <c r="B16701" t="str">
        <f>"13211795579"</f>
        <v>13211795579</v>
      </c>
      <c r="C16701" t="s">
        <v>1</v>
      </c>
      <c r="D16701" t="s">
        <v>1</v>
      </c>
      <c r="E16701" t="s">
        <v>1</v>
      </c>
      <c r="F16701" t="s">
        <v>0</v>
      </c>
      <c r="G16701" t="str">
        <f>"2018-10-12 08:51:34"</f>
        <v>2018-10-12 08:51:34</v>
      </c>
    </row>
    <row r="16702" spans="1:7" x14ac:dyDescent="0.2">
      <c r="A16702" t="s">
        <v>16004</v>
      </c>
      <c r="B16702" t="str">
        <f>"18049680191"</f>
        <v>18049680191</v>
      </c>
      <c r="C16702" t="str">
        <f>"610524197404214026"</f>
        <v>610524197404214026</v>
      </c>
      <c r="D16702" t="s">
        <v>1</v>
      </c>
      <c r="E16702" t="s">
        <v>1</v>
      </c>
      <c r="F16702" t="s">
        <v>0</v>
      </c>
      <c r="G16702" t="str">
        <f>"2018-10-12 08:52:23"</f>
        <v>2018-10-12 08:52:23</v>
      </c>
    </row>
    <row r="16703" spans="1:7" x14ac:dyDescent="0.2">
      <c r="A16703" t="s">
        <v>1</v>
      </c>
      <c r="B16703" t="str">
        <f>"15355512127"</f>
        <v>15355512127</v>
      </c>
      <c r="C16703" t="s">
        <v>1</v>
      </c>
      <c r="D16703" t="s">
        <v>1</v>
      </c>
      <c r="E16703" t="s">
        <v>1</v>
      </c>
      <c r="F16703" t="s">
        <v>0</v>
      </c>
      <c r="G16703" t="str">
        <f>"2018-10-12 08:50:50"</f>
        <v>2018-10-12 08:50:50</v>
      </c>
    </row>
    <row r="16704" spans="1:7" x14ac:dyDescent="0.2">
      <c r="A16704" t="s">
        <v>1</v>
      </c>
      <c r="B16704" t="str">
        <f>"15515095142"</f>
        <v>15515095142</v>
      </c>
      <c r="C16704" t="s">
        <v>1</v>
      </c>
      <c r="D16704" t="s">
        <v>1</v>
      </c>
      <c r="E16704" t="s">
        <v>1</v>
      </c>
      <c r="F16704" t="s">
        <v>0</v>
      </c>
      <c r="G16704" t="str">
        <f>"2018-10-12 08:50:29"</f>
        <v>2018-10-12 08:50:29</v>
      </c>
    </row>
    <row r="16705" spans="1:7" x14ac:dyDescent="0.2">
      <c r="A16705" t="s">
        <v>1</v>
      </c>
      <c r="B16705" t="str">
        <f>"18569087444"</f>
        <v>18569087444</v>
      </c>
      <c r="C16705" t="s">
        <v>1</v>
      </c>
      <c r="D16705" t="s">
        <v>1</v>
      </c>
      <c r="E16705" t="s">
        <v>1</v>
      </c>
      <c r="F16705" t="s">
        <v>0</v>
      </c>
      <c r="G16705" t="str">
        <f>"2018-10-12 08:53:36"</f>
        <v>2018-10-12 08:53:36</v>
      </c>
    </row>
    <row r="16706" spans="1:7" x14ac:dyDescent="0.2">
      <c r="A16706" t="s">
        <v>1</v>
      </c>
      <c r="B16706" t="str">
        <f>"15265256090"</f>
        <v>15265256090</v>
      </c>
      <c r="C16706" t="s">
        <v>1</v>
      </c>
      <c r="D16706" t="s">
        <v>1</v>
      </c>
      <c r="E16706" t="s">
        <v>1</v>
      </c>
      <c r="F16706" t="s">
        <v>0</v>
      </c>
      <c r="G16706" t="str">
        <f>"2018-10-12 08:48:59"</f>
        <v>2018-10-12 08:48:59</v>
      </c>
    </row>
    <row r="16707" spans="1:7" x14ac:dyDescent="0.2">
      <c r="A16707" t="s">
        <v>385</v>
      </c>
      <c r="B16707" t="str">
        <f>"13951841705"</f>
        <v>13951841705</v>
      </c>
      <c r="C16707" t="str">
        <f>"320282199803282576"</f>
        <v>320282199803282576</v>
      </c>
      <c r="D16707" t="s">
        <v>16005</v>
      </c>
      <c r="E16707" t="s">
        <v>16006</v>
      </c>
      <c r="F16707" t="s">
        <v>0</v>
      </c>
      <c r="G16707" t="str">
        <f>"2018-10-12 08:50:17"</f>
        <v>2018-10-12 08:50:17</v>
      </c>
    </row>
    <row r="16708" spans="1:7" x14ac:dyDescent="0.2">
      <c r="A16708" t="s">
        <v>5</v>
      </c>
      <c r="B16708" t="str">
        <f>"13869904015"</f>
        <v>13869904015</v>
      </c>
      <c r="C16708" t="str">
        <f>"37130219900802001X"</f>
        <v>37130219900802001X</v>
      </c>
      <c r="D16708" t="s">
        <v>16007</v>
      </c>
      <c r="E16708" t="s">
        <v>16008</v>
      </c>
      <c r="F16708" t="s">
        <v>0</v>
      </c>
      <c r="G16708" t="str">
        <f>"2018-10-19 15:14:22"</f>
        <v>2018-10-19 15:14:22</v>
      </c>
    </row>
    <row r="16709" spans="1:7" x14ac:dyDescent="0.2">
      <c r="A16709" t="s">
        <v>1</v>
      </c>
      <c r="B16709" t="str">
        <f>"18642217880"</f>
        <v>18642217880</v>
      </c>
      <c r="C16709" t="s">
        <v>1</v>
      </c>
      <c r="D16709" t="s">
        <v>1</v>
      </c>
      <c r="E16709" t="s">
        <v>1</v>
      </c>
      <c r="F16709" t="s">
        <v>0</v>
      </c>
      <c r="G16709" t="str">
        <f>"2018-10-12 08:47:57"</f>
        <v>2018-10-12 08:47:57</v>
      </c>
    </row>
    <row r="16710" spans="1:7" x14ac:dyDescent="0.2">
      <c r="A16710" t="s">
        <v>16009</v>
      </c>
      <c r="B16710" t="str">
        <f>"13188498823"</f>
        <v>13188498823</v>
      </c>
      <c r="C16710" t="str">
        <f>"211021199206012211"</f>
        <v>211021199206012211</v>
      </c>
      <c r="D16710" t="s">
        <v>1</v>
      </c>
      <c r="E16710" t="s">
        <v>1</v>
      </c>
      <c r="F16710" t="s">
        <v>0</v>
      </c>
      <c r="G16710" t="str">
        <f>"2018-10-12 08:48:58"</f>
        <v>2018-10-12 08:48:58</v>
      </c>
    </row>
    <row r="16711" spans="1:7" x14ac:dyDescent="0.2">
      <c r="A16711" t="s">
        <v>1</v>
      </c>
      <c r="B16711" t="str">
        <f>"13279968077"</f>
        <v>13279968077</v>
      </c>
      <c r="C16711" t="s">
        <v>1</v>
      </c>
      <c r="D16711" t="s">
        <v>1</v>
      </c>
      <c r="E16711" t="s">
        <v>1</v>
      </c>
      <c r="F16711" t="s">
        <v>0</v>
      </c>
      <c r="G16711" t="str">
        <f>"2018-10-12 08:47:04"</f>
        <v>2018-10-12 08:47:04</v>
      </c>
    </row>
    <row r="16712" spans="1:7" x14ac:dyDescent="0.2">
      <c r="A16712" t="s">
        <v>1</v>
      </c>
      <c r="B16712" t="str">
        <f>"13850357426"</f>
        <v>13850357426</v>
      </c>
      <c r="C16712" t="s">
        <v>1</v>
      </c>
      <c r="D16712" t="s">
        <v>1</v>
      </c>
      <c r="E16712" t="s">
        <v>1</v>
      </c>
      <c r="F16712" t="s">
        <v>0</v>
      </c>
      <c r="G16712" t="str">
        <f>"2018-10-12 08:49:24"</f>
        <v>2018-10-12 08:49:24</v>
      </c>
    </row>
    <row r="16713" spans="1:7" x14ac:dyDescent="0.2">
      <c r="A16713" t="s">
        <v>16010</v>
      </c>
      <c r="B16713" t="str">
        <f>"18681669190"</f>
        <v>18681669190</v>
      </c>
      <c r="C16713" t="str">
        <f>"510703198112179644"</f>
        <v>510703198112179644</v>
      </c>
      <c r="D16713" t="s">
        <v>1</v>
      </c>
      <c r="E16713" t="s">
        <v>1</v>
      </c>
      <c r="F16713" t="s">
        <v>0</v>
      </c>
      <c r="G16713" t="str">
        <f>"2018-10-16 04:18:21"</f>
        <v>2018-10-16 04:18:21</v>
      </c>
    </row>
    <row r="16714" spans="1:7" x14ac:dyDescent="0.2">
      <c r="A16714" t="s">
        <v>16011</v>
      </c>
      <c r="B16714" t="str">
        <f>"15614652571"</f>
        <v>15614652571</v>
      </c>
      <c r="C16714" t="str">
        <f>"370181198711283013"</f>
        <v>370181198711283013</v>
      </c>
      <c r="D16714" t="s">
        <v>16012</v>
      </c>
      <c r="E16714" t="s">
        <v>16013</v>
      </c>
      <c r="F16714" t="s">
        <v>0</v>
      </c>
      <c r="G16714" t="str">
        <f>"2018-10-12 08:48:07"</f>
        <v>2018-10-12 08:48:07</v>
      </c>
    </row>
    <row r="16715" spans="1:7" x14ac:dyDescent="0.2">
      <c r="A16715" t="s">
        <v>1</v>
      </c>
      <c r="B16715" t="str">
        <f>"18367207822"</f>
        <v>18367207822</v>
      </c>
      <c r="C16715" t="s">
        <v>1</v>
      </c>
      <c r="D16715" t="s">
        <v>1</v>
      </c>
      <c r="E16715" t="s">
        <v>1</v>
      </c>
      <c r="F16715" t="s">
        <v>0</v>
      </c>
      <c r="G16715" t="str">
        <f>"2018-10-12 08:45:53"</f>
        <v>2018-10-12 08:45:53</v>
      </c>
    </row>
    <row r="16716" spans="1:7" x14ac:dyDescent="0.2">
      <c r="A16716" t="s">
        <v>1</v>
      </c>
      <c r="B16716" t="str">
        <f>"13458106846"</f>
        <v>13458106846</v>
      </c>
      <c r="C16716" t="s">
        <v>1</v>
      </c>
      <c r="D16716" t="s">
        <v>1</v>
      </c>
      <c r="E16716" t="s">
        <v>1</v>
      </c>
      <c r="F16716" t="s">
        <v>0</v>
      </c>
      <c r="G16716" t="str">
        <f>"2018-10-12 08:47:39"</f>
        <v>2018-10-12 08:47:39</v>
      </c>
    </row>
    <row r="16717" spans="1:7" x14ac:dyDescent="0.2">
      <c r="A16717" t="s">
        <v>16014</v>
      </c>
      <c r="B16717" t="str">
        <f>"15102022096"</f>
        <v>15102022096</v>
      </c>
      <c r="C16717" t="str">
        <f>"421023198206085717"</f>
        <v>421023198206085717</v>
      </c>
      <c r="D16717" t="s">
        <v>1</v>
      </c>
      <c r="E16717" t="s">
        <v>1</v>
      </c>
      <c r="F16717" t="s">
        <v>0</v>
      </c>
      <c r="G16717" t="str">
        <f>"2018-10-12 08:55:33"</f>
        <v>2018-10-12 08:55:33</v>
      </c>
    </row>
    <row r="16718" spans="1:7" x14ac:dyDescent="0.2">
      <c r="A16718" t="s">
        <v>16015</v>
      </c>
      <c r="B16718" t="str">
        <f>"15207064806"</f>
        <v>15207064806</v>
      </c>
      <c r="C16718" t="str">
        <f>"362421198411288613"</f>
        <v>362421198411288613</v>
      </c>
      <c r="D16718" t="s">
        <v>16016</v>
      </c>
      <c r="E16718" t="s">
        <v>16017</v>
      </c>
      <c r="F16718" t="s">
        <v>0</v>
      </c>
      <c r="G16718" t="str">
        <f>"2018-10-12 10:32:36"</f>
        <v>2018-10-12 10:32:36</v>
      </c>
    </row>
    <row r="16719" spans="1:7" x14ac:dyDescent="0.2">
      <c r="A16719" t="s">
        <v>1476</v>
      </c>
      <c r="B16719" t="str">
        <f>"18876612043"</f>
        <v>18876612043</v>
      </c>
      <c r="C16719" t="str">
        <f>"460004197605040463"</f>
        <v>460004197605040463</v>
      </c>
      <c r="D16719" t="s">
        <v>1</v>
      </c>
      <c r="E16719" t="s">
        <v>1</v>
      </c>
      <c r="F16719" t="s">
        <v>0</v>
      </c>
      <c r="G16719" t="str">
        <f>"2018-10-12 08:47:23"</f>
        <v>2018-10-12 08:47:23</v>
      </c>
    </row>
    <row r="16720" spans="1:7" x14ac:dyDescent="0.2">
      <c r="A16720" t="s">
        <v>1</v>
      </c>
      <c r="B16720" t="str">
        <f>"18299945019"</f>
        <v>18299945019</v>
      </c>
      <c r="C16720" t="s">
        <v>1</v>
      </c>
      <c r="D16720" t="s">
        <v>1</v>
      </c>
      <c r="E16720" t="s">
        <v>1</v>
      </c>
      <c r="F16720" t="s">
        <v>0</v>
      </c>
      <c r="G16720" t="str">
        <f>"2018-10-12 08:55:53"</f>
        <v>2018-10-12 08:55:53</v>
      </c>
    </row>
    <row r="16721" spans="1:7" x14ac:dyDescent="0.2">
      <c r="A16721" t="s">
        <v>16018</v>
      </c>
      <c r="B16721" t="str">
        <f>"13212397594"</f>
        <v>13212397594</v>
      </c>
      <c r="C16721" t="str">
        <f>"51102319970124841X"</f>
        <v>51102319970124841X</v>
      </c>
      <c r="D16721" t="s">
        <v>1</v>
      </c>
      <c r="E16721" t="s">
        <v>1</v>
      </c>
      <c r="F16721" t="s">
        <v>0</v>
      </c>
      <c r="G16721" t="str">
        <f>"2018-10-12 08:46:11"</f>
        <v>2018-10-12 08:46:11</v>
      </c>
    </row>
    <row r="16722" spans="1:7" x14ac:dyDescent="0.2">
      <c r="A16722" t="s">
        <v>1</v>
      </c>
      <c r="B16722" t="str">
        <f>"15612909805"</f>
        <v>15612909805</v>
      </c>
      <c r="C16722" t="s">
        <v>1</v>
      </c>
      <c r="D16722" t="s">
        <v>1</v>
      </c>
      <c r="E16722" t="s">
        <v>1</v>
      </c>
      <c r="F16722" t="s">
        <v>0</v>
      </c>
      <c r="G16722" t="str">
        <f>"2018-10-12 08:44:08"</f>
        <v>2018-10-12 08:44:08</v>
      </c>
    </row>
    <row r="16723" spans="1:7" x14ac:dyDescent="0.2">
      <c r="A16723" t="s">
        <v>1</v>
      </c>
      <c r="B16723" t="str">
        <f>"15589840360"</f>
        <v>15589840360</v>
      </c>
      <c r="C16723" t="s">
        <v>1</v>
      </c>
      <c r="D16723" t="s">
        <v>1</v>
      </c>
      <c r="E16723" t="s">
        <v>1</v>
      </c>
      <c r="F16723" t="s">
        <v>0</v>
      </c>
      <c r="G16723" t="str">
        <f>"2018-10-12 08:43:47"</f>
        <v>2018-10-12 08:43:47</v>
      </c>
    </row>
    <row r="16724" spans="1:7" x14ac:dyDescent="0.2">
      <c r="A16724" t="s">
        <v>1</v>
      </c>
      <c r="B16724" t="str">
        <f>"13976555234"</f>
        <v>13976555234</v>
      </c>
      <c r="C16724" t="s">
        <v>1</v>
      </c>
      <c r="D16724" t="s">
        <v>1</v>
      </c>
      <c r="E16724" t="s">
        <v>1</v>
      </c>
      <c r="F16724" t="s">
        <v>0</v>
      </c>
      <c r="G16724" t="str">
        <f>"2018-10-12 08:43:35"</f>
        <v>2018-10-12 08:43:35</v>
      </c>
    </row>
    <row r="16725" spans="1:7" x14ac:dyDescent="0.2">
      <c r="A16725" t="s">
        <v>16019</v>
      </c>
      <c r="B16725" t="str">
        <f>"15974103337"</f>
        <v>15974103337</v>
      </c>
      <c r="C16725" t="str">
        <f>"430122198803057861"</f>
        <v>430122198803057861</v>
      </c>
      <c r="D16725" t="s">
        <v>16020</v>
      </c>
      <c r="E16725" t="s">
        <v>16021</v>
      </c>
      <c r="F16725" t="s">
        <v>0</v>
      </c>
      <c r="G16725" t="str">
        <f>"2018-10-12 08:43:20"</f>
        <v>2018-10-12 08:43:20</v>
      </c>
    </row>
    <row r="16726" spans="1:7" x14ac:dyDescent="0.2">
      <c r="A16726" t="s">
        <v>1</v>
      </c>
      <c r="B16726" t="str">
        <f>"15588114119"</f>
        <v>15588114119</v>
      </c>
      <c r="C16726" t="s">
        <v>1</v>
      </c>
      <c r="D16726" t="s">
        <v>1</v>
      </c>
      <c r="E16726" t="s">
        <v>1</v>
      </c>
      <c r="F16726" t="s">
        <v>0</v>
      </c>
      <c r="G16726" t="str">
        <f>"2018-10-12 08:43:20"</f>
        <v>2018-10-12 08:43:20</v>
      </c>
    </row>
    <row r="16727" spans="1:7" x14ac:dyDescent="0.2">
      <c r="A16727" t="s">
        <v>1449</v>
      </c>
      <c r="B16727" t="str">
        <f>"13635561219"</f>
        <v>13635561219</v>
      </c>
      <c r="C16727" t="str">
        <f>"340825199501280814"</f>
        <v>340825199501280814</v>
      </c>
      <c r="D16727" t="s">
        <v>1</v>
      </c>
      <c r="E16727" t="s">
        <v>1</v>
      </c>
      <c r="F16727" t="s">
        <v>0</v>
      </c>
      <c r="G16727" t="str">
        <f>"2018-10-12 08:43:08"</f>
        <v>2018-10-12 08:43:08</v>
      </c>
    </row>
    <row r="16728" spans="1:7" x14ac:dyDescent="0.2">
      <c r="A16728" t="s">
        <v>16022</v>
      </c>
      <c r="B16728" t="str">
        <f>"15283168573"</f>
        <v>15283168573</v>
      </c>
      <c r="C16728" t="str">
        <f>"511521199612227814"</f>
        <v>511521199612227814</v>
      </c>
      <c r="D16728" t="s">
        <v>1</v>
      </c>
      <c r="E16728" t="s">
        <v>1</v>
      </c>
      <c r="F16728" t="s">
        <v>0</v>
      </c>
      <c r="G16728" t="str">
        <f>"2018-10-12 08:45:58"</f>
        <v>2018-10-12 08:45:58</v>
      </c>
    </row>
    <row r="16729" spans="1:7" x14ac:dyDescent="0.2">
      <c r="A16729" t="s">
        <v>16023</v>
      </c>
      <c r="B16729" t="str">
        <f>"15618073353"</f>
        <v>15618073353</v>
      </c>
      <c r="C16729" t="str">
        <f>"370481199312103514"</f>
        <v>370481199312103514</v>
      </c>
      <c r="D16729" t="s">
        <v>1</v>
      </c>
      <c r="E16729" t="s">
        <v>1</v>
      </c>
      <c r="F16729" t="s">
        <v>0</v>
      </c>
      <c r="G16729" t="str">
        <f>"2018-10-12 08:44:21"</f>
        <v>2018-10-12 08:44:21</v>
      </c>
    </row>
    <row r="16730" spans="1:7" x14ac:dyDescent="0.2">
      <c r="A16730" t="s">
        <v>1</v>
      </c>
      <c r="B16730" t="str">
        <f>"13184588003"</f>
        <v>13184588003</v>
      </c>
      <c r="C16730" t="s">
        <v>1</v>
      </c>
      <c r="D16730" t="s">
        <v>1</v>
      </c>
      <c r="E16730" t="s">
        <v>1</v>
      </c>
      <c r="F16730" t="s">
        <v>0</v>
      </c>
      <c r="G16730" t="str">
        <f>"2018-10-12 08:43:50"</f>
        <v>2018-10-12 08:43:50</v>
      </c>
    </row>
    <row r="16731" spans="1:7" x14ac:dyDescent="0.2">
      <c r="A16731" t="s">
        <v>1</v>
      </c>
      <c r="B16731" t="str">
        <f>"13738227817"</f>
        <v>13738227817</v>
      </c>
      <c r="C16731" t="s">
        <v>1</v>
      </c>
      <c r="D16731" t="s">
        <v>1</v>
      </c>
      <c r="E16731" t="s">
        <v>1</v>
      </c>
      <c r="F16731" t="s">
        <v>0</v>
      </c>
      <c r="G16731" t="str">
        <f>"2018-10-12 08:41:47"</f>
        <v>2018-10-12 08:41:47</v>
      </c>
    </row>
    <row r="16732" spans="1:7" x14ac:dyDescent="0.2">
      <c r="A16732" t="s">
        <v>16024</v>
      </c>
      <c r="B16732" t="str">
        <f>"18305988773"</f>
        <v>18305988773</v>
      </c>
      <c r="C16732" t="str">
        <f>"350426199006020018"</f>
        <v>350426199006020018</v>
      </c>
      <c r="D16732" t="s">
        <v>1</v>
      </c>
      <c r="E16732" t="s">
        <v>1</v>
      </c>
      <c r="F16732" t="s">
        <v>0</v>
      </c>
      <c r="G16732" t="str">
        <f>"2018-10-12 08:48:44"</f>
        <v>2018-10-12 08:48:44</v>
      </c>
    </row>
    <row r="16733" spans="1:7" x14ac:dyDescent="0.2">
      <c r="A16733" t="s">
        <v>1</v>
      </c>
      <c r="B16733" t="str">
        <f>"18857416226"</f>
        <v>18857416226</v>
      </c>
      <c r="C16733" t="s">
        <v>1</v>
      </c>
      <c r="D16733" t="s">
        <v>1</v>
      </c>
      <c r="E16733" t="s">
        <v>1</v>
      </c>
      <c r="F16733" t="s">
        <v>0</v>
      </c>
      <c r="G16733" t="str">
        <f>"2018-10-12 08:43:17"</f>
        <v>2018-10-12 08:43:17</v>
      </c>
    </row>
    <row r="16734" spans="1:7" x14ac:dyDescent="0.2">
      <c r="A16734" t="s">
        <v>1</v>
      </c>
      <c r="B16734" t="str">
        <f>"18220376227"</f>
        <v>18220376227</v>
      </c>
      <c r="C16734" t="s">
        <v>1</v>
      </c>
      <c r="D16734" t="s">
        <v>1</v>
      </c>
      <c r="E16734" t="s">
        <v>1</v>
      </c>
      <c r="F16734" t="s">
        <v>0</v>
      </c>
      <c r="G16734" t="str">
        <f>"2018-10-12 08:41:17"</f>
        <v>2018-10-12 08:41:17</v>
      </c>
    </row>
    <row r="16735" spans="1:7" x14ac:dyDescent="0.2">
      <c r="A16735" t="s">
        <v>10419</v>
      </c>
      <c r="B16735" t="str">
        <f>"13753882885"</f>
        <v>13753882885</v>
      </c>
      <c r="C16735" t="str">
        <f>"411522198803023038"</f>
        <v>411522198803023038</v>
      </c>
      <c r="D16735" t="s">
        <v>16025</v>
      </c>
      <c r="E16735" t="s">
        <v>16026</v>
      </c>
      <c r="F16735" t="s">
        <v>0</v>
      </c>
      <c r="G16735" t="str">
        <f>"2018-10-12 10:59:13"</f>
        <v>2018-10-12 10:59:13</v>
      </c>
    </row>
    <row r="16736" spans="1:7" x14ac:dyDescent="0.2">
      <c r="A16736" t="s">
        <v>1</v>
      </c>
      <c r="B16736" t="str">
        <f>"13982677131"</f>
        <v>13982677131</v>
      </c>
      <c r="C16736" t="s">
        <v>1</v>
      </c>
      <c r="D16736" t="s">
        <v>1</v>
      </c>
      <c r="E16736" t="s">
        <v>1</v>
      </c>
      <c r="F16736" t="s">
        <v>0</v>
      </c>
      <c r="G16736" t="str">
        <f>"2018-10-12 08:41:09"</f>
        <v>2018-10-12 08:41:09</v>
      </c>
    </row>
    <row r="16737" spans="1:7" x14ac:dyDescent="0.2">
      <c r="A16737" t="s">
        <v>16027</v>
      </c>
      <c r="B16737" t="str">
        <f>"18677064928"</f>
        <v>18677064928</v>
      </c>
      <c r="C16737" t="str">
        <f>"431121199409045212"</f>
        <v>431121199409045212</v>
      </c>
      <c r="D16737" t="s">
        <v>1</v>
      </c>
      <c r="E16737" t="s">
        <v>1</v>
      </c>
      <c r="F16737" t="s">
        <v>0</v>
      </c>
      <c r="G16737" t="str">
        <f>"2018-10-12 08:42:43"</f>
        <v>2018-10-12 08:42:43</v>
      </c>
    </row>
    <row r="16738" spans="1:7" x14ac:dyDescent="0.2">
      <c r="A16738" t="s">
        <v>1</v>
      </c>
      <c r="B16738" t="str">
        <f>"18107015358"</f>
        <v>18107015358</v>
      </c>
      <c r="C16738" t="s">
        <v>1</v>
      </c>
      <c r="D16738" t="s">
        <v>1</v>
      </c>
      <c r="E16738" t="s">
        <v>1</v>
      </c>
      <c r="F16738" t="s">
        <v>0</v>
      </c>
      <c r="G16738" t="str">
        <f>"2018-10-12 08:40:46"</f>
        <v>2018-10-12 08:40:46</v>
      </c>
    </row>
    <row r="16739" spans="1:7" x14ac:dyDescent="0.2">
      <c r="A16739" t="s">
        <v>1</v>
      </c>
      <c r="B16739" t="str">
        <f>"18298956662"</f>
        <v>18298956662</v>
      </c>
      <c r="C16739" t="s">
        <v>1</v>
      </c>
      <c r="D16739" t="s">
        <v>1</v>
      </c>
      <c r="E16739" t="s">
        <v>1</v>
      </c>
      <c r="F16739" t="s">
        <v>0</v>
      </c>
      <c r="G16739" t="str">
        <f>"2018-10-12 08:42:53"</f>
        <v>2018-10-12 08:42:53</v>
      </c>
    </row>
    <row r="16740" spans="1:7" x14ac:dyDescent="0.2">
      <c r="A16740" t="s">
        <v>1</v>
      </c>
      <c r="B16740" t="str">
        <f>"13375269830"</f>
        <v>13375269830</v>
      </c>
      <c r="C16740" t="s">
        <v>1</v>
      </c>
      <c r="D16740" t="s">
        <v>1</v>
      </c>
      <c r="E16740" t="s">
        <v>1</v>
      </c>
      <c r="F16740" t="s">
        <v>0</v>
      </c>
      <c r="G16740" t="str">
        <f>"2018-10-12 08:39:58"</f>
        <v>2018-10-12 08:39:58</v>
      </c>
    </row>
    <row r="16741" spans="1:7" x14ac:dyDescent="0.2">
      <c r="A16741" t="s">
        <v>16028</v>
      </c>
      <c r="B16741" t="str">
        <f>"13988865842"</f>
        <v>13988865842</v>
      </c>
      <c r="C16741" t="str">
        <f>"533224198905182713"</f>
        <v>533224198905182713</v>
      </c>
      <c r="D16741" t="s">
        <v>1</v>
      </c>
      <c r="E16741" t="s">
        <v>1</v>
      </c>
      <c r="F16741" t="s">
        <v>0</v>
      </c>
      <c r="G16741" t="str">
        <f>"2018-10-12 08:43:22"</f>
        <v>2018-10-12 08:43:22</v>
      </c>
    </row>
    <row r="16742" spans="1:7" x14ac:dyDescent="0.2">
      <c r="A16742" t="s">
        <v>1</v>
      </c>
      <c r="B16742" t="str">
        <f>"15085667488"</f>
        <v>15085667488</v>
      </c>
      <c r="C16742" t="s">
        <v>1</v>
      </c>
      <c r="D16742" t="s">
        <v>1</v>
      </c>
      <c r="E16742" t="s">
        <v>1</v>
      </c>
      <c r="F16742" t="s">
        <v>0</v>
      </c>
      <c r="G16742" t="str">
        <f>"2018-10-12 08:39:27"</f>
        <v>2018-10-12 08:39:27</v>
      </c>
    </row>
    <row r="16743" spans="1:7" x14ac:dyDescent="0.2">
      <c r="A16743" t="s">
        <v>1</v>
      </c>
      <c r="B16743" t="str">
        <f>"15853763840"</f>
        <v>15853763840</v>
      </c>
      <c r="C16743" t="s">
        <v>1</v>
      </c>
      <c r="D16743" t="s">
        <v>1</v>
      </c>
      <c r="E16743" t="s">
        <v>1</v>
      </c>
      <c r="F16743" t="s">
        <v>0</v>
      </c>
      <c r="G16743" t="str">
        <f>"2018-10-12 08:38:53"</f>
        <v>2018-10-12 08:38:53</v>
      </c>
    </row>
    <row r="16744" spans="1:7" x14ac:dyDescent="0.2">
      <c r="A16744" t="s">
        <v>1</v>
      </c>
      <c r="B16744" t="str">
        <f>"13861362896"</f>
        <v>13861362896</v>
      </c>
      <c r="C16744" t="s">
        <v>1</v>
      </c>
      <c r="D16744" t="s">
        <v>1</v>
      </c>
      <c r="E16744" t="s">
        <v>1</v>
      </c>
      <c r="F16744" t="s">
        <v>0</v>
      </c>
      <c r="G16744" t="str">
        <f>"2018-10-12 08:38:23"</f>
        <v>2018-10-12 08:38:23</v>
      </c>
    </row>
    <row r="16745" spans="1:7" x14ac:dyDescent="0.2">
      <c r="A16745" t="s">
        <v>16029</v>
      </c>
      <c r="B16745" t="str">
        <f>"13971171623"</f>
        <v>13971171623</v>
      </c>
      <c r="C16745" t="str">
        <f>"420115198708232814"</f>
        <v>420115198708232814</v>
      </c>
      <c r="D16745" t="s">
        <v>1</v>
      </c>
      <c r="E16745" t="s">
        <v>1</v>
      </c>
      <c r="F16745" t="s">
        <v>0</v>
      </c>
      <c r="G16745" t="str">
        <f>"2018-10-12 08:39:47"</f>
        <v>2018-10-12 08:39:47</v>
      </c>
    </row>
    <row r="16746" spans="1:7" x14ac:dyDescent="0.2">
      <c r="A16746" t="s">
        <v>1</v>
      </c>
      <c r="B16746" t="str">
        <f>"15960903031"</f>
        <v>15960903031</v>
      </c>
      <c r="C16746" t="s">
        <v>1</v>
      </c>
      <c r="D16746" t="s">
        <v>1</v>
      </c>
      <c r="E16746" t="s">
        <v>1</v>
      </c>
      <c r="F16746" t="s">
        <v>0</v>
      </c>
      <c r="G16746" t="str">
        <f>"2018-10-12 08:38:22"</f>
        <v>2018-10-12 08:38:22</v>
      </c>
    </row>
    <row r="16747" spans="1:7" x14ac:dyDescent="0.2">
      <c r="A16747" t="s">
        <v>16030</v>
      </c>
      <c r="B16747" t="str">
        <f>"15260321036"</f>
        <v>15260321036</v>
      </c>
      <c r="C16747" t="str">
        <f>"340621199406091218"</f>
        <v>340621199406091218</v>
      </c>
      <c r="D16747" t="s">
        <v>1</v>
      </c>
      <c r="E16747" t="s">
        <v>1</v>
      </c>
      <c r="F16747" t="s">
        <v>0</v>
      </c>
      <c r="G16747" t="str">
        <f>"2018-10-12 08:43:12"</f>
        <v>2018-10-12 08:43:12</v>
      </c>
    </row>
    <row r="16748" spans="1:7" x14ac:dyDescent="0.2">
      <c r="A16748" t="s">
        <v>1</v>
      </c>
      <c r="B16748" t="str">
        <f>"14792858051"</f>
        <v>14792858051</v>
      </c>
      <c r="C16748" t="s">
        <v>1</v>
      </c>
      <c r="D16748" t="s">
        <v>1</v>
      </c>
      <c r="E16748" t="s">
        <v>1</v>
      </c>
      <c r="F16748" t="s">
        <v>0</v>
      </c>
      <c r="G16748" t="str">
        <f>"2018-10-12 08:38:10"</f>
        <v>2018-10-12 08:38:10</v>
      </c>
    </row>
    <row r="16749" spans="1:7" x14ac:dyDescent="0.2">
      <c r="A16749" t="s">
        <v>128</v>
      </c>
      <c r="B16749" t="str">
        <f>"15043452888"</f>
        <v>15043452888</v>
      </c>
      <c r="C16749" t="str">
        <f>"22038219870715271X"</f>
        <v>22038219870715271X</v>
      </c>
      <c r="D16749" t="s">
        <v>1</v>
      </c>
      <c r="E16749" t="s">
        <v>1</v>
      </c>
      <c r="F16749" t="s">
        <v>0</v>
      </c>
      <c r="G16749" t="str">
        <f>"2018-10-12 08:39:37"</f>
        <v>2018-10-12 08:39:37</v>
      </c>
    </row>
    <row r="16750" spans="1:7" x14ac:dyDescent="0.2">
      <c r="A16750" t="s">
        <v>1</v>
      </c>
      <c r="B16750" t="str">
        <f>"15266149088"</f>
        <v>15266149088</v>
      </c>
      <c r="C16750" t="s">
        <v>1</v>
      </c>
      <c r="D16750" t="s">
        <v>1</v>
      </c>
      <c r="E16750" t="s">
        <v>1</v>
      </c>
      <c r="F16750" t="s">
        <v>0</v>
      </c>
      <c r="G16750" t="str">
        <f>"2018-10-12 08:38:00"</f>
        <v>2018-10-12 08:38:00</v>
      </c>
    </row>
    <row r="16751" spans="1:7" x14ac:dyDescent="0.2">
      <c r="A16751" t="s">
        <v>16031</v>
      </c>
      <c r="B16751" t="str">
        <f>"13859954706"</f>
        <v>13859954706</v>
      </c>
      <c r="C16751" t="str">
        <f>"350204198608063046"</f>
        <v>350204198608063046</v>
      </c>
      <c r="D16751" t="s">
        <v>1</v>
      </c>
      <c r="E16751" t="s">
        <v>1</v>
      </c>
      <c r="F16751" t="s">
        <v>0</v>
      </c>
      <c r="G16751" t="str">
        <f>"2018-10-12 08:39:45"</f>
        <v>2018-10-12 08:39:45</v>
      </c>
    </row>
    <row r="16752" spans="1:7" x14ac:dyDescent="0.2">
      <c r="A16752" t="s">
        <v>1</v>
      </c>
      <c r="B16752" t="str">
        <f>"18785045746"</f>
        <v>18785045746</v>
      </c>
      <c r="C16752" t="s">
        <v>1</v>
      </c>
      <c r="D16752" t="s">
        <v>1</v>
      </c>
      <c r="E16752" t="s">
        <v>1</v>
      </c>
      <c r="F16752" t="s">
        <v>0</v>
      </c>
      <c r="G16752" t="str">
        <f>"2018-10-12 08:37:52"</f>
        <v>2018-10-12 08:37:52</v>
      </c>
    </row>
    <row r="16753" spans="1:7" x14ac:dyDescent="0.2">
      <c r="A16753" t="s">
        <v>1</v>
      </c>
      <c r="B16753" t="str">
        <f>"13857671774"</f>
        <v>13857671774</v>
      </c>
      <c r="C16753" t="s">
        <v>1</v>
      </c>
      <c r="D16753" t="s">
        <v>1</v>
      </c>
      <c r="E16753" t="s">
        <v>1</v>
      </c>
      <c r="F16753" t="s">
        <v>0</v>
      </c>
      <c r="G16753" t="str">
        <f>"2018-10-12 08:38:48"</f>
        <v>2018-10-12 08:38:48</v>
      </c>
    </row>
    <row r="16754" spans="1:7" x14ac:dyDescent="0.2">
      <c r="A16754" t="s">
        <v>16032</v>
      </c>
      <c r="B16754" t="str">
        <f>"18792476887"</f>
        <v>18792476887</v>
      </c>
      <c r="C16754" t="str">
        <f>"610122197803126117"</f>
        <v>610122197803126117</v>
      </c>
      <c r="D16754" t="s">
        <v>16033</v>
      </c>
      <c r="E16754" t="s">
        <v>16034</v>
      </c>
      <c r="F16754" t="s">
        <v>0</v>
      </c>
      <c r="G16754" t="str">
        <f>"2018-10-12 08:38:12"</f>
        <v>2018-10-12 08:38:12</v>
      </c>
    </row>
    <row r="16755" spans="1:7" x14ac:dyDescent="0.2">
      <c r="A16755" t="s">
        <v>1</v>
      </c>
      <c r="B16755" t="str">
        <f>"18290388885"</f>
        <v>18290388885</v>
      </c>
      <c r="C16755" t="s">
        <v>1</v>
      </c>
      <c r="D16755" t="s">
        <v>1</v>
      </c>
      <c r="E16755" t="s">
        <v>1</v>
      </c>
      <c r="F16755" t="s">
        <v>0</v>
      </c>
      <c r="G16755" t="str">
        <f>"2018-10-12 08:36:14"</f>
        <v>2018-10-12 08:36:14</v>
      </c>
    </row>
    <row r="16756" spans="1:7" x14ac:dyDescent="0.2">
      <c r="A16756" t="s">
        <v>16035</v>
      </c>
      <c r="B16756" t="str">
        <f>"15241990700"</f>
        <v>15241990700</v>
      </c>
      <c r="C16756" t="str">
        <f>"211002197104156523"</f>
        <v>211002197104156523</v>
      </c>
      <c r="D16756" t="s">
        <v>1</v>
      </c>
      <c r="E16756" t="s">
        <v>1</v>
      </c>
      <c r="F16756" t="s">
        <v>0</v>
      </c>
      <c r="G16756" t="str">
        <f>"2018-10-12 08:37:17"</f>
        <v>2018-10-12 08:37:17</v>
      </c>
    </row>
    <row r="16757" spans="1:7" x14ac:dyDescent="0.2">
      <c r="A16757" t="s">
        <v>16036</v>
      </c>
      <c r="B16757" t="str">
        <f>"18522782012"</f>
        <v>18522782012</v>
      </c>
      <c r="C16757" t="str">
        <f>"120112198204162517"</f>
        <v>120112198204162517</v>
      </c>
      <c r="D16757" t="s">
        <v>16037</v>
      </c>
      <c r="E16757" t="s">
        <v>16038</v>
      </c>
      <c r="F16757" t="s">
        <v>0</v>
      </c>
      <c r="G16757" t="str">
        <f>"2018-10-12 08:56:31"</f>
        <v>2018-10-12 08:56:31</v>
      </c>
    </row>
    <row r="16758" spans="1:7" x14ac:dyDescent="0.2">
      <c r="A16758" t="s">
        <v>1627</v>
      </c>
      <c r="B16758" t="str">
        <f>"13646199897"</f>
        <v>13646199897</v>
      </c>
      <c r="C16758" t="str">
        <f>"320622197111305032"</f>
        <v>320622197111305032</v>
      </c>
      <c r="D16758" t="s">
        <v>1</v>
      </c>
      <c r="E16758" t="s">
        <v>1</v>
      </c>
      <c r="F16758" t="s">
        <v>0</v>
      </c>
      <c r="G16758" t="str">
        <f>"2018-10-12 08:46:41"</f>
        <v>2018-10-12 08:46:41</v>
      </c>
    </row>
    <row r="16759" spans="1:7" x14ac:dyDescent="0.2">
      <c r="A16759" t="s">
        <v>1</v>
      </c>
      <c r="B16759" t="str">
        <f>"15086811733"</f>
        <v>15086811733</v>
      </c>
      <c r="C16759" t="s">
        <v>1</v>
      </c>
      <c r="D16759" t="s">
        <v>1</v>
      </c>
      <c r="E16759" t="s">
        <v>1</v>
      </c>
      <c r="F16759" t="s">
        <v>0</v>
      </c>
      <c r="G16759" t="str">
        <f>"2018-10-12 08:35:48"</f>
        <v>2018-10-12 08:35:48</v>
      </c>
    </row>
    <row r="16760" spans="1:7" x14ac:dyDescent="0.2">
      <c r="A16760" t="s">
        <v>1</v>
      </c>
      <c r="B16760" t="str">
        <f>"15956369981"</f>
        <v>15956369981</v>
      </c>
      <c r="C16760" t="s">
        <v>1</v>
      </c>
      <c r="D16760" t="s">
        <v>1</v>
      </c>
      <c r="E16760" t="s">
        <v>1</v>
      </c>
      <c r="F16760" t="s">
        <v>0</v>
      </c>
      <c r="G16760" t="str">
        <f>"2018-10-12 08:35:46"</f>
        <v>2018-10-12 08:35:46</v>
      </c>
    </row>
    <row r="16761" spans="1:7" x14ac:dyDescent="0.2">
      <c r="A16761" t="s">
        <v>1</v>
      </c>
      <c r="B16761" t="str">
        <f>"13546613878"</f>
        <v>13546613878</v>
      </c>
      <c r="C16761" t="s">
        <v>1</v>
      </c>
      <c r="D16761" t="s">
        <v>1</v>
      </c>
      <c r="E16761" t="s">
        <v>1</v>
      </c>
      <c r="F16761" t="s">
        <v>0</v>
      </c>
      <c r="G16761" t="str">
        <f>"2018-10-12 08:35:40"</f>
        <v>2018-10-12 08:35:40</v>
      </c>
    </row>
    <row r="16762" spans="1:7" x14ac:dyDescent="0.2">
      <c r="A16762" t="s">
        <v>1</v>
      </c>
      <c r="B16762" t="str">
        <f>"18305991802"</f>
        <v>18305991802</v>
      </c>
      <c r="C16762" t="s">
        <v>1</v>
      </c>
      <c r="D16762" t="s">
        <v>1</v>
      </c>
      <c r="E16762" t="s">
        <v>1</v>
      </c>
      <c r="F16762" t="s">
        <v>0</v>
      </c>
      <c r="G16762" t="str">
        <f>"2018-10-12 08:35:36"</f>
        <v>2018-10-12 08:35:36</v>
      </c>
    </row>
    <row r="16763" spans="1:7" x14ac:dyDescent="0.2">
      <c r="A16763" t="s">
        <v>16039</v>
      </c>
      <c r="B16763" t="str">
        <f>"15008595119"</f>
        <v>15008595119</v>
      </c>
      <c r="C16763" t="str">
        <f>"522322199111162416"</f>
        <v>522322199111162416</v>
      </c>
      <c r="D16763" t="s">
        <v>1</v>
      </c>
      <c r="E16763" t="s">
        <v>1</v>
      </c>
      <c r="F16763" t="s">
        <v>0</v>
      </c>
      <c r="G16763" t="str">
        <f>"2018-10-12 08:41:50"</f>
        <v>2018-10-12 08:41:50</v>
      </c>
    </row>
    <row r="16764" spans="1:7" x14ac:dyDescent="0.2">
      <c r="A16764" t="s">
        <v>1</v>
      </c>
      <c r="B16764" t="str">
        <f>"13585873041"</f>
        <v>13585873041</v>
      </c>
      <c r="C16764" t="s">
        <v>1</v>
      </c>
      <c r="D16764" t="s">
        <v>1</v>
      </c>
      <c r="E16764" t="s">
        <v>1</v>
      </c>
      <c r="F16764" t="s">
        <v>0</v>
      </c>
      <c r="G16764" t="str">
        <f>"2018-10-12 08:36:50"</f>
        <v>2018-10-12 08:36:50</v>
      </c>
    </row>
    <row r="16765" spans="1:7" x14ac:dyDescent="0.2">
      <c r="A16765" t="s">
        <v>1</v>
      </c>
      <c r="B16765" t="str">
        <f>"15877536945"</f>
        <v>15877536945</v>
      </c>
      <c r="C16765" t="s">
        <v>1</v>
      </c>
      <c r="D16765" t="s">
        <v>1</v>
      </c>
      <c r="E16765" t="s">
        <v>1</v>
      </c>
      <c r="F16765" t="s">
        <v>0</v>
      </c>
      <c r="G16765" t="str">
        <f>"2018-10-12 08:35:24"</f>
        <v>2018-10-12 08:35:24</v>
      </c>
    </row>
    <row r="16766" spans="1:7" x14ac:dyDescent="0.2">
      <c r="A16766" t="s">
        <v>10</v>
      </c>
      <c r="B16766" t="str">
        <f>"18004383562"</f>
        <v>18004383562</v>
      </c>
      <c r="C16766" t="str">
        <f>"220723198002150097"</f>
        <v>220723198002150097</v>
      </c>
      <c r="D16766" t="s">
        <v>1</v>
      </c>
      <c r="E16766" t="s">
        <v>1</v>
      </c>
      <c r="F16766" t="s">
        <v>0</v>
      </c>
      <c r="G16766" t="str">
        <f>"2018-10-12 08:37:25"</f>
        <v>2018-10-12 08:37:25</v>
      </c>
    </row>
    <row r="16767" spans="1:7" x14ac:dyDescent="0.2">
      <c r="A16767" t="s">
        <v>1</v>
      </c>
      <c r="B16767" t="str">
        <f>"15872819187"</f>
        <v>15872819187</v>
      </c>
      <c r="C16767" t="s">
        <v>1</v>
      </c>
      <c r="D16767" t="s">
        <v>1</v>
      </c>
      <c r="E16767" t="s">
        <v>1</v>
      </c>
      <c r="F16767" t="s">
        <v>0</v>
      </c>
      <c r="G16767" t="str">
        <f>"2018-10-12 08:38:35"</f>
        <v>2018-10-12 08:38:35</v>
      </c>
    </row>
    <row r="16768" spans="1:7" x14ac:dyDescent="0.2">
      <c r="A16768" t="s">
        <v>16040</v>
      </c>
      <c r="B16768" t="str">
        <f>"15952252756"</f>
        <v>15952252756</v>
      </c>
      <c r="C16768" t="str">
        <f>"320324199101060313"</f>
        <v>320324199101060313</v>
      </c>
      <c r="D16768" t="s">
        <v>1</v>
      </c>
      <c r="E16768" t="s">
        <v>1</v>
      </c>
      <c r="F16768" t="s">
        <v>0</v>
      </c>
      <c r="G16768" t="str">
        <f>"2018-10-12 08:46:05"</f>
        <v>2018-10-12 08:46:05</v>
      </c>
    </row>
    <row r="16769" spans="1:7" x14ac:dyDescent="0.2">
      <c r="A16769" t="s">
        <v>1</v>
      </c>
      <c r="B16769" t="str">
        <f>"18899354312"</f>
        <v>18899354312</v>
      </c>
      <c r="C16769" t="s">
        <v>1</v>
      </c>
      <c r="D16769" t="s">
        <v>1</v>
      </c>
      <c r="E16769" t="s">
        <v>1</v>
      </c>
      <c r="F16769" t="s">
        <v>0</v>
      </c>
      <c r="G16769" t="str">
        <f>"2018-10-12 08:36:43"</f>
        <v>2018-10-12 08:36:43</v>
      </c>
    </row>
    <row r="16770" spans="1:7" x14ac:dyDescent="0.2">
      <c r="A16770" t="s">
        <v>1</v>
      </c>
      <c r="B16770" t="str">
        <f>"15998030210"</f>
        <v>15998030210</v>
      </c>
      <c r="C16770" t="s">
        <v>1</v>
      </c>
      <c r="D16770" t="s">
        <v>1</v>
      </c>
      <c r="E16770" t="s">
        <v>1</v>
      </c>
      <c r="F16770" t="s">
        <v>0</v>
      </c>
      <c r="G16770" t="str">
        <f>"2018-10-12 08:44:49"</f>
        <v>2018-10-12 08:44:49</v>
      </c>
    </row>
    <row r="16771" spans="1:7" x14ac:dyDescent="0.2">
      <c r="A16771" t="s">
        <v>1181</v>
      </c>
      <c r="B16771" t="str">
        <f>"18741725455"</f>
        <v>18741725455</v>
      </c>
      <c r="C16771" t="str">
        <f>"210881199310216213"</f>
        <v>210881199310216213</v>
      </c>
      <c r="D16771" t="s">
        <v>16041</v>
      </c>
      <c r="E16771" t="s">
        <v>16042</v>
      </c>
      <c r="F16771" t="s">
        <v>0</v>
      </c>
      <c r="G16771" t="str">
        <f>"2018-10-12 08:36:24"</f>
        <v>2018-10-12 08:36:24</v>
      </c>
    </row>
    <row r="16772" spans="1:7" x14ac:dyDescent="0.2">
      <c r="A16772" t="s">
        <v>1</v>
      </c>
      <c r="B16772" t="str">
        <f>"13611795629"</f>
        <v>13611795629</v>
      </c>
      <c r="C16772" t="s">
        <v>1</v>
      </c>
      <c r="D16772" t="s">
        <v>1</v>
      </c>
      <c r="E16772" t="s">
        <v>1</v>
      </c>
      <c r="F16772" t="s">
        <v>0</v>
      </c>
      <c r="G16772" t="str">
        <f>"2018-10-12 08:34:54"</f>
        <v>2018-10-12 08:34:54</v>
      </c>
    </row>
    <row r="16773" spans="1:7" x14ac:dyDescent="0.2">
      <c r="A16773" t="s">
        <v>1</v>
      </c>
      <c r="B16773" t="str">
        <f>"13816915419"</f>
        <v>13816915419</v>
      </c>
      <c r="C16773" t="s">
        <v>1</v>
      </c>
      <c r="D16773" t="s">
        <v>1</v>
      </c>
      <c r="E16773" t="s">
        <v>1</v>
      </c>
      <c r="F16773" t="s">
        <v>0</v>
      </c>
      <c r="G16773" t="str">
        <f>"2018-10-12 08:34:52"</f>
        <v>2018-10-12 08:34:52</v>
      </c>
    </row>
    <row r="16774" spans="1:7" x14ac:dyDescent="0.2">
      <c r="A16774" t="s">
        <v>16043</v>
      </c>
      <c r="B16774" t="str">
        <f>"15141449911"</f>
        <v>15141449911</v>
      </c>
      <c r="C16774" t="str">
        <f>"210503199103080637"</f>
        <v>210503199103080637</v>
      </c>
      <c r="D16774" t="s">
        <v>16044</v>
      </c>
      <c r="E16774" t="s">
        <v>16045</v>
      </c>
      <c r="F16774" t="s">
        <v>0</v>
      </c>
      <c r="G16774" t="str">
        <f>"2018-10-12 11:48:53"</f>
        <v>2018-10-12 11:48:53</v>
      </c>
    </row>
    <row r="16775" spans="1:7" x14ac:dyDescent="0.2">
      <c r="A16775" t="s">
        <v>1</v>
      </c>
      <c r="B16775" t="str">
        <f>"13878131268"</f>
        <v>13878131268</v>
      </c>
      <c r="C16775" t="s">
        <v>1</v>
      </c>
      <c r="D16775" t="s">
        <v>1</v>
      </c>
      <c r="E16775" t="s">
        <v>1</v>
      </c>
      <c r="F16775" t="s">
        <v>0</v>
      </c>
      <c r="G16775" t="str">
        <f>"2018-10-12 08:34:32"</f>
        <v>2018-10-12 08:34:32</v>
      </c>
    </row>
    <row r="16776" spans="1:7" x14ac:dyDescent="0.2">
      <c r="A16776" t="s">
        <v>1</v>
      </c>
      <c r="B16776" t="str">
        <f>"13781756105"</f>
        <v>13781756105</v>
      </c>
      <c r="C16776" t="s">
        <v>1</v>
      </c>
      <c r="D16776" t="s">
        <v>1</v>
      </c>
      <c r="E16776" t="s">
        <v>1</v>
      </c>
      <c r="F16776" t="s">
        <v>0</v>
      </c>
      <c r="G16776" t="str">
        <f>"2018-10-12 08:34:16"</f>
        <v>2018-10-12 08:34:16</v>
      </c>
    </row>
    <row r="16777" spans="1:7" x14ac:dyDescent="0.2">
      <c r="A16777" t="s">
        <v>1</v>
      </c>
      <c r="B16777" t="str">
        <f>"18785266424"</f>
        <v>18785266424</v>
      </c>
      <c r="C16777" t="s">
        <v>1</v>
      </c>
      <c r="D16777" t="s">
        <v>1</v>
      </c>
      <c r="E16777" t="s">
        <v>1</v>
      </c>
      <c r="F16777" t="s">
        <v>0</v>
      </c>
      <c r="G16777" t="str">
        <f>"2018-10-12 08:34:14"</f>
        <v>2018-10-12 08:34:14</v>
      </c>
    </row>
    <row r="16778" spans="1:7" x14ac:dyDescent="0.2">
      <c r="A16778" t="s">
        <v>16046</v>
      </c>
      <c r="B16778" t="str">
        <f>"15033188333"</f>
        <v>15033188333</v>
      </c>
      <c r="C16778" t="str">
        <f>"13110219900714025X"</f>
        <v>13110219900714025X</v>
      </c>
      <c r="D16778" t="s">
        <v>16047</v>
      </c>
      <c r="E16778" t="s">
        <v>16048</v>
      </c>
      <c r="F16778" t="s">
        <v>0</v>
      </c>
      <c r="G16778" t="str">
        <f>"2018-10-12 09:36:43"</f>
        <v>2018-10-12 09:36:43</v>
      </c>
    </row>
    <row r="16779" spans="1:7" x14ac:dyDescent="0.2">
      <c r="A16779" t="s">
        <v>16049</v>
      </c>
      <c r="B16779" t="str">
        <f>"13005000051"</f>
        <v>13005000051</v>
      </c>
      <c r="C16779" t="str">
        <f>"460022197912083239"</f>
        <v>460022197912083239</v>
      </c>
      <c r="D16779" t="s">
        <v>1</v>
      </c>
      <c r="E16779" t="s">
        <v>1</v>
      </c>
      <c r="F16779" t="s">
        <v>0</v>
      </c>
      <c r="G16779" t="str">
        <f>"2018-10-12 08:53:54"</f>
        <v>2018-10-12 08:53:54</v>
      </c>
    </row>
    <row r="16780" spans="1:7" x14ac:dyDescent="0.2">
      <c r="A16780" t="s">
        <v>1</v>
      </c>
      <c r="B16780" t="str">
        <f>"17612469868"</f>
        <v>17612469868</v>
      </c>
      <c r="C16780" t="s">
        <v>1</v>
      </c>
      <c r="D16780" t="s">
        <v>1</v>
      </c>
      <c r="E16780" t="s">
        <v>1</v>
      </c>
      <c r="F16780" t="s">
        <v>0</v>
      </c>
      <c r="G16780" t="str">
        <f>"2018-10-12 08:34:22"</f>
        <v>2018-10-12 08:34:22</v>
      </c>
    </row>
    <row r="16781" spans="1:7" x14ac:dyDescent="0.2">
      <c r="A16781" t="s">
        <v>1</v>
      </c>
      <c r="B16781" t="str">
        <f>"18569371076"</f>
        <v>18569371076</v>
      </c>
      <c r="C16781" t="s">
        <v>1</v>
      </c>
      <c r="D16781" t="s">
        <v>1</v>
      </c>
      <c r="E16781" t="s">
        <v>1</v>
      </c>
      <c r="F16781" t="s">
        <v>0</v>
      </c>
      <c r="G16781" t="str">
        <f>"2018-10-12 08:39:23"</f>
        <v>2018-10-12 08:39:23</v>
      </c>
    </row>
    <row r="16782" spans="1:7" x14ac:dyDescent="0.2">
      <c r="A16782" t="s">
        <v>1</v>
      </c>
      <c r="B16782" t="str">
        <f>"18680499923"</f>
        <v>18680499923</v>
      </c>
      <c r="C16782" t="s">
        <v>1</v>
      </c>
      <c r="D16782" t="s">
        <v>1</v>
      </c>
      <c r="E16782" t="s">
        <v>1</v>
      </c>
      <c r="F16782" t="s">
        <v>0</v>
      </c>
      <c r="G16782" t="str">
        <f>"2018-10-12 08:32:54"</f>
        <v>2018-10-12 08:32:54</v>
      </c>
    </row>
    <row r="16783" spans="1:7" x14ac:dyDescent="0.2">
      <c r="A16783" t="s">
        <v>1</v>
      </c>
      <c r="B16783" t="str">
        <f>"15582389976"</f>
        <v>15582389976</v>
      </c>
      <c r="C16783" t="s">
        <v>1</v>
      </c>
      <c r="D16783" t="s">
        <v>1</v>
      </c>
      <c r="E16783" t="s">
        <v>1</v>
      </c>
      <c r="F16783" t="s">
        <v>0</v>
      </c>
      <c r="G16783" t="str">
        <f>"2018-10-12 08:31:57"</f>
        <v>2018-10-12 08:31:57</v>
      </c>
    </row>
    <row r="16784" spans="1:7" x14ac:dyDescent="0.2">
      <c r="A16784" t="s">
        <v>907</v>
      </c>
      <c r="B16784" t="str">
        <f>"18682500473"</f>
        <v>18682500473</v>
      </c>
      <c r="C16784" t="str">
        <f>"510902198709260730"</f>
        <v>510902198709260730</v>
      </c>
      <c r="D16784" t="s">
        <v>1</v>
      </c>
      <c r="E16784" t="s">
        <v>1</v>
      </c>
      <c r="F16784" t="s">
        <v>0</v>
      </c>
      <c r="G16784" t="str">
        <f>"2018-10-12 08:40:46"</f>
        <v>2018-10-12 08:40:46</v>
      </c>
    </row>
    <row r="16785" spans="1:7" x14ac:dyDescent="0.2">
      <c r="A16785" t="s">
        <v>1745</v>
      </c>
      <c r="B16785" t="str">
        <f>"15589387628"</f>
        <v>15589387628</v>
      </c>
      <c r="C16785" t="str">
        <f>"370302198801108011"</f>
        <v>370302198801108011</v>
      </c>
      <c r="D16785" t="s">
        <v>1</v>
      </c>
      <c r="E16785" t="s">
        <v>1</v>
      </c>
      <c r="F16785" t="s">
        <v>0</v>
      </c>
      <c r="G16785" t="str">
        <f>"2018-10-12 08:32:51"</f>
        <v>2018-10-12 08:32:51</v>
      </c>
    </row>
    <row r="16786" spans="1:7" x14ac:dyDescent="0.2">
      <c r="A16786" t="s">
        <v>16050</v>
      </c>
      <c r="B16786" t="str">
        <f>"13130591427"</f>
        <v>13130591427</v>
      </c>
      <c r="C16786" t="str">
        <f>"210882199407100336"</f>
        <v>210882199407100336</v>
      </c>
      <c r="D16786" t="s">
        <v>1</v>
      </c>
      <c r="E16786" t="s">
        <v>1</v>
      </c>
      <c r="F16786" t="s">
        <v>0</v>
      </c>
      <c r="G16786" t="str">
        <f>"2018-10-12 08:31:20"</f>
        <v>2018-10-12 08:31:20</v>
      </c>
    </row>
    <row r="16787" spans="1:7" x14ac:dyDescent="0.2">
      <c r="A16787" t="s">
        <v>1</v>
      </c>
      <c r="B16787" t="str">
        <f>"13965802827"</f>
        <v>13965802827</v>
      </c>
      <c r="C16787" t="s">
        <v>1</v>
      </c>
      <c r="D16787" t="s">
        <v>1</v>
      </c>
      <c r="E16787" t="s">
        <v>1</v>
      </c>
      <c r="F16787" t="s">
        <v>0</v>
      </c>
      <c r="G16787" t="str">
        <f>"2018-10-12 08:32:45"</f>
        <v>2018-10-12 08:32:45</v>
      </c>
    </row>
    <row r="16788" spans="1:7" x14ac:dyDescent="0.2">
      <c r="A16788" t="s">
        <v>16051</v>
      </c>
      <c r="B16788" t="str">
        <f>"15537886988"</f>
        <v>15537886988</v>
      </c>
      <c r="C16788" t="str">
        <f>"410222198807092519"</f>
        <v>410222198807092519</v>
      </c>
      <c r="D16788" t="s">
        <v>1</v>
      </c>
      <c r="E16788" t="s">
        <v>1</v>
      </c>
      <c r="F16788" t="s">
        <v>0</v>
      </c>
      <c r="G16788" t="str">
        <f>"2018-10-12 09:09:56"</f>
        <v>2018-10-12 09:09:56</v>
      </c>
    </row>
    <row r="16789" spans="1:7" x14ac:dyDescent="0.2">
      <c r="A16789" t="s">
        <v>16052</v>
      </c>
      <c r="B16789" t="str">
        <f>"18689099715"</f>
        <v>18689099715</v>
      </c>
      <c r="C16789" t="str">
        <f>"362424198601144417"</f>
        <v>362424198601144417</v>
      </c>
      <c r="D16789" t="s">
        <v>1</v>
      </c>
      <c r="E16789" t="s">
        <v>1</v>
      </c>
      <c r="F16789" t="s">
        <v>0</v>
      </c>
      <c r="G16789" t="str">
        <f>"2018-10-12 08:33:24"</f>
        <v>2018-10-12 08:33:24</v>
      </c>
    </row>
    <row r="16790" spans="1:7" x14ac:dyDescent="0.2">
      <c r="A16790" t="s">
        <v>16053</v>
      </c>
      <c r="B16790" t="str">
        <f>"13427987053"</f>
        <v>13427987053</v>
      </c>
      <c r="C16790" t="str">
        <f>"440582199307126631"</f>
        <v>440582199307126631</v>
      </c>
      <c r="D16790" t="s">
        <v>1</v>
      </c>
      <c r="E16790" t="s">
        <v>1</v>
      </c>
      <c r="F16790" t="s">
        <v>0</v>
      </c>
      <c r="G16790" t="str">
        <f>"2018-10-12 08:49:06"</f>
        <v>2018-10-12 08:49:06</v>
      </c>
    </row>
    <row r="16791" spans="1:7" x14ac:dyDescent="0.2">
      <c r="A16791" t="s">
        <v>16054</v>
      </c>
      <c r="B16791" t="str">
        <f>"15607686618"</f>
        <v>15607686618</v>
      </c>
      <c r="C16791" t="str">
        <f>"460005199512095620"</f>
        <v>460005199512095620</v>
      </c>
      <c r="D16791" t="s">
        <v>1</v>
      </c>
      <c r="E16791" t="s">
        <v>1</v>
      </c>
      <c r="F16791" t="s">
        <v>0</v>
      </c>
      <c r="G16791" t="str">
        <f>"2018-10-12 08:32:34"</f>
        <v>2018-10-12 08:32:34</v>
      </c>
    </row>
    <row r="16792" spans="1:7" x14ac:dyDescent="0.2">
      <c r="A16792" t="s">
        <v>16055</v>
      </c>
      <c r="B16792" t="str">
        <f>"15685326658"</f>
        <v>15685326658</v>
      </c>
      <c r="C16792" t="str">
        <f>"522121199505293614"</f>
        <v>522121199505293614</v>
      </c>
      <c r="D16792" t="s">
        <v>1</v>
      </c>
      <c r="E16792" t="s">
        <v>1</v>
      </c>
      <c r="F16792" t="s">
        <v>0</v>
      </c>
      <c r="G16792" t="str">
        <f>"2018-10-12 08:30:16"</f>
        <v>2018-10-12 08:30:16</v>
      </c>
    </row>
    <row r="16793" spans="1:7" x14ac:dyDescent="0.2">
      <c r="A16793" t="s">
        <v>1</v>
      </c>
      <c r="B16793" t="str">
        <f>"13180094398"</f>
        <v>13180094398</v>
      </c>
      <c r="C16793" t="s">
        <v>1</v>
      </c>
      <c r="D16793" t="s">
        <v>1</v>
      </c>
      <c r="E16793" t="s">
        <v>1</v>
      </c>
      <c r="F16793" t="s">
        <v>0</v>
      </c>
      <c r="G16793" t="str">
        <f>"2018-10-12 08:29:02"</f>
        <v>2018-10-12 08:29:02</v>
      </c>
    </row>
    <row r="16794" spans="1:7" x14ac:dyDescent="0.2">
      <c r="A16794" t="s">
        <v>1</v>
      </c>
      <c r="B16794" t="str">
        <f>"13295099768"</f>
        <v>13295099768</v>
      </c>
      <c r="C16794" t="s">
        <v>1</v>
      </c>
      <c r="D16794" t="s">
        <v>1</v>
      </c>
      <c r="E16794" t="s">
        <v>1</v>
      </c>
      <c r="F16794" t="s">
        <v>0</v>
      </c>
      <c r="G16794" t="str">
        <f>"2018-10-12 08:34:52"</f>
        <v>2018-10-12 08:34:52</v>
      </c>
    </row>
    <row r="16795" spans="1:7" x14ac:dyDescent="0.2">
      <c r="A16795" t="s">
        <v>1</v>
      </c>
      <c r="B16795" t="str">
        <f>"18629622098"</f>
        <v>18629622098</v>
      </c>
      <c r="C16795" t="s">
        <v>1</v>
      </c>
      <c r="D16795" t="s">
        <v>1</v>
      </c>
      <c r="E16795" t="s">
        <v>1</v>
      </c>
      <c r="F16795" t="s">
        <v>0</v>
      </c>
      <c r="G16795" t="str">
        <f>"2018-10-12 08:28:42"</f>
        <v>2018-10-12 08:28:42</v>
      </c>
    </row>
    <row r="16796" spans="1:7" x14ac:dyDescent="0.2">
      <c r="A16796" t="s">
        <v>1</v>
      </c>
      <c r="B16796" t="str">
        <f>"13612901808"</f>
        <v>13612901808</v>
      </c>
      <c r="C16796" t="s">
        <v>1</v>
      </c>
      <c r="D16796" t="s">
        <v>1</v>
      </c>
      <c r="E16796" t="s">
        <v>1</v>
      </c>
      <c r="F16796" t="s">
        <v>0</v>
      </c>
      <c r="G16796" t="str">
        <f>"2018-10-12 08:28:38"</f>
        <v>2018-10-12 08:28:38</v>
      </c>
    </row>
    <row r="16797" spans="1:7" x14ac:dyDescent="0.2">
      <c r="A16797" t="s">
        <v>16056</v>
      </c>
      <c r="B16797" t="str">
        <f>"15152338671"</f>
        <v>15152338671</v>
      </c>
      <c r="C16797" t="str">
        <f>"320826198706220514"</f>
        <v>320826198706220514</v>
      </c>
      <c r="D16797" t="s">
        <v>16057</v>
      </c>
      <c r="E16797" t="s">
        <v>16058</v>
      </c>
      <c r="F16797" t="s">
        <v>0</v>
      </c>
      <c r="G16797" t="str">
        <f>"2018-10-12 08:33:27"</f>
        <v>2018-10-12 08:33:27</v>
      </c>
    </row>
    <row r="16798" spans="1:7" x14ac:dyDescent="0.2">
      <c r="A16798" t="s">
        <v>16059</v>
      </c>
      <c r="B16798" t="str">
        <f>"15765216008"</f>
        <v>15765216008</v>
      </c>
      <c r="C16798" t="str">
        <f>"232301199505203910"</f>
        <v>232301199505203910</v>
      </c>
      <c r="D16798" t="s">
        <v>1</v>
      </c>
      <c r="E16798" t="s">
        <v>1</v>
      </c>
      <c r="F16798" t="s">
        <v>0</v>
      </c>
      <c r="G16798" t="str">
        <f>"2018-10-12 08:30:53"</f>
        <v>2018-10-12 08:30:53</v>
      </c>
    </row>
    <row r="16799" spans="1:7" x14ac:dyDescent="0.2">
      <c r="A16799" t="s">
        <v>1455</v>
      </c>
      <c r="B16799" t="str">
        <f>"17519353131"</f>
        <v>17519353131</v>
      </c>
      <c r="C16799" t="str">
        <f>"220382199406163380"</f>
        <v>220382199406163380</v>
      </c>
      <c r="D16799" t="s">
        <v>1</v>
      </c>
      <c r="E16799" t="s">
        <v>1</v>
      </c>
      <c r="F16799" t="s">
        <v>0</v>
      </c>
      <c r="G16799" t="str">
        <f>"2018-10-12 15:48:40"</f>
        <v>2018-10-12 15:48:40</v>
      </c>
    </row>
    <row r="16800" spans="1:7" x14ac:dyDescent="0.2">
      <c r="A16800" t="s">
        <v>1080</v>
      </c>
      <c r="B16800" t="str">
        <f>"18646355577"</f>
        <v>18646355577</v>
      </c>
      <c r="C16800" t="str">
        <f>"23088119840229172X"</f>
        <v>23088119840229172X</v>
      </c>
      <c r="D16800" t="s">
        <v>1</v>
      </c>
      <c r="E16800" t="s">
        <v>1</v>
      </c>
      <c r="F16800" t="s">
        <v>0</v>
      </c>
      <c r="G16800" t="str">
        <f>"2018-10-12 08:30:06"</f>
        <v>2018-10-12 08:30:06</v>
      </c>
    </row>
    <row r="16801" spans="1:7" x14ac:dyDescent="0.2">
      <c r="A16801" t="s">
        <v>1</v>
      </c>
      <c r="B16801" t="str">
        <f>"13009745667"</f>
        <v>13009745667</v>
      </c>
      <c r="C16801" t="s">
        <v>1</v>
      </c>
      <c r="D16801" t="s">
        <v>1</v>
      </c>
      <c r="E16801" t="s">
        <v>1</v>
      </c>
      <c r="F16801" t="s">
        <v>0</v>
      </c>
      <c r="G16801" t="str">
        <f>"2018-10-12 08:28:11"</f>
        <v>2018-10-12 08:28:11</v>
      </c>
    </row>
    <row r="16802" spans="1:7" x14ac:dyDescent="0.2">
      <c r="A16802" t="s">
        <v>1</v>
      </c>
      <c r="B16802" t="str">
        <f>"15561860908"</f>
        <v>15561860908</v>
      </c>
      <c r="C16802" t="s">
        <v>1</v>
      </c>
      <c r="D16802" t="s">
        <v>1</v>
      </c>
      <c r="E16802" t="s">
        <v>1</v>
      </c>
      <c r="F16802" t="s">
        <v>0</v>
      </c>
      <c r="G16802" t="str">
        <f>"2018-10-12 08:27:55"</f>
        <v>2018-10-12 08:27:55</v>
      </c>
    </row>
    <row r="16803" spans="1:7" x14ac:dyDescent="0.2">
      <c r="A16803" t="s">
        <v>1</v>
      </c>
      <c r="B16803" t="str">
        <f>"18650906212"</f>
        <v>18650906212</v>
      </c>
      <c r="C16803" t="s">
        <v>1</v>
      </c>
      <c r="D16803" t="s">
        <v>1</v>
      </c>
      <c r="E16803" t="s">
        <v>1</v>
      </c>
      <c r="F16803" t="s">
        <v>0</v>
      </c>
      <c r="G16803" t="str">
        <f>"2018-10-12 08:28:39"</f>
        <v>2018-10-12 08:28:39</v>
      </c>
    </row>
    <row r="16804" spans="1:7" x14ac:dyDescent="0.2">
      <c r="A16804" t="s">
        <v>1636</v>
      </c>
      <c r="B16804" t="str">
        <f>"18722594882"</f>
        <v>18722594882</v>
      </c>
      <c r="C16804" t="str">
        <f>"120225199707295719"</f>
        <v>120225199707295719</v>
      </c>
      <c r="D16804" t="s">
        <v>1</v>
      </c>
      <c r="E16804" t="s">
        <v>1</v>
      </c>
      <c r="F16804" t="s">
        <v>0</v>
      </c>
      <c r="G16804" t="str">
        <f>"2018-10-12 13:36:29"</f>
        <v>2018-10-12 13:36:29</v>
      </c>
    </row>
    <row r="16805" spans="1:7" x14ac:dyDescent="0.2">
      <c r="A16805" t="s">
        <v>16060</v>
      </c>
      <c r="B16805" t="str">
        <f>"15574519554"</f>
        <v>15574519554</v>
      </c>
      <c r="C16805" t="str">
        <f>"433030198006202824"</f>
        <v>433030198006202824</v>
      </c>
      <c r="D16805" t="s">
        <v>1</v>
      </c>
      <c r="E16805" t="s">
        <v>1</v>
      </c>
      <c r="F16805" t="s">
        <v>0</v>
      </c>
      <c r="G16805" t="str">
        <f>"2018-10-12 11:35:59"</f>
        <v>2018-10-12 11:35:59</v>
      </c>
    </row>
    <row r="16806" spans="1:7" x14ac:dyDescent="0.2">
      <c r="A16806" t="s">
        <v>16061</v>
      </c>
      <c r="B16806" t="str">
        <f>"18696917837"</f>
        <v>18696917837</v>
      </c>
      <c r="C16806" t="str">
        <f>"500102198910208031"</f>
        <v>500102198910208031</v>
      </c>
      <c r="D16806" t="s">
        <v>16062</v>
      </c>
      <c r="E16806" t="s">
        <v>16063</v>
      </c>
      <c r="F16806" t="s">
        <v>0</v>
      </c>
      <c r="G16806" t="str">
        <f>"2018-10-12 15:15:51"</f>
        <v>2018-10-12 15:15:51</v>
      </c>
    </row>
    <row r="16807" spans="1:7" x14ac:dyDescent="0.2">
      <c r="A16807" t="s">
        <v>1134</v>
      </c>
      <c r="B16807" t="str">
        <f>"18682727826"</f>
        <v>18682727826</v>
      </c>
      <c r="C16807" t="str">
        <f>"513723199401280899"</f>
        <v>513723199401280899</v>
      </c>
      <c r="D16807" t="s">
        <v>1</v>
      </c>
      <c r="E16807" t="s">
        <v>1</v>
      </c>
      <c r="F16807" t="s">
        <v>0</v>
      </c>
      <c r="G16807" t="str">
        <f>"2018-10-13 17:20:55"</f>
        <v>2018-10-13 17:20:55</v>
      </c>
    </row>
    <row r="16808" spans="1:7" x14ac:dyDescent="0.2">
      <c r="A16808" t="s">
        <v>823</v>
      </c>
      <c r="B16808" t="str">
        <f>"18603602429"</f>
        <v>18603602429</v>
      </c>
      <c r="C16808" t="str">
        <f>"230119197401230019"</f>
        <v>230119197401230019</v>
      </c>
      <c r="D16808" t="s">
        <v>1</v>
      </c>
      <c r="E16808" t="s">
        <v>1</v>
      </c>
      <c r="F16808" t="s">
        <v>0</v>
      </c>
      <c r="G16808" t="str">
        <f>"2018-10-12 08:27:59"</f>
        <v>2018-10-12 08:27:59</v>
      </c>
    </row>
    <row r="16809" spans="1:7" x14ac:dyDescent="0.2">
      <c r="A16809" t="s">
        <v>1</v>
      </c>
      <c r="B16809" t="str">
        <f>"13183597757"</f>
        <v>13183597757</v>
      </c>
      <c r="C16809" t="s">
        <v>1</v>
      </c>
      <c r="D16809" t="s">
        <v>1</v>
      </c>
      <c r="E16809" t="s">
        <v>1</v>
      </c>
      <c r="F16809" t="s">
        <v>0</v>
      </c>
      <c r="G16809" t="str">
        <f>"2018-10-12 08:26:49"</f>
        <v>2018-10-12 08:26:49</v>
      </c>
    </row>
    <row r="16810" spans="1:7" x14ac:dyDescent="0.2">
      <c r="A16810" t="s">
        <v>1</v>
      </c>
      <c r="B16810" t="str">
        <f>"13578933712"</f>
        <v>13578933712</v>
      </c>
      <c r="C16810" t="s">
        <v>1</v>
      </c>
      <c r="D16810" t="s">
        <v>1</v>
      </c>
      <c r="E16810" t="s">
        <v>1</v>
      </c>
      <c r="F16810" t="s">
        <v>0</v>
      </c>
      <c r="G16810" t="str">
        <f>"2018-10-12 08:29:30"</f>
        <v>2018-10-12 08:29:30</v>
      </c>
    </row>
    <row r="16811" spans="1:7" x14ac:dyDescent="0.2">
      <c r="A16811" t="s">
        <v>1</v>
      </c>
      <c r="B16811" t="str">
        <f>"15619074997"</f>
        <v>15619074997</v>
      </c>
      <c r="C16811" t="s">
        <v>1</v>
      </c>
      <c r="D16811" t="s">
        <v>1</v>
      </c>
      <c r="E16811" t="s">
        <v>1</v>
      </c>
      <c r="F16811" t="s">
        <v>0</v>
      </c>
      <c r="G16811" t="str">
        <f>"2018-10-12 08:26:38"</f>
        <v>2018-10-12 08:26:38</v>
      </c>
    </row>
    <row r="16812" spans="1:7" x14ac:dyDescent="0.2">
      <c r="A16812" t="s">
        <v>1</v>
      </c>
      <c r="B16812" t="str">
        <f>"17695199998"</f>
        <v>17695199998</v>
      </c>
      <c r="C16812" t="s">
        <v>1</v>
      </c>
      <c r="D16812" t="s">
        <v>1</v>
      </c>
      <c r="E16812" t="s">
        <v>1</v>
      </c>
      <c r="F16812" t="s">
        <v>0</v>
      </c>
      <c r="G16812" t="str">
        <f>"2018-10-12 08:26:28"</f>
        <v>2018-10-12 08:26:28</v>
      </c>
    </row>
    <row r="16813" spans="1:7" x14ac:dyDescent="0.2">
      <c r="A16813" t="s">
        <v>422</v>
      </c>
      <c r="B16813" t="str">
        <f>"13107649095"</f>
        <v>13107649095</v>
      </c>
      <c r="C16813" t="str">
        <f>"420703198305010034"</f>
        <v>420703198305010034</v>
      </c>
      <c r="D16813" t="s">
        <v>16064</v>
      </c>
      <c r="E16813" t="s">
        <v>16065</v>
      </c>
      <c r="F16813" t="s">
        <v>0</v>
      </c>
      <c r="G16813" t="str">
        <f>"2018-10-12 11:49:23"</f>
        <v>2018-10-12 11:49:23</v>
      </c>
    </row>
    <row r="16814" spans="1:7" x14ac:dyDescent="0.2">
      <c r="A16814" t="s">
        <v>16066</v>
      </c>
      <c r="B16814" t="str">
        <f>"18650330977"</f>
        <v>18650330977</v>
      </c>
      <c r="C16814" t="str">
        <f>"350127197006065313"</f>
        <v>350127197006065313</v>
      </c>
      <c r="D16814" t="s">
        <v>1</v>
      </c>
      <c r="E16814" t="s">
        <v>1</v>
      </c>
      <c r="F16814" t="s">
        <v>0</v>
      </c>
      <c r="G16814" t="str">
        <f>"2018-10-12 08:27:31"</f>
        <v>2018-10-12 08:27:31</v>
      </c>
    </row>
    <row r="16815" spans="1:7" x14ac:dyDescent="0.2">
      <c r="A16815" t="s">
        <v>1</v>
      </c>
      <c r="B16815" t="str">
        <f>"18637880328"</f>
        <v>18637880328</v>
      </c>
      <c r="C16815" t="s">
        <v>1</v>
      </c>
      <c r="D16815" t="s">
        <v>1</v>
      </c>
      <c r="E16815" t="s">
        <v>1</v>
      </c>
      <c r="F16815" t="s">
        <v>0</v>
      </c>
      <c r="G16815" t="str">
        <f>"2018-10-12 08:27:52"</f>
        <v>2018-10-12 08:27:52</v>
      </c>
    </row>
    <row r="16816" spans="1:7" x14ac:dyDescent="0.2">
      <c r="A16816" t="s">
        <v>1</v>
      </c>
      <c r="B16816" t="str">
        <f>"13198966647"</f>
        <v>13198966647</v>
      </c>
      <c r="C16816" t="s">
        <v>1</v>
      </c>
      <c r="D16816" t="s">
        <v>1</v>
      </c>
      <c r="E16816" t="s">
        <v>1</v>
      </c>
      <c r="F16816" t="s">
        <v>0</v>
      </c>
      <c r="G16816" t="str">
        <f>"2018-10-12 08:25:52"</f>
        <v>2018-10-12 08:25:52</v>
      </c>
    </row>
    <row r="16817" spans="1:7" x14ac:dyDescent="0.2">
      <c r="A16817" t="s">
        <v>16067</v>
      </c>
      <c r="B16817" t="str">
        <f>"13843922299"</f>
        <v>13843922299</v>
      </c>
      <c r="C16817" t="str">
        <f>"22060219730222093X"</f>
        <v>22060219730222093X</v>
      </c>
      <c r="D16817" t="s">
        <v>1</v>
      </c>
      <c r="E16817" t="s">
        <v>1</v>
      </c>
      <c r="F16817" t="s">
        <v>0</v>
      </c>
      <c r="G16817" t="str">
        <f>"2018-10-12 08:29:48"</f>
        <v>2018-10-12 08:29:48</v>
      </c>
    </row>
    <row r="16818" spans="1:7" x14ac:dyDescent="0.2">
      <c r="A16818" t="s">
        <v>1</v>
      </c>
      <c r="B16818" t="str">
        <f>"18196259302"</f>
        <v>18196259302</v>
      </c>
      <c r="C16818" t="s">
        <v>1</v>
      </c>
      <c r="D16818" t="s">
        <v>1</v>
      </c>
      <c r="E16818" t="s">
        <v>1</v>
      </c>
      <c r="F16818" t="s">
        <v>0</v>
      </c>
      <c r="G16818" t="str">
        <f>"2018-10-12 08:26:35"</f>
        <v>2018-10-12 08:26:35</v>
      </c>
    </row>
    <row r="16819" spans="1:7" x14ac:dyDescent="0.2">
      <c r="A16819" t="s">
        <v>16068</v>
      </c>
      <c r="B16819" t="str">
        <f>"18687680006"</f>
        <v>18687680006</v>
      </c>
      <c r="C16819" t="str">
        <f>"532621199007063719"</f>
        <v>532621199007063719</v>
      </c>
      <c r="D16819" t="s">
        <v>1</v>
      </c>
      <c r="E16819" t="s">
        <v>1</v>
      </c>
      <c r="F16819" t="s">
        <v>0</v>
      </c>
      <c r="G16819" t="str">
        <f>"2018-10-12 09:12:18"</f>
        <v>2018-10-12 09:12:18</v>
      </c>
    </row>
    <row r="16820" spans="1:7" x14ac:dyDescent="0.2">
      <c r="A16820" t="s">
        <v>1</v>
      </c>
      <c r="B16820" t="str">
        <f>"18656221908"</f>
        <v>18656221908</v>
      </c>
      <c r="C16820" t="s">
        <v>1</v>
      </c>
      <c r="D16820" t="s">
        <v>1</v>
      </c>
      <c r="E16820" t="s">
        <v>1</v>
      </c>
      <c r="F16820" t="s">
        <v>0</v>
      </c>
      <c r="G16820" t="str">
        <f>"2018-10-12 08:25:43"</f>
        <v>2018-10-12 08:25:43</v>
      </c>
    </row>
    <row r="16821" spans="1:7" x14ac:dyDescent="0.2">
      <c r="A16821" t="s">
        <v>16069</v>
      </c>
      <c r="B16821" t="str">
        <f>"18772875130"</f>
        <v>18772875130</v>
      </c>
      <c r="C16821" t="str">
        <f>"420325198911251512"</f>
        <v>420325198911251512</v>
      </c>
      <c r="D16821" t="s">
        <v>1</v>
      </c>
      <c r="E16821" t="s">
        <v>1</v>
      </c>
      <c r="F16821" t="s">
        <v>0</v>
      </c>
      <c r="G16821" t="str">
        <f>"2018-10-15 16:58:31"</f>
        <v>2018-10-15 16:58:31</v>
      </c>
    </row>
    <row r="16822" spans="1:7" x14ac:dyDescent="0.2">
      <c r="A16822" t="s">
        <v>1</v>
      </c>
      <c r="B16822" t="str">
        <f>"18625999964"</f>
        <v>18625999964</v>
      </c>
      <c r="C16822" t="s">
        <v>1</v>
      </c>
      <c r="D16822" t="s">
        <v>1</v>
      </c>
      <c r="E16822" t="s">
        <v>1</v>
      </c>
      <c r="F16822" t="s">
        <v>0</v>
      </c>
      <c r="G16822" t="str">
        <f>"2018-10-12 08:25:29"</f>
        <v>2018-10-12 08:25:29</v>
      </c>
    </row>
    <row r="16823" spans="1:7" x14ac:dyDescent="0.2">
      <c r="A16823" t="s">
        <v>1</v>
      </c>
      <c r="B16823" t="str">
        <f>"17802141970"</f>
        <v>17802141970</v>
      </c>
      <c r="C16823" t="s">
        <v>1</v>
      </c>
      <c r="D16823" t="s">
        <v>1</v>
      </c>
      <c r="E16823" t="s">
        <v>1</v>
      </c>
      <c r="F16823" t="s">
        <v>0</v>
      </c>
      <c r="G16823" t="str">
        <f>"2018-10-12 08:25:26"</f>
        <v>2018-10-12 08:25:26</v>
      </c>
    </row>
    <row r="16824" spans="1:7" x14ac:dyDescent="0.2">
      <c r="A16824" t="s">
        <v>1</v>
      </c>
      <c r="B16824" t="str">
        <f>"15591621888"</f>
        <v>15591621888</v>
      </c>
      <c r="C16824" t="s">
        <v>1</v>
      </c>
      <c r="D16824" t="s">
        <v>1</v>
      </c>
      <c r="E16824" t="s">
        <v>1</v>
      </c>
      <c r="F16824" t="s">
        <v>0</v>
      </c>
      <c r="G16824" t="str">
        <f>"2018-10-12 08:25:26"</f>
        <v>2018-10-12 08:25:26</v>
      </c>
    </row>
    <row r="16825" spans="1:7" x14ac:dyDescent="0.2">
      <c r="A16825" t="s">
        <v>16070</v>
      </c>
      <c r="B16825" t="str">
        <f>"17607528334"</f>
        <v>17607528334</v>
      </c>
      <c r="C16825" t="str">
        <f>"420703199611233361"</f>
        <v>420703199611233361</v>
      </c>
      <c r="D16825" t="s">
        <v>1</v>
      </c>
      <c r="E16825" t="s">
        <v>1</v>
      </c>
      <c r="F16825" t="s">
        <v>0</v>
      </c>
      <c r="G16825" t="str">
        <f>"2018-10-12 08:26:35"</f>
        <v>2018-10-12 08:26:35</v>
      </c>
    </row>
    <row r="16826" spans="1:7" x14ac:dyDescent="0.2">
      <c r="A16826" t="s">
        <v>1</v>
      </c>
      <c r="B16826" t="str">
        <f>"13120603383"</f>
        <v>13120603383</v>
      </c>
      <c r="C16826" t="s">
        <v>1</v>
      </c>
      <c r="D16826" t="s">
        <v>1</v>
      </c>
      <c r="E16826" t="s">
        <v>1</v>
      </c>
      <c r="F16826" t="s">
        <v>0</v>
      </c>
      <c r="G16826" t="str">
        <f>"2018-10-12 08:25:15"</f>
        <v>2018-10-12 08:25:15</v>
      </c>
    </row>
    <row r="16827" spans="1:7" x14ac:dyDescent="0.2">
      <c r="A16827" t="s">
        <v>16071</v>
      </c>
      <c r="B16827" t="str">
        <f>"15163511370"</f>
        <v>15163511370</v>
      </c>
      <c r="C16827" t="str">
        <f>"372522198401041442"</f>
        <v>372522198401041442</v>
      </c>
      <c r="D16827" t="s">
        <v>1</v>
      </c>
      <c r="E16827" t="s">
        <v>1</v>
      </c>
      <c r="F16827" t="s">
        <v>0</v>
      </c>
      <c r="G16827" t="str">
        <f>"2018-10-12 09:21:25"</f>
        <v>2018-10-12 09:21:25</v>
      </c>
    </row>
    <row r="16828" spans="1:7" x14ac:dyDescent="0.2">
      <c r="A16828" t="s">
        <v>1</v>
      </c>
      <c r="B16828" t="str">
        <f>"15880461655"</f>
        <v>15880461655</v>
      </c>
      <c r="C16828" t="s">
        <v>1</v>
      </c>
      <c r="D16828" t="s">
        <v>1</v>
      </c>
      <c r="E16828" t="s">
        <v>1</v>
      </c>
      <c r="F16828" t="s">
        <v>0</v>
      </c>
      <c r="G16828" t="str">
        <f>"2018-10-12 08:25:14"</f>
        <v>2018-10-12 08:25:14</v>
      </c>
    </row>
    <row r="16829" spans="1:7" x14ac:dyDescent="0.2">
      <c r="A16829" t="s">
        <v>16072</v>
      </c>
      <c r="B16829" t="str">
        <f>"18616144917"</f>
        <v>18616144917</v>
      </c>
      <c r="C16829" t="str">
        <f>"342426198711231414"</f>
        <v>342426198711231414</v>
      </c>
      <c r="D16829" t="s">
        <v>1</v>
      </c>
      <c r="E16829" t="s">
        <v>1</v>
      </c>
      <c r="F16829" t="s">
        <v>0</v>
      </c>
      <c r="G16829" t="str">
        <f>"2018-10-12 08:29:26"</f>
        <v>2018-10-12 08:29:26</v>
      </c>
    </row>
    <row r="16830" spans="1:7" x14ac:dyDescent="0.2">
      <c r="A16830" t="s">
        <v>1</v>
      </c>
      <c r="B16830" t="str">
        <f>"13231300955"</f>
        <v>13231300955</v>
      </c>
      <c r="C16830" t="s">
        <v>1</v>
      </c>
      <c r="D16830" t="s">
        <v>1</v>
      </c>
      <c r="E16830" t="s">
        <v>1</v>
      </c>
      <c r="F16830" t="s">
        <v>0</v>
      </c>
      <c r="G16830" t="str">
        <f>"2018-10-12 08:25:12"</f>
        <v>2018-10-12 08:25:12</v>
      </c>
    </row>
    <row r="16831" spans="1:7" x14ac:dyDescent="0.2">
      <c r="A16831" t="s">
        <v>16073</v>
      </c>
      <c r="B16831" t="str">
        <f>"15698334152"</f>
        <v>15698334152</v>
      </c>
      <c r="C16831" t="str">
        <f>"342921198609024510"</f>
        <v>342921198609024510</v>
      </c>
      <c r="D16831" t="s">
        <v>1</v>
      </c>
      <c r="E16831" t="s">
        <v>1</v>
      </c>
      <c r="F16831" t="s">
        <v>0</v>
      </c>
      <c r="G16831" t="str">
        <f>"2018-10-12 08:26:23"</f>
        <v>2018-10-12 08:26:23</v>
      </c>
    </row>
    <row r="16832" spans="1:7" x14ac:dyDescent="0.2">
      <c r="A16832" t="s">
        <v>1</v>
      </c>
      <c r="B16832" t="str">
        <f>"18578665922"</f>
        <v>18578665922</v>
      </c>
      <c r="C16832" t="s">
        <v>1</v>
      </c>
      <c r="D16832" t="s">
        <v>1</v>
      </c>
      <c r="E16832" t="s">
        <v>1</v>
      </c>
      <c r="F16832" t="s">
        <v>0</v>
      </c>
      <c r="G16832" t="str">
        <f>"2018-10-12 08:27:30"</f>
        <v>2018-10-12 08:27:30</v>
      </c>
    </row>
    <row r="16833" spans="1:7" x14ac:dyDescent="0.2">
      <c r="A16833" t="s">
        <v>1492</v>
      </c>
      <c r="B16833" t="str">
        <f>"13201776363"</f>
        <v>13201776363</v>
      </c>
      <c r="C16833" t="str">
        <f>"610121198807231588"</f>
        <v>610121198807231588</v>
      </c>
      <c r="D16833" t="s">
        <v>1</v>
      </c>
      <c r="E16833" t="s">
        <v>1</v>
      </c>
      <c r="F16833" t="s">
        <v>0</v>
      </c>
      <c r="G16833" t="str">
        <f>"2018-10-12 08:27:35"</f>
        <v>2018-10-12 08:27:35</v>
      </c>
    </row>
    <row r="16834" spans="1:7" x14ac:dyDescent="0.2">
      <c r="A16834" t="s">
        <v>16074</v>
      </c>
      <c r="B16834" t="str">
        <f>"13128154506"</f>
        <v>13128154506</v>
      </c>
      <c r="C16834" t="str">
        <f>"622826198510164517"</f>
        <v>622826198510164517</v>
      </c>
      <c r="D16834" t="s">
        <v>1</v>
      </c>
      <c r="E16834" t="s">
        <v>1</v>
      </c>
      <c r="F16834" t="s">
        <v>0</v>
      </c>
      <c r="G16834" t="str">
        <f>"2018-10-12 08:26:20"</f>
        <v>2018-10-12 08:26:20</v>
      </c>
    </row>
    <row r="16835" spans="1:7" x14ac:dyDescent="0.2">
      <c r="A16835" t="s">
        <v>1</v>
      </c>
      <c r="B16835" t="str">
        <f>"18646758377"</f>
        <v>18646758377</v>
      </c>
      <c r="C16835" t="s">
        <v>1</v>
      </c>
      <c r="D16835" t="s">
        <v>1</v>
      </c>
      <c r="E16835" t="s">
        <v>1</v>
      </c>
      <c r="F16835" t="s">
        <v>0</v>
      </c>
      <c r="G16835" t="str">
        <f>"2018-10-12 08:25:54"</f>
        <v>2018-10-12 08:25:54</v>
      </c>
    </row>
    <row r="16836" spans="1:7" x14ac:dyDescent="0.2">
      <c r="A16836" t="s">
        <v>1</v>
      </c>
      <c r="B16836" t="str">
        <f>"15885977273"</f>
        <v>15885977273</v>
      </c>
      <c r="C16836" t="s">
        <v>1</v>
      </c>
      <c r="D16836" t="s">
        <v>1</v>
      </c>
      <c r="E16836" t="s">
        <v>1</v>
      </c>
      <c r="F16836" t="s">
        <v>0</v>
      </c>
      <c r="G16836" t="str">
        <f>"2018-10-12 08:24:43"</f>
        <v>2018-10-12 08:24:43</v>
      </c>
    </row>
    <row r="16837" spans="1:7" x14ac:dyDescent="0.2">
      <c r="A16837" t="s">
        <v>16075</v>
      </c>
      <c r="B16837" t="str">
        <f>"18608061133"</f>
        <v>18608061133</v>
      </c>
      <c r="C16837" t="str">
        <f>"511102197003080722"</f>
        <v>511102197003080722</v>
      </c>
      <c r="D16837" t="s">
        <v>1</v>
      </c>
      <c r="E16837" t="s">
        <v>1</v>
      </c>
      <c r="F16837" t="s">
        <v>0</v>
      </c>
      <c r="G16837" t="str">
        <f>"2018-10-12 10:12:46"</f>
        <v>2018-10-12 10:12:46</v>
      </c>
    </row>
    <row r="16838" spans="1:7" x14ac:dyDescent="0.2">
      <c r="A16838" t="s">
        <v>1</v>
      </c>
      <c r="B16838" t="str">
        <f>"13111017455"</f>
        <v>13111017455</v>
      </c>
      <c r="C16838" t="s">
        <v>1</v>
      </c>
      <c r="D16838" t="s">
        <v>1</v>
      </c>
      <c r="E16838" t="s">
        <v>1</v>
      </c>
      <c r="F16838" t="s">
        <v>0</v>
      </c>
      <c r="G16838" t="str">
        <f>"2018-10-12 08:24:20"</f>
        <v>2018-10-12 08:24:20</v>
      </c>
    </row>
    <row r="16839" spans="1:7" x14ac:dyDescent="0.2">
      <c r="A16839" t="s">
        <v>16076</v>
      </c>
      <c r="B16839" t="str">
        <f>"18633513342"</f>
        <v>18633513342</v>
      </c>
      <c r="C16839" t="str">
        <f>"130304198908302517"</f>
        <v>130304198908302517</v>
      </c>
      <c r="D16839" t="s">
        <v>1</v>
      </c>
      <c r="E16839" t="s">
        <v>1</v>
      </c>
      <c r="F16839" t="s">
        <v>0</v>
      </c>
      <c r="G16839" t="str">
        <f>"2018-10-12 08:24:59"</f>
        <v>2018-10-12 08:24:59</v>
      </c>
    </row>
    <row r="16840" spans="1:7" x14ac:dyDescent="0.2">
      <c r="A16840" t="s">
        <v>16077</v>
      </c>
      <c r="B16840" t="str">
        <f>"13290589000"</f>
        <v>13290589000</v>
      </c>
      <c r="C16840" t="str">
        <f>"133001197703030274"</f>
        <v>133001197703030274</v>
      </c>
      <c r="D16840" t="s">
        <v>1</v>
      </c>
      <c r="E16840" t="s">
        <v>1</v>
      </c>
      <c r="F16840" t="s">
        <v>0</v>
      </c>
      <c r="G16840" t="str">
        <f>"2018-10-12 08:25:17"</f>
        <v>2018-10-12 08:25:17</v>
      </c>
    </row>
    <row r="16841" spans="1:7" x14ac:dyDescent="0.2">
      <c r="A16841" t="s">
        <v>16078</v>
      </c>
      <c r="B16841" t="str">
        <f>"13971229996"</f>
        <v>13971229996</v>
      </c>
      <c r="C16841" t="str">
        <f>"420102198212070346"</f>
        <v>420102198212070346</v>
      </c>
      <c r="D16841" t="s">
        <v>16079</v>
      </c>
      <c r="E16841" t="s">
        <v>16080</v>
      </c>
      <c r="F16841" t="s">
        <v>0</v>
      </c>
      <c r="G16841" t="str">
        <f>"2018-10-12 08:34:09"</f>
        <v>2018-10-12 08:34:09</v>
      </c>
    </row>
    <row r="16842" spans="1:7" x14ac:dyDescent="0.2">
      <c r="A16842" t="s">
        <v>480</v>
      </c>
      <c r="B16842" t="str">
        <f>"18325107684"</f>
        <v>18325107684</v>
      </c>
      <c r="C16842" t="str">
        <f>"500239199603262890"</f>
        <v>500239199603262890</v>
      </c>
      <c r="D16842" t="s">
        <v>1</v>
      </c>
      <c r="E16842" t="s">
        <v>1</v>
      </c>
      <c r="F16842" t="s">
        <v>0</v>
      </c>
      <c r="G16842" t="str">
        <f>"2018-10-12 09:20:04"</f>
        <v>2018-10-12 09:20:04</v>
      </c>
    </row>
    <row r="16843" spans="1:7" x14ac:dyDescent="0.2">
      <c r="A16843" t="s">
        <v>1</v>
      </c>
      <c r="B16843" t="str">
        <f>"15163999351"</f>
        <v>15163999351</v>
      </c>
      <c r="C16843" t="s">
        <v>1</v>
      </c>
      <c r="D16843" t="s">
        <v>1</v>
      </c>
      <c r="E16843" t="s">
        <v>1</v>
      </c>
      <c r="F16843" t="s">
        <v>0</v>
      </c>
      <c r="G16843" t="str">
        <f>"2018-10-12 08:13:43"</f>
        <v>2018-10-12 08:13:43</v>
      </c>
    </row>
    <row r="16844" spans="1:7" x14ac:dyDescent="0.2">
      <c r="A16844" t="s">
        <v>1</v>
      </c>
      <c r="B16844" t="str">
        <f>"13725347300"</f>
        <v>13725347300</v>
      </c>
      <c r="C16844" t="s">
        <v>1</v>
      </c>
      <c r="D16844" t="s">
        <v>1</v>
      </c>
      <c r="E16844" t="s">
        <v>1</v>
      </c>
      <c r="F16844" t="s">
        <v>0</v>
      </c>
      <c r="G16844" t="str">
        <f>"2018-10-12 08:22:54"</f>
        <v>2018-10-12 08:22:54</v>
      </c>
    </row>
    <row r="16845" spans="1:7" x14ac:dyDescent="0.2">
      <c r="A16845" t="s">
        <v>16081</v>
      </c>
      <c r="B16845" t="str">
        <f>"13844990021"</f>
        <v>13844990021</v>
      </c>
      <c r="C16845" t="str">
        <f>"220104198604041849"</f>
        <v>220104198604041849</v>
      </c>
      <c r="D16845" t="s">
        <v>1</v>
      </c>
      <c r="E16845" t="s">
        <v>1</v>
      </c>
      <c r="F16845" t="s">
        <v>0</v>
      </c>
      <c r="G16845" t="str">
        <f>"2018-10-12 08:09:49"</f>
        <v>2018-10-12 08:09:49</v>
      </c>
    </row>
    <row r="16846" spans="1:7" x14ac:dyDescent="0.2">
      <c r="A16846" t="s">
        <v>1</v>
      </c>
      <c r="B16846" t="str">
        <f>"15502803671"</f>
        <v>15502803671</v>
      </c>
      <c r="C16846" t="s">
        <v>1</v>
      </c>
      <c r="D16846" t="s">
        <v>1</v>
      </c>
      <c r="E16846" t="s">
        <v>1</v>
      </c>
      <c r="F16846" t="s">
        <v>0</v>
      </c>
      <c r="G16846" t="str">
        <f>"2018-10-12 08:06:28"</f>
        <v>2018-10-12 08:06:28</v>
      </c>
    </row>
    <row r="16847" spans="1:7" x14ac:dyDescent="0.2">
      <c r="A16847" t="s">
        <v>16082</v>
      </c>
      <c r="B16847" t="str">
        <f>"15288190156"</f>
        <v>15288190156</v>
      </c>
      <c r="C16847" t="str">
        <f>"530181198210060014"</f>
        <v>530181198210060014</v>
      </c>
      <c r="D16847" t="s">
        <v>1</v>
      </c>
      <c r="E16847" t="s">
        <v>1</v>
      </c>
      <c r="F16847" t="s">
        <v>0</v>
      </c>
      <c r="G16847" t="str">
        <f>"2018-10-12 08:05:12"</f>
        <v>2018-10-12 08:05:12</v>
      </c>
    </row>
    <row r="16848" spans="1:7" x14ac:dyDescent="0.2">
      <c r="A16848" t="s">
        <v>16083</v>
      </c>
      <c r="B16848" t="str">
        <f>"18348439233"</f>
        <v>18348439233</v>
      </c>
      <c r="C16848" t="str">
        <f>"140511199803012311"</f>
        <v>140511199803012311</v>
      </c>
      <c r="D16848" t="s">
        <v>1</v>
      </c>
      <c r="E16848" t="s">
        <v>1</v>
      </c>
      <c r="F16848" t="s">
        <v>0</v>
      </c>
      <c r="G16848" t="str">
        <f>"2018-10-12 08:33:17"</f>
        <v>2018-10-12 08:33:17</v>
      </c>
    </row>
    <row r="16849" spans="1:7" x14ac:dyDescent="0.2">
      <c r="A16849" t="s">
        <v>1</v>
      </c>
      <c r="B16849" t="str">
        <f>"15521372597"</f>
        <v>15521372597</v>
      </c>
      <c r="C16849" t="s">
        <v>1</v>
      </c>
      <c r="D16849" t="s">
        <v>1</v>
      </c>
      <c r="E16849" t="s">
        <v>1</v>
      </c>
      <c r="F16849" t="s">
        <v>0</v>
      </c>
      <c r="G16849" t="str">
        <f>"2018-10-12 07:58:51"</f>
        <v>2018-10-12 07:58:51</v>
      </c>
    </row>
    <row r="16850" spans="1:7" x14ac:dyDescent="0.2">
      <c r="A16850" t="s">
        <v>16084</v>
      </c>
      <c r="B16850" t="str">
        <f>"13192083393"</f>
        <v>13192083393</v>
      </c>
      <c r="C16850" t="str">
        <f>"445222198009054315"</f>
        <v>445222198009054315</v>
      </c>
      <c r="D16850" t="s">
        <v>16085</v>
      </c>
      <c r="E16850" t="s">
        <v>16086</v>
      </c>
      <c r="F16850" t="s">
        <v>0</v>
      </c>
      <c r="G16850" t="str">
        <f>"2018-10-12 09:24:58"</f>
        <v>2018-10-12 09:24:58</v>
      </c>
    </row>
    <row r="16851" spans="1:7" x14ac:dyDescent="0.2">
      <c r="A16851" t="s">
        <v>16087</v>
      </c>
      <c r="B16851" t="str">
        <f>"18985685519"</f>
        <v>18985685519</v>
      </c>
      <c r="C16851" t="str">
        <f>"52262319811114489X"</f>
        <v>52262319811114489X</v>
      </c>
      <c r="D16851" t="s">
        <v>1</v>
      </c>
      <c r="E16851" t="s">
        <v>1</v>
      </c>
      <c r="F16851" t="s">
        <v>0</v>
      </c>
      <c r="G16851" t="str">
        <f>"2018-10-12 07:52:06"</f>
        <v>2018-10-12 07:52:06</v>
      </c>
    </row>
    <row r="16852" spans="1:7" x14ac:dyDescent="0.2">
      <c r="A16852" t="s">
        <v>16088</v>
      </c>
      <c r="B16852" t="str">
        <f>"17355937586"</f>
        <v>17355937586</v>
      </c>
      <c r="C16852" t="str">
        <f>"342524199906148423"</f>
        <v>342524199906148423</v>
      </c>
      <c r="D16852" t="s">
        <v>1</v>
      </c>
      <c r="E16852" t="s">
        <v>1</v>
      </c>
      <c r="F16852" t="s">
        <v>0</v>
      </c>
      <c r="G16852" t="str">
        <f>"2018-10-12 07:52:37"</f>
        <v>2018-10-12 07:52:37</v>
      </c>
    </row>
    <row r="16853" spans="1:7" x14ac:dyDescent="0.2">
      <c r="A16853" t="s">
        <v>16089</v>
      </c>
      <c r="B16853" t="str">
        <f>"15152329615"</f>
        <v>15152329615</v>
      </c>
      <c r="C16853" t="str">
        <f>"320831199101204410"</f>
        <v>320831199101204410</v>
      </c>
      <c r="D16853" t="s">
        <v>16090</v>
      </c>
      <c r="E16853" t="s">
        <v>16091</v>
      </c>
      <c r="F16853" t="s">
        <v>0</v>
      </c>
      <c r="G16853" t="str">
        <f>"2018-10-12 16:13:49"</f>
        <v>2018-10-12 16:13:49</v>
      </c>
    </row>
    <row r="16854" spans="1:7" x14ac:dyDescent="0.2">
      <c r="A16854" t="s">
        <v>16092</v>
      </c>
      <c r="B16854" t="str">
        <f>"15584100014"</f>
        <v>15584100014</v>
      </c>
      <c r="C16854" t="str">
        <f>"230227198902230615"</f>
        <v>230227198902230615</v>
      </c>
      <c r="D16854" t="s">
        <v>1</v>
      </c>
      <c r="E16854" t="s">
        <v>1</v>
      </c>
      <c r="F16854" t="s">
        <v>0</v>
      </c>
      <c r="G16854" t="str">
        <f>"2018-10-12 07:50:37"</f>
        <v>2018-10-12 07:50:37</v>
      </c>
    </row>
    <row r="16855" spans="1:7" x14ac:dyDescent="0.2">
      <c r="A16855" t="s">
        <v>1</v>
      </c>
      <c r="B16855" t="str">
        <f>"15088288241"</f>
        <v>15088288241</v>
      </c>
      <c r="C16855" t="s">
        <v>1</v>
      </c>
      <c r="D16855" t="s">
        <v>1</v>
      </c>
      <c r="E16855" t="s">
        <v>1</v>
      </c>
      <c r="F16855" t="s">
        <v>0</v>
      </c>
      <c r="G16855" t="str">
        <f>"2018-10-12 07:45:25"</f>
        <v>2018-10-12 07:45:25</v>
      </c>
    </row>
    <row r="16856" spans="1:7" x14ac:dyDescent="0.2">
      <c r="A16856" t="s">
        <v>16093</v>
      </c>
      <c r="B16856" t="str">
        <f>"15594731444"</f>
        <v>15594731444</v>
      </c>
      <c r="C16856" t="str">
        <f>"610625198104170734"</f>
        <v>610625198104170734</v>
      </c>
      <c r="D16856" t="s">
        <v>1</v>
      </c>
      <c r="E16856" t="s">
        <v>1</v>
      </c>
      <c r="F16856" t="s">
        <v>0</v>
      </c>
      <c r="G16856" t="str">
        <f>"2018-10-12 07:44:07"</f>
        <v>2018-10-12 07:44:07</v>
      </c>
    </row>
    <row r="16857" spans="1:7" x14ac:dyDescent="0.2">
      <c r="A16857" t="s">
        <v>16094</v>
      </c>
      <c r="B16857" t="str">
        <f>"18223128076"</f>
        <v>18223128076</v>
      </c>
      <c r="C16857" t="str">
        <f>"500233198911257732"</f>
        <v>500233198911257732</v>
      </c>
      <c r="D16857" t="s">
        <v>16095</v>
      </c>
      <c r="E16857" t="s">
        <v>16096</v>
      </c>
      <c r="F16857" t="s">
        <v>0</v>
      </c>
      <c r="G16857" t="str">
        <f>"2018-10-12 07:40:45"</f>
        <v>2018-10-12 07:40:45</v>
      </c>
    </row>
    <row r="16858" spans="1:7" x14ac:dyDescent="0.2">
      <c r="A16858" t="s">
        <v>16097</v>
      </c>
      <c r="B16858" t="str">
        <f>"13062125307"</f>
        <v>13062125307</v>
      </c>
      <c r="C16858" t="str">
        <f>"350426198306240018"</f>
        <v>350426198306240018</v>
      </c>
      <c r="D16858" t="s">
        <v>1</v>
      </c>
      <c r="E16858" t="s">
        <v>1</v>
      </c>
      <c r="F16858" t="s">
        <v>0</v>
      </c>
      <c r="G16858" t="str">
        <f>"2018-10-12 07:41:27"</f>
        <v>2018-10-12 07:41:27</v>
      </c>
    </row>
    <row r="16859" spans="1:7" x14ac:dyDescent="0.2">
      <c r="A16859" t="s">
        <v>16098</v>
      </c>
      <c r="B16859" t="str">
        <f>"17623738594"</f>
        <v>17623738594</v>
      </c>
      <c r="C16859" t="str">
        <f>"500113199601276712"</f>
        <v>500113199601276712</v>
      </c>
      <c r="D16859" t="s">
        <v>1</v>
      </c>
      <c r="E16859" t="s">
        <v>1</v>
      </c>
      <c r="F16859" t="s">
        <v>0</v>
      </c>
      <c r="G16859" t="str">
        <f>"2018-10-12 10:11:24"</f>
        <v>2018-10-12 10:11:24</v>
      </c>
    </row>
    <row r="16860" spans="1:7" x14ac:dyDescent="0.2">
      <c r="A16860" t="s">
        <v>16099</v>
      </c>
      <c r="B16860" t="str">
        <f>"18888702406"</f>
        <v>18888702406</v>
      </c>
      <c r="C16860" t="str">
        <f>"330622197102027212"</f>
        <v>330622197102027212</v>
      </c>
      <c r="D16860" t="s">
        <v>1</v>
      </c>
      <c r="E16860" t="s">
        <v>1</v>
      </c>
      <c r="F16860" t="s">
        <v>0</v>
      </c>
      <c r="G16860" t="str">
        <f>"2018-10-12 07:39:44"</f>
        <v>2018-10-12 07:39:44</v>
      </c>
    </row>
    <row r="16861" spans="1:7" x14ac:dyDescent="0.2">
      <c r="A16861" t="s">
        <v>1</v>
      </c>
      <c r="B16861" t="str">
        <f>"18873052906"</f>
        <v>18873052906</v>
      </c>
      <c r="C16861" t="s">
        <v>1</v>
      </c>
      <c r="D16861" t="s">
        <v>1</v>
      </c>
      <c r="E16861" t="s">
        <v>1</v>
      </c>
      <c r="F16861" t="s">
        <v>0</v>
      </c>
      <c r="G16861" t="str">
        <f>"2018-10-12 07:35:34"</f>
        <v>2018-10-12 07:35:34</v>
      </c>
    </row>
    <row r="16862" spans="1:7" x14ac:dyDescent="0.2">
      <c r="A16862" t="s">
        <v>16100</v>
      </c>
      <c r="B16862" t="str">
        <f>"15052333305"</f>
        <v>15052333305</v>
      </c>
      <c r="C16862" t="str">
        <f>"321284198811060614"</f>
        <v>321284198811060614</v>
      </c>
      <c r="D16862" t="s">
        <v>16101</v>
      </c>
      <c r="E16862" t="s">
        <v>16101</v>
      </c>
      <c r="F16862" t="s">
        <v>0</v>
      </c>
      <c r="G16862" t="str">
        <f>"2018-10-12 08:01:15"</f>
        <v>2018-10-12 08:01:15</v>
      </c>
    </row>
    <row r="16863" spans="1:7" x14ac:dyDescent="0.2">
      <c r="A16863" t="s">
        <v>16102</v>
      </c>
      <c r="B16863" t="str">
        <f>"17879396874"</f>
        <v>17879396874</v>
      </c>
      <c r="C16863" t="str">
        <f>"362331199803181323"</f>
        <v>362331199803181323</v>
      </c>
      <c r="D16863" t="s">
        <v>1</v>
      </c>
      <c r="E16863" t="s">
        <v>1</v>
      </c>
      <c r="F16863" t="s">
        <v>0</v>
      </c>
      <c r="G16863" t="str">
        <f>"2018-10-14 13:03:02"</f>
        <v>2018-10-14 13:03:02</v>
      </c>
    </row>
    <row r="16864" spans="1:7" x14ac:dyDescent="0.2">
      <c r="A16864" t="s">
        <v>16103</v>
      </c>
      <c r="B16864" t="str">
        <f>"15729203380"</f>
        <v>15729203380</v>
      </c>
      <c r="C16864" t="str">
        <f>"411422199010186354"</f>
        <v>411422199010186354</v>
      </c>
      <c r="D16864" t="s">
        <v>1</v>
      </c>
      <c r="E16864" t="s">
        <v>1</v>
      </c>
      <c r="F16864" t="s">
        <v>0</v>
      </c>
      <c r="G16864" t="str">
        <f>"2018-11-02 15:17:48"</f>
        <v>2018-11-02 15:17:48</v>
      </c>
    </row>
    <row r="16865" spans="1:7" x14ac:dyDescent="0.2">
      <c r="A16865" t="s">
        <v>16104</v>
      </c>
      <c r="B16865" t="str">
        <f>"13727154269"</f>
        <v>13727154269</v>
      </c>
      <c r="C16865" t="str">
        <f>"441827198607156611"</f>
        <v>441827198607156611</v>
      </c>
      <c r="D16865" t="s">
        <v>16105</v>
      </c>
      <c r="E16865" t="s">
        <v>16106</v>
      </c>
      <c r="F16865" t="s">
        <v>0</v>
      </c>
      <c r="G16865" t="str">
        <f>"2018-10-12 07:32:19"</f>
        <v>2018-10-12 07:32:19</v>
      </c>
    </row>
    <row r="16866" spans="1:7" x14ac:dyDescent="0.2">
      <c r="A16866" t="s">
        <v>16107</v>
      </c>
      <c r="B16866" t="str">
        <f>"17602356797"</f>
        <v>17602356797</v>
      </c>
      <c r="C16866" t="str">
        <f>"50038219971007083X"</f>
        <v>50038219971007083X</v>
      </c>
      <c r="D16866" t="s">
        <v>1</v>
      </c>
      <c r="E16866" t="s">
        <v>1</v>
      </c>
      <c r="F16866" t="s">
        <v>0</v>
      </c>
      <c r="G16866" t="str">
        <f>"2018-10-12 07:31:12"</f>
        <v>2018-10-12 07:31:12</v>
      </c>
    </row>
    <row r="16867" spans="1:7" x14ac:dyDescent="0.2">
      <c r="A16867" t="s">
        <v>1</v>
      </c>
      <c r="B16867" t="str">
        <f>"13313357746"</f>
        <v>13313357746</v>
      </c>
      <c r="C16867" t="s">
        <v>1</v>
      </c>
      <c r="D16867" t="s">
        <v>1</v>
      </c>
      <c r="E16867" t="s">
        <v>1</v>
      </c>
      <c r="F16867" t="s">
        <v>0</v>
      </c>
      <c r="G16867" t="str">
        <f>"2018-10-12 07:29:22"</f>
        <v>2018-10-12 07:29:22</v>
      </c>
    </row>
    <row r="16868" spans="1:7" x14ac:dyDescent="0.2">
      <c r="A16868" t="s">
        <v>16108</v>
      </c>
      <c r="B16868" t="str">
        <f>"18785328124"</f>
        <v>18785328124</v>
      </c>
      <c r="C16868" t="str">
        <f>"52252719850420008X"</f>
        <v>52252719850420008X</v>
      </c>
      <c r="D16868" t="s">
        <v>1</v>
      </c>
      <c r="E16868" t="s">
        <v>1</v>
      </c>
      <c r="F16868" t="s">
        <v>0</v>
      </c>
      <c r="G16868" t="str">
        <f>"2018-10-12 07:28:47"</f>
        <v>2018-10-12 07:28:47</v>
      </c>
    </row>
    <row r="16869" spans="1:7" x14ac:dyDescent="0.2">
      <c r="A16869" t="s">
        <v>16109</v>
      </c>
      <c r="B16869" t="str">
        <f>"18036052579"</f>
        <v>18036052579</v>
      </c>
      <c r="C16869" t="str">
        <f>"321081198701291219"</f>
        <v>321081198701291219</v>
      </c>
      <c r="D16869" t="s">
        <v>1</v>
      </c>
      <c r="E16869" t="s">
        <v>1</v>
      </c>
      <c r="F16869" t="s">
        <v>0</v>
      </c>
      <c r="G16869" t="str">
        <f>"2018-10-20 10:24:36"</f>
        <v>2018-10-20 10:24:36</v>
      </c>
    </row>
    <row r="16870" spans="1:7" x14ac:dyDescent="0.2">
      <c r="A16870" t="s">
        <v>1</v>
      </c>
      <c r="B16870" t="str">
        <f>"15645028251"</f>
        <v>15645028251</v>
      </c>
      <c r="C16870" t="s">
        <v>1</v>
      </c>
      <c r="D16870" t="s">
        <v>1</v>
      </c>
      <c r="E16870" t="s">
        <v>1</v>
      </c>
      <c r="F16870" t="s">
        <v>0</v>
      </c>
      <c r="G16870" t="str">
        <f>"2018-10-12 07:25:04"</f>
        <v>2018-10-12 07:25:04</v>
      </c>
    </row>
    <row r="16871" spans="1:7" x14ac:dyDescent="0.2">
      <c r="A16871" t="s">
        <v>168</v>
      </c>
      <c r="B16871" t="str">
        <f>"15006111151"</f>
        <v>15006111151</v>
      </c>
      <c r="C16871" t="str">
        <f>"320402199105283773"</f>
        <v>320402199105283773</v>
      </c>
      <c r="D16871" t="s">
        <v>16110</v>
      </c>
      <c r="E16871" t="s">
        <v>16111</v>
      </c>
      <c r="F16871" t="s">
        <v>0</v>
      </c>
      <c r="G16871" t="str">
        <f>"2018-10-12 07:29:16"</f>
        <v>2018-10-12 07:29:16</v>
      </c>
    </row>
    <row r="16872" spans="1:7" x14ac:dyDescent="0.2">
      <c r="A16872" t="s">
        <v>16112</v>
      </c>
      <c r="B16872" t="str">
        <f>"17775932062"</f>
        <v>17775932062</v>
      </c>
      <c r="C16872" t="str">
        <f>"433101197402015536"</f>
        <v>433101197402015536</v>
      </c>
      <c r="D16872" t="s">
        <v>1</v>
      </c>
      <c r="E16872" t="s">
        <v>1</v>
      </c>
      <c r="F16872" t="s">
        <v>0</v>
      </c>
      <c r="G16872" t="str">
        <f>"2018-10-30 17:14:21"</f>
        <v>2018-10-30 17:14:21</v>
      </c>
    </row>
    <row r="16873" spans="1:7" x14ac:dyDescent="0.2">
      <c r="A16873" t="s">
        <v>16113</v>
      </c>
      <c r="B16873" t="str">
        <f>"13018578970"</f>
        <v>13018578970</v>
      </c>
      <c r="C16873" t="str">
        <f>"441224198108294356"</f>
        <v>441224198108294356</v>
      </c>
      <c r="D16873" t="s">
        <v>1</v>
      </c>
      <c r="E16873" t="s">
        <v>1</v>
      </c>
      <c r="F16873" t="s">
        <v>0</v>
      </c>
      <c r="G16873" t="str">
        <f>"2018-10-12 07:23:52"</f>
        <v>2018-10-12 07:23:52</v>
      </c>
    </row>
    <row r="16874" spans="1:7" x14ac:dyDescent="0.2">
      <c r="A16874" t="s">
        <v>1</v>
      </c>
      <c r="B16874" t="str">
        <f>"15641652655"</f>
        <v>15641652655</v>
      </c>
      <c r="C16874" t="s">
        <v>1</v>
      </c>
      <c r="D16874" t="s">
        <v>1</v>
      </c>
      <c r="E16874" t="s">
        <v>1</v>
      </c>
      <c r="F16874" t="s">
        <v>0</v>
      </c>
      <c r="G16874" t="str">
        <f>"2018-10-12 07:22:39"</f>
        <v>2018-10-12 07:22:39</v>
      </c>
    </row>
    <row r="16875" spans="1:7" x14ac:dyDescent="0.2">
      <c r="A16875" t="s">
        <v>16114</v>
      </c>
      <c r="B16875" t="str">
        <f>"18745210123"</f>
        <v>18745210123</v>
      </c>
      <c r="C16875" t="str">
        <f>"230205198101060013"</f>
        <v>230205198101060013</v>
      </c>
      <c r="D16875" t="s">
        <v>1</v>
      </c>
      <c r="E16875" t="s">
        <v>1</v>
      </c>
      <c r="F16875" t="s">
        <v>0</v>
      </c>
      <c r="G16875" t="str">
        <f>"2018-10-12 07:24:18"</f>
        <v>2018-10-12 07:24:18</v>
      </c>
    </row>
    <row r="16876" spans="1:7" x14ac:dyDescent="0.2">
      <c r="A16876" t="s">
        <v>1</v>
      </c>
      <c r="B16876" t="str">
        <f>"18405124665"</f>
        <v>18405124665</v>
      </c>
      <c r="C16876" t="s">
        <v>1</v>
      </c>
      <c r="D16876" t="s">
        <v>1</v>
      </c>
      <c r="E16876" t="s">
        <v>1</v>
      </c>
      <c r="F16876" t="s">
        <v>0</v>
      </c>
      <c r="G16876" t="str">
        <f>"2018-10-12 07:20:14"</f>
        <v>2018-10-12 07:20:14</v>
      </c>
    </row>
    <row r="16877" spans="1:7" x14ac:dyDescent="0.2">
      <c r="A16877" t="s">
        <v>16115</v>
      </c>
      <c r="B16877" t="str">
        <f>"13512208724"</f>
        <v>13512208724</v>
      </c>
      <c r="C16877" t="str">
        <f>"120111198003210053"</f>
        <v>120111198003210053</v>
      </c>
      <c r="D16877" t="s">
        <v>1</v>
      </c>
      <c r="E16877" t="s">
        <v>1</v>
      </c>
      <c r="F16877" t="s">
        <v>0</v>
      </c>
      <c r="G16877" t="str">
        <f>"2018-10-12 07:18:03"</f>
        <v>2018-10-12 07:18:03</v>
      </c>
    </row>
    <row r="16878" spans="1:7" x14ac:dyDescent="0.2">
      <c r="A16878" t="s">
        <v>16116</v>
      </c>
      <c r="B16878" t="str">
        <f>"18870713568"</f>
        <v>18870713568</v>
      </c>
      <c r="C16878" t="str">
        <f>"360724199605123524"</f>
        <v>360724199605123524</v>
      </c>
      <c r="D16878" t="s">
        <v>1</v>
      </c>
      <c r="E16878" t="s">
        <v>1</v>
      </c>
      <c r="F16878" t="s">
        <v>0</v>
      </c>
      <c r="G16878" t="str">
        <f>"2018-10-12 07:15:57"</f>
        <v>2018-10-12 07:15:57</v>
      </c>
    </row>
    <row r="16879" spans="1:7" x14ac:dyDescent="0.2">
      <c r="A16879" t="s">
        <v>1790</v>
      </c>
      <c r="B16879" t="str">
        <f>"18735738250"</f>
        <v>18735738250</v>
      </c>
      <c r="C16879" t="str">
        <f>"142724199206183117"</f>
        <v>142724199206183117</v>
      </c>
      <c r="D16879" t="s">
        <v>1</v>
      </c>
      <c r="E16879" t="s">
        <v>1</v>
      </c>
      <c r="F16879" t="s">
        <v>0</v>
      </c>
      <c r="G16879" t="str">
        <f>"2018-10-14 16:27:08"</f>
        <v>2018-10-14 16:27:08</v>
      </c>
    </row>
    <row r="16880" spans="1:7" x14ac:dyDescent="0.2">
      <c r="A16880" t="s">
        <v>1</v>
      </c>
      <c r="B16880" t="str">
        <f>"18385630962"</f>
        <v>18385630962</v>
      </c>
      <c r="C16880" t="s">
        <v>1</v>
      </c>
      <c r="D16880" t="s">
        <v>1</v>
      </c>
      <c r="E16880" t="s">
        <v>1</v>
      </c>
      <c r="F16880" t="s">
        <v>0</v>
      </c>
      <c r="G16880" t="str">
        <f>"2018-10-12 07:15:57"</f>
        <v>2018-10-12 07:15:57</v>
      </c>
    </row>
    <row r="16881" spans="1:7" x14ac:dyDescent="0.2">
      <c r="A16881" t="s">
        <v>16117</v>
      </c>
      <c r="B16881" t="str">
        <f>"18902133888"</f>
        <v>18902133888</v>
      </c>
      <c r="C16881" t="str">
        <f>"120108197901123514"</f>
        <v>120108197901123514</v>
      </c>
      <c r="D16881" t="s">
        <v>1</v>
      </c>
      <c r="E16881" t="s">
        <v>1</v>
      </c>
      <c r="F16881" t="s">
        <v>0</v>
      </c>
      <c r="G16881" t="str">
        <f>"2018-10-12 07:15:15"</f>
        <v>2018-10-12 07:15:15</v>
      </c>
    </row>
    <row r="16882" spans="1:7" x14ac:dyDescent="0.2">
      <c r="A16882" t="s">
        <v>1</v>
      </c>
      <c r="B16882" t="str">
        <f>"15885053702"</f>
        <v>15885053702</v>
      </c>
      <c r="C16882" t="s">
        <v>1</v>
      </c>
      <c r="D16882" t="s">
        <v>1</v>
      </c>
      <c r="E16882" t="s">
        <v>1</v>
      </c>
      <c r="F16882" t="s">
        <v>0</v>
      </c>
      <c r="G16882" t="str">
        <f>"2018-10-12 07:11:39"</f>
        <v>2018-10-12 07:11:39</v>
      </c>
    </row>
    <row r="16883" spans="1:7" x14ac:dyDescent="0.2">
      <c r="A16883" t="s">
        <v>16118</v>
      </c>
      <c r="B16883" t="str">
        <f>"18745982100"</f>
        <v>18745982100</v>
      </c>
      <c r="C16883" t="str">
        <f>"232126197512253278"</f>
        <v>232126197512253278</v>
      </c>
      <c r="D16883" t="s">
        <v>1</v>
      </c>
      <c r="E16883" t="s">
        <v>1</v>
      </c>
      <c r="F16883" t="s">
        <v>0</v>
      </c>
      <c r="G16883" t="str">
        <f>"2018-10-12 07:12:17"</f>
        <v>2018-10-12 07:12:17</v>
      </c>
    </row>
    <row r="16884" spans="1:7" x14ac:dyDescent="0.2">
      <c r="A16884" t="s">
        <v>1</v>
      </c>
      <c r="B16884" t="str">
        <f>"15257125630"</f>
        <v>15257125630</v>
      </c>
      <c r="C16884" t="s">
        <v>1</v>
      </c>
      <c r="D16884" t="s">
        <v>1</v>
      </c>
      <c r="E16884" t="s">
        <v>1</v>
      </c>
      <c r="F16884" t="s">
        <v>0</v>
      </c>
      <c r="G16884" t="str">
        <f>"2018-10-12 07:09:07"</f>
        <v>2018-10-12 07:09:07</v>
      </c>
    </row>
    <row r="16885" spans="1:7" x14ac:dyDescent="0.2">
      <c r="A16885" t="s">
        <v>16119</v>
      </c>
      <c r="B16885" t="str">
        <f>"13091360609"</f>
        <v>13091360609</v>
      </c>
      <c r="C16885" t="str">
        <f>"130321198710283118"</f>
        <v>130321198710283118</v>
      </c>
      <c r="D16885" t="s">
        <v>16120</v>
      </c>
      <c r="E16885" t="s">
        <v>16121</v>
      </c>
      <c r="F16885" t="s">
        <v>0</v>
      </c>
      <c r="G16885" t="str">
        <f>"2018-10-14 08:44:46"</f>
        <v>2018-10-14 08:44:46</v>
      </c>
    </row>
    <row r="16886" spans="1:7" x14ac:dyDescent="0.2">
      <c r="A16886" t="s">
        <v>16122</v>
      </c>
      <c r="B16886" t="str">
        <f>"18652158271"</f>
        <v>18652158271</v>
      </c>
      <c r="C16886" t="str">
        <f>"321322199003242234"</f>
        <v>321322199003242234</v>
      </c>
      <c r="D16886" t="s">
        <v>1</v>
      </c>
      <c r="E16886" t="s">
        <v>1</v>
      </c>
      <c r="F16886" t="s">
        <v>0</v>
      </c>
      <c r="G16886" t="str">
        <f>"2018-10-12 07:01:46"</f>
        <v>2018-10-12 07:01:46</v>
      </c>
    </row>
    <row r="16887" spans="1:7" x14ac:dyDescent="0.2">
      <c r="A16887" t="s">
        <v>16123</v>
      </c>
      <c r="B16887" t="str">
        <f>"15923176488"</f>
        <v>15923176488</v>
      </c>
      <c r="C16887" t="str">
        <f>"510226197609226357"</f>
        <v>510226197609226357</v>
      </c>
      <c r="D16887" t="s">
        <v>1</v>
      </c>
      <c r="E16887" t="s">
        <v>1</v>
      </c>
      <c r="F16887" t="s">
        <v>0</v>
      </c>
      <c r="G16887" t="str">
        <f>"2018-10-12 07:08:32"</f>
        <v>2018-10-12 07:08:32</v>
      </c>
    </row>
    <row r="16888" spans="1:7" x14ac:dyDescent="0.2">
      <c r="A16888" t="s">
        <v>16124</v>
      </c>
      <c r="B16888" t="str">
        <f>"13930127513"</f>
        <v>13930127513</v>
      </c>
      <c r="C16888" t="str">
        <f>"130434198508276974"</f>
        <v>130434198508276974</v>
      </c>
      <c r="D16888" t="s">
        <v>1</v>
      </c>
      <c r="E16888" t="s">
        <v>1</v>
      </c>
      <c r="F16888" t="s">
        <v>0</v>
      </c>
      <c r="G16888" t="str">
        <f>"2018-10-12 07:01:15"</f>
        <v>2018-10-12 07:01:15</v>
      </c>
    </row>
    <row r="16889" spans="1:7" x14ac:dyDescent="0.2">
      <c r="A16889" t="s">
        <v>1</v>
      </c>
      <c r="B16889" t="str">
        <f>"13866848222"</f>
        <v>13866848222</v>
      </c>
      <c r="C16889" t="s">
        <v>1</v>
      </c>
      <c r="D16889" t="s">
        <v>1</v>
      </c>
      <c r="E16889" t="s">
        <v>1</v>
      </c>
      <c r="F16889" t="s">
        <v>0</v>
      </c>
      <c r="G16889" t="str">
        <f>"2018-10-12 06:52:49"</f>
        <v>2018-10-12 06:52:49</v>
      </c>
    </row>
    <row r="16890" spans="1:7" x14ac:dyDescent="0.2">
      <c r="A16890" t="s">
        <v>16125</v>
      </c>
      <c r="B16890" t="str">
        <f>"17768015845"</f>
        <v>17768015845</v>
      </c>
      <c r="C16890" t="str">
        <f>"32092519891225583X"</f>
        <v>32092519891225583X</v>
      </c>
      <c r="D16890" t="s">
        <v>16126</v>
      </c>
      <c r="E16890" t="s">
        <v>16127</v>
      </c>
      <c r="F16890" t="s">
        <v>0</v>
      </c>
      <c r="G16890" t="str">
        <f>"2018-11-01 17:59:34"</f>
        <v>2018-11-01 17:59:34</v>
      </c>
    </row>
    <row r="16891" spans="1:7" x14ac:dyDescent="0.2">
      <c r="A16891" t="s">
        <v>16128</v>
      </c>
      <c r="B16891" t="str">
        <f>"13179273456"</f>
        <v>13179273456</v>
      </c>
      <c r="C16891" t="str">
        <f>"220281198007057410"</f>
        <v>220281198007057410</v>
      </c>
      <c r="D16891" t="s">
        <v>1</v>
      </c>
      <c r="E16891" t="s">
        <v>1</v>
      </c>
      <c r="F16891" t="s">
        <v>0</v>
      </c>
      <c r="G16891" t="str">
        <f>"2018-10-12 06:47:32"</f>
        <v>2018-10-12 06:47:32</v>
      </c>
    </row>
    <row r="16892" spans="1:7" x14ac:dyDescent="0.2">
      <c r="A16892" t="s">
        <v>16129</v>
      </c>
      <c r="B16892" t="str">
        <f>"18744065639"</f>
        <v>18744065639</v>
      </c>
      <c r="C16892" t="str">
        <f>"220124197009234233"</f>
        <v>220124197009234233</v>
      </c>
      <c r="D16892" t="s">
        <v>1</v>
      </c>
      <c r="E16892" t="s">
        <v>1</v>
      </c>
      <c r="F16892" t="s">
        <v>0</v>
      </c>
      <c r="G16892" t="str">
        <f>"2018-10-12 06:31:24"</f>
        <v>2018-10-12 06:31:24</v>
      </c>
    </row>
    <row r="16893" spans="1:7" x14ac:dyDescent="0.2">
      <c r="A16893" t="s">
        <v>16130</v>
      </c>
      <c r="B16893" t="str">
        <f>"15699182635"</f>
        <v>15699182635</v>
      </c>
      <c r="C16893" t="str">
        <f>"622424199108080438"</f>
        <v>622424199108080438</v>
      </c>
      <c r="D16893" t="s">
        <v>1</v>
      </c>
      <c r="E16893" t="s">
        <v>1</v>
      </c>
      <c r="F16893" t="s">
        <v>0</v>
      </c>
      <c r="G16893" t="str">
        <f>"2018-10-12 06:39:23"</f>
        <v>2018-10-12 06:39:23</v>
      </c>
    </row>
    <row r="16894" spans="1:7" x14ac:dyDescent="0.2">
      <c r="A16894" t="s">
        <v>16131</v>
      </c>
      <c r="B16894" t="str">
        <f>"17865938940"</f>
        <v>17865938940</v>
      </c>
      <c r="C16894" t="str">
        <f>"370321199704111546"</f>
        <v>370321199704111546</v>
      </c>
      <c r="D16894" t="s">
        <v>16132</v>
      </c>
      <c r="E16894" t="s">
        <v>16133</v>
      </c>
      <c r="F16894" t="s">
        <v>0</v>
      </c>
      <c r="G16894" t="str">
        <f>"2018-10-12 06:28:25"</f>
        <v>2018-10-12 06:28:25</v>
      </c>
    </row>
    <row r="16895" spans="1:7" x14ac:dyDescent="0.2">
      <c r="A16895" t="s">
        <v>16134</v>
      </c>
      <c r="B16895" t="str">
        <f>"18306636142"</f>
        <v>18306636142</v>
      </c>
      <c r="C16895" t="str">
        <f>"445221199208046965"</f>
        <v>445221199208046965</v>
      </c>
      <c r="D16895" t="s">
        <v>1</v>
      </c>
      <c r="E16895" t="s">
        <v>1</v>
      </c>
      <c r="F16895" t="s">
        <v>0</v>
      </c>
      <c r="G16895" t="str">
        <f>"2018-10-12 17:08:15"</f>
        <v>2018-10-12 17:08:15</v>
      </c>
    </row>
    <row r="16896" spans="1:7" x14ac:dyDescent="0.2">
      <c r="A16896" t="s">
        <v>16135</v>
      </c>
      <c r="B16896" t="str">
        <f>"13286113563"</f>
        <v>13286113563</v>
      </c>
      <c r="C16896" t="str">
        <f>"44078319990129271X"</f>
        <v>44078319990129271X</v>
      </c>
      <c r="D16896" t="s">
        <v>1</v>
      </c>
      <c r="E16896" t="s">
        <v>1</v>
      </c>
      <c r="F16896" t="s">
        <v>0</v>
      </c>
      <c r="G16896" t="str">
        <f>"2018-10-31 00:43:46"</f>
        <v>2018-10-31 00:43:46</v>
      </c>
    </row>
    <row r="16897" spans="1:7" x14ac:dyDescent="0.2">
      <c r="A16897" t="s">
        <v>1</v>
      </c>
      <c r="B16897" t="str">
        <f>"13795494068"</f>
        <v>13795494068</v>
      </c>
      <c r="C16897" t="s">
        <v>1</v>
      </c>
      <c r="D16897" t="s">
        <v>1</v>
      </c>
      <c r="E16897" t="s">
        <v>1</v>
      </c>
      <c r="F16897" t="s">
        <v>0</v>
      </c>
      <c r="G16897" t="str">
        <f>"2018-10-12 08:17:55"</f>
        <v>2018-10-12 08:17:55</v>
      </c>
    </row>
    <row r="16898" spans="1:7" x14ac:dyDescent="0.2">
      <c r="A16898" t="s">
        <v>16136</v>
      </c>
      <c r="B16898" t="str">
        <f>"17762608115"</f>
        <v>17762608115</v>
      </c>
      <c r="C16898" t="str">
        <f>"420703199003083371"</f>
        <v>420703199003083371</v>
      </c>
      <c r="D16898" t="s">
        <v>1</v>
      </c>
      <c r="E16898" t="s">
        <v>1</v>
      </c>
      <c r="F16898" t="s">
        <v>0</v>
      </c>
      <c r="G16898" t="str">
        <f>"2018-10-12 06:09:03"</f>
        <v>2018-10-12 06:09:03</v>
      </c>
    </row>
    <row r="16899" spans="1:7" x14ac:dyDescent="0.2">
      <c r="A16899" t="s">
        <v>16137</v>
      </c>
      <c r="B16899" t="str">
        <f>"18760456552"</f>
        <v>18760456552</v>
      </c>
      <c r="C16899" t="str">
        <f>"350627199611300058"</f>
        <v>350627199611300058</v>
      </c>
      <c r="D16899" t="s">
        <v>1</v>
      </c>
      <c r="E16899" t="s">
        <v>1</v>
      </c>
      <c r="F16899" t="s">
        <v>0</v>
      </c>
      <c r="G16899" t="str">
        <f>"2018-10-12 06:04:49"</f>
        <v>2018-10-12 06:04:49</v>
      </c>
    </row>
    <row r="16900" spans="1:7" x14ac:dyDescent="0.2">
      <c r="A16900" t="s">
        <v>16138</v>
      </c>
      <c r="B16900" t="str">
        <f>"13787690088"</f>
        <v>13787690088</v>
      </c>
      <c r="C16900" t="str">
        <f>"431124198906210332"</f>
        <v>431124198906210332</v>
      </c>
      <c r="D16900" t="s">
        <v>1</v>
      </c>
      <c r="E16900" t="s">
        <v>1</v>
      </c>
      <c r="F16900" t="s">
        <v>0</v>
      </c>
      <c r="G16900" t="str">
        <f>"2018-10-12 06:16:02"</f>
        <v>2018-10-12 06:16:02</v>
      </c>
    </row>
    <row r="16901" spans="1:7" x14ac:dyDescent="0.2">
      <c r="A16901" t="s">
        <v>16139</v>
      </c>
      <c r="B16901" t="str">
        <f>"15763360917"</f>
        <v>15763360917</v>
      </c>
      <c r="C16901" t="str">
        <f>"371122198410110048"</f>
        <v>371122198410110048</v>
      </c>
      <c r="D16901" t="s">
        <v>16140</v>
      </c>
      <c r="E16901" t="s">
        <v>16141</v>
      </c>
      <c r="F16901" t="s">
        <v>0</v>
      </c>
      <c r="G16901" t="str">
        <f>"2018-10-12 05:48:33"</f>
        <v>2018-10-12 05:48:33</v>
      </c>
    </row>
    <row r="16902" spans="1:7" x14ac:dyDescent="0.2">
      <c r="A16902" t="s">
        <v>1</v>
      </c>
      <c r="B16902" t="str">
        <f>"15837510862"</f>
        <v>15837510862</v>
      </c>
      <c r="C16902" t="s">
        <v>1</v>
      </c>
      <c r="D16902" t="s">
        <v>1</v>
      </c>
      <c r="E16902" t="s">
        <v>1</v>
      </c>
      <c r="F16902" t="s">
        <v>0</v>
      </c>
      <c r="G16902" t="str">
        <f>"2018-10-12 05:47:21"</f>
        <v>2018-10-12 05:47:21</v>
      </c>
    </row>
    <row r="16903" spans="1:7" x14ac:dyDescent="0.2">
      <c r="A16903" t="s">
        <v>1</v>
      </c>
      <c r="B16903" t="str">
        <f>"15007115222"</f>
        <v>15007115222</v>
      </c>
      <c r="C16903" t="s">
        <v>1</v>
      </c>
      <c r="D16903" t="s">
        <v>1</v>
      </c>
      <c r="E16903" t="s">
        <v>1</v>
      </c>
      <c r="F16903" t="s">
        <v>0</v>
      </c>
      <c r="G16903" t="str">
        <f>"2018-10-12 05:26:31"</f>
        <v>2018-10-12 05:26:31</v>
      </c>
    </row>
    <row r="16904" spans="1:7" x14ac:dyDescent="0.2">
      <c r="A16904" t="s">
        <v>1</v>
      </c>
      <c r="B16904" t="str">
        <f>"18687615710"</f>
        <v>18687615710</v>
      </c>
      <c r="C16904" t="s">
        <v>1</v>
      </c>
      <c r="D16904" t="s">
        <v>1</v>
      </c>
      <c r="E16904" t="s">
        <v>1</v>
      </c>
      <c r="F16904" t="s">
        <v>0</v>
      </c>
      <c r="G16904" t="str">
        <f>"2018-10-12 04:38:47"</f>
        <v>2018-10-12 04:38:47</v>
      </c>
    </row>
    <row r="16905" spans="1:7" x14ac:dyDescent="0.2">
      <c r="A16905" t="s">
        <v>4746</v>
      </c>
      <c r="B16905" t="str">
        <f>"18674841115"</f>
        <v>18674841115</v>
      </c>
      <c r="C16905" t="str">
        <f>"43010519870108132X"</f>
        <v>43010519870108132X</v>
      </c>
      <c r="D16905" t="s">
        <v>1</v>
      </c>
      <c r="E16905" t="s">
        <v>1</v>
      </c>
      <c r="F16905" t="s">
        <v>0</v>
      </c>
      <c r="G16905" t="str">
        <f>"2018-10-12 11:39:30"</f>
        <v>2018-10-12 11:39:30</v>
      </c>
    </row>
    <row r="16906" spans="1:7" x14ac:dyDescent="0.2">
      <c r="A16906" t="s">
        <v>23</v>
      </c>
      <c r="B16906" t="str">
        <f>"13181437571"</f>
        <v>13181437571</v>
      </c>
      <c r="C16906" t="str">
        <f>"370402198202252519"</f>
        <v>370402198202252519</v>
      </c>
      <c r="D16906" t="s">
        <v>16142</v>
      </c>
      <c r="E16906" t="s">
        <v>16143</v>
      </c>
      <c r="F16906" t="s">
        <v>0</v>
      </c>
      <c r="G16906" t="str">
        <f>"2018-10-25 03:55:21"</f>
        <v>2018-10-25 03:55:21</v>
      </c>
    </row>
    <row r="16907" spans="1:7" x14ac:dyDescent="0.2">
      <c r="A16907" t="s">
        <v>2622</v>
      </c>
      <c r="B16907" t="str">
        <f>"18086626658"</f>
        <v>18086626658</v>
      </c>
      <c r="C16907" t="str">
        <f>"420123198003044549"</f>
        <v>420123198003044549</v>
      </c>
      <c r="D16907" t="s">
        <v>16144</v>
      </c>
      <c r="E16907" t="s">
        <v>16145</v>
      </c>
      <c r="F16907" t="s">
        <v>0</v>
      </c>
      <c r="G16907" t="str">
        <f>"2018-10-12 06:23:24"</f>
        <v>2018-10-12 06:23:24</v>
      </c>
    </row>
    <row r="16908" spans="1:7" x14ac:dyDescent="0.2">
      <c r="A16908" t="s">
        <v>16146</v>
      </c>
      <c r="B16908" t="str">
        <f>"15527322351"</f>
        <v>15527322351</v>
      </c>
      <c r="C16908" t="str">
        <f>"42011619890715523X"</f>
        <v>42011619890715523X</v>
      </c>
      <c r="D16908" t="s">
        <v>16147</v>
      </c>
      <c r="E16908" t="s">
        <v>16148</v>
      </c>
      <c r="F16908" t="s">
        <v>0</v>
      </c>
      <c r="G16908" t="str">
        <f>"2018-10-12 03:30:23"</f>
        <v>2018-10-12 03:30:23</v>
      </c>
    </row>
    <row r="16909" spans="1:7" x14ac:dyDescent="0.2">
      <c r="A16909" t="s">
        <v>16149</v>
      </c>
      <c r="B16909" t="str">
        <f>"15671189977"</f>
        <v>15671189977</v>
      </c>
      <c r="C16909" t="str">
        <f>"42900419850525315X"</f>
        <v>42900419850525315X</v>
      </c>
      <c r="D16909" t="s">
        <v>16150</v>
      </c>
      <c r="E16909" t="s">
        <v>16151</v>
      </c>
      <c r="F16909" t="s">
        <v>0</v>
      </c>
      <c r="G16909" t="str">
        <f>"2018-10-30 21:57:04"</f>
        <v>2018-10-30 21:57:04</v>
      </c>
    </row>
    <row r="16910" spans="1:7" x14ac:dyDescent="0.2">
      <c r="A16910" t="s">
        <v>16152</v>
      </c>
      <c r="B16910" t="str">
        <f>"18187274990"</f>
        <v>18187274990</v>
      </c>
      <c r="C16910" t="str">
        <f>"533522199310010830"</f>
        <v>533522199310010830</v>
      </c>
      <c r="D16910" t="s">
        <v>1</v>
      </c>
      <c r="E16910" t="s">
        <v>1</v>
      </c>
      <c r="F16910" t="s">
        <v>0</v>
      </c>
      <c r="G16910" t="str">
        <f>"2018-10-12 03:52:22"</f>
        <v>2018-10-12 03:52:22</v>
      </c>
    </row>
    <row r="16911" spans="1:7" x14ac:dyDescent="0.2">
      <c r="A16911" t="s">
        <v>16153</v>
      </c>
      <c r="B16911" t="str">
        <f>"13249560852"</f>
        <v>13249560852</v>
      </c>
      <c r="C16911" t="str">
        <f>"440582197808240652"</f>
        <v>440582197808240652</v>
      </c>
      <c r="D16911" t="s">
        <v>1</v>
      </c>
      <c r="E16911" t="s">
        <v>1</v>
      </c>
      <c r="F16911" t="s">
        <v>0</v>
      </c>
      <c r="G16911" t="str">
        <f>"2018-10-12 02:41:48"</f>
        <v>2018-10-12 02:41:48</v>
      </c>
    </row>
    <row r="16912" spans="1:7" x14ac:dyDescent="0.2">
      <c r="A16912" t="s">
        <v>16154</v>
      </c>
      <c r="B16912" t="str">
        <f>"17620364163"</f>
        <v>17620364163</v>
      </c>
      <c r="C16912" t="str">
        <f>"421281198905272911"</f>
        <v>421281198905272911</v>
      </c>
      <c r="D16912" t="s">
        <v>16155</v>
      </c>
      <c r="E16912" t="s">
        <v>16156</v>
      </c>
      <c r="F16912" t="s">
        <v>0</v>
      </c>
      <c r="G16912" t="str">
        <f>"2018-10-12 03:52:29"</f>
        <v>2018-10-12 03:52:29</v>
      </c>
    </row>
    <row r="16913" spans="1:7" x14ac:dyDescent="0.2">
      <c r="A16913" t="s">
        <v>16157</v>
      </c>
      <c r="B16913" t="str">
        <f>"17736775373"</f>
        <v>17736775373</v>
      </c>
      <c r="C16913" t="str">
        <f>"220283198210026217"</f>
        <v>220283198210026217</v>
      </c>
      <c r="D16913" t="s">
        <v>1</v>
      </c>
      <c r="E16913" t="s">
        <v>1</v>
      </c>
      <c r="F16913" t="s">
        <v>0</v>
      </c>
      <c r="G16913" t="str">
        <f>"2018-10-12 02:12:45"</f>
        <v>2018-10-12 02:12:45</v>
      </c>
    </row>
    <row r="16914" spans="1:7" x14ac:dyDescent="0.2">
      <c r="A16914" t="s">
        <v>16158</v>
      </c>
      <c r="B16914" t="str">
        <f>"15990950667"</f>
        <v>15990950667</v>
      </c>
      <c r="C16914" t="str">
        <f>"372901198811146642"</f>
        <v>372901198811146642</v>
      </c>
      <c r="D16914" t="s">
        <v>1</v>
      </c>
      <c r="E16914" t="s">
        <v>1</v>
      </c>
      <c r="F16914" t="s">
        <v>0</v>
      </c>
      <c r="G16914" t="str">
        <f>"2018-10-12 08:52:30"</f>
        <v>2018-10-12 08:52:30</v>
      </c>
    </row>
    <row r="16915" spans="1:7" x14ac:dyDescent="0.2">
      <c r="A16915" t="s">
        <v>16159</v>
      </c>
      <c r="B16915" t="str">
        <f>"15926633447"</f>
        <v>15926633447</v>
      </c>
      <c r="C16915" t="str">
        <f>"421087199104274724"</f>
        <v>421087199104274724</v>
      </c>
      <c r="D16915" t="s">
        <v>1</v>
      </c>
      <c r="E16915" t="s">
        <v>1</v>
      </c>
      <c r="F16915" t="s">
        <v>0</v>
      </c>
      <c r="G16915" t="str">
        <f>"2018-11-03 15:55:58"</f>
        <v>2018-11-03 15:55:58</v>
      </c>
    </row>
    <row r="16916" spans="1:7" x14ac:dyDescent="0.2">
      <c r="A16916" t="s">
        <v>1701</v>
      </c>
      <c r="B16916" t="str">
        <f>"18052827277"</f>
        <v>18052827277</v>
      </c>
      <c r="C16916" t="str">
        <f>"321121199307301419"</f>
        <v>321121199307301419</v>
      </c>
      <c r="D16916" t="s">
        <v>16160</v>
      </c>
      <c r="E16916" t="s">
        <v>16161</v>
      </c>
      <c r="F16916" t="s">
        <v>0</v>
      </c>
      <c r="G16916" t="str">
        <f>"2018-10-12 02:02:00"</f>
        <v>2018-10-12 02:02:00</v>
      </c>
    </row>
    <row r="16917" spans="1:7" x14ac:dyDescent="0.2">
      <c r="A16917" t="s">
        <v>780</v>
      </c>
      <c r="B16917" t="str">
        <f>"13936091509"</f>
        <v>13936091509</v>
      </c>
      <c r="C16917" t="str">
        <f>"230107199007180248"</f>
        <v>230107199007180248</v>
      </c>
      <c r="D16917" t="s">
        <v>1</v>
      </c>
      <c r="E16917" t="s">
        <v>1</v>
      </c>
      <c r="F16917" t="s">
        <v>0</v>
      </c>
      <c r="G16917" t="str">
        <f>"2018-10-12 01:55:08"</f>
        <v>2018-10-12 01:55:08</v>
      </c>
    </row>
    <row r="16918" spans="1:7" x14ac:dyDescent="0.2">
      <c r="A16918" t="s">
        <v>1</v>
      </c>
      <c r="B16918" t="str">
        <f>"15185104189"</f>
        <v>15185104189</v>
      </c>
      <c r="C16918" t="s">
        <v>1</v>
      </c>
      <c r="D16918" t="s">
        <v>1</v>
      </c>
      <c r="E16918" t="s">
        <v>1</v>
      </c>
      <c r="F16918" t="s">
        <v>0</v>
      </c>
      <c r="G16918" t="str">
        <f>"2018-10-12 01:51:36"</f>
        <v>2018-10-12 01:51:36</v>
      </c>
    </row>
    <row r="16919" spans="1:7" x14ac:dyDescent="0.2">
      <c r="A16919" t="s">
        <v>16162</v>
      </c>
      <c r="B16919" t="str">
        <f>"13052019118"</f>
        <v>13052019118</v>
      </c>
      <c r="C16919" t="str">
        <f>"35052119841125655X"</f>
        <v>35052119841125655X</v>
      </c>
      <c r="D16919" t="s">
        <v>1</v>
      </c>
      <c r="E16919" t="s">
        <v>1</v>
      </c>
      <c r="F16919" t="s">
        <v>0</v>
      </c>
      <c r="G16919" t="str">
        <f>"2018-10-15 00:42:44"</f>
        <v>2018-10-15 00:42:44</v>
      </c>
    </row>
    <row r="16920" spans="1:7" x14ac:dyDescent="0.2">
      <c r="A16920" t="s">
        <v>1578</v>
      </c>
      <c r="B16920" t="str">
        <f>"13551594007"</f>
        <v>13551594007</v>
      </c>
      <c r="C16920" t="str">
        <f>"513126199512030610"</f>
        <v>513126199512030610</v>
      </c>
      <c r="D16920" t="s">
        <v>16163</v>
      </c>
      <c r="E16920" t="s">
        <v>16164</v>
      </c>
      <c r="F16920" t="s">
        <v>0</v>
      </c>
      <c r="G16920" t="str">
        <f>"2018-10-12 01:50:22"</f>
        <v>2018-10-12 01:50:22</v>
      </c>
    </row>
    <row r="16921" spans="1:7" x14ac:dyDescent="0.2">
      <c r="A16921" t="s">
        <v>16165</v>
      </c>
      <c r="B16921" t="str">
        <f>"18249551515"</f>
        <v>18249551515</v>
      </c>
      <c r="C16921" t="str">
        <f>"230603199107064019"</f>
        <v>230603199107064019</v>
      </c>
      <c r="D16921" t="s">
        <v>1</v>
      </c>
      <c r="E16921" t="s">
        <v>1</v>
      </c>
      <c r="F16921" t="s">
        <v>0</v>
      </c>
      <c r="G16921" t="str">
        <f>"2018-10-12 01:38:02"</f>
        <v>2018-10-12 01:38:02</v>
      </c>
    </row>
    <row r="16922" spans="1:7" x14ac:dyDescent="0.2">
      <c r="A16922" t="s">
        <v>16166</v>
      </c>
      <c r="B16922" t="str">
        <f>"13665931656"</f>
        <v>13665931656</v>
      </c>
      <c r="C16922" t="str">
        <f>"350524198707067431"</f>
        <v>350524198707067431</v>
      </c>
      <c r="D16922" t="s">
        <v>1</v>
      </c>
      <c r="E16922" t="s">
        <v>1</v>
      </c>
      <c r="F16922" t="s">
        <v>0</v>
      </c>
      <c r="G16922" t="str">
        <f>"2018-10-15 09:16:12"</f>
        <v>2018-10-15 09:16:12</v>
      </c>
    </row>
    <row r="16923" spans="1:7" x14ac:dyDescent="0.2">
      <c r="A16923" t="s">
        <v>1</v>
      </c>
      <c r="B16923" t="str">
        <f>"15391006462"</f>
        <v>15391006462</v>
      </c>
      <c r="C16923" t="s">
        <v>1</v>
      </c>
      <c r="D16923" t="s">
        <v>1</v>
      </c>
      <c r="E16923" t="s">
        <v>1</v>
      </c>
      <c r="F16923" t="s">
        <v>0</v>
      </c>
      <c r="G16923" t="str">
        <f>"2018-10-12 01:50:20"</f>
        <v>2018-10-12 01:50:20</v>
      </c>
    </row>
    <row r="16924" spans="1:7" x14ac:dyDescent="0.2">
      <c r="A16924" t="s">
        <v>1</v>
      </c>
      <c r="B16924" t="str">
        <f>"18583794333"</f>
        <v>18583794333</v>
      </c>
      <c r="C16924" t="s">
        <v>1</v>
      </c>
      <c r="D16924" t="s">
        <v>1</v>
      </c>
      <c r="E16924" t="s">
        <v>1</v>
      </c>
      <c r="F16924" t="s">
        <v>0</v>
      </c>
      <c r="G16924" t="str">
        <f>"2018-10-12 01:34:30"</f>
        <v>2018-10-12 01:34:30</v>
      </c>
    </row>
    <row r="16925" spans="1:7" x14ac:dyDescent="0.2">
      <c r="A16925" t="s">
        <v>16167</v>
      </c>
      <c r="B16925" t="str">
        <f>"13769158720"</f>
        <v>13769158720</v>
      </c>
      <c r="C16925" t="str">
        <f>"53222619820928112X"</f>
        <v>53222619820928112X</v>
      </c>
      <c r="D16925" t="s">
        <v>16168</v>
      </c>
      <c r="E16925" t="s">
        <v>16169</v>
      </c>
      <c r="F16925" t="s">
        <v>0</v>
      </c>
      <c r="G16925" t="str">
        <f>"2018-10-12 11:13:30"</f>
        <v>2018-10-12 11:13:30</v>
      </c>
    </row>
    <row r="16926" spans="1:7" x14ac:dyDescent="0.2">
      <c r="A16926" t="s">
        <v>11349</v>
      </c>
      <c r="B16926" t="str">
        <f>"18856624099"</f>
        <v>18856624099</v>
      </c>
      <c r="C16926" t="str">
        <f>"342901199511196436"</f>
        <v>342901199511196436</v>
      </c>
      <c r="D16926" t="s">
        <v>16170</v>
      </c>
      <c r="E16926" t="s">
        <v>16171</v>
      </c>
      <c r="F16926" t="s">
        <v>0</v>
      </c>
      <c r="G16926" t="str">
        <f>"2018-10-12 01:27:46"</f>
        <v>2018-10-12 01:27:46</v>
      </c>
    </row>
    <row r="16927" spans="1:7" x14ac:dyDescent="0.2">
      <c r="A16927" t="s">
        <v>1</v>
      </c>
      <c r="B16927" t="str">
        <f>"13144292709"</f>
        <v>13144292709</v>
      </c>
      <c r="C16927" t="s">
        <v>1</v>
      </c>
      <c r="D16927" t="s">
        <v>1</v>
      </c>
      <c r="E16927" t="s">
        <v>1</v>
      </c>
      <c r="F16927" t="s">
        <v>0</v>
      </c>
      <c r="G16927" t="str">
        <f>"2018-10-12 01:22:53"</f>
        <v>2018-10-12 01:22:53</v>
      </c>
    </row>
    <row r="16928" spans="1:7" x14ac:dyDescent="0.2">
      <c r="A16928" t="s">
        <v>154</v>
      </c>
      <c r="B16928" t="str">
        <f>"15003451714"</f>
        <v>15003451714</v>
      </c>
      <c r="C16928" t="str">
        <f>"140429198910128452"</f>
        <v>140429198910128452</v>
      </c>
      <c r="D16928" t="s">
        <v>1</v>
      </c>
      <c r="E16928" t="s">
        <v>1</v>
      </c>
      <c r="F16928" t="s">
        <v>0</v>
      </c>
      <c r="G16928" t="str">
        <f>"2018-10-12 01:14:06"</f>
        <v>2018-10-12 01:14:06</v>
      </c>
    </row>
    <row r="16929" spans="1:7" x14ac:dyDescent="0.2">
      <c r="A16929" t="s">
        <v>1</v>
      </c>
      <c r="B16929" t="str">
        <f>"15105140665"</f>
        <v>15105140665</v>
      </c>
      <c r="C16929" t="s">
        <v>1</v>
      </c>
      <c r="D16929" t="s">
        <v>1</v>
      </c>
      <c r="E16929" t="s">
        <v>1</v>
      </c>
      <c r="F16929" t="s">
        <v>0</v>
      </c>
      <c r="G16929" t="str">
        <f>"2018-10-12 01:05:29"</f>
        <v>2018-10-12 01:05:29</v>
      </c>
    </row>
    <row r="16930" spans="1:7" x14ac:dyDescent="0.2">
      <c r="A16930" t="s">
        <v>16172</v>
      </c>
      <c r="B16930" t="str">
        <f>"15989408350"</f>
        <v>15989408350</v>
      </c>
      <c r="C16930" t="str">
        <f>"450921198504123268"</f>
        <v>450921198504123268</v>
      </c>
      <c r="D16930" t="s">
        <v>1</v>
      </c>
      <c r="E16930" t="s">
        <v>1</v>
      </c>
      <c r="F16930" t="s">
        <v>0</v>
      </c>
      <c r="G16930" t="str">
        <f>"2018-10-16 13:45:12"</f>
        <v>2018-10-16 13:45:12</v>
      </c>
    </row>
    <row r="16931" spans="1:7" x14ac:dyDescent="0.2">
      <c r="A16931" t="s">
        <v>60</v>
      </c>
      <c r="B16931" t="str">
        <f>"15380033456"</f>
        <v>15380033456</v>
      </c>
      <c r="C16931" t="str">
        <f>"341124199509034219"</f>
        <v>341124199509034219</v>
      </c>
      <c r="D16931" t="s">
        <v>16173</v>
      </c>
      <c r="E16931" t="s">
        <v>16174</v>
      </c>
      <c r="F16931" t="s">
        <v>0</v>
      </c>
      <c r="G16931" t="str">
        <f>"2018-10-17 15:40:50"</f>
        <v>2018-10-17 15:40:50</v>
      </c>
    </row>
    <row r="16932" spans="1:7" x14ac:dyDescent="0.2">
      <c r="A16932" t="s">
        <v>16175</v>
      </c>
      <c r="B16932" t="str">
        <f>"13340603159"</f>
        <v>13340603159</v>
      </c>
      <c r="C16932" t="str">
        <f>"513124198705271464"</f>
        <v>513124198705271464</v>
      </c>
      <c r="D16932" t="s">
        <v>1</v>
      </c>
      <c r="E16932" t="s">
        <v>1</v>
      </c>
      <c r="F16932" t="s">
        <v>0</v>
      </c>
      <c r="G16932" t="str">
        <f>"2018-10-12 00:54:27"</f>
        <v>2018-10-12 00:54:27</v>
      </c>
    </row>
    <row r="16933" spans="1:7" x14ac:dyDescent="0.2">
      <c r="A16933" t="s">
        <v>16176</v>
      </c>
      <c r="B16933" t="str">
        <f>"13097784817"</f>
        <v>13097784817</v>
      </c>
      <c r="C16933" t="str">
        <f>"452724199806240018"</f>
        <v>452724199806240018</v>
      </c>
      <c r="D16933" t="s">
        <v>1</v>
      </c>
      <c r="E16933" t="s">
        <v>1</v>
      </c>
      <c r="F16933" t="s">
        <v>0</v>
      </c>
      <c r="G16933" t="str">
        <f>"2018-10-12 00:49:24"</f>
        <v>2018-10-12 00:49:24</v>
      </c>
    </row>
    <row r="16934" spans="1:7" x14ac:dyDescent="0.2">
      <c r="A16934" t="s">
        <v>16177</v>
      </c>
      <c r="B16934" t="str">
        <f>"18849684919"</f>
        <v>18849684919</v>
      </c>
      <c r="C16934" t="str">
        <f>"53293019850414151X"</f>
        <v>53293019850414151X</v>
      </c>
      <c r="D16934" t="s">
        <v>1</v>
      </c>
      <c r="E16934" t="s">
        <v>1</v>
      </c>
      <c r="F16934" t="s">
        <v>0</v>
      </c>
      <c r="G16934" t="str">
        <f>"2018-10-12 01:22:28"</f>
        <v>2018-10-12 01:22:28</v>
      </c>
    </row>
    <row r="16935" spans="1:7" x14ac:dyDescent="0.2">
      <c r="A16935" t="s">
        <v>354</v>
      </c>
      <c r="B16935" t="str">
        <f>"13982785033"</f>
        <v>13982785033</v>
      </c>
      <c r="C16935" t="str">
        <f>"510502199202020423"</f>
        <v>510502199202020423</v>
      </c>
      <c r="D16935" t="s">
        <v>1</v>
      </c>
      <c r="E16935" t="s">
        <v>1</v>
      </c>
      <c r="F16935" t="s">
        <v>0</v>
      </c>
      <c r="G16935" t="str">
        <f>"2018-10-12 18:44:16"</f>
        <v>2018-10-12 18:44:16</v>
      </c>
    </row>
    <row r="16936" spans="1:7" x14ac:dyDescent="0.2">
      <c r="A16936" t="s">
        <v>16178</v>
      </c>
      <c r="B16936" t="str">
        <f>"18578095968"</f>
        <v>18578095968</v>
      </c>
      <c r="C16936" t="str">
        <f>"445323198704102413"</f>
        <v>445323198704102413</v>
      </c>
      <c r="D16936" t="s">
        <v>1</v>
      </c>
      <c r="E16936" t="s">
        <v>1</v>
      </c>
      <c r="F16936" t="s">
        <v>0</v>
      </c>
      <c r="G16936" t="str">
        <f>"2018-10-22 18:19:09"</f>
        <v>2018-10-22 18:19:09</v>
      </c>
    </row>
    <row r="16937" spans="1:7" x14ac:dyDescent="0.2">
      <c r="A16937" t="s">
        <v>16179</v>
      </c>
      <c r="B16937" t="str">
        <f>"15887409245"</f>
        <v>15887409245</v>
      </c>
      <c r="C16937" t="str">
        <f>"530328198808132747"</f>
        <v>530328198808132747</v>
      </c>
      <c r="D16937" t="s">
        <v>1</v>
      </c>
      <c r="E16937" t="s">
        <v>1</v>
      </c>
      <c r="F16937" t="s">
        <v>0</v>
      </c>
      <c r="G16937" t="str">
        <f>"2018-10-12 20:09:07"</f>
        <v>2018-10-12 20:09:07</v>
      </c>
    </row>
    <row r="16938" spans="1:7" x14ac:dyDescent="0.2">
      <c r="A16938" t="s">
        <v>16180</v>
      </c>
      <c r="B16938" t="str">
        <f>"18811428089"</f>
        <v>18811428089</v>
      </c>
      <c r="C16938" t="str">
        <f>"142333199504211651"</f>
        <v>142333199504211651</v>
      </c>
      <c r="D16938" t="s">
        <v>1</v>
      </c>
      <c r="E16938" t="s">
        <v>1</v>
      </c>
      <c r="F16938" t="s">
        <v>0</v>
      </c>
      <c r="G16938" t="str">
        <f>"2018-10-14 22:59:56"</f>
        <v>2018-10-14 22:59:56</v>
      </c>
    </row>
    <row r="16939" spans="1:7" x14ac:dyDescent="0.2">
      <c r="A16939" t="s">
        <v>16181</v>
      </c>
      <c r="B16939" t="str">
        <f>"18202993357"</f>
        <v>18202993357</v>
      </c>
      <c r="C16939" t="str">
        <f>"610104198608202112"</f>
        <v>610104198608202112</v>
      </c>
      <c r="D16939" t="s">
        <v>1</v>
      </c>
      <c r="E16939" t="s">
        <v>1</v>
      </c>
      <c r="F16939" t="s">
        <v>0</v>
      </c>
      <c r="G16939" t="str">
        <f>"2018-10-12 00:36:21"</f>
        <v>2018-10-12 00:36:21</v>
      </c>
    </row>
    <row r="16940" spans="1:7" x14ac:dyDescent="0.2">
      <c r="A16940" t="s">
        <v>16182</v>
      </c>
      <c r="B16940" t="str">
        <f>"15715969335"</f>
        <v>15715969335</v>
      </c>
      <c r="C16940" t="str">
        <f>"350521198902217328"</f>
        <v>350521198902217328</v>
      </c>
      <c r="D16940" t="s">
        <v>1</v>
      </c>
      <c r="E16940" t="s">
        <v>1</v>
      </c>
      <c r="F16940" t="s">
        <v>0</v>
      </c>
      <c r="G16940" t="str">
        <f>"2018-10-12 00:36:41"</f>
        <v>2018-10-12 00:36:41</v>
      </c>
    </row>
    <row r="16941" spans="1:7" x14ac:dyDescent="0.2">
      <c r="A16941" t="s">
        <v>16183</v>
      </c>
      <c r="B16941" t="str">
        <f>"18383356597"</f>
        <v>18383356597</v>
      </c>
      <c r="C16941" t="str">
        <f>"513826199705111423"</f>
        <v>513826199705111423</v>
      </c>
      <c r="D16941" t="s">
        <v>1</v>
      </c>
      <c r="E16941" t="s">
        <v>1</v>
      </c>
      <c r="F16941" t="s">
        <v>0</v>
      </c>
      <c r="G16941" t="str">
        <f>"2018-10-12 01:21:55"</f>
        <v>2018-10-12 01:21:55</v>
      </c>
    </row>
    <row r="16942" spans="1:7" x14ac:dyDescent="0.2">
      <c r="A16942" t="s">
        <v>16184</v>
      </c>
      <c r="B16942" t="str">
        <f>"15544409995"</f>
        <v>15544409995</v>
      </c>
      <c r="C16942" t="str">
        <f>"500102199301115889"</f>
        <v>500102199301115889</v>
      </c>
      <c r="D16942" t="s">
        <v>1</v>
      </c>
      <c r="E16942" t="s">
        <v>1</v>
      </c>
      <c r="F16942" t="s">
        <v>0</v>
      </c>
      <c r="G16942" t="str">
        <f>"2018-10-12 00:44:50"</f>
        <v>2018-10-12 00:44:50</v>
      </c>
    </row>
    <row r="16943" spans="1:7" x14ac:dyDescent="0.2">
      <c r="A16943" t="s">
        <v>16185</v>
      </c>
      <c r="B16943" t="str">
        <f>"18107465175"</f>
        <v>18107465175</v>
      </c>
      <c r="C16943" t="str">
        <f>"431103198709221815"</f>
        <v>431103198709221815</v>
      </c>
      <c r="D16943" t="s">
        <v>16186</v>
      </c>
      <c r="E16943" t="s">
        <v>16187</v>
      </c>
      <c r="F16943" t="s">
        <v>0</v>
      </c>
      <c r="G16943" t="str">
        <f>"2018-10-12 00:33:15"</f>
        <v>2018-10-12 00:33:15</v>
      </c>
    </row>
    <row r="16944" spans="1:7" x14ac:dyDescent="0.2">
      <c r="A16944" t="s">
        <v>16188</v>
      </c>
      <c r="B16944" t="str">
        <f>"13255066837"</f>
        <v>13255066837</v>
      </c>
      <c r="C16944" t="str">
        <f>"429006198911064293"</f>
        <v>429006198911064293</v>
      </c>
      <c r="D16944" t="s">
        <v>1</v>
      </c>
      <c r="E16944" t="s">
        <v>1</v>
      </c>
      <c r="F16944" t="s">
        <v>0</v>
      </c>
      <c r="G16944" t="str">
        <f>"2018-11-02 20:33:20"</f>
        <v>2018-11-02 20:33:20</v>
      </c>
    </row>
    <row r="16945" spans="1:7" x14ac:dyDescent="0.2">
      <c r="A16945" t="s">
        <v>1</v>
      </c>
      <c r="B16945" t="str">
        <f>"18379214718"</f>
        <v>18379214718</v>
      </c>
      <c r="C16945" t="s">
        <v>1</v>
      </c>
      <c r="D16945" t="s">
        <v>1</v>
      </c>
      <c r="E16945" t="s">
        <v>1</v>
      </c>
      <c r="F16945" t="s">
        <v>0</v>
      </c>
      <c r="G16945" t="str">
        <f>"2018-10-12 00:27:22"</f>
        <v>2018-10-12 00:27:22</v>
      </c>
    </row>
    <row r="16946" spans="1:7" x14ac:dyDescent="0.2">
      <c r="A16946" t="s">
        <v>16189</v>
      </c>
      <c r="B16946" t="str">
        <f>"17634163964"</f>
        <v>17634163964</v>
      </c>
      <c r="C16946" t="str">
        <f>"130406197111021834"</f>
        <v>130406197111021834</v>
      </c>
      <c r="D16946" t="s">
        <v>1</v>
      </c>
      <c r="E16946" t="s">
        <v>1</v>
      </c>
      <c r="F16946" t="s">
        <v>0</v>
      </c>
      <c r="G16946" t="str">
        <f>"2018-10-12 00:27:39"</f>
        <v>2018-10-12 00:27:39</v>
      </c>
    </row>
    <row r="16947" spans="1:7" x14ac:dyDescent="0.2">
      <c r="A16947" t="s">
        <v>16190</v>
      </c>
      <c r="B16947" t="str">
        <f>"13888731392"</f>
        <v>13888731392</v>
      </c>
      <c r="C16947" t="str">
        <f>"532224197304244119"</f>
        <v>532224197304244119</v>
      </c>
      <c r="D16947" t="s">
        <v>1</v>
      </c>
      <c r="E16947" t="s">
        <v>1</v>
      </c>
      <c r="F16947" t="s">
        <v>0</v>
      </c>
      <c r="G16947" t="str">
        <f>"2018-10-12 00:26:57"</f>
        <v>2018-10-12 00:26:57</v>
      </c>
    </row>
    <row r="16948" spans="1:7" x14ac:dyDescent="0.2">
      <c r="A16948" t="s">
        <v>16191</v>
      </c>
      <c r="B16948" t="str">
        <f>"18753443300"</f>
        <v>18753443300</v>
      </c>
      <c r="C16948" t="str">
        <f>"371402199812172618"</f>
        <v>371402199812172618</v>
      </c>
      <c r="D16948" t="s">
        <v>1</v>
      </c>
      <c r="E16948" t="s">
        <v>1</v>
      </c>
      <c r="F16948" t="s">
        <v>0</v>
      </c>
      <c r="G16948" t="str">
        <f>"2018-10-12 00:47:54"</f>
        <v>2018-10-12 00:47:54</v>
      </c>
    </row>
    <row r="16949" spans="1:7" x14ac:dyDescent="0.2">
      <c r="A16949" t="s">
        <v>16192</v>
      </c>
      <c r="B16949" t="str">
        <f>"13232227020"</f>
        <v>13232227020</v>
      </c>
      <c r="C16949" t="str">
        <f>"44200019791215229X"</f>
        <v>44200019791215229X</v>
      </c>
      <c r="D16949" t="s">
        <v>1</v>
      </c>
      <c r="E16949" t="s">
        <v>1</v>
      </c>
      <c r="F16949" t="s">
        <v>0</v>
      </c>
      <c r="G16949" t="str">
        <f>"2018-10-12 00:20:22"</f>
        <v>2018-10-12 00:20:22</v>
      </c>
    </row>
    <row r="16950" spans="1:7" x14ac:dyDescent="0.2">
      <c r="A16950" t="s">
        <v>16193</v>
      </c>
      <c r="B16950" t="str">
        <f>"17830174710"</f>
        <v>17830174710</v>
      </c>
      <c r="C16950" t="str">
        <f>"341102198902020670"</f>
        <v>341102198902020670</v>
      </c>
      <c r="D16950" t="s">
        <v>16194</v>
      </c>
      <c r="E16950" t="s">
        <v>16195</v>
      </c>
      <c r="F16950" t="s">
        <v>0</v>
      </c>
      <c r="G16950" t="str">
        <f>"2018-10-23 09:57:16"</f>
        <v>2018-10-23 09:57:16</v>
      </c>
    </row>
    <row r="16951" spans="1:7" x14ac:dyDescent="0.2">
      <c r="A16951" t="s">
        <v>16196</v>
      </c>
      <c r="B16951" t="str">
        <f>"18845144282"</f>
        <v>18845144282</v>
      </c>
      <c r="C16951" t="str">
        <f>"230105198902183720"</f>
        <v>230105198902183720</v>
      </c>
      <c r="D16951" t="s">
        <v>1</v>
      </c>
      <c r="E16951" t="s">
        <v>1</v>
      </c>
      <c r="F16951" t="s">
        <v>0</v>
      </c>
      <c r="G16951" t="str">
        <f>"2018-10-12 00:15:27"</f>
        <v>2018-10-12 00:15:27</v>
      </c>
    </row>
    <row r="16952" spans="1:7" x14ac:dyDescent="0.2">
      <c r="A16952" t="s">
        <v>16197</v>
      </c>
      <c r="B16952" t="str">
        <f>"13753550977"</f>
        <v>13753550977</v>
      </c>
      <c r="C16952" t="str">
        <f>"142602199008152535"</f>
        <v>142602199008152535</v>
      </c>
      <c r="D16952" t="s">
        <v>16198</v>
      </c>
      <c r="E16952" t="s">
        <v>16198</v>
      </c>
      <c r="F16952" t="s">
        <v>0</v>
      </c>
      <c r="G16952" t="str">
        <f>"2018-10-12 00:17:44"</f>
        <v>2018-10-12 00:17:44</v>
      </c>
    </row>
    <row r="16953" spans="1:7" x14ac:dyDescent="0.2">
      <c r="A16953" t="s">
        <v>16199</v>
      </c>
      <c r="B16953" t="str">
        <f>"15516750930"</f>
        <v>15516750930</v>
      </c>
      <c r="C16953" t="str">
        <f>"412723199103174217"</f>
        <v>412723199103174217</v>
      </c>
      <c r="D16953" t="s">
        <v>1</v>
      </c>
      <c r="E16953" t="s">
        <v>1</v>
      </c>
      <c r="F16953" t="s">
        <v>0</v>
      </c>
      <c r="G16953" t="str">
        <f>"2018-10-14 21:01:45"</f>
        <v>2018-10-14 21:01:45</v>
      </c>
    </row>
    <row r="16954" spans="1:7" x14ac:dyDescent="0.2">
      <c r="A16954" t="s">
        <v>1</v>
      </c>
      <c r="B16954" t="str">
        <f>"13670768466"</f>
        <v>13670768466</v>
      </c>
      <c r="C16954" t="s">
        <v>1</v>
      </c>
      <c r="D16954" t="s">
        <v>1</v>
      </c>
      <c r="E16954" t="s">
        <v>1</v>
      </c>
      <c r="F16954" t="s">
        <v>0</v>
      </c>
      <c r="G16954" t="str">
        <f>"2018-10-12 00:10:42"</f>
        <v>2018-10-12 00:10:42</v>
      </c>
    </row>
    <row r="16955" spans="1:7" x14ac:dyDescent="0.2">
      <c r="A16955" t="s">
        <v>16200</v>
      </c>
      <c r="B16955" t="str">
        <f>"18350730900"</f>
        <v>18350730900</v>
      </c>
      <c r="C16955" t="str">
        <f>"350521197310146517"</f>
        <v>350521197310146517</v>
      </c>
      <c r="D16955" t="s">
        <v>1</v>
      </c>
      <c r="E16955" t="s">
        <v>1</v>
      </c>
      <c r="F16955" t="s">
        <v>0</v>
      </c>
      <c r="G16955" t="str">
        <f>"2018-10-12 00:13:42"</f>
        <v>2018-10-12 00:13:42</v>
      </c>
    </row>
    <row r="16956" spans="1:7" x14ac:dyDescent="0.2">
      <c r="A16956" t="s">
        <v>16201</v>
      </c>
      <c r="B16956" t="str">
        <f>"13460561333"</f>
        <v>13460561333</v>
      </c>
      <c r="C16956" t="str">
        <f>"41108219870112841X"</f>
        <v>41108219870112841X</v>
      </c>
      <c r="D16956" t="s">
        <v>16202</v>
      </c>
      <c r="E16956" t="s">
        <v>16203</v>
      </c>
      <c r="F16956" t="s">
        <v>0</v>
      </c>
      <c r="G16956" t="str">
        <f>"2018-10-16 12:21:56"</f>
        <v>2018-10-16 12:21:56</v>
      </c>
    </row>
    <row r="16957" spans="1:7" x14ac:dyDescent="0.2">
      <c r="A16957" t="s">
        <v>16204</v>
      </c>
      <c r="B16957" t="str">
        <f>"18359977555"</f>
        <v>18359977555</v>
      </c>
      <c r="C16957" t="str">
        <f>"350783198508143543"</f>
        <v>350783198508143543</v>
      </c>
      <c r="D16957" t="s">
        <v>1</v>
      </c>
      <c r="E16957" t="s">
        <v>1</v>
      </c>
      <c r="F16957" t="s">
        <v>0</v>
      </c>
      <c r="G16957" t="str">
        <f>"2018-10-12 00:09:10"</f>
        <v>2018-10-12 00:09:10</v>
      </c>
    </row>
    <row r="16958" spans="1:7" x14ac:dyDescent="0.2">
      <c r="A16958" t="s">
        <v>16205</v>
      </c>
      <c r="B16958" t="str">
        <f>"18334932699"</f>
        <v>18334932699</v>
      </c>
      <c r="C16958" t="str">
        <f>"140622199501093325"</f>
        <v>140622199501093325</v>
      </c>
      <c r="D16958" t="s">
        <v>1</v>
      </c>
      <c r="E16958" t="s">
        <v>1</v>
      </c>
      <c r="F16958" t="s">
        <v>0</v>
      </c>
      <c r="G16958" t="str">
        <f>"2018-10-12 00:08:04"</f>
        <v>2018-10-12 00:08:04</v>
      </c>
    </row>
    <row r="16959" spans="1:7" x14ac:dyDescent="0.2">
      <c r="A16959" t="s">
        <v>16206</v>
      </c>
      <c r="B16959" t="str">
        <f>"17729058555"</f>
        <v>17729058555</v>
      </c>
      <c r="C16959" t="str">
        <f>"612323199010038617"</f>
        <v>612323199010038617</v>
      </c>
      <c r="D16959" t="s">
        <v>1</v>
      </c>
      <c r="E16959" t="s">
        <v>1</v>
      </c>
      <c r="F16959" t="s">
        <v>0</v>
      </c>
      <c r="G16959" t="str">
        <f>"2018-10-12 00:06:58"</f>
        <v>2018-10-12 00:06:58</v>
      </c>
    </row>
    <row r="16960" spans="1:7" x14ac:dyDescent="0.2">
      <c r="A16960" t="s">
        <v>1</v>
      </c>
      <c r="B16960" t="str">
        <f>"15044582724"</f>
        <v>15044582724</v>
      </c>
      <c r="C16960" t="s">
        <v>1</v>
      </c>
      <c r="D16960" t="s">
        <v>1</v>
      </c>
      <c r="E16960" t="s">
        <v>1</v>
      </c>
      <c r="F16960" t="s">
        <v>0</v>
      </c>
      <c r="G16960" t="str">
        <f>"2018-10-11 23:57:26"</f>
        <v>2018-10-11 23:57:26</v>
      </c>
    </row>
    <row r="16961" spans="1:7" x14ac:dyDescent="0.2">
      <c r="A16961" t="s">
        <v>1</v>
      </c>
      <c r="B16961" t="str">
        <f>"13826107751"</f>
        <v>13826107751</v>
      </c>
      <c r="C16961" t="s">
        <v>1</v>
      </c>
      <c r="D16961" t="s">
        <v>1</v>
      </c>
      <c r="E16961" t="s">
        <v>1</v>
      </c>
      <c r="F16961" t="s">
        <v>0</v>
      </c>
      <c r="G16961" t="str">
        <f>"2018-10-11 23:54:24"</f>
        <v>2018-10-11 23:54:24</v>
      </c>
    </row>
    <row r="16962" spans="1:7" x14ac:dyDescent="0.2">
      <c r="A16962" t="s">
        <v>1</v>
      </c>
      <c r="B16962" t="str">
        <f>"15253033561"</f>
        <v>15253033561</v>
      </c>
      <c r="C16962" t="s">
        <v>1</v>
      </c>
      <c r="D16962" t="s">
        <v>1</v>
      </c>
      <c r="E16962" t="s">
        <v>1</v>
      </c>
      <c r="F16962" t="s">
        <v>0</v>
      </c>
      <c r="G16962" t="str">
        <f>"2018-10-11 23:53:54"</f>
        <v>2018-10-11 23:53:54</v>
      </c>
    </row>
    <row r="16963" spans="1:7" x14ac:dyDescent="0.2">
      <c r="A16963" t="s">
        <v>16207</v>
      </c>
      <c r="B16963" t="str">
        <f>"13927605553"</f>
        <v>13927605553</v>
      </c>
      <c r="C16963" t="str">
        <f>"441826199205141757"</f>
        <v>441826199205141757</v>
      </c>
      <c r="D16963" t="s">
        <v>1</v>
      </c>
      <c r="E16963" t="s">
        <v>1</v>
      </c>
      <c r="F16963" t="s">
        <v>0</v>
      </c>
      <c r="G16963" t="str">
        <f>"2018-10-11 23:56:08"</f>
        <v>2018-10-11 23:56:08</v>
      </c>
    </row>
    <row r="16964" spans="1:7" x14ac:dyDescent="0.2">
      <c r="A16964" t="s">
        <v>1</v>
      </c>
      <c r="B16964" t="str">
        <f>"18565044815"</f>
        <v>18565044815</v>
      </c>
      <c r="C16964" t="s">
        <v>1</v>
      </c>
      <c r="D16964" t="s">
        <v>1</v>
      </c>
      <c r="E16964" t="s">
        <v>1</v>
      </c>
      <c r="F16964" t="s">
        <v>0</v>
      </c>
      <c r="G16964" t="str">
        <f>"2018-10-11 23:52:28"</f>
        <v>2018-10-11 23:52:28</v>
      </c>
    </row>
    <row r="16965" spans="1:7" x14ac:dyDescent="0.2">
      <c r="A16965" t="s">
        <v>441</v>
      </c>
      <c r="B16965" t="str">
        <f>"15821413287"</f>
        <v>15821413287</v>
      </c>
      <c r="C16965" t="str">
        <f>"532622199201190312"</f>
        <v>532622199201190312</v>
      </c>
      <c r="D16965" t="s">
        <v>16208</v>
      </c>
      <c r="E16965" t="s">
        <v>16208</v>
      </c>
      <c r="F16965" t="s">
        <v>0</v>
      </c>
      <c r="G16965" t="str">
        <f>"2018-10-11 23:56:13"</f>
        <v>2018-10-11 23:56:13</v>
      </c>
    </row>
    <row r="16966" spans="1:7" x14ac:dyDescent="0.2">
      <c r="A16966" t="s">
        <v>1</v>
      </c>
      <c r="B16966" t="str">
        <f>"15258500318"</f>
        <v>15258500318</v>
      </c>
      <c r="C16966" t="s">
        <v>1</v>
      </c>
      <c r="D16966" t="s">
        <v>1</v>
      </c>
      <c r="E16966" t="s">
        <v>1</v>
      </c>
      <c r="F16966" t="s">
        <v>0</v>
      </c>
      <c r="G16966" t="str">
        <f>"2018-10-11 23:51:01"</f>
        <v>2018-10-11 23:51:01</v>
      </c>
    </row>
    <row r="16967" spans="1:7" x14ac:dyDescent="0.2">
      <c r="A16967" t="s">
        <v>1</v>
      </c>
      <c r="B16967" t="str">
        <f>"18288509608"</f>
        <v>18288509608</v>
      </c>
      <c r="C16967" t="s">
        <v>1</v>
      </c>
      <c r="D16967" t="s">
        <v>1</v>
      </c>
      <c r="E16967" t="s">
        <v>1</v>
      </c>
      <c r="F16967" t="s">
        <v>0</v>
      </c>
      <c r="G16967" t="str">
        <f>"2018-10-11 23:51:57"</f>
        <v>2018-10-11 23:51:57</v>
      </c>
    </row>
    <row r="16968" spans="1:7" x14ac:dyDescent="0.2">
      <c r="A16968" t="s">
        <v>1</v>
      </c>
      <c r="B16968" t="str">
        <f>"13803356778"</f>
        <v>13803356778</v>
      </c>
      <c r="C16968" t="s">
        <v>1</v>
      </c>
      <c r="D16968" t="s">
        <v>1</v>
      </c>
      <c r="E16968" t="s">
        <v>1</v>
      </c>
      <c r="F16968" t="s">
        <v>0</v>
      </c>
      <c r="G16968" t="str">
        <f>"2018-10-11 23:48:19"</f>
        <v>2018-10-11 23:48:19</v>
      </c>
    </row>
    <row r="16969" spans="1:7" x14ac:dyDescent="0.2">
      <c r="A16969" t="s">
        <v>16209</v>
      </c>
      <c r="B16969" t="str">
        <f>"13786212154"</f>
        <v>13786212154</v>
      </c>
      <c r="C16969" t="str">
        <f>"430321198911186534"</f>
        <v>430321198911186534</v>
      </c>
      <c r="D16969" t="s">
        <v>1</v>
      </c>
      <c r="E16969" t="s">
        <v>1</v>
      </c>
      <c r="F16969" t="s">
        <v>0</v>
      </c>
      <c r="G16969" t="str">
        <f>"2018-10-13 15:05:23"</f>
        <v>2018-10-13 15:05:23</v>
      </c>
    </row>
    <row r="16970" spans="1:7" x14ac:dyDescent="0.2">
      <c r="A16970" t="s">
        <v>16210</v>
      </c>
      <c r="B16970" t="str">
        <f>"13966393351"</f>
        <v>13966393351</v>
      </c>
      <c r="C16970" t="str">
        <f>"342622198411141893"</f>
        <v>342622198411141893</v>
      </c>
      <c r="D16970" t="s">
        <v>16211</v>
      </c>
      <c r="E16970" t="s">
        <v>16212</v>
      </c>
      <c r="F16970" t="s">
        <v>0</v>
      </c>
      <c r="G16970" t="str">
        <f>"2018-10-11 23:48:17"</f>
        <v>2018-10-11 23:48:17</v>
      </c>
    </row>
    <row r="16971" spans="1:7" x14ac:dyDescent="0.2">
      <c r="A16971" t="s">
        <v>16213</v>
      </c>
      <c r="B16971" t="str">
        <f>"18391841092"</f>
        <v>18391841092</v>
      </c>
      <c r="C16971" t="str">
        <f>"610431199304083038"</f>
        <v>610431199304083038</v>
      </c>
      <c r="D16971" t="s">
        <v>1</v>
      </c>
      <c r="E16971" t="s">
        <v>1</v>
      </c>
      <c r="F16971" t="s">
        <v>0</v>
      </c>
      <c r="G16971" t="str">
        <f>"2018-10-11 23:46:26"</f>
        <v>2018-10-11 23:46:26</v>
      </c>
    </row>
    <row r="16972" spans="1:7" x14ac:dyDescent="0.2">
      <c r="A16972" t="s">
        <v>18</v>
      </c>
      <c r="B16972" t="str">
        <f>"18601340528"</f>
        <v>18601340528</v>
      </c>
      <c r="C16972" t="str">
        <f>"110221198805288318"</f>
        <v>110221198805288318</v>
      </c>
      <c r="D16972" t="s">
        <v>16214</v>
      </c>
      <c r="E16972" t="s">
        <v>16215</v>
      </c>
      <c r="F16972" t="s">
        <v>0</v>
      </c>
      <c r="G16972" t="str">
        <f>"2018-10-11 23:41:25"</f>
        <v>2018-10-11 23:41:25</v>
      </c>
    </row>
    <row r="16973" spans="1:7" x14ac:dyDescent="0.2">
      <c r="A16973" t="s">
        <v>16216</v>
      </c>
      <c r="B16973" t="str">
        <f>"17694828814"</f>
        <v>17694828814</v>
      </c>
      <c r="C16973" t="str">
        <f>"232126198910102912"</f>
        <v>232126198910102912</v>
      </c>
      <c r="D16973" t="s">
        <v>1</v>
      </c>
      <c r="E16973" t="s">
        <v>1</v>
      </c>
      <c r="F16973" t="s">
        <v>0</v>
      </c>
      <c r="G16973" t="str">
        <f>"2018-10-11 23:43:08"</f>
        <v>2018-10-11 23:43:08</v>
      </c>
    </row>
    <row r="16974" spans="1:7" x14ac:dyDescent="0.2">
      <c r="A16974" t="s">
        <v>1</v>
      </c>
      <c r="B16974" t="str">
        <f>"13186735914"</f>
        <v>13186735914</v>
      </c>
      <c r="C16974" t="s">
        <v>1</v>
      </c>
      <c r="D16974" t="s">
        <v>1</v>
      </c>
      <c r="E16974" t="s">
        <v>1</v>
      </c>
      <c r="F16974" t="s">
        <v>0</v>
      </c>
      <c r="G16974" t="str">
        <f>"2018-10-11 23:40:43"</f>
        <v>2018-10-11 23:40:43</v>
      </c>
    </row>
    <row r="16975" spans="1:7" x14ac:dyDescent="0.2">
      <c r="A16975" t="s">
        <v>16217</v>
      </c>
      <c r="B16975" t="str">
        <f>"18788404474"</f>
        <v>18788404474</v>
      </c>
      <c r="C16975" t="str">
        <f>"520202199109283267"</f>
        <v>520202199109283267</v>
      </c>
      <c r="D16975" t="s">
        <v>1</v>
      </c>
      <c r="E16975" t="s">
        <v>1</v>
      </c>
      <c r="F16975" t="s">
        <v>0</v>
      </c>
      <c r="G16975" t="str">
        <f>"2018-10-12 11:01:12"</f>
        <v>2018-10-12 11:01:12</v>
      </c>
    </row>
    <row r="16976" spans="1:7" x14ac:dyDescent="0.2">
      <c r="A16976" t="s">
        <v>1</v>
      </c>
      <c r="B16976" t="str">
        <f>"18055087115"</f>
        <v>18055087115</v>
      </c>
      <c r="C16976" t="s">
        <v>1</v>
      </c>
      <c r="D16976" t="s">
        <v>1</v>
      </c>
      <c r="E16976" t="s">
        <v>1</v>
      </c>
      <c r="F16976" t="s">
        <v>0</v>
      </c>
      <c r="G16976" t="str">
        <f>"2018-10-12 07:27:33"</f>
        <v>2018-10-12 07:27:33</v>
      </c>
    </row>
    <row r="16977" spans="1:7" x14ac:dyDescent="0.2">
      <c r="A16977" t="s">
        <v>8453</v>
      </c>
      <c r="B16977" t="str">
        <f>"13530081159"</f>
        <v>13530081159</v>
      </c>
      <c r="C16977" t="str">
        <f>"420115198206290520"</f>
        <v>420115198206290520</v>
      </c>
      <c r="D16977" t="s">
        <v>1</v>
      </c>
      <c r="E16977" t="s">
        <v>1</v>
      </c>
      <c r="F16977" t="s">
        <v>0</v>
      </c>
      <c r="G16977" t="str">
        <f>"2018-10-18 15:13:14"</f>
        <v>2018-10-18 15:13:14</v>
      </c>
    </row>
    <row r="16978" spans="1:7" x14ac:dyDescent="0.2">
      <c r="A16978" t="s">
        <v>16218</v>
      </c>
      <c r="B16978" t="str">
        <f>"18275385283"</f>
        <v>18275385283</v>
      </c>
      <c r="C16978" t="str">
        <f>"520103199604232425"</f>
        <v>520103199604232425</v>
      </c>
      <c r="D16978" t="s">
        <v>1</v>
      </c>
      <c r="E16978" t="s">
        <v>1</v>
      </c>
      <c r="F16978" t="s">
        <v>0</v>
      </c>
      <c r="G16978" t="str">
        <f>"2018-10-24 21:28:24"</f>
        <v>2018-10-24 21:28:24</v>
      </c>
    </row>
    <row r="16979" spans="1:7" x14ac:dyDescent="0.2">
      <c r="A16979" t="s">
        <v>16219</v>
      </c>
      <c r="B16979" t="str">
        <f>"18319250830"</f>
        <v>18319250830</v>
      </c>
      <c r="C16979" t="str">
        <f>"441421199206041439"</f>
        <v>441421199206041439</v>
      </c>
      <c r="D16979" t="s">
        <v>16220</v>
      </c>
      <c r="E16979" t="s">
        <v>16221</v>
      </c>
      <c r="F16979" t="s">
        <v>0</v>
      </c>
      <c r="G16979" t="str">
        <f>"2018-10-11 23:33:46"</f>
        <v>2018-10-11 23:33:46</v>
      </c>
    </row>
    <row r="16980" spans="1:7" x14ac:dyDescent="0.2">
      <c r="A16980" t="s">
        <v>16222</v>
      </c>
      <c r="B16980" t="str">
        <f>"15822775783"</f>
        <v>15822775783</v>
      </c>
      <c r="C16980" t="str">
        <f>"120225199003043935"</f>
        <v>120225199003043935</v>
      </c>
      <c r="D16980" t="s">
        <v>1</v>
      </c>
      <c r="E16980" t="s">
        <v>1</v>
      </c>
      <c r="F16980" t="s">
        <v>0</v>
      </c>
      <c r="G16980" t="str">
        <f>"2018-10-11 23:34:51"</f>
        <v>2018-10-11 23:34:51</v>
      </c>
    </row>
    <row r="16981" spans="1:7" x14ac:dyDescent="0.2">
      <c r="A16981" t="s">
        <v>16223</v>
      </c>
      <c r="B16981" t="str">
        <f>"13833230396"</f>
        <v>13833230396</v>
      </c>
      <c r="C16981" t="str">
        <f>"130635198904010999"</f>
        <v>130635198904010999</v>
      </c>
      <c r="D16981" t="s">
        <v>1</v>
      </c>
      <c r="E16981" t="s">
        <v>1</v>
      </c>
      <c r="F16981" t="s">
        <v>0</v>
      </c>
      <c r="G16981" t="str">
        <f>"2018-10-11 23:34:00"</f>
        <v>2018-10-11 23:34:00</v>
      </c>
    </row>
    <row r="16982" spans="1:7" x14ac:dyDescent="0.2">
      <c r="A16982" t="s">
        <v>1</v>
      </c>
      <c r="B16982" t="str">
        <f>"13660544140"</f>
        <v>13660544140</v>
      </c>
      <c r="C16982" t="s">
        <v>1</v>
      </c>
      <c r="D16982" t="s">
        <v>1</v>
      </c>
      <c r="E16982" t="s">
        <v>1</v>
      </c>
      <c r="F16982" t="s">
        <v>0</v>
      </c>
      <c r="G16982" t="str">
        <f>"2018-10-11 23:32:53"</f>
        <v>2018-10-11 23:32:53</v>
      </c>
    </row>
    <row r="16983" spans="1:7" x14ac:dyDescent="0.2">
      <c r="A16983" t="s">
        <v>16224</v>
      </c>
      <c r="B16983" t="str">
        <f>"17373409093"</f>
        <v>17373409093</v>
      </c>
      <c r="C16983" t="str">
        <f>"430481198910084124"</f>
        <v>430481198910084124</v>
      </c>
      <c r="D16983" t="s">
        <v>16225</v>
      </c>
      <c r="E16983" t="s">
        <v>16226</v>
      </c>
      <c r="F16983" t="s">
        <v>0</v>
      </c>
      <c r="G16983" t="str">
        <f>"2018-10-12 10:04:10"</f>
        <v>2018-10-12 10:04:10</v>
      </c>
    </row>
    <row r="16984" spans="1:7" x14ac:dyDescent="0.2">
      <c r="A16984" t="s">
        <v>16227</v>
      </c>
      <c r="B16984" t="str">
        <f>"18212161599"</f>
        <v>18212161599</v>
      </c>
      <c r="C16984" t="str">
        <f>"522130198801106811"</f>
        <v>522130198801106811</v>
      </c>
      <c r="D16984" t="s">
        <v>1</v>
      </c>
      <c r="E16984" t="s">
        <v>1</v>
      </c>
      <c r="F16984" t="s">
        <v>0</v>
      </c>
      <c r="G16984" t="str">
        <f>"2018-10-11 23:55:31"</f>
        <v>2018-10-11 23:55:31</v>
      </c>
    </row>
    <row r="16985" spans="1:7" x14ac:dyDescent="0.2">
      <c r="A16985" t="s">
        <v>1</v>
      </c>
      <c r="B16985" t="str">
        <f>"13573455754"</f>
        <v>13573455754</v>
      </c>
      <c r="C16985" t="s">
        <v>1</v>
      </c>
      <c r="D16985" t="s">
        <v>1</v>
      </c>
      <c r="E16985" t="s">
        <v>1</v>
      </c>
      <c r="F16985" t="s">
        <v>0</v>
      </c>
      <c r="G16985" t="str">
        <f>"2018-10-11 23:29:39"</f>
        <v>2018-10-11 23:29:39</v>
      </c>
    </row>
    <row r="16986" spans="1:7" x14ac:dyDescent="0.2">
      <c r="A16986" t="s">
        <v>1</v>
      </c>
      <c r="B16986" t="str">
        <f>"13910031867"</f>
        <v>13910031867</v>
      </c>
      <c r="C16986" t="s">
        <v>1</v>
      </c>
      <c r="D16986" t="s">
        <v>1</v>
      </c>
      <c r="E16986" t="s">
        <v>1</v>
      </c>
      <c r="F16986" t="s">
        <v>0</v>
      </c>
      <c r="G16986" t="str">
        <f>"2018-10-11 23:31:36"</f>
        <v>2018-10-11 23:31:36</v>
      </c>
    </row>
    <row r="16987" spans="1:7" x14ac:dyDescent="0.2">
      <c r="A16987" t="s">
        <v>16228</v>
      </c>
      <c r="B16987" t="str">
        <f>"18342344711"</f>
        <v>18342344711</v>
      </c>
      <c r="C16987" t="str">
        <f>"211102199305160515"</f>
        <v>211102199305160515</v>
      </c>
      <c r="D16987" t="s">
        <v>16229</v>
      </c>
      <c r="E16987" t="s">
        <v>16230</v>
      </c>
      <c r="F16987" t="s">
        <v>0</v>
      </c>
      <c r="G16987" t="str">
        <f>"2018-10-11 23:33:00"</f>
        <v>2018-10-11 23:33:00</v>
      </c>
    </row>
    <row r="16988" spans="1:7" x14ac:dyDescent="0.2">
      <c r="A16988" t="s">
        <v>16231</v>
      </c>
      <c r="B16988" t="str">
        <f>"15835399115"</f>
        <v>15835399115</v>
      </c>
      <c r="C16988" t="str">
        <f>"142732198703030045"</f>
        <v>142732198703030045</v>
      </c>
      <c r="D16988" t="s">
        <v>16232</v>
      </c>
      <c r="E16988" t="s">
        <v>16233</v>
      </c>
      <c r="F16988" t="s">
        <v>0</v>
      </c>
      <c r="G16988" t="str">
        <f>"2018-10-14 00:07:28"</f>
        <v>2018-10-14 00:07:28</v>
      </c>
    </row>
    <row r="16989" spans="1:7" x14ac:dyDescent="0.2">
      <c r="A16989" t="s">
        <v>490</v>
      </c>
      <c r="B16989" t="str">
        <f>"13907188875"</f>
        <v>13907188875</v>
      </c>
      <c r="C16989" t="str">
        <f>"420111197507284116"</f>
        <v>420111197507284116</v>
      </c>
      <c r="D16989" t="s">
        <v>1</v>
      </c>
      <c r="E16989" t="s">
        <v>1</v>
      </c>
      <c r="F16989" t="s">
        <v>0</v>
      </c>
      <c r="G16989" t="str">
        <f>"2018-10-11 23:37:40"</f>
        <v>2018-10-11 23:37:40</v>
      </c>
    </row>
    <row r="16990" spans="1:7" x14ac:dyDescent="0.2">
      <c r="A16990" t="s">
        <v>16234</v>
      </c>
      <c r="B16990" t="str">
        <f>"18375741001"</f>
        <v>18375741001</v>
      </c>
      <c r="C16990" t="str">
        <f>"321027199303182419"</f>
        <v>321027199303182419</v>
      </c>
      <c r="D16990" t="s">
        <v>1</v>
      </c>
      <c r="E16990" t="s">
        <v>1</v>
      </c>
      <c r="F16990" t="s">
        <v>0</v>
      </c>
      <c r="G16990" t="str">
        <f>"2018-10-11 23:27:14"</f>
        <v>2018-10-11 23:27:14</v>
      </c>
    </row>
    <row r="16991" spans="1:7" x14ac:dyDescent="0.2">
      <c r="A16991" t="s">
        <v>7103</v>
      </c>
      <c r="B16991" t="str">
        <f>"13703350693"</f>
        <v>13703350693</v>
      </c>
      <c r="C16991" t="str">
        <f>"130302198510310012"</f>
        <v>130302198510310012</v>
      </c>
      <c r="D16991" t="s">
        <v>1</v>
      </c>
      <c r="E16991" t="s">
        <v>1</v>
      </c>
      <c r="F16991" t="s">
        <v>0</v>
      </c>
      <c r="G16991" t="str">
        <f>"2018-10-28 21:44:06"</f>
        <v>2018-10-28 21:44:06</v>
      </c>
    </row>
    <row r="16992" spans="1:7" x14ac:dyDescent="0.2">
      <c r="A16992" t="s">
        <v>1</v>
      </c>
      <c r="B16992" t="str">
        <f>"13580720119"</f>
        <v>13580720119</v>
      </c>
      <c r="C16992" t="s">
        <v>1</v>
      </c>
      <c r="D16992" t="s">
        <v>1</v>
      </c>
      <c r="E16992" t="s">
        <v>1</v>
      </c>
      <c r="F16992" t="s">
        <v>0</v>
      </c>
      <c r="G16992" t="str">
        <f>"2018-10-11 23:26:59"</f>
        <v>2018-10-11 23:26:59</v>
      </c>
    </row>
    <row r="16993" spans="1:7" x14ac:dyDescent="0.2">
      <c r="A16993" t="s">
        <v>16235</v>
      </c>
      <c r="B16993" t="str">
        <f>"13413528571"</f>
        <v>13413528571</v>
      </c>
      <c r="C16993" t="str">
        <f>"441802199211170545"</f>
        <v>441802199211170545</v>
      </c>
      <c r="D16993" t="s">
        <v>1</v>
      </c>
      <c r="E16993" t="s">
        <v>1</v>
      </c>
      <c r="F16993" t="s">
        <v>0</v>
      </c>
      <c r="G16993" t="str">
        <f>"2018-10-11 23:23:58"</f>
        <v>2018-10-11 23:23:58</v>
      </c>
    </row>
    <row r="16994" spans="1:7" x14ac:dyDescent="0.2">
      <c r="A16994" t="s">
        <v>16236</v>
      </c>
      <c r="B16994" t="str">
        <f>"15881271393"</f>
        <v>15881271393</v>
      </c>
      <c r="C16994" t="str">
        <f>"510422199206191916"</f>
        <v>510422199206191916</v>
      </c>
      <c r="D16994" t="s">
        <v>1</v>
      </c>
      <c r="E16994" t="s">
        <v>1</v>
      </c>
      <c r="F16994" t="s">
        <v>0</v>
      </c>
      <c r="G16994" t="str">
        <f>"2018-10-12 10:53:44"</f>
        <v>2018-10-12 10:53:44</v>
      </c>
    </row>
    <row r="16995" spans="1:7" x14ac:dyDescent="0.2">
      <c r="A16995" t="s">
        <v>10</v>
      </c>
      <c r="B16995" t="str">
        <f>"15984846800"</f>
        <v>15984846800</v>
      </c>
      <c r="C16995" t="str">
        <f>"511381198711058914"</f>
        <v>511381198711058914</v>
      </c>
      <c r="D16995" t="s">
        <v>16237</v>
      </c>
      <c r="E16995" t="s">
        <v>16238</v>
      </c>
      <c r="F16995" t="s">
        <v>0</v>
      </c>
      <c r="G16995" t="str">
        <f>"2018-10-12 07:38:45"</f>
        <v>2018-10-12 07:38:45</v>
      </c>
    </row>
    <row r="16996" spans="1:7" x14ac:dyDescent="0.2">
      <c r="A16996" t="s">
        <v>16239</v>
      </c>
      <c r="B16996" t="str">
        <f>"15042685540"</f>
        <v>15042685540</v>
      </c>
      <c r="C16996" t="str">
        <f>"210727199302040357"</f>
        <v>210727199302040357</v>
      </c>
      <c r="D16996" t="s">
        <v>16240</v>
      </c>
      <c r="E16996" t="s">
        <v>16241</v>
      </c>
      <c r="F16996" t="s">
        <v>0</v>
      </c>
      <c r="G16996" t="str">
        <f>"2018-10-11 23:21:50"</f>
        <v>2018-10-11 23:21:50</v>
      </c>
    </row>
    <row r="16997" spans="1:7" x14ac:dyDescent="0.2">
      <c r="A16997" t="s">
        <v>16242</v>
      </c>
      <c r="B16997" t="str">
        <f>"18200703641"</f>
        <v>18200703641</v>
      </c>
      <c r="C16997" t="str">
        <f>"440306198903218311"</f>
        <v>440306198903218311</v>
      </c>
      <c r="D16997" t="s">
        <v>1</v>
      </c>
      <c r="E16997" t="s">
        <v>1</v>
      </c>
      <c r="F16997" t="s">
        <v>0</v>
      </c>
      <c r="G16997" t="str">
        <f>"2018-10-11 23:19:41"</f>
        <v>2018-10-11 23:19:41</v>
      </c>
    </row>
    <row r="16998" spans="1:7" x14ac:dyDescent="0.2">
      <c r="A16998" t="s">
        <v>1</v>
      </c>
      <c r="B16998" t="str">
        <f>"18282045037"</f>
        <v>18282045037</v>
      </c>
      <c r="C16998" t="s">
        <v>1</v>
      </c>
      <c r="D16998" t="s">
        <v>1</v>
      </c>
      <c r="E16998" t="s">
        <v>1</v>
      </c>
      <c r="F16998" t="s">
        <v>0</v>
      </c>
      <c r="G16998" t="str">
        <f>"2018-10-11 23:17:40"</f>
        <v>2018-10-11 23:17:40</v>
      </c>
    </row>
    <row r="16999" spans="1:7" x14ac:dyDescent="0.2">
      <c r="A16999" t="s">
        <v>16243</v>
      </c>
      <c r="B16999" t="str">
        <f>"18050751526"</f>
        <v>18050751526</v>
      </c>
      <c r="C16999" t="str">
        <f>"350681199810095737"</f>
        <v>350681199810095737</v>
      </c>
      <c r="D16999" t="s">
        <v>1</v>
      </c>
      <c r="E16999" t="s">
        <v>1</v>
      </c>
      <c r="F16999" t="s">
        <v>0</v>
      </c>
      <c r="G16999" t="str">
        <f>"2018-10-11 23:43:16"</f>
        <v>2018-10-11 23:43:16</v>
      </c>
    </row>
    <row r="17000" spans="1:7" x14ac:dyDescent="0.2">
      <c r="A17000" t="s">
        <v>16244</v>
      </c>
      <c r="B17000" t="str">
        <f>"15823110268"</f>
        <v>15823110268</v>
      </c>
      <c r="C17000" t="str">
        <f>"510222196808293114"</f>
        <v>510222196808293114</v>
      </c>
      <c r="D17000" t="s">
        <v>1</v>
      </c>
      <c r="E17000" t="s">
        <v>1</v>
      </c>
      <c r="F17000" t="s">
        <v>0</v>
      </c>
      <c r="G17000" t="str">
        <f>"2018-10-12 10:43:46"</f>
        <v>2018-10-12 10:43:46</v>
      </c>
    </row>
    <row r="17001" spans="1:7" x14ac:dyDescent="0.2">
      <c r="A17001" t="s">
        <v>1</v>
      </c>
      <c r="B17001" t="str">
        <f>"18877122448"</f>
        <v>18877122448</v>
      </c>
      <c r="C17001" t="s">
        <v>1</v>
      </c>
      <c r="D17001" t="s">
        <v>1</v>
      </c>
      <c r="E17001" t="s">
        <v>1</v>
      </c>
      <c r="F17001" t="s">
        <v>0</v>
      </c>
      <c r="G17001" t="str">
        <f>"2018-10-11 23:15:35"</f>
        <v>2018-10-11 23:15:35</v>
      </c>
    </row>
    <row r="17002" spans="1:7" x14ac:dyDescent="0.2">
      <c r="A17002" t="s">
        <v>16245</v>
      </c>
      <c r="B17002" t="str">
        <f>"18842432467"</f>
        <v>18842432467</v>
      </c>
      <c r="C17002" t="str">
        <f>"210104196801210719"</f>
        <v>210104196801210719</v>
      </c>
      <c r="D17002" t="s">
        <v>1</v>
      </c>
      <c r="E17002" t="s">
        <v>1</v>
      </c>
      <c r="F17002" t="s">
        <v>0</v>
      </c>
      <c r="G17002" t="str">
        <f>"2018-10-11 23:48:44"</f>
        <v>2018-10-11 23:48:44</v>
      </c>
    </row>
    <row r="17003" spans="1:7" x14ac:dyDescent="0.2">
      <c r="A17003" t="s">
        <v>221</v>
      </c>
      <c r="B17003" t="str">
        <f>"17783264273"</f>
        <v>17783264273</v>
      </c>
      <c r="C17003" t="str">
        <f>"500382199109070847"</f>
        <v>500382199109070847</v>
      </c>
      <c r="D17003" t="s">
        <v>1</v>
      </c>
      <c r="E17003" t="s">
        <v>1</v>
      </c>
      <c r="F17003" t="s">
        <v>0</v>
      </c>
      <c r="G17003" t="str">
        <f>"2018-10-11 23:15:26"</f>
        <v>2018-10-11 23:15:26</v>
      </c>
    </row>
    <row r="17004" spans="1:7" x14ac:dyDescent="0.2">
      <c r="A17004" t="s">
        <v>16246</v>
      </c>
      <c r="B17004" t="str">
        <f>"15860346696"</f>
        <v>15860346696</v>
      </c>
      <c r="C17004" t="str">
        <f>"513521198207122493"</f>
        <v>513521198207122493</v>
      </c>
      <c r="D17004" t="s">
        <v>1</v>
      </c>
      <c r="E17004" t="s">
        <v>1</v>
      </c>
      <c r="F17004" t="s">
        <v>0</v>
      </c>
      <c r="G17004" t="str">
        <f>"2018-10-11 23:16:16"</f>
        <v>2018-10-11 23:16:16</v>
      </c>
    </row>
    <row r="17005" spans="1:7" x14ac:dyDescent="0.2">
      <c r="A17005" t="s">
        <v>1</v>
      </c>
      <c r="B17005" t="str">
        <f>"13648202771"</f>
        <v>13648202771</v>
      </c>
      <c r="C17005" t="s">
        <v>1</v>
      </c>
      <c r="D17005" t="s">
        <v>1</v>
      </c>
      <c r="E17005" t="s">
        <v>1</v>
      </c>
      <c r="F17005" t="s">
        <v>0</v>
      </c>
      <c r="G17005" t="str">
        <f>"2018-10-11 23:13:47"</f>
        <v>2018-10-11 23:13:47</v>
      </c>
    </row>
    <row r="17006" spans="1:7" x14ac:dyDescent="0.2">
      <c r="A17006" t="s">
        <v>1</v>
      </c>
      <c r="B17006" t="str">
        <f>"13450194620"</f>
        <v>13450194620</v>
      </c>
      <c r="C17006" t="s">
        <v>1</v>
      </c>
      <c r="D17006" t="s">
        <v>1</v>
      </c>
      <c r="E17006" t="s">
        <v>1</v>
      </c>
      <c r="F17006" t="s">
        <v>0</v>
      </c>
      <c r="G17006" t="str">
        <f>"2018-10-11 23:10:57"</f>
        <v>2018-10-11 23:10:57</v>
      </c>
    </row>
    <row r="17007" spans="1:7" x14ac:dyDescent="0.2">
      <c r="A17007" t="s">
        <v>440</v>
      </c>
      <c r="B17007" t="str">
        <f>"15619181893"</f>
        <v>15619181893</v>
      </c>
      <c r="C17007" t="str">
        <f>"61032819821020091X"</f>
        <v>61032819821020091X</v>
      </c>
      <c r="D17007" t="s">
        <v>1</v>
      </c>
      <c r="E17007" t="s">
        <v>1</v>
      </c>
      <c r="F17007" t="s">
        <v>0</v>
      </c>
      <c r="G17007" t="str">
        <f>"2018-10-12 14:41:55"</f>
        <v>2018-10-12 14:41:55</v>
      </c>
    </row>
    <row r="17008" spans="1:7" x14ac:dyDescent="0.2">
      <c r="A17008" t="s">
        <v>1</v>
      </c>
      <c r="B17008" t="str">
        <f>"18882333208"</f>
        <v>18882333208</v>
      </c>
      <c r="C17008" t="s">
        <v>1</v>
      </c>
      <c r="D17008" t="s">
        <v>1</v>
      </c>
      <c r="E17008" t="s">
        <v>1</v>
      </c>
      <c r="F17008" t="s">
        <v>0</v>
      </c>
      <c r="G17008" t="str">
        <f>"2018-10-11 23:02:01"</f>
        <v>2018-10-11 23:02:01</v>
      </c>
    </row>
    <row r="17009" spans="1:7" x14ac:dyDescent="0.2">
      <c r="A17009" t="s">
        <v>16247</v>
      </c>
      <c r="B17009" t="str">
        <f>"15922939837"</f>
        <v>15922939837</v>
      </c>
      <c r="C17009" t="str">
        <f>"500222199309172416"</f>
        <v>500222199309172416</v>
      </c>
      <c r="D17009" t="s">
        <v>1</v>
      </c>
      <c r="E17009" t="s">
        <v>1</v>
      </c>
      <c r="F17009" t="s">
        <v>0</v>
      </c>
      <c r="G17009" t="str">
        <f>"2018-10-11 23:02:27"</f>
        <v>2018-10-11 23:02:27</v>
      </c>
    </row>
    <row r="17010" spans="1:7" x14ac:dyDescent="0.2">
      <c r="A17010" t="s">
        <v>613</v>
      </c>
      <c r="B17010" t="str">
        <f>"15005497902"</f>
        <v>15005497902</v>
      </c>
      <c r="C17010" t="str">
        <f>"371325199204164234"</f>
        <v>371325199204164234</v>
      </c>
      <c r="D17010" t="s">
        <v>1</v>
      </c>
      <c r="E17010" t="s">
        <v>1</v>
      </c>
      <c r="F17010" t="s">
        <v>0</v>
      </c>
      <c r="G17010" t="str">
        <f>"2018-10-11 23:00:45"</f>
        <v>2018-10-11 23:00:45</v>
      </c>
    </row>
    <row r="17011" spans="1:7" x14ac:dyDescent="0.2">
      <c r="A17011" t="s">
        <v>1</v>
      </c>
      <c r="B17011" t="str">
        <f>"18702679170"</f>
        <v>18702679170</v>
      </c>
      <c r="C17011" t="s">
        <v>1</v>
      </c>
      <c r="D17011" t="s">
        <v>1</v>
      </c>
      <c r="E17011" t="s">
        <v>1</v>
      </c>
      <c r="F17011" t="s">
        <v>0</v>
      </c>
      <c r="G17011" t="str">
        <f>"2018-10-11 23:01:24"</f>
        <v>2018-10-11 23:01:24</v>
      </c>
    </row>
    <row r="17012" spans="1:7" x14ac:dyDescent="0.2">
      <c r="A17012" t="s">
        <v>211</v>
      </c>
      <c r="B17012" t="str">
        <f>"18621291512"</f>
        <v>18621291512</v>
      </c>
      <c r="C17012" t="str">
        <f>"34260119920713041X"</f>
        <v>34260119920713041X</v>
      </c>
      <c r="D17012" t="s">
        <v>1</v>
      </c>
      <c r="E17012" t="s">
        <v>1</v>
      </c>
      <c r="F17012" t="s">
        <v>0</v>
      </c>
      <c r="G17012" t="str">
        <f>"2018-10-12 01:24:03"</f>
        <v>2018-10-12 01:24:03</v>
      </c>
    </row>
    <row r="17013" spans="1:7" x14ac:dyDescent="0.2">
      <c r="A17013" t="s">
        <v>1</v>
      </c>
      <c r="B17013" t="str">
        <f>"13532208214"</f>
        <v>13532208214</v>
      </c>
      <c r="C17013" t="s">
        <v>1</v>
      </c>
      <c r="D17013" t="s">
        <v>1</v>
      </c>
      <c r="E17013" t="s">
        <v>1</v>
      </c>
      <c r="F17013" t="s">
        <v>0</v>
      </c>
      <c r="G17013" t="str">
        <f>"2018-10-11 23:02:50"</f>
        <v>2018-10-11 23:02:50</v>
      </c>
    </row>
    <row r="17014" spans="1:7" x14ac:dyDescent="0.2">
      <c r="A17014" t="s">
        <v>16248</v>
      </c>
      <c r="B17014" t="str">
        <f>"18922808128"</f>
        <v>18922808128</v>
      </c>
      <c r="C17014" t="str">
        <f>"440301198512052914"</f>
        <v>440301198512052914</v>
      </c>
      <c r="D17014" t="s">
        <v>1</v>
      </c>
      <c r="E17014" t="s">
        <v>1</v>
      </c>
      <c r="F17014" t="s">
        <v>0</v>
      </c>
      <c r="G17014" t="str">
        <f>"2018-10-11 22:57:00"</f>
        <v>2018-10-11 22:57:00</v>
      </c>
    </row>
    <row r="17015" spans="1:7" x14ac:dyDescent="0.2">
      <c r="A17015" t="s">
        <v>16249</v>
      </c>
      <c r="B17015" t="str">
        <f>"18202199684"</f>
        <v>18202199684</v>
      </c>
      <c r="C17015" t="str">
        <f>"362302198212270520"</f>
        <v>362302198212270520</v>
      </c>
      <c r="D17015" t="s">
        <v>1</v>
      </c>
      <c r="E17015" t="s">
        <v>1</v>
      </c>
      <c r="F17015" t="s">
        <v>0</v>
      </c>
      <c r="G17015" t="str">
        <f>"2018-10-11 22:55:50"</f>
        <v>2018-10-11 22:55:50</v>
      </c>
    </row>
    <row r="17016" spans="1:7" x14ac:dyDescent="0.2">
      <c r="A17016" t="s">
        <v>16250</v>
      </c>
      <c r="B17016" t="str">
        <f>"13779707657"</f>
        <v>13779707657</v>
      </c>
      <c r="C17016" t="str">
        <f>"659001198910180031"</f>
        <v>659001198910180031</v>
      </c>
      <c r="D17016" t="s">
        <v>1</v>
      </c>
      <c r="E17016" t="s">
        <v>1</v>
      </c>
      <c r="F17016" t="s">
        <v>0</v>
      </c>
      <c r="G17016" t="str">
        <f>"2018-10-11 22:56:44"</f>
        <v>2018-10-11 22:56:44</v>
      </c>
    </row>
    <row r="17017" spans="1:7" x14ac:dyDescent="0.2">
      <c r="A17017" t="s">
        <v>1</v>
      </c>
      <c r="B17017" t="str">
        <f>"18728885059"</f>
        <v>18728885059</v>
      </c>
      <c r="C17017" t="s">
        <v>1</v>
      </c>
      <c r="D17017" t="s">
        <v>1</v>
      </c>
      <c r="E17017" t="s">
        <v>1</v>
      </c>
      <c r="F17017" t="s">
        <v>0</v>
      </c>
      <c r="G17017" t="str">
        <f>"2018-10-11 22:56:08"</f>
        <v>2018-10-11 22:56:08</v>
      </c>
    </row>
    <row r="17018" spans="1:7" x14ac:dyDescent="0.2">
      <c r="A17018" t="s">
        <v>16251</v>
      </c>
      <c r="B17018" t="str">
        <f>"18715882228"</f>
        <v>18715882228</v>
      </c>
      <c r="C17018" t="str">
        <f>"510522198207120264"</f>
        <v>510522198207120264</v>
      </c>
      <c r="D17018" t="s">
        <v>16252</v>
      </c>
      <c r="E17018" t="s">
        <v>16253</v>
      </c>
      <c r="F17018" t="s">
        <v>0</v>
      </c>
      <c r="G17018" t="str">
        <f>"2018-10-11 23:22:00"</f>
        <v>2018-10-11 23:22:00</v>
      </c>
    </row>
    <row r="17019" spans="1:7" x14ac:dyDescent="0.2">
      <c r="A17019" t="s">
        <v>513</v>
      </c>
      <c r="B17019" t="str">
        <f>"13253535650"</f>
        <v>13253535650</v>
      </c>
      <c r="C17019" t="str">
        <f>"410104198105260022"</f>
        <v>410104198105260022</v>
      </c>
      <c r="D17019" t="s">
        <v>1</v>
      </c>
      <c r="E17019" t="s">
        <v>1</v>
      </c>
      <c r="F17019" t="s">
        <v>0</v>
      </c>
      <c r="G17019" t="str">
        <f>"2018-10-11 22:53:56"</f>
        <v>2018-10-11 22:53:56</v>
      </c>
    </row>
    <row r="17020" spans="1:7" x14ac:dyDescent="0.2">
      <c r="A17020" t="s">
        <v>370</v>
      </c>
      <c r="B17020" t="str">
        <f>"15691755047"</f>
        <v>15691755047</v>
      </c>
      <c r="C17020" t="str">
        <f>"61042919970216419X"</f>
        <v>61042919970216419X</v>
      </c>
      <c r="D17020" t="s">
        <v>16254</v>
      </c>
      <c r="E17020" t="s">
        <v>16255</v>
      </c>
      <c r="F17020" t="s">
        <v>0</v>
      </c>
      <c r="G17020" t="str">
        <f>"2018-10-11 22:54:32"</f>
        <v>2018-10-11 22:54:32</v>
      </c>
    </row>
    <row r="17021" spans="1:7" x14ac:dyDescent="0.2">
      <c r="A17021" t="s">
        <v>1</v>
      </c>
      <c r="B17021" t="str">
        <f>"18385213220"</f>
        <v>18385213220</v>
      </c>
      <c r="C17021" t="s">
        <v>1</v>
      </c>
      <c r="D17021" t="s">
        <v>1</v>
      </c>
      <c r="E17021" t="s">
        <v>1</v>
      </c>
      <c r="F17021" t="s">
        <v>0</v>
      </c>
      <c r="G17021" t="str">
        <f>"2018-10-11 22:52:29"</f>
        <v>2018-10-11 22:52:29</v>
      </c>
    </row>
    <row r="17022" spans="1:7" x14ac:dyDescent="0.2">
      <c r="A17022" t="s">
        <v>16256</v>
      </c>
      <c r="B17022" t="str">
        <f>"13049636084"</f>
        <v>13049636084</v>
      </c>
      <c r="C17022" t="str">
        <f>"450922199812012552"</f>
        <v>450922199812012552</v>
      </c>
      <c r="D17022" t="s">
        <v>1</v>
      </c>
      <c r="E17022" t="s">
        <v>1</v>
      </c>
      <c r="F17022" t="s">
        <v>0</v>
      </c>
      <c r="G17022" t="str">
        <f>"2018-10-11 22:53:12"</f>
        <v>2018-10-11 22:53:12</v>
      </c>
    </row>
    <row r="17023" spans="1:7" x14ac:dyDescent="0.2">
      <c r="A17023" t="s">
        <v>1</v>
      </c>
      <c r="B17023" t="str">
        <f>"18678733035"</f>
        <v>18678733035</v>
      </c>
      <c r="C17023" t="s">
        <v>1</v>
      </c>
      <c r="D17023" t="s">
        <v>1</v>
      </c>
      <c r="E17023" t="s">
        <v>1</v>
      </c>
      <c r="F17023" t="s">
        <v>0</v>
      </c>
      <c r="G17023" t="str">
        <f>"2018-10-11 22:52:50"</f>
        <v>2018-10-11 22:52:50</v>
      </c>
    </row>
    <row r="17024" spans="1:7" x14ac:dyDescent="0.2">
      <c r="A17024" t="s">
        <v>16257</v>
      </c>
      <c r="B17024" t="str">
        <f>"13976996205"</f>
        <v>13976996205</v>
      </c>
      <c r="C17024" t="str">
        <f>"460004198609051439"</f>
        <v>460004198609051439</v>
      </c>
      <c r="D17024" t="s">
        <v>1</v>
      </c>
      <c r="E17024" t="s">
        <v>1</v>
      </c>
      <c r="F17024" t="s">
        <v>0</v>
      </c>
      <c r="G17024" t="str">
        <f>"2018-10-11 22:53:10"</f>
        <v>2018-10-11 22:53:10</v>
      </c>
    </row>
    <row r="17025" spans="1:7" x14ac:dyDescent="0.2">
      <c r="A17025" t="s">
        <v>1</v>
      </c>
      <c r="B17025" t="str">
        <f>"15577337414"</f>
        <v>15577337414</v>
      </c>
      <c r="C17025" t="s">
        <v>1</v>
      </c>
      <c r="D17025" t="s">
        <v>1</v>
      </c>
      <c r="E17025" t="s">
        <v>1</v>
      </c>
      <c r="F17025" t="s">
        <v>0</v>
      </c>
      <c r="G17025" t="str">
        <f>"2018-10-11 22:49:40"</f>
        <v>2018-10-11 22:49:40</v>
      </c>
    </row>
    <row r="17026" spans="1:7" x14ac:dyDescent="0.2">
      <c r="A17026" t="s">
        <v>1</v>
      </c>
      <c r="B17026" t="str">
        <f>"15676343417"</f>
        <v>15676343417</v>
      </c>
      <c r="C17026" t="s">
        <v>1</v>
      </c>
      <c r="D17026" t="s">
        <v>1</v>
      </c>
      <c r="E17026" t="s">
        <v>1</v>
      </c>
      <c r="F17026" t="s">
        <v>0</v>
      </c>
      <c r="G17026" t="str">
        <f>"2018-10-11 22:49:00"</f>
        <v>2018-10-11 22:49:00</v>
      </c>
    </row>
    <row r="17027" spans="1:7" x14ac:dyDescent="0.2">
      <c r="A17027" t="s">
        <v>1140</v>
      </c>
      <c r="B17027" t="str">
        <f>"17629155274"</f>
        <v>17629155274</v>
      </c>
      <c r="C17027" t="str">
        <f>"61272719950128211X"</f>
        <v>61272719950128211X</v>
      </c>
      <c r="D17027" t="s">
        <v>1</v>
      </c>
      <c r="E17027" t="s">
        <v>1</v>
      </c>
      <c r="F17027" t="s">
        <v>0</v>
      </c>
      <c r="G17027" t="str">
        <f>"2018-10-11 22:52:49"</f>
        <v>2018-10-11 22:52:49</v>
      </c>
    </row>
    <row r="17028" spans="1:7" x14ac:dyDescent="0.2">
      <c r="A17028" t="s">
        <v>16258</v>
      </c>
      <c r="B17028" t="str">
        <f>"18240250753"</f>
        <v>18240250753</v>
      </c>
      <c r="C17028" t="str">
        <f>"211203198607284035"</f>
        <v>211203198607284035</v>
      </c>
      <c r="D17028" t="s">
        <v>1</v>
      </c>
      <c r="E17028" t="s">
        <v>1</v>
      </c>
      <c r="F17028" t="s">
        <v>0</v>
      </c>
      <c r="G17028" t="str">
        <f>"2018-10-11 23:30:42"</f>
        <v>2018-10-11 23:30:42</v>
      </c>
    </row>
    <row r="17029" spans="1:7" x14ac:dyDescent="0.2">
      <c r="A17029" t="s">
        <v>16259</v>
      </c>
      <c r="B17029" t="str">
        <f>"15119248654"</f>
        <v>15119248654</v>
      </c>
      <c r="C17029" t="str">
        <f>"441621199809032807"</f>
        <v>441621199809032807</v>
      </c>
      <c r="D17029" t="s">
        <v>16260</v>
      </c>
      <c r="E17029" t="s">
        <v>16261</v>
      </c>
      <c r="F17029" t="s">
        <v>0</v>
      </c>
      <c r="G17029" t="str">
        <f>"2018-10-12 13:29:47"</f>
        <v>2018-10-12 13:29:47</v>
      </c>
    </row>
    <row r="17030" spans="1:7" x14ac:dyDescent="0.2">
      <c r="A17030" t="s">
        <v>16262</v>
      </c>
      <c r="B17030" t="str">
        <f>"15979331023"</f>
        <v>15979331023</v>
      </c>
      <c r="C17030" t="str">
        <f>"362325198411051616"</f>
        <v>362325198411051616</v>
      </c>
      <c r="D17030" t="s">
        <v>1</v>
      </c>
      <c r="E17030" t="s">
        <v>1</v>
      </c>
      <c r="F17030" t="s">
        <v>0</v>
      </c>
      <c r="G17030" t="str">
        <f>"2018-10-11 22:44:55"</f>
        <v>2018-10-11 22:44:55</v>
      </c>
    </row>
    <row r="17031" spans="1:7" x14ac:dyDescent="0.2">
      <c r="A17031" t="s">
        <v>16263</v>
      </c>
      <c r="B17031" t="str">
        <f>"18932477296"</f>
        <v>18932477296</v>
      </c>
      <c r="C17031" t="str">
        <f>"532622199607142310"</f>
        <v>532622199607142310</v>
      </c>
      <c r="D17031" t="s">
        <v>16264</v>
      </c>
      <c r="E17031" t="s">
        <v>16265</v>
      </c>
      <c r="F17031" t="s">
        <v>0</v>
      </c>
      <c r="G17031" t="str">
        <f>"2018-10-11 22:45:12"</f>
        <v>2018-10-11 22:45:12</v>
      </c>
    </row>
    <row r="17032" spans="1:7" x14ac:dyDescent="0.2">
      <c r="A17032" t="s">
        <v>1</v>
      </c>
      <c r="B17032" t="str">
        <f>"18811183488"</f>
        <v>18811183488</v>
      </c>
      <c r="C17032" t="s">
        <v>1</v>
      </c>
      <c r="D17032" t="s">
        <v>1</v>
      </c>
      <c r="E17032" t="s">
        <v>1</v>
      </c>
      <c r="F17032" t="s">
        <v>0</v>
      </c>
      <c r="G17032" t="str">
        <f>"2018-10-11 22:44:08"</f>
        <v>2018-10-11 22:44:08</v>
      </c>
    </row>
    <row r="17033" spans="1:7" x14ac:dyDescent="0.2">
      <c r="A17033" t="s">
        <v>16266</v>
      </c>
      <c r="B17033" t="str">
        <f>"13402662940"</f>
        <v>13402662940</v>
      </c>
      <c r="C17033" t="str">
        <f>"320721198401230423"</f>
        <v>320721198401230423</v>
      </c>
      <c r="D17033" t="s">
        <v>1</v>
      </c>
      <c r="E17033" t="s">
        <v>1</v>
      </c>
      <c r="F17033" t="s">
        <v>0</v>
      </c>
      <c r="G17033" t="str">
        <f>"2018-10-11 23:24:17"</f>
        <v>2018-10-11 23:24:17</v>
      </c>
    </row>
    <row r="17034" spans="1:7" x14ac:dyDescent="0.2">
      <c r="A17034" t="s">
        <v>274</v>
      </c>
      <c r="B17034" t="str">
        <f>"15121928877"</f>
        <v>15121928877</v>
      </c>
      <c r="C17034" t="str">
        <f>"640221199209215129"</f>
        <v>640221199209215129</v>
      </c>
      <c r="D17034" t="s">
        <v>1</v>
      </c>
      <c r="E17034" t="s">
        <v>1</v>
      </c>
      <c r="F17034" t="s">
        <v>0</v>
      </c>
      <c r="G17034" t="str">
        <f>"2018-10-11 22:42:40"</f>
        <v>2018-10-11 22:42:40</v>
      </c>
    </row>
    <row r="17035" spans="1:7" x14ac:dyDescent="0.2">
      <c r="A17035" t="s">
        <v>16267</v>
      </c>
      <c r="B17035" t="str">
        <f>"18876303559"</f>
        <v>18876303559</v>
      </c>
      <c r="C17035" t="str">
        <f>"350681199012080522"</f>
        <v>350681199012080522</v>
      </c>
      <c r="D17035" t="s">
        <v>1</v>
      </c>
      <c r="E17035" t="s">
        <v>1</v>
      </c>
      <c r="F17035" t="s">
        <v>0</v>
      </c>
      <c r="G17035" t="str">
        <f>"2018-10-11 22:40:32"</f>
        <v>2018-10-11 22:40:32</v>
      </c>
    </row>
    <row r="17036" spans="1:7" x14ac:dyDescent="0.2">
      <c r="A17036" t="s">
        <v>16268</v>
      </c>
      <c r="B17036" t="str">
        <f>"15664951969"</f>
        <v>15664951969</v>
      </c>
      <c r="C17036" t="str">
        <f>"610324199010284011"</f>
        <v>610324199010284011</v>
      </c>
      <c r="D17036" t="s">
        <v>1</v>
      </c>
      <c r="E17036" t="s">
        <v>1</v>
      </c>
      <c r="F17036" t="s">
        <v>0</v>
      </c>
      <c r="G17036" t="str">
        <f>"2018-10-26 14:18:09"</f>
        <v>2018-10-26 14:18:09</v>
      </c>
    </row>
    <row r="17037" spans="1:7" x14ac:dyDescent="0.2">
      <c r="A17037" t="s">
        <v>16269</v>
      </c>
      <c r="B17037" t="str">
        <f>"15916773268"</f>
        <v>15916773268</v>
      </c>
      <c r="C17037" t="str">
        <f>"441481198606025659"</f>
        <v>441481198606025659</v>
      </c>
      <c r="D17037" t="s">
        <v>16270</v>
      </c>
      <c r="E17037" t="s">
        <v>16271</v>
      </c>
      <c r="F17037" t="s">
        <v>0</v>
      </c>
      <c r="G17037" t="str">
        <f>"2018-10-12 08:45:47"</f>
        <v>2018-10-12 08:45:47</v>
      </c>
    </row>
    <row r="17038" spans="1:7" x14ac:dyDescent="0.2">
      <c r="A17038" t="s">
        <v>9507</v>
      </c>
      <c r="B17038" t="str">
        <f>"17676176504"</f>
        <v>17676176504</v>
      </c>
      <c r="C17038" t="str">
        <f>"513022199303192997"</f>
        <v>513022199303192997</v>
      </c>
      <c r="D17038" t="s">
        <v>16272</v>
      </c>
      <c r="E17038" t="s">
        <v>16273</v>
      </c>
      <c r="F17038" t="s">
        <v>0</v>
      </c>
      <c r="G17038" t="str">
        <f>"2018-10-11 22:49:16"</f>
        <v>2018-10-11 22:49:16</v>
      </c>
    </row>
    <row r="17039" spans="1:7" x14ac:dyDescent="0.2">
      <c r="A17039" t="s">
        <v>16274</v>
      </c>
      <c r="B17039" t="str">
        <f>"15111669776"</f>
        <v>15111669776</v>
      </c>
      <c r="C17039" t="str">
        <f>"431103199607218417"</f>
        <v>431103199607218417</v>
      </c>
      <c r="D17039" t="s">
        <v>1</v>
      </c>
      <c r="E17039" t="s">
        <v>1</v>
      </c>
      <c r="F17039" t="s">
        <v>0</v>
      </c>
      <c r="G17039" t="str">
        <f>"2018-10-11 22:38:34"</f>
        <v>2018-10-11 22:38:34</v>
      </c>
    </row>
    <row r="17040" spans="1:7" x14ac:dyDescent="0.2">
      <c r="A17040" t="s">
        <v>16275</v>
      </c>
      <c r="B17040" t="str">
        <f>"18979418132"</f>
        <v>18979418132</v>
      </c>
      <c r="C17040" t="str">
        <f>"362531200005092736"</f>
        <v>362531200005092736</v>
      </c>
      <c r="D17040" t="s">
        <v>1</v>
      </c>
      <c r="E17040" t="s">
        <v>1</v>
      </c>
      <c r="F17040" t="s">
        <v>0</v>
      </c>
      <c r="G17040" t="str">
        <f>"2018-10-11 22:37:50"</f>
        <v>2018-10-11 22:37:50</v>
      </c>
    </row>
    <row r="17041" spans="1:7" x14ac:dyDescent="0.2">
      <c r="A17041" t="s">
        <v>1</v>
      </c>
      <c r="B17041" t="str">
        <f>"15578569004"</f>
        <v>15578569004</v>
      </c>
      <c r="C17041" t="s">
        <v>1</v>
      </c>
      <c r="D17041" t="s">
        <v>1</v>
      </c>
      <c r="E17041" t="s">
        <v>1</v>
      </c>
      <c r="F17041" t="s">
        <v>0</v>
      </c>
      <c r="G17041" t="str">
        <f>"2018-10-11 22:36:15"</f>
        <v>2018-10-11 22:36:15</v>
      </c>
    </row>
    <row r="17042" spans="1:7" x14ac:dyDescent="0.2">
      <c r="A17042" t="s">
        <v>16276</v>
      </c>
      <c r="B17042" t="str">
        <f>"18703813832"</f>
        <v>18703813832</v>
      </c>
      <c r="C17042" t="str">
        <f>"410182199311286518"</f>
        <v>410182199311286518</v>
      </c>
      <c r="D17042" t="s">
        <v>1</v>
      </c>
      <c r="E17042" t="s">
        <v>1</v>
      </c>
      <c r="F17042" t="s">
        <v>0</v>
      </c>
      <c r="G17042" t="str">
        <f>"2018-10-11 22:35:58"</f>
        <v>2018-10-11 22:35:58</v>
      </c>
    </row>
    <row r="17043" spans="1:7" x14ac:dyDescent="0.2">
      <c r="A17043" t="s">
        <v>16277</v>
      </c>
      <c r="B17043" t="str">
        <f>"15296100909"</f>
        <v>15296100909</v>
      </c>
      <c r="C17043" t="str">
        <f>"450703199309233315"</f>
        <v>450703199309233315</v>
      </c>
      <c r="D17043" t="s">
        <v>1</v>
      </c>
      <c r="E17043" t="s">
        <v>1</v>
      </c>
      <c r="F17043" t="s">
        <v>0</v>
      </c>
      <c r="G17043" t="str">
        <f>"2018-10-24 08:55:02"</f>
        <v>2018-10-24 08:55:02</v>
      </c>
    </row>
    <row r="17044" spans="1:7" x14ac:dyDescent="0.2">
      <c r="A17044" t="s">
        <v>16278</v>
      </c>
      <c r="B17044" t="str">
        <f>"13351935929"</f>
        <v>13351935929</v>
      </c>
      <c r="C17044" t="str">
        <f>"230403198707010211"</f>
        <v>230403198707010211</v>
      </c>
      <c r="D17044" t="s">
        <v>16279</v>
      </c>
      <c r="E17044" t="s">
        <v>16280</v>
      </c>
      <c r="F17044" t="s">
        <v>0</v>
      </c>
      <c r="G17044" t="str">
        <f>"2018-10-11 22:36:27"</f>
        <v>2018-10-11 22:36:27</v>
      </c>
    </row>
    <row r="17045" spans="1:7" x14ac:dyDescent="0.2">
      <c r="A17045" t="s">
        <v>1</v>
      </c>
      <c r="B17045" t="str">
        <f>"15103116345"</f>
        <v>15103116345</v>
      </c>
      <c r="C17045" t="s">
        <v>1</v>
      </c>
      <c r="D17045" t="s">
        <v>1</v>
      </c>
      <c r="E17045" t="s">
        <v>1</v>
      </c>
      <c r="F17045" t="s">
        <v>0</v>
      </c>
      <c r="G17045" t="str">
        <f>"2018-10-11 22:34:35"</f>
        <v>2018-10-11 22:34:35</v>
      </c>
    </row>
    <row r="17046" spans="1:7" x14ac:dyDescent="0.2">
      <c r="A17046" t="s">
        <v>16281</v>
      </c>
      <c r="B17046" t="str">
        <f>"15266607565"</f>
        <v>15266607565</v>
      </c>
      <c r="C17046" t="str">
        <f>"370404199212016816"</f>
        <v>370404199212016816</v>
      </c>
      <c r="D17046" t="s">
        <v>1</v>
      </c>
      <c r="E17046" t="s">
        <v>1</v>
      </c>
      <c r="F17046" t="s">
        <v>0</v>
      </c>
      <c r="G17046" t="str">
        <f>"2018-10-11 23:32:43"</f>
        <v>2018-10-11 23:32:43</v>
      </c>
    </row>
    <row r="17047" spans="1:7" x14ac:dyDescent="0.2">
      <c r="A17047" t="s">
        <v>1</v>
      </c>
      <c r="B17047" t="str">
        <f>"15817274636"</f>
        <v>15817274636</v>
      </c>
      <c r="C17047" t="s">
        <v>1</v>
      </c>
      <c r="D17047" t="s">
        <v>1</v>
      </c>
      <c r="E17047" t="s">
        <v>1</v>
      </c>
      <c r="F17047" t="s">
        <v>0</v>
      </c>
      <c r="G17047" t="str">
        <f>"2018-10-11 22:30:11"</f>
        <v>2018-10-11 22:30:11</v>
      </c>
    </row>
    <row r="17048" spans="1:7" x14ac:dyDescent="0.2">
      <c r="A17048" t="s">
        <v>1</v>
      </c>
      <c r="B17048" t="str">
        <f>"17678984981"</f>
        <v>17678984981</v>
      </c>
      <c r="C17048" t="s">
        <v>1</v>
      </c>
      <c r="D17048" t="s">
        <v>1</v>
      </c>
      <c r="E17048" t="s">
        <v>1</v>
      </c>
      <c r="F17048" t="s">
        <v>0</v>
      </c>
      <c r="G17048" t="str">
        <f>"2018-10-11 22:29:02"</f>
        <v>2018-10-11 22:29:02</v>
      </c>
    </row>
    <row r="17049" spans="1:7" x14ac:dyDescent="0.2">
      <c r="A17049" t="s">
        <v>16282</v>
      </c>
      <c r="B17049" t="str">
        <f>"13106130632"</f>
        <v>13106130632</v>
      </c>
      <c r="C17049" t="str">
        <f>"362201200002276017"</f>
        <v>362201200002276017</v>
      </c>
      <c r="D17049" t="s">
        <v>1</v>
      </c>
      <c r="E17049" t="s">
        <v>1</v>
      </c>
      <c r="F17049" t="s">
        <v>0</v>
      </c>
      <c r="G17049" t="str">
        <f>"2018-10-11 22:48:08"</f>
        <v>2018-10-11 22:48:08</v>
      </c>
    </row>
    <row r="17050" spans="1:7" x14ac:dyDescent="0.2">
      <c r="A17050" t="s">
        <v>1</v>
      </c>
      <c r="B17050" t="str">
        <f>"13377972663"</f>
        <v>13377972663</v>
      </c>
      <c r="C17050" t="s">
        <v>1</v>
      </c>
      <c r="D17050" t="s">
        <v>1</v>
      </c>
      <c r="E17050" t="s">
        <v>1</v>
      </c>
      <c r="F17050" t="s">
        <v>0</v>
      </c>
      <c r="G17050" t="str">
        <f>"2018-10-11 22:28:56"</f>
        <v>2018-10-11 22:28:56</v>
      </c>
    </row>
    <row r="17051" spans="1:7" x14ac:dyDescent="0.2">
      <c r="A17051" t="s">
        <v>16283</v>
      </c>
      <c r="B17051" t="str">
        <f>"13113236955"</f>
        <v>13113236955</v>
      </c>
      <c r="C17051" t="str">
        <f>"522527198605240515"</f>
        <v>522527198605240515</v>
      </c>
      <c r="D17051" t="s">
        <v>1</v>
      </c>
      <c r="E17051" t="s">
        <v>1</v>
      </c>
      <c r="F17051" t="s">
        <v>0</v>
      </c>
      <c r="G17051" t="str">
        <f>"2018-10-11 22:41:28"</f>
        <v>2018-10-11 22:41:28</v>
      </c>
    </row>
    <row r="17052" spans="1:7" x14ac:dyDescent="0.2">
      <c r="A17052" t="s">
        <v>1567</v>
      </c>
      <c r="B17052" t="str">
        <f>"13863491067"</f>
        <v>13863491067</v>
      </c>
      <c r="C17052" t="str">
        <f>"370919196506213514"</f>
        <v>370919196506213514</v>
      </c>
      <c r="D17052" t="s">
        <v>1</v>
      </c>
      <c r="E17052" t="s">
        <v>1</v>
      </c>
      <c r="F17052" t="s">
        <v>0</v>
      </c>
      <c r="G17052" t="str">
        <f>"2018-10-23 16:02:06"</f>
        <v>2018-10-23 16:02:06</v>
      </c>
    </row>
    <row r="17053" spans="1:7" x14ac:dyDescent="0.2">
      <c r="A17053" t="s">
        <v>52</v>
      </c>
      <c r="B17053" t="str">
        <f>"13965789591"</f>
        <v>13965789591</v>
      </c>
      <c r="C17053" t="str">
        <f>"341281198402170470"</f>
        <v>341281198402170470</v>
      </c>
      <c r="D17053" t="s">
        <v>16284</v>
      </c>
      <c r="E17053" t="s">
        <v>16285</v>
      </c>
      <c r="F17053" t="s">
        <v>0</v>
      </c>
      <c r="G17053" t="str">
        <f>"2018-10-11 22:27:44"</f>
        <v>2018-10-11 22:27:44</v>
      </c>
    </row>
    <row r="17054" spans="1:7" x14ac:dyDescent="0.2">
      <c r="A17054" t="s">
        <v>8737</v>
      </c>
      <c r="B17054" t="str">
        <f>"18366851601"</f>
        <v>18366851601</v>
      </c>
      <c r="C17054" t="str">
        <f>"372330199112264678"</f>
        <v>372330199112264678</v>
      </c>
      <c r="D17054" t="s">
        <v>1</v>
      </c>
      <c r="E17054" t="s">
        <v>1</v>
      </c>
      <c r="F17054" t="s">
        <v>0</v>
      </c>
      <c r="G17054" t="str">
        <f>"2018-10-12 01:43:11"</f>
        <v>2018-10-12 01:43:11</v>
      </c>
    </row>
    <row r="17055" spans="1:7" x14ac:dyDescent="0.2">
      <c r="A17055" t="s">
        <v>1</v>
      </c>
      <c r="B17055" t="str">
        <f>"13028973407"</f>
        <v>13028973407</v>
      </c>
      <c r="C17055" t="s">
        <v>1</v>
      </c>
      <c r="D17055" t="s">
        <v>1</v>
      </c>
      <c r="E17055" t="s">
        <v>1</v>
      </c>
      <c r="F17055" t="s">
        <v>0</v>
      </c>
      <c r="G17055" t="str">
        <f>"2018-10-11 22:22:41"</f>
        <v>2018-10-11 22:22:41</v>
      </c>
    </row>
    <row r="17056" spans="1:7" x14ac:dyDescent="0.2">
      <c r="A17056" t="s">
        <v>16286</v>
      </c>
      <c r="B17056" t="str">
        <f>"17636048287"</f>
        <v>17636048287</v>
      </c>
      <c r="C17056" t="str">
        <f>"140522199701085914"</f>
        <v>140522199701085914</v>
      </c>
      <c r="D17056" t="s">
        <v>1</v>
      </c>
      <c r="E17056" t="s">
        <v>1</v>
      </c>
      <c r="F17056" t="s">
        <v>0</v>
      </c>
      <c r="G17056" t="str">
        <f>"2018-10-11 22:35:00"</f>
        <v>2018-10-11 22:35:00</v>
      </c>
    </row>
    <row r="17057" spans="1:7" x14ac:dyDescent="0.2">
      <c r="A17057" t="s">
        <v>1</v>
      </c>
      <c r="B17057" t="str">
        <f>"13014838067"</f>
        <v>13014838067</v>
      </c>
      <c r="C17057" t="s">
        <v>1</v>
      </c>
      <c r="D17057" t="s">
        <v>1</v>
      </c>
      <c r="E17057" t="s">
        <v>1</v>
      </c>
      <c r="F17057" t="s">
        <v>0</v>
      </c>
      <c r="G17057" t="str">
        <f>"2018-10-11 22:19:59"</f>
        <v>2018-10-11 22:19:59</v>
      </c>
    </row>
    <row r="17058" spans="1:7" x14ac:dyDescent="0.2">
      <c r="A17058" t="s">
        <v>16287</v>
      </c>
      <c r="B17058" t="str">
        <f>"18565233869"</f>
        <v>18565233869</v>
      </c>
      <c r="C17058" t="str">
        <f>"372930198301016356"</f>
        <v>372930198301016356</v>
      </c>
      <c r="D17058" t="s">
        <v>1</v>
      </c>
      <c r="E17058" t="s">
        <v>1</v>
      </c>
      <c r="F17058" t="s">
        <v>0</v>
      </c>
      <c r="G17058" t="str">
        <f>"2018-10-11 22:41:19"</f>
        <v>2018-10-11 22:41:19</v>
      </c>
    </row>
    <row r="17059" spans="1:7" x14ac:dyDescent="0.2">
      <c r="A17059" t="s">
        <v>1057</v>
      </c>
      <c r="B17059" t="str">
        <f>"15898743599"</f>
        <v>15898743599</v>
      </c>
      <c r="C17059" t="str">
        <f>"370323198501012837"</f>
        <v>370323198501012837</v>
      </c>
      <c r="D17059" t="s">
        <v>1</v>
      </c>
      <c r="E17059" t="s">
        <v>1</v>
      </c>
      <c r="F17059" t="s">
        <v>0</v>
      </c>
      <c r="G17059" t="str">
        <f>"2018-10-11 22:29:22"</f>
        <v>2018-10-11 22:29:22</v>
      </c>
    </row>
    <row r="17060" spans="1:7" x14ac:dyDescent="0.2">
      <c r="A17060" t="s">
        <v>16288</v>
      </c>
      <c r="B17060" t="str">
        <f>"13369891439"</f>
        <v>13369891439</v>
      </c>
      <c r="C17060" t="str">
        <f>"51382219930528109X"</f>
        <v>51382219930528109X</v>
      </c>
      <c r="D17060" t="s">
        <v>1</v>
      </c>
      <c r="E17060" t="s">
        <v>1</v>
      </c>
      <c r="F17060" t="s">
        <v>0</v>
      </c>
      <c r="G17060" t="str">
        <f>"2018-10-11 22:15:24"</f>
        <v>2018-10-11 22:15:24</v>
      </c>
    </row>
    <row r="17061" spans="1:7" x14ac:dyDescent="0.2">
      <c r="A17061" t="s">
        <v>1</v>
      </c>
      <c r="B17061" t="str">
        <f>"18291482546"</f>
        <v>18291482546</v>
      </c>
      <c r="C17061" t="s">
        <v>1</v>
      </c>
      <c r="D17061" t="s">
        <v>1</v>
      </c>
      <c r="E17061" t="s">
        <v>1</v>
      </c>
      <c r="F17061" t="s">
        <v>0</v>
      </c>
      <c r="G17061" t="str">
        <f>"2018-10-11 22:14:15"</f>
        <v>2018-10-11 22:14:15</v>
      </c>
    </row>
    <row r="17062" spans="1:7" x14ac:dyDescent="0.2">
      <c r="A17062" t="s">
        <v>16289</v>
      </c>
      <c r="B17062" t="str">
        <f>"18665197977"</f>
        <v>18665197977</v>
      </c>
      <c r="C17062" t="str">
        <f>"440233199305135004"</f>
        <v>440233199305135004</v>
      </c>
      <c r="D17062" t="s">
        <v>1</v>
      </c>
      <c r="E17062" t="s">
        <v>1</v>
      </c>
      <c r="F17062" t="s">
        <v>0</v>
      </c>
      <c r="G17062" t="str">
        <f>"2018-10-11 22:32:22"</f>
        <v>2018-10-11 22:32:22</v>
      </c>
    </row>
    <row r="17063" spans="1:7" x14ac:dyDescent="0.2">
      <c r="A17063" t="s">
        <v>851</v>
      </c>
      <c r="B17063" t="str">
        <f>"15204878453"</f>
        <v>15204878453</v>
      </c>
      <c r="C17063" t="str">
        <f>"15232419910503661X"</f>
        <v>15232419910503661X</v>
      </c>
      <c r="D17063" t="s">
        <v>1</v>
      </c>
      <c r="E17063" t="s">
        <v>1</v>
      </c>
      <c r="F17063" t="s">
        <v>0</v>
      </c>
      <c r="G17063" t="str">
        <f>"2018-10-11 23:09:29"</f>
        <v>2018-10-11 23:09:29</v>
      </c>
    </row>
    <row r="17064" spans="1:7" x14ac:dyDescent="0.2">
      <c r="A17064" t="s">
        <v>16290</v>
      </c>
      <c r="B17064" t="str">
        <f>"13930096681"</f>
        <v>13930096681</v>
      </c>
      <c r="C17064" t="str">
        <f>"130424198511040011"</f>
        <v>130424198511040011</v>
      </c>
      <c r="D17064" t="s">
        <v>1</v>
      </c>
      <c r="E17064" t="s">
        <v>1</v>
      </c>
      <c r="F17064" t="s">
        <v>0</v>
      </c>
      <c r="G17064" t="str">
        <f>"2018-10-11 22:09:37"</f>
        <v>2018-10-11 22:09:37</v>
      </c>
    </row>
    <row r="17065" spans="1:7" x14ac:dyDescent="0.2">
      <c r="A17065" t="s">
        <v>16291</v>
      </c>
      <c r="B17065" t="str">
        <f>"18858233532"</f>
        <v>18858233532</v>
      </c>
      <c r="C17065" t="str">
        <f>"522726198710120659"</f>
        <v>522726198710120659</v>
      </c>
      <c r="D17065" t="s">
        <v>1</v>
      </c>
      <c r="E17065" t="s">
        <v>1</v>
      </c>
      <c r="F17065" t="s">
        <v>0</v>
      </c>
      <c r="G17065" t="str">
        <f>"2018-10-11 22:09:13"</f>
        <v>2018-10-11 22:09:13</v>
      </c>
    </row>
    <row r="17066" spans="1:7" x14ac:dyDescent="0.2">
      <c r="A17066" t="s">
        <v>16292</v>
      </c>
      <c r="B17066" t="str">
        <f>"18569095481"</f>
        <v>18569095481</v>
      </c>
      <c r="C17066" t="str">
        <f>"433130199308027742"</f>
        <v>433130199308027742</v>
      </c>
      <c r="D17066" t="s">
        <v>1</v>
      </c>
      <c r="E17066" t="s">
        <v>1</v>
      </c>
      <c r="F17066" t="s">
        <v>0</v>
      </c>
      <c r="G17066" t="str">
        <f>"2018-10-11 22:10:06"</f>
        <v>2018-10-11 22:10:06</v>
      </c>
    </row>
    <row r="17067" spans="1:7" x14ac:dyDescent="0.2">
      <c r="A17067" t="s">
        <v>1</v>
      </c>
      <c r="B17067" t="str">
        <f>"13033686314"</f>
        <v>13033686314</v>
      </c>
      <c r="C17067" t="s">
        <v>1</v>
      </c>
      <c r="D17067" t="s">
        <v>1</v>
      </c>
      <c r="E17067" t="s">
        <v>1</v>
      </c>
      <c r="F17067" t="s">
        <v>0</v>
      </c>
      <c r="G17067" t="str">
        <f>"2018-10-11 22:06:42"</f>
        <v>2018-10-11 22:06:42</v>
      </c>
    </row>
    <row r="17068" spans="1:7" x14ac:dyDescent="0.2">
      <c r="A17068" t="s">
        <v>1</v>
      </c>
      <c r="B17068" t="str">
        <f>"13084905432"</f>
        <v>13084905432</v>
      </c>
      <c r="C17068" t="s">
        <v>1</v>
      </c>
      <c r="D17068" t="s">
        <v>1</v>
      </c>
      <c r="E17068" t="s">
        <v>1</v>
      </c>
      <c r="F17068" t="s">
        <v>0</v>
      </c>
      <c r="G17068" t="str">
        <f>"2018-10-11 22:06:36"</f>
        <v>2018-10-11 22:06:36</v>
      </c>
    </row>
    <row r="17069" spans="1:7" x14ac:dyDescent="0.2">
      <c r="A17069" t="s">
        <v>1</v>
      </c>
      <c r="B17069" t="str">
        <f>"18371802515"</f>
        <v>18371802515</v>
      </c>
      <c r="C17069" t="s">
        <v>1</v>
      </c>
      <c r="D17069" t="s">
        <v>1</v>
      </c>
      <c r="E17069" t="s">
        <v>1</v>
      </c>
      <c r="F17069" t="s">
        <v>0</v>
      </c>
      <c r="G17069" t="str">
        <f>"2018-10-13 23:05:15"</f>
        <v>2018-10-13 23:05:15</v>
      </c>
    </row>
    <row r="17070" spans="1:7" x14ac:dyDescent="0.2">
      <c r="A17070" t="s">
        <v>16293</v>
      </c>
      <c r="B17070" t="str">
        <f>"13655382520"</f>
        <v>13655382520</v>
      </c>
      <c r="C17070" t="str">
        <f>"370923199002100952"</f>
        <v>370923199002100952</v>
      </c>
      <c r="D17070" t="s">
        <v>1</v>
      </c>
      <c r="E17070" t="s">
        <v>1</v>
      </c>
      <c r="F17070" t="s">
        <v>0</v>
      </c>
      <c r="G17070" t="str">
        <f>"2018-10-28 15:45:27"</f>
        <v>2018-10-28 15:45:27</v>
      </c>
    </row>
    <row r="17071" spans="1:7" x14ac:dyDescent="0.2">
      <c r="A17071" t="s">
        <v>16294</v>
      </c>
      <c r="B17071" t="str">
        <f>"15502185909"</f>
        <v>15502185909</v>
      </c>
      <c r="C17071" t="str">
        <f>"310101198310201571"</f>
        <v>310101198310201571</v>
      </c>
      <c r="D17071" t="s">
        <v>1</v>
      </c>
      <c r="E17071" t="s">
        <v>1</v>
      </c>
      <c r="F17071" t="s">
        <v>0</v>
      </c>
      <c r="G17071" t="str">
        <f>"2018-10-19 11:51:36"</f>
        <v>2018-10-19 11:51:36</v>
      </c>
    </row>
    <row r="17072" spans="1:7" x14ac:dyDescent="0.2">
      <c r="A17072" t="s">
        <v>1</v>
      </c>
      <c r="B17072" t="str">
        <f>"13106284075"</f>
        <v>13106284075</v>
      </c>
      <c r="C17072" t="s">
        <v>1</v>
      </c>
      <c r="D17072" t="s">
        <v>1</v>
      </c>
      <c r="E17072" t="s">
        <v>1</v>
      </c>
      <c r="F17072" t="s">
        <v>0</v>
      </c>
      <c r="G17072" t="str">
        <f>"2018-10-11 22:01:19"</f>
        <v>2018-10-11 22:01:19</v>
      </c>
    </row>
    <row r="17073" spans="1:7" x14ac:dyDescent="0.2">
      <c r="A17073" t="s">
        <v>16295</v>
      </c>
      <c r="B17073" t="str">
        <f>"15165163135"</f>
        <v>15165163135</v>
      </c>
      <c r="C17073" t="str">
        <f>"371521199508086111"</f>
        <v>371521199508086111</v>
      </c>
      <c r="D17073" t="s">
        <v>1</v>
      </c>
      <c r="E17073" t="s">
        <v>1</v>
      </c>
      <c r="F17073" t="s">
        <v>0</v>
      </c>
      <c r="G17073" t="str">
        <f>"2018-10-11 22:01:17"</f>
        <v>2018-10-11 22:01:17</v>
      </c>
    </row>
    <row r="17074" spans="1:7" x14ac:dyDescent="0.2">
      <c r="A17074" t="s">
        <v>1</v>
      </c>
      <c r="B17074" t="str">
        <f>"15757913774"</f>
        <v>15757913774</v>
      </c>
      <c r="C17074" t="s">
        <v>1</v>
      </c>
      <c r="D17074" t="s">
        <v>1</v>
      </c>
      <c r="E17074" t="s">
        <v>1</v>
      </c>
      <c r="F17074" t="s">
        <v>0</v>
      </c>
      <c r="G17074" t="str">
        <f>"2018-10-11 21:58:45"</f>
        <v>2018-10-11 21:58:45</v>
      </c>
    </row>
    <row r="17075" spans="1:7" x14ac:dyDescent="0.2">
      <c r="A17075" t="s">
        <v>1</v>
      </c>
      <c r="B17075" t="str">
        <f>"15340822777"</f>
        <v>15340822777</v>
      </c>
      <c r="C17075" t="s">
        <v>1</v>
      </c>
      <c r="D17075" t="s">
        <v>1</v>
      </c>
      <c r="E17075" t="s">
        <v>1</v>
      </c>
      <c r="F17075" t="s">
        <v>0</v>
      </c>
      <c r="G17075" t="str">
        <f>"2018-10-11 22:15:58"</f>
        <v>2018-10-11 22:15:58</v>
      </c>
    </row>
    <row r="17076" spans="1:7" x14ac:dyDescent="0.2">
      <c r="A17076" t="s">
        <v>16296</v>
      </c>
      <c r="B17076" t="str">
        <f>"15704834127"</f>
        <v>15704834127</v>
      </c>
      <c r="C17076" t="str">
        <f>"610632199502161022"</f>
        <v>610632199502161022</v>
      </c>
      <c r="D17076" t="s">
        <v>16297</v>
      </c>
      <c r="E17076" t="s">
        <v>16298</v>
      </c>
      <c r="F17076" t="s">
        <v>0</v>
      </c>
      <c r="G17076" t="str">
        <f>"2018-10-11 22:08:35"</f>
        <v>2018-10-11 22:08:35</v>
      </c>
    </row>
    <row r="17077" spans="1:7" x14ac:dyDescent="0.2">
      <c r="A17077" t="s">
        <v>16299</v>
      </c>
      <c r="B17077" t="str">
        <f>"18173821333"</f>
        <v>18173821333</v>
      </c>
      <c r="C17077" t="str">
        <f>"432524198211206639"</f>
        <v>432524198211206639</v>
      </c>
      <c r="D17077" t="s">
        <v>16300</v>
      </c>
      <c r="E17077" t="s">
        <v>16301</v>
      </c>
      <c r="F17077" t="s">
        <v>0</v>
      </c>
      <c r="G17077" t="str">
        <f>"2018-10-11 22:01:23"</f>
        <v>2018-10-11 22:01:23</v>
      </c>
    </row>
    <row r="17078" spans="1:7" x14ac:dyDescent="0.2">
      <c r="A17078" t="s">
        <v>16302</v>
      </c>
      <c r="B17078" t="str">
        <f>"15119976001"</f>
        <v>15119976001</v>
      </c>
      <c r="C17078" t="str">
        <f>"441823199507015917"</f>
        <v>441823199507015917</v>
      </c>
      <c r="D17078" t="s">
        <v>16303</v>
      </c>
      <c r="E17078" t="s">
        <v>16304</v>
      </c>
      <c r="F17078" t="s">
        <v>0</v>
      </c>
      <c r="G17078" t="str">
        <f>"2018-10-11 21:57:16"</f>
        <v>2018-10-11 21:57:16</v>
      </c>
    </row>
    <row r="17079" spans="1:7" x14ac:dyDescent="0.2">
      <c r="A17079" t="s">
        <v>16305</v>
      </c>
      <c r="B17079" t="str">
        <f>"18889548588"</f>
        <v>18889548588</v>
      </c>
      <c r="C17079" t="str">
        <f>"460003198501117639"</f>
        <v>460003198501117639</v>
      </c>
      <c r="D17079" t="s">
        <v>16306</v>
      </c>
      <c r="E17079" t="s">
        <v>16307</v>
      </c>
      <c r="F17079" t="s">
        <v>0</v>
      </c>
      <c r="G17079" t="str">
        <f>"2018-10-31 11:42:24"</f>
        <v>2018-10-31 11:42:24</v>
      </c>
    </row>
    <row r="17080" spans="1:7" x14ac:dyDescent="0.2">
      <c r="A17080" t="s">
        <v>1</v>
      </c>
      <c r="B17080" t="str">
        <f>"13235083339"</f>
        <v>13235083339</v>
      </c>
      <c r="C17080" t="s">
        <v>1</v>
      </c>
      <c r="D17080" t="s">
        <v>1</v>
      </c>
      <c r="E17080" t="s">
        <v>1</v>
      </c>
      <c r="F17080" t="s">
        <v>0</v>
      </c>
      <c r="G17080" t="str">
        <f>"2018-10-11 21:57:17"</f>
        <v>2018-10-11 21:57:17</v>
      </c>
    </row>
    <row r="17081" spans="1:7" x14ac:dyDescent="0.2">
      <c r="A17081" t="s">
        <v>16308</v>
      </c>
      <c r="B17081" t="str">
        <f>"15047175999"</f>
        <v>15047175999</v>
      </c>
      <c r="C17081" t="str">
        <f>"152103198802177218"</f>
        <v>152103198802177218</v>
      </c>
      <c r="D17081" t="s">
        <v>1</v>
      </c>
      <c r="E17081" t="s">
        <v>1</v>
      </c>
      <c r="F17081" t="s">
        <v>0</v>
      </c>
      <c r="G17081" t="str">
        <f>"2018-10-17 21:57:29"</f>
        <v>2018-10-17 21:57:29</v>
      </c>
    </row>
    <row r="17082" spans="1:7" x14ac:dyDescent="0.2">
      <c r="A17082" t="s">
        <v>4759</v>
      </c>
      <c r="B17082" t="str">
        <f>"15610606710"</f>
        <v>15610606710</v>
      </c>
      <c r="C17082" t="str">
        <f>"37012519881020421X"</f>
        <v>37012519881020421X</v>
      </c>
      <c r="D17082" t="s">
        <v>1</v>
      </c>
      <c r="E17082" t="s">
        <v>1</v>
      </c>
      <c r="F17082" t="s">
        <v>0</v>
      </c>
      <c r="G17082" t="str">
        <f>"2018-10-22 17:28:44"</f>
        <v>2018-10-22 17:28:44</v>
      </c>
    </row>
    <row r="17083" spans="1:7" x14ac:dyDescent="0.2">
      <c r="A17083" t="s">
        <v>1</v>
      </c>
      <c r="B17083" t="str">
        <f>"13890138575"</f>
        <v>13890138575</v>
      </c>
      <c r="C17083" t="s">
        <v>1</v>
      </c>
      <c r="D17083" t="s">
        <v>1</v>
      </c>
      <c r="E17083" t="s">
        <v>1</v>
      </c>
      <c r="F17083" t="s">
        <v>0</v>
      </c>
      <c r="G17083" t="str">
        <f>"2018-10-11 21:54:32"</f>
        <v>2018-10-11 21:54:32</v>
      </c>
    </row>
    <row r="17084" spans="1:7" x14ac:dyDescent="0.2">
      <c r="A17084" t="s">
        <v>1</v>
      </c>
      <c r="B17084" t="str">
        <f>"15985126627"</f>
        <v>15985126627</v>
      </c>
      <c r="C17084" t="s">
        <v>1</v>
      </c>
      <c r="D17084" t="s">
        <v>1</v>
      </c>
      <c r="E17084" t="s">
        <v>1</v>
      </c>
      <c r="F17084" t="s">
        <v>0</v>
      </c>
      <c r="G17084" t="str">
        <f>"2018-10-11 21:53:56"</f>
        <v>2018-10-11 21:53:56</v>
      </c>
    </row>
    <row r="17085" spans="1:7" x14ac:dyDescent="0.2">
      <c r="A17085" t="s">
        <v>1</v>
      </c>
      <c r="B17085" t="str">
        <f>"17350787258"</f>
        <v>17350787258</v>
      </c>
      <c r="C17085" t="s">
        <v>1</v>
      </c>
      <c r="D17085" t="s">
        <v>1</v>
      </c>
      <c r="E17085" t="s">
        <v>1</v>
      </c>
      <c r="F17085" t="s">
        <v>0</v>
      </c>
      <c r="G17085" t="str">
        <f>"2018-10-11 21:53:24"</f>
        <v>2018-10-11 21:53:24</v>
      </c>
    </row>
    <row r="17086" spans="1:7" x14ac:dyDescent="0.2">
      <c r="A17086" t="s">
        <v>16309</v>
      </c>
      <c r="B17086" t="str">
        <f>"18670616692"</f>
        <v>18670616692</v>
      </c>
      <c r="C17086" t="str">
        <f>"430722199807160011"</f>
        <v>430722199807160011</v>
      </c>
      <c r="D17086" t="s">
        <v>1</v>
      </c>
      <c r="E17086" t="s">
        <v>1</v>
      </c>
      <c r="F17086" t="s">
        <v>0</v>
      </c>
      <c r="G17086" t="str">
        <f>"2018-10-11 21:52:59"</f>
        <v>2018-10-11 21:52:59</v>
      </c>
    </row>
    <row r="17087" spans="1:7" x14ac:dyDescent="0.2">
      <c r="A17087" t="s">
        <v>16310</v>
      </c>
      <c r="B17087" t="str">
        <f>"18350538021"</f>
        <v>18350538021</v>
      </c>
      <c r="C17087" t="str">
        <f>"350525200005165922"</f>
        <v>350525200005165922</v>
      </c>
      <c r="D17087" t="s">
        <v>1</v>
      </c>
      <c r="E17087" t="s">
        <v>1</v>
      </c>
      <c r="F17087" t="s">
        <v>0</v>
      </c>
      <c r="G17087" t="str">
        <f>"2018-10-11 21:51:47"</f>
        <v>2018-10-11 21:51:47</v>
      </c>
    </row>
    <row r="17088" spans="1:7" x14ac:dyDescent="0.2">
      <c r="A17088" t="s">
        <v>16311</v>
      </c>
      <c r="B17088" t="str">
        <f>"15225384914"</f>
        <v>15225384914</v>
      </c>
      <c r="C17088" t="str">
        <f>"411503198901156732"</f>
        <v>411503198901156732</v>
      </c>
      <c r="D17088" t="s">
        <v>16312</v>
      </c>
      <c r="E17088" t="s">
        <v>16313</v>
      </c>
      <c r="F17088" t="s">
        <v>0</v>
      </c>
      <c r="G17088" t="str">
        <f>"2018-10-11 21:47:15"</f>
        <v>2018-10-11 21:47:15</v>
      </c>
    </row>
    <row r="17089" spans="1:7" x14ac:dyDescent="0.2">
      <c r="A17089" t="s">
        <v>1</v>
      </c>
      <c r="B17089" t="str">
        <f>"13047823053"</f>
        <v>13047823053</v>
      </c>
      <c r="C17089" t="s">
        <v>1</v>
      </c>
      <c r="D17089" t="s">
        <v>1</v>
      </c>
      <c r="E17089" t="s">
        <v>1</v>
      </c>
      <c r="F17089" t="s">
        <v>0</v>
      </c>
      <c r="G17089" t="str">
        <f>"2018-10-11 21:45:29"</f>
        <v>2018-10-11 21:45:29</v>
      </c>
    </row>
    <row r="17090" spans="1:7" x14ac:dyDescent="0.2">
      <c r="A17090" t="s">
        <v>16314</v>
      </c>
      <c r="B17090" t="str">
        <f>"15260034876"</f>
        <v>15260034876</v>
      </c>
      <c r="C17090" t="str">
        <f>"350628200008271522"</f>
        <v>350628200008271522</v>
      </c>
      <c r="D17090" t="s">
        <v>1</v>
      </c>
      <c r="E17090" t="s">
        <v>1</v>
      </c>
      <c r="F17090" t="s">
        <v>0</v>
      </c>
      <c r="G17090" t="str">
        <f>"2018-10-11 21:45:02"</f>
        <v>2018-10-11 21:45:02</v>
      </c>
    </row>
    <row r="17091" spans="1:7" x14ac:dyDescent="0.2">
      <c r="A17091" t="s">
        <v>1</v>
      </c>
      <c r="B17091" t="str">
        <f>"13211305424"</f>
        <v>13211305424</v>
      </c>
      <c r="C17091" t="s">
        <v>1</v>
      </c>
      <c r="D17091" t="s">
        <v>1</v>
      </c>
      <c r="E17091" t="s">
        <v>1</v>
      </c>
      <c r="F17091" t="s">
        <v>0</v>
      </c>
      <c r="G17091" t="str">
        <f>"2018-10-11 21:44:59"</f>
        <v>2018-10-11 21:44:59</v>
      </c>
    </row>
    <row r="17092" spans="1:7" x14ac:dyDescent="0.2">
      <c r="A17092" t="s">
        <v>16315</v>
      </c>
      <c r="B17092" t="str">
        <f>"17321176281"</f>
        <v>17321176281</v>
      </c>
      <c r="C17092" t="str">
        <f>"513025197809257559"</f>
        <v>513025197809257559</v>
      </c>
      <c r="D17092" t="s">
        <v>16316</v>
      </c>
      <c r="E17092" t="s">
        <v>16317</v>
      </c>
      <c r="F17092" t="s">
        <v>0</v>
      </c>
      <c r="G17092" t="str">
        <f>"2018-10-11 21:46:08"</f>
        <v>2018-10-11 21:46:08</v>
      </c>
    </row>
    <row r="17093" spans="1:7" x14ac:dyDescent="0.2">
      <c r="A17093" t="s">
        <v>16318</v>
      </c>
      <c r="B17093" t="str">
        <f>"13433352022"</f>
        <v>13433352022</v>
      </c>
      <c r="C17093" t="str">
        <f>"440506198306060035"</f>
        <v>440506198306060035</v>
      </c>
      <c r="D17093" t="s">
        <v>1</v>
      </c>
      <c r="E17093" t="s">
        <v>1</v>
      </c>
      <c r="F17093" t="s">
        <v>0</v>
      </c>
      <c r="G17093" t="str">
        <f>"2018-10-11 22:01:28"</f>
        <v>2018-10-11 22:01:28</v>
      </c>
    </row>
    <row r="17094" spans="1:7" x14ac:dyDescent="0.2">
      <c r="A17094" t="s">
        <v>16319</v>
      </c>
      <c r="B17094" t="str">
        <f>"18102520890"</f>
        <v>18102520890</v>
      </c>
      <c r="C17094" t="str">
        <f>"440103197204091214"</f>
        <v>440103197204091214</v>
      </c>
      <c r="D17094" t="s">
        <v>1</v>
      </c>
      <c r="E17094" t="s">
        <v>1</v>
      </c>
      <c r="F17094" t="s">
        <v>0</v>
      </c>
      <c r="G17094" t="str">
        <f>"2018-10-11 21:45:37"</f>
        <v>2018-10-11 21:45:37</v>
      </c>
    </row>
    <row r="17095" spans="1:7" x14ac:dyDescent="0.2">
      <c r="A17095" t="s">
        <v>16320</v>
      </c>
      <c r="B17095" t="str">
        <f>"15361546425"</f>
        <v>15361546425</v>
      </c>
      <c r="C17095" t="str">
        <f>"452130198601040039"</f>
        <v>452130198601040039</v>
      </c>
      <c r="D17095" t="s">
        <v>1</v>
      </c>
      <c r="E17095" t="s">
        <v>1</v>
      </c>
      <c r="F17095" t="s">
        <v>0</v>
      </c>
      <c r="G17095" t="str">
        <f>"2018-10-11 21:44:48"</f>
        <v>2018-10-11 21:44:48</v>
      </c>
    </row>
    <row r="17096" spans="1:7" x14ac:dyDescent="0.2">
      <c r="A17096" t="s">
        <v>16321</v>
      </c>
      <c r="B17096" t="str">
        <f>"15195157433"</f>
        <v>15195157433</v>
      </c>
      <c r="C17096" t="str">
        <f>"320925198803246133"</f>
        <v>320925198803246133</v>
      </c>
      <c r="D17096" t="s">
        <v>1</v>
      </c>
      <c r="E17096" t="s">
        <v>1</v>
      </c>
      <c r="F17096" t="s">
        <v>0</v>
      </c>
      <c r="G17096" t="str">
        <f>"2018-10-11 21:43:19"</f>
        <v>2018-10-11 21:43:19</v>
      </c>
    </row>
    <row r="17097" spans="1:7" x14ac:dyDescent="0.2">
      <c r="A17097" t="s">
        <v>1</v>
      </c>
      <c r="B17097" t="str">
        <f>"14700063128"</f>
        <v>14700063128</v>
      </c>
      <c r="C17097" t="s">
        <v>1</v>
      </c>
      <c r="D17097" t="s">
        <v>1</v>
      </c>
      <c r="E17097" t="s">
        <v>1</v>
      </c>
      <c r="F17097" t="s">
        <v>0</v>
      </c>
      <c r="G17097" t="str">
        <f>"2018-10-11 21:43:33"</f>
        <v>2018-10-11 21:43:33</v>
      </c>
    </row>
    <row r="17098" spans="1:7" x14ac:dyDescent="0.2">
      <c r="A17098" t="s">
        <v>176</v>
      </c>
      <c r="B17098" t="str">
        <f>"13114945586"</f>
        <v>13114945586</v>
      </c>
      <c r="C17098" t="str">
        <f>"120106199308166026"</f>
        <v>120106199308166026</v>
      </c>
      <c r="D17098" t="s">
        <v>16322</v>
      </c>
      <c r="E17098" t="s">
        <v>16323</v>
      </c>
      <c r="F17098" t="s">
        <v>0</v>
      </c>
      <c r="G17098" t="str">
        <f>"2018-10-12 10:49:28"</f>
        <v>2018-10-12 10:49:28</v>
      </c>
    </row>
    <row r="17099" spans="1:7" x14ac:dyDescent="0.2">
      <c r="A17099" t="s">
        <v>896</v>
      </c>
      <c r="B17099" t="str">
        <f>"18500801799"</f>
        <v>18500801799</v>
      </c>
      <c r="C17099" t="str">
        <f>"130526198608180019"</f>
        <v>130526198608180019</v>
      </c>
      <c r="D17099" t="s">
        <v>1</v>
      </c>
      <c r="E17099" t="s">
        <v>1</v>
      </c>
      <c r="F17099" t="s">
        <v>0</v>
      </c>
      <c r="G17099" t="str">
        <f>"2018-10-11 22:29:45"</f>
        <v>2018-10-11 22:29:45</v>
      </c>
    </row>
    <row r="17100" spans="1:7" x14ac:dyDescent="0.2">
      <c r="A17100" t="s">
        <v>16324</v>
      </c>
      <c r="B17100" t="str">
        <f>"15068027615"</f>
        <v>15068027615</v>
      </c>
      <c r="C17100" t="str">
        <f>"522701199608314411"</f>
        <v>522701199608314411</v>
      </c>
      <c r="D17100" t="s">
        <v>1</v>
      </c>
      <c r="E17100" t="s">
        <v>1</v>
      </c>
      <c r="F17100" t="s">
        <v>0</v>
      </c>
      <c r="G17100" t="str">
        <f>"2018-10-11 21:39:45"</f>
        <v>2018-10-11 21:39:45</v>
      </c>
    </row>
    <row r="17101" spans="1:7" x14ac:dyDescent="0.2">
      <c r="A17101" t="s">
        <v>18</v>
      </c>
      <c r="B17101" t="str">
        <f>"15972148892"</f>
        <v>15972148892</v>
      </c>
      <c r="C17101" t="str">
        <f>"210782198812101412"</f>
        <v>210782198812101412</v>
      </c>
      <c r="D17101" t="s">
        <v>1</v>
      </c>
      <c r="E17101" t="s">
        <v>1</v>
      </c>
      <c r="F17101" t="s">
        <v>0</v>
      </c>
      <c r="G17101" t="str">
        <f>"2018-10-11 21:39:02"</f>
        <v>2018-10-11 21:39:02</v>
      </c>
    </row>
    <row r="17102" spans="1:7" x14ac:dyDescent="0.2">
      <c r="A17102" t="s">
        <v>16325</v>
      </c>
      <c r="B17102" t="str">
        <f>"15657183922"</f>
        <v>15657183922</v>
      </c>
      <c r="C17102" t="str">
        <f>"42112519861005403X"</f>
        <v>42112519861005403X</v>
      </c>
      <c r="D17102" t="s">
        <v>1</v>
      </c>
      <c r="E17102" t="s">
        <v>1</v>
      </c>
      <c r="F17102" t="s">
        <v>0</v>
      </c>
      <c r="G17102" t="str">
        <f>"2018-10-11 21:59:45"</f>
        <v>2018-10-11 21:59:45</v>
      </c>
    </row>
    <row r="17103" spans="1:7" x14ac:dyDescent="0.2">
      <c r="A17103" t="s">
        <v>16326</v>
      </c>
      <c r="B17103" t="str">
        <f>"13651095075"</f>
        <v>13651095075</v>
      </c>
      <c r="C17103" t="str">
        <f>"150423198610083516"</f>
        <v>150423198610083516</v>
      </c>
      <c r="D17103" t="s">
        <v>1</v>
      </c>
      <c r="E17103" t="s">
        <v>1</v>
      </c>
      <c r="F17103" t="s">
        <v>0</v>
      </c>
      <c r="G17103" t="str">
        <f>"2018-10-11 21:41:39"</f>
        <v>2018-10-11 21:41:39</v>
      </c>
    </row>
    <row r="17104" spans="1:7" x14ac:dyDescent="0.2">
      <c r="A17104" t="s">
        <v>16327</v>
      </c>
      <c r="B17104" t="str">
        <f>"18670909825"</f>
        <v>18670909825</v>
      </c>
      <c r="C17104" t="str">
        <f>"430302198912223270"</f>
        <v>430302198912223270</v>
      </c>
      <c r="D17104" t="s">
        <v>1</v>
      </c>
      <c r="E17104" t="s">
        <v>1</v>
      </c>
      <c r="F17104" t="s">
        <v>0</v>
      </c>
      <c r="G17104" t="str">
        <f>"2018-10-11 21:35:44"</f>
        <v>2018-10-11 21:35:44</v>
      </c>
    </row>
    <row r="17105" spans="1:7" x14ac:dyDescent="0.2">
      <c r="A17105" t="s">
        <v>16328</v>
      </c>
      <c r="B17105" t="str">
        <f>"17193335938"</f>
        <v>17193335938</v>
      </c>
      <c r="C17105" t="str">
        <f>"371323199009160817"</f>
        <v>371323199009160817</v>
      </c>
      <c r="D17105" t="s">
        <v>1</v>
      </c>
      <c r="E17105" t="s">
        <v>1</v>
      </c>
      <c r="F17105" t="s">
        <v>0</v>
      </c>
      <c r="G17105" t="str">
        <f>"2018-10-11 21:36:52"</f>
        <v>2018-10-11 21:36:52</v>
      </c>
    </row>
    <row r="17106" spans="1:7" x14ac:dyDescent="0.2">
      <c r="A17106" t="s">
        <v>1</v>
      </c>
      <c r="B17106" t="str">
        <f>"18750386408"</f>
        <v>18750386408</v>
      </c>
      <c r="C17106" t="s">
        <v>1</v>
      </c>
      <c r="D17106" t="s">
        <v>1</v>
      </c>
      <c r="E17106" t="s">
        <v>1</v>
      </c>
      <c r="F17106" t="s">
        <v>0</v>
      </c>
      <c r="G17106" t="str">
        <f>"2018-10-11 21:37:57"</f>
        <v>2018-10-11 21:37:57</v>
      </c>
    </row>
    <row r="17107" spans="1:7" x14ac:dyDescent="0.2">
      <c r="A17107" t="s">
        <v>16329</v>
      </c>
      <c r="B17107" t="str">
        <f>"17521178435"</f>
        <v>17521178435</v>
      </c>
      <c r="C17107" t="str">
        <f>"411528199911154425"</f>
        <v>411528199911154425</v>
      </c>
      <c r="D17107" t="s">
        <v>1</v>
      </c>
      <c r="E17107" t="s">
        <v>1</v>
      </c>
      <c r="F17107" t="s">
        <v>0</v>
      </c>
      <c r="G17107" t="str">
        <f>"2018-10-11 21:56:03"</f>
        <v>2018-10-11 21:56:03</v>
      </c>
    </row>
    <row r="17108" spans="1:7" x14ac:dyDescent="0.2">
      <c r="A17108" t="s">
        <v>16330</v>
      </c>
      <c r="B17108" t="str">
        <f>"17720316091"</f>
        <v>17720316091</v>
      </c>
      <c r="C17108" t="str">
        <f>"422325197609230515"</f>
        <v>422325197609230515</v>
      </c>
      <c r="D17108" t="s">
        <v>1</v>
      </c>
      <c r="E17108" t="s">
        <v>1</v>
      </c>
      <c r="F17108" t="s">
        <v>0</v>
      </c>
      <c r="G17108" t="str">
        <f>"2018-10-11 21:36:34"</f>
        <v>2018-10-11 21:36:34</v>
      </c>
    </row>
    <row r="17109" spans="1:7" x14ac:dyDescent="0.2">
      <c r="A17109" t="s">
        <v>16331</v>
      </c>
      <c r="B17109" t="str">
        <f>"13689690613"</f>
        <v>13689690613</v>
      </c>
      <c r="C17109" t="str">
        <f>"510724199008060412"</f>
        <v>510724199008060412</v>
      </c>
      <c r="D17109" t="s">
        <v>1</v>
      </c>
      <c r="E17109" t="s">
        <v>1</v>
      </c>
      <c r="F17109" t="s">
        <v>0</v>
      </c>
      <c r="G17109" t="str">
        <f>"2018-10-18 17:10:59"</f>
        <v>2018-10-18 17:10:59</v>
      </c>
    </row>
    <row r="17110" spans="1:7" x14ac:dyDescent="0.2">
      <c r="A17110" t="s">
        <v>1</v>
      </c>
      <c r="B17110" t="str">
        <f>"15769550579"</f>
        <v>15769550579</v>
      </c>
      <c r="C17110" t="s">
        <v>1</v>
      </c>
      <c r="D17110" t="s">
        <v>1</v>
      </c>
      <c r="E17110" t="s">
        <v>1</v>
      </c>
      <c r="F17110" t="s">
        <v>0</v>
      </c>
      <c r="G17110" t="str">
        <f>"2018-10-11 21:33:45"</f>
        <v>2018-10-11 21:33:45</v>
      </c>
    </row>
    <row r="17111" spans="1:7" x14ac:dyDescent="0.2">
      <c r="A17111" t="s">
        <v>16332</v>
      </c>
      <c r="B17111" t="str">
        <f>"13680382635"</f>
        <v>13680382635</v>
      </c>
      <c r="C17111" t="str">
        <f>"45031119850801301X"</f>
        <v>45031119850801301X</v>
      </c>
      <c r="D17111" t="s">
        <v>1</v>
      </c>
      <c r="E17111" t="s">
        <v>1</v>
      </c>
      <c r="F17111" t="s">
        <v>0</v>
      </c>
      <c r="G17111" t="str">
        <f>"2018-10-11 21:52:04"</f>
        <v>2018-10-11 21:52:04</v>
      </c>
    </row>
    <row r="17112" spans="1:7" x14ac:dyDescent="0.2">
      <c r="A17112" t="s">
        <v>1</v>
      </c>
      <c r="B17112" t="str">
        <f>"13070839500"</f>
        <v>13070839500</v>
      </c>
      <c r="C17112" t="s">
        <v>1</v>
      </c>
      <c r="D17112" t="s">
        <v>1</v>
      </c>
      <c r="E17112" t="s">
        <v>1</v>
      </c>
      <c r="F17112" t="s">
        <v>0</v>
      </c>
      <c r="G17112" t="str">
        <f>"2018-10-11 21:32:38"</f>
        <v>2018-10-11 21:32:38</v>
      </c>
    </row>
    <row r="17113" spans="1:7" x14ac:dyDescent="0.2">
      <c r="A17113" t="s">
        <v>16333</v>
      </c>
      <c r="B17113" t="str">
        <f>"13876673654"</f>
        <v>13876673654</v>
      </c>
      <c r="C17113" t="str">
        <f>"469021199007093331"</f>
        <v>469021199007093331</v>
      </c>
      <c r="D17113" t="s">
        <v>1</v>
      </c>
      <c r="E17113" t="s">
        <v>1</v>
      </c>
      <c r="F17113" t="s">
        <v>0</v>
      </c>
      <c r="G17113" t="str">
        <f>"2018-10-11 21:56:23"</f>
        <v>2018-10-11 21:56:23</v>
      </c>
    </row>
    <row r="17114" spans="1:7" x14ac:dyDescent="0.2">
      <c r="A17114" t="s">
        <v>1</v>
      </c>
      <c r="B17114" t="str">
        <f>"13197568104"</f>
        <v>13197568104</v>
      </c>
      <c r="C17114" t="s">
        <v>1</v>
      </c>
      <c r="D17114" t="s">
        <v>1</v>
      </c>
      <c r="E17114" t="s">
        <v>1</v>
      </c>
      <c r="F17114" t="s">
        <v>0</v>
      </c>
      <c r="G17114" t="str">
        <f>"2018-10-11 21:32:11"</f>
        <v>2018-10-11 21:32:11</v>
      </c>
    </row>
    <row r="17115" spans="1:7" x14ac:dyDescent="0.2">
      <c r="A17115" t="s">
        <v>1</v>
      </c>
      <c r="B17115" t="str">
        <f>"13819344804"</f>
        <v>13819344804</v>
      </c>
      <c r="C17115" t="s">
        <v>1</v>
      </c>
      <c r="D17115" t="s">
        <v>1</v>
      </c>
      <c r="E17115" t="s">
        <v>1</v>
      </c>
      <c r="F17115" t="s">
        <v>0</v>
      </c>
      <c r="G17115" t="str">
        <f>"2018-10-11 21:31:34"</f>
        <v>2018-10-11 21:31:34</v>
      </c>
    </row>
    <row r="17116" spans="1:7" x14ac:dyDescent="0.2">
      <c r="A17116" t="s">
        <v>16334</v>
      </c>
      <c r="B17116" t="str">
        <f>"15814172855"</f>
        <v>15814172855</v>
      </c>
      <c r="C17116" t="str">
        <f>"441423198701215019"</f>
        <v>441423198701215019</v>
      </c>
      <c r="D17116" t="s">
        <v>16335</v>
      </c>
      <c r="E17116" t="s">
        <v>16336</v>
      </c>
      <c r="F17116" t="s">
        <v>0</v>
      </c>
      <c r="G17116" t="str">
        <f>"2018-10-16 01:38:11"</f>
        <v>2018-10-16 01:38:11</v>
      </c>
    </row>
    <row r="17117" spans="1:7" x14ac:dyDescent="0.2">
      <c r="A17117" t="s">
        <v>1</v>
      </c>
      <c r="B17117" t="str">
        <f>"18758128072"</f>
        <v>18758128072</v>
      </c>
      <c r="C17117" t="s">
        <v>1</v>
      </c>
      <c r="D17117" t="s">
        <v>1</v>
      </c>
      <c r="E17117" t="s">
        <v>1</v>
      </c>
      <c r="F17117" t="s">
        <v>0</v>
      </c>
      <c r="G17117" t="str">
        <f>"2018-10-11 21:28:18"</f>
        <v>2018-10-11 21:28:18</v>
      </c>
    </row>
    <row r="17118" spans="1:7" x14ac:dyDescent="0.2">
      <c r="A17118" t="s">
        <v>1</v>
      </c>
      <c r="B17118" t="str">
        <f>"18607762948"</f>
        <v>18607762948</v>
      </c>
      <c r="C17118" t="s">
        <v>1</v>
      </c>
      <c r="D17118" t="s">
        <v>1</v>
      </c>
      <c r="E17118" t="s">
        <v>1</v>
      </c>
      <c r="F17118" t="s">
        <v>0</v>
      </c>
      <c r="G17118" t="str">
        <f>"2018-10-27 14:40:27"</f>
        <v>2018-10-27 14:40:27</v>
      </c>
    </row>
    <row r="17119" spans="1:7" x14ac:dyDescent="0.2">
      <c r="A17119" t="s">
        <v>16337</v>
      </c>
      <c r="B17119" t="str">
        <f>"15557944972"</f>
        <v>15557944972</v>
      </c>
      <c r="C17119" t="str">
        <f>"522501199603130620"</f>
        <v>522501199603130620</v>
      </c>
      <c r="D17119" t="s">
        <v>1</v>
      </c>
      <c r="E17119" t="s">
        <v>1</v>
      </c>
      <c r="F17119" t="s">
        <v>0</v>
      </c>
      <c r="G17119" t="str">
        <f>"2018-10-11 21:26:45"</f>
        <v>2018-10-11 21:26:45</v>
      </c>
    </row>
    <row r="17120" spans="1:7" x14ac:dyDescent="0.2">
      <c r="A17120" t="s">
        <v>16338</v>
      </c>
      <c r="B17120" t="str">
        <f>"15771925355"</f>
        <v>15771925355</v>
      </c>
      <c r="C17120" t="str">
        <f>"610631199002110636"</f>
        <v>610631199002110636</v>
      </c>
      <c r="D17120" t="s">
        <v>16339</v>
      </c>
      <c r="E17120" t="s">
        <v>16340</v>
      </c>
      <c r="F17120" t="s">
        <v>0</v>
      </c>
      <c r="G17120" t="str">
        <f>"2018-10-11 21:25:08"</f>
        <v>2018-10-11 21:25:08</v>
      </c>
    </row>
    <row r="17121" spans="1:7" x14ac:dyDescent="0.2">
      <c r="A17121" t="s">
        <v>16341</v>
      </c>
      <c r="B17121" t="str">
        <f>"13575062062"</f>
        <v>13575062062</v>
      </c>
      <c r="C17121" t="str">
        <f>"430602196902084016"</f>
        <v>430602196902084016</v>
      </c>
      <c r="D17121" t="s">
        <v>1</v>
      </c>
      <c r="E17121" t="s">
        <v>1</v>
      </c>
      <c r="F17121" t="s">
        <v>0</v>
      </c>
      <c r="G17121" t="str">
        <f>"2018-10-11 21:28:40"</f>
        <v>2018-10-11 21:28:40</v>
      </c>
    </row>
    <row r="17122" spans="1:7" x14ac:dyDescent="0.2">
      <c r="A17122" t="s">
        <v>16342</v>
      </c>
      <c r="B17122" t="str">
        <f>"18852849275"</f>
        <v>18852849275</v>
      </c>
      <c r="C17122" t="str">
        <f>"320723199707014253"</f>
        <v>320723199707014253</v>
      </c>
      <c r="D17122" t="s">
        <v>1</v>
      </c>
      <c r="E17122" t="s">
        <v>1</v>
      </c>
      <c r="F17122" t="s">
        <v>0</v>
      </c>
      <c r="G17122" t="str">
        <f>"2018-10-11 21:25:55"</f>
        <v>2018-10-11 21:25:55</v>
      </c>
    </row>
    <row r="17123" spans="1:7" x14ac:dyDescent="0.2">
      <c r="A17123" t="s">
        <v>1</v>
      </c>
      <c r="B17123" t="str">
        <f>"15291313578"</f>
        <v>15291313578</v>
      </c>
      <c r="C17123" t="s">
        <v>1</v>
      </c>
      <c r="D17123" t="s">
        <v>1</v>
      </c>
      <c r="E17123" t="s">
        <v>1</v>
      </c>
      <c r="F17123" t="s">
        <v>0</v>
      </c>
      <c r="G17123" t="str">
        <f>"2018-10-11 21:38:12"</f>
        <v>2018-10-11 21:38:12</v>
      </c>
    </row>
    <row r="17124" spans="1:7" x14ac:dyDescent="0.2">
      <c r="A17124" t="s">
        <v>16343</v>
      </c>
      <c r="B17124" t="str">
        <f>"13794332552"</f>
        <v>13794332552</v>
      </c>
      <c r="C17124" t="str">
        <f>"440881199506161616"</f>
        <v>440881199506161616</v>
      </c>
      <c r="D17124" t="s">
        <v>1</v>
      </c>
      <c r="E17124" t="s">
        <v>1</v>
      </c>
      <c r="F17124" t="s">
        <v>0</v>
      </c>
      <c r="G17124" t="str">
        <f>"2018-10-11 21:20:47"</f>
        <v>2018-10-11 21:20:47</v>
      </c>
    </row>
    <row r="17125" spans="1:7" x14ac:dyDescent="0.2">
      <c r="A17125" t="s">
        <v>16344</v>
      </c>
      <c r="B17125" t="str">
        <f>"13881376184"</f>
        <v>13881376184</v>
      </c>
      <c r="C17125" t="str">
        <f>"511126199206050929"</f>
        <v>511126199206050929</v>
      </c>
      <c r="D17125" t="s">
        <v>1</v>
      </c>
      <c r="E17125" t="s">
        <v>1</v>
      </c>
      <c r="F17125" t="s">
        <v>0</v>
      </c>
      <c r="G17125" t="str">
        <f>"2018-10-11 21:30:12"</f>
        <v>2018-10-11 21:30:12</v>
      </c>
    </row>
    <row r="17126" spans="1:7" x14ac:dyDescent="0.2">
      <c r="A17126" t="s">
        <v>16345</v>
      </c>
      <c r="B17126" t="str">
        <f>"18297997337"</f>
        <v>18297997337</v>
      </c>
      <c r="C17126" t="str">
        <f>"342622198910142698"</f>
        <v>342622198910142698</v>
      </c>
      <c r="D17126" t="s">
        <v>1</v>
      </c>
      <c r="E17126" t="s">
        <v>1</v>
      </c>
      <c r="F17126" t="s">
        <v>0</v>
      </c>
      <c r="G17126" t="str">
        <f>"2018-10-11 21:24:24"</f>
        <v>2018-10-11 21:24:24</v>
      </c>
    </row>
    <row r="17127" spans="1:7" x14ac:dyDescent="0.2">
      <c r="A17127" t="s">
        <v>16346</v>
      </c>
      <c r="B17127" t="str">
        <f>"15171134520"</f>
        <v>15171134520</v>
      </c>
      <c r="C17127" t="str">
        <f>"520181199507161724"</f>
        <v>520181199507161724</v>
      </c>
      <c r="D17127" t="s">
        <v>1</v>
      </c>
      <c r="E17127" t="s">
        <v>1</v>
      </c>
      <c r="F17127" t="s">
        <v>0</v>
      </c>
      <c r="G17127" t="str">
        <f>"2018-10-12 09:48:12"</f>
        <v>2018-10-12 09:48:12</v>
      </c>
    </row>
    <row r="17128" spans="1:7" x14ac:dyDescent="0.2">
      <c r="A17128" t="s">
        <v>26</v>
      </c>
      <c r="B17128" t="str">
        <f>"15955167945"</f>
        <v>15955167945</v>
      </c>
      <c r="C17128" t="str">
        <f>"342425198602020515"</f>
        <v>342425198602020515</v>
      </c>
      <c r="D17128" t="s">
        <v>1</v>
      </c>
      <c r="E17128" t="s">
        <v>1</v>
      </c>
      <c r="F17128" t="s">
        <v>0</v>
      </c>
      <c r="G17128" t="str">
        <f>"2018-10-23 18:45:46"</f>
        <v>2018-10-23 18:45:46</v>
      </c>
    </row>
    <row r="17129" spans="1:7" x14ac:dyDescent="0.2">
      <c r="A17129" t="s">
        <v>1</v>
      </c>
      <c r="B17129" t="str">
        <f>"13871387114"</f>
        <v>13871387114</v>
      </c>
      <c r="C17129" t="s">
        <v>1</v>
      </c>
      <c r="D17129" t="s">
        <v>1</v>
      </c>
      <c r="E17129" t="s">
        <v>1</v>
      </c>
      <c r="F17129" t="s">
        <v>0</v>
      </c>
      <c r="G17129" t="str">
        <f>"2018-10-11 21:17:18"</f>
        <v>2018-10-11 21:17:18</v>
      </c>
    </row>
    <row r="17130" spans="1:7" x14ac:dyDescent="0.2">
      <c r="A17130" t="s">
        <v>16347</v>
      </c>
      <c r="B17130" t="str">
        <f>"18088216480"</f>
        <v>18088216480</v>
      </c>
      <c r="C17130" t="str">
        <f>"533121197801032826"</f>
        <v>533121197801032826</v>
      </c>
      <c r="D17130" t="s">
        <v>1</v>
      </c>
      <c r="E17130" t="s">
        <v>1</v>
      </c>
      <c r="F17130" t="s">
        <v>0</v>
      </c>
      <c r="G17130" t="str">
        <f>"2018-10-11 23:46:14"</f>
        <v>2018-10-11 23:46:14</v>
      </c>
    </row>
    <row r="17131" spans="1:7" x14ac:dyDescent="0.2">
      <c r="A17131" t="s">
        <v>16348</v>
      </c>
      <c r="B17131" t="str">
        <f>"18566456869"</f>
        <v>18566456869</v>
      </c>
      <c r="C17131" t="str">
        <f>"430726197710263555"</f>
        <v>430726197710263555</v>
      </c>
      <c r="D17131" t="s">
        <v>1</v>
      </c>
      <c r="E17131" t="s">
        <v>1</v>
      </c>
      <c r="F17131" t="s">
        <v>0</v>
      </c>
      <c r="G17131" t="str">
        <f>"2018-10-11 21:18:20"</f>
        <v>2018-10-11 21:18:20</v>
      </c>
    </row>
    <row r="17132" spans="1:7" x14ac:dyDescent="0.2">
      <c r="A17132" t="s">
        <v>1</v>
      </c>
      <c r="B17132" t="str">
        <f>"13722258507"</f>
        <v>13722258507</v>
      </c>
      <c r="C17132" t="s">
        <v>1</v>
      </c>
      <c r="D17132" t="s">
        <v>1</v>
      </c>
      <c r="E17132" t="s">
        <v>1</v>
      </c>
      <c r="F17132" t="s">
        <v>0</v>
      </c>
      <c r="G17132" t="str">
        <f>"2018-10-11 21:40:25"</f>
        <v>2018-10-11 21:40:25</v>
      </c>
    </row>
    <row r="17133" spans="1:7" x14ac:dyDescent="0.2">
      <c r="A17133" t="s">
        <v>1</v>
      </c>
      <c r="B17133" t="str">
        <f>"15676475214"</f>
        <v>15676475214</v>
      </c>
      <c r="C17133" t="s">
        <v>1</v>
      </c>
      <c r="D17133" t="s">
        <v>1</v>
      </c>
      <c r="E17133" t="s">
        <v>1</v>
      </c>
      <c r="F17133" t="s">
        <v>0</v>
      </c>
      <c r="G17133" t="str">
        <f>"2018-10-11 21:16:11"</f>
        <v>2018-10-11 21:16:11</v>
      </c>
    </row>
    <row r="17134" spans="1:7" x14ac:dyDescent="0.2">
      <c r="A17134" t="s">
        <v>16349</v>
      </c>
      <c r="B17134" t="str">
        <f>"15723381840"</f>
        <v>15723381840</v>
      </c>
      <c r="C17134" t="str">
        <f>"500109198712137126"</f>
        <v>500109198712137126</v>
      </c>
      <c r="D17134" t="s">
        <v>16350</v>
      </c>
      <c r="E17134" t="s">
        <v>16351</v>
      </c>
      <c r="F17134" t="s">
        <v>0</v>
      </c>
      <c r="G17134" t="str">
        <f>"2018-10-11 21:16:49"</f>
        <v>2018-10-11 21:16:49</v>
      </c>
    </row>
    <row r="17135" spans="1:7" x14ac:dyDescent="0.2">
      <c r="A17135" t="s">
        <v>16352</v>
      </c>
      <c r="B17135" t="str">
        <f>"15839978815"</f>
        <v>15839978815</v>
      </c>
      <c r="C17135" t="str">
        <f>"41132519850409781X"</f>
        <v>41132519850409781X</v>
      </c>
      <c r="D17135" t="s">
        <v>1</v>
      </c>
      <c r="E17135" t="s">
        <v>1</v>
      </c>
      <c r="F17135" t="s">
        <v>0</v>
      </c>
      <c r="G17135" t="str">
        <f>"2018-10-11 21:21:03"</f>
        <v>2018-10-11 21:21:03</v>
      </c>
    </row>
    <row r="17136" spans="1:7" x14ac:dyDescent="0.2">
      <c r="A17136" t="s">
        <v>16353</v>
      </c>
      <c r="B17136" t="str">
        <f>"15519118894"</f>
        <v>15519118894</v>
      </c>
      <c r="C17136" t="str">
        <f>"522723199608123154"</f>
        <v>522723199608123154</v>
      </c>
      <c r="D17136" t="s">
        <v>1</v>
      </c>
      <c r="E17136" t="s">
        <v>1</v>
      </c>
      <c r="F17136" t="s">
        <v>0</v>
      </c>
      <c r="G17136" t="str">
        <f>"2018-10-12 11:31:25"</f>
        <v>2018-10-12 11:31:25</v>
      </c>
    </row>
    <row r="17137" spans="1:7" x14ac:dyDescent="0.2">
      <c r="A17137" t="s">
        <v>1</v>
      </c>
      <c r="B17137" t="str">
        <f>"15600020681"</f>
        <v>15600020681</v>
      </c>
      <c r="C17137" t="s">
        <v>1</v>
      </c>
      <c r="D17137" t="s">
        <v>1</v>
      </c>
      <c r="E17137" t="s">
        <v>1</v>
      </c>
      <c r="F17137" t="s">
        <v>0</v>
      </c>
      <c r="G17137" t="str">
        <f>"2018-10-11 21:14:56"</f>
        <v>2018-10-11 21:14:56</v>
      </c>
    </row>
    <row r="17138" spans="1:7" x14ac:dyDescent="0.2">
      <c r="A17138" t="s">
        <v>1</v>
      </c>
      <c r="B17138" t="str">
        <f>"17705349117"</f>
        <v>17705349117</v>
      </c>
      <c r="C17138" t="s">
        <v>1</v>
      </c>
      <c r="D17138" t="s">
        <v>1</v>
      </c>
      <c r="E17138" t="s">
        <v>1</v>
      </c>
      <c r="F17138" t="s">
        <v>0</v>
      </c>
      <c r="G17138" t="str">
        <f>"2018-10-11 21:19:18"</f>
        <v>2018-10-11 21:19:18</v>
      </c>
    </row>
    <row r="17139" spans="1:7" x14ac:dyDescent="0.2">
      <c r="A17139" t="s">
        <v>16354</v>
      </c>
      <c r="B17139" t="str">
        <f>"15709368036"</f>
        <v>15709368036</v>
      </c>
      <c r="C17139" t="str">
        <f>"622223199108103700"</f>
        <v>622223199108103700</v>
      </c>
      <c r="D17139" t="s">
        <v>1</v>
      </c>
      <c r="E17139" t="s">
        <v>1</v>
      </c>
      <c r="F17139" t="s">
        <v>0</v>
      </c>
      <c r="G17139" t="str">
        <f>"2018-10-11 21:15:05"</f>
        <v>2018-10-11 21:15:05</v>
      </c>
    </row>
    <row r="17140" spans="1:7" x14ac:dyDescent="0.2">
      <c r="A17140" t="s">
        <v>16355</v>
      </c>
      <c r="B17140" t="str">
        <f>"15917515053"</f>
        <v>15917515053</v>
      </c>
      <c r="C17140" t="str">
        <f>"441881199210160228"</f>
        <v>441881199210160228</v>
      </c>
      <c r="D17140" t="s">
        <v>1</v>
      </c>
      <c r="E17140" t="s">
        <v>1</v>
      </c>
      <c r="F17140" t="s">
        <v>0</v>
      </c>
      <c r="G17140" t="str">
        <f>"2018-10-11 21:14:44"</f>
        <v>2018-10-11 21:14:44</v>
      </c>
    </row>
    <row r="17141" spans="1:7" x14ac:dyDescent="0.2">
      <c r="A17141" t="s">
        <v>16356</v>
      </c>
      <c r="B17141" t="str">
        <f>"18842724433"</f>
        <v>18842724433</v>
      </c>
      <c r="C17141" t="str">
        <f>"211121198712192615"</f>
        <v>211121198712192615</v>
      </c>
      <c r="D17141" t="s">
        <v>1</v>
      </c>
      <c r="E17141" t="s">
        <v>1</v>
      </c>
      <c r="F17141" t="s">
        <v>0</v>
      </c>
      <c r="G17141" t="str">
        <f>"2018-10-12 09:20:54"</f>
        <v>2018-10-12 09:20:54</v>
      </c>
    </row>
    <row r="17142" spans="1:7" x14ac:dyDescent="0.2">
      <c r="A17142" t="s">
        <v>16357</v>
      </c>
      <c r="B17142" t="str">
        <f>"18803424568"</f>
        <v>18803424568</v>
      </c>
      <c r="C17142" t="str">
        <f>"140226198507034018"</f>
        <v>140226198507034018</v>
      </c>
      <c r="D17142" t="s">
        <v>1</v>
      </c>
      <c r="E17142" t="s">
        <v>1</v>
      </c>
      <c r="F17142" t="s">
        <v>0</v>
      </c>
      <c r="G17142" t="str">
        <f>"2018-10-11 21:11:31"</f>
        <v>2018-10-11 21:11:31</v>
      </c>
    </row>
    <row r="17143" spans="1:7" x14ac:dyDescent="0.2">
      <c r="A17143" t="s">
        <v>1654</v>
      </c>
      <c r="B17143" t="str">
        <f>"18523576803"</f>
        <v>18523576803</v>
      </c>
      <c r="C17143" t="str">
        <f>"500107198909011217"</f>
        <v>500107198909011217</v>
      </c>
      <c r="D17143" t="s">
        <v>1</v>
      </c>
      <c r="E17143" t="s">
        <v>1</v>
      </c>
      <c r="F17143" t="s">
        <v>0</v>
      </c>
      <c r="G17143" t="str">
        <f>"2018-10-11 21:09:58"</f>
        <v>2018-10-11 21:09:58</v>
      </c>
    </row>
    <row r="17144" spans="1:7" x14ac:dyDescent="0.2">
      <c r="A17144" t="s">
        <v>16358</v>
      </c>
      <c r="B17144" t="str">
        <f>"18598245929"</f>
        <v>18598245929</v>
      </c>
      <c r="C17144" t="str">
        <f>"430523199410224334"</f>
        <v>430523199410224334</v>
      </c>
      <c r="D17144" t="s">
        <v>1</v>
      </c>
      <c r="E17144" t="s">
        <v>1</v>
      </c>
      <c r="F17144" t="s">
        <v>0</v>
      </c>
      <c r="G17144" t="str">
        <f>"2018-10-11 21:12:10"</f>
        <v>2018-10-11 21:12:10</v>
      </c>
    </row>
    <row r="17145" spans="1:7" x14ac:dyDescent="0.2">
      <c r="A17145" t="s">
        <v>1</v>
      </c>
      <c r="B17145" t="str">
        <f>"13732645640"</f>
        <v>13732645640</v>
      </c>
      <c r="C17145" t="s">
        <v>1</v>
      </c>
      <c r="D17145" t="s">
        <v>1</v>
      </c>
      <c r="E17145" t="s">
        <v>1</v>
      </c>
      <c r="F17145" t="s">
        <v>0</v>
      </c>
      <c r="G17145" t="str">
        <f>"2018-10-11 21:08:30"</f>
        <v>2018-10-11 21:08:30</v>
      </c>
    </row>
    <row r="17146" spans="1:7" x14ac:dyDescent="0.2">
      <c r="A17146" t="s">
        <v>16359</v>
      </c>
      <c r="B17146" t="str">
        <f>"17322942400"</f>
        <v>17322942400</v>
      </c>
      <c r="C17146" t="str">
        <f>"441226199804163736"</f>
        <v>441226199804163736</v>
      </c>
      <c r="D17146" t="s">
        <v>1</v>
      </c>
      <c r="E17146" t="s">
        <v>1</v>
      </c>
      <c r="F17146" t="s">
        <v>0</v>
      </c>
      <c r="G17146" t="str">
        <f>"2018-10-11 21:12:44"</f>
        <v>2018-10-11 21:12:44</v>
      </c>
    </row>
    <row r="17147" spans="1:7" x14ac:dyDescent="0.2">
      <c r="A17147" t="s">
        <v>16360</v>
      </c>
      <c r="B17147" t="str">
        <f>"13959869293"</f>
        <v>13959869293</v>
      </c>
      <c r="C17147" t="str">
        <f>"350525198205111048"</f>
        <v>350525198205111048</v>
      </c>
      <c r="D17147" t="s">
        <v>1</v>
      </c>
      <c r="E17147" t="s">
        <v>1</v>
      </c>
      <c r="F17147" t="s">
        <v>0</v>
      </c>
      <c r="G17147" t="str">
        <f>"2018-10-14 09:48:56"</f>
        <v>2018-10-14 09:48:56</v>
      </c>
    </row>
    <row r="17148" spans="1:7" x14ac:dyDescent="0.2">
      <c r="A17148" t="s">
        <v>1</v>
      </c>
      <c r="B17148" t="str">
        <f>"13137799387"</f>
        <v>13137799387</v>
      </c>
      <c r="C17148" t="s">
        <v>1</v>
      </c>
      <c r="D17148" t="s">
        <v>1</v>
      </c>
      <c r="E17148" t="s">
        <v>1</v>
      </c>
      <c r="F17148" t="s">
        <v>0</v>
      </c>
      <c r="G17148" t="str">
        <f>"2018-10-11 21:06:42"</f>
        <v>2018-10-11 21:06:42</v>
      </c>
    </row>
    <row r="17149" spans="1:7" x14ac:dyDescent="0.2">
      <c r="A17149" t="s">
        <v>16361</v>
      </c>
      <c r="B17149" t="str">
        <f>"15074667496"</f>
        <v>15074667496</v>
      </c>
      <c r="C17149" t="str">
        <f>"431129199612144217"</f>
        <v>431129199612144217</v>
      </c>
      <c r="D17149" t="s">
        <v>1</v>
      </c>
      <c r="E17149" t="s">
        <v>1</v>
      </c>
      <c r="F17149" t="s">
        <v>0</v>
      </c>
      <c r="G17149" t="str">
        <f>"2018-10-11 21:10:19"</f>
        <v>2018-10-11 21:10:19</v>
      </c>
    </row>
    <row r="17150" spans="1:7" x14ac:dyDescent="0.2">
      <c r="A17150" t="s">
        <v>1</v>
      </c>
      <c r="B17150" t="str">
        <f>"15927351190"</f>
        <v>15927351190</v>
      </c>
      <c r="C17150" t="s">
        <v>1</v>
      </c>
      <c r="D17150" t="s">
        <v>1</v>
      </c>
      <c r="E17150" t="s">
        <v>1</v>
      </c>
      <c r="F17150" t="s">
        <v>0</v>
      </c>
      <c r="G17150" t="str">
        <f>"2018-10-15 22:32:42"</f>
        <v>2018-10-15 22:32:42</v>
      </c>
    </row>
    <row r="17151" spans="1:7" x14ac:dyDescent="0.2">
      <c r="A17151" t="s">
        <v>1372</v>
      </c>
      <c r="B17151" t="str">
        <f>"13837122618"</f>
        <v>13837122618</v>
      </c>
      <c r="C17151" t="str">
        <f>"410183198603087045"</f>
        <v>410183198603087045</v>
      </c>
      <c r="D17151" t="s">
        <v>1</v>
      </c>
      <c r="E17151" t="s">
        <v>1</v>
      </c>
      <c r="F17151" t="s">
        <v>0</v>
      </c>
      <c r="G17151" t="str">
        <f>"2018-10-12 10:49:30"</f>
        <v>2018-10-12 10:49:30</v>
      </c>
    </row>
    <row r="17152" spans="1:7" x14ac:dyDescent="0.2">
      <c r="A17152" t="s">
        <v>16362</v>
      </c>
      <c r="B17152" t="str">
        <f>"15051533512"</f>
        <v>15051533512</v>
      </c>
      <c r="C17152" t="str">
        <f>"410324199212302815"</f>
        <v>410324199212302815</v>
      </c>
      <c r="D17152" t="s">
        <v>1</v>
      </c>
      <c r="E17152" t="s">
        <v>1</v>
      </c>
      <c r="F17152" t="s">
        <v>0</v>
      </c>
      <c r="G17152" t="str">
        <f>"2018-10-11 21:08:49"</f>
        <v>2018-10-11 21:08:49</v>
      </c>
    </row>
    <row r="17153" spans="1:7" x14ac:dyDescent="0.2">
      <c r="A17153" t="s">
        <v>16363</v>
      </c>
      <c r="B17153" t="str">
        <f>"17317100791"</f>
        <v>17317100791</v>
      </c>
      <c r="C17153" t="str">
        <f>"412702199712133128"</f>
        <v>412702199712133128</v>
      </c>
      <c r="D17153" t="s">
        <v>1</v>
      </c>
      <c r="E17153" t="s">
        <v>1</v>
      </c>
      <c r="F17153" t="s">
        <v>0</v>
      </c>
      <c r="G17153" t="str">
        <f>"2018-10-11 21:11:10"</f>
        <v>2018-10-11 21:11:10</v>
      </c>
    </row>
    <row r="17154" spans="1:7" x14ac:dyDescent="0.2">
      <c r="A17154" t="s">
        <v>1</v>
      </c>
      <c r="B17154" t="str">
        <f>"15997831700"</f>
        <v>15997831700</v>
      </c>
      <c r="C17154" t="s">
        <v>1</v>
      </c>
      <c r="D17154" t="s">
        <v>1</v>
      </c>
      <c r="E17154" t="s">
        <v>1</v>
      </c>
      <c r="F17154" t="s">
        <v>0</v>
      </c>
      <c r="G17154" t="str">
        <f>"2018-10-11 21:07:52"</f>
        <v>2018-10-11 21:07:52</v>
      </c>
    </row>
    <row r="17155" spans="1:7" x14ac:dyDescent="0.2">
      <c r="A17155" t="s">
        <v>1</v>
      </c>
      <c r="B17155" t="str">
        <f>"13253210876"</f>
        <v>13253210876</v>
      </c>
      <c r="C17155" t="s">
        <v>1</v>
      </c>
      <c r="D17155" t="s">
        <v>1</v>
      </c>
      <c r="E17155" t="s">
        <v>1</v>
      </c>
      <c r="F17155" t="s">
        <v>0</v>
      </c>
      <c r="G17155" t="str">
        <f>"2018-10-11 21:04:04"</f>
        <v>2018-10-11 21:04:04</v>
      </c>
    </row>
    <row r="17156" spans="1:7" x14ac:dyDescent="0.2">
      <c r="A17156" t="s">
        <v>1</v>
      </c>
      <c r="B17156" t="str">
        <f>"18602860139"</f>
        <v>18602860139</v>
      </c>
      <c r="C17156" t="s">
        <v>1</v>
      </c>
      <c r="D17156" t="s">
        <v>1</v>
      </c>
      <c r="E17156" t="s">
        <v>1</v>
      </c>
      <c r="F17156" t="s">
        <v>0</v>
      </c>
      <c r="G17156" t="str">
        <f>"2018-10-11 21:03:03"</f>
        <v>2018-10-11 21:03:03</v>
      </c>
    </row>
    <row r="17157" spans="1:7" x14ac:dyDescent="0.2">
      <c r="A17157" t="s">
        <v>16364</v>
      </c>
      <c r="B17157" t="str">
        <f>"13267603557"</f>
        <v>13267603557</v>
      </c>
      <c r="C17157" t="str">
        <f>"360731200004163431"</f>
        <v>360731200004163431</v>
      </c>
      <c r="D17157" t="s">
        <v>1</v>
      </c>
      <c r="E17157" t="s">
        <v>1</v>
      </c>
      <c r="F17157" t="s">
        <v>0</v>
      </c>
      <c r="G17157" t="str">
        <f>"2018-10-11 21:24:13"</f>
        <v>2018-10-11 21:24:13</v>
      </c>
    </row>
    <row r="17158" spans="1:7" x14ac:dyDescent="0.2">
      <c r="A17158" t="s">
        <v>1</v>
      </c>
      <c r="B17158" t="str">
        <f>"13540142489"</f>
        <v>13540142489</v>
      </c>
      <c r="C17158" t="s">
        <v>1</v>
      </c>
      <c r="D17158" t="s">
        <v>1</v>
      </c>
      <c r="E17158" t="s">
        <v>1</v>
      </c>
      <c r="F17158" t="s">
        <v>0</v>
      </c>
      <c r="G17158" t="str">
        <f>"2018-10-11 21:02:44"</f>
        <v>2018-10-11 21:02:44</v>
      </c>
    </row>
    <row r="17159" spans="1:7" x14ac:dyDescent="0.2">
      <c r="A17159" t="s">
        <v>16365</v>
      </c>
      <c r="B17159" t="str">
        <f>"18255511096"</f>
        <v>18255511096</v>
      </c>
      <c r="C17159" t="str">
        <f>"340521199402224428"</f>
        <v>340521199402224428</v>
      </c>
      <c r="D17159" t="s">
        <v>1</v>
      </c>
      <c r="E17159" t="s">
        <v>1</v>
      </c>
      <c r="F17159" t="s">
        <v>0</v>
      </c>
      <c r="G17159" t="str">
        <f>"2018-10-12 10:53:54"</f>
        <v>2018-10-12 10:53:54</v>
      </c>
    </row>
    <row r="17160" spans="1:7" x14ac:dyDescent="0.2">
      <c r="A17160" t="s">
        <v>16366</v>
      </c>
      <c r="B17160" t="str">
        <f>"18815831293"</f>
        <v>18815831293</v>
      </c>
      <c r="C17160" t="str">
        <f>"450422198805234438"</f>
        <v>450422198805234438</v>
      </c>
      <c r="D17160" t="s">
        <v>16367</v>
      </c>
      <c r="E17160" t="s">
        <v>16368</v>
      </c>
      <c r="F17160" t="s">
        <v>0</v>
      </c>
      <c r="G17160" t="str">
        <f>"2018-10-11 20:58:56"</f>
        <v>2018-10-11 20:58:56</v>
      </c>
    </row>
    <row r="17161" spans="1:7" x14ac:dyDescent="0.2">
      <c r="A17161" t="s">
        <v>1</v>
      </c>
      <c r="B17161" t="str">
        <f>"13221488704"</f>
        <v>13221488704</v>
      </c>
      <c r="C17161" t="s">
        <v>1</v>
      </c>
      <c r="D17161" t="s">
        <v>1</v>
      </c>
      <c r="E17161" t="s">
        <v>1</v>
      </c>
      <c r="F17161" t="s">
        <v>0</v>
      </c>
      <c r="G17161" t="str">
        <f>"2018-10-11 20:56:19"</f>
        <v>2018-10-11 20:56:19</v>
      </c>
    </row>
    <row r="17162" spans="1:7" x14ac:dyDescent="0.2">
      <c r="A17162" t="s">
        <v>16369</v>
      </c>
      <c r="B17162" t="str">
        <f>"15649156715"</f>
        <v>15649156715</v>
      </c>
      <c r="C17162" t="str">
        <f>"41122419970420001X"</f>
        <v>41122419970420001X</v>
      </c>
      <c r="D17162" t="s">
        <v>1</v>
      </c>
      <c r="E17162" t="s">
        <v>1</v>
      </c>
      <c r="F17162" t="s">
        <v>0</v>
      </c>
      <c r="G17162" t="str">
        <f>"2018-10-11 20:58:35"</f>
        <v>2018-10-11 20:58:35</v>
      </c>
    </row>
    <row r="17163" spans="1:7" x14ac:dyDescent="0.2">
      <c r="A17163" t="s">
        <v>16370</v>
      </c>
      <c r="B17163" t="str">
        <f>"17327499001"</f>
        <v>17327499001</v>
      </c>
      <c r="C17163" t="str">
        <f>"342401197701100021"</f>
        <v>342401197701100021</v>
      </c>
      <c r="D17163" t="s">
        <v>1</v>
      </c>
      <c r="E17163" t="s">
        <v>1</v>
      </c>
      <c r="F17163" t="s">
        <v>0</v>
      </c>
      <c r="G17163" t="str">
        <f>"2018-10-11 21:06:24"</f>
        <v>2018-10-11 21:06:24</v>
      </c>
    </row>
    <row r="17164" spans="1:7" x14ac:dyDescent="0.2">
      <c r="A17164" t="s">
        <v>1</v>
      </c>
      <c r="B17164" t="str">
        <f>"13976003842"</f>
        <v>13976003842</v>
      </c>
      <c r="C17164" t="s">
        <v>1</v>
      </c>
      <c r="D17164" t="s">
        <v>1</v>
      </c>
      <c r="E17164" t="s">
        <v>1</v>
      </c>
      <c r="F17164" t="s">
        <v>0</v>
      </c>
      <c r="G17164" t="str">
        <f>"2018-10-11 20:55:54"</f>
        <v>2018-10-11 20:55:54</v>
      </c>
    </row>
    <row r="17165" spans="1:7" x14ac:dyDescent="0.2">
      <c r="A17165" t="s">
        <v>1</v>
      </c>
      <c r="B17165" t="str">
        <f>"18861172527"</f>
        <v>18861172527</v>
      </c>
      <c r="C17165" t="s">
        <v>1</v>
      </c>
      <c r="D17165" t="s">
        <v>1</v>
      </c>
      <c r="E17165" t="s">
        <v>1</v>
      </c>
      <c r="F17165" t="s">
        <v>0</v>
      </c>
      <c r="G17165" t="str">
        <f>"2018-10-11 20:55:47"</f>
        <v>2018-10-11 20:55:47</v>
      </c>
    </row>
    <row r="17166" spans="1:7" x14ac:dyDescent="0.2">
      <c r="A17166" t="s">
        <v>1</v>
      </c>
      <c r="B17166" t="str">
        <f>"13554725208"</f>
        <v>13554725208</v>
      </c>
      <c r="C17166" t="s">
        <v>1</v>
      </c>
      <c r="D17166" t="s">
        <v>1</v>
      </c>
      <c r="E17166" t="s">
        <v>1</v>
      </c>
      <c r="F17166" t="s">
        <v>0</v>
      </c>
      <c r="G17166" t="str">
        <f>"2018-10-11 20:55:21"</f>
        <v>2018-10-11 20:55:21</v>
      </c>
    </row>
    <row r="17167" spans="1:7" x14ac:dyDescent="0.2">
      <c r="A17167" t="s">
        <v>1</v>
      </c>
      <c r="B17167" t="str">
        <f>"15063383317"</f>
        <v>15063383317</v>
      </c>
      <c r="C17167" t="s">
        <v>1</v>
      </c>
      <c r="D17167" t="s">
        <v>1</v>
      </c>
      <c r="E17167" t="s">
        <v>1</v>
      </c>
      <c r="F17167" t="s">
        <v>0</v>
      </c>
      <c r="G17167" t="str">
        <f>"2018-10-11 20:54:27"</f>
        <v>2018-10-11 20:54:27</v>
      </c>
    </row>
    <row r="17168" spans="1:7" x14ac:dyDescent="0.2">
      <c r="A17168" t="s">
        <v>16371</v>
      </c>
      <c r="B17168" t="str">
        <f>"13541793546"</f>
        <v>13541793546</v>
      </c>
      <c r="C17168" t="str">
        <f>"513227197309244210"</f>
        <v>513227197309244210</v>
      </c>
      <c r="D17168" t="s">
        <v>16372</v>
      </c>
      <c r="E17168" t="s">
        <v>16373</v>
      </c>
      <c r="F17168" t="s">
        <v>0</v>
      </c>
      <c r="G17168" t="str">
        <f>"2018-10-11 20:53:44"</f>
        <v>2018-10-11 20:53:44</v>
      </c>
    </row>
    <row r="17169" spans="1:7" x14ac:dyDescent="0.2">
      <c r="A17169" t="s">
        <v>16374</v>
      </c>
      <c r="B17169" t="str">
        <f>"18919035805"</f>
        <v>18919035805</v>
      </c>
      <c r="C17169" t="str">
        <f>"620102198303132116"</f>
        <v>620102198303132116</v>
      </c>
      <c r="D17169" t="s">
        <v>1</v>
      </c>
      <c r="E17169" t="s">
        <v>1</v>
      </c>
      <c r="F17169" t="s">
        <v>0</v>
      </c>
      <c r="G17169" t="str">
        <f>"2018-10-11 23:22:10"</f>
        <v>2018-10-11 23:22:10</v>
      </c>
    </row>
    <row r="17170" spans="1:7" x14ac:dyDescent="0.2">
      <c r="A17170" t="s">
        <v>830</v>
      </c>
      <c r="B17170" t="str">
        <f>"13887102877"</f>
        <v>13887102877</v>
      </c>
      <c r="C17170" t="str">
        <f>"532128198712150714"</f>
        <v>532128198712150714</v>
      </c>
      <c r="D17170" t="s">
        <v>1</v>
      </c>
      <c r="E17170" t="s">
        <v>1</v>
      </c>
      <c r="F17170" t="s">
        <v>0</v>
      </c>
      <c r="G17170" t="str">
        <f>"2018-10-11 20:55:19"</f>
        <v>2018-10-11 20:55:19</v>
      </c>
    </row>
    <row r="17171" spans="1:7" x14ac:dyDescent="0.2">
      <c r="A17171" t="s">
        <v>16375</v>
      </c>
      <c r="B17171" t="str">
        <f>"17742761344"</f>
        <v>17742761344</v>
      </c>
      <c r="C17171" t="str">
        <f>"510802199706120918"</f>
        <v>510802199706120918</v>
      </c>
      <c r="D17171" t="s">
        <v>1</v>
      </c>
      <c r="E17171" t="s">
        <v>1</v>
      </c>
      <c r="F17171" t="s">
        <v>0</v>
      </c>
      <c r="G17171" t="str">
        <f>"2018-11-01 21:56:10"</f>
        <v>2018-11-01 21:56:10</v>
      </c>
    </row>
    <row r="17172" spans="1:7" x14ac:dyDescent="0.2">
      <c r="A17172" t="s">
        <v>16376</v>
      </c>
      <c r="B17172" t="str">
        <f>"13607378959"</f>
        <v>13607378959</v>
      </c>
      <c r="C17172" t="str">
        <f>"432325197311160026"</f>
        <v>432325197311160026</v>
      </c>
      <c r="D17172" t="s">
        <v>1</v>
      </c>
      <c r="E17172" t="s">
        <v>1</v>
      </c>
      <c r="F17172" t="s">
        <v>0</v>
      </c>
      <c r="G17172" t="str">
        <f>"2018-10-14 08:52:34"</f>
        <v>2018-10-14 08:52:34</v>
      </c>
    </row>
    <row r="17173" spans="1:7" x14ac:dyDescent="0.2">
      <c r="A17173" t="s">
        <v>1</v>
      </c>
      <c r="B17173" t="str">
        <f>"15974552603"</f>
        <v>15974552603</v>
      </c>
      <c r="C17173" t="s">
        <v>1</v>
      </c>
      <c r="D17173" t="s">
        <v>1</v>
      </c>
      <c r="E17173" t="s">
        <v>1</v>
      </c>
      <c r="F17173" t="s">
        <v>0</v>
      </c>
      <c r="G17173" t="str">
        <f>"2018-10-11 20:50:17"</f>
        <v>2018-10-11 20:50:17</v>
      </c>
    </row>
    <row r="17174" spans="1:7" x14ac:dyDescent="0.2">
      <c r="A17174" t="s">
        <v>1</v>
      </c>
      <c r="B17174" t="str">
        <f>"18332717156"</f>
        <v>18332717156</v>
      </c>
      <c r="C17174" t="s">
        <v>1</v>
      </c>
      <c r="D17174" t="s">
        <v>1</v>
      </c>
      <c r="E17174" t="s">
        <v>1</v>
      </c>
      <c r="F17174" t="s">
        <v>0</v>
      </c>
      <c r="G17174" t="str">
        <f>"2018-10-11 20:51:52"</f>
        <v>2018-10-11 20:51:52</v>
      </c>
    </row>
    <row r="17175" spans="1:7" x14ac:dyDescent="0.2">
      <c r="A17175" t="s">
        <v>1</v>
      </c>
      <c r="B17175" t="str">
        <f>"18289376457"</f>
        <v>18289376457</v>
      </c>
      <c r="C17175" t="s">
        <v>1</v>
      </c>
      <c r="D17175" t="s">
        <v>1</v>
      </c>
      <c r="E17175" t="s">
        <v>1</v>
      </c>
      <c r="F17175" t="s">
        <v>0</v>
      </c>
      <c r="G17175" t="str">
        <f>"2018-10-11 20:50:12"</f>
        <v>2018-10-11 20:50:12</v>
      </c>
    </row>
    <row r="17176" spans="1:7" x14ac:dyDescent="0.2">
      <c r="A17176" t="s">
        <v>16377</v>
      </c>
      <c r="B17176" t="str">
        <f>"18902703290"</f>
        <v>18902703290</v>
      </c>
      <c r="C17176" t="str">
        <f>"350624197904243511"</f>
        <v>350624197904243511</v>
      </c>
      <c r="D17176" t="s">
        <v>16378</v>
      </c>
      <c r="E17176" t="s">
        <v>16379</v>
      </c>
      <c r="F17176" t="s">
        <v>0</v>
      </c>
      <c r="G17176" t="str">
        <f>"2018-10-16 18:35:35"</f>
        <v>2018-10-16 18:35:35</v>
      </c>
    </row>
    <row r="17177" spans="1:7" x14ac:dyDescent="0.2">
      <c r="A17177" t="s">
        <v>1</v>
      </c>
      <c r="B17177" t="str">
        <f>"15016623464"</f>
        <v>15016623464</v>
      </c>
      <c r="C17177" t="s">
        <v>1</v>
      </c>
      <c r="D17177" t="s">
        <v>1</v>
      </c>
      <c r="E17177" t="s">
        <v>1</v>
      </c>
      <c r="F17177" t="s">
        <v>0</v>
      </c>
      <c r="G17177" t="str">
        <f>"2018-10-11 20:49:45"</f>
        <v>2018-10-11 20:49:45</v>
      </c>
    </row>
    <row r="17178" spans="1:7" x14ac:dyDescent="0.2">
      <c r="A17178" t="s">
        <v>1</v>
      </c>
      <c r="B17178" t="str">
        <f>"15690876859"</f>
        <v>15690876859</v>
      </c>
      <c r="C17178" t="s">
        <v>1</v>
      </c>
      <c r="D17178" t="s">
        <v>1</v>
      </c>
      <c r="E17178" t="s">
        <v>1</v>
      </c>
      <c r="F17178" t="s">
        <v>0</v>
      </c>
      <c r="G17178" t="str">
        <f>"2018-10-11 20:45:39"</f>
        <v>2018-10-11 20:45:39</v>
      </c>
    </row>
    <row r="17179" spans="1:7" x14ac:dyDescent="0.2">
      <c r="A17179" t="s">
        <v>1775</v>
      </c>
      <c r="B17179" t="str">
        <f>"15881331167"</f>
        <v>15881331167</v>
      </c>
      <c r="C17179" t="str">
        <f>"510302197101261017"</f>
        <v>510302197101261017</v>
      </c>
      <c r="D17179" t="s">
        <v>1</v>
      </c>
      <c r="E17179" t="s">
        <v>1</v>
      </c>
      <c r="F17179" t="s">
        <v>0</v>
      </c>
      <c r="G17179" t="str">
        <f>"2018-10-11 20:54:55"</f>
        <v>2018-10-11 20:54:55</v>
      </c>
    </row>
    <row r="17180" spans="1:7" x14ac:dyDescent="0.2">
      <c r="A17180" t="s">
        <v>16380</v>
      </c>
      <c r="B17180" t="str">
        <f>"18213699195"</f>
        <v>18213699195</v>
      </c>
      <c r="C17180" t="str">
        <f>"530322199602261515"</f>
        <v>530322199602261515</v>
      </c>
      <c r="D17180" t="s">
        <v>1</v>
      </c>
      <c r="E17180" t="s">
        <v>1</v>
      </c>
      <c r="F17180" t="s">
        <v>0</v>
      </c>
      <c r="G17180" t="str">
        <f>"2018-10-11 20:44:14"</f>
        <v>2018-10-11 20:44:14</v>
      </c>
    </row>
    <row r="17181" spans="1:7" x14ac:dyDescent="0.2">
      <c r="A17181" t="s">
        <v>151</v>
      </c>
      <c r="B17181" t="str">
        <f>"13195041889"</f>
        <v>13195041889</v>
      </c>
      <c r="C17181" t="str">
        <f>"642221200101120555"</f>
        <v>642221200101120555</v>
      </c>
      <c r="D17181" t="s">
        <v>1</v>
      </c>
      <c r="E17181" t="s">
        <v>1</v>
      </c>
      <c r="F17181" t="s">
        <v>0</v>
      </c>
      <c r="G17181" t="str">
        <f>"2018-10-11 20:46:01"</f>
        <v>2018-10-11 20:46:01</v>
      </c>
    </row>
    <row r="17182" spans="1:7" x14ac:dyDescent="0.2">
      <c r="A17182" t="s">
        <v>16381</v>
      </c>
      <c r="B17182" t="str">
        <f>"13578581791"</f>
        <v>13578581791</v>
      </c>
      <c r="C17182" t="str">
        <f>"220421198804135324"</f>
        <v>220421198804135324</v>
      </c>
      <c r="D17182" t="s">
        <v>1</v>
      </c>
      <c r="E17182" t="s">
        <v>1</v>
      </c>
      <c r="F17182" t="s">
        <v>0</v>
      </c>
      <c r="G17182" t="str">
        <f>"2018-10-11 20:45:17"</f>
        <v>2018-10-11 20:45:17</v>
      </c>
    </row>
    <row r="17183" spans="1:7" x14ac:dyDescent="0.2">
      <c r="A17183" t="s">
        <v>1</v>
      </c>
      <c r="B17183" t="str">
        <f>"17093730630"</f>
        <v>17093730630</v>
      </c>
      <c r="C17183" t="s">
        <v>1</v>
      </c>
      <c r="D17183" t="s">
        <v>1</v>
      </c>
      <c r="E17183" t="s">
        <v>1</v>
      </c>
      <c r="F17183" t="s">
        <v>0</v>
      </c>
      <c r="G17183" t="str">
        <f>"2018-10-11 20:42:06"</f>
        <v>2018-10-11 20:42:06</v>
      </c>
    </row>
    <row r="17184" spans="1:7" x14ac:dyDescent="0.2">
      <c r="A17184" t="s">
        <v>1</v>
      </c>
      <c r="B17184" t="str">
        <f>"13100521482"</f>
        <v>13100521482</v>
      </c>
      <c r="C17184" t="s">
        <v>1</v>
      </c>
      <c r="D17184" t="s">
        <v>1</v>
      </c>
      <c r="E17184" t="s">
        <v>1</v>
      </c>
      <c r="F17184" t="s">
        <v>0</v>
      </c>
      <c r="G17184" t="str">
        <f>"2018-10-11 20:42:03"</f>
        <v>2018-10-11 20:42:03</v>
      </c>
    </row>
    <row r="17185" spans="1:7" x14ac:dyDescent="0.2">
      <c r="A17185" t="s">
        <v>16382</v>
      </c>
      <c r="B17185" t="str">
        <f>"13194145410"</f>
        <v>13194145410</v>
      </c>
      <c r="C17185" t="str">
        <f>"210682198803236416"</f>
        <v>210682198803236416</v>
      </c>
      <c r="D17185" t="s">
        <v>1</v>
      </c>
      <c r="E17185" t="s">
        <v>1</v>
      </c>
      <c r="F17185" t="s">
        <v>0</v>
      </c>
      <c r="G17185" t="str">
        <f>"2018-10-11 20:43:39"</f>
        <v>2018-10-11 20:43:39</v>
      </c>
    </row>
    <row r="17186" spans="1:7" x14ac:dyDescent="0.2">
      <c r="A17186" t="s">
        <v>16383</v>
      </c>
      <c r="B17186" t="str">
        <f>"13692937373"</f>
        <v>13692937373</v>
      </c>
      <c r="C17186" t="str">
        <f>"441522199407084752"</f>
        <v>441522199407084752</v>
      </c>
      <c r="D17186" t="s">
        <v>1</v>
      </c>
      <c r="E17186" t="s">
        <v>1</v>
      </c>
      <c r="F17186" t="s">
        <v>0</v>
      </c>
      <c r="G17186" t="str">
        <f>"2018-10-17 22:24:47"</f>
        <v>2018-10-17 22:24:47</v>
      </c>
    </row>
    <row r="17187" spans="1:7" x14ac:dyDescent="0.2">
      <c r="A17187" t="s">
        <v>721</v>
      </c>
      <c r="B17187" t="str">
        <f>"15967430360"</f>
        <v>15967430360</v>
      </c>
      <c r="C17187" t="str">
        <f>"422823199706291110"</f>
        <v>422823199706291110</v>
      </c>
      <c r="D17187" t="s">
        <v>1</v>
      </c>
      <c r="E17187" t="s">
        <v>1</v>
      </c>
      <c r="F17187" t="s">
        <v>0</v>
      </c>
      <c r="G17187" t="str">
        <f>"2018-10-11 20:55:56"</f>
        <v>2018-10-11 20:55:56</v>
      </c>
    </row>
    <row r="17188" spans="1:7" x14ac:dyDescent="0.2">
      <c r="A17188" t="s">
        <v>16384</v>
      </c>
      <c r="B17188" t="str">
        <f>"18317458033"</f>
        <v>18317458033</v>
      </c>
      <c r="C17188" t="str">
        <f>"411082199903234813"</f>
        <v>411082199903234813</v>
      </c>
      <c r="D17188" t="s">
        <v>1</v>
      </c>
      <c r="E17188" t="s">
        <v>1</v>
      </c>
      <c r="F17188" t="s">
        <v>0</v>
      </c>
      <c r="G17188" t="str">
        <f>"2018-10-11 20:42:25"</f>
        <v>2018-10-11 20:42:25</v>
      </c>
    </row>
    <row r="17189" spans="1:7" x14ac:dyDescent="0.2">
      <c r="A17189" t="s">
        <v>16385</v>
      </c>
      <c r="B17189" t="str">
        <f>"15858133508"</f>
        <v>15858133508</v>
      </c>
      <c r="C17189" t="str">
        <f>"445121198712014858"</f>
        <v>445121198712014858</v>
      </c>
      <c r="D17189" t="s">
        <v>1</v>
      </c>
      <c r="E17189" t="s">
        <v>1</v>
      </c>
      <c r="F17189" t="s">
        <v>0</v>
      </c>
      <c r="G17189" t="str">
        <f>"2018-10-12 00:21:19"</f>
        <v>2018-10-12 00:21:19</v>
      </c>
    </row>
    <row r="17190" spans="1:7" x14ac:dyDescent="0.2">
      <c r="A17190" t="s">
        <v>16386</v>
      </c>
      <c r="B17190" t="str">
        <f>"18016156358"</f>
        <v>18016156358</v>
      </c>
      <c r="C17190" t="str">
        <f>"510623199103296229"</f>
        <v>510623199103296229</v>
      </c>
      <c r="D17190" t="s">
        <v>1</v>
      </c>
      <c r="E17190" t="s">
        <v>1</v>
      </c>
      <c r="F17190" t="s">
        <v>0</v>
      </c>
      <c r="G17190" t="str">
        <f>"2018-10-14 17:03:29"</f>
        <v>2018-10-14 17:03:29</v>
      </c>
    </row>
    <row r="17191" spans="1:7" x14ac:dyDescent="0.2">
      <c r="A17191" t="s">
        <v>16387</v>
      </c>
      <c r="B17191" t="str">
        <f>"17628290906"</f>
        <v>17628290906</v>
      </c>
      <c r="C17191" t="str">
        <f>"510322199009068139"</f>
        <v>510322199009068139</v>
      </c>
      <c r="D17191" t="s">
        <v>1</v>
      </c>
      <c r="E17191" t="s">
        <v>1</v>
      </c>
      <c r="F17191" t="s">
        <v>0</v>
      </c>
      <c r="G17191" t="str">
        <f>"2018-10-11 21:10:40"</f>
        <v>2018-10-11 21:10:40</v>
      </c>
    </row>
    <row r="17192" spans="1:7" x14ac:dyDescent="0.2">
      <c r="A17192" t="s">
        <v>1</v>
      </c>
      <c r="B17192" t="str">
        <f>"18372632567"</f>
        <v>18372632567</v>
      </c>
      <c r="C17192" t="s">
        <v>1</v>
      </c>
      <c r="D17192" t="s">
        <v>1</v>
      </c>
      <c r="E17192" t="s">
        <v>1</v>
      </c>
      <c r="F17192" t="s">
        <v>0</v>
      </c>
      <c r="G17192" t="str">
        <f>"2018-10-11 20:34:06"</f>
        <v>2018-10-11 20:34:06</v>
      </c>
    </row>
    <row r="17193" spans="1:7" x14ac:dyDescent="0.2">
      <c r="A17193" t="s">
        <v>16388</v>
      </c>
      <c r="B17193" t="str">
        <f>"18503189122"</f>
        <v>18503189122</v>
      </c>
      <c r="C17193" t="str">
        <f>"131126198401094825"</f>
        <v>131126198401094825</v>
      </c>
      <c r="D17193" t="s">
        <v>1</v>
      </c>
      <c r="E17193" t="s">
        <v>1</v>
      </c>
      <c r="F17193" t="s">
        <v>0</v>
      </c>
      <c r="G17193" t="str">
        <f>"2018-10-11 20:44:50"</f>
        <v>2018-10-11 20:44:50</v>
      </c>
    </row>
    <row r="17194" spans="1:7" x14ac:dyDescent="0.2">
      <c r="A17194" t="s">
        <v>16389</v>
      </c>
      <c r="B17194" t="str">
        <f>"18639815716"</f>
        <v>18639815716</v>
      </c>
      <c r="C17194" t="str">
        <f>"411324199603291931"</f>
        <v>411324199603291931</v>
      </c>
      <c r="D17194" t="s">
        <v>1</v>
      </c>
      <c r="E17194" t="s">
        <v>1</v>
      </c>
      <c r="F17194" t="s">
        <v>0</v>
      </c>
      <c r="G17194" t="str">
        <f>"2018-10-11 21:01:19"</f>
        <v>2018-10-11 21:01:19</v>
      </c>
    </row>
    <row r="17195" spans="1:7" x14ac:dyDescent="0.2">
      <c r="A17195" t="s">
        <v>16390</v>
      </c>
      <c r="B17195" t="str">
        <f>"13942251141"</f>
        <v>13942251141</v>
      </c>
      <c r="C17195" t="str">
        <f>"211422199001052349"</f>
        <v>211422199001052349</v>
      </c>
      <c r="D17195" t="s">
        <v>1</v>
      </c>
      <c r="E17195" t="s">
        <v>1</v>
      </c>
      <c r="F17195" t="s">
        <v>0</v>
      </c>
      <c r="G17195" t="str">
        <f>"2018-10-25 16:40:18"</f>
        <v>2018-10-25 16:40:18</v>
      </c>
    </row>
    <row r="17196" spans="1:7" x14ac:dyDescent="0.2">
      <c r="A17196" t="s">
        <v>16391</v>
      </c>
      <c r="B17196" t="str">
        <f>"13131804445"</f>
        <v>13131804445</v>
      </c>
      <c r="C17196" t="str">
        <f>"133029197002131853"</f>
        <v>133029197002131853</v>
      </c>
      <c r="D17196" t="s">
        <v>1</v>
      </c>
      <c r="E17196" t="s">
        <v>1</v>
      </c>
      <c r="F17196" t="s">
        <v>0</v>
      </c>
      <c r="G17196" t="str">
        <f>"2018-10-11 20:32:56"</f>
        <v>2018-10-11 20:32:56</v>
      </c>
    </row>
    <row r="17197" spans="1:7" x14ac:dyDescent="0.2">
      <c r="A17197" t="s">
        <v>7894</v>
      </c>
      <c r="B17197" t="str">
        <f>"15854129972"</f>
        <v>15854129972</v>
      </c>
      <c r="C17197" t="str">
        <f>"370124198903157559"</f>
        <v>370124198903157559</v>
      </c>
      <c r="D17197" t="s">
        <v>1</v>
      </c>
      <c r="E17197" t="s">
        <v>1</v>
      </c>
      <c r="F17197" t="s">
        <v>0</v>
      </c>
      <c r="G17197" t="str">
        <f>"2018-10-11 20:30:13"</f>
        <v>2018-10-11 20:30:13</v>
      </c>
    </row>
    <row r="17198" spans="1:7" x14ac:dyDescent="0.2">
      <c r="A17198" t="s">
        <v>1</v>
      </c>
      <c r="B17198" t="str">
        <f>"18104404381"</f>
        <v>18104404381</v>
      </c>
      <c r="C17198" t="s">
        <v>1</v>
      </c>
      <c r="D17198" t="s">
        <v>1</v>
      </c>
      <c r="E17198" t="s">
        <v>1</v>
      </c>
      <c r="F17198" t="s">
        <v>0</v>
      </c>
      <c r="G17198" t="str">
        <f>"2018-10-11 20:30:11"</f>
        <v>2018-10-11 20:30:11</v>
      </c>
    </row>
    <row r="17199" spans="1:7" x14ac:dyDescent="0.2">
      <c r="A17199" t="s">
        <v>16392</v>
      </c>
      <c r="B17199" t="str">
        <f>"15079655202"</f>
        <v>15079655202</v>
      </c>
      <c r="C17199" t="str">
        <f>"362427197712281419"</f>
        <v>362427197712281419</v>
      </c>
      <c r="D17199" t="s">
        <v>1</v>
      </c>
      <c r="E17199" t="s">
        <v>1</v>
      </c>
      <c r="F17199" t="s">
        <v>0</v>
      </c>
      <c r="G17199" t="str">
        <f>"2018-10-11 21:06:33"</f>
        <v>2018-10-11 21:06:33</v>
      </c>
    </row>
    <row r="17200" spans="1:7" x14ac:dyDescent="0.2">
      <c r="A17200" t="s">
        <v>16393</v>
      </c>
      <c r="B17200" t="str">
        <f>"15298219969"</f>
        <v>15298219969</v>
      </c>
      <c r="C17200" t="str">
        <f>"511303199403016013"</f>
        <v>511303199403016013</v>
      </c>
      <c r="D17200" t="s">
        <v>16394</v>
      </c>
      <c r="E17200" t="s">
        <v>16395</v>
      </c>
      <c r="F17200" t="s">
        <v>0</v>
      </c>
      <c r="G17200" t="str">
        <f>"2018-10-11 20:29:34"</f>
        <v>2018-10-11 20:29:34</v>
      </c>
    </row>
    <row r="17201" spans="1:7" x14ac:dyDescent="0.2">
      <c r="A17201" t="s">
        <v>16396</v>
      </c>
      <c r="B17201" t="str">
        <f>"18593192637"</f>
        <v>18593192637</v>
      </c>
      <c r="C17201" t="str">
        <f>"530328199203150621"</f>
        <v>530328199203150621</v>
      </c>
      <c r="D17201" t="s">
        <v>1</v>
      </c>
      <c r="E17201" t="s">
        <v>1</v>
      </c>
      <c r="F17201" t="s">
        <v>0</v>
      </c>
      <c r="G17201" t="str">
        <f>"2018-10-11 20:42:44"</f>
        <v>2018-10-11 20:42:44</v>
      </c>
    </row>
    <row r="17202" spans="1:7" x14ac:dyDescent="0.2">
      <c r="A17202" t="s">
        <v>16397</v>
      </c>
      <c r="B17202" t="str">
        <f>"15928856288"</f>
        <v>15928856288</v>
      </c>
      <c r="C17202" t="str">
        <f>"511322198102287818"</f>
        <v>511322198102287818</v>
      </c>
      <c r="D17202" t="s">
        <v>1</v>
      </c>
      <c r="E17202" t="s">
        <v>1</v>
      </c>
      <c r="F17202" t="s">
        <v>0</v>
      </c>
      <c r="G17202" t="str">
        <f>"2018-10-11 20:29:54"</f>
        <v>2018-10-11 20:29:54</v>
      </c>
    </row>
    <row r="17203" spans="1:7" x14ac:dyDescent="0.2">
      <c r="A17203" t="s">
        <v>16398</v>
      </c>
      <c r="B17203" t="str">
        <f>"18288488138"</f>
        <v>18288488138</v>
      </c>
      <c r="C17203" t="str">
        <f>"532226197908140014"</f>
        <v>532226197908140014</v>
      </c>
      <c r="D17203" t="s">
        <v>1</v>
      </c>
      <c r="E17203" t="s">
        <v>1</v>
      </c>
      <c r="F17203" t="s">
        <v>0</v>
      </c>
      <c r="G17203" t="str">
        <f>"2018-10-13 16:38:36"</f>
        <v>2018-10-13 16:38:36</v>
      </c>
    </row>
    <row r="17204" spans="1:7" x14ac:dyDescent="0.2">
      <c r="A17204" t="s">
        <v>1</v>
      </c>
      <c r="B17204" t="str">
        <f>"17324052474"</f>
        <v>17324052474</v>
      </c>
      <c r="C17204" t="s">
        <v>1</v>
      </c>
      <c r="D17204" t="s">
        <v>1</v>
      </c>
      <c r="E17204" t="s">
        <v>1</v>
      </c>
      <c r="F17204" t="s">
        <v>0</v>
      </c>
      <c r="G17204" t="str">
        <f>"2018-10-11 20:27:02"</f>
        <v>2018-10-11 20:27:02</v>
      </c>
    </row>
    <row r="17205" spans="1:7" x14ac:dyDescent="0.2">
      <c r="A17205" t="s">
        <v>1</v>
      </c>
      <c r="B17205" t="str">
        <f>"13252074596"</f>
        <v>13252074596</v>
      </c>
      <c r="C17205" t="s">
        <v>1</v>
      </c>
      <c r="D17205" t="s">
        <v>1</v>
      </c>
      <c r="E17205" t="s">
        <v>1</v>
      </c>
      <c r="F17205" t="s">
        <v>0</v>
      </c>
      <c r="G17205" t="str">
        <f>"2018-10-11 20:25:20"</f>
        <v>2018-10-11 20:25:20</v>
      </c>
    </row>
    <row r="17206" spans="1:7" x14ac:dyDescent="0.2">
      <c r="A17206" t="s">
        <v>101</v>
      </c>
      <c r="B17206" t="str">
        <f>"18253973697"</f>
        <v>18253973697</v>
      </c>
      <c r="C17206" t="str">
        <f>"371324198802194731"</f>
        <v>371324198802194731</v>
      </c>
      <c r="D17206" t="s">
        <v>1</v>
      </c>
      <c r="E17206" t="s">
        <v>1</v>
      </c>
      <c r="F17206" t="s">
        <v>0</v>
      </c>
      <c r="G17206" t="str">
        <f>"2018-10-11 20:26:26"</f>
        <v>2018-10-11 20:26:26</v>
      </c>
    </row>
    <row r="17207" spans="1:7" x14ac:dyDescent="0.2">
      <c r="A17207" t="s">
        <v>16399</v>
      </c>
      <c r="B17207" t="str">
        <f>"13527140434"</f>
        <v>13527140434</v>
      </c>
      <c r="C17207" t="str">
        <f>"442000198811164253"</f>
        <v>442000198811164253</v>
      </c>
      <c r="D17207" t="s">
        <v>1</v>
      </c>
      <c r="E17207" t="s">
        <v>1</v>
      </c>
      <c r="F17207" t="s">
        <v>0</v>
      </c>
      <c r="G17207" t="str">
        <f>"2018-10-11 20:27:24"</f>
        <v>2018-10-11 20:27:24</v>
      </c>
    </row>
    <row r="17208" spans="1:7" x14ac:dyDescent="0.2">
      <c r="A17208" t="s">
        <v>16400</v>
      </c>
      <c r="B17208" t="str">
        <f>"15222483945"</f>
        <v>15222483945</v>
      </c>
      <c r="C17208" t="str">
        <f>"34082219910807111X"</f>
        <v>34082219910807111X</v>
      </c>
      <c r="D17208" t="s">
        <v>1</v>
      </c>
      <c r="E17208" t="s">
        <v>1</v>
      </c>
      <c r="F17208" t="s">
        <v>0</v>
      </c>
      <c r="G17208" t="str">
        <f>"2018-10-11 20:25:58"</f>
        <v>2018-10-11 20:25:58</v>
      </c>
    </row>
    <row r="17209" spans="1:7" x14ac:dyDescent="0.2">
      <c r="A17209" t="s">
        <v>16401</v>
      </c>
      <c r="B17209" t="str">
        <f>"13913333500"</f>
        <v>13913333500</v>
      </c>
      <c r="C17209" t="str">
        <f>"342501198903037614"</f>
        <v>342501198903037614</v>
      </c>
      <c r="D17209" t="s">
        <v>1</v>
      </c>
      <c r="E17209" t="s">
        <v>1</v>
      </c>
      <c r="F17209" t="s">
        <v>0</v>
      </c>
      <c r="G17209" t="str">
        <f>"2018-10-12 14:29:39"</f>
        <v>2018-10-12 14:29:39</v>
      </c>
    </row>
    <row r="17210" spans="1:7" x14ac:dyDescent="0.2">
      <c r="A17210" t="s">
        <v>1</v>
      </c>
      <c r="B17210" t="str">
        <f>"15145833636"</f>
        <v>15145833636</v>
      </c>
      <c r="C17210" t="s">
        <v>1</v>
      </c>
      <c r="D17210" t="s">
        <v>1</v>
      </c>
      <c r="E17210" t="s">
        <v>1</v>
      </c>
      <c r="F17210" t="s">
        <v>0</v>
      </c>
      <c r="G17210" t="str">
        <f>"2018-10-11 20:23:42"</f>
        <v>2018-10-11 20:23:42</v>
      </c>
    </row>
    <row r="17211" spans="1:7" x14ac:dyDescent="0.2">
      <c r="A17211" t="s">
        <v>1</v>
      </c>
      <c r="B17211" t="str">
        <f>"17093536734"</f>
        <v>17093536734</v>
      </c>
      <c r="C17211" t="s">
        <v>1</v>
      </c>
      <c r="D17211" t="s">
        <v>1</v>
      </c>
      <c r="E17211" t="s">
        <v>1</v>
      </c>
      <c r="F17211" t="s">
        <v>0</v>
      </c>
      <c r="G17211" t="str">
        <f>"2018-10-11 20:22:30"</f>
        <v>2018-10-11 20:22:30</v>
      </c>
    </row>
    <row r="17212" spans="1:7" x14ac:dyDescent="0.2">
      <c r="A17212" t="s">
        <v>16402</v>
      </c>
      <c r="B17212" t="str">
        <f>"18606383553"</f>
        <v>18606383553</v>
      </c>
      <c r="C17212" t="str">
        <f>"370305199607160012"</f>
        <v>370305199607160012</v>
      </c>
      <c r="D17212" t="s">
        <v>1</v>
      </c>
      <c r="E17212" t="s">
        <v>1</v>
      </c>
      <c r="F17212" t="s">
        <v>0</v>
      </c>
      <c r="G17212" t="str">
        <f>"2018-10-11 21:26:12"</f>
        <v>2018-10-11 21:26:12</v>
      </c>
    </row>
    <row r="17213" spans="1:7" x14ac:dyDescent="0.2">
      <c r="A17213" t="s">
        <v>1</v>
      </c>
      <c r="B17213" t="str">
        <f>"18849529313"</f>
        <v>18849529313</v>
      </c>
      <c r="C17213" t="s">
        <v>1</v>
      </c>
      <c r="D17213" t="s">
        <v>1</v>
      </c>
      <c r="E17213" t="s">
        <v>1</v>
      </c>
      <c r="F17213" t="s">
        <v>0</v>
      </c>
      <c r="G17213" t="str">
        <f>"2018-10-11 20:20:32"</f>
        <v>2018-10-11 20:20:32</v>
      </c>
    </row>
    <row r="17214" spans="1:7" x14ac:dyDescent="0.2">
      <c r="A17214" t="s">
        <v>16403</v>
      </c>
      <c r="B17214" t="str">
        <f>"15948807722"</f>
        <v>15948807722</v>
      </c>
      <c r="C17214" t="str">
        <f>"22072119850605301X"</f>
        <v>22072119850605301X</v>
      </c>
      <c r="D17214" t="s">
        <v>1</v>
      </c>
      <c r="E17214" t="s">
        <v>1</v>
      </c>
      <c r="F17214" t="s">
        <v>0</v>
      </c>
      <c r="G17214" t="str">
        <f>"2018-10-11 20:21:05"</f>
        <v>2018-10-11 20:21:05</v>
      </c>
    </row>
    <row r="17215" spans="1:7" x14ac:dyDescent="0.2">
      <c r="A17215" t="s">
        <v>1</v>
      </c>
      <c r="B17215" t="str">
        <f>"15507784454"</f>
        <v>15507784454</v>
      </c>
      <c r="C17215" t="s">
        <v>1</v>
      </c>
      <c r="D17215" t="s">
        <v>1</v>
      </c>
      <c r="E17215" t="s">
        <v>1</v>
      </c>
      <c r="F17215" t="s">
        <v>0</v>
      </c>
      <c r="G17215" t="str">
        <f>"2018-10-11 20:19:49"</f>
        <v>2018-10-11 20:19:49</v>
      </c>
    </row>
    <row r="17216" spans="1:7" x14ac:dyDescent="0.2">
      <c r="A17216" t="s">
        <v>16404</v>
      </c>
      <c r="B17216" t="str">
        <f>"13713899172"</f>
        <v>13713899172</v>
      </c>
      <c r="C17216" t="str">
        <f>"510723198704184266"</f>
        <v>510723198704184266</v>
      </c>
      <c r="D17216" t="s">
        <v>1</v>
      </c>
      <c r="E17216" t="s">
        <v>1</v>
      </c>
      <c r="F17216" t="s">
        <v>0</v>
      </c>
      <c r="G17216" t="str">
        <f>"2018-10-11 20:41:40"</f>
        <v>2018-10-11 20:41:40</v>
      </c>
    </row>
    <row r="17217" spans="1:7" x14ac:dyDescent="0.2">
      <c r="A17217" t="s">
        <v>1</v>
      </c>
      <c r="B17217" t="str">
        <f>"17817117324"</f>
        <v>17817117324</v>
      </c>
      <c r="C17217" t="s">
        <v>1</v>
      </c>
      <c r="D17217" t="s">
        <v>1</v>
      </c>
      <c r="E17217" t="s">
        <v>1</v>
      </c>
      <c r="F17217" t="s">
        <v>0</v>
      </c>
      <c r="G17217" t="str">
        <f>"2018-10-11 20:18:45"</f>
        <v>2018-10-11 20:18:45</v>
      </c>
    </row>
    <row r="17218" spans="1:7" x14ac:dyDescent="0.2">
      <c r="A17218" t="s">
        <v>16405</v>
      </c>
      <c r="B17218" t="str">
        <f>"18977232445"</f>
        <v>18977232445</v>
      </c>
      <c r="C17218" t="str">
        <f>"452223199012306544"</f>
        <v>452223199012306544</v>
      </c>
      <c r="D17218" t="s">
        <v>1</v>
      </c>
      <c r="E17218" t="s">
        <v>1</v>
      </c>
      <c r="F17218" t="s">
        <v>0</v>
      </c>
      <c r="G17218" t="str">
        <f>"2018-10-11 20:17:13"</f>
        <v>2018-10-11 20:17:13</v>
      </c>
    </row>
    <row r="17219" spans="1:7" x14ac:dyDescent="0.2">
      <c r="A17219" t="s">
        <v>1</v>
      </c>
      <c r="B17219" t="str">
        <f>"18218958043"</f>
        <v>18218958043</v>
      </c>
      <c r="C17219" t="s">
        <v>1</v>
      </c>
      <c r="D17219" t="s">
        <v>1</v>
      </c>
      <c r="E17219" t="s">
        <v>1</v>
      </c>
      <c r="F17219" t="s">
        <v>0</v>
      </c>
      <c r="G17219" t="str">
        <f>"2018-10-11 20:16:39"</f>
        <v>2018-10-11 20:16:39</v>
      </c>
    </row>
    <row r="17220" spans="1:7" x14ac:dyDescent="0.2">
      <c r="A17220" t="s">
        <v>16406</v>
      </c>
      <c r="B17220" t="str">
        <f>"18630446775"</f>
        <v>18630446775</v>
      </c>
      <c r="C17220" t="str">
        <f>"411221199908293538"</f>
        <v>411221199908293538</v>
      </c>
      <c r="D17220" t="s">
        <v>1</v>
      </c>
      <c r="E17220" t="s">
        <v>1</v>
      </c>
      <c r="F17220" t="s">
        <v>0</v>
      </c>
      <c r="G17220" t="str">
        <f>"2018-10-11 20:16:37"</f>
        <v>2018-10-11 20:16:37</v>
      </c>
    </row>
    <row r="17221" spans="1:7" x14ac:dyDescent="0.2">
      <c r="A17221" t="s">
        <v>16407</v>
      </c>
      <c r="B17221" t="str">
        <f>"13557343433"</f>
        <v>13557343433</v>
      </c>
      <c r="C17221" t="str">
        <f>"452402199005012117"</f>
        <v>452402199005012117</v>
      </c>
      <c r="D17221" t="s">
        <v>1</v>
      </c>
      <c r="E17221" t="s">
        <v>1</v>
      </c>
      <c r="F17221" t="s">
        <v>0</v>
      </c>
      <c r="G17221" t="str">
        <f>"2018-10-11 20:16:55"</f>
        <v>2018-10-11 20:16:55</v>
      </c>
    </row>
    <row r="17222" spans="1:7" x14ac:dyDescent="0.2">
      <c r="A17222" t="s">
        <v>1</v>
      </c>
      <c r="B17222" t="str">
        <f>"13257749971"</f>
        <v>13257749971</v>
      </c>
      <c r="C17222" t="s">
        <v>1</v>
      </c>
      <c r="D17222" t="s">
        <v>1</v>
      </c>
      <c r="E17222" t="s">
        <v>1</v>
      </c>
      <c r="F17222" t="s">
        <v>0</v>
      </c>
      <c r="G17222" t="str">
        <f>"2018-10-11 20:15:22"</f>
        <v>2018-10-11 20:15:22</v>
      </c>
    </row>
    <row r="17223" spans="1:7" x14ac:dyDescent="0.2">
      <c r="A17223" t="s">
        <v>445</v>
      </c>
      <c r="B17223" t="str">
        <f>"15762691713"</f>
        <v>15762691713</v>
      </c>
      <c r="C17223" t="str">
        <f>"370704198607031414"</f>
        <v>370704198607031414</v>
      </c>
      <c r="D17223" t="s">
        <v>1</v>
      </c>
      <c r="E17223" t="s">
        <v>1</v>
      </c>
      <c r="F17223" t="s">
        <v>0</v>
      </c>
      <c r="G17223" t="str">
        <f>"2018-10-11 20:16:27"</f>
        <v>2018-10-11 20:16:27</v>
      </c>
    </row>
    <row r="17224" spans="1:7" x14ac:dyDescent="0.2">
      <c r="A17224" t="s">
        <v>16408</v>
      </c>
      <c r="B17224" t="str">
        <f>"15156166088"</f>
        <v>15156166088</v>
      </c>
      <c r="C17224" t="str">
        <f>"340603198910120287"</f>
        <v>340603198910120287</v>
      </c>
      <c r="D17224" t="s">
        <v>16409</v>
      </c>
      <c r="E17224" t="s">
        <v>16410</v>
      </c>
      <c r="F17224" t="s">
        <v>0</v>
      </c>
      <c r="G17224" t="str">
        <f>"2018-10-11 20:21:41"</f>
        <v>2018-10-11 20:21:41</v>
      </c>
    </row>
    <row r="17225" spans="1:7" x14ac:dyDescent="0.2">
      <c r="A17225" t="s">
        <v>16411</v>
      </c>
      <c r="B17225" t="str">
        <f>"17710637917"</f>
        <v>17710637917</v>
      </c>
      <c r="C17225" t="str">
        <f>"370983198710192810"</f>
        <v>370983198710192810</v>
      </c>
      <c r="D17225" t="s">
        <v>1</v>
      </c>
      <c r="E17225" t="s">
        <v>1</v>
      </c>
      <c r="F17225" t="s">
        <v>0</v>
      </c>
      <c r="G17225" t="str">
        <f>"2018-10-11 20:15:54"</f>
        <v>2018-10-11 20:15:54</v>
      </c>
    </row>
    <row r="17226" spans="1:7" x14ac:dyDescent="0.2">
      <c r="A17226" t="s">
        <v>16412</v>
      </c>
      <c r="B17226" t="str">
        <f>"15677909037"</f>
        <v>15677909037</v>
      </c>
      <c r="C17226" t="str">
        <f>"430528199811283812"</f>
        <v>430528199811283812</v>
      </c>
      <c r="D17226" t="s">
        <v>1</v>
      </c>
      <c r="E17226" t="s">
        <v>1</v>
      </c>
      <c r="F17226" t="s">
        <v>0</v>
      </c>
      <c r="G17226" t="str">
        <f>"2018-10-11 20:14:35"</f>
        <v>2018-10-11 20:14:35</v>
      </c>
    </row>
    <row r="17227" spans="1:7" x14ac:dyDescent="0.2">
      <c r="A17227" t="s">
        <v>1</v>
      </c>
      <c r="B17227" t="str">
        <f>"15087734039"</f>
        <v>15087734039</v>
      </c>
      <c r="C17227" t="s">
        <v>1</v>
      </c>
      <c r="D17227" t="s">
        <v>1</v>
      </c>
      <c r="E17227" t="s">
        <v>1</v>
      </c>
      <c r="F17227" t="s">
        <v>0</v>
      </c>
      <c r="G17227" t="str">
        <f>"2018-10-11 20:13:17"</f>
        <v>2018-10-11 20:13:17</v>
      </c>
    </row>
    <row r="17228" spans="1:7" x14ac:dyDescent="0.2">
      <c r="A17228" t="s">
        <v>16413</v>
      </c>
      <c r="B17228" t="str">
        <f>"13989486813"</f>
        <v>13989486813</v>
      </c>
      <c r="C17228" t="str">
        <f>"330182198509261354"</f>
        <v>330182198509261354</v>
      </c>
      <c r="D17228" t="s">
        <v>1</v>
      </c>
      <c r="E17228" t="s">
        <v>1</v>
      </c>
      <c r="F17228" t="s">
        <v>0</v>
      </c>
      <c r="G17228" t="str">
        <f>"2018-10-31 14:48:40"</f>
        <v>2018-10-31 14:48:40</v>
      </c>
    </row>
    <row r="17229" spans="1:7" x14ac:dyDescent="0.2">
      <c r="A17229" t="s">
        <v>16414</v>
      </c>
      <c r="B17229" t="str">
        <f>"18056407911"</f>
        <v>18056407911</v>
      </c>
      <c r="C17229" t="str">
        <f>"342401199710173272"</f>
        <v>342401199710173272</v>
      </c>
      <c r="D17229" t="s">
        <v>1</v>
      </c>
      <c r="E17229" t="s">
        <v>1</v>
      </c>
      <c r="F17229" t="s">
        <v>0</v>
      </c>
      <c r="G17229" t="str">
        <f>"2018-10-12 13:29:33"</f>
        <v>2018-10-12 13:29:33</v>
      </c>
    </row>
    <row r="17230" spans="1:7" x14ac:dyDescent="0.2">
      <c r="A17230" t="s">
        <v>1</v>
      </c>
      <c r="B17230" t="str">
        <f>"18997160653"</f>
        <v>18997160653</v>
      </c>
      <c r="C17230" t="s">
        <v>1</v>
      </c>
      <c r="D17230" t="s">
        <v>1</v>
      </c>
      <c r="E17230" t="s">
        <v>1</v>
      </c>
      <c r="F17230" t="s">
        <v>0</v>
      </c>
      <c r="G17230" t="str">
        <f>"2018-10-11 20:10:40"</f>
        <v>2018-10-11 20:10:40</v>
      </c>
    </row>
    <row r="17231" spans="1:7" x14ac:dyDescent="0.2">
      <c r="A17231" t="s">
        <v>16415</v>
      </c>
      <c r="B17231" t="str">
        <f>"17586557446"</f>
        <v>17586557446</v>
      </c>
      <c r="C17231" t="str">
        <f>"522427199803249712"</f>
        <v>522427199803249712</v>
      </c>
      <c r="D17231" t="s">
        <v>16416</v>
      </c>
      <c r="E17231" t="s">
        <v>16417</v>
      </c>
      <c r="F17231" t="s">
        <v>0</v>
      </c>
      <c r="G17231" t="str">
        <f>"2018-10-11 20:23:36"</f>
        <v>2018-10-11 20:23:36</v>
      </c>
    </row>
    <row r="17232" spans="1:7" x14ac:dyDescent="0.2">
      <c r="A17232" t="s">
        <v>1</v>
      </c>
      <c r="B17232" t="str">
        <f>"13856806657"</f>
        <v>13856806657</v>
      </c>
      <c r="C17232" t="s">
        <v>1</v>
      </c>
      <c r="D17232" t="s">
        <v>1</v>
      </c>
      <c r="E17232" t="s">
        <v>1</v>
      </c>
      <c r="F17232" t="s">
        <v>0</v>
      </c>
      <c r="G17232" t="str">
        <f>"2018-10-11 20:09:39"</f>
        <v>2018-10-11 20:09:39</v>
      </c>
    </row>
    <row r="17233" spans="1:7" x14ac:dyDescent="0.2">
      <c r="A17233" t="s">
        <v>1</v>
      </c>
      <c r="B17233" t="str">
        <f>"17093536750"</f>
        <v>17093536750</v>
      </c>
      <c r="C17233" t="s">
        <v>1</v>
      </c>
      <c r="D17233" t="s">
        <v>1</v>
      </c>
      <c r="E17233" t="s">
        <v>1</v>
      </c>
      <c r="F17233" t="s">
        <v>0</v>
      </c>
      <c r="G17233" t="str">
        <f>"2018-10-11 20:07:46"</f>
        <v>2018-10-11 20:07:46</v>
      </c>
    </row>
    <row r="17234" spans="1:7" x14ac:dyDescent="0.2">
      <c r="A17234" t="s">
        <v>1</v>
      </c>
      <c r="B17234" t="str">
        <f>"17543024106"</f>
        <v>17543024106</v>
      </c>
      <c r="C17234" t="s">
        <v>1</v>
      </c>
      <c r="D17234" t="s">
        <v>1</v>
      </c>
      <c r="E17234" t="s">
        <v>1</v>
      </c>
      <c r="F17234" t="s">
        <v>0</v>
      </c>
      <c r="G17234" t="str">
        <f>"2018-10-11 20:07:43"</f>
        <v>2018-10-11 20:07:43</v>
      </c>
    </row>
    <row r="17235" spans="1:7" x14ac:dyDescent="0.2">
      <c r="A17235" t="s">
        <v>16418</v>
      </c>
      <c r="B17235" t="str">
        <f>"15169346639"</f>
        <v>15169346639</v>
      </c>
      <c r="C17235" t="str">
        <f>"370323199501213019"</f>
        <v>370323199501213019</v>
      </c>
      <c r="D17235" t="s">
        <v>1</v>
      </c>
      <c r="E17235" t="s">
        <v>1</v>
      </c>
      <c r="F17235" t="s">
        <v>0</v>
      </c>
      <c r="G17235" t="str">
        <f>"2018-10-11 20:08:51"</f>
        <v>2018-10-11 20:08:51</v>
      </c>
    </row>
    <row r="17236" spans="1:7" x14ac:dyDescent="0.2">
      <c r="A17236" t="s">
        <v>16419</v>
      </c>
      <c r="B17236" t="str">
        <f>"15248674666"</f>
        <v>15248674666</v>
      </c>
      <c r="C17236" t="str">
        <f>"150430199204220018"</f>
        <v>150430199204220018</v>
      </c>
      <c r="D17236" t="s">
        <v>1</v>
      </c>
      <c r="E17236" t="s">
        <v>1</v>
      </c>
      <c r="F17236" t="s">
        <v>0</v>
      </c>
      <c r="G17236" t="str">
        <f>"2018-10-12 00:03:08"</f>
        <v>2018-10-12 00:03:08</v>
      </c>
    </row>
    <row r="17237" spans="1:7" x14ac:dyDescent="0.2">
      <c r="A17237" t="s">
        <v>1</v>
      </c>
      <c r="B17237" t="str">
        <f>"13276841134"</f>
        <v>13276841134</v>
      </c>
      <c r="C17237" t="s">
        <v>1</v>
      </c>
      <c r="D17237" t="s">
        <v>1</v>
      </c>
      <c r="E17237" t="s">
        <v>1</v>
      </c>
      <c r="F17237" t="s">
        <v>0</v>
      </c>
      <c r="G17237" t="str">
        <f>"2018-10-11 20:06:53"</f>
        <v>2018-10-11 20:06:53</v>
      </c>
    </row>
    <row r="17238" spans="1:7" x14ac:dyDescent="0.2">
      <c r="A17238" t="s">
        <v>16420</v>
      </c>
      <c r="B17238" t="str">
        <f>"15949645201"</f>
        <v>15949645201</v>
      </c>
      <c r="C17238" t="str">
        <f>"362528198111073012"</f>
        <v>362528198111073012</v>
      </c>
      <c r="D17238" t="s">
        <v>1</v>
      </c>
      <c r="E17238" t="s">
        <v>1</v>
      </c>
      <c r="F17238" t="s">
        <v>0</v>
      </c>
      <c r="G17238" t="str">
        <f>"2018-10-11 20:11:35"</f>
        <v>2018-10-11 20:11:35</v>
      </c>
    </row>
    <row r="17239" spans="1:7" x14ac:dyDescent="0.2">
      <c r="A17239" t="s">
        <v>377</v>
      </c>
      <c r="B17239" t="str">
        <f>"18373653237"</f>
        <v>18373653237</v>
      </c>
      <c r="C17239" t="str">
        <f>"43072419920417111X"</f>
        <v>43072419920417111X</v>
      </c>
      <c r="D17239" t="s">
        <v>1</v>
      </c>
      <c r="E17239" t="s">
        <v>1</v>
      </c>
      <c r="F17239" t="s">
        <v>0</v>
      </c>
      <c r="G17239" t="str">
        <f>"2018-10-11 20:07:45"</f>
        <v>2018-10-11 20:07:45</v>
      </c>
    </row>
    <row r="17240" spans="1:7" x14ac:dyDescent="0.2">
      <c r="A17240" t="s">
        <v>1</v>
      </c>
      <c r="B17240" t="str">
        <f>"13211426524"</f>
        <v>13211426524</v>
      </c>
      <c r="C17240" t="s">
        <v>1</v>
      </c>
      <c r="D17240" t="s">
        <v>1</v>
      </c>
      <c r="E17240" t="s">
        <v>1</v>
      </c>
      <c r="F17240" t="s">
        <v>0</v>
      </c>
      <c r="G17240" t="str">
        <f>"2018-10-11 20:06:00"</f>
        <v>2018-10-11 20:06:00</v>
      </c>
    </row>
    <row r="17241" spans="1:7" x14ac:dyDescent="0.2">
      <c r="A17241" t="s">
        <v>16421</v>
      </c>
      <c r="B17241" t="str">
        <f>"13793072005"</f>
        <v>13793072005</v>
      </c>
      <c r="C17241" t="str">
        <f>"371581197809156037"</f>
        <v>371581197809156037</v>
      </c>
      <c r="D17241" t="s">
        <v>1</v>
      </c>
      <c r="E17241" t="s">
        <v>1</v>
      </c>
      <c r="F17241" t="s">
        <v>0</v>
      </c>
      <c r="G17241" t="str">
        <f>"2018-10-11 21:02:12"</f>
        <v>2018-10-11 21:02:12</v>
      </c>
    </row>
    <row r="17242" spans="1:7" x14ac:dyDescent="0.2">
      <c r="A17242" t="s">
        <v>16422</v>
      </c>
      <c r="B17242" t="str">
        <f>"13892652556"</f>
        <v>13892652556</v>
      </c>
      <c r="C17242" t="str">
        <f>"612322198701194511"</f>
        <v>612322198701194511</v>
      </c>
      <c r="D17242" t="s">
        <v>1</v>
      </c>
      <c r="E17242" t="s">
        <v>1</v>
      </c>
      <c r="F17242" t="s">
        <v>0</v>
      </c>
      <c r="G17242" t="str">
        <f>"2018-10-12 06:11:13"</f>
        <v>2018-10-12 06:11:13</v>
      </c>
    </row>
    <row r="17243" spans="1:7" x14ac:dyDescent="0.2">
      <c r="A17243" t="s">
        <v>1</v>
      </c>
      <c r="B17243" t="str">
        <f>"15168439613"</f>
        <v>15168439613</v>
      </c>
      <c r="C17243" t="s">
        <v>1</v>
      </c>
      <c r="D17243" t="s">
        <v>1</v>
      </c>
      <c r="E17243" t="s">
        <v>1</v>
      </c>
      <c r="F17243" t="s">
        <v>0</v>
      </c>
      <c r="G17243" t="str">
        <f>"2018-10-11 20:03:44"</f>
        <v>2018-10-11 20:03:44</v>
      </c>
    </row>
    <row r="17244" spans="1:7" x14ac:dyDescent="0.2">
      <c r="A17244" t="s">
        <v>16423</v>
      </c>
      <c r="B17244" t="str">
        <f>"18709368277"</f>
        <v>18709368277</v>
      </c>
      <c r="C17244" t="str">
        <f>"622726199005221655"</f>
        <v>622726199005221655</v>
      </c>
      <c r="D17244" t="s">
        <v>1</v>
      </c>
      <c r="E17244" t="s">
        <v>1</v>
      </c>
      <c r="F17244" t="s">
        <v>0</v>
      </c>
      <c r="G17244" t="str">
        <f>"2018-10-11 20:08:22"</f>
        <v>2018-10-11 20:08:22</v>
      </c>
    </row>
    <row r="17245" spans="1:7" x14ac:dyDescent="0.2">
      <c r="A17245" t="s">
        <v>94</v>
      </c>
      <c r="B17245" t="str">
        <f>"13765161376"</f>
        <v>13765161376</v>
      </c>
      <c r="C17245" t="str">
        <f>"520102198904065824"</f>
        <v>520102198904065824</v>
      </c>
      <c r="D17245" t="s">
        <v>1</v>
      </c>
      <c r="E17245" t="s">
        <v>1</v>
      </c>
      <c r="F17245" t="s">
        <v>0</v>
      </c>
      <c r="G17245" t="str">
        <f>"2018-10-11 20:29:21"</f>
        <v>2018-10-11 20:29:21</v>
      </c>
    </row>
    <row r="17246" spans="1:7" x14ac:dyDescent="0.2">
      <c r="A17246" t="s">
        <v>16424</v>
      </c>
      <c r="B17246" t="str">
        <f>"15293413853"</f>
        <v>15293413853</v>
      </c>
      <c r="C17246" t="str">
        <f>"622822199703184732"</f>
        <v>622822199703184732</v>
      </c>
      <c r="D17246" t="s">
        <v>1</v>
      </c>
      <c r="E17246" t="s">
        <v>1</v>
      </c>
      <c r="F17246" t="s">
        <v>0</v>
      </c>
      <c r="G17246" t="str">
        <f>"2018-10-11 20:06:49"</f>
        <v>2018-10-11 20:06:49</v>
      </c>
    </row>
    <row r="17247" spans="1:7" x14ac:dyDescent="0.2">
      <c r="A17247" t="s">
        <v>16425</v>
      </c>
      <c r="B17247" t="str">
        <f>"15642744887"</f>
        <v>15642744887</v>
      </c>
      <c r="C17247" t="str">
        <f>"211121196301103826"</f>
        <v>211121196301103826</v>
      </c>
      <c r="D17247" t="s">
        <v>1</v>
      </c>
      <c r="E17247" t="s">
        <v>1</v>
      </c>
      <c r="F17247" t="s">
        <v>0</v>
      </c>
      <c r="G17247" t="str">
        <f>"2018-10-19 20:50:49"</f>
        <v>2018-10-19 20:50:49</v>
      </c>
    </row>
    <row r="17248" spans="1:7" x14ac:dyDescent="0.2">
      <c r="A17248" t="s">
        <v>16426</v>
      </c>
      <c r="B17248" t="str">
        <f>"18684998960"</f>
        <v>18684998960</v>
      </c>
      <c r="C17248" t="str">
        <f>"430225199602046516"</f>
        <v>430225199602046516</v>
      </c>
      <c r="D17248" t="s">
        <v>16427</v>
      </c>
      <c r="E17248" t="s">
        <v>16428</v>
      </c>
      <c r="F17248" t="s">
        <v>0</v>
      </c>
      <c r="G17248" t="str">
        <f>"2018-10-11 20:02:05"</f>
        <v>2018-10-11 20:02:05</v>
      </c>
    </row>
    <row r="17249" spans="1:7" x14ac:dyDescent="0.2">
      <c r="A17249" t="s">
        <v>16429</v>
      </c>
      <c r="B17249" t="str">
        <f>"18660109178"</f>
        <v>18660109178</v>
      </c>
      <c r="C17249" t="str">
        <f>"370181198101086514"</f>
        <v>370181198101086514</v>
      </c>
      <c r="D17249" t="s">
        <v>1</v>
      </c>
      <c r="E17249" t="s">
        <v>1</v>
      </c>
      <c r="F17249" t="s">
        <v>0</v>
      </c>
      <c r="G17249" t="str">
        <f>"2018-10-11 20:09:44"</f>
        <v>2018-10-11 20:09:44</v>
      </c>
    </row>
    <row r="17250" spans="1:7" x14ac:dyDescent="0.2">
      <c r="A17250" t="s">
        <v>16430</v>
      </c>
      <c r="B17250" t="str">
        <f>"15228803200"</f>
        <v>15228803200</v>
      </c>
      <c r="C17250" t="str">
        <f>"510902199907228859"</f>
        <v>510902199907228859</v>
      </c>
      <c r="D17250" t="s">
        <v>1</v>
      </c>
      <c r="E17250" t="s">
        <v>1</v>
      </c>
      <c r="F17250" t="s">
        <v>0</v>
      </c>
      <c r="G17250" t="str">
        <f>"2018-10-15 14:05:41"</f>
        <v>2018-10-15 14:05:41</v>
      </c>
    </row>
    <row r="17251" spans="1:7" x14ac:dyDescent="0.2">
      <c r="A17251" t="s">
        <v>16431</v>
      </c>
      <c r="B17251" t="str">
        <f>"13872525520"</f>
        <v>13872525520</v>
      </c>
      <c r="C17251" t="str">
        <f>"420505198104117312"</f>
        <v>420505198104117312</v>
      </c>
      <c r="D17251" t="s">
        <v>1</v>
      </c>
      <c r="E17251" t="s">
        <v>1</v>
      </c>
      <c r="F17251" t="s">
        <v>0</v>
      </c>
      <c r="G17251" t="str">
        <f>"2018-10-11 20:03:28"</f>
        <v>2018-10-11 20:03:28</v>
      </c>
    </row>
    <row r="17252" spans="1:7" x14ac:dyDescent="0.2">
      <c r="A17252" t="s">
        <v>16432</v>
      </c>
      <c r="B17252" t="str">
        <f>"13884442874"</f>
        <v>13884442874</v>
      </c>
      <c r="C17252" t="str">
        <f>"330724198701011119"</f>
        <v>330724198701011119</v>
      </c>
      <c r="D17252" t="s">
        <v>1</v>
      </c>
      <c r="E17252" t="s">
        <v>1</v>
      </c>
      <c r="F17252" t="s">
        <v>0</v>
      </c>
      <c r="G17252" t="str">
        <f>"2018-10-30 08:37:40"</f>
        <v>2018-10-30 08:37:40</v>
      </c>
    </row>
    <row r="17253" spans="1:7" x14ac:dyDescent="0.2">
      <c r="A17253" t="s">
        <v>1</v>
      </c>
      <c r="B17253" t="str">
        <f>"15614048789"</f>
        <v>15614048789</v>
      </c>
      <c r="C17253" t="s">
        <v>1</v>
      </c>
      <c r="D17253" t="s">
        <v>1</v>
      </c>
      <c r="E17253" t="s">
        <v>1</v>
      </c>
      <c r="F17253" t="s">
        <v>0</v>
      </c>
      <c r="G17253" t="str">
        <f>"2018-10-11 19:58:24"</f>
        <v>2018-10-11 19:58:24</v>
      </c>
    </row>
    <row r="17254" spans="1:7" x14ac:dyDescent="0.2">
      <c r="A17254" t="s">
        <v>16433</v>
      </c>
      <c r="B17254" t="str">
        <f>"13766658366"</f>
        <v>13766658366</v>
      </c>
      <c r="C17254" t="str">
        <f>"231085198808190518"</f>
        <v>231085198808190518</v>
      </c>
      <c r="D17254" t="s">
        <v>1</v>
      </c>
      <c r="E17254" t="s">
        <v>1</v>
      </c>
      <c r="F17254" t="s">
        <v>0</v>
      </c>
      <c r="G17254" t="str">
        <f>"2018-10-25 10:05:09"</f>
        <v>2018-10-25 10:05:09</v>
      </c>
    </row>
    <row r="17255" spans="1:7" x14ac:dyDescent="0.2">
      <c r="A17255" t="s">
        <v>16434</v>
      </c>
      <c r="B17255" t="str">
        <f>"13687671445"</f>
        <v>13687671445</v>
      </c>
      <c r="C17255" t="str">
        <f>"232127197408182015"</f>
        <v>232127197408182015</v>
      </c>
      <c r="D17255" t="s">
        <v>1</v>
      </c>
      <c r="E17255" t="s">
        <v>1</v>
      </c>
      <c r="F17255" t="s">
        <v>0</v>
      </c>
      <c r="G17255" t="str">
        <f>"2018-10-28 19:49:51"</f>
        <v>2018-10-28 19:49:51</v>
      </c>
    </row>
    <row r="17256" spans="1:7" x14ac:dyDescent="0.2">
      <c r="A17256" t="s">
        <v>16435</v>
      </c>
      <c r="B17256" t="str">
        <f>"15726536298"</f>
        <v>15726536298</v>
      </c>
      <c r="C17256" t="str">
        <f>"371523198704235354"</f>
        <v>371523198704235354</v>
      </c>
      <c r="D17256" t="s">
        <v>1</v>
      </c>
      <c r="E17256" t="s">
        <v>1</v>
      </c>
      <c r="F17256" t="s">
        <v>0</v>
      </c>
      <c r="G17256" t="str">
        <f>"2018-10-11 20:05:32"</f>
        <v>2018-10-11 20:05:32</v>
      </c>
    </row>
    <row r="17257" spans="1:7" x14ac:dyDescent="0.2">
      <c r="A17257" t="s">
        <v>1</v>
      </c>
      <c r="B17257" t="str">
        <f>"13058920439"</f>
        <v>13058920439</v>
      </c>
      <c r="C17257" t="s">
        <v>1</v>
      </c>
      <c r="D17257" t="s">
        <v>1</v>
      </c>
      <c r="E17257" t="s">
        <v>1</v>
      </c>
      <c r="F17257" t="s">
        <v>0</v>
      </c>
      <c r="G17257" t="str">
        <f>"2018-10-11 19:56:26"</f>
        <v>2018-10-11 19:56:26</v>
      </c>
    </row>
    <row r="17258" spans="1:7" x14ac:dyDescent="0.2">
      <c r="A17258" t="s">
        <v>16436</v>
      </c>
      <c r="B17258" t="str">
        <f>"15043652290"</f>
        <v>15043652290</v>
      </c>
      <c r="C17258" t="str">
        <f>"220882200006241514"</f>
        <v>220882200006241514</v>
      </c>
      <c r="D17258" t="s">
        <v>1</v>
      </c>
      <c r="E17258" t="s">
        <v>1</v>
      </c>
      <c r="F17258" t="s">
        <v>0</v>
      </c>
      <c r="G17258" t="str">
        <f>"2018-10-11 19:57:38"</f>
        <v>2018-10-11 19:57:38</v>
      </c>
    </row>
    <row r="17259" spans="1:7" x14ac:dyDescent="0.2">
      <c r="A17259" t="s">
        <v>16437</v>
      </c>
      <c r="B17259" t="str">
        <f>"13778219228"</f>
        <v>13778219228</v>
      </c>
      <c r="C17259" t="str">
        <f>"510681198005172838"</f>
        <v>510681198005172838</v>
      </c>
      <c r="D17259" t="s">
        <v>1</v>
      </c>
      <c r="E17259" t="s">
        <v>1</v>
      </c>
      <c r="F17259" t="s">
        <v>0</v>
      </c>
      <c r="G17259" t="str">
        <f>"2018-10-11 19:57:38"</f>
        <v>2018-10-11 19:57:38</v>
      </c>
    </row>
    <row r="17260" spans="1:7" x14ac:dyDescent="0.2">
      <c r="A17260" t="s">
        <v>16438</v>
      </c>
      <c r="B17260" t="str">
        <f>"13481709969"</f>
        <v>13481709969</v>
      </c>
      <c r="C17260" t="str">
        <f>"622429199108165054"</f>
        <v>622429199108165054</v>
      </c>
      <c r="D17260" t="s">
        <v>1</v>
      </c>
      <c r="E17260" t="s">
        <v>1</v>
      </c>
      <c r="F17260" t="s">
        <v>0</v>
      </c>
      <c r="G17260" t="str">
        <f>"2018-10-12 00:38:15"</f>
        <v>2018-10-12 00:38:15</v>
      </c>
    </row>
    <row r="17261" spans="1:7" x14ac:dyDescent="0.2">
      <c r="A17261" t="s">
        <v>182</v>
      </c>
      <c r="B17261" t="str">
        <f>"18606379165"</f>
        <v>18606379165</v>
      </c>
      <c r="C17261" t="str">
        <f>"370406199603016656"</f>
        <v>370406199603016656</v>
      </c>
      <c r="D17261" t="s">
        <v>1</v>
      </c>
      <c r="E17261" t="s">
        <v>1</v>
      </c>
      <c r="F17261" t="s">
        <v>0</v>
      </c>
      <c r="G17261" t="str">
        <f>"2018-10-11 19:54:00"</f>
        <v>2018-10-11 19:54:00</v>
      </c>
    </row>
    <row r="17262" spans="1:7" x14ac:dyDescent="0.2">
      <c r="A17262" t="s">
        <v>1</v>
      </c>
      <c r="B17262" t="str">
        <f>"18648046366"</f>
        <v>18648046366</v>
      </c>
      <c r="C17262" t="s">
        <v>1</v>
      </c>
      <c r="D17262" t="s">
        <v>1</v>
      </c>
      <c r="E17262" t="s">
        <v>1</v>
      </c>
      <c r="F17262" t="s">
        <v>0</v>
      </c>
      <c r="G17262" t="str">
        <f>"2018-10-11 19:51:40"</f>
        <v>2018-10-11 19:51:40</v>
      </c>
    </row>
    <row r="17263" spans="1:7" x14ac:dyDescent="0.2">
      <c r="A17263" t="s">
        <v>16439</v>
      </c>
      <c r="B17263" t="str">
        <f>"17607825481"</f>
        <v>17607825481</v>
      </c>
      <c r="C17263" t="str">
        <f>"452226200006270930"</f>
        <v>452226200006270930</v>
      </c>
      <c r="D17263" t="s">
        <v>1</v>
      </c>
      <c r="E17263" t="s">
        <v>1</v>
      </c>
      <c r="F17263" t="s">
        <v>0</v>
      </c>
      <c r="G17263" t="str">
        <f>"2018-10-11 19:53:04"</f>
        <v>2018-10-11 19:53:04</v>
      </c>
    </row>
    <row r="17264" spans="1:7" x14ac:dyDescent="0.2">
      <c r="A17264" t="s">
        <v>16440</v>
      </c>
      <c r="B17264" t="str">
        <f>"15736196803"</f>
        <v>15736196803</v>
      </c>
      <c r="C17264" t="str">
        <f>"510216198105124826"</f>
        <v>510216198105124826</v>
      </c>
      <c r="D17264" t="s">
        <v>1</v>
      </c>
      <c r="E17264" t="s">
        <v>1</v>
      </c>
      <c r="F17264" t="s">
        <v>0</v>
      </c>
      <c r="G17264" t="str">
        <f>"2018-10-11 19:50:58"</f>
        <v>2018-10-11 19:50:58</v>
      </c>
    </row>
    <row r="17265" spans="1:7" x14ac:dyDescent="0.2">
      <c r="A17265" t="s">
        <v>480</v>
      </c>
      <c r="B17265" t="str">
        <f>"17828563233"</f>
        <v>17828563233</v>
      </c>
      <c r="C17265" t="str">
        <f>"513401198806190817"</f>
        <v>513401198806190817</v>
      </c>
      <c r="D17265" t="s">
        <v>1</v>
      </c>
      <c r="E17265" t="s">
        <v>1</v>
      </c>
      <c r="F17265" t="s">
        <v>0</v>
      </c>
      <c r="G17265" t="str">
        <f>"2018-10-18 16:10:44"</f>
        <v>2018-10-18 16:10:44</v>
      </c>
    </row>
    <row r="17266" spans="1:7" x14ac:dyDescent="0.2">
      <c r="A17266" t="s">
        <v>1</v>
      </c>
      <c r="B17266" t="str">
        <f>"13176726003"</f>
        <v>13176726003</v>
      </c>
      <c r="C17266" t="s">
        <v>1</v>
      </c>
      <c r="D17266" t="s">
        <v>1</v>
      </c>
      <c r="E17266" t="s">
        <v>1</v>
      </c>
      <c r="F17266" t="s">
        <v>0</v>
      </c>
      <c r="G17266" t="str">
        <f>"2018-10-11 19:49:17"</f>
        <v>2018-10-11 19:49:17</v>
      </c>
    </row>
    <row r="17267" spans="1:7" x14ac:dyDescent="0.2">
      <c r="A17267" t="s">
        <v>1</v>
      </c>
      <c r="B17267" t="str">
        <f>"15678559673"</f>
        <v>15678559673</v>
      </c>
      <c r="C17267" t="s">
        <v>1</v>
      </c>
      <c r="D17267" t="s">
        <v>1</v>
      </c>
      <c r="E17267" t="s">
        <v>1</v>
      </c>
      <c r="F17267" t="s">
        <v>0</v>
      </c>
      <c r="G17267" t="str">
        <f>"2018-10-11 19:47:36"</f>
        <v>2018-10-11 19:47:36</v>
      </c>
    </row>
    <row r="17268" spans="1:7" x14ac:dyDescent="0.2">
      <c r="A17268" t="s">
        <v>16441</v>
      </c>
      <c r="B17268" t="str">
        <f>"18131107286"</f>
        <v>18131107286</v>
      </c>
      <c r="C17268" t="str">
        <f>"130121199005131841"</f>
        <v>130121199005131841</v>
      </c>
      <c r="D17268" t="s">
        <v>1</v>
      </c>
      <c r="E17268" t="s">
        <v>1</v>
      </c>
      <c r="F17268" t="s">
        <v>0</v>
      </c>
      <c r="G17268" t="str">
        <f>"2018-10-30 18:42:38"</f>
        <v>2018-10-30 18:42:38</v>
      </c>
    </row>
    <row r="17269" spans="1:7" x14ac:dyDescent="0.2">
      <c r="A17269" t="s">
        <v>16442</v>
      </c>
      <c r="B17269" t="str">
        <f>"17601481197"</f>
        <v>17601481197</v>
      </c>
      <c r="C17269" t="str">
        <f>"410527199711205016"</f>
        <v>410527199711205016</v>
      </c>
      <c r="D17269" t="s">
        <v>1</v>
      </c>
      <c r="E17269" t="s">
        <v>1</v>
      </c>
      <c r="F17269" t="s">
        <v>0</v>
      </c>
      <c r="G17269" t="str">
        <f>"2018-10-11 19:52:21"</f>
        <v>2018-10-11 19:52:21</v>
      </c>
    </row>
    <row r="17270" spans="1:7" x14ac:dyDescent="0.2">
      <c r="A17270" t="s">
        <v>989</v>
      </c>
      <c r="B17270" t="str">
        <f>"13937106085"</f>
        <v>13937106085</v>
      </c>
      <c r="C17270" t="str">
        <f>"410305198006220524"</f>
        <v>410305198006220524</v>
      </c>
      <c r="D17270" t="s">
        <v>16443</v>
      </c>
      <c r="E17270" t="s">
        <v>16444</v>
      </c>
      <c r="F17270" t="s">
        <v>0</v>
      </c>
      <c r="G17270" t="str">
        <f>"2018-10-12 10:40:55"</f>
        <v>2018-10-12 10:40:55</v>
      </c>
    </row>
    <row r="17271" spans="1:7" x14ac:dyDescent="0.2">
      <c r="A17271" t="s">
        <v>1</v>
      </c>
      <c r="B17271" t="str">
        <f>"13587686857"</f>
        <v>13587686857</v>
      </c>
      <c r="C17271" t="s">
        <v>1</v>
      </c>
      <c r="D17271" t="s">
        <v>1</v>
      </c>
      <c r="E17271" t="s">
        <v>1</v>
      </c>
      <c r="F17271" t="s">
        <v>0</v>
      </c>
      <c r="G17271" t="str">
        <f>"2018-10-11 20:31:03"</f>
        <v>2018-10-11 20:31:03</v>
      </c>
    </row>
    <row r="17272" spans="1:7" x14ac:dyDescent="0.2">
      <c r="A17272" t="s">
        <v>16445</v>
      </c>
      <c r="B17272" t="str">
        <f>"17868998084"</f>
        <v>17868998084</v>
      </c>
      <c r="C17272" t="str">
        <f>"230103197304183918"</f>
        <v>230103197304183918</v>
      </c>
      <c r="D17272" t="s">
        <v>1</v>
      </c>
      <c r="E17272" t="s">
        <v>1</v>
      </c>
      <c r="F17272" t="s">
        <v>0</v>
      </c>
      <c r="G17272" t="str">
        <f>"2018-10-11 19:48:06"</f>
        <v>2018-10-11 19:48:06</v>
      </c>
    </row>
    <row r="17273" spans="1:7" x14ac:dyDescent="0.2">
      <c r="A17273" t="s">
        <v>16446</v>
      </c>
      <c r="B17273" t="str">
        <f>"15088339102"</f>
        <v>15088339102</v>
      </c>
      <c r="C17273" t="str">
        <f>"34082219840406581X"</f>
        <v>34082219840406581X</v>
      </c>
      <c r="D17273" t="s">
        <v>1</v>
      </c>
      <c r="E17273" t="s">
        <v>1</v>
      </c>
      <c r="F17273" t="s">
        <v>0</v>
      </c>
      <c r="G17273" t="str">
        <f>"2018-10-11 19:47:43"</f>
        <v>2018-10-11 19:47:43</v>
      </c>
    </row>
    <row r="17274" spans="1:7" x14ac:dyDescent="0.2">
      <c r="A17274" t="s">
        <v>1</v>
      </c>
      <c r="B17274" t="str">
        <f>"13827483431"</f>
        <v>13827483431</v>
      </c>
      <c r="C17274" t="s">
        <v>1</v>
      </c>
      <c r="D17274" t="s">
        <v>1</v>
      </c>
      <c r="E17274" t="s">
        <v>1</v>
      </c>
      <c r="F17274" t="s">
        <v>0</v>
      </c>
      <c r="G17274" t="str">
        <f>"2018-10-11 19:44:48"</f>
        <v>2018-10-11 19:44:48</v>
      </c>
    </row>
    <row r="17275" spans="1:7" x14ac:dyDescent="0.2">
      <c r="A17275" t="s">
        <v>689</v>
      </c>
      <c r="B17275" t="str">
        <f>"13041337858"</f>
        <v>13041337858</v>
      </c>
      <c r="C17275" t="str">
        <f>"220223197804113018"</f>
        <v>220223197804113018</v>
      </c>
      <c r="D17275" t="s">
        <v>1</v>
      </c>
      <c r="E17275" t="s">
        <v>1</v>
      </c>
      <c r="F17275" t="s">
        <v>0</v>
      </c>
      <c r="G17275" t="str">
        <f>"2018-10-13 17:49:41"</f>
        <v>2018-10-13 17:49:41</v>
      </c>
    </row>
    <row r="17276" spans="1:7" x14ac:dyDescent="0.2">
      <c r="A17276" t="s">
        <v>1</v>
      </c>
      <c r="B17276" t="str">
        <f>"13472077720"</f>
        <v>13472077720</v>
      </c>
      <c r="C17276" t="s">
        <v>1</v>
      </c>
      <c r="D17276" t="s">
        <v>1</v>
      </c>
      <c r="E17276" t="s">
        <v>1</v>
      </c>
      <c r="F17276" t="s">
        <v>0</v>
      </c>
      <c r="G17276" t="str">
        <f>"2018-10-11 19:43:01"</f>
        <v>2018-10-11 19:43:01</v>
      </c>
    </row>
    <row r="17277" spans="1:7" x14ac:dyDescent="0.2">
      <c r="A17277" t="s">
        <v>16447</v>
      </c>
      <c r="B17277" t="str">
        <f>"15963370871"</f>
        <v>15963370871</v>
      </c>
      <c r="C17277" t="str">
        <f>"371426199102201622"</f>
        <v>371426199102201622</v>
      </c>
      <c r="D17277" t="s">
        <v>1</v>
      </c>
      <c r="E17277" t="s">
        <v>1</v>
      </c>
      <c r="F17277" t="s">
        <v>0</v>
      </c>
      <c r="G17277" t="str">
        <f>"2018-10-11 19:45:28"</f>
        <v>2018-10-11 19:45:28</v>
      </c>
    </row>
    <row r="17278" spans="1:7" x14ac:dyDescent="0.2">
      <c r="A17278" t="s">
        <v>16448</v>
      </c>
      <c r="B17278" t="str">
        <f>"13760363638"</f>
        <v>13760363638</v>
      </c>
      <c r="C17278" t="str">
        <f>"441423198703065210"</f>
        <v>441423198703065210</v>
      </c>
      <c r="D17278" t="s">
        <v>1</v>
      </c>
      <c r="E17278" t="s">
        <v>1</v>
      </c>
      <c r="F17278" t="s">
        <v>0</v>
      </c>
      <c r="G17278" t="str">
        <f>"2018-10-11 19:41:15"</f>
        <v>2018-10-11 19:41:15</v>
      </c>
    </row>
    <row r="17279" spans="1:7" x14ac:dyDescent="0.2">
      <c r="A17279" t="s">
        <v>1</v>
      </c>
      <c r="B17279" t="str">
        <f>"13079737187"</f>
        <v>13079737187</v>
      </c>
      <c r="C17279" t="s">
        <v>1</v>
      </c>
      <c r="D17279" t="s">
        <v>1</v>
      </c>
      <c r="E17279" t="s">
        <v>1</v>
      </c>
      <c r="F17279" t="s">
        <v>0</v>
      </c>
      <c r="G17279" t="str">
        <f>"2018-10-11 19:39:18"</f>
        <v>2018-10-11 19:39:18</v>
      </c>
    </row>
    <row r="17280" spans="1:7" x14ac:dyDescent="0.2">
      <c r="A17280" t="s">
        <v>16449</v>
      </c>
      <c r="B17280" t="str">
        <f>"15241749586"</f>
        <v>15241749586</v>
      </c>
      <c r="C17280" t="str">
        <f>"211121199405102258"</f>
        <v>211121199405102258</v>
      </c>
      <c r="D17280" t="s">
        <v>16450</v>
      </c>
      <c r="E17280" t="s">
        <v>16451</v>
      </c>
      <c r="F17280" t="s">
        <v>0</v>
      </c>
      <c r="G17280" t="str">
        <f>"2018-10-11 21:58:11"</f>
        <v>2018-10-11 21:58:11</v>
      </c>
    </row>
    <row r="17281" spans="1:7" x14ac:dyDescent="0.2">
      <c r="A17281" t="s">
        <v>16452</v>
      </c>
      <c r="B17281" t="str">
        <f>"15837185818"</f>
        <v>15837185818</v>
      </c>
      <c r="C17281" t="str">
        <f>"370705198305212013"</f>
        <v>370705198305212013</v>
      </c>
      <c r="D17281" t="s">
        <v>16453</v>
      </c>
      <c r="E17281" t="s">
        <v>16454</v>
      </c>
      <c r="F17281" t="s">
        <v>0</v>
      </c>
      <c r="G17281" t="str">
        <f>"2018-10-12 09:17:54"</f>
        <v>2018-10-12 09:17:54</v>
      </c>
    </row>
    <row r="17282" spans="1:7" x14ac:dyDescent="0.2">
      <c r="A17282" t="s">
        <v>1575</v>
      </c>
      <c r="B17282" t="str">
        <f>"15763706007"</f>
        <v>15763706007</v>
      </c>
      <c r="C17282" t="str">
        <f>"37088219851122323X"</f>
        <v>37088219851122323X</v>
      </c>
      <c r="D17282" t="s">
        <v>16455</v>
      </c>
      <c r="E17282" t="s">
        <v>16456</v>
      </c>
      <c r="F17282" t="s">
        <v>0</v>
      </c>
      <c r="G17282" t="str">
        <f>"2018-10-20 13:47:55"</f>
        <v>2018-10-20 13:47:55</v>
      </c>
    </row>
    <row r="17283" spans="1:7" x14ac:dyDescent="0.2">
      <c r="A17283" t="s">
        <v>16457</v>
      </c>
      <c r="B17283" t="str">
        <f>"13080765820"</f>
        <v>13080765820</v>
      </c>
      <c r="C17283" t="str">
        <f>"222401199410292117"</f>
        <v>222401199410292117</v>
      </c>
      <c r="D17283" t="s">
        <v>1</v>
      </c>
      <c r="E17283" t="s">
        <v>1</v>
      </c>
      <c r="F17283" t="s">
        <v>0</v>
      </c>
      <c r="G17283" t="str">
        <f>"2018-11-03 15:59:14"</f>
        <v>2018-11-03 15:59:14</v>
      </c>
    </row>
    <row r="17284" spans="1:7" x14ac:dyDescent="0.2">
      <c r="A17284" t="s">
        <v>16458</v>
      </c>
      <c r="B17284" t="str">
        <f>"18708816446"</f>
        <v>18708816446</v>
      </c>
      <c r="C17284" t="str">
        <f>"533526199011251015"</f>
        <v>533526199011251015</v>
      </c>
      <c r="D17284" t="s">
        <v>16459</v>
      </c>
      <c r="E17284" t="s">
        <v>16460</v>
      </c>
      <c r="F17284" t="s">
        <v>0</v>
      </c>
      <c r="G17284" t="str">
        <f>"2018-10-22 15:08:19"</f>
        <v>2018-10-22 15:08:19</v>
      </c>
    </row>
    <row r="17285" spans="1:7" x14ac:dyDescent="0.2">
      <c r="A17285" t="s">
        <v>1450</v>
      </c>
      <c r="B17285" t="str">
        <f>"13869046506"</f>
        <v>13869046506</v>
      </c>
      <c r="C17285" t="str">
        <f>"379012197610317419"</f>
        <v>379012197610317419</v>
      </c>
      <c r="D17285" t="s">
        <v>1</v>
      </c>
      <c r="E17285" t="s">
        <v>1</v>
      </c>
      <c r="F17285" t="s">
        <v>0</v>
      </c>
      <c r="G17285" t="str">
        <f>"2018-10-11 19:40:19"</f>
        <v>2018-10-11 19:40:19</v>
      </c>
    </row>
    <row r="17286" spans="1:7" x14ac:dyDescent="0.2">
      <c r="A17286" t="s">
        <v>1</v>
      </c>
      <c r="B17286" t="str">
        <f>"15075567516"</f>
        <v>15075567516</v>
      </c>
      <c r="C17286" t="s">
        <v>1</v>
      </c>
      <c r="D17286" t="s">
        <v>1</v>
      </c>
      <c r="E17286" t="s">
        <v>1</v>
      </c>
      <c r="F17286" t="s">
        <v>0</v>
      </c>
      <c r="G17286" t="str">
        <f>"2018-10-11 19:34:59"</f>
        <v>2018-10-11 19:34:59</v>
      </c>
    </row>
    <row r="17287" spans="1:7" x14ac:dyDescent="0.2">
      <c r="A17287" t="s">
        <v>16461</v>
      </c>
      <c r="B17287" t="str">
        <f>"18763206045"</f>
        <v>18763206045</v>
      </c>
      <c r="C17287" t="str">
        <f>"370481198808235014"</f>
        <v>370481198808235014</v>
      </c>
      <c r="D17287" t="s">
        <v>1</v>
      </c>
      <c r="E17287" t="s">
        <v>1</v>
      </c>
      <c r="F17287" t="s">
        <v>0</v>
      </c>
      <c r="G17287" t="str">
        <f>"2018-10-11 19:35:47"</f>
        <v>2018-10-11 19:35:47</v>
      </c>
    </row>
    <row r="17288" spans="1:7" x14ac:dyDescent="0.2">
      <c r="A17288" t="s">
        <v>16462</v>
      </c>
      <c r="B17288" t="str">
        <f>"17820308558"</f>
        <v>17820308558</v>
      </c>
      <c r="C17288" t="str">
        <f>"432503198908227518"</f>
        <v>432503198908227518</v>
      </c>
      <c r="D17288" t="s">
        <v>1</v>
      </c>
      <c r="E17288" t="s">
        <v>1</v>
      </c>
      <c r="F17288" t="s">
        <v>0</v>
      </c>
      <c r="G17288" t="str">
        <f>"2018-10-11 19:35:54"</f>
        <v>2018-10-11 19:35:54</v>
      </c>
    </row>
    <row r="17289" spans="1:7" x14ac:dyDescent="0.2">
      <c r="A17289" t="s">
        <v>11022</v>
      </c>
      <c r="B17289" t="str">
        <f>"18282669019"</f>
        <v>18282669019</v>
      </c>
      <c r="C17289" t="str">
        <f>"511621199310211054"</f>
        <v>511621199310211054</v>
      </c>
      <c r="D17289" t="s">
        <v>1</v>
      </c>
      <c r="E17289" t="s">
        <v>1</v>
      </c>
      <c r="F17289" t="s">
        <v>0</v>
      </c>
      <c r="G17289" t="str">
        <f>"2018-10-26 14:12:34"</f>
        <v>2018-10-26 14:12:34</v>
      </c>
    </row>
    <row r="17290" spans="1:7" x14ac:dyDescent="0.2">
      <c r="A17290" t="s">
        <v>16463</v>
      </c>
      <c r="B17290" t="str">
        <f>"15750788190"</f>
        <v>15750788190</v>
      </c>
      <c r="C17290" t="str">
        <f>"350623198906280517"</f>
        <v>350623198906280517</v>
      </c>
      <c r="D17290" t="s">
        <v>1</v>
      </c>
      <c r="E17290" t="s">
        <v>1</v>
      </c>
      <c r="F17290" t="s">
        <v>0</v>
      </c>
      <c r="G17290" t="str">
        <f>"2018-10-11 19:35:04"</f>
        <v>2018-10-11 19:35:04</v>
      </c>
    </row>
    <row r="17291" spans="1:7" x14ac:dyDescent="0.2">
      <c r="A17291" t="s">
        <v>1492</v>
      </c>
      <c r="B17291" t="str">
        <f>"15838370082"</f>
        <v>15838370082</v>
      </c>
      <c r="C17291" t="str">
        <f>"410802199009040126"</f>
        <v>410802199009040126</v>
      </c>
      <c r="D17291" t="s">
        <v>1</v>
      </c>
      <c r="E17291" t="s">
        <v>1</v>
      </c>
      <c r="F17291" t="s">
        <v>0</v>
      </c>
      <c r="G17291" t="str">
        <f>"2018-10-11 20:09:34"</f>
        <v>2018-10-11 20:09:34</v>
      </c>
    </row>
    <row r="17292" spans="1:7" x14ac:dyDescent="0.2">
      <c r="A17292" t="s">
        <v>16464</v>
      </c>
      <c r="B17292" t="str">
        <f>"15323148695"</f>
        <v>15323148695</v>
      </c>
      <c r="C17292" t="str">
        <f>"44188119980210561X"</f>
        <v>44188119980210561X</v>
      </c>
      <c r="D17292" t="s">
        <v>16465</v>
      </c>
      <c r="E17292" t="s">
        <v>16466</v>
      </c>
      <c r="F17292" t="s">
        <v>0</v>
      </c>
      <c r="G17292" t="str">
        <f>"2018-10-11 19:35:24"</f>
        <v>2018-10-11 19:35:24</v>
      </c>
    </row>
    <row r="17293" spans="1:7" x14ac:dyDescent="0.2">
      <c r="A17293" t="s">
        <v>862</v>
      </c>
      <c r="B17293" t="str">
        <f>"17609990172"</f>
        <v>17609990172</v>
      </c>
      <c r="C17293" t="str">
        <f>"654127199905101553"</f>
        <v>654127199905101553</v>
      </c>
      <c r="D17293" t="s">
        <v>1</v>
      </c>
      <c r="E17293" t="s">
        <v>1</v>
      </c>
      <c r="F17293" t="s">
        <v>0</v>
      </c>
      <c r="G17293" t="str">
        <f>"2018-10-11 19:30:28"</f>
        <v>2018-10-11 19:30:28</v>
      </c>
    </row>
    <row r="17294" spans="1:7" x14ac:dyDescent="0.2">
      <c r="A17294" t="s">
        <v>1</v>
      </c>
      <c r="B17294" t="str">
        <f>"18396575229"</f>
        <v>18396575229</v>
      </c>
      <c r="C17294" t="s">
        <v>1</v>
      </c>
      <c r="D17294" t="s">
        <v>1</v>
      </c>
      <c r="E17294" t="s">
        <v>1</v>
      </c>
      <c r="F17294" t="s">
        <v>0</v>
      </c>
      <c r="G17294" t="str">
        <f>"2018-10-11 19:39:03"</f>
        <v>2018-10-11 19:39:03</v>
      </c>
    </row>
    <row r="17295" spans="1:7" x14ac:dyDescent="0.2">
      <c r="A17295" t="s">
        <v>16467</v>
      </c>
      <c r="B17295" t="str">
        <f>"18518680668"</f>
        <v>18518680668</v>
      </c>
      <c r="C17295" t="str">
        <f>"412824199106291410"</f>
        <v>412824199106291410</v>
      </c>
      <c r="D17295" t="s">
        <v>1</v>
      </c>
      <c r="E17295" t="s">
        <v>1</v>
      </c>
      <c r="F17295" t="s">
        <v>0</v>
      </c>
      <c r="G17295" t="str">
        <f>"2018-10-11 19:30:31"</f>
        <v>2018-10-11 19:30:31</v>
      </c>
    </row>
    <row r="17296" spans="1:7" x14ac:dyDescent="0.2">
      <c r="A17296" t="s">
        <v>813</v>
      </c>
      <c r="B17296" t="str">
        <f>"13181620310"</f>
        <v>13181620310</v>
      </c>
      <c r="C17296" t="str">
        <f>"371329199310263610"</f>
        <v>371329199310263610</v>
      </c>
      <c r="D17296" t="s">
        <v>1</v>
      </c>
      <c r="E17296" t="s">
        <v>1</v>
      </c>
      <c r="F17296" t="s">
        <v>0</v>
      </c>
      <c r="G17296" t="str">
        <f>"2018-10-11 19:33:27"</f>
        <v>2018-10-11 19:33:27</v>
      </c>
    </row>
    <row r="17297" spans="1:7" x14ac:dyDescent="0.2">
      <c r="A17297" t="s">
        <v>16468</v>
      </c>
      <c r="B17297" t="str">
        <f>"15167398804"</f>
        <v>15167398804</v>
      </c>
      <c r="C17297" t="str">
        <f>"341224199502050617"</f>
        <v>341224199502050617</v>
      </c>
      <c r="D17297" t="s">
        <v>1</v>
      </c>
      <c r="E17297" t="s">
        <v>1</v>
      </c>
      <c r="F17297" t="s">
        <v>0</v>
      </c>
      <c r="G17297" t="str">
        <f>"2018-10-11 19:32:20"</f>
        <v>2018-10-11 19:32:20</v>
      </c>
    </row>
    <row r="17298" spans="1:7" x14ac:dyDescent="0.2">
      <c r="A17298" t="s">
        <v>16469</v>
      </c>
      <c r="B17298" t="str">
        <f>"17664175002"</f>
        <v>17664175002</v>
      </c>
      <c r="C17298" t="str">
        <f>"370783199506140021"</f>
        <v>370783199506140021</v>
      </c>
      <c r="D17298" t="s">
        <v>1</v>
      </c>
      <c r="E17298" t="s">
        <v>1</v>
      </c>
      <c r="F17298" t="s">
        <v>0</v>
      </c>
      <c r="G17298" t="str">
        <f>"2018-10-11 21:00:22"</f>
        <v>2018-10-11 21:00:22</v>
      </c>
    </row>
    <row r="17299" spans="1:7" x14ac:dyDescent="0.2">
      <c r="A17299" t="s">
        <v>1</v>
      </c>
      <c r="B17299" t="str">
        <f>"18386326169"</f>
        <v>18386326169</v>
      </c>
      <c r="C17299" t="s">
        <v>1</v>
      </c>
      <c r="D17299" t="s">
        <v>1</v>
      </c>
      <c r="E17299" t="s">
        <v>1</v>
      </c>
      <c r="F17299" t="s">
        <v>0</v>
      </c>
      <c r="G17299" t="str">
        <f>"2018-10-11 19:28:45"</f>
        <v>2018-10-11 19:28:45</v>
      </c>
    </row>
    <row r="17300" spans="1:7" x14ac:dyDescent="0.2">
      <c r="A17300" t="s">
        <v>16470</v>
      </c>
      <c r="B17300" t="str">
        <f>"18129222968"</f>
        <v>18129222968</v>
      </c>
      <c r="C17300" t="str">
        <f>"622628199402272912"</f>
        <v>622628199402272912</v>
      </c>
      <c r="D17300" t="s">
        <v>16471</v>
      </c>
      <c r="E17300" t="s">
        <v>16472</v>
      </c>
      <c r="F17300" t="s">
        <v>0</v>
      </c>
      <c r="G17300" t="str">
        <f>"2018-10-24 11:12:26"</f>
        <v>2018-10-24 11:12:26</v>
      </c>
    </row>
    <row r="17301" spans="1:7" x14ac:dyDescent="0.2">
      <c r="A17301" t="s">
        <v>160</v>
      </c>
      <c r="B17301" t="str">
        <f>"15267734128"</f>
        <v>15267734128</v>
      </c>
      <c r="C17301" t="str">
        <f>"330322199206132810"</f>
        <v>330322199206132810</v>
      </c>
      <c r="D17301" t="s">
        <v>1</v>
      </c>
      <c r="E17301" t="s">
        <v>1</v>
      </c>
      <c r="F17301" t="s">
        <v>0</v>
      </c>
      <c r="G17301" t="str">
        <f>"2018-10-11 19:30:36"</f>
        <v>2018-10-11 19:30:36</v>
      </c>
    </row>
    <row r="17302" spans="1:7" x14ac:dyDescent="0.2">
      <c r="A17302" t="s">
        <v>10480</v>
      </c>
      <c r="B17302" t="str">
        <f>"13547789143"</f>
        <v>13547789143</v>
      </c>
      <c r="C17302" t="str">
        <f>"510922198509222495"</f>
        <v>510922198509222495</v>
      </c>
      <c r="D17302" t="s">
        <v>1</v>
      </c>
      <c r="E17302" t="s">
        <v>1</v>
      </c>
      <c r="F17302" t="s">
        <v>0</v>
      </c>
      <c r="G17302" t="str">
        <f>"2018-10-12 09:07:37"</f>
        <v>2018-10-12 09:07:37</v>
      </c>
    </row>
    <row r="17303" spans="1:7" x14ac:dyDescent="0.2">
      <c r="A17303" t="s">
        <v>16473</v>
      </c>
      <c r="B17303" t="str">
        <f>"18868180827"</f>
        <v>18868180827</v>
      </c>
      <c r="C17303" t="str">
        <f>"341022199302041536"</f>
        <v>341022199302041536</v>
      </c>
      <c r="D17303" t="s">
        <v>16474</v>
      </c>
      <c r="E17303" t="s">
        <v>16475</v>
      </c>
      <c r="F17303" t="s">
        <v>0</v>
      </c>
      <c r="G17303" t="str">
        <f>"2018-10-11 19:29:13"</f>
        <v>2018-10-11 19:29:13</v>
      </c>
    </row>
    <row r="17304" spans="1:7" x14ac:dyDescent="0.2">
      <c r="A17304" t="s">
        <v>1</v>
      </c>
      <c r="B17304" t="str">
        <f>"15015898231"</f>
        <v>15015898231</v>
      </c>
      <c r="C17304" t="s">
        <v>1</v>
      </c>
      <c r="D17304" t="s">
        <v>1</v>
      </c>
      <c r="E17304" t="s">
        <v>1</v>
      </c>
      <c r="F17304" t="s">
        <v>0</v>
      </c>
      <c r="G17304" t="str">
        <f>"2018-10-11 19:25:21"</f>
        <v>2018-10-11 19:25:21</v>
      </c>
    </row>
    <row r="17305" spans="1:7" x14ac:dyDescent="0.2">
      <c r="A17305" t="s">
        <v>5846</v>
      </c>
      <c r="B17305" t="str">
        <f>"15390314621"</f>
        <v>15390314621</v>
      </c>
      <c r="C17305" t="str">
        <f>"510521199108017972"</f>
        <v>510521199108017972</v>
      </c>
      <c r="D17305" t="s">
        <v>1</v>
      </c>
      <c r="E17305" t="s">
        <v>1</v>
      </c>
      <c r="F17305" t="s">
        <v>0</v>
      </c>
      <c r="G17305" t="str">
        <f>"2018-10-11 19:26:23"</f>
        <v>2018-10-11 19:26:23</v>
      </c>
    </row>
    <row r="17306" spans="1:7" x14ac:dyDescent="0.2">
      <c r="A17306" t="s">
        <v>16476</v>
      </c>
      <c r="B17306" t="str">
        <f>"15111420779"</f>
        <v>15111420779</v>
      </c>
      <c r="C17306" t="str">
        <f>"430121197408260930"</f>
        <v>430121197408260930</v>
      </c>
      <c r="D17306" t="s">
        <v>1</v>
      </c>
      <c r="E17306" t="s">
        <v>1</v>
      </c>
      <c r="F17306" t="s">
        <v>0</v>
      </c>
      <c r="G17306" t="str">
        <f>"2018-10-11 19:30:14"</f>
        <v>2018-10-11 19:30:14</v>
      </c>
    </row>
    <row r="17307" spans="1:7" x14ac:dyDescent="0.2">
      <c r="A17307" t="s">
        <v>16477</v>
      </c>
      <c r="B17307" t="str">
        <f>"18313803335"</f>
        <v>18313803335</v>
      </c>
      <c r="C17307" t="str">
        <f>"510824199409217471"</f>
        <v>510824199409217471</v>
      </c>
      <c r="D17307" t="s">
        <v>1</v>
      </c>
      <c r="E17307" t="s">
        <v>1</v>
      </c>
      <c r="F17307" t="s">
        <v>0</v>
      </c>
      <c r="G17307" t="str">
        <f>"2018-10-11 19:31:31"</f>
        <v>2018-10-11 19:31:31</v>
      </c>
    </row>
    <row r="17308" spans="1:7" x14ac:dyDescent="0.2">
      <c r="A17308" t="s">
        <v>16478</v>
      </c>
      <c r="B17308" t="str">
        <f>"15814927940"</f>
        <v>15814927940</v>
      </c>
      <c r="C17308" t="str">
        <f>"44512220000802061X"</f>
        <v>44512220000802061X</v>
      </c>
      <c r="D17308" t="s">
        <v>1</v>
      </c>
      <c r="E17308" t="s">
        <v>1</v>
      </c>
      <c r="F17308" t="s">
        <v>0</v>
      </c>
      <c r="G17308" t="str">
        <f>"2018-10-11 19:45:46"</f>
        <v>2018-10-11 19:45:46</v>
      </c>
    </row>
    <row r="17309" spans="1:7" x14ac:dyDescent="0.2">
      <c r="A17309" t="s">
        <v>16479</v>
      </c>
      <c r="B17309" t="str">
        <f>"15663788397"</f>
        <v>15663788397</v>
      </c>
      <c r="C17309" t="str">
        <f>"230106199306172321"</f>
        <v>230106199306172321</v>
      </c>
      <c r="D17309" t="s">
        <v>1</v>
      </c>
      <c r="E17309" t="s">
        <v>1</v>
      </c>
      <c r="F17309" t="s">
        <v>0</v>
      </c>
      <c r="G17309" t="str">
        <f>"2018-10-11 19:24:25"</f>
        <v>2018-10-11 19:24:25</v>
      </c>
    </row>
    <row r="17310" spans="1:7" x14ac:dyDescent="0.2">
      <c r="A17310" t="s">
        <v>16480</v>
      </c>
      <c r="B17310" t="str">
        <f>"15977543924"</f>
        <v>15977543924</v>
      </c>
      <c r="C17310" t="str">
        <f>"452501197810216075"</f>
        <v>452501197810216075</v>
      </c>
      <c r="D17310" t="s">
        <v>1</v>
      </c>
      <c r="E17310" t="s">
        <v>1</v>
      </c>
      <c r="F17310" t="s">
        <v>0</v>
      </c>
      <c r="G17310" t="str">
        <f>"2018-10-11 19:27:00"</f>
        <v>2018-10-11 19:27:00</v>
      </c>
    </row>
    <row r="17311" spans="1:7" x14ac:dyDescent="0.2">
      <c r="A17311" t="s">
        <v>16481</v>
      </c>
      <c r="B17311" t="str">
        <f>"15338475709"</f>
        <v>15338475709</v>
      </c>
      <c r="C17311" t="str">
        <f>"440982200009054091"</f>
        <v>440982200009054091</v>
      </c>
      <c r="D17311" t="s">
        <v>1</v>
      </c>
      <c r="E17311" t="s">
        <v>1</v>
      </c>
      <c r="F17311" t="s">
        <v>0</v>
      </c>
      <c r="G17311" t="str">
        <f>"2018-10-11 19:37:25"</f>
        <v>2018-10-11 19:37:25</v>
      </c>
    </row>
    <row r="17312" spans="1:7" x14ac:dyDescent="0.2">
      <c r="A17312" t="s">
        <v>1</v>
      </c>
      <c r="B17312" t="str">
        <f>"15818173889"</f>
        <v>15818173889</v>
      </c>
      <c r="C17312" t="s">
        <v>1</v>
      </c>
      <c r="D17312" t="s">
        <v>1</v>
      </c>
      <c r="E17312" t="s">
        <v>1</v>
      </c>
      <c r="F17312" t="s">
        <v>0</v>
      </c>
      <c r="G17312" t="str">
        <f>"2018-10-11 19:26:45"</f>
        <v>2018-10-11 19:26:45</v>
      </c>
    </row>
    <row r="17313" spans="1:7" x14ac:dyDescent="0.2">
      <c r="A17313" t="s">
        <v>1</v>
      </c>
      <c r="B17313" t="str">
        <f>"13562382072"</f>
        <v>13562382072</v>
      </c>
      <c r="C17313" t="s">
        <v>1</v>
      </c>
      <c r="D17313" t="s">
        <v>1</v>
      </c>
      <c r="E17313" t="s">
        <v>1</v>
      </c>
      <c r="F17313" t="s">
        <v>0</v>
      </c>
      <c r="G17313" t="str">
        <f>"2018-10-11 19:21:07"</f>
        <v>2018-10-11 19:21:07</v>
      </c>
    </row>
    <row r="17314" spans="1:7" x14ac:dyDescent="0.2">
      <c r="A17314" t="s">
        <v>16482</v>
      </c>
      <c r="B17314" t="str">
        <f>"13953736891"</f>
        <v>13953736891</v>
      </c>
      <c r="C17314" t="str">
        <f>"370830198803080035"</f>
        <v>370830198803080035</v>
      </c>
      <c r="D17314" t="s">
        <v>1</v>
      </c>
      <c r="E17314" t="s">
        <v>1</v>
      </c>
      <c r="F17314" t="s">
        <v>0</v>
      </c>
      <c r="G17314" t="str">
        <f>"2018-10-11 19:21:22"</f>
        <v>2018-10-11 19:21:22</v>
      </c>
    </row>
    <row r="17315" spans="1:7" x14ac:dyDescent="0.2">
      <c r="A17315" t="s">
        <v>16483</v>
      </c>
      <c r="B17315" t="str">
        <f>"13559653098"</f>
        <v>13559653098</v>
      </c>
      <c r="C17315" t="str">
        <f>"350628198412210537"</f>
        <v>350628198412210537</v>
      </c>
      <c r="D17315" t="s">
        <v>1</v>
      </c>
      <c r="E17315" t="s">
        <v>1</v>
      </c>
      <c r="F17315" t="s">
        <v>0</v>
      </c>
      <c r="G17315" t="str">
        <f>"2018-10-11 19:22:01"</f>
        <v>2018-10-11 19:22:01</v>
      </c>
    </row>
    <row r="17316" spans="1:7" x14ac:dyDescent="0.2">
      <c r="A17316" t="s">
        <v>16484</v>
      </c>
      <c r="B17316" t="str">
        <f>"18339476667"</f>
        <v>18339476667</v>
      </c>
      <c r="C17316" t="str">
        <f>"412728199409150017"</f>
        <v>412728199409150017</v>
      </c>
      <c r="D17316" t="s">
        <v>1</v>
      </c>
      <c r="E17316" t="s">
        <v>1</v>
      </c>
      <c r="F17316" t="s">
        <v>0</v>
      </c>
      <c r="G17316" t="str">
        <f>"2018-10-11 20:03:32"</f>
        <v>2018-10-11 20:03:32</v>
      </c>
    </row>
    <row r="17317" spans="1:7" x14ac:dyDescent="0.2">
      <c r="A17317" t="s">
        <v>16485</v>
      </c>
      <c r="B17317" t="str">
        <f>"18258870522"</f>
        <v>18258870522</v>
      </c>
      <c r="C17317" t="str">
        <f>"332501199404291215"</f>
        <v>332501199404291215</v>
      </c>
      <c r="D17317" t="s">
        <v>1</v>
      </c>
      <c r="E17317" t="s">
        <v>1</v>
      </c>
      <c r="F17317" t="s">
        <v>0</v>
      </c>
      <c r="G17317" t="str">
        <f>"2018-10-11 19:19:56"</f>
        <v>2018-10-11 19:19:56</v>
      </c>
    </row>
    <row r="17318" spans="1:7" x14ac:dyDescent="0.2">
      <c r="A17318" t="s">
        <v>1</v>
      </c>
      <c r="B17318" t="str">
        <f>"13420020831"</f>
        <v>13420020831</v>
      </c>
      <c r="C17318" t="s">
        <v>1</v>
      </c>
      <c r="D17318" t="s">
        <v>1</v>
      </c>
      <c r="E17318" t="s">
        <v>1</v>
      </c>
      <c r="F17318" t="s">
        <v>0</v>
      </c>
      <c r="G17318" t="str">
        <f>"2018-10-11 19:21:16"</f>
        <v>2018-10-11 19:21:16</v>
      </c>
    </row>
    <row r="17319" spans="1:7" x14ac:dyDescent="0.2">
      <c r="A17319" t="s">
        <v>1</v>
      </c>
      <c r="B17319" t="str">
        <f>"17093536757"</f>
        <v>17093536757</v>
      </c>
      <c r="C17319" t="s">
        <v>1</v>
      </c>
      <c r="D17319" t="s">
        <v>1</v>
      </c>
      <c r="E17319" t="s">
        <v>1</v>
      </c>
      <c r="F17319" t="s">
        <v>0</v>
      </c>
      <c r="G17319" t="str">
        <f>"2018-10-11 19:17:11"</f>
        <v>2018-10-11 19:17:11</v>
      </c>
    </row>
    <row r="17320" spans="1:7" x14ac:dyDescent="0.2">
      <c r="A17320" t="s">
        <v>16486</v>
      </c>
      <c r="B17320" t="str">
        <f>"15323792182"</f>
        <v>15323792182</v>
      </c>
      <c r="C17320" t="str">
        <f>"340823198511206741"</f>
        <v>340823198511206741</v>
      </c>
      <c r="D17320" t="s">
        <v>16487</v>
      </c>
      <c r="E17320" t="s">
        <v>16488</v>
      </c>
      <c r="F17320" t="s">
        <v>0</v>
      </c>
      <c r="G17320" t="str">
        <f>"2018-10-12 13:20:47"</f>
        <v>2018-10-12 13:20:47</v>
      </c>
    </row>
    <row r="17321" spans="1:7" x14ac:dyDescent="0.2">
      <c r="A17321" t="s">
        <v>16489</v>
      </c>
      <c r="B17321" t="str">
        <f>"18658106215"</f>
        <v>18658106215</v>
      </c>
      <c r="C17321" t="str">
        <f>"513022198810012976"</f>
        <v>513022198810012976</v>
      </c>
      <c r="D17321" t="s">
        <v>16490</v>
      </c>
      <c r="E17321" t="s">
        <v>16491</v>
      </c>
      <c r="F17321" t="s">
        <v>0</v>
      </c>
      <c r="G17321" t="str">
        <f>"2018-10-11 19:15:55"</f>
        <v>2018-10-11 19:15:55</v>
      </c>
    </row>
    <row r="17322" spans="1:7" x14ac:dyDescent="0.2">
      <c r="A17322" t="s">
        <v>856</v>
      </c>
      <c r="B17322" t="str">
        <f>"15804506414"</f>
        <v>15804506414</v>
      </c>
      <c r="C17322" t="str">
        <f>"230231199012201328"</f>
        <v>230231199012201328</v>
      </c>
      <c r="D17322" t="s">
        <v>16492</v>
      </c>
      <c r="E17322" t="s">
        <v>16493</v>
      </c>
      <c r="F17322" t="s">
        <v>0</v>
      </c>
      <c r="G17322" t="str">
        <f>"2018-10-11 19:15:53"</f>
        <v>2018-10-11 19:15:53</v>
      </c>
    </row>
    <row r="17323" spans="1:7" x14ac:dyDescent="0.2">
      <c r="A17323" t="s">
        <v>16494</v>
      </c>
      <c r="B17323" t="str">
        <f>"15163838838"</f>
        <v>15163838838</v>
      </c>
      <c r="C17323" t="str">
        <f>"370982199112036277"</f>
        <v>370982199112036277</v>
      </c>
      <c r="D17323" t="s">
        <v>1</v>
      </c>
      <c r="E17323" t="s">
        <v>1</v>
      </c>
      <c r="F17323" t="s">
        <v>0</v>
      </c>
      <c r="G17323" t="str">
        <f>"2018-10-11 20:37:51"</f>
        <v>2018-10-11 20:37:51</v>
      </c>
    </row>
    <row r="17324" spans="1:7" x14ac:dyDescent="0.2">
      <c r="A17324" t="s">
        <v>1</v>
      </c>
      <c r="B17324" t="str">
        <f>"13114797948"</f>
        <v>13114797948</v>
      </c>
      <c r="C17324" t="s">
        <v>1</v>
      </c>
      <c r="D17324" t="s">
        <v>1</v>
      </c>
      <c r="E17324" t="s">
        <v>1</v>
      </c>
      <c r="F17324" t="s">
        <v>0</v>
      </c>
      <c r="G17324" t="str">
        <f>"2018-10-11 21:06:10"</f>
        <v>2018-10-11 21:06:10</v>
      </c>
    </row>
    <row r="17325" spans="1:7" x14ac:dyDescent="0.2">
      <c r="A17325" t="s">
        <v>477</v>
      </c>
      <c r="B17325" t="str">
        <f>"15883568567"</f>
        <v>15883568567</v>
      </c>
      <c r="C17325" t="str">
        <f>"511321199308307472"</f>
        <v>511321199308307472</v>
      </c>
      <c r="D17325" t="s">
        <v>16495</v>
      </c>
      <c r="E17325" t="s">
        <v>16496</v>
      </c>
      <c r="F17325" t="s">
        <v>0</v>
      </c>
      <c r="G17325" t="str">
        <f>"2018-10-11 19:14:02"</f>
        <v>2018-10-11 19:14:02</v>
      </c>
    </row>
    <row r="17326" spans="1:7" x14ac:dyDescent="0.2">
      <c r="A17326" t="s">
        <v>727</v>
      </c>
      <c r="B17326" t="str">
        <f>"18635004182"</f>
        <v>18635004182</v>
      </c>
      <c r="C17326" t="str">
        <f>"140921198809140023"</f>
        <v>140921198809140023</v>
      </c>
      <c r="D17326" t="s">
        <v>1</v>
      </c>
      <c r="E17326" t="s">
        <v>1</v>
      </c>
      <c r="F17326" t="s">
        <v>0</v>
      </c>
      <c r="G17326" t="str">
        <f>"2018-10-12 08:36:33"</f>
        <v>2018-10-12 08:36:33</v>
      </c>
    </row>
    <row r="17327" spans="1:7" x14ac:dyDescent="0.2">
      <c r="A17327" t="s">
        <v>16497</v>
      </c>
      <c r="B17327" t="str">
        <f>"13554454568"</f>
        <v>13554454568</v>
      </c>
      <c r="C17327" t="str">
        <f>"420104198606172719"</f>
        <v>420104198606172719</v>
      </c>
      <c r="D17327" t="s">
        <v>1</v>
      </c>
      <c r="E17327" t="s">
        <v>1</v>
      </c>
      <c r="F17327" t="s">
        <v>0</v>
      </c>
      <c r="G17327" t="str">
        <f>"2018-10-17 17:07:17"</f>
        <v>2018-10-17 17:07:17</v>
      </c>
    </row>
    <row r="17328" spans="1:7" x14ac:dyDescent="0.2">
      <c r="A17328" t="s">
        <v>16498</v>
      </c>
      <c r="B17328" t="str">
        <f>"15989883641"</f>
        <v>15989883641</v>
      </c>
      <c r="C17328" t="str">
        <f>"430522198812087634"</f>
        <v>430522198812087634</v>
      </c>
      <c r="D17328" t="s">
        <v>1</v>
      </c>
      <c r="E17328" t="s">
        <v>1</v>
      </c>
      <c r="F17328" t="s">
        <v>0</v>
      </c>
      <c r="G17328" t="str">
        <f>"2018-10-11 19:12:15"</f>
        <v>2018-10-11 19:12:15</v>
      </c>
    </row>
    <row r="17329" spans="1:7" x14ac:dyDescent="0.2">
      <c r="A17329" t="s">
        <v>16499</v>
      </c>
      <c r="B17329" t="str">
        <f>"17519314787"</f>
        <v>17519314787</v>
      </c>
      <c r="C17329" t="str">
        <f>"220324197111091428"</f>
        <v>220324197111091428</v>
      </c>
      <c r="D17329" t="s">
        <v>1</v>
      </c>
      <c r="E17329" t="s">
        <v>1</v>
      </c>
      <c r="F17329" t="s">
        <v>0</v>
      </c>
      <c r="G17329" t="str">
        <f>"2018-10-20 09:53:02"</f>
        <v>2018-10-20 09:53:02</v>
      </c>
    </row>
    <row r="17330" spans="1:7" x14ac:dyDescent="0.2">
      <c r="A17330" t="s">
        <v>1</v>
      </c>
      <c r="B17330" t="str">
        <f>"13004269318"</f>
        <v>13004269318</v>
      </c>
      <c r="C17330" t="s">
        <v>1</v>
      </c>
      <c r="D17330" t="s">
        <v>1</v>
      </c>
      <c r="E17330" t="s">
        <v>1</v>
      </c>
      <c r="F17330" t="s">
        <v>0</v>
      </c>
      <c r="G17330" t="str">
        <f>"2018-10-11 19:09:54"</f>
        <v>2018-10-11 19:09:54</v>
      </c>
    </row>
    <row r="17331" spans="1:7" x14ac:dyDescent="0.2">
      <c r="A17331" t="s">
        <v>1137</v>
      </c>
      <c r="B17331" t="str">
        <f>"18328703218"</f>
        <v>18328703218</v>
      </c>
      <c r="C17331" t="str">
        <f>"34030419741013061X"</f>
        <v>34030419741013061X</v>
      </c>
      <c r="D17331" t="s">
        <v>1</v>
      </c>
      <c r="E17331" t="s">
        <v>1</v>
      </c>
      <c r="F17331" t="s">
        <v>0</v>
      </c>
      <c r="G17331" t="str">
        <f>"2018-10-11 19:28:51"</f>
        <v>2018-10-11 19:28:51</v>
      </c>
    </row>
    <row r="17332" spans="1:7" x14ac:dyDescent="0.2">
      <c r="A17332" t="s">
        <v>687</v>
      </c>
      <c r="B17332" t="str">
        <f>"17772192279"</f>
        <v>17772192279</v>
      </c>
      <c r="C17332" t="str">
        <f>"410901199504300537"</f>
        <v>410901199504300537</v>
      </c>
      <c r="D17332" t="s">
        <v>1</v>
      </c>
      <c r="E17332" t="s">
        <v>1</v>
      </c>
      <c r="F17332" t="s">
        <v>0</v>
      </c>
      <c r="G17332" t="str">
        <f>"2018-10-11 19:11:10"</f>
        <v>2018-10-11 19:11:10</v>
      </c>
    </row>
    <row r="17333" spans="1:7" x14ac:dyDescent="0.2">
      <c r="A17333" t="s">
        <v>1</v>
      </c>
      <c r="B17333" t="str">
        <f>"18739623355"</f>
        <v>18739623355</v>
      </c>
      <c r="C17333" t="s">
        <v>1</v>
      </c>
      <c r="D17333" t="s">
        <v>1</v>
      </c>
      <c r="E17333" t="s">
        <v>1</v>
      </c>
      <c r="F17333" t="s">
        <v>0</v>
      </c>
      <c r="G17333" t="str">
        <f>"2018-10-11 19:09:14"</f>
        <v>2018-10-11 19:09:14</v>
      </c>
    </row>
    <row r="17334" spans="1:7" x14ac:dyDescent="0.2">
      <c r="A17334" t="s">
        <v>16500</v>
      </c>
      <c r="B17334" t="str">
        <f>"18241096782"</f>
        <v>18241096782</v>
      </c>
      <c r="C17334" t="str">
        <f>"211221198402201526"</f>
        <v>211221198402201526</v>
      </c>
      <c r="D17334" t="s">
        <v>1</v>
      </c>
      <c r="E17334" t="s">
        <v>1</v>
      </c>
      <c r="F17334" t="s">
        <v>0</v>
      </c>
      <c r="G17334" t="str">
        <f>"2018-10-11 19:10:33"</f>
        <v>2018-10-11 19:10:33</v>
      </c>
    </row>
    <row r="17335" spans="1:7" x14ac:dyDescent="0.2">
      <c r="A17335" t="s">
        <v>1</v>
      </c>
      <c r="B17335" t="str">
        <f>"18344523990"</f>
        <v>18344523990</v>
      </c>
      <c r="C17335" t="s">
        <v>1</v>
      </c>
      <c r="D17335" t="s">
        <v>1</v>
      </c>
      <c r="E17335" t="s">
        <v>1</v>
      </c>
      <c r="F17335" t="s">
        <v>0</v>
      </c>
      <c r="G17335" t="str">
        <f>"2018-10-11 19:10:08"</f>
        <v>2018-10-11 19:10:08</v>
      </c>
    </row>
    <row r="17336" spans="1:7" x14ac:dyDescent="0.2">
      <c r="A17336" t="s">
        <v>16501</v>
      </c>
      <c r="B17336" t="str">
        <f>"18759507452"</f>
        <v>18759507452</v>
      </c>
      <c r="C17336" t="str">
        <f>"522328199111061613"</f>
        <v>522328199111061613</v>
      </c>
      <c r="D17336" t="s">
        <v>1</v>
      </c>
      <c r="E17336" t="s">
        <v>1</v>
      </c>
      <c r="F17336" t="s">
        <v>0</v>
      </c>
      <c r="G17336" t="str">
        <f>"2018-10-12 13:16:05"</f>
        <v>2018-10-12 13:16:05</v>
      </c>
    </row>
    <row r="17337" spans="1:7" x14ac:dyDescent="0.2">
      <c r="A17337" t="s">
        <v>16502</v>
      </c>
      <c r="B17337" t="str">
        <f>"13477231139"</f>
        <v>13477231139</v>
      </c>
      <c r="C17337" t="str">
        <f>"422822199410083586"</f>
        <v>422822199410083586</v>
      </c>
      <c r="D17337" t="s">
        <v>1</v>
      </c>
      <c r="E17337" t="s">
        <v>1</v>
      </c>
      <c r="F17337" t="s">
        <v>0</v>
      </c>
      <c r="G17337" t="str">
        <f>"2018-10-11 19:28:59"</f>
        <v>2018-10-11 19:28:59</v>
      </c>
    </row>
    <row r="17338" spans="1:7" x14ac:dyDescent="0.2">
      <c r="A17338" t="s">
        <v>16503</v>
      </c>
      <c r="B17338" t="str">
        <f>"18677739520"</f>
        <v>18677739520</v>
      </c>
      <c r="C17338" t="str">
        <f>"450722199309122454"</f>
        <v>450722199309122454</v>
      </c>
      <c r="D17338" t="s">
        <v>1</v>
      </c>
      <c r="E17338" t="s">
        <v>1</v>
      </c>
      <c r="F17338" t="s">
        <v>0</v>
      </c>
      <c r="G17338" t="str">
        <f>"2018-10-11 19:10:12"</f>
        <v>2018-10-11 19:10:12</v>
      </c>
    </row>
    <row r="17339" spans="1:7" x14ac:dyDescent="0.2">
      <c r="A17339" t="s">
        <v>1</v>
      </c>
      <c r="B17339" t="str">
        <f>"17093536756"</f>
        <v>17093536756</v>
      </c>
      <c r="C17339" t="s">
        <v>1</v>
      </c>
      <c r="D17339" t="s">
        <v>1</v>
      </c>
      <c r="E17339" t="s">
        <v>1</v>
      </c>
      <c r="F17339" t="s">
        <v>0</v>
      </c>
      <c r="G17339" t="str">
        <f>"2018-10-11 19:05:55"</f>
        <v>2018-10-11 19:05:55</v>
      </c>
    </row>
    <row r="17340" spans="1:7" x14ac:dyDescent="0.2">
      <c r="A17340" t="s">
        <v>16504</v>
      </c>
      <c r="B17340" t="str">
        <f>"15104756258"</f>
        <v>15104756258</v>
      </c>
      <c r="C17340" t="str">
        <f>"152326198810193811"</f>
        <v>152326198810193811</v>
      </c>
      <c r="D17340" t="s">
        <v>1</v>
      </c>
      <c r="E17340" t="s">
        <v>1</v>
      </c>
      <c r="F17340" t="s">
        <v>0</v>
      </c>
      <c r="G17340" t="str">
        <f>"2018-10-12 09:50:44"</f>
        <v>2018-10-12 09:50:44</v>
      </c>
    </row>
    <row r="17341" spans="1:7" x14ac:dyDescent="0.2">
      <c r="A17341" t="s">
        <v>1200</v>
      </c>
      <c r="B17341" t="str">
        <f>"18575403787"</f>
        <v>18575403787</v>
      </c>
      <c r="C17341" t="str">
        <f>"45092219960124250X"</f>
        <v>45092219960124250X</v>
      </c>
      <c r="D17341" t="s">
        <v>16505</v>
      </c>
      <c r="E17341" t="s">
        <v>16506</v>
      </c>
      <c r="F17341" t="s">
        <v>0</v>
      </c>
      <c r="G17341" t="str">
        <f>"2018-10-11 19:03:31"</f>
        <v>2018-10-11 19:03:31</v>
      </c>
    </row>
    <row r="17342" spans="1:7" x14ac:dyDescent="0.2">
      <c r="A17342" t="s">
        <v>16507</v>
      </c>
      <c r="B17342" t="str">
        <f>"13686488875"</f>
        <v>13686488875</v>
      </c>
      <c r="C17342" t="str">
        <f>"36012319830816131X"</f>
        <v>36012319830816131X</v>
      </c>
      <c r="D17342" t="s">
        <v>1</v>
      </c>
      <c r="E17342" t="s">
        <v>1</v>
      </c>
      <c r="F17342" t="s">
        <v>0</v>
      </c>
      <c r="G17342" t="str">
        <f>"2018-10-11 19:15:22"</f>
        <v>2018-10-11 19:15:22</v>
      </c>
    </row>
    <row r="17343" spans="1:7" x14ac:dyDescent="0.2">
      <c r="A17343" t="s">
        <v>1</v>
      </c>
      <c r="B17343" t="str">
        <f>"15977569938"</f>
        <v>15977569938</v>
      </c>
      <c r="C17343" t="s">
        <v>1</v>
      </c>
      <c r="D17343" t="s">
        <v>1</v>
      </c>
      <c r="E17343" t="s">
        <v>1</v>
      </c>
      <c r="F17343" t="s">
        <v>0</v>
      </c>
      <c r="G17343" t="str">
        <f>"2018-10-11 19:01:17"</f>
        <v>2018-10-11 19:01:17</v>
      </c>
    </row>
    <row r="17344" spans="1:7" x14ac:dyDescent="0.2">
      <c r="A17344" t="s">
        <v>1</v>
      </c>
      <c r="B17344" t="str">
        <f>"18224941355"</f>
        <v>18224941355</v>
      </c>
      <c r="C17344" t="s">
        <v>1</v>
      </c>
      <c r="D17344" t="s">
        <v>1</v>
      </c>
      <c r="E17344" t="s">
        <v>1</v>
      </c>
      <c r="F17344" t="s">
        <v>0</v>
      </c>
      <c r="G17344" t="str">
        <f>"2018-10-11 19:00:19"</f>
        <v>2018-10-11 19:00:19</v>
      </c>
    </row>
    <row r="17345" spans="1:7" x14ac:dyDescent="0.2">
      <c r="A17345" t="s">
        <v>16508</v>
      </c>
      <c r="B17345" t="str">
        <f>"13979920024"</f>
        <v>13979920024</v>
      </c>
      <c r="C17345" t="str">
        <f>"360311197806154076"</f>
        <v>360311197806154076</v>
      </c>
      <c r="D17345" t="s">
        <v>1</v>
      </c>
      <c r="E17345" t="s">
        <v>1</v>
      </c>
      <c r="F17345" t="s">
        <v>0</v>
      </c>
      <c r="G17345" t="str">
        <f>"2018-10-11 19:00:43"</f>
        <v>2018-10-11 19:00:43</v>
      </c>
    </row>
    <row r="17346" spans="1:7" x14ac:dyDescent="0.2">
      <c r="A17346" t="s">
        <v>1</v>
      </c>
      <c r="B17346" t="str">
        <f>"18231731218"</f>
        <v>18231731218</v>
      </c>
      <c r="C17346" t="s">
        <v>1</v>
      </c>
      <c r="D17346" t="s">
        <v>1</v>
      </c>
      <c r="E17346" t="s">
        <v>1</v>
      </c>
      <c r="F17346" t="s">
        <v>0</v>
      </c>
      <c r="G17346" t="str">
        <f>"2018-10-11 19:00:03"</f>
        <v>2018-10-11 19:00:03</v>
      </c>
    </row>
    <row r="17347" spans="1:7" x14ac:dyDescent="0.2">
      <c r="A17347" t="s">
        <v>16509</v>
      </c>
      <c r="B17347" t="str">
        <f>"18588711747"</f>
        <v>18588711747</v>
      </c>
      <c r="C17347" t="str">
        <f>"452624199505091375"</f>
        <v>452624199505091375</v>
      </c>
      <c r="D17347" t="s">
        <v>1</v>
      </c>
      <c r="E17347" t="s">
        <v>1</v>
      </c>
      <c r="F17347" t="s">
        <v>0</v>
      </c>
      <c r="G17347" t="str">
        <f>"2018-10-11 18:59:07"</f>
        <v>2018-10-11 18:59:07</v>
      </c>
    </row>
    <row r="17348" spans="1:7" x14ac:dyDescent="0.2">
      <c r="A17348" t="s">
        <v>16510</v>
      </c>
      <c r="B17348" t="str">
        <f>"13873024182"</f>
        <v>13873024182</v>
      </c>
      <c r="C17348" t="str">
        <f>"430602197812045018"</f>
        <v>430602197812045018</v>
      </c>
      <c r="D17348" t="s">
        <v>1</v>
      </c>
      <c r="E17348" t="s">
        <v>1</v>
      </c>
      <c r="F17348" t="s">
        <v>0</v>
      </c>
      <c r="G17348" t="str">
        <f>"2018-10-11 18:59:28"</f>
        <v>2018-10-11 18:59:28</v>
      </c>
    </row>
    <row r="17349" spans="1:7" x14ac:dyDescent="0.2">
      <c r="A17349" t="s">
        <v>1</v>
      </c>
      <c r="B17349" t="str">
        <f>"18879786291"</f>
        <v>18879786291</v>
      </c>
      <c r="C17349" t="s">
        <v>1</v>
      </c>
      <c r="D17349" t="s">
        <v>1</v>
      </c>
      <c r="E17349" t="s">
        <v>1</v>
      </c>
      <c r="F17349" t="s">
        <v>0</v>
      </c>
      <c r="G17349" t="str">
        <f>"2018-10-11 18:54:53"</f>
        <v>2018-10-11 18:54:53</v>
      </c>
    </row>
    <row r="17350" spans="1:7" x14ac:dyDescent="0.2">
      <c r="A17350" t="s">
        <v>16511</v>
      </c>
      <c r="B17350" t="str">
        <f>"18605944873"</f>
        <v>18605944873</v>
      </c>
      <c r="C17350" t="str">
        <f>"350322198207195919"</f>
        <v>350322198207195919</v>
      </c>
      <c r="D17350" t="s">
        <v>1</v>
      </c>
      <c r="E17350" t="s">
        <v>1</v>
      </c>
      <c r="F17350" t="s">
        <v>0</v>
      </c>
      <c r="G17350" t="str">
        <f>"2018-10-12 11:59:19"</f>
        <v>2018-10-12 11:59:19</v>
      </c>
    </row>
    <row r="17351" spans="1:7" x14ac:dyDescent="0.2">
      <c r="A17351" t="s">
        <v>16512</v>
      </c>
      <c r="B17351" t="str">
        <f>"18009277646"</f>
        <v>18009277646</v>
      </c>
      <c r="C17351" t="str">
        <f>"610122198606174923"</f>
        <v>610122198606174923</v>
      </c>
      <c r="D17351" t="s">
        <v>1</v>
      </c>
      <c r="E17351" t="s">
        <v>1</v>
      </c>
      <c r="F17351" t="s">
        <v>0</v>
      </c>
      <c r="G17351" t="str">
        <f>"2018-10-11 18:54:32"</f>
        <v>2018-10-11 18:54:32</v>
      </c>
    </row>
    <row r="17352" spans="1:7" x14ac:dyDescent="0.2">
      <c r="A17352" t="s">
        <v>16513</v>
      </c>
      <c r="B17352" t="str">
        <f>"18959751895"</f>
        <v>18959751895</v>
      </c>
      <c r="C17352" t="str">
        <f>"350500197704164513"</f>
        <v>350500197704164513</v>
      </c>
      <c r="D17352" t="s">
        <v>1</v>
      </c>
      <c r="E17352" t="s">
        <v>1</v>
      </c>
      <c r="F17352" t="s">
        <v>0</v>
      </c>
      <c r="G17352" t="str">
        <f>"2018-10-11 18:55:05"</f>
        <v>2018-10-11 18:55:05</v>
      </c>
    </row>
    <row r="17353" spans="1:7" x14ac:dyDescent="0.2">
      <c r="A17353" t="s">
        <v>16514</v>
      </c>
      <c r="B17353" t="str">
        <f>"18321515081"</f>
        <v>18321515081</v>
      </c>
      <c r="C17353" t="str">
        <f>"320282199107195874"</f>
        <v>320282199107195874</v>
      </c>
      <c r="D17353" t="s">
        <v>1</v>
      </c>
      <c r="E17353" t="s">
        <v>1</v>
      </c>
      <c r="F17353" t="s">
        <v>0</v>
      </c>
      <c r="G17353" t="str">
        <f>"2018-10-11 18:53:55"</f>
        <v>2018-10-11 18:53:55</v>
      </c>
    </row>
    <row r="17354" spans="1:7" x14ac:dyDescent="0.2">
      <c r="A17354" t="s">
        <v>16515</v>
      </c>
      <c r="B17354" t="str">
        <f>"13841816546"</f>
        <v>13841816546</v>
      </c>
      <c r="C17354" t="str">
        <f>"210921198604154331"</f>
        <v>210921198604154331</v>
      </c>
      <c r="D17354" t="s">
        <v>1</v>
      </c>
      <c r="E17354" t="s">
        <v>1</v>
      </c>
      <c r="F17354" t="s">
        <v>0</v>
      </c>
      <c r="G17354" t="str">
        <f>"2018-10-11 18:55:37"</f>
        <v>2018-10-11 18:55:37</v>
      </c>
    </row>
    <row r="17355" spans="1:7" x14ac:dyDescent="0.2">
      <c r="A17355" t="s">
        <v>1832</v>
      </c>
      <c r="B17355" t="str">
        <f>"15809814361"</f>
        <v>15809814361</v>
      </c>
      <c r="C17355" t="str">
        <f>"211004199503197834"</f>
        <v>211004199503197834</v>
      </c>
      <c r="D17355" t="s">
        <v>1</v>
      </c>
      <c r="E17355" t="s">
        <v>1</v>
      </c>
      <c r="F17355" t="s">
        <v>0</v>
      </c>
      <c r="G17355" t="str">
        <f>"2018-10-11 18:52:59"</f>
        <v>2018-10-11 18:52:59</v>
      </c>
    </row>
    <row r="17356" spans="1:7" x14ac:dyDescent="0.2">
      <c r="A17356" t="s">
        <v>1</v>
      </c>
      <c r="B17356" t="str">
        <f>"13428086503"</f>
        <v>13428086503</v>
      </c>
      <c r="C17356" t="s">
        <v>1</v>
      </c>
      <c r="D17356" t="s">
        <v>1</v>
      </c>
      <c r="E17356" t="s">
        <v>1</v>
      </c>
      <c r="F17356" t="s">
        <v>0</v>
      </c>
      <c r="G17356" t="str">
        <f>"2018-10-11 18:51:49"</f>
        <v>2018-10-11 18:51:49</v>
      </c>
    </row>
    <row r="17357" spans="1:7" x14ac:dyDescent="0.2">
      <c r="A17357" t="s">
        <v>1</v>
      </c>
      <c r="B17357" t="str">
        <f>"13509334896"</f>
        <v>13509334896</v>
      </c>
      <c r="C17357" t="s">
        <v>1</v>
      </c>
      <c r="D17357" t="s">
        <v>1</v>
      </c>
      <c r="E17357" t="s">
        <v>1</v>
      </c>
      <c r="F17357" t="s">
        <v>0</v>
      </c>
      <c r="G17357" t="str">
        <f>"2018-10-11 18:51:33"</f>
        <v>2018-10-11 18:51:33</v>
      </c>
    </row>
    <row r="17358" spans="1:7" x14ac:dyDescent="0.2">
      <c r="A17358" t="s">
        <v>16516</v>
      </c>
      <c r="B17358" t="str">
        <f>"13863819840"</f>
        <v>13863819840</v>
      </c>
      <c r="C17358" t="str">
        <f>"370611198005280067"</f>
        <v>370611198005280067</v>
      </c>
      <c r="D17358" t="s">
        <v>16517</v>
      </c>
      <c r="E17358" t="s">
        <v>16518</v>
      </c>
      <c r="F17358" t="s">
        <v>0</v>
      </c>
      <c r="G17358" t="str">
        <f>"2018-10-11 18:53:45"</f>
        <v>2018-10-11 18:53:45</v>
      </c>
    </row>
    <row r="17359" spans="1:7" x14ac:dyDescent="0.2">
      <c r="A17359" t="s">
        <v>16519</v>
      </c>
      <c r="B17359" t="str">
        <f>"13438835957"</f>
        <v>13438835957</v>
      </c>
      <c r="C17359" t="str">
        <f>"342422198209112588"</f>
        <v>342422198209112588</v>
      </c>
      <c r="D17359" t="s">
        <v>1</v>
      </c>
      <c r="E17359" t="s">
        <v>1</v>
      </c>
      <c r="F17359" t="s">
        <v>0</v>
      </c>
      <c r="G17359" t="str">
        <f>"2018-10-11 18:51:41"</f>
        <v>2018-10-11 18:51:41</v>
      </c>
    </row>
    <row r="17360" spans="1:7" x14ac:dyDescent="0.2">
      <c r="A17360" t="s">
        <v>16520</v>
      </c>
      <c r="B17360" t="str">
        <f>"18870181651"</f>
        <v>18870181651</v>
      </c>
      <c r="C17360" t="str">
        <f>"360602199410051010"</f>
        <v>360602199410051010</v>
      </c>
      <c r="D17360" t="s">
        <v>1</v>
      </c>
      <c r="E17360" t="s">
        <v>1</v>
      </c>
      <c r="F17360" t="s">
        <v>0</v>
      </c>
      <c r="G17360" t="str">
        <f>"2018-10-11 18:52:47"</f>
        <v>2018-10-11 18:52:47</v>
      </c>
    </row>
    <row r="17361" spans="1:7" x14ac:dyDescent="0.2">
      <c r="A17361" t="s">
        <v>16521</v>
      </c>
      <c r="B17361" t="str">
        <f>"18688359934"</f>
        <v>18688359934</v>
      </c>
      <c r="C17361" t="str">
        <f>"441702199512166114"</f>
        <v>441702199512166114</v>
      </c>
      <c r="D17361" t="s">
        <v>1</v>
      </c>
      <c r="E17361" t="s">
        <v>1</v>
      </c>
      <c r="F17361" t="s">
        <v>0</v>
      </c>
      <c r="G17361" t="str">
        <f>"2018-10-12 12:17:02"</f>
        <v>2018-10-12 12:17:02</v>
      </c>
    </row>
    <row r="17362" spans="1:7" x14ac:dyDescent="0.2">
      <c r="A17362" t="s">
        <v>16522</v>
      </c>
      <c r="B17362" t="str">
        <f>"15029012570"</f>
        <v>15029012570</v>
      </c>
      <c r="C17362" t="str">
        <f>"61048119861122192X"</f>
        <v>61048119861122192X</v>
      </c>
      <c r="D17362" t="s">
        <v>1</v>
      </c>
      <c r="E17362" t="s">
        <v>1</v>
      </c>
      <c r="F17362" t="s">
        <v>0</v>
      </c>
      <c r="G17362" t="str">
        <f>"2018-10-11 18:55:39"</f>
        <v>2018-10-11 18:55:39</v>
      </c>
    </row>
    <row r="17363" spans="1:7" x14ac:dyDescent="0.2">
      <c r="A17363" t="s">
        <v>16523</v>
      </c>
      <c r="B17363" t="str">
        <f>"18613615376"</f>
        <v>18613615376</v>
      </c>
      <c r="C17363" t="str">
        <f>"372432197804084423"</f>
        <v>372432197804084423</v>
      </c>
      <c r="D17363" t="s">
        <v>1</v>
      </c>
      <c r="E17363" t="s">
        <v>1</v>
      </c>
      <c r="F17363" t="s">
        <v>0</v>
      </c>
      <c r="G17363" t="str">
        <f>"2018-10-19 12:19:09"</f>
        <v>2018-10-19 12:19:09</v>
      </c>
    </row>
    <row r="17364" spans="1:7" x14ac:dyDescent="0.2">
      <c r="A17364" t="s">
        <v>16524</v>
      </c>
      <c r="B17364" t="str">
        <f>"15992285509"</f>
        <v>15992285509</v>
      </c>
      <c r="C17364" t="str">
        <f>"440506197811250070"</f>
        <v>440506197811250070</v>
      </c>
      <c r="D17364" t="s">
        <v>1</v>
      </c>
      <c r="E17364" t="s">
        <v>1</v>
      </c>
      <c r="F17364" t="s">
        <v>0</v>
      </c>
      <c r="G17364" t="str">
        <f>"2018-10-11 18:52:24"</f>
        <v>2018-10-11 18:52:24</v>
      </c>
    </row>
    <row r="17365" spans="1:7" x14ac:dyDescent="0.2">
      <c r="A17365" t="s">
        <v>16525</v>
      </c>
      <c r="B17365" t="str">
        <f>"13596252310"</f>
        <v>13596252310</v>
      </c>
      <c r="C17365" t="str">
        <f>"220284199805115615"</f>
        <v>220284199805115615</v>
      </c>
      <c r="D17365" t="s">
        <v>1</v>
      </c>
      <c r="E17365" t="s">
        <v>1</v>
      </c>
      <c r="F17365" t="s">
        <v>0</v>
      </c>
      <c r="G17365" t="str">
        <f>"2018-10-13 03:09:34"</f>
        <v>2018-10-13 03:09:34</v>
      </c>
    </row>
    <row r="17366" spans="1:7" x14ac:dyDescent="0.2">
      <c r="A17366" t="s">
        <v>16526</v>
      </c>
      <c r="B17366" t="str">
        <f>"15395379353"</f>
        <v>15395379353</v>
      </c>
      <c r="C17366" t="str">
        <f>"34020219781127101X"</f>
        <v>34020219781127101X</v>
      </c>
      <c r="D17366" t="s">
        <v>1</v>
      </c>
      <c r="E17366" t="s">
        <v>1</v>
      </c>
      <c r="F17366" t="s">
        <v>0</v>
      </c>
      <c r="G17366" t="str">
        <f>"2018-10-11 18:48:40"</f>
        <v>2018-10-11 18:48:40</v>
      </c>
    </row>
    <row r="17367" spans="1:7" x14ac:dyDescent="0.2">
      <c r="A17367" t="s">
        <v>1</v>
      </c>
      <c r="B17367" t="str">
        <f>"15610555615"</f>
        <v>15610555615</v>
      </c>
      <c r="C17367" t="s">
        <v>1</v>
      </c>
      <c r="D17367" t="s">
        <v>1</v>
      </c>
      <c r="E17367" t="s">
        <v>1</v>
      </c>
      <c r="F17367" t="s">
        <v>0</v>
      </c>
      <c r="G17367" t="str">
        <f>"2018-10-11 18:47:16"</f>
        <v>2018-10-11 18:47:16</v>
      </c>
    </row>
    <row r="17368" spans="1:7" x14ac:dyDescent="0.2">
      <c r="A17368" t="s">
        <v>16527</v>
      </c>
      <c r="B17368" t="str">
        <f>"13439095303"</f>
        <v>13439095303</v>
      </c>
      <c r="C17368" t="str">
        <f>"622827199404045128"</f>
        <v>622827199404045128</v>
      </c>
      <c r="D17368" t="s">
        <v>1</v>
      </c>
      <c r="E17368" t="s">
        <v>1</v>
      </c>
      <c r="F17368" t="s">
        <v>0</v>
      </c>
      <c r="G17368" t="str">
        <f>"2018-10-11 18:49:36"</f>
        <v>2018-10-11 18:49:36</v>
      </c>
    </row>
    <row r="17369" spans="1:7" x14ac:dyDescent="0.2">
      <c r="A17369" t="s">
        <v>16528</v>
      </c>
      <c r="B17369" t="str">
        <f>"15665716123"</f>
        <v>15665716123</v>
      </c>
      <c r="C17369" t="str">
        <f>"370123199004133420"</f>
        <v>370123199004133420</v>
      </c>
      <c r="D17369" t="s">
        <v>1</v>
      </c>
      <c r="E17369" t="s">
        <v>1</v>
      </c>
      <c r="F17369" t="s">
        <v>0</v>
      </c>
      <c r="G17369" t="str">
        <f>"2018-10-12 10:54:29"</f>
        <v>2018-10-12 10:54:29</v>
      </c>
    </row>
    <row r="17370" spans="1:7" x14ac:dyDescent="0.2">
      <c r="A17370" t="s">
        <v>16529</v>
      </c>
      <c r="B17370" t="str">
        <f>"15938107237"</f>
        <v>15938107237</v>
      </c>
      <c r="C17370" t="str">
        <f>"410883198405224510"</f>
        <v>410883198405224510</v>
      </c>
      <c r="D17370" t="s">
        <v>1</v>
      </c>
      <c r="E17370" t="s">
        <v>1</v>
      </c>
      <c r="F17370" t="s">
        <v>0</v>
      </c>
      <c r="G17370" t="str">
        <f>"2018-10-11 18:47:41"</f>
        <v>2018-10-11 18:47:41</v>
      </c>
    </row>
    <row r="17371" spans="1:7" x14ac:dyDescent="0.2">
      <c r="A17371" t="s">
        <v>16530</v>
      </c>
      <c r="B17371" t="str">
        <f>"15890360534"</f>
        <v>15890360534</v>
      </c>
      <c r="C17371" t="str">
        <f>"410203199403191524"</f>
        <v>410203199403191524</v>
      </c>
      <c r="D17371" t="s">
        <v>1</v>
      </c>
      <c r="E17371" t="s">
        <v>1</v>
      </c>
      <c r="F17371" t="s">
        <v>0</v>
      </c>
      <c r="G17371" t="str">
        <f>"2018-10-31 13:29:37"</f>
        <v>2018-10-31 13:29:37</v>
      </c>
    </row>
    <row r="17372" spans="1:7" x14ac:dyDescent="0.2">
      <c r="A17372" t="s">
        <v>16531</v>
      </c>
      <c r="B17372" t="str">
        <f>"17854910965"</f>
        <v>17854910965</v>
      </c>
      <c r="C17372" t="str">
        <f>"371312199409194822"</f>
        <v>371312199409194822</v>
      </c>
      <c r="D17372" t="s">
        <v>1</v>
      </c>
      <c r="E17372" t="s">
        <v>1</v>
      </c>
      <c r="F17372" t="s">
        <v>0</v>
      </c>
      <c r="G17372" t="str">
        <f>"2018-10-11 20:27:01"</f>
        <v>2018-10-11 20:27:01</v>
      </c>
    </row>
    <row r="17373" spans="1:7" x14ac:dyDescent="0.2">
      <c r="A17373" t="s">
        <v>1</v>
      </c>
      <c r="B17373" t="str">
        <f>"18630508533"</f>
        <v>18630508533</v>
      </c>
      <c r="C17373" t="s">
        <v>1</v>
      </c>
      <c r="D17373" t="s">
        <v>1</v>
      </c>
      <c r="E17373" t="s">
        <v>1</v>
      </c>
      <c r="F17373" t="s">
        <v>0</v>
      </c>
      <c r="G17373" t="str">
        <f>"2018-10-11 18:41:37"</f>
        <v>2018-10-11 18:41:37</v>
      </c>
    </row>
    <row r="17374" spans="1:7" x14ac:dyDescent="0.2">
      <c r="A17374" t="s">
        <v>1</v>
      </c>
      <c r="B17374" t="str">
        <f>"18798672005"</f>
        <v>18798672005</v>
      </c>
      <c r="C17374" t="s">
        <v>1</v>
      </c>
      <c r="D17374" t="s">
        <v>1</v>
      </c>
      <c r="E17374" t="s">
        <v>1</v>
      </c>
      <c r="F17374" t="s">
        <v>0</v>
      </c>
      <c r="G17374" t="str">
        <f>"2018-10-11 18:41:35"</f>
        <v>2018-10-11 18:41:35</v>
      </c>
    </row>
    <row r="17375" spans="1:7" x14ac:dyDescent="0.2">
      <c r="A17375" t="s">
        <v>16532</v>
      </c>
      <c r="B17375" t="str">
        <f>"13405353915"</f>
        <v>13405353915</v>
      </c>
      <c r="C17375" t="str">
        <f>"370686198701274112"</f>
        <v>370686198701274112</v>
      </c>
      <c r="D17375" t="s">
        <v>1</v>
      </c>
      <c r="E17375" t="s">
        <v>1</v>
      </c>
      <c r="F17375" t="s">
        <v>0</v>
      </c>
      <c r="G17375" t="str">
        <f>"2018-10-11 18:42:50"</f>
        <v>2018-10-11 18:42:50</v>
      </c>
    </row>
    <row r="17376" spans="1:7" x14ac:dyDescent="0.2">
      <c r="A17376" t="s">
        <v>16533</v>
      </c>
      <c r="B17376" t="str">
        <f>"15105072557"</f>
        <v>15105072557</v>
      </c>
      <c r="C17376" t="str">
        <f>"350784199009252017"</f>
        <v>350784199009252017</v>
      </c>
      <c r="D17376" t="s">
        <v>1</v>
      </c>
      <c r="E17376" t="s">
        <v>1</v>
      </c>
      <c r="F17376" t="s">
        <v>0</v>
      </c>
      <c r="G17376" t="str">
        <f>"2018-10-11 18:40:57"</f>
        <v>2018-10-11 18:40:57</v>
      </c>
    </row>
    <row r="17377" spans="1:7" x14ac:dyDescent="0.2">
      <c r="A17377" t="s">
        <v>16534</v>
      </c>
      <c r="B17377" t="str">
        <f>"15821778025"</f>
        <v>15821778025</v>
      </c>
      <c r="C17377" t="str">
        <f>"320203198004280013"</f>
        <v>320203198004280013</v>
      </c>
      <c r="D17377" t="s">
        <v>1</v>
      </c>
      <c r="E17377" t="s">
        <v>1</v>
      </c>
      <c r="F17377" t="s">
        <v>0</v>
      </c>
      <c r="G17377" t="str">
        <f>"2018-10-28 19:12:48"</f>
        <v>2018-10-28 19:12:48</v>
      </c>
    </row>
    <row r="17378" spans="1:7" x14ac:dyDescent="0.2">
      <c r="A17378" t="s">
        <v>1</v>
      </c>
      <c r="B17378" t="str">
        <f>"18190124792"</f>
        <v>18190124792</v>
      </c>
      <c r="C17378" t="s">
        <v>1</v>
      </c>
      <c r="D17378" t="s">
        <v>1</v>
      </c>
      <c r="E17378" t="s">
        <v>1</v>
      </c>
      <c r="F17378" t="s">
        <v>0</v>
      </c>
      <c r="G17378" t="str">
        <f>"2018-10-11 18:43:01"</f>
        <v>2018-10-11 18:43:01</v>
      </c>
    </row>
    <row r="17379" spans="1:7" x14ac:dyDescent="0.2">
      <c r="A17379" t="s">
        <v>16535</v>
      </c>
      <c r="B17379" t="str">
        <f>"17542919376"</f>
        <v>17542919376</v>
      </c>
      <c r="C17379" t="str">
        <f>"211402199108025310"</f>
        <v>211402199108025310</v>
      </c>
      <c r="D17379" t="s">
        <v>1</v>
      </c>
      <c r="E17379" t="s">
        <v>1</v>
      </c>
      <c r="F17379" t="s">
        <v>0</v>
      </c>
      <c r="G17379" t="str">
        <f>"2018-10-11 18:39:20"</f>
        <v>2018-10-11 18:39:20</v>
      </c>
    </row>
    <row r="17380" spans="1:7" x14ac:dyDescent="0.2">
      <c r="A17380" t="s">
        <v>1</v>
      </c>
      <c r="B17380" t="str">
        <f>"18715090728"</f>
        <v>18715090728</v>
      </c>
      <c r="C17380" t="s">
        <v>1</v>
      </c>
      <c r="D17380" t="s">
        <v>1</v>
      </c>
      <c r="E17380" t="s">
        <v>1</v>
      </c>
      <c r="F17380" t="s">
        <v>0</v>
      </c>
      <c r="G17380" t="str">
        <f>"2018-10-11 18:41:47"</f>
        <v>2018-10-11 18:41:47</v>
      </c>
    </row>
    <row r="17381" spans="1:7" x14ac:dyDescent="0.2">
      <c r="A17381" t="s">
        <v>16536</v>
      </c>
      <c r="B17381" t="str">
        <f>"15069938598"</f>
        <v>15069938598</v>
      </c>
      <c r="C17381" t="str">
        <f>"371329198901291520"</f>
        <v>371329198901291520</v>
      </c>
      <c r="D17381" t="s">
        <v>1</v>
      </c>
      <c r="E17381" t="s">
        <v>1</v>
      </c>
      <c r="F17381" t="s">
        <v>0</v>
      </c>
      <c r="G17381" t="str">
        <f>"2018-10-11 19:03:27"</f>
        <v>2018-10-11 19:03:27</v>
      </c>
    </row>
    <row r="17382" spans="1:7" x14ac:dyDescent="0.2">
      <c r="A17382" t="s">
        <v>16537</v>
      </c>
      <c r="B17382" t="str">
        <f>"18053702362"</f>
        <v>18053702362</v>
      </c>
      <c r="C17382" t="str">
        <f>"370827196603280836"</f>
        <v>370827196603280836</v>
      </c>
      <c r="D17382" t="s">
        <v>16538</v>
      </c>
      <c r="E17382" t="s">
        <v>16539</v>
      </c>
      <c r="F17382" t="s">
        <v>0</v>
      </c>
      <c r="G17382" t="str">
        <f>"2018-10-11 18:49:21"</f>
        <v>2018-10-11 18:49:21</v>
      </c>
    </row>
    <row r="17383" spans="1:7" x14ac:dyDescent="0.2">
      <c r="A17383" t="s">
        <v>5559</v>
      </c>
      <c r="B17383" t="str">
        <f>"15022679792"</f>
        <v>15022679792</v>
      </c>
      <c r="C17383" t="str">
        <f>"231281199612198518"</f>
        <v>231281199612198518</v>
      </c>
      <c r="D17383" t="s">
        <v>1</v>
      </c>
      <c r="E17383" t="s">
        <v>1</v>
      </c>
      <c r="F17383" t="s">
        <v>0</v>
      </c>
      <c r="G17383" t="str">
        <f>"2018-10-11 18:37:43"</f>
        <v>2018-10-11 18:37:43</v>
      </c>
    </row>
    <row r="17384" spans="1:7" x14ac:dyDescent="0.2">
      <c r="A17384" t="s">
        <v>16540</v>
      </c>
      <c r="B17384" t="str">
        <f>"18869130368"</f>
        <v>18869130368</v>
      </c>
      <c r="C17384" t="str">
        <f>"532823198303052140"</f>
        <v>532823198303052140</v>
      </c>
      <c r="D17384" t="s">
        <v>1</v>
      </c>
      <c r="E17384" t="s">
        <v>1</v>
      </c>
      <c r="F17384" t="s">
        <v>0</v>
      </c>
      <c r="G17384" t="str">
        <f>"2018-10-11 18:37:50"</f>
        <v>2018-10-11 18:37:50</v>
      </c>
    </row>
    <row r="17385" spans="1:7" x14ac:dyDescent="0.2">
      <c r="A17385" t="s">
        <v>1</v>
      </c>
      <c r="B17385" t="str">
        <f>"15578447319"</f>
        <v>15578447319</v>
      </c>
      <c r="C17385" t="s">
        <v>1</v>
      </c>
      <c r="D17385" t="s">
        <v>1</v>
      </c>
      <c r="E17385" t="s">
        <v>1</v>
      </c>
      <c r="F17385" t="s">
        <v>0</v>
      </c>
      <c r="G17385" t="str">
        <f>"2018-10-11 18:35:54"</f>
        <v>2018-10-11 18:35:54</v>
      </c>
    </row>
    <row r="17386" spans="1:7" x14ac:dyDescent="0.2">
      <c r="A17386" t="s">
        <v>16541</v>
      </c>
      <c r="B17386" t="str">
        <f>"18376375496"</f>
        <v>18376375496</v>
      </c>
      <c r="C17386" t="str">
        <f>"450328199911202410"</f>
        <v>450328199911202410</v>
      </c>
      <c r="D17386" t="s">
        <v>1</v>
      </c>
      <c r="E17386" t="s">
        <v>1</v>
      </c>
      <c r="F17386" t="s">
        <v>0</v>
      </c>
      <c r="G17386" t="str">
        <f>"2018-10-11 18:35:37"</f>
        <v>2018-10-11 18:35:37</v>
      </c>
    </row>
    <row r="17387" spans="1:7" x14ac:dyDescent="0.2">
      <c r="A17387" t="s">
        <v>16542</v>
      </c>
      <c r="B17387" t="str">
        <f>"18073950103"</f>
        <v>18073950103</v>
      </c>
      <c r="C17387" t="str">
        <f>"430528198412150014"</f>
        <v>430528198412150014</v>
      </c>
      <c r="D17387" t="s">
        <v>1</v>
      </c>
      <c r="E17387" t="s">
        <v>1</v>
      </c>
      <c r="F17387" t="s">
        <v>0</v>
      </c>
      <c r="G17387" t="str">
        <f>"2018-10-11 19:00:04"</f>
        <v>2018-10-11 19:00:04</v>
      </c>
    </row>
    <row r="17388" spans="1:7" x14ac:dyDescent="0.2">
      <c r="A17388" t="s">
        <v>16543</v>
      </c>
      <c r="B17388" t="str">
        <f>"13710817609"</f>
        <v>13710817609</v>
      </c>
      <c r="C17388" t="str">
        <f>"421023199308222019"</f>
        <v>421023199308222019</v>
      </c>
      <c r="D17388" t="s">
        <v>1</v>
      </c>
      <c r="E17388" t="s">
        <v>1</v>
      </c>
      <c r="F17388" t="s">
        <v>0</v>
      </c>
      <c r="G17388" t="str">
        <f>"2018-10-11 18:36:38"</f>
        <v>2018-10-11 18:36:38</v>
      </c>
    </row>
    <row r="17389" spans="1:7" x14ac:dyDescent="0.2">
      <c r="A17389" t="s">
        <v>16544</v>
      </c>
      <c r="B17389" t="str">
        <f>"13827175168"</f>
        <v>13827175168</v>
      </c>
      <c r="C17389" t="str">
        <f>"440823199308092775"</f>
        <v>440823199308092775</v>
      </c>
      <c r="D17389" t="s">
        <v>1</v>
      </c>
      <c r="E17389" t="s">
        <v>1</v>
      </c>
      <c r="F17389" t="s">
        <v>0</v>
      </c>
      <c r="G17389" t="str">
        <f>"2018-10-11 19:11:52"</f>
        <v>2018-10-11 19:11:52</v>
      </c>
    </row>
    <row r="17390" spans="1:7" x14ac:dyDescent="0.2">
      <c r="A17390" t="s">
        <v>16545</v>
      </c>
      <c r="B17390" t="str">
        <f>"15813927549"</f>
        <v>15813927549</v>
      </c>
      <c r="C17390" t="str">
        <f>"441581199511304743"</f>
        <v>441581199511304743</v>
      </c>
      <c r="D17390" t="s">
        <v>1</v>
      </c>
      <c r="E17390" t="s">
        <v>1</v>
      </c>
      <c r="F17390" t="s">
        <v>0</v>
      </c>
      <c r="G17390" t="str">
        <f>"2018-10-11 21:29:04"</f>
        <v>2018-10-11 21:29:04</v>
      </c>
    </row>
    <row r="17391" spans="1:7" x14ac:dyDescent="0.2">
      <c r="A17391" t="s">
        <v>1</v>
      </c>
      <c r="B17391" t="str">
        <f>"15959076339"</f>
        <v>15959076339</v>
      </c>
      <c r="C17391" t="s">
        <v>1</v>
      </c>
      <c r="D17391" t="s">
        <v>1</v>
      </c>
      <c r="E17391" t="s">
        <v>1</v>
      </c>
      <c r="F17391" t="s">
        <v>0</v>
      </c>
      <c r="G17391" t="str">
        <f>"2018-10-11 18:31:08"</f>
        <v>2018-10-11 18:31:08</v>
      </c>
    </row>
    <row r="17392" spans="1:7" x14ac:dyDescent="0.2">
      <c r="A17392" t="s">
        <v>16546</v>
      </c>
      <c r="B17392" t="str">
        <f>"13728159033"</f>
        <v>13728159033</v>
      </c>
      <c r="C17392" t="str">
        <f>"440981199510204418"</f>
        <v>440981199510204418</v>
      </c>
      <c r="D17392" t="s">
        <v>1</v>
      </c>
      <c r="E17392" t="s">
        <v>1</v>
      </c>
      <c r="F17392" t="s">
        <v>0</v>
      </c>
      <c r="G17392" t="str">
        <f>"2018-10-11 18:45:14"</f>
        <v>2018-10-11 18:45:14</v>
      </c>
    </row>
    <row r="17393" spans="1:7" x14ac:dyDescent="0.2">
      <c r="A17393" t="s">
        <v>16547</v>
      </c>
      <c r="B17393" t="str">
        <f>"17681736985"</f>
        <v>17681736985</v>
      </c>
      <c r="C17393" t="str">
        <f>"411524199006055675"</f>
        <v>411524199006055675</v>
      </c>
      <c r="D17393" t="s">
        <v>1</v>
      </c>
      <c r="E17393" t="s">
        <v>1</v>
      </c>
      <c r="F17393" t="s">
        <v>0</v>
      </c>
      <c r="G17393" t="str">
        <f>"2018-10-13 18:13:48"</f>
        <v>2018-10-13 18:13:48</v>
      </c>
    </row>
    <row r="17394" spans="1:7" x14ac:dyDescent="0.2">
      <c r="A17394" t="s">
        <v>5782</v>
      </c>
      <c r="B17394" t="str">
        <f>"13682037781"</f>
        <v>13682037781</v>
      </c>
      <c r="C17394" t="str">
        <f>"371326199601090415"</f>
        <v>371326199601090415</v>
      </c>
      <c r="D17394" t="s">
        <v>1</v>
      </c>
      <c r="E17394" t="s">
        <v>1</v>
      </c>
      <c r="F17394" t="s">
        <v>0</v>
      </c>
      <c r="G17394" t="str">
        <f>"2018-10-11 18:31:41"</f>
        <v>2018-10-11 18:31:41</v>
      </c>
    </row>
    <row r="17395" spans="1:7" x14ac:dyDescent="0.2">
      <c r="A17395" t="s">
        <v>16548</v>
      </c>
      <c r="B17395" t="str">
        <f>"13503770713"</f>
        <v>13503770713</v>
      </c>
      <c r="C17395" t="str">
        <f>"411323198808120553"</f>
        <v>411323198808120553</v>
      </c>
      <c r="D17395" t="s">
        <v>1</v>
      </c>
      <c r="E17395" t="s">
        <v>1</v>
      </c>
      <c r="F17395" t="s">
        <v>0</v>
      </c>
      <c r="G17395" t="str">
        <f>"2018-10-11 18:31:15"</f>
        <v>2018-10-11 18:31:15</v>
      </c>
    </row>
    <row r="17396" spans="1:7" x14ac:dyDescent="0.2">
      <c r="A17396" t="s">
        <v>16549</v>
      </c>
      <c r="B17396" t="str">
        <f>"13120207371"</f>
        <v>13120207371</v>
      </c>
      <c r="C17396" t="str">
        <f>"410222198505066032"</f>
        <v>410222198505066032</v>
      </c>
      <c r="D17396" t="s">
        <v>16550</v>
      </c>
      <c r="E17396" t="s">
        <v>16551</v>
      </c>
      <c r="F17396" t="s">
        <v>0</v>
      </c>
      <c r="G17396" t="str">
        <f>"2018-10-11 18:28:29"</f>
        <v>2018-10-11 18:28:29</v>
      </c>
    </row>
    <row r="17397" spans="1:7" x14ac:dyDescent="0.2">
      <c r="A17397" t="s">
        <v>1448</v>
      </c>
      <c r="B17397" t="str">
        <f>"15320712507"</f>
        <v>15320712507</v>
      </c>
      <c r="C17397" t="str">
        <f>"500101199006120611"</f>
        <v>500101199006120611</v>
      </c>
      <c r="D17397" t="s">
        <v>1</v>
      </c>
      <c r="E17397" t="s">
        <v>1</v>
      </c>
      <c r="F17397" t="s">
        <v>0</v>
      </c>
      <c r="G17397" t="str">
        <f>"2018-10-14 12:59:15"</f>
        <v>2018-10-14 12:59:15</v>
      </c>
    </row>
    <row r="17398" spans="1:7" x14ac:dyDescent="0.2">
      <c r="A17398" t="s">
        <v>1010</v>
      </c>
      <c r="B17398" t="str">
        <f>"18806107886"</f>
        <v>18806107886</v>
      </c>
      <c r="C17398" t="str">
        <f>"321102198602041513"</f>
        <v>321102198602041513</v>
      </c>
      <c r="D17398" t="s">
        <v>1</v>
      </c>
      <c r="E17398" t="s">
        <v>1</v>
      </c>
      <c r="F17398" t="s">
        <v>0</v>
      </c>
      <c r="G17398" t="str">
        <f>"2018-10-11 18:29:38"</f>
        <v>2018-10-11 18:29:38</v>
      </c>
    </row>
    <row r="17399" spans="1:7" x14ac:dyDescent="0.2">
      <c r="A17399" t="s">
        <v>1974</v>
      </c>
      <c r="B17399" t="str">
        <f>"18606143883"</f>
        <v>18606143883</v>
      </c>
      <c r="C17399" t="str">
        <f>"32060219901228054X"</f>
        <v>32060219901228054X</v>
      </c>
      <c r="D17399" t="s">
        <v>1</v>
      </c>
      <c r="E17399" t="s">
        <v>1</v>
      </c>
      <c r="F17399" t="s">
        <v>0</v>
      </c>
      <c r="G17399" t="str">
        <f>"2018-10-11 18:29:15"</f>
        <v>2018-10-11 18:29:15</v>
      </c>
    </row>
    <row r="17400" spans="1:7" x14ac:dyDescent="0.2">
      <c r="A17400" t="s">
        <v>16552</v>
      </c>
      <c r="B17400" t="str">
        <f>"13620483822"</f>
        <v>13620483822</v>
      </c>
      <c r="C17400" t="str">
        <f>"441323199401064051"</f>
        <v>441323199401064051</v>
      </c>
      <c r="D17400" t="s">
        <v>1</v>
      </c>
      <c r="E17400" t="s">
        <v>1</v>
      </c>
      <c r="F17400" t="s">
        <v>0</v>
      </c>
      <c r="G17400" t="str">
        <f>"2018-10-11 18:27:43"</f>
        <v>2018-10-11 18:27:43</v>
      </c>
    </row>
    <row r="17401" spans="1:7" x14ac:dyDescent="0.2">
      <c r="A17401" t="s">
        <v>16553</v>
      </c>
      <c r="B17401" t="str">
        <f>"15002054841"</f>
        <v>15002054841</v>
      </c>
      <c r="C17401" t="str">
        <f>"360781199612164225"</f>
        <v>360781199612164225</v>
      </c>
      <c r="D17401" t="s">
        <v>1</v>
      </c>
      <c r="E17401" t="s">
        <v>1</v>
      </c>
      <c r="F17401" t="s">
        <v>0</v>
      </c>
      <c r="G17401" t="str">
        <f>"2018-10-11 18:29:11"</f>
        <v>2018-10-11 18:29:11</v>
      </c>
    </row>
    <row r="17402" spans="1:7" x14ac:dyDescent="0.2">
      <c r="A17402" t="s">
        <v>16554</v>
      </c>
      <c r="B17402" t="str">
        <f>"13665580330"</f>
        <v>13665580330</v>
      </c>
      <c r="C17402" t="str">
        <f>"341226198706044735"</f>
        <v>341226198706044735</v>
      </c>
      <c r="D17402" t="s">
        <v>1</v>
      </c>
      <c r="E17402" t="s">
        <v>1</v>
      </c>
      <c r="F17402" t="s">
        <v>0</v>
      </c>
      <c r="G17402" t="str">
        <f>"2018-10-11 18:31:28"</f>
        <v>2018-10-11 18:31:28</v>
      </c>
    </row>
    <row r="17403" spans="1:7" x14ac:dyDescent="0.2">
      <c r="A17403" t="s">
        <v>16555</v>
      </c>
      <c r="B17403" t="str">
        <f>"15036704560"</f>
        <v>15036704560</v>
      </c>
      <c r="C17403" t="str">
        <f>"412924197502124784"</f>
        <v>412924197502124784</v>
      </c>
      <c r="D17403" t="s">
        <v>1</v>
      </c>
      <c r="E17403" t="s">
        <v>1</v>
      </c>
      <c r="F17403" t="s">
        <v>0</v>
      </c>
      <c r="G17403" t="str">
        <f>"2018-10-26 23:38:40"</f>
        <v>2018-10-26 23:38:40</v>
      </c>
    </row>
    <row r="17404" spans="1:7" x14ac:dyDescent="0.2">
      <c r="A17404" t="s">
        <v>325</v>
      </c>
      <c r="B17404" t="str">
        <f>"18876338929"</f>
        <v>18876338929</v>
      </c>
      <c r="C17404" t="str">
        <f>"350600199204240043"</f>
        <v>350600199204240043</v>
      </c>
      <c r="D17404" t="s">
        <v>1</v>
      </c>
      <c r="E17404" t="s">
        <v>1</v>
      </c>
      <c r="F17404" t="s">
        <v>0</v>
      </c>
      <c r="G17404" t="str">
        <f>"2018-10-11 18:24:40"</f>
        <v>2018-10-11 18:24:40</v>
      </c>
    </row>
    <row r="17405" spans="1:7" x14ac:dyDescent="0.2">
      <c r="A17405" t="s">
        <v>1</v>
      </c>
      <c r="B17405" t="str">
        <f>"15083895779"</f>
        <v>15083895779</v>
      </c>
      <c r="C17405" t="s">
        <v>1</v>
      </c>
      <c r="D17405" t="s">
        <v>1</v>
      </c>
      <c r="E17405" t="s">
        <v>1</v>
      </c>
      <c r="F17405" t="s">
        <v>0</v>
      </c>
      <c r="G17405" t="str">
        <f>"2018-10-11 18:23:14"</f>
        <v>2018-10-11 18:23:14</v>
      </c>
    </row>
    <row r="17406" spans="1:7" x14ac:dyDescent="0.2">
      <c r="A17406" t="s">
        <v>16556</v>
      </c>
      <c r="B17406" t="str">
        <f>"17395955678"</f>
        <v>17395955678</v>
      </c>
      <c r="C17406" t="str">
        <f>"41032919830614558X"</f>
        <v>41032919830614558X</v>
      </c>
      <c r="D17406" t="s">
        <v>1</v>
      </c>
      <c r="E17406" t="s">
        <v>1</v>
      </c>
      <c r="F17406" t="s">
        <v>0</v>
      </c>
      <c r="G17406" t="str">
        <f>"2018-10-29 22:08:54"</f>
        <v>2018-10-29 22:08:54</v>
      </c>
    </row>
    <row r="17407" spans="1:7" x14ac:dyDescent="0.2">
      <c r="A17407" t="s">
        <v>16557</v>
      </c>
      <c r="B17407" t="str">
        <f>"13044441483"</f>
        <v>13044441483</v>
      </c>
      <c r="C17407" t="str">
        <f>"140622199210069851"</f>
        <v>140622199210069851</v>
      </c>
      <c r="D17407" t="s">
        <v>16558</v>
      </c>
      <c r="E17407" t="s">
        <v>16559</v>
      </c>
      <c r="F17407" t="s">
        <v>0</v>
      </c>
      <c r="G17407" t="str">
        <f>"2018-10-13 16:40:58"</f>
        <v>2018-10-13 16:40:58</v>
      </c>
    </row>
    <row r="17408" spans="1:7" x14ac:dyDescent="0.2">
      <c r="A17408" t="s">
        <v>16560</v>
      </c>
      <c r="B17408" t="str">
        <f>"13770488998"</f>
        <v>13770488998</v>
      </c>
      <c r="C17408" t="str">
        <f>"320822198111010037"</f>
        <v>320822198111010037</v>
      </c>
      <c r="D17408" t="s">
        <v>1</v>
      </c>
      <c r="E17408" t="s">
        <v>1</v>
      </c>
      <c r="F17408" t="s">
        <v>0</v>
      </c>
      <c r="G17408" t="str">
        <f>"2018-10-11 18:25:03"</f>
        <v>2018-10-11 18:25:03</v>
      </c>
    </row>
    <row r="17409" spans="1:7" x14ac:dyDescent="0.2">
      <c r="A17409" t="s">
        <v>16561</v>
      </c>
      <c r="B17409" t="str">
        <f>"13954255953"</f>
        <v>13954255953</v>
      </c>
      <c r="C17409" t="str">
        <f>"370205199603182024"</f>
        <v>370205199603182024</v>
      </c>
      <c r="D17409" t="s">
        <v>1</v>
      </c>
      <c r="E17409" t="s">
        <v>1</v>
      </c>
      <c r="F17409" t="s">
        <v>0</v>
      </c>
      <c r="G17409" t="str">
        <f>"2018-10-11 18:21:07"</f>
        <v>2018-10-11 18:21:07</v>
      </c>
    </row>
    <row r="17410" spans="1:7" x14ac:dyDescent="0.2">
      <c r="A17410" t="s">
        <v>16562</v>
      </c>
      <c r="B17410" t="str">
        <f>"13517761336"</f>
        <v>13517761336</v>
      </c>
      <c r="C17410" t="str">
        <f>"452630198012080910"</f>
        <v>452630198012080910</v>
      </c>
      <c r="D17410" t="s">
        <v>1</v>
      </c>
      <c r="E17410" t="s">
        <v>1</v>
      </c>
      <c r="F17410" t="s">
        <v>0</v>
      </c>
      <c r="G17410" t="str">
        <f>"2018-10-11 18:22:40"</f>
        <v>2018-10-11 18:22:40</v>
      </c>
    </row>
    <row r="17411" spans="1:7" x14ac:dyDescent="0.2">
      <c r="A17411" t="s">
        <v>968</v>
      </c>
      <c r="B17411" t="str">
        <f>"13014428191"</f>
        <v>13014428191</v>
      </c>
      <c r="C17411" t="str">
        <f>"362323198802120073"</f>
        <v>362323198802120073</v>
      </c>
      <c r="D17411" t="s">
        <v>1</v>
      </c>
      <c r="E17411" t="s">
        <v>1</v>
      </c>
      <c r="F17411" t="s">
        <v>0</v>
      </c>
      <c r="G17411" t="str">
        <f>"2018-10-11 18:23:06"</f>
        <v>2018-10-11 18:23:06</v>
      </c>
    </row>
    <row r="17412" spans="1:7" x14ac:dyDescent="0.2">
      <c r="A17412" t="s">
        <v>16563</v>
      </c>
      <c r="B17412" t="str">
        <f>"15286741930"</f>
        <v>15286741930</v>
      </c>
      <c r="C17412" t="str">
        <f>"522221199410261623"</f>
        <v>522221199410261623</v>
      </c>
      <c r="D17412" t="s">
        <v>1</v>
      </c>
      <c r="E17412" t="s">
        <v>1</v>
      </c>
      <c r="F17412" t="s">
        <v>0</v>
      </c>
      <c r="G17412" t="str">
        <f>"2018-10-11 18:22:07"</f>
        <v>2018-10-11 18:22:07</v>
      </c>
    </row>
    <row r="17413" spans="1:7" x14ac:dyDescent="0.2">
      <c r="A17413" t="s">
        <v>16564</v>
      </c>
      <c r="B17413" t="str">
        <f>"18098563575"</f>
        <v>18098563575</v>
      </c>
      <c r="C17413" t="str">
        <f>"342523198606120030"</f>
        <v>342523198606120030</v>
      </c>
      <c r="D17413" t="s">
        <v>1</v>
      </c>
      <c r="E17413" t="s">
        <v>1</v>
      </c>
      <c r="F17413" t="s">
        <v>0</v>
      </c>
      <c r="G17413" t="str">
        <f>"2018-10-11 18:21:47"</f>
        <v>2018-10-11 18:21:47</v>
      </c>
    </row>
    <row r="17414" spans="1:7" x14ac:dyDescent="0.2">
      <c r="A17414" t="s">
        <v>16565</v>
      </c>
      <c r="B17414" t="str">
        <f>"17320312878"</f>
        <v>17320312878</v>
      </c>
      <c r="C17414" t="str">
        <f>"500382198608273417"</f>
        <v>500382198608273417</v>
      </c>
      <c r="D17414" t="s">
        <v>1</v>
      </c>
      <c r="E17414" t="s">
        <v>1</v>
      </c>
      <c r="F17414" t="s">
        <v>0</v>
      </c>
      <c r="G17414" t="str">
        <f>"2018-10-11 18:19:09"</f>
        <v>2018-10-11 18:19:09</v>
      </c>
    </row>
    <row r="17415" spans="1:7" x14ac:dyDescent="0.2">
      <c r="A17415" t="s">
        <v>16566</v>
      </c>
      <c r="B17415" t="str">
        <f>"18778863707"</f>
        <v>18778863707</v>
      </c>
      <c r="C17415" t="str">
        <f>"45263119931205175X"</f>
        <v>45263119931205175X</v>
      </c>
      <c r="D17415" t="s">
        <v>16567</v>
      </c>
      <c r="E17415" t="s">
        <v>16568</v>
      </c>
      <c r="F17415" t="s">
        <v>0</v>
      </c>
      <c r="G17415" t="str">
        <f>"2018-10-11 18:24:47"</f>
        <v>2018-10-11 18:24:47</v>
      </c>
    </row>
    <row r="17416" spans="1:7" x14ac:dyDescent="0.2">
      <c r="A17416" t="s">
        <v>16569</v>
      </c>
      <c r="B17416" t="str">
        <f>"18798623320"</f>
        <v>18798623320</v>
      </c>
      <c r="C17416" t="str">
        <f>"520113198003190432"</f>
        <v>520113198003190432</v>
      </c>
      <c r="D17416" t="s">
        <v>1</v>
      </c>
      <c r="E17416" t="s">
        <v>1</v>
      </c>
      <c r="F17416" t="s">
        <v>0</v>
      </c>
      <c r="G17416" t="str">
        <f>"2018-10-11 18:26:12"</f>
        <v>2018-10-11 18:26:12</v>
      </c>
    </row>
    <row r="17417" spans="1:7" x14ac:dyDescent="0.2">
      <c r="A17417" t="s">
        <v>16570</v>
      </c>
      <c r="B17417" t="str">
        <f>"15878334599"</f>
        <v>15878334599</v>
      </c>
      <c r="C17417" t="str">
        <f>"452332198006272752"</f>
        <v>452332198006272752</v>
      </c>
      <c r="D17417" t="s">
        <v>1</v>
      </c>
      <c r="E17417" t="s">
        <v>1</v>
      </c>
      <c r="F17417" t="s">
        <v>0</v>
      </c>
      <c r="G17417" t="str">
        <f>"2018-10-11 18:19:51"</f>
        <v>2018-10-11 18:19:51</v>
      </c>
    </row>
    <row r="17418" spans="1:7" x14ac:dyDescent="0.2">
      <c r="A17418" t="s">
        <v>1</v>
      </c>
      <c r="B17418" t="str">
        <f>"18763702128"</f>
        <v>18763702128</v>
      </c>
      <c r="C17418" t="s">
        <v>1</v>
      </c>
      <c r="D17418" t="s">
        <v>1</v>
      </c>
      <c r="E17418" t="s">
        <v>1</v>
      </c>
      <c r="F17418" t="s">
        <v>0</v>
      </c>
      <c r="G17418" t="str">
        <f>"2018-10-11 19:07:17"</f>
        <v>2018-10-11 19:07:17</v>
      </c>
    </row>
    <row r="17419" spans="1:7" x14ac:dyDescent="0.2">
      <c r="A17419" t="s">
        <v>1</v>
      </c>
      <c r="B17419" t="str">
        <f>"15854900592"</f>
        <v>15854900592</v>
      </c>
      <c r="C17419" t="s">
        <v>1</v>
      </c>
      <c r="D17419" t="s">
        <v>1</v>
      </c>
      <c r="E17419" t="s">
        <v>1</v>
      </c>
      <c r="F17419" t="s">
        <v>0</v>
      </c>
      <c r="G17419" t="str">
        <f>"2018-10-11 19:26:56"</f>
        <v>2018-10-11 19:26:56</v>
      </c>
    </row>
    <row r="17420" spans="1:7" x14ac:dyDescent="0.2">
      <c r="A17420" t="s">
        <v>16571</v>
      </c>
      <c r="B17420" t="str">
        <f>"18685558055"</f>
        <v>18685558055</v>
      </c>
      <c r="C17420" t="str">
        <f>"522601198005150825"</f>
        <v>522601198005150825</v>
      </c>
      <c r="D17420" t="s">
        <v>1</v>
      </c>
      <c r="E17420" t="s">
        <v>1</v>
      </c>
      <c r="F17420" t="s">
        <v>0</v>
      </c>
      <c r="G17420" t="str">
        <f>"2018-10-11 18:16:25"</f>
        <v>2018-10-11 18:16:25</v>
      </c>
    </row>
    <row r="17421" spans="1:7" x14ac:dyDescent="0.2">
      <c r="A17421" t="s">
        <v>734</v>
      </c>
      <c r="B17421" t="str">
        <f>"15168940388"</f>
        <v>15168940388</v>
      </c>
      <c r="C17421" t="str">
        <f>"371327198803090642"</f>
        <v>371327198803090642</v>
      </c>
      <c r="D17421" t="s">
        <v>1</v>
      </c>
      <c r="E17421" t="s">
        <v>1</v>
      </c>
      <c r="F17421" t="s">
        <v>0</v>
      </c>
      <c r="G17421" t="str">
        <f>"2018-10-11 18:17:31"</f>
        <v>2018-10-11 18:17:31</v>
      </c>
    </row>
    <row r="17422" spans="1:7" x14ac:dyDescent="0.2">
      <c r="A17422" t="s">
        <v>16572</v>
      </c>
      <c r="B17422" t="str">
        <f>"13183433222"</f>
        <v>13183433222</v>
      </c>
      <c r="C17422" t="str">
        <f>"510727199708044519"</f>
        <v>510727199708044519</v>
      </c>
      <c r="D17422" t="s">
        <v>1</v>
      </c>
      <c r="E17422" t="s">
        <v>1</v>
      </c>
      <c r="F17422" t="s">
        <v>0</v>
      </c>
      <c r="G17422" t="str">
        <f>"2018-10-11 18:24:05"</f>
        <v>2018-10-11 18:24:05</v>
      </c>
    </row>
    <row r="17423" spans="1:7" x14ac:dyDescent="0.2">
      <c r="A17423" t="s">
        <v>16573</v>
      </c>
      <c r="B17423" t="str">
        <f>"15229543915"</f>
        <v>15229543915</v>
      </c>
      <c r="C17423" t="str">
        <f>"612527199310150412"</f>
        <v>612527199310150412</v>
      </c>
      <c r="D17423" t="s">
        <v>1</v>
      </c>
      <c r="E17423" t="s">
        <v>1</v>
      </c>
      <c r="F17423" t="s">
        <v>0</v>
      </c>
      <c r="G17423" t="str">
        <f>"2018-10-11 18:14:18"</f>
        <v>2018-10-11 18:14:18</v>
      </c>
    </row>
    <row r="17424" spans="1:7" x14ac:dyDescent="0.2">
      <c r="A17424" t="s">
        <v>12825</v>
      </c>
      <c r="B17424" t="str">
        <f>"18221189029"</f>
        <v>18221189029</v>
      </c>
      <c r="C17424" t="str">
        <f>"320624197411094858"</f>
        <v>320624197411094858</v>
      </c>
      <c r="D17424" t="s">
        <v>1</v>
      </c>
      <c r="E17424" t="s">
        <v>1</v>
      </c>
      <c r="F17424" t="s">
        <v>0</v>
      </c>
      <c r="G17424" t="str">
        <f>"2018-10-11 18:15:13"</f>
        <v>2018-10-11 18:15:13</v>
      </c>
    </row>
    <row r="17425" spans="1:7" x14ac:dyDescent="0.2">
      <c r="A17425" t="s">
        <v>16574</v>
      </c>
      <c r="B17425" t="str">
        <f>"15739626855"</f>
        <v>15739626855</v>
      </c>
      <c r="C17425" t="str">
        <f>"65230119980829001X"</f>
        <v>65230119980829001X</v>
      </c>
      <c r="D17425" t="s">
        <v>1</v>
      </c>
      <c r="E17425" t="s">
        <v>1</v>
      </c>
      <c r="F17425" t="s">
        <v>0</v>
      </c>
      <c r="G17425" t="str">
        <f>"2018-10-11 20:39:26"</f>
        <v>2018-10-11 20:39:26</v>
      </c>
    </row>
    <row r="17426" spans="1:7" x14ac:dyDescent="0.2">
      <c r="A17426" t="s">
        <v>16575</v>
      </c>
      <c r="B17426" t="str">
        <f>"15252192277"</f>
        <v>15252192277</v>
      </c>
      <c r="C17426" t="str">
        <f>"320381199209230318"</f>
        <v>320381199209230318</v>
      </c>
      <c r="D17426" t="s">
        <v>1</v>
      </c>
      <c r="E17426" t="s">
        <v>1</v>
      </c>
      <c r="F17426" t="s">
        <v>0</v>
      </c>
      <c r="G17426" t="str">
        <f>"2018-11-03 23:27:52"</f>
        <v>2018-11-03 23:27:52</v>
      </c>
    </row>
    <row r="17427" spans="1:7" x14ac:dyDescent="0.2">
      <c r="A17427" t="s">
        <v>1</v>
      </c>
      <c r="B17427" t="str">
        <f>"13674201558"</f>
        <v>13674201558</v>
      </c>
      <c r="C17427" t="s">
        <v>1</v>
      </c>
      <c r="D17427" t="s">
        <v>1</v>
      </c>
      <c r="E17427" t="s">
        <v>1</v>
      </c>
      <c r="F17427" t="s">
        <v>0</v>
      </c>
      <c r="G17427" t="str">
        <f>"2018-10-11 18:12:59"</f>
        <v>2018-10-11 18:12:59</v>
      </c>
    </row>
    <row r="17428" spans="1:7" x14ac:dyDescent="0.2">
      <c r="A17428" t="s">
        <v>16576</v>
      </c>
      <c r="B17428" t="str">
        <f>"15578791576"</f>
        <v>15578791576</v>
      </c>
      <c r="C17428" t="str">
        <f>"45070319990316181X"</f>
        <v>45070319990316181X</v>
      </c>
      <c r="D17428" t="s">
        <v>1</v>
      </c>
      <c r="E17428" t="s">
        <v>1</v>
      </c>
      <c r="F17428" t="s">
        <v>0</v>
      </c>
      <c r="G17428" t="str">
        <f>"2018-10-11 18:15:30"</f>
        <v>2018-10-11 18:15:30</v>
      </c>
    </row>
    <row r="17429" spans="1:7" x14ac:dyDescent="0.2">
      <c r="A17429" t="s">
        <v>16577</v>
      </c>
      <c r="B17429" t="str">
        <f>"17793562929"</f>
        <v>17793562929</v>
      </c>
      <c r="C17429" t="str">
        <f>"620302199606060418"</f>
        <v>620302199606060418</v>
      </c>
      <c r="D17429" t="s">
        <v>1</v>
      </c>
      <c r="E17429" t="s">
        <v>1</v>
      </c>
      <c r="F17429" t="s">
        <v>0</v>
      </c>
      <c r="G17429" t="str">
        <f>"2018-10-11 18:12:26"</f>
        <v>2018-10-11 18:12:26</v>
      </c>
    </row>
    <row r="17430" spans="1:7" x14ac:dyDescent="0.2">
      <c r="A17430" t="s">
        <v>16578</v>
      </c>
      <c r="B17430" t="str">
        <f>"18336097925"</f>
        <v>18336097925</v>
      </c>
      <c r="C17430" t="str">
        <f>"410323199606203047"</f>
        <v>410323199606203047</v>
      </c>
      <c r="D17430" t="s">
        <v>1</v>
      </c>
      <c r="E17430" t="s">
        <v>1</v>
      </c>
      <c r="F17430" t="s">
        <v>0</v>
      </c>
      <c r="G17430" t="str">
        <f>"2018-10-11 18:12:27"</f>
        <v>2018-10-11 18:12:27</v>
      </c>
    </row>
    <row r="17431" spans="1:7" x14ac:dyDescent="0.2">
      <c r="A17431" t="s">
        <v>16579</v>
      </c>
      <c r="B17431" t="str">
        <f>"17857194044"</f>
        <v>17857194044</v>
      </c>
      <c r="C17431" t="str">
        <f>"431021198409287975"</f>
        <v>431021198409287975</v>
      </c>
      <c r="D17431" t="s">
        <v>1</v>
      </c>
      <c r="E17431" t="s">
        <v>1</v>
      </c>
      <c r="F17431" t="s">
        <v>0</v>
      </c>
      <c r="G17431" t="str">
        <f>"2018-10-11 18:12:52"</f>
        <v>2018-10-11 18:12:52</v>
      </c>
    </row>
    <row r="17432" spans="1:7" x14ac:dyDescent="0.2">
      <c r="A17432" t="s">
        <v>1</v>
      </c>
      <c r="B17432" t="str">
        <f>"17705454042"</f>
        <v>17705454042</v>
      </c>
      <c r="C17432" t="s">
        <v>1</v>
      </c>
      <c r="D17432" t="s">
        <v>1</v>
      </c>
      <c r="E17432" t="s">
        <v>1</v>
      </c>
      <c r="F17432" t="s">
        <v>0</v>
      </c>
      <c r="G17432" t="str">
        <f>"2018-10-11 18:10:16"</f>
        <v>2018-10-11 18:10:16</v>
      </c>
    </row>
    <row r="17433" spans="1:7" x14ac:dyDescent="0.2">
      <c r="A17433" t="s">
        <v>1</v>
      </c>
      <c r="B17433" t="str">
        <f>"13105596634"</f>
        <v>13105596634</v>
      </c>
      <c r="C17433" t="s">
        <v>1</v>
      </c>
      <c r="D17433" t="s">
        <v>1</v>
      </c>
      <c r="E17433" t="s">
        <v>1</v>
      </c>
      <c r="F17433" t="s">
        <v>0</v>
      </c>
      <c r="G17433" t="str">
        <f>"2018-10-11 18:11:25"</f>
        <v>2018-10-11 18:11:25</v>
      </c>
    </row>
    <row r="17434" spans="1:7" x14ac:dyDescent="0.2">
      <c r="A17434" t="s">
        <v>16580</v>
      </c>
      <c r="B17434" t="str">
        <f>"13633463410"</f>
        <v>13633463410</v>
      </c>
      <c r="C17434" t="str">
        <f>"140511197412271915"</f>
        <v>140511197412271915</v>
      </c>
      <c r="D17434" t="s">
        <v>16581</v>
      </c>
      <c r="E17434" t="s">
        <v>16582</v>
      </c>
      <c r="F17434" t="s">
        <v>0</v>
      </c>
      <c r="G17434" t="str">
        <f>"2018-10-11 18:12:06"</f>
        <v>2018-10-11 18:12:06</v>
      </c>
    </row>
    <row r="17435" spans="1:7" x14ac:dyDescent="0.2">
      <c r="A17435" t="s">
        <v>2879</v>
      </c>
      <c r="B17435" t="str">
        <f>"15751560506"</f>
        <v>15751560506</v>
      </c>
      <c r="C17435" t="str">
        <f>"321322199704152434"</f>
        <v>321322199704152434</v>
      </c>
      <c r="D17435" t="s">
        <v>1</v>
      </c>
      <c r="E17435" t="s">
        <v>1</v>
      </c>
      <c r="F17435" t="s">
        <v>0</v>
      </c>
      <c r="G17435" t="str">
        <f>"2018-10-11 18:10:39"</f>
        <v>2018-10-11 18:10:39</v>
      </c>
    </row>
    <row r="17436" spans="1:7" x14ac:dyDescent="0.2">
      <c r="A17436" t="s">
        <v>1</v>
      </c>
      <c r="B17436" t="str">
        <f>"13410202298"</f>
        <v>13410202298</v>
      </c>
      <c r="C17436" t="s">
        <v>1</v>
      </c>
      <c r="D17436" t="s">
        <v>1</v>
      </c>
      <c r="E17436" t="s">
        <v>1</v>
      </c>
      <c r="F17436" t="s">
        <v>0</v>
      </c>
      <c r="G17436" t="str">
        <f>"2018-10-11 18:08:21"</f>
        <v>2018-10-11 18:08:21</v>
      </c>
    </row>
    <row r="17437" spans="1:7" x14ac:dyDescent="0.2">
      <c r="A17437" t="s">
        <v>16583</v>
      </c>
      <c r="B17437" t="str">
        <f>"13674661163"</f>
        <v>13674661163</v>
      </c>
      <c r="C17437" t="str">
        <f>"232303198707261017"</f>
        <v>232303198707261017</v>
      </c>
      <c r="D17437" t="s">
        <v>1</v>
      </c>
      <c r="E17437" t="s">
        <v>1</v>
      </c>
      <c r="F17437" t="s">
        <v>0</v>
      </c>
      <c r="G17437" t="str">
        <f>"2018-10-11 18:13:05"</f>
        <v>2018-10-11 18:13:05</v>
      </c>
    </row>
    <row r="17438" spans="1:7" x14ac:dyDescent="0.2">
      <c r="A17438" t="s">
        <v>16584</v>
      </c>
      <c r="B17438" t="str">
        <f>"13179030729"</f>
        <v>13179030729</v>
      </c>
      <c r="C17438" t="str">
        <f>"220302199810230424"</f>
        <v>220302199810230424</v>
      </c>
      <c r="D17438" t="s">
        <v>1</v>
      </c>
      <c r="E17438" t="s">
        <v>1</v>
      </c>
      <c r="F17438" t="s">
        <v>0</v>
      </c>
      <c r="G17438" t="str">
        <f>"2018-10-11 18:10:04"</f>
        <v>2018-10-11 18:10:04</v>
      </c>
    </row>
    <row r="17439" spans="1:7" x14ac:dyDescent="0.2">
      <c r="A17439" t="s">
        <v>1068</v>
      </c>
      <c r="B17439" t="str">
        <f>"18295675664"</f>
        <v>18295675664</v>
      </c>
      <c r="C17439" t="str">
        <f>"640382199711121951"</f>
        <v>640382199711121951</v>
      </c>
      <c r="D17439" t="s">
        <v>16585</v>
      </c>
      <c r="E17439" t="s">
        <v>16586</v>
      </c>
      <c r="F17439" t="s">
        <v>0</v>
      </c>
      <c r="G17439" t="str">
        <f>"2018-10-30 21:44:40"</f>
        <v>2018-10-30 21:44:40</v>
      </c>
    </row>
    <row r="17440" spans="1:7" x14ac:dyDescent="0.2">
      <c r="A17440" t="s">
        <v>16587</v>
      </c>
      <c r="B17440" t="str">
        <f>"13780287950"</f>
        <v>13780287950</v>
      </c>
      <c r="C17440" t="str">
        <f>"131181199001280775"</f>
        <v>131181199001280775</v>
      </c>
      <c r="D17440" t="s">
        <v>1</v>
      </c>
      <c r="E17440" t="s">
        <v>1</v>
      </c>
      <c r="F17440" t="s">
        <v>0</v>
      </c>
      <c r="G17440" t="str">
        <f>"2018-11-01 12:31:37"</f>
        <v>2018-11-01 12:31:37</v>
      </c>
    </row>
    <row r="17441" spans="1:7" x14ac:dyDescent="0.2">
      <c r="A17441" t="s">
        <v>1</v>
      </c>
      <c r="B17441" t="str">
        <f>"15148380189"</f>
        <v>15148380189</v>
      </c>
      <c r="C17441" t="s">
        <v>1</v>
      </c>
      <c r="D17441" t="s">
        <v>1</v>
      </c>
      <c r="E17441" t="s">
        <v>1</v>
      </c>
      <c r="F17441" t="s">
        <v>0</v>
      </c>
      <c r="G17441" t="str">
        <f>"2018-10-11 18:06:07"</f>
        <v>2018-10-11 18:06:07</v>
      </c>
    </row>
    <row r="17442" spans="1:7" x14ac:dyDescent="0.2">
      <c r="A17442" t="s">
        <v>1</v>
      </c>
      <c r="B17442" t="str">
        <f>"18437325973"</f>
        <v>18437325973</v>
      </c>
      <c r="C17442" t="s">
        <v>1</v>
      </c>
      <c r="D17442" t="s">
        <v>1</v>
      </c>
      <c r="E17442" t="s">
        <v>1</v>
      </c>
      <c r="F17442" t="s">
        <v>0</v>
      </c>
      <c r="G17442" t="str">
        <f>"2018-10-11 18:05:12"</f>
        <v>2018-10-11 18:05:12</v>
      </c>
    </row>
    <row r="17443" spans="1:7" x14ac:dyDescent="0.2">
      <c r="A17443" t="s">
        <v>1</v>
      </c>
      <c r="B17443" t="str">
        <f>"13106239403"</f>
        <v>13106239403</v>
      </c>
      <c r="C17443" t="s">
        <v>1</v>
      </c>
      <c r="D17443" t="s">
        <v>1</v>
      </c>
      <c r="E17443" t="s">
        <v>1</v>
      </c>
      <c r="F17443" t="s">
        <v>0</v>
      </c>
      <c r="G17443" t="str">
        <f>"2018-10-11 18:05:00"</f>
        <v>2018-10-11 18:05:00</v>
      </c>
    </row>
    <row r="17444" spans="1:7" x14ac:dyDescent="0.2">
      <c r="A17444" t="s">
        <v>1</v>
      </c>
      <c r="B17444" t="str">
        <f>"18029207558"</f>
        <v>18029207558</v>
      </c>
      <c r="C17444" t="s">
        <v>1</v>
      </c>
      <c r="D17444" t="s">
        <v>1</v>
      </c>
      <c r="E17444" t="s">
        <v>1</v>
      </c>
      <c r="F17444" t="s">
        <v>0</v>
      </c>
      <c r="G17444" t="str">
        <f>"2018-10-11 18:08:58"</f>
        <v>2018-10-11 18:08:58</v>
      </c>
    </row>
    <row r="17445" spans="1:7" x14ac:dyDescent="0.2">
      <c r="A17445" t="s">
        <v>16588</v>
      </c>
      <c r="B17445" t="str">
        <f>"18650134646"</f>
        <v>18650134646</v>
      </c>
      <c r="C17445" t="str">
        <f>"511324199007242344"</f>
        <v>511324199007242344</v>
      </c>
      <c r="D17445" t="s">
        <v>1</v>
      </c>
      <c r="E17445" t="s">
        <v>1</v>
      </c>
      <c r="F17445" t="s">
        <v>0</v>
      </c>
      <c r="G17445" t="str">
        <f>"2018-10-11 18:45:22"</f>
        <v>2018-10-11 18:45:22</v>
      </c>
    </row>
    <row r="17446" spans="1:7" x14ac:dyDescent="0.2">
      <c r="A17446" t="s">
        <v>16589</v>
      </c>
      <c r="B17446" t="str">
        <f>"15025066241"</f>
        <v>15025066241</v>
      </c>
      <c r="C17446" t="str">
        <f>"533023198912180161"</f>
        <v>533023198912180161</v>
      </c>
      <c r="D17446" t="s">
        <v>1</v>
      </c>
      <c r="E17446" t="s">
        <v>1</v>
      </c>
      <c r="F17446" t="s">
        <v>0</v>
      </c>
      <c r="G17446" t="str">
        <f>"2018-10-11 18:05:54"</f>
        <v>2018-10-11 18:05:54</v>
      </c>
    </row>
    <row r="17447" spans="1:7" x14ac:dyDescent="0.2">
      <c r="A17447" t="s">
        <v>1</v>
      </c>
      <c r="B17447" t="str">
        <f>"18369577652"</f>
        <v>18369577652</v>
      </c>
      <c r="C17447" t="s">
        <v>1</v>
      </c>
      <c r="D17447" t="s">
        <v>1</v>
      </c>
      <c r="E17447" t="s">
        <v>1</v>
      </c>
      <c r="F17447" t="s">
        <v>0</v>
      </c>
      <c r="G17447" t="str">
        <f>"2018-10-11 18:04:20"</f>
        <v>2018-10-11 18:04:20</v>
      </c>
    </row>
    <row r="17448" spans="1:7" x14ac:dyDescent="0.2">
      <c r="A17448" t="s">
        <v>16590</v>
      </c>
      <c r="B17448" t="str">
        <f>"13717132394"</f>
        <v>13717132394</v>
      </c>
      <c r="C17448" t="str">
        <f>"431023199709276511"</f>
        <v>431023199709276511</v>
      </c>
      <c r="D17448" t="s">
        <v>1</v>
      </c>
      <c r="E17448" t="s">
        <v>1</v>
      </c>
      <c r="F17448" t="s">
        <v>0</v>
      </c>
      <c r="G17448" t="str">
        <f>"2018-10-11 18:09:31"</f>
        <v>2018-10-11 18:09:31</v>
      </c>
    </row>
    <row r="17449" spans="1:7" x14ac:dyDescent="0.2">
      <c r="A17449" t="s">
        <v>16591</v>
      </c>
      <c r="B17449" t="str">
        <f>"13467006456"</f>
        <v>13467006456</v>
      </c>
      <c r="C17449" t="str">
        <f>"140427196808064411"</f>
        <v>140427196808064411</v>
      </c>
      <c r="D17449" t="s">
        <v>16592</v>
      </c>
      <c r="E17449" t="s">
        <v>16593</v>
      </c>
      <c r="F17449" t="s">
        <v>0</v>
      </c>
      <c r="G17449" t="str">
        <f>"2018-10-11 18:04:14"</f>
        <v>2018-10-11 18:04:14</v>
      </c>
    </row>
    <row r="17450" spans="1:7" x14ac:dyDescent="0.2">
      <c r="A17450" t="s">
        <v>1</v>
      </c>
      <c r="B17450" t="str">
        <f>"17715690310"</f>
        <v>17715690310</v>
      </c>
      <c r="C17450" t="s">
        <v>1</v>
      </c>
      <c r="D17450" t="s">
        <v>1</v>
      </c>
      <c r="E17450" t="s">
        <v>1</v>
      </c>
      <c r="F17450" t="s">
        <v>0</v>
      </c>
      <c r="G17450" t="str">
        <f>"2018-10-11 18:11:06"</f>
        <v>2018-10-11 18:11:06</v>
      </c>
    </row>
    <row r="17451" spans="1:7" x14ac:dyDescent="0.2">
      <c r="A17451" t="s">
        <v>1</v>
      </c>
      <c r="B17451" t="str">
        <f>"13259650767"</f>
        <v>13259650767</v>
      </c>
      <c r="C17451" t="s">
        <v>1</v>
      </c>
      <c r="D17451" t="s">
        <v>1</v>
      </c>
      <c r="E17451" t="s">
        <v>1</v>
      </c>
      <c r="F17451" t="s">
        <v>0</v>
      </c>
      <c r="G17451" t="str">
        <f>"2018-10-11 18:01:28"</f>
        <v>2018-10-11 18:01:28</v>
      </c>
    </row>
    <row r="17452" spans="1:7" x14ac:dyDescent="0.2">
      <c r="A17452" t="s">
        <v>1</v>
      </c>
      <c r="B17452" t="str">
        <f>"13363224796"</f>
        <v>13363224796</v>
      </c>
      <c r="C17452" t="s">
        <v>1</v>
      </c>
      <c r="D17452" t="s">
        <v>1</v>
      </c>
      <c r="E17452" t="s">
        <v>1</v>
      </c>
      <c r="F17452" t="s">
        <v>0</v>
      </c>
      <c r="G17452" t="str">
        <f>"2018-10-11 18:01:19"</f>
        <v>2018-10-11 18:01:19</v>
      </c>
    </row>
    <row r="17453" spans="1:7" x14ac:dyDescent="0.2">
      <c r="A17453" t="s">
        <v>16594</v>
      </c>
      <c r="B17453" t="str">
        <f>"18599292135"</f>
        <v>18599292135</v>
      </c>
      <c r="C17453" t="str">
        <f>"654125198905250519"</f>
        <v>654125198905250519</v>
      </c>
      <c r="D17453" t="s">
        <v>1</v>
      </c>
      <c r="E17453" t="s">
        <v>1</v>
      </c>
      <c r="F17453" t="s">
        <v>0</v>
      </c>
      <c r="G17453" t="str">
        <f>"2018-10-11 18:04:07"</f>
        <v>2018-10-11 18:04:07</v>
      </c>
    </row>
    <row r="17454" spans="1:7" x14ac:dyDescent="0.2">
      <c r="A17454" t="s">
        <v>16595</v>
      </c>
      <c r="B17454" t="str">
        <f>"18739474140"</f>
        <v>18739474140</v>
      </c>
      <c r="C17454" t="str">
        <f>"412727199305047772"</f>
        <v>412727199305047772</v>
      </c>
      <c r="D17454" t="s">
        <v>1</v>
      </c>
      <c r="E17454" t="s">
        <v>1</v>
      </c>
      <c r="F17454" t="s">
        <v>0</v>
      </c>
      <c r="G17454" t="str">
        <f>"2018-10-12 07:03:39"</f>
        <v>2018-10-12 07:03:39</v>
      </c>
    </row>
    <row r="17455" spans="1:7" x14ac:dyDescent="0.2">
      <c r="A17455" t="s">
        <v>16596</v>
      </c>
      <c r="B17455" t="str">
        <f>"18331097943"</f>
        <v>18331097943</v>
      </c>
      <c r="C17455" t="str">
        <f>"130623198903032437"</f>
        <v>130623198903032437</v>
      </c>
      <c r="D17455" t="s">
        <v>1</v>
      </c>
      <c r="E17455" t="s">
        <v>1</v>
      </c>
      <c r="F17455" t="s">
        <v>0</v>
      </c>
      <c r="G17455" t="str">
        <f>"2018-10-11 18:01:04"</f>
        <v>2018-10-11 18:01:04</v>
      </c>
    </row>
    <row r="17456" spans="1:7" x14ac:dyDescent="0.2">
      <c r="A17456" t="s">
        <v>1</v>
      </c>
      <c r="B17456" t="str">
        <f>"17603051732"</f>
        <v>17603051732</v>
      </c>
      <c r="C17456" t="s">
        <v>1</v>
      </c>
      <c r="D17456" t="s">
        <v>1</v>
      </c>
      <c r="E17456" t="s">
        <v>1</v>
      </c>
      <c r="F17456" t="s">
        <v>0</v>
      </c>
      <c r="G17456" t="str">
        <f>"2018-10-11 17:58:23"</f>
        <v>2018-10-11 17:58:23</v>
      </c>
    </row>
    <row r="17457" spans="1:7" x14ac:dyDescent="0.2">
      <c r="A17457" t="s">
        <v>16597</v>
      </c>
      <c r="B17457" t="str">
        <f>"18670031378"</f>
        <v>18670031378</v>
      </c>
      <c r="C17457" t="str">
        <f>"430524199201011195"</f>
        <v>430524199201011195</v>
      </c>
      <c r="D17457" t="s">
        <v>16598</v>
      </c>
      <c r="E17457" t="s">
        <v>16599</v>
      </c>
      <c r="F17457" t="s">
        <v>0</v>
      </c>
      <c r="G17457" t="str">
        <f>"2018-10-11 17:59:55"</f>
        <v>2018-10-11 17:59:55</v>
      </c>
    </row>
    <row r="17458" spans="1:7" x14ac:dyDescent="0.2">
      <c r="A17458" t="s">
        <v>1</v>
      </c>
      <c r="B17458" t="str">
        <f>"13613259345"</f>
        <v>13613259345</v>
      </c>
      <c r="C17458" t="s">
        <v>1</v>
      </c>
      <c r="D17458" t="s">
        <v>1</v>
      </c>
      <c r="E17458" t="s">
        <v>1</v>
      </c>
      <c r="F17458" t="s">
        <v>0</v>
      </c>
      <c r="G17458" t="str">
        <f>"2018-10-11 17:57:25"</f>
        <v>2018-10-11 17:57:25</v>
      </c>
    </row>
    <row r="17459" spans="1:7" x14ac:dyDescent="0.2">
      <c r="A17459" t="s">
        <v>16600</v>
      </c>
      <c r="B17459" t="str">
        <f>"13527880652"</f>
        <v>13527880652</v>
      </c>
      <c r="C17459" t="str">
        <f>"500236198910131379"</f>
        <v>500236198910131379</v>
      </c>
      <c r="D17459" t="s">
        <v>1</v>
      </c>
      <c r="E17459" t="s">
        <v>1</v>
      </c>
      <c r="F17459" t="s">
        <v>0</v>
      </c>
      <c r="G17459" t="str">
        <f>"2018-10-11 17:59:39"</f>
        <v>2018-10-11 17:59:39</v>
      </c>
    </row>
    <row r="17460" spans="1:7" x14ac:dyDescent="0.2">
      <c r="A17460" t="s">
        <v>452</v>
      </c>
      <c r="B17460" t="str">
        <f>"13859566521"</f>
        <v>13859566521</v>
      </c>
      <c r="C17460" t="str">
        <f>"352601198106050012"</f>
        <v>352601198106050012</v>
      </c>
      <c r="D17460" t="s">
        <v>1</v>
      </c>
      <c r="E17460" t="s">
        <v>1</v>
      </c>
      <c r="F17460" t="s">
        <v>0</v>
      </c>
      <c r="G17460" t="str">
        <f>"2018-10-16 12:18:25"</f>
        <v>2018-10-16 12:18:25</v>
      </c>
    </row>
    <row r="17461" spans="1:7" x14ac:dyDescent="0.2">
      <c r="A17461" t="s">
        <v>16</v>
      </c>
      <c r="B17461" t="str">
        <f>"18145364876"</f>
        <v>18145364876</v>
      </c>
      <c r="C17461" t="str">
        <f>"230422198001011713"</f>
        <v>230422198001011713</v>
      </c>
      <c r="D17461" t="s">
        <v>1</v>
      </c>
      <c r="E17461" t="s">
        <v>1</v>
      </c>
      <c r="F17461" t="s">
        <v>0</v>
      </c>
      <c r="G17461" t="str">
        <f>"2018-10-11 18:03:26"</f>
        <v>2018-10-11 18:03:26</v>
      </c>
    </row>
    <row r="17462" spans="1:7" x14ac:dyDescent="0.2">
      <c r="A17462" t="s">
        <v>1</v>
      </c>
      <c r="B17462" t="str">
        <f>"15961759520"</f>
        <v>15961759520</v>
      </c>
      <c r="C17462" t="s">
        <v>1</v>
      </c>
      <c r="D17462" t="s">
        <v>1</v>
      </c>
      <c r="E17462" t="s">
        <v>1</v>
      </c>
      <c r="F17462" t="s">
        <v>0</v>
      </c>
      <c r="G17462" t="str">
        <f>"2018-10-11 17:55:46"</f>
        <v>2018-10-11 17:55:46</v>
      </c>
    </row>
    <row r="17463" spans="1:7" x14ac:dyDescent="0.2">
      <c r="A17463" t="s">
        <v>16601</v>
      </c>
      <c r="B17463" t="str">
        <f>"17681386414"</f>
        <v>17681386414</v>
      </c>
      <c r="C17463" t="str">
        <f>"342427199604142011"</f>
        <v>342427199604142011</v>
      </c>
      <c r="D17463" t="s">
        <v>1</v>
      </c>
      <c r="E17463" t="s">
        <v>1</v>
      </c>
      <c r="F17463" t="s">
        <v>0</v>
      </c>
      <c r="G17463" t="str">
        <f>"2018-10-11 17:56:16"</f>
        <v>2018-10-11 17:56:16</v>
      </c>
    </row>
    <row r="17464" spans="1:7" x14ac:dyDescent="0.2">
      <c r="A17464" t="s">
        <v>1</v>
      </c>
      <c r="B17464" t="str">
        <f>"17688313066"</f>
        <v>17688313066</v>
      </c>
      <c r="C17464" t="s">
        <v>1</v>
      </c>
      <c r="D17464" t="s">
        <v>1</v>
      </c>
      <c r="E17464" t="s">
        <v>1</v>
      </c>
      <c r="F17464" t="s">
        <v>0</v>
      </c>
      <c r="G17464" t="str">
        <f>"2018-10-11 17:55:09"</f>
        <v>2018-10-11 17:55:09</v>
      </c>
    </row>
    <row r="17465" spans="1:7" x14ac:dyDescent="0.2">
      <c r="A17465" t="s">
        <v>1</v>
      </c>
      <c r="B17465" t="str">
        <f>"18798160607"</f>
        <v>18798160607</v>
      </c>
      <c r="C17465" t="s">
        <v>1</v>
      </c>
      <c r="D17465" t="s">
        <v>1</v>
      </c>
      <c r="E17465" t="s">
        <v>1</v>
      </c>
      <c r="F17465" t="s">
        <v>0</v>
      </c>
      <c r="G17465" t="str">
        <f>"2018-10-11 18:00:08"</f>
        <v>2018-10-11 18:00:08</v>
      </c>
    </row>
    <row r="17466" spans="1:7" x14ac:dyDescent="0.2">
      <c r="A17466" t="s">
        <v>16602</v>
      </c>
      <c r="B17466" t="str">
        <f>"18802929295"</f>
        <v>18802929295</v>
      </c>
      <c r="C17466" t="str">
        <f>"610431198810303414"</f>
        <v>610431198810303414</v>
      </c>
      <c r="D17466" t="s">
        <v>1</v>
      </c>
      <c r="E17466" t="s">
        <v>1</v>
      </c>
      <c r="F17466" t="s">
        <v>0</v>
      </c>
      <c r="G17466" t="str">
        <f>"2018-10-11 17:54:04"</f>
        <v>2018-10-11 17:54:04</v>
      </c>
    </row>
    <row r="17467" spans="1:7" x14ac:dyDescent="0.2">
      <c r="A17467" t="s">
        <v>1</v>
      </c>
      <c r="B17467" t="str">
        <f>"14763360546"</f>
        <v>14763360546</v>
      </c>
      <c r="C17467" t="s">
        <v>1</v>
      </c>
      <c r="D17467" t="s">
        <v>1</v>
      </c>
      <c r="E17467" t="s">
        <v>1</v>
      </c>
      <c r="F17467" t="s">
        <v>0</v>
      </c>
      <c r="G17467" t="str">
        <f>"2018-10-11 17:54:02"</f>
        <v>2018-10-11 17:54:02</v>
      </c>
    </row>
    <row r="17468" spans="1:7" x14ac:dyDescent="0.2">
      <c r="A17468" t="s">
        <v>191</v>
      </c>
      <c r="B17468" t="str">
        <f>"13817499252"</f>
        <v>13817499252</v>
      </c>
      <c r="C17468" t="str">
        <f>"340123198007100018"</f>
        <v>340123198007100018</v>
      </c>
      <c r="D17468" t="s">
        <v>16603</v>
      </c>
      <c r="E17468" t="s">
        <v>16603</v>
      </c>
      <c r="F17468" t="s">
        <v>0</v>
      </c>
      <c r="G17468" t="str">
        <f>"2018-10-11 17:56:01"</f>
        <v>2018-10-11 17:56:01</v>
      </c>
    </row>
    <row r="17469" spans="1:7" x14ac:dyDescent="0.2">
      <c r="A17469" t="s">
        <v>3102</v>
      </c>
      <c r="B17469" t="str">
        <f>"13781716784"</f>
        <v>13781716784</v>
      </c>
      <c r="C17469" t="str">
        <f>"411121197706034031"</f>
        <v>411121197706034031</v>
      </c>
      <c r="D17469" t="s">
        <v>1</v>
      </c>
      <c r="E17469" t="s">
        <v>1</v>
      </c>
      <c r="F17469" t="s">
        <v>0</v>
      </c>
      <c r="G17469" t="str">
        <f>"2018-10-11 17:56:19"</f>
        <v>2018-10-11 17:56:19</v>
      </c>
    </row>
    <row r="17470" spans="1:7" x14ac:dyDescent="0.2">
      <c r="A17470" t="s">
        <v>16604</v>
      </c>
      <c r="B17470" t="str">
        <f>"18293333101"</f>
        <v>18293333101</v>
      </c>
      <c r="C17470" t="str">
        <f>"622726199802281941"</f>
        <v>622726199802281941</v>
      </c>
      <c r="D17470" t="s">
        <v>1</v>
      </c>
      <c r="E17470" t="s">
        <v>1</v>
      </c>
      <c r="F17470" t="s">
        <v>0</v>
      </c>
      <c r="G17470" t="str">
        <f>"2018-10-11 17:54:50"</f>
        <v>2018-10-11 17:54:50</v>
      </c>
    </row>
    <row r="17471" spans="1:7" x14ac:dyDescent="0.2">
      <c r="A17471" t="s">
        <v>923</v>
      </c>
      <c r="B17471" t="str">
        <f>"18334981993"</f>
        <v>18334981993</v>
      </c>
      <c r="C17471" t="str">
        <f>"140729198809140082"</f>
        <v>140729198809140082</v>
      </c>
      <c r="D17471" t="s">
        <v>1</v>
      </c>
      <c r="E17471" t="s">
        <v>1</v>
      </c>
      <c r="F17471" t="s">
        <v>0</v>
      </c>
      <c r="G17471" t="str">
        <f>"2018-10-11 18:15:44"</f>
        <v>2018-10-11 18:15:44</v>
      </c>
    </row>
    <row r="17472" spans="1:7" x14ac:dyDescent="0.2">
      <c r="A17472" t="s">
        <v>16605</v>
      </c>
      <c r="B17472" t="str">
        <f>"15972826887"</f>
        <v>15972826887</v>
      </c>
      <c r="C17472" t="str">
        <f>"421127198903275437"</f>
        <v>421127198903275437</v>
      </c>
      <c r="D17472" t="s">
        <v>1</v>
      </c>
      <c r="E17472" t="s">
        <v>1</v>
      </c>
      <c r="F17472" t="s">
        <v>0</v>
      </c>
      <c r="G17472" t="str">
        <f>"2018-10-11 17:54:42"</f>
        <v>2018-10-11 17:54:42</v>
      </c>
    </row>
    <row r="17473" spans="1:7" x14ac:dyDescent="0.2">
      <c r="A17473" t="s">
        <v>1</v>
      </c>
      <c r="B17473" t="str">
        <f>"15565290008"</f>
        <v>15565290008</v>
      </c>
      <c r="C17473" t="s">
        <v>1</v>
      </c>
      <c r="D17473" t="s">
        <v>1</v>
      </c>
      <c r="E17473" t="s">
        <v>1</v>
      </c>
      <c r="F17473" t="s">
        <v>0</v>
      </c>
      <c r="G17473" t="str">
        <f>"2018-10-11 17:52:24"</f>
        <v>2018-10-11 17:52:24</v>
      </c>
    </row>
    <row r="17474" spans="1:7" x14ac:dyDescent="0.2">
      <c r="A17474" t="s">
        <v>1</v>
      </c>
      <c r="B17474" t="str">
        <f>"13584122555"</f>
        <v>13584122555</v>
      </c>
      <c r="C17474" t="s">
        <v>1</v>
      </c>
      <c r="D17474" t="s">
        <v>1</v>
      </c>
      <c r="E17474" t="s">
        <v>1</v>
      </c>
      <c r="F17474" t="s">
        <v>0</v>
      </c>
      <c r="G17474" t="str">
        <f>"2018-10-11 17:52:15"</f>
        <v>2018-10-11 17:52:15</v>
      </c>
    </row>
    <row r="17475" spans="1:7" x14ac:dyDescent="0.2">
      <c r="A17475" t="s">
        <v>16606</v>
      </c>
      <c r="B17475" t="str">
        <f>"13915113456"</f>
        <v>13915113456</v>
      </c>
      <c r="C17475" t="str">
        <f>"320802196901132018"</f>
        <v>320802196901132018</v>
      </c>
      <c r="D17475" t="s">
        <v>1</v>
      </c>
      <c r="E17475" t="s">
        <v>1</v>
      </c>
      <c r="F17475" t="s">
        <v>0</v>
      </c>
      <c r="G17475" t="str">
        <f>"2018-10-11 18:06:04"</f>
        <v>2018-10-11 18:06:04</v>
      </c>
    </row>
    <row r="17476" spans="1:7" x14ac:dyDescent="0.2">
      <c r="A17476" t="s">
        <v>16607</v>
      </c>
      <c r="B17476" t="str">
        <f>"15770301338"</f>
        <v>15770301338</v>
      </c>
      <c r="C17476" t="str">
        <f>"533025198804201239"</f>
        <v>533025198804201239</v>
      </c>
      <c r="D17476" t="s">
        <v>1</v>
      </c>
      <c r="E17476" t="s">
        <v>1</v>
      </c>
      <c r="F17476" t="s">
        <v>0</v>
      </c>
      <c r="G17476" t="str">
        <f>"2018-10-11 17:55:37"</f>
        <v>2018-10-11 17:55:37</v>
      </c>
    </row>
    <row r="17477" spans="1:7" x14ac:dyDescent="0.2">
      <c r="A17477" t="s">
        <v>16608</v>
      </c>
      <c r="B17477" t="str">
        <f>"13881039139"</f>
        <v>13881039139</v>
      </c>
      <c r="C17477" t="str">
        <f>"510623199001113428"</f>
        <v>510623199001113428</v>
      </c>
      <c r="D17477" t="s">
        <v>1</v>
      </c>
      <c r="E17477" t="s">
        <v>1</v>
      </c>
      <c r="F17477" t="s">
        <v>0</v>
      </c>
      <c r="G17477" t="str">
        <f>"2018-10-11 17:54:06"</f>
        <v>2018-10-11 17:54:06</v>
      </c>
    </row>
    <row r="17478" spans="1:7" x14ac:dyDescent="0.2">
      <c r="A17478" t="s">
        <v>16609</v>
      </c>
      <c r="B17478" t="str">
        <f>"15815084365"</f>
        <v>15815084365</v>
      </c>
      <c r="C17478" t="str">
        <f>"440583198109302560"</f>
        <v>440583198109302560</v>
      </c>
      <c r="D17478" t="s">
        <v>1</v>
      </c>
      <c r="E17478" t="s">
        <v>1</v>
      </c>
      <c r="F17478" t="s">
        <v>0</v>
      </c>
      <c r="G17478" t="str">
        <f>"2018-10-11 17:55:07"</f>
        <v>2018-10-11 17:55:07</v>
      </c>
    </row>
    <row r="17479" spans="1:7" x14ac:dyDescent="0.2">
      <c r="A17479" t="s">
        <v>1</v>
      </c>
      <c r="B17479" t="str">
        <f>"13544448306"</f>
        <v>13544448306</v>
      </c>
      <c r="C17479" t="s">
        <v>1</v>
      </c>
      <c r="D17479" t="s">
        <v>1</v>
      </c>
      <c r="E17479" t="s">
        <v>1</v>
      </c>
      <c r="F17479" t="s">
        <v>0</v>
      </c>
      <c r="G17479" t="str">
        <f>"2018-10-11 17:51:41"</f>
        <v>2018-10-11 17:51:41</v>
      </c>
    </row>
    <row r="17480" spans="1:7" x14ac:dyDescent="0.2">
      <c r="A17480" t="s">
        <v>16610</v>
      </c>
      <c r="B17480" t="str">
        <f>"15841770228"</f>
        <v>15841770228</v>
      </c>
      <c r="C17480" t="str">
        <f>"210881198401016319"</f>
        <v>210881198401016319</v>
      </c>
      <c r="D17480" t="s">
        <v>16611</v>
      </c>
      <c r="E17480" t="s">
        <v>16612</v>
      </c>
      <c r="F17480" t="s">
        <v>0</v>
      </c>
      <c r="G17480" t="str">
        <f>"2018-10-11 17:51:23"</f>
        <v>2018-10-11 17:51:23</v>
      </c>
    </row>
    <row r="17481" spans="1:7" x14ac:dyDescent="0.2">
      <c r="A17481" t="s">
        <v>1</v>
      </c>
      <c r="B17481" t="str">
        <f>"13595135951"</f>
        <v>13595135951</v>
      </c>
      <c r="C17481" t="s">
        <v>1</v>
      </c>
      <c r="D17481" t="s">
        <v>1</v>
      </c>
      <c r="E17481" t="s">
        <v>1</v>
      </c>
      <c r="F17481" t="s">
        <v>0</v>
      </c>
      <c r="G17481" t="str">
        <f>"2018-10-11 17:51:17"</f>
        <v>2018-10-11 17:51:17</v>
      </c>
    </row>
    <row r="17482" spans="1:7" x14ac:dyDescent="0.2">
      <c r="A17482" t="s">
        <v>16613</v>
      </c>
      <c r="B17482" t="str">
        <f>"18789894848"</f>
        <v>18789894848</v>
      </c>
      <c r="C17482" t="str">
        <f>"46000719850101503X"</f>
        <v>46000719850101503X</v>
      </c>
      <c r="D17482" t="s">
        <v>16614</v>
      </c>
      <c r="E17482" t="s">
        <v>16615</v>
      </c>
      <c r="F17482" t="s">
        <v>0</v>
      </c>
      <c r="G17482" t="str">
        <f>"2018-10-11 17:53:52"</f>
        <v>2018-10-11 17:53:52</v>
      </c>
    </row>
    <row r="17483" spans="1:7" x14ac:dyDescent="0.2">
      <c r="A17483" t="s">
        <v>16616</v>
      </c>
      <c r="B17483" t="str">
        <f>"13815576630"</f>
        <v>13815576630</v>
      </c>
      <c r="C17483" t="str">
        <f>"320911199302273420"</f>
        <v>320911199302273420</v>
      </c>
      <c r="D17483" t="s">
        <v>1</v>
      </c>
      <c r="E17483" t="s">
        <v>1</v>
      </c>
      <c r="F17483" t="s">
        <v>0</v>
      </c>
      <c r="G17483" t="str">
        <f>"2018-10-11 18:14:48"</f>
        <v>2018-10-11 18:14:48</v>
      </c>
    </row>
    <row r="17484" spans="1:7" x14ac:dyDescent="0.2">
      <c r="A17484" t="s">
        <v>16617</v>
      </c>
      <c r="B17484" t="str">
        <f>"18437338903"</f>
        <v>18437338903</v>
      </c>
      <c r="C17484" t="str">
        <f>"410781199101226513"</f>
        <v>410781199101226513</v>
      </c>
      <c r="D17484" t="s">
        <v>16618</v>
      </c>
      <c r="E17484" t="s">
        <v>16619</v>
      </c>
      <c r="F17484" t="s">
        <v>0</v>
      </c>
      <c r="G17484" t="str">
        <f>"2018-10-30 16:23:39"</f>
        <v>2018-10-30 16:23:39</v>
      </c>
    </row>
    <row r="17485" spans="1:7" x14ac:dyDescent="0.2">
      <c r="A17485" t="s">
        <v>1</v>
      </c>
      <c r="B17485" t="str">
        <f>"17862286116"</f>
        <v>17862286116</v>
      </c>
      <c r="C17485" t="s">
        <v>1</v>
      </c>
      <c r="D17485" t="s">
        <v>1</v>
      </c>
      <c r="E17485" t="s">
        <v>1</v>
      </c>
      <c r="F17485" t="s">
        <v>0</v>
      </c>
      <c r="G17485" t="str">
        <f>"2018-10-11 17:50:17"</f>
        <v>2018-10-11 17:50:17</v>
      </c>
    </row>
    <row r="17486" spans="1:7" x14ac:dyDescent="0.2">
      <c r="A17486" t="s">
        <v>16620</v>
      </c>
      <c r="B17486" t="str">
        <f>"18381708775"</f>
        <v>18381708775</v>
      </c>
      <c r="C17486" t="str">
        <f>"511621198712208339"</f>
        <v>511621198712208339</v>
      </c>
      <c r="D17486" t="s">
        <v>1</v>
      </c>
      <c r="E17486" t="s">
        <v>1</v>
      </c>
      <c r="F17486" t="s">
        <v>0</v>
      </c>
      <c r="G17486" t="str">
        <f>"2018-10-11 17:53:51"</f>
        <v>2018-10-11 17:53:51</v>
      </c>
    </row>
    <row r="17487" spans="1:7" x14ac:dyDescent="0.2">
      <c r="A17487" t="s">
        <v>1</v>
      </c>
      <c r="B17487" t="str">
        <f>"13302392298"</f>
        <v>13302392298</v>
      </c>
      <c r="C17487" t="s">
        <v>1</v>
      </c>
      <c r="D17487" t="s">
        <v>1</v>
      </c>
      <c r="E17487" t="s">
        <v>1</v>
      </c>
      <c r="F17487" t="s">
        <v>0</v>
      </c>
      <c r="G17487" t="str">
        <f>"2018-10-11 17:53:04"</f>
        <v>2018-10-11 17:53:04</v>
      </c>
    </row>
    <row r="17488" spans="1:7" x14ac:dyDescent="0.2">
      <c r="A17488" t="s">
        <v>16621</v>
      </c>
      <c r="B17488" t="str">
        <f>"15903671309"</f>
        <v>15903671309</v>
      </c>
      <c r="C17488" t="str">
        <f>"41010819890723004X"</f>
        <v>41010819890723004X</v>
      </c>
      <c r="D17488" t="s">
        <v>1</v>
      </c>
      <c r="E17488" t="s">
        <v>1</v>
      </c>
      <c r="F17488" t="s">
        <v>0</v>
      </c>
      <c r="G17488" t="str">
        <f>"2018-10-18 10:45:28"</f>
        <v>2018-10-18 10:45:28</v>
      </c>
    </row>
    <row r="17489" spans="1:7" x14ac:dyDescent="0.2">
      <c r="A17489" t="s">
        <v>16622</v>
      </c>
      <c r="B17489" t="str">
        <f>"18931044466"</f>
        <v>18931044466</v>
      </c>
      <c r="C17489" t="str">
        <f>"130425198402026153"</f>
        <v>130425198402026153</v>
      </c>
      <c r="D17489" t="s">
        <v>16623</v>
      </c>
      <c r="E17489" t="s">
        <v>16624</v>
      </c>
      <c r="F17489" t="s">
        <v>0</v>
      </c>
      <c r="G17489" t="str">
        <f>"2018-10-12 09:51:27"</f>
        <v>2018-10-12 09:51:27</v>
      </c>
    </row>
    <row r="17490" spans="1:7" x14ac:dyDescent="0.2">
      <c r="A17490" t="s">
        <v>16625</v>
      </c>
      <c r="B17490" t="str">
        <f>"13600005355"</f>
        <v>13600005355</v>
      </c>
      <c r="C17490" t="str">
        <f>"440183198604021756"</f>
        <v>440183198604021756</v>
      </c>
      <c r="D17490" t="s">
        <v>1</v>
      </c>
      <c r="E17490" t="s">
        <v>1</v>
      </c>
      <c r="F17490" t="s">
        <v>0</v>
      </c>
      <c r="G17490" t="str">
        <f>"2018-10-11 17:51:06"</f>
        <v>2018-10-11 17:51:06</v>
      </c>
    </row>
    <row r="17491" spans="1:7" x14ac:dyDescent="0.2">
      <c r="A17491" t="s">
        <v>1</v>
      </c>
      <c r="B17491" t="str">
        <f>"13624956465"</f>
        <v>13624956465</v>
      </c>
      <c r="C17491" t="s">
        <v>1</v>
      </c>
      <c r="D17491" t="s">
        <v>1</v>
      </c>
      <c r="E17491" t="s">
        <v>1</v>
      </c>
      <c r="F17491" t="s">
        <v>0</v>
      </c>
      <c r="G17491" t="str">
        <f>"2018-10-11 17:48:48"</f>
        <v>2018-10-11 17:48:48</v>
      </c>
    </row>
    <row r="17492" spans="1:7" x14ac:dyDescent="0.2">
      <c r="A17492" t="s">
        <v>1</v>
      </c>
      <c r="B17492" t="str">
        <f>"15874966713"</f>
        <v>15874966713</v>
      </c>
      <c r="C17492" t="s">
        <v>1</v>
      </c>
      <c r="D17492" t="s">
        <v>1</v>
      </c>
      <c r="E17492" t="s">
        <v>1</v>
      </c>
      <c r="F17492" t="s">
        <v>0</v>
      </c>
      <c r="G17492" t="str">
        <f>"2018-10-11 17:48:26"</f>
        <v>2018-10-11 17:48:26</v>
      </c>
    </row>
    <row r="17493" spans="1:7" x14ac:dyDescent="0.2">
      <c r="A17493" t="s">
        <v>16626</v>
      </c>
      <c r="B17493" t="str">
        <f>"18976559188"</f>
        <v>18976559188</v>
      </c>
      <c r="C17493" t="str">
        <f>"460034197010130038"</f>
        <v>460034197010130038</v>
      </c>
      <c r="D17493" t="s">
        <v>1</v>
      </c>
      <c r="E17493" t="s">
        <v>1</v>
      </c>
      <c r="F17493" t="s">
        <v>0</v>
      </c>
      <c r="G17493" t="str">
        <f>"2018-10-11 17:50:16"</f>
        <v>2018-10-11 17:50:16</v>
      </c>
    </row>
    <row r="17494" spans="1:7" x14ac:dyDescent="0.2">
      <c r="A17494" t="s">
        <v>16627</v>
      </c>
      <c r="B17494" t="str">
        <f>"15706707664"</f>
        <v>15706707664</v>
      </c>
      <c r="C17494" t="str">
        <f>"330481200009154827"</f>
        <v>330481200009154827</v>
      </c>
      <c r="D17494" t="s">
        <v>1</v>
      </c>
      <c r="E17494" t="s">
        <v>1</v>
      </c>
      <c r="F17494" t="s">
        <v>0</v>
      </c>
      <c r="G17494" t="str">
        <f>"2018-10-11 17:49:34"</f>
        <v>2018-10-11 17:49:34</v>
      </c>
    </row>
    <row r="17495" spans="1:7" x14ac:dyDescent="0.2">
      <c r="A17495" t="s">
        <v>16628</v>
      </c>
      <c r="B17495" t="str">
        <f>"13014817164"</f>
        <v>13014817164</v>
      </c>
      <c r="C17495" t="str">
        <f>"450821199908194379"</f>
        <v>450821199908194379</v>
      </c>
      <c r="D17495" t="s">
        <v>1</v>
      </c>
      <c r="E17495" t="s">
        <v>1</v>
      </c>
      <c r="F17495" t="s">
        <v>0</v>
      </c>
      <c r="G17495" t="str">
        <f>"2018-10-11 17:49:00"</f>
        <v>2018-10-11 17:49:00</v>
      </c>
    </row>
    <row r="17496" spans="1:7" x14ac:dyDescent="0.2">
      <c r="A17496" t="s">
        <v>16629</v>
      </c>
      <c r="B17496" t="str">
        <f>"17785037562"</f>
        <v>17785037562</v>
      </c>
      <c r="C17496" t="str">
        <f>"52042319930801007X"</f>
        <v>52042319930801007X</v>
      </c>
      <c r="D17496" t="s">
        <v>1</v>
      </c>
      <c r="E17496" t="s">
        <v>1</v>
      </c>
      <c r="F17496" t="s">
        <v>0</v>
      </c>
      <c r="G17496" t="str">
        <f>"2018-10-11 17:48:29"</f>
        <v>2018-10-11 17:48:29</v>
      </c>
    </row>
    <row r="17497" spans="1:7" x14ac:dyDescent="0.2">
      <c r="A17497" t="s">
        <v>16630</v>
      </c>
      <c r="B17497" t="str">
        <f>"18350643752"</f>
        <v>18350643752</v>
      </c>
      <c r="C17497" t="str">
        <f>"350624199711271515"</f>
        <v>350624199711271515</v>
      </c>
      <c r="D17497" t="s">
        <v>16631</v>
      </c>
      <c r="E17497" t="s">
        <v>16632</v>
      </c>
      <c r="F17497" t="s">
        <v>0</v>
      </c>
      <c r="G17497" t="str">
        <f>"2018-10-12 18:15:49"</f>
        <v>2018-10-12 18:15:49</v>
      </c>
    </row>
    <row r="17498" spans="1:7" x14ac:dyDescent="0.2">
      <c r="A17498" t="s">
        <v>16633</v>
      </c>
      <c r="B17498" t="str">
        <f>"15840466861"</f>
        <v>15840466861</v>
      </c>
      <c r="C17498" t="str">
        <f>"210102198309252235"</f>
        <v>210102198309252235</v>
      </c>
      <c r="D17498" t="s">
        <v>1</v>
      </c>
      <c r="E17498" t="s">
        <v>1</v>
      </c>
      <c r="F17498" t="s">
        <v>0</v>
      </c>
      <c r="G17498" t="str">
        <f>"2018-10-27 16:39:10"</f>
        <v>2018-10-27 16:39:10</v>
      </c>
    </row>
    <row r="17499" spans="1:7" x14ac:dyDescent="0.2">
      <c r="A17499" t="s">
        <v>1</v>
      </c>
      <c r="B17499" t="str">
        <f>"18554638828"</f>
        <v>18554638828</v>
      </c>
      <c r="C17499" t="s">
        <v>1</v>
      </c>
      <c r="D17499" t="s">
        <v>1</v>
      </c>
      <c r="E17499" t="s">
        <v>1</v>
      </c>
      <c r="F17499" t="s">
        <v>0</v>
      </c>
      <c r="G17499" t="str">
        <f>"2018-10-11 17:46:12"</f>
        <v>2018-10-11 17:46:12</v>
      </c>
    </row>
    <row r="17500" spans="1:7" x14ac:dyDescent="0.2">
      <c r="A17500" t="s">
        <v>16634</v>
      </c>
      <c r="B17500" t="str">
        <f>"13754835381"</f>
        <v>13754835381</v>
      </c>
      <c r="C17500" t="str">
        <f>"130481198606201671"</f>
        <v>130481198606201671</v>
      </c>
      <c r="D17500" t="s">
        <v>1</v>
      </c>
      <c r="E17500" t="s">
        <v>1</v>
      </c>
      <c r="F17500" t="s">
        <v>0</v>
      </c>
      <c r="G17500" t="str">
        <f>"2018-10-11 17:45:49"</f>
        <v>2018-10-11 17:45:49</v>
      </c>
    </row>
    <row r="17501" spans="1:7" x14ac:dyDescent="0.2">
      <c r="A17501" t="s">
        <v>1853</v>
      </c>
      <c r="B17501" t="str">
        <f>"18075171258"</f>
        <v>18075171258</v>
      </c>
      <c r="C17501" t="str">
        <f>"430621198410028745"</f>
        <v>430621198410028745</v>
      </c>
      <c r="D17501" t="s">
        <v>1</v>
      </c>
      <c r="E17501" t="s">
        <v>1</v>
      </c>
      <c r="F17501" t="s">
        <v>0</v>
      </c>
      <c r="G17501" t="str">
        <f>"2018-10-11 17:47:13"</f>
        <v>2018-10-11 17:47:13</v>
      </c>
    </row>
    <row r="17502" spans="1:7" x14ac:dyDescent="0.2">
      <c r="A17502" t="s">
        <v>16635</v>
      </c>
      <c r="B17502" t="str">
        <f>"13754804637"</f>
        <v>13754804637</v>
      </c>
      <c r="C17502" t="str">
        <f>"140107198603014813"</f>
        <v>140107198603014813</v>
      </c>
      <c r="D17502" t="s">
        <v>1</v>
      </c>
      <c r="E17502" t="s">
        <v>1</v>
      </c>
      <c r="F17502" t="s">
        <v>0</v>
      </c>
      <c r="G17502" t="str">
        <f>"2018-10-11 17:47:00"</f>
        <v>2018-10-11 17:47:00</v>
      </c>
    </row>
    <row r="17503" spans="1:7" x14ac:dyDescent="0.2">
      <c r="A17503" t="s">
        <v>16636</v>
      </c>
      <c r="B17503" t="str">
        <f>"13726126364"</f>
        <v>13726126364</v>
      </c>
      <c r="C17503" t="str">
        <f>"442000198208094633"</f>
        <v>442000198208094633</v>
      </c>
      <c r="D17503" t="s">
        <v>1</v>
      </c>
      <c r="E17503" t="s">
        <v>1</v>
      </c>
      <c r="F17503" t="s">
        <v>0</v>
      </c>
      <c r="G17503" t="str">
        <f>"2018-10-11 17:47:58"</f>
        <v>2018-10-11 17:47:58</v>
      </c>
    </row>
    <row r="17504" spans="1:7" x14ac:dyDescent="0.2">
      <c r="A17504" t="s">
        <v>1772</v>
      </c>
      <c r="B17504" t="str">
        <f>"15274170337"</f>
        <v>15274170337</v>
      </c>
      <c r="C17504" t="str">
        <f>"431028198007060019"</f>
        <v>431028198007060019</v>
      </c>
      <c r="D17504" t="s">
        <v>1</v>
      </c>
      <c r="E17504" t="s">
        <v>1</v>
      </c>
      <c r="F17504" t="s">
        <v>0</v>
      </c>
      <c r="G17504" t="str">
        <f>"2018-10-11 17:44:37"</f>
        <v>2018-10-11 17:44:37</v>
      </c>
    </row>
    <row r="17505" spans="1:7" x14ac:dyDescent="0.2">
      <c r="A17505" t="s">
        <v>1</v>
      </c>
      <c r="B17505" t="str">
        <f>"15065544797"</f>
        <v>15065544797</v>
      </c>
      <c r="C17505" t="s">
        <v>1</v>
      </c>
      <c r="D17505" t="s">
        <v>1</v>
      </c>
      <c r="E17505" t="s">
        <v>1</v>
      </c>
      <c r="F17505" t="s">
        <v>0</v>
      </c>
      <c r="G17505" t="str">
        <f>"2018-10-11 17:44:33"</f>
        <v>2018-10-11 17:44:33</v>
      </c>
    </row>
    <row r="17506" spans="1:7" x14ac:dyDescent="0.2">
      <c r="A17506" t="s">
        <v>16637</v>
      </c>
      <c r="B17506" t="str">
        <f>"13566994212"</f>
        <v>13566994212</v>
      </c>
      <c r="C17506" t="str">
        <f>"330723198308265589"</f>
        <v>330723198308265589</v>
      </c>
      <c r="D17506" t="s">
        <v>1</v>
      </c>
      <c r="E17506" t="s">
        <v>1</v>
      </c>
      <c r="F17506" t="s">
        <v>0</v>
      </c>
      <c r="G17506" t="str">
        <f>"2018-10-23 16:23:00"</f>
        <v>2018-10-23 16:23:00</v>
      </c>
    </row>
    <row r="17507" spans="1:7" x14ac:dyDescent="0.2">
      <c r="A17507" t="s">
        <v>1</v>
      </c>
      <c r="B17507" t="str">
        <f>"13830468380"</f>
        <v>13830468380</v>
      </c>
      <c r="C17507" t="s">
        <v>1</v>
      </c>
      <c r="D17507" t="s">
        <v>1</v>
      </c>
      <c r="E17507" t="s">
        <v>1</v>
      </c>
      <c r="F17507" t="s">
        <v>0</v>
      </c>
      <c r="G17507" t="str">
        <f>"2018-10-11 17:43:41"</f>
        <v>2018-10-11 17:43:41</v>
      </c>
    </row>
    <row r="17508" spans="1:7" x14ac:dyDescent="0.2">
      <c r="A17508" t="s">
        <v>16638</v>
      </c>
      <c r="B17508" t="str">
        <f>"15219296447"</f>
        <v>15219296447</v>
      </c>
      <c r="C17508" t="str">
        <f>"440811199409180357"</f>
        <v>440811199409180357</v>
      </c>
      <c r="D17508" t="s">
        <v>1</v>
      </c>
      <c r="E17508" t="s">
        <v>1</v>
      </c>
      <c r="F17508" t="s">
        <v>0</v>
      </c>
      <c r="G17508" t="str">
        <f>"2018-10-11 18:31:49"</f>
        <v>2018-10-11 18:31:49</v>
      </c>
    </row>
    <row r="17509" spans="1:7" x14ac:dyDescent="0.2">
      <c r="A17509" t="s">
        <v>16639</v>
      </c>
      <c r="B17509" t="str">
        <f>"13929913255"</f>
        <v>13929913255</v>
      </c>
      <c r="C17509" t="str">
        <f>"441881198708131454"</f>
        <v>441881198708131454</v>
      </c>
      <c r="D17509" t="s">
        <v>1</v>
      </c>
      <c r="E17509" t="s">
        <v>1</v>
      </c>
      <c r="F17509" t="s">
        <v>0</v>
      </c>
      <c r="G17509" t="str">
        <f>"2018-10-11 18:21:27"</f>
        <v>2018-10-11 18:21:27</v>
      </c>
    </row>
    <row r="17510" spans="1:7" x14ac:dyDescent="0.2">
      <c r="A17510" t="s">
        <v>16640</v>
      </c>
      <c r="B17510" t="str">
        <f>"18696530935"</f>
        <v>18696530935</v>
      </c>
      <c r="C17510" t="str">
        <f>"510824198809091631"</f>
        <v>510824198809091631</v>
      </c>
      <c r="D17510" t="s">
        <v>1</v>
      </c>
      <c r="E17510" t="s">
        <v>1</v>
      </c>
      <c r="F17510" t="s">
        <v>0</v>
      </c>
      <c r="G17510" t="str">
        <f>"2018-10-12 18:10:38"</f>
        <v>2018-10-12 18:10:38</v>
      </c>
    </row>
    <row r="17511" spans="1:7" x14ac:dyDescent="0.2">
      <c r="A17511" t="s">
        <v>16641</v>
      </c>
      <c r="B17511" t="str">
        <f>"18600772016"</f>
        <v>18600772016</v>
      </c>
      <c r="C17511" t="str">
        <f>"110105198006036514"</f>
        <v>110105198006036514</v>
      </c>
      <c r="D17511" t="s">
        <v>1</v>
      </c>
      <c r="E17511" t="s">
        <v>1</v>
      </c>
      <c r="F17511" t="s">
        <v>0</v>
      </c>
      <c r="G17511" t="str">
        <f>"2018-10-11 17:51:35"</f>
        <v>2018-10-11 17:51:35</v>
      </c>
    </row>
    <row r="17512" spans="1:7" x14ac:dyDescent="0.2">
      <c r="A17512" t="s">
        <v>1</v>
      </c>
      <c r="B17512" t="str">
        <f>"13879694580"</f>
        <v>13879694580</v>
      </c>
      <c r="C17512" t="s">
        <v>1</v>
      </c>
      <c r="D17512" t="s">
        <v>1</v>
      </c>
      <c r="E17512" t="s">
        <v>1</v>
      </c>
      <c r="F17512" t="s">
        <v>0</v>
      </c>
      <c r="G17512" t="str">
        <f>"2018-10-11 17:42:20"</f>
        <v>2018-10-11 17:42:20</v>
      </c>
    </row>
    <row r="17513" spans="1:7" x14ac:dyDescent="0.2">
      <c r="A17513" t="s">
        <v>1</v>
      </c>
      <c r="B17513" t="str">
        <f>"13896542845"</f>
        <v>13896542845</v>
      </c>
      <c r="C17513" t="s">
        <v>1</v>
      </c>
      <c r="D17513" t="s">
        <v>1</v>
      </c>
      <c r="E17513" t="s">
        <v>1</v>
      </c>
      <c r="F17513" t="s">
        <v>0</v>
      </c>
      <c r="G17513" t="str">
        <f>"2018-10-11 17:44:41"</f>
        <v>2018-10-11 17:44:41</v>
      </c>
    </row>
    <row r="17514" spans="1:7" x14ac:dyDescent="0.2">
      <c r="A17514" t="s">
        <v>16642</v>
      </c>
      <c r="B17514" t="str">
        <f>"18991700739"</f>
        <v>18991700739</v>
      </c>
      <c r="C17514" t="str">
        <f>"61032219821217004X"</f>
        <v>61032219821217004X</v>
      </c>
      <c r="D17514" t="s">
        <v>1</v>
      </c>
      <c r="E17514" t="s">
        <v>1</v>
      </c>
      <c r="F17514" t="s">
        <v>0</v>
      </c>
      <c r="G17514" t="str">
        <f>"2018-10-11 17:43:01"</f>
        <v>2018-10-11 17:43:01</v>
      </c>
    </row>
    <row r="17515" spans="1:7" x14ac:dyDescent="0.2">
      <c r="A17515" t="s">
        <v>591</v>
      </c>
      <c r="B17515" t="str">
        <f>"18386167156"</f>
        <v>18386167156</v>
      </c>
      <c r="C17515" t="str">
        <f>"522422199511150065"</f>
        <v>522422199511150065</v>
      </c>
      <c r="D17515" t="s">
        <v>1</v>
      </c>
      <c r="E17515" t="s">
        <v>1</v>
      </c>
      <c r="F17515" t="s">
        <v>0</v>
      </c>
      <c r="G17515" t="str">
        <f>"2018-10-11 17:43:31"</f>
        <v>2018-10-11 17:43:31</v>
      </c>
    </row>
    <row r="17516" spans="1:7" x14ac:dyDescent="0.2">
      <c r="A17516" t="s">
        <v>16643</v>
      </c>
      <c r="B17516" t="str">
        <f>"18286993143"</f>
        <v>18286993143</v>
      </c>
      <c r="C17516" t="str">
        <f>"522321196807140813"</f>
        <v>522321196807140813</v>
      </c>
      <c r="D17516" t="s">
        <v>1</v>
      </c>
      <c r="E17516" t="s">
        <v>1</v>
      </c>
      <c r="F17516" t="s">
        <v>0</v>
      </c>
      <c r="G17516" t="str">
        <f>"2018-10-26 14:48:35"</f>
        <v>2018-10-26 14:48:35</v>
      </c>
    </row>
    <row r="17517" spans="1:7" x14ac:dyDescent="0.2">
      <c r="A17517" t="s">
        <v>16644</v>
      </c>
      <c r="B17517" t="str">
        <f>"13728214378"</f>
        <v>13728214378</v>
      </c>
      <c r="C17517" t="str">
        <f>"420381198211037014"</f>
        <v>420381198211037014</v>
      </c>
      <c r="D17517" t="s">
        <v>1</v>
      </c>
      <c r="E17517" t="s">
        <v>1</v>
      </c>
      <c r="F17517" t="s">
        <v>0</v>
      </c>
      <c r="G17517" t="str">
        <f>"2018-10-11 17:41:39"</f>
        <v>2018-10-11 17:41:39</v>
      </c>
    </row>
    <row r="17518" spans="1:7" x14ac:dyDescent="0.2">
      <c r="A17518" t="s">
        <v>16645</v>
      </c>
      <c r="B17518" t="str">
        <f>"13775310514"</f>
        <v>13775310514</v>
      </c>
      <c r="C17518" t="str">
        <f>"321182198607102233"</f>
        <v>321182198607102233</v>
      </c>
      <c r="D17518" t="s">
        <v>1</v>
      </c>
      <c r="E17518" t="s">
        <v>1</v>
      </c>
      <c r="F17518" t="s">
        <v>0</v>
      </c>
      <c r="G17518" t="str">
        <f>"2018-10-11 17:42:05"</f>
        <v>2018-10-11 17:42:05</v>
      </c>
    </row>
    <row r="17519" spans="1:7" x14ac:dyDescent="0.2">
      <c r="A17519" t="s">
        <v>1</v>
      </c>
      <c r="B17519" t="str">
        <f>"18919848076"</f>
        <v>18919848076</v>
      </c>
      <c r="C17519" t="s">
        <v>1</v>
      </c>
      <c r="D17519" t="s">
        <v>1</v>
      </c>
      <c r="E17519" t="s">
        <v>1</v>
      </c>
      <c r="F17519" t="s">
        <v>0</v>
      </c>
      <c r="G17519" t="str">
        <f>"2018-10-11 17:39:29"</f>
        <v>2018-10-11 17:39:29</v>
      </c>
    </row>
    <row r="17520" spans="1:7" x14ac:dyDescent="0.2">
      <c r="A17520" t="s">
        <v>1017</v>
      </c>
      <c r="B17520" t="str">
        <f>"17325840935"</f>
        <v>17325840935</v>
      </c>
      <c r="C17520" t="str">
        <f>"510902199805282408"</f>
        <v>510902199805282408</v>
      </c>
      <c r="D17520" t="s">
        <v>1</v>
      </c>
      <c r="E17520" t="s">
        <v>1</v>
      </c>
      <c r="F17520" t="s">
        <v>0</v>
      </c>
      <c r="G17520" t="str">
        <f>"2018-10-11 17:40:17"</f>
        <v>2018-10-11 17:40:17</v>
      </c>
    </row>
    <row r="17521" spans="1:7" x14ac:dyDescent="0.2">
      <c r="A17521" t="s">
        <v>16646</v>
      </c>
      <c r="B17521" t="str">
        <f>"13985600675"</f>
        <v>13985600675</v>
      </c>
      <c r="C17521" t="str">
        <f>"522132198708014915"</f>
        <v>522132198708014915</v>
      </c>
      <c r="D17521" t="s">
        <v>1</v>
      </c>
      <c r="E17521" t="s">
        <v>1</v>
      </c>
      <c r="F17521" t="s">
        <v>0</v>
      </c>
      <c r="G17521" t="str">
        <f>"2018-10-11 17:43:42"</f>
        <v>2018-10-11 17:43:42</v>
      </c>
    </row>
    <row r="17522" spans="1:7" x14ac:dyDescent="0.2">
      <c r="A17522" t="s">
        <v>621</v>
      </c>
      <c r="B17522" t="str">
        <f>"18832829200"</f>
        <v>18832829200</v>
      </c>
      <c r="C17522" t="str">
        <f>"131127199412075495"</f>
        <v>131127199412075495</v>
      </c>
      <c r="D17522" t="s">
        <v>1</v>
      </c>
      <c r="E17522" t="s">
        <v>1</v>
      </c>
      <c r="F17522" t="s">
        <v>0</v>
      </c>
      <c r="G17522" t="str">
        <f>"2018-10-14 13:05:08"</f>
        <v>2018-10-14 13:05:08</v>
      </c>
    </row>
    <row r="17523" spans="1:7" x14ac:dyDescent="0.2">
      <c r="A17523" t="s">
        <v>1</v>
      </c>
      <c r="B17523" t="str">
        <f>"18078559609"</f>
        <v>18078559609</v>
      </c>
      <c r="C17523" t="s">
        <v>1</v>
      </c>
      <c r="D17523" t="s">
        <v>1</v>
      </c>
      <c r="E17523" t="s">
        <v>1</v>
      </c>
      <c r="F17523" t="s">
        <v>0</v>
      </c>
      <c r="G17523" t="str">
        <f>"2018-10-11 17:38:53"</f>
        <v>2018-10-11 17:38:53</v>
      </c>
    </row>
    <row r="17524" spans="1:7" x14ac:dyDescent="0.2">
      <c r="A17524" t="s">
        <v>16647</v>
      </c>
      <c r="B17524" t="str">
        <f>"15191430904"</f>
        <v>15191430904</v>
      </c>
      <c r="C17524" t="str">
        <f>"320305198207141214"</f>
        <v>320305198207141214</v>
      </c>
      <c r="D17524" t="s">
        <v>16648</v>
      </c>
      <c r="E17524" t="s">
        <v>16649</v>
      </c>
      <c r="F17524" t="s">
        <v>0</v>
      </c>
      <c r="G17524" t="str">
        <f>"2018-10-11 17:46:52"</f>
        <v>2018-10-11 17:46:52</v>
      </c>
    </row>
    <row r="17525" spans="1:7" x14ac:dyDescent="0.2">
      <c r="A17525" t="s">
        <v>1</v>
      </c>
      <c r="B17525" t="str">
        <f>"15955398563"</f>
        <v>15955398563</v>
      </c>
      <c r="C17525" t="s">
        <v>1</v>
      </c>
      <c r="D17525" t="s">
        <v>1</v>
      </c>
      <c r="E17525" t="s">
        <v>1</v>
      </c>
      <c r="F17525" t="s">
        <v>0</v>
      </c>
      <c r="G17525" t="str">
        <f>"2018-10-11 17:38:14"</f>
        <v>2018-10-11 17:38:14</v>
      </c>
    </row>
    <row r="17526" spans="1:7" x14ac:dyDescent="0.2">
      <c r="A17526" t="s">
        <v>1</v>
      </c>
      <c r="B17526" t="str">
        <f>"13503508459"</f>
        <v>13503508459</v>
      </c>
      <c r="C17526" t="s">
        <v>1</v>
      </c>
      <c r="D17526" t="s">
        <v>1</v>
      </c>
      <c r="E17526" t="s">
        <v>1</v>
      </c>
      <c r="F17526" t="s">
        <v>0</v>
      </c>
      <c r="G17526" t="str">
        <f>"2018-10-11 17:38:06"</f>
        <v>2018-10-11 17:38:06</v>
      </c>
    </row>
    <row r="17527" spans="1:7" x14ac:dyDescent="0.2">
      <c r="A17527" t="s">
        <v>16650</v>
      </c>
      <c r="B17527" t="str">
        <f>"13568724444"</f>
        <v>13568724444</v>
      </c>
      <c r="C17527" t="str">
        <f>"51090219820411659X"</f>
        <v>51090219820411659X</v>
      </c>
      <c r="D17527" t="s">
        <v>1</v>
      </c>
      <c r="E17527" t="s">
        <v>1</v>
      </c>
      <c r="F17527" t="s">
        <v>0</v>
      </c>
      <c r="G17527" t="str">
        <f>"2018-10-11 17:40:02"</f>
        <v>2018-10-11 17:40:02</v>
      </c>
    </row>
    <row r="17528" spans="1:7" x14ac:dyDescent="0.2">
      <c r="A17528" t="s">
        <v>16651</v>
      </c>
      <c r="B17528" t="str">
        <f>"18632204832"</f>
        <v>18632204832</v>
      </c>
      <c r="C17528" t="str">
        <f>"130681198403061438"</f>
        <v>130681198403061438</v>
      </c>
      <c r="D17528" t="s">
        <v>1</v>
      </c>
      <c r="E17528" t="s">
        <v>1</v>
      </c>
      <c r="F17528" t="s">
        <v>0</v>
      </c>
      <c r="G17528" t="str">
        <f>"2018-10-11 17:37:51"</f>
        <v>2018-10-11 17:37:51</v>
      </c>
    </row>
    <row r="17529" spans="1:7" x14ac:dyDescent="0.2">
      <c r="A17529" t="s">
        <v>16652</v>
      </c>
      <c r="B17529" t="str">
        <f>"18996671855"</f>
        <v>18996671855</v>
      </c>
      <c r="C17529" t="str">
        <f>"50023319950117527X"</f>
        <v>50023319950117527X</v>
      </c>
      <c r="D17529" t="s">
        <v>1</v>
      </c>
      <c r="E17529" t="s">
        <v>1</v>
      </c>
      <c r="F17529" t="s">
        <v>0</v>
      </c>
      <c r="G17529" t="str">
        <f>"2018-10-11 17:45:33"</f>
        <v>2018-10-11 17:45:33</v>
      </c>
    </row>
    <row r="17530" spans="1:7" x14ac:dyDescent="0.2">
      <c r="A17530" t="s">
        <v>1</v>
      </c>
      <c r="B17530" t="str">
        <f>"15969011451"</f>
        <v>15969011451</v>
      </c>
      <c r="C17530" t="s">
        <v>1</v>
      </c>
      <c r="D17530" t="s">
        <v>1</v>
      </c>
      <c r="E17530" t="s">
        <v>1</v>
      </c>
      <c r="F17530" t="s">
        <v>0</v>
      </c>
      <c r="G17530" t="str">
        <f>"2018-10-13 08:14:43"</f>
        <v>2018-10-13 08:14:43</v>
      </c>
    </row>
    <row r="17531" spans="1:7" x14ac:dyDescent="0.2">
      <c r="A17531" t="s">
        <v>562</v>
      </c>
      <c r="B17531" t="str">
        <f>"18786133556"</f>
        <v>18786133556</v>
      </c>
      <c r="C17531" t="str">
        <f>"522422199605202815"</f>
        <v>522422199605202815</v>
      </c>
      <c r="D17531" t="s">
        <v>1</v>
      </c>
      <c r="E17531" t="s">
        <v>1</v>
      </c>
      <c r="F17531" t="s">
        <v>0</v>
      </c>
      <c r="G17531" t="str">
        <f>"2018-10-11 17:52:54"</f>
        <v>2018-10-11 17:52:54</v>
      </c>
    </row>
    <row r="17532" spans="1:7" x14ac:dyDescent="0.2">
      <c r="A17532" t="s">
        <v>1</v>
      </c>
      <c r="B17532" t="str">
        <f>"15152470036"</f>
        <v>15152470036</v>
      </c>
      <c r="C17532" t="s">
        <v>1</v>
      </c>
      <c r="D17532" t="s">
        <v>1</v>
      </c>
      <c r="E17532" t="s">
        <v>1</v>
      </c>
      <c r="F17532" t="s">
        <v>0</v>
      </c>
      <c r="G17532" t="str">
        <f>"2018-10-11 17:37:36"</f>
        <v>2018-10-11 17:37:36</v>
      </c>
    </row>
    <row r="17533" spans="1:7" x14ac:dyDescent="0.2">
      <c r="A17533" t="s">
        <v>1</v>
      </c>
      <c r="B17533" t="str">
        <f>"18957448123"</f>
        <v>18957448123</v>
      </c>
      <c r="C17533" t="s">
        <v>1</v>
      </c>
      <c r="D17533" t="s">
        <v>1</v>
      </c>
      <c r="E17533" t="s">
        <v>1</v>
      </c>
      <c r="F17533" t="s">
        <v>0</v>
      </c>
      <c r="G17533" t="str">
        <f>"2018-10-11 17:37:25"</f>
        <v>2018-10-11 17:37:25</v>
      </c>
    </row>
    <row r="17534" spans="1:7" x14ac:dyDescent="0.2">
      <c r="A17534" t="s">
        <v>16653</v>
      </c>
      <c r="B17534" t="str">
        <f>"18085974566"</f>
        <v>18085974566</v>
      </c>
      <c r="C17534" t="str">
        <f>"522325199703110010"</f>
        <v>522325199703110010</v>
      </c>
      <c r="D17534" t="s">
        <v>1</v>
      </c>
      <c r="E17534" t="s">
        <v>1</v>
      </c>
      <c r="F17534" t="s">
        <v>0</v>
      </c>
      <c r="G17534" t="str">
        <f>"2018-10-11 17:36:59"</f>
        <v>2018-10-11 17:36:59</v>
      </c>
    </row>
    <row r="17535" spans="1:7" x14ac:dyDescent="0.2">
      <c r="A17535" t="s">
        <v>16654</v>
      </c>
      <c r="B17535" t="str">
        <f>"13854905815"</f>
        <v>13854905815</v>
      </c>
      <c r="C17535" t="str">
        <f>"371321199004035010"</f>
        <v>371321199004035010</v>
      </c>
      <c r="D17535" t="s">
        <v>1</v>
      </c>
      <c r="E17535" t="s">
        <v>1</v>
      </c>
      <c r="F17535" t="s">
        <v>0</v>
      </c>
      <c r="G17535" t="str">
        <f>"2018-10-11 17:59:09"</f>
        <v>2018-10-11 17:59:09</v>
      </c>
    </row>
    <row r="17536" spans="1:7" x14ac:dyDescent="0.2">
      <c r="A17536" t="s">
        <v>1</v>
      </c>
      <c r="B17536" t="str">
        <f>"15995996226"</f>
        <v>15995996226</v>
      </c>
      <c r="C17536" t="s">
        <v>1</v>
      </c>
      <c r="D17536" t="s">
        <v>1</v>
      </c>
      <c r="E17536" t="s">
        <v>1</v>
      </c>
      <c r="F17536" t="s">
        <v>0</v>
      </c>
      <c r="G17536" t="str">
        <f>"2018-10-11 17:36:35"</f>
        <v>2018-10-11 17:36:35</v>
      </c>
    </row>
    <row r="17537" spans="1:7" x14ac:dyDescent="0.2">
      <c r="A17537" t="s">
        <v>16655</v>
      </c>
      <c r="B17537" t="str">
        <f>"18692873456"</f>
        <v>18692873456</v>
      </c>
      <c r="C17537" t="str">
        <f>"230921199306070621"</f>
        <v>230921199306070621</v>
      </c>
      <c r="D17537" t="s">
        <v>1</v>
      </c>
      <c r="E17537" t="s">
        <v>1</v>
      </c>
      <c r="F17537" t="s">
        <v>0</v>
      </c>
      <c r="G17537" t="str">
        <f>"2018-10-11 19:27:51"</f>
        <v>2018-10-11 19:27:51</v>
      </c>
    </row>
    <row r="17538" spans="1:7" x14ac:dyDescent="0.2">
      <c r="A17538" t="s">
        <v>16656</v>
      </c>
      <c r="B17538" t="str">
        <f>"13103914327"</f>
        <v>13103914327</v>
      </c>
      <c r="C17538" t="str">
        <f>"410804198805080039"</f>
        <v>410804198805080039</v>
      </c>
      <c r="D17538" t="s">
        <v>1</v>
      </c>
      <c r="E17538" t="s">
        <v>1</v>
      </c>
      <c r="F17538" t="s">
        <v>0</v>
      </c>
      <c r="G17538" t="str">
        <f>"2018-10-23 21:10:07"</f>
        <v>2018-10-23 21:10:07</v>
      </c>
    </row>
    <row r="17539" spans="1:7" x14ac:dyDescent="0.2">
      <c r="A17539" t="s">
        <v>1</v>
      </c>
      <c r="B17539" t="str">
        <f>"13810507802"</f>
        <v>13810507802</v>
      </c>
      <c r="C17539" t="s">
        <v>1</v>
      </c>
      <c r="D17539" t="s">
        <v>1</v>
      </c>
      <c r="E17539" t="s">
        <v>1</v>
      </c>
      <c r="F17539" t="s">
        <v>0</v>
      </c>
      <c r="G17539" t="str">
        <f>"2018-10-11 17:36:00"</f>
        <v>2018-10-11 17:36:00</v>
      </c>
    </row>
    <row r="17540" spans="1:7" x14ac:dyDescent="0.2">
      <c r="A17540" t="s">
        <v>16657</v>
      </c>
      <c r="B17540" t="str">
        <f>"18807853249"</f>
        <v>18807853249</v>
      </c>
      <c r="C17540" t="str">
        <f>"450802199901291732"</f>
        <v>450802199901291732</v>
      </c>
      <c r="D17540" t="s">
        <v>1</v>
      </c>
      <c r="E17540" t="s">
        <v>1</v>
      </c>
      <c r="F17540" t="s">
        <v>0</v>
      </c>
      <c r="G17540" t="str">
        <f>"2018-10-11 20:31:31"</f>
        <v>2018-10-11 20:31:31</v>
      </c>
    </row>
    <row r="17541" spans="1:7" x14ac:dyDescent="0.2">
      <c r="A17541" t="s">
        <v>16658</v>
      </c>
      <c r="B17541" t="str">
        <f>"13332291993"</f>
        <v>13332291993</v>
      </c>
      <c r="C17541" t="str">
        <f>"220521199002011717"</f>
        <v>220521199002011717</v>
      </c>
      <c r="D17541" t="s">
        <v>1</v>
      </c>
      <c r="E17541" t="s">
        <v>1</v>
      </c>
      <c r="F17541" t="s">
        <v>0</v>
      </c>
      <c r="G17541" t="str">
        <f>"2018-10-14 16:35:34"</f>
        <v>2018-10-14 16:35:34</v>
      </c>
    </row>
    <row r="17542" spans="1:7" x14ac:dyDescent="0.2">
      <c r="A17542" t="s">
        <v>16659</v>
      </c>
      <c r="B17542" t="str">
        <f>"15277226606"</f>
        <v>15277226606</v>
      </c>
      <c r="C17542" t="str">
        <f>"452229198607240058"</f>
        <v>452229198607240058</v>
      </c>
      <c r="D17542" t="s">
        <v>16660</v>
      </c>
      <c r="E17542" t="s">
        <v>16661</v>
      </c>
      <c r="F17542" t="s">
        <v>0</v>
      </c>
      <c r="G17542" t="str">
        <f>"2018-10-11 17:37:50"</f>
        <v>2018-10-11 17:37:50</v>
      </c>
    </row>
    <row r="17543" spans="1:7" x14ac:dyDescent="0.2">
      <c r="A17543" t="s">
        <v>16662</v>
      </c>
      <c r="B17543" t="str">
        <f>"18263908222"</f>
        <v>18263908222</v>
      </c>
      <c r="C17543" t="str">
        <f>"371311198911243414"</f>
        <v>371311198911243414</v>
      </c>
      <c r="D17543" t="s">
        <v>1</v>
      </c>
      <c r="E17543" t="s">
        <v>1</v>
      </c>
      <c r="F17543" t="s">
        <v>0</v>
      </c>
      <c r="G17543" t="str">
        <f>"2018-10-11 17:37:41"</f>
        <v>2018-10-11 17:37:41</v>
      </c>
    </row>
    <row r="17544" spans="1:7" x14ac:dyDescent="0.2">
      <c r="A17544" t="s">
        <v>1</v>
      </c>
      <c r="B17544" t="str">
        <f>"18255962757"</f>
        <v>18255962757</v>
      </c>
      <c r="C17544" t="s">
        <v>1</v>
      </c>
      <c r="D17544" t="s">
        <v>1</v>
      </c>
      <c r="E17544" t="s">
        <v>1</v>
      </c>
      <c r="F17544" t="s">
        <v>0</v>
      </c>
      <c r="G17544" t="str">
        <f>"2018-10-11 17:35:35"</f>
        <v>2018-10-11 17:35:35</v>
      </c>
    </row>
    <row r="17545" spans="1:7" x14ac:dyDescent="0.2">
      <c r="A17545" t="s">
        <v>1</v>
      </c>
      <c r="B17545" t="str">
        <f>"15349680231"</f>
        <v>15349680231</v>
      </c>
      <c r="C17545" t="s">
        <v>1</v>
      </c>
      <c r="D17545" t="s">
        <v>1</v>
      </c>
      <c r="E17545" t="s">
        <v>1</v>
      </c>
      <c r="F17545" t="s">
        <v>0</v>
      </c>
      <c r="G17545" t="str">
        <f>"2018-10-11 17:35:27"</f>
        <v>2018-10-11 17:35:27</v>
      </c>
    </row>
    <row r="17546" spans="1:7" x14ac:dyDescent="0.2">
      <c r="A17546" t="s">
        <v>1</v>
      </c>
      <c r="B17546" t="str">
        <f>"13237828343"</f>
        <v>13237828343</v>
      </c>
      <c r="C17546" t="s">
        <v>1</v>
      </c>
      <c r="D17546" t="s">
        <v>1</v>
      </c>
      <c r="E17546" t="s">
        <v>1</v>
      </c>
      <c r="F17546" t="s">
        <v>0</v>
      </c>
      <c r="G17546" t="str">
        <f>"2018-10-11 17:41:54"</f>
        <v>2018-10-11 17:41:54</v>
      </c>
    </row>
    <row r="17547" spans="1:7" x14ac:dyDescent="0.2">
      <c r="A17547" t="s">
        <v>16663</v>
      </c>
      <c r="B17547" t="str">
        <f>"13203989625"</f>
        <v>13203989625</v>
      </c>
      <c r="C17547" t="str">
        <f>"412826198603153172"</f>
        <v>412826198603153172</v>
      </c>
      <c r="D17547" t="s">
        <v>1</v>
      </c>
      <c r="E17547" t="s">
        <v>1</v>
      </c>
      <c r="F17547" t="s">
        <v>0</v>
      </c>
      <c r="G17547" t="str">
        <f>"2018-10-11 17:36:08"</f>
        <v>2018-10-11 17:36:08</v>
      </c>
    </row>
    <row r="17548" spans="1:7" x14ac:dyDescent="0.2">
      <c r="A17548" t="s">
        <v>16664</v>
      </c>
      <c r="B17548" t="str">
        <f>"18617436076"</f>
        <v>18617436076</v>
      </c>
      <c r="C17548" t="str">
        <f>"130533199403065314"</f>
        <v>130533199403065314</v>
      </c>
      <c r="D17548" t="s">
        <v>16665</v>
      </c>
      <c r="E17548" t="s">
        <v>16666</v>
      </c>
      <c r="F17548" t="s">
        <v>0</v>
      </c>
      <c r="G17548" t="str">
        <f>"2018-10-11 17:35:05"</f>
        <v>2018-10-11 17:35:05</v>
      </c>
    </row>
    <row r="17549" spans="1:7" x14ac:dyDescent="0.2">
      <c r="A17549" t="s">
        <v>1860</v>
      </c>
      <c r="B17549" t="str">
        <f>"15257493816"</f>
        <v>15257493816</v>
      </c>
      <c r="C17549" t="str">
        <f>"500233199001161429"</f>
        <v>500233199001161429</v>
      </c>
      <c r="D17549" t="s">
        <v>16667</v>
      </c>
      <c r="E17549" t="s">
        <v>16668</v>
      </c>
      <c r="F17549" t="s">
        <v>0</v>
      </c>
      <c r="G17549" t="str">
        <f>"2018-10-11 17:58:29"</f>
        <v>2018-10-11 17:58:29</v>
      </c>
    </row>
    <row r="17550" spans="1:7" x14ac:dyDescent="0.2">
      <c r="A17550" t="s">
        <v>16669</v>
      </c>
      <c r="B17550" t="str">
        <f>"17625348115"</f>
        <v>17625348115</v>
      </c>
      <c r="C17550" t="str">
        <f>"140581199509031916"</f>
        <v>140581199509031916</v>
      </c>
      <c r="D17550" t="s">
        <v>1</v>
      </c>
      <c r="E17550" t="s">
        <v>1</v>
      </c>
      <c r="F17550" t="s">
        <v>0</v>
      </c>
      <c r="G17550" t="str">
        <f>"2018-10-11 17:35:21"</f>
        <v>2018-10-11 17:35:21</v>
      </c>
    </row>
    <row r="17551" spans="1:7" x14ac:dyDescent="0.2">
      <c r="A17551" t="s">
        <v>1</v>
      </c>
      <c r="B17551" t="str">
        <f>"18066397773"</f>
        <v>18066397773</v>
      </c>
      <c r="C17551" t="s">
        <v>1</v>
      </c>
      <c r="D17551" t="s">
        <v>1</v>
      </c>
      <c r="E17551" t="s">
        <v>1</v>
      </c>
      <c r="F17551" t="s">
        <v>0</v>
      </c>
      <c r="G17551" t="str">
        <f>"2018-10-11 17:33:13"</f>
        <v>2018-10-11 17:33:13</v>
      </c>
    </row>
    <row r="17552" spans="1:7" x14ac:dyDescent="0.2">
      <c r="A17552" t="s">
        <v>16670</v>
      </c>
      <c r="B17552" t="str">
        <f>"17859728813"</f>
        <v>17859728813</v>
      </c>
      <c r="C17552" t="str">
        <f>"350204199106012016"</f>
        <v>350204199106012016</v>
      </c>
      <c r="D17552" t="s">
        <v>1</v>
      </c>
      <c r="E17552" t="s">
        <v>1</v>
      </c>
      <c r="F17552" t="s">
        <v>0</v>
      </c>
      <c r="G17552" t="str">
        <f>"2018-10-11 23:49:07"</f>
        <v>2018-10-11 23:49:07</v>
      </c>
    </row>
    <row r="17553" spans="1:7" x14ac:dyDescent="0.2">
      <c r="A17553" t="s">
        <v>2010</v>
      </c>
      <c r="B17553" t="str">
        <f>"15803881381"</f>
        <v>15803881381</v>
      </c>
      <c r="C17553" t="str">
        <f>"410322199105041821"</f>
        <v>410322199105041821</v>
      </c>
      <c r="D17553" t="s">
        <v>16671</v>
      </c>
      <c r="E17553" t="s">
        <v>16672</v>
      </c>
      <c r="F17553" t="s">
        <v>0</v>
      </c>
      <c r="G17553" t="str">
        <f>"2018-10-11 17:35:02"</f>
        <v>2018-10-11 17:35:02</v>
      </c>
    </row>
    <row r="17554" spans="1:7" x14ac:dyDescent="0.2">
      <c r="A17554" t="s">
        <v>16673</v>
      </c>
      <c r="B17554" t="str">
        <f>"15715133300"</f>
        <v>15715133300</v>
      </c>
      <c r="C17554" t="str">
        <f>"342921198212080215"</f>
        <v>342921198212080215</v>
      </c>
      <c r="D17554" t="s">
        <v>1</v>
      </c>
      <c r="E17554" t="s">
        <v>1</v>
      </c>
      <c r="F17554" t="s">
        <v>0</v>
      </c>
      <c r="G17554" t="str">
        <f>"2018-10-11 17:37:58"</f>
        <v>2018-10-11 17:37:58</v>
      </c>
    </row>
    <row r="17555" spans="1:7" x14ac:dyDescent="0.2">
      <c r="A17555" t="s">
        <v>1</v>
      </c>
      <c r="B17555" t="str">
        <f>"15027808828"</f>
        <v>15027808828</v>
      </c>
      <c r="C17555" t="s">
        <v>1</v>
      </c>
      <c r="D17555" t="s">
        <v>1</v>
      </c>
      <c r="E17555" t="s">
        <v>1</v>
      </c>
      <c r="F17555" t="s">
        <v>0</v>
      </c>
      <c r="G17555" t="str">
        <f>"2018-10-11 17:31:13"</f>
        <v>2018-10-11 17:31:13</v>
      </c>
    </row>
    <row r="17556" spans="1:7" x14ac:dyDescent="0.2">
      <c r="A17556" t="s">
        <v>16674</v>
      </c>
      <c r="B17556" t="str">
        <f>"15954776986"</f>
        <v>15954776986</v>
      </c>
      <c r="C17556" t="str">
        <f>"371421198711010411"</f>
        <v>371421198711010411</v>
      </c>
      <c r="D17556" t="s">
        <v>1</v>
      </c>
      <c r="E17556" t="s">
        <v>1</v>
      </c>
      <c r="F17556" t="s">
        <v>0</v>
      </c>
      <c r="G17556" t="str">
        <f>"2018-10-12 17:46:40"</f>
        <v>2018-10-12 17:46:40</v>
      </c>
    </row>
    <row r="17557" spans="1:7" x14ac:dyDescent="0.2">
      <c r="A17557" t="s">
        <v>16675</v>
      </c>
      <c r="B17557" t="str">
        <f>"18561851089"</f>
        <v>18561851089</v>
      </c>
      <c r="C17557" t="str">
        <f>"370285199712085938"</f>
        <v>370285199712085938</v>
      </c>
      <c r="D17557" t="s">
        <v>1</v>
      </c>
      <c r="E17557" t="s">
        <v>1</v>
      </c>
      <c r="F17557" t="s">
        <v>0</v>
      </c>
      <c r="G17557" t="str">
        <f>"2018-10-11 17:46:51"</f>
        <v>2018-10-11 17:46:51</v>
      </c>
    </row>
    <row r="17558" spans="1:7" x14ac:dyDescent="0.2">
      <c r="A17558" t="s">
        <v>16676</v>
      </c>
      <c r="B17558" t="str">
        <f>"17792142323"</f>
        <v>17792142323</v>
      </c>
      <c r="C17558" t="str">
        <f>"612726198003250069"</f>
        <v>612726198003250069</v>
      </c>
      <c r="D17558" t="s">
        <v>1</v>
      </c>
      <c r="E17558" t="s">
        <v>1</v>
      </c>
      <c r="F17558" t="s">
        <v>0</v>
      </c>
      <c r="G17558" t="str">
        <f>"2018-10-11 17:38:44"</f>
        <v>2018-10-11 17:38:44</v>
      </c>
    </row>
    <row r="17559" spans="1:7" x14ac:dyDescent="0.2">
      <c r="A17559" t="s">
        <v>16677</v>
      </c>
      <c r="B17559" t="str">
        <f>"18326699399"</f>
        <v>18326699399</v>
      </c>
      <c r="C17559" t="str">
        <f>"342622198009217714"</f>
        <v>342622198009217714</v>
      </c>
      <c r="D17559" t="s">
        <v>1</v>
      </c>
      <c r="E17559" t="s">
        <v>1</v>
      </c>
      <c r="F17559" t="s">
        <v>0</v>
      </c>
      <c r="G17559" t="str">
        <f>"2018-10-11 17:31:23"</f>
        <v>2018-10-11 17:31:23</v>
      </c>
    </row>
    <row r="17560" spans="1:7" x14ac:dyDescent="0.2">
      <c r="A17560" t="s">
        <v>1</v>
      </c>
      <c r="B17560" t="str">
        <f>"13758543353"</f>
        <v>13758543353</v>
      </c>
      <c r="C17560" t="s">
        <v>1</v>
      </c>
      <c r="D17560" t="s">
        <v>1</v>
      </c>
      <c r="E17560" t="s">
        <v>1</v>
      </c>
      <c r="F17560" t="s">
        <v>0</v>
      </c>
      <c r="G17560" t="str">
        <f>"2018-10-11 17:30:08"</f>
        <v>2018-10-11 17:30:08</v>
      </c>
    </row>
    <row r="17561" spans="1:7" x14ac:dyDescent="0.2">
      <c r="A17561" t="s">
        <v>1</v>
      </c>
      <c r="B17561" t="str">
        <f>"14763364577"</f>
        <v>14763364577</v>
      </c>
      <c r="C17561" t="s">
        <v>1</v>
      </c>
      <c r="D17561" t="s">
        <v>1</v>
      </c>
      <c r="E17561" t="s">
        <v>1</v>
      </c>
      <c r="F17561" t="s">
        <v>0</v>
      </c>
      <c r="G17561" t="str">
        <f>"2018-10-11 17:29:46"</f>
        <v>2018-10-11 17:29:46</v>
      </c>
    </row>
    <row r="17562" spans="1:7" x14ac:dyDescent="0.2">
      <c r="A17562" t="s">
        <v>16678</v>
      </c>
      <c r="B17562" t="str">
        <f>"13291317770"</f>
        <v>13291317770</v>
      </c>
      <c r="C17562" t="str">
        <f>"413026199607100651"</f>
        <v>413026199607100651</v>
      </c>
      <c r="D17562" t="s">
        <v>1</v>
      </c>
      <c r="E17562" t="s">
        <v>1</v>
      </c>
      <c r="F17562" t="s">
        <v>0</v>
      </c>
      <c r="G17562" t="str">
        <f>"2018-10-11 17:29:45"</f>
        <v>2018-10-11 17:29:45</v>
      </c>
    </row>
    <row r="17563" spans="1:7" x14ac:dyDescent="0.2">
      <c r="A17563" t="s">
        <v>1</v>
      </c>
      <c r="B17563" t="str">
        <f>"17642056334"</f>
        <v>17642056334</v>
      </c>
      <c r="C17563" t="s">
        <v>1</v>
      </c>
      <c r="D17563" t="s">
        <v>1</v>
      </c>
      <c r="E17563" t="s">
        <v>1</v>
      </c>
      <c r="F17563" t="s">
        <v>0</v>
      </c>
      <c r="G17563" t="str">
        <f>"2018-10-11 17:29:44"</f>
        <v>2018-10-11 17:29:44</v>
      </c>
    </row>
    <row r="17564" spans="1:7" x14ac:dyDescent="0.2">
      <c r="A17564" t="s">
        <v>16679</v>
      </c>
      <c r="B17564" t="str">
        <f>"13826822214"</f>
        <v>13826822214</v>
      </c>
      <c r="C17564" t="str">
        <f>"445381199603050464"</f>
        <v>445381199603050464</v>
      </c>
      <c r="D17564" t="s">
        <v>1</v>
      </c>
      <c r="E17564" t="s">
        <v>1</v>
      </c>
      <c r="F17564" t="s">
        <v>0</v>
      </c>
      <c r="G17564" t="str">
        <f>"2018-10-11 17:36:06"</f>
        <v>2018-10-11 17:36:06</v>
      </c>
    </row>
    <row r="17565" spans="1:7" x14ac:dyDescent="0.2">
      <c r="A17565" t="s">
        <v>1</v>
      </c>
      <c r="B17565" t="str">
        <f>"18906979222"</f>
        <v>18906979222</v>
      </c>
      <c r="C17565" t="s">
        <v>1</v>
      </c>
      <c r="D17565" t="s">
        <v>1</v>
      </c>
      <c r="E17565" t="s">
        <v>1</v>
      </c>
      <c r="F17565" t="s">
        <v>0</v>
      </c>
      <c r="G17565" t="str">
        <f>"2018-10-11 17:28:37"</f>
        <v>2018-10-11 17:28:37</v>
      </c>
    </row>
    <row r="17566" spans="1:7" x14ac:dyDescent="0.2">
      <c r="A17566" t="s">
        <v>16680</v>
      </c>
      <c r="B17566" t="str">
        <f>"18273745790"</f>
        <v>18273745790</v>
      </c>
      <c r="C17566" t="str">
        <f>"430903199510282466"</f>
        <v>430903199510282466</v>
      </c>
      <c r="D17566" t="s">
        <v>1</v>
      </c>
      <c r="E17566" t="s">
        <v>1</v>
      </c>
      <c r="F17566" t="s">
        <v>0</v>
      </c>
      <c r="G17566" t="str">
        <f>"2018-10-12 09:03:31"</f>
        <v>2018-10-12 09:03:31</v>
      </c>
    </row>
    <row r="17567" spans="1:7" x14ac:dyDescent="0.2">
      <c r="A17567" t="s">
        <v>16681</v>
      </c>
      <c r="B17567" t="str">
        <f>"15610135867"</f>
        <v>15610135867</v>
      </c>
      <c r="C17567" t="str">
        <f>"370181198202194450"</f>
        <v>370181198202194450</v>
      </c>
      <c r="D17567" t="s">
        <v>1</v>
      </c>
      <c r="E17567" t="s">
        <v>1</v>
      </c>
      <c r="F17567" t="s">
        <v>0</v>
      </c>
      <c r="G17567" t="str">
        <f>"2018-10-11 17:44:57"</f>
        <v>2018-10-11 17:44:57</v>
      </c>
    </row>
    <row r="17568" spans="1:7" x14ac:dyDescent="0.2">
      <c r="A17568" t="s">
        <v>16682</v>
      </c>
      <c r="B17568" t="str">
        <f>"18289422237"</f>
        <v>18289422237</v>
      </c>
      <c r="C17568" t="str">
        <f>"460006199502234048"</f>
        <v>460006199502234048</v>
      </c>
      <c r="D17568" t="s">
        <v>1</v>
      </c>
      <c r="E17568" t="s">
        <v>1</v>
      </c>
      <c r="F17568" t="s">
        <v>0</v>
      </c>
      <c r="G17568" t="str">
        <f>"2018-10-11 17:27:48"</f>
        <v>2018-10-11 17:27:48</v>
      </c>
    </row>
    <row r="17569" spans="1:7" x14ac:dyDescent="0.2">
      <c r="A17569" t="s">
        <v>16683</v>
      </c>
      <c r="B17569" t="str">
        <f>"15248318838"</f>
        <v>15248318838</v>
      </c>
      <c r="C17569" t="str">
        <f>"622826198502201015"</f>
        <v>622826198502201015</v>
      </c>
      <c r="D17569" t="s">
        <v>1</v>
      </c>
      <c r="E17569" t="s">
        <v>1</v>
      </c>
      <c r="F17569" t="s">
        <v>0</v>
      </c>
      <c r="G17569" t="str">
        <f>"2018-10-11 17:29:01"</f>
        <v>2018-10-11 17:29:01</v>
      </c>
    </row>
    <row r="17570" spans="1:7" x14ac:dyDescent="0.2">
      <c r="A17570" t="s">
        <v>1</v>
      </c>
      <c r="B17570" t="str">
        <f>"15677694657"</f>
        <v>15677694657</v>
      </c>
      <c r="C17570" t="s">
        <v>1</v>
      </c>
      <c r="D17570" t="s">
        <v>1</v>
      </c>
      <c r="E17570" t="s">
        <v>1</v>
      </c>
      <c r="F17570" t="s">
        <v>0</v>
      </c>
      <c r="G17570" t="str">
        <f>"2018-10-11 17:27:39"</f>
        <v>2018-10-11 17:27:39</v>
      </c>
    </row>
    <row r="17571" spans="1:7" x14ac:dyDescent="0.2">
      <c r="A17571" t="s">
        <v>16684</v>
      </c>
      <c r="B17571" t="str">
        <f>"18239337350"</f>
        <v>18239337350</v>
      </c>
      <c r="C17571" t="str">
        <f>"410928199404036310"</f>
        <v>410928199404036310</v>
      </c>
      <c r="D17571" t="s">
        <v>16685</v>
      </c>
      <c r="E17571" t="s">
        <v>16686</v>
      </c>
      <c r="F17571" t="s">
        <v>0</v>
      </c>
      <c r="G17571" t="str">
        <f>"2018-10-11 17:28:21"</f>
        <v>2018-10-11 17:28:21</v>
      </c>
    </row>
    <row r="17572" spans="1:7" x14ac:dyDescent="0.2">
      <c r="A17572" t="s">
        <v>1</v>
      </c>
      <c r="B17572" t="str">
        <f>"18298262025"</f>
        <v>18298262025</v>
      </c>
      <c r="C17572" t="s">
        <v>1</v>
      </c>
      <c r="D17572" t="s">
        <v>1</v>
      </c>
      <c r="E17572" t="s">
        <v>1</v>
      </c>
      <c r="F17572" t="s">
        <v>0</v>
      </c>
      <c r="G17572" t="str">
        <f>"2018-10-11 17:26:38"</f>
        <v>2018-10-11 17:26:38</v>
      </c>
    </row>
    <row r="17573" spans="1:7" x14ac:dyDescent="0.2">
      <c r="A17573" t="s">
        <v>1</v>
      </c>
      <c r="B17573" t="str">
        <f>"17365097754"</f>
        <v>17365097754</v>
      </c>
      <c r="C17573" t="s">
        <v>1</v>
      </c>
      <c r="D17573" t="s">
        <v>1</v>
      </c>
      <c r="E17573" t="s">
        <v>1</v>
      </c>
      <c r="F17573" t="s">
        <v>0</v>
      </c>
      <c r="G17573" t="str">
        <f>"2018-10-11 17:26:29"</f>
        <v>2018-10-11 17:26:29</v>
      </c>
    </row>
    <row r="17574" spans="1:7" x14ac:dyDescent="0.2">
      <c r="A17574" t="s">
        <v>16687</v>
      </c>
      <c r="B17574" t="str">
        <f>"17331607049"</f>
        <v>17331607049</v>
      </c>
      <c r="C17574" t="str">
        <f>"131026199507205115"</f>
        <v>131026199507205115</v>
      </c>
      <c r="D17574" t="s">
        <v>16688</v>
      </c>
      <c r="E17574" t="s">
        <v>16689</v>
      </c>
      <c r="F17574" t="s">
        <v>0</v>
      </c>
      <c r="G17574" t="str">
        <f>"2018-10-11 17:30:22"</f>
        <v>2018-10-11 17:30:22</v>
      </c>
    </row>
    <row r="17575" spans="1:7" x14ac:dyDescent="0.2">
      <c r="A17575" t="s">
        <v>225</v>
      </c>
      <c r="B17575" t="str">
        <f>"15949589686"</f>
        <v>15949589686</v>
      </c>
      <c r="C17575" t="str">
        <f>"36042919790113251X"</f>
        <v>36042919790113251X</v>
      </c>
      <c r="D17575" t="s">
        <v>1</v>
      </c>
      <c r="E17575" t="s">
        <v>1</v>
      </c>
      <c r="F17575" t="s">
        <v>0</v>
      </c>
      <c r="G17575" t="str">
        <f>"2018-10-11 17:28:03"</f>
        <v>2018-10-11 17:28:03</v>
      </c>
    </row>
    <row r="17576" spans="1:7" x14ac:dyDescent="0.2">
      <c r="A17576" t="s">
        <v>16690</v>
      </c>
      <c r="B17576" t="str">
        <f>"18531843301"</f>
        <v>18531843301</v>
      </c>
      <c r="C17576" t="str">
        <f>"232126199701183212"</f>
        <v>232126199701183212</v>
      </c>
      <c r="D17576" t="s">
        <v>1</v>
      </c>
      <c r="E17576" t="s">
        <v>1</v>
      </c>
      <c r="F17576" t="s">
        <v>0</v>
      </c>
      <c r="G17576" t="str">
        <f>"2018-10-29 19:37:37"</f>
        <v>2018-10-29 19:37:37</v>
      </c>
    </row>
    <row r="17577" spans="1:7" x14ac:dyDescent="0.2">
      <c r="A17577" t="s">
        <v>1</v>
      </c>
      <c r="B17577" t="str">
        <f>"17568053262"</f>
        <v>17568053262</v>
      </c>
      <c r="C17577" t="s">
        <v>1</v>
      </c>
      <c r="D17577" t="s">
        <v>1</v>
      </c>
      <c r="E17577" t="s">
        <v>1</v>
      </c>
      <c r="F17577" t="s">
        <v>0</v>
      </c>
      <c r="G17577" t="str">
        <f>"2018-10-11 17:25:36"</f>
        <v>2018-10-11 17:25:36</v>
      </c>
    </row>
    <row r="17578" spans="1:7" x14ac:dyDescent="0.2">
      <c r="A17578" t="s">
        <v>16691</v>
      </c>
      <c r="B17578" t="str">
        <f>"15802656486"</f>
        <v>15802656486</v>
      </c>
      <c r="C17578" t="str">
        <f>"431021198909107977"</f>
        <v>431021198909107977</v>
      </c>
      <c r="D17578" t="s">
        <v>16692</v>
      </c>
      <c r="E17578" t="s">
        <v>16693</v>
      </c>
      <c r="F17578" t="s">
        <v>0</v>
      </c>
      <c r="G17578" t="str">
        <f>"2018-10-11 18:12:21"</f>
        <v>2018-10-11 18:12:21</v>
      </c>
    </row>
    <row r="17579" spans="1:7" x14ac:dyDescent="0.2">
      <c r="A17579" t="s">
        <v>692</v>
      </c>
      <c r="B17579" t="str">
        <f>"15703120035"</f>
        <v>15703120035</v>
      </c>
      <c r="C17579" t="str">
        <f>"130604199611162411"</f>
        <v>130604199611162411</v>
      </c>
      <c r="D17579" t="s">
        <v>16694</v>
      </c>
      <c r="E17579" t="s">
        <v>16695</v>
      </c>
      <c r="F17579" t="s">
        <v>0</v>
      </c>
      <c r="G17579" t="str">
        <f>"2018-10-11 17:26:21"</f>
        <v>2018-10-11 17:26:21</v>
      </c>
    </row>
    <row r="17580" spans="1:7" x14ac:dyDescent="0.2">
      <c r="A17580" t="s">
        <v>1</v>
      </c>
      <c r="B17580" t="str">
        <f>"15868153234"</f>
        <v>15868153234</v>
      </c>
      <c r="C17580" t="s">
        <v>1</v>
      </c>
      <c r="D17580" t="s">
        <v>1</v>
      </c>
      <c r="E17580" t="s">
        <v>1</v>
      </c>
      <c r="F17580" t="s">
        <v>0</v>
      </c>
      <c r="G17580" t="str">
        <f>"2018-10-11 17:25:06"</f>
        <v>2018-10-11 17:25:06</v>
      </c>
    </row>
    <row r="17581" spans="1:7" x14ac:dyDescent="0.2">
      <c r="A17581" t="s">
        <v>1</v>
      </c>
      <c r="B17581" t="str">
        <f>"13676988989"</f>
        <v>13676988989</v>
      </c>
      <c r="C17581" t="s">
        <v>1</v>
      </c>
      <c r="D17581" t="s">
        <v>1</v>
      </c>
      <c r="E17581" t="s">
        <v>1</v>
      </c>
      <c r="F17581" t="s">
        <v>0</v>
      </c>
      <c r="G17581" t="str">
        <f>"2018-10-11 17:24:27"</f>
        <v>2018-10-11 17:24:27</v>
      </c>
    </row>
    <row r="17582" spans="1:7" x14ac:dyDescent="0.2">
      <c r="A17582" t="s">
        <v>16696</v>
      </c>
      <c r="B17582" t="str">
        <f>"13876741603"</f>
        <v>13876741603</v>
      </c>
      <c r="C17582" t="str">
        <f>"460103199410293012"</f>
        <v>460103199410293012</v>
      </c>
      <c r="D17582" t="s">
        <v>1</v>
      </c>
      <c r="E17582" t="s">
        <v>1</v>
      </c>
      <c r="F17582" t="s">
        <v>0</v>
      </c>
      <c r="G17582" t="str">
        <f>"2018-10-11 17:46:34"</f>
        <v>2018-10-11 17:46:34</v>
      </c>
    </row>
    <row r="17583" spans="1:7" x14ac:dyDescent="0.2">
      <c r="A17583" t="s">
        <v>16697</v>
      </c>
      <c r="B17583" t="str">
        <f>"13616816969"</f>
        <v>13616816969</v>
      </c>
      <c r="C17583" t="str">
        <f>"350426198112131059"</f>
        <v>350426198112131059</v>
      </c>
      <c r="D17583" t="s">
        <v>1</v>
      </c>
      <c r="E17583" t="s">
        <v>1</v>
      </c>
      <c r="F17583" t="s">
        <v>0</v>
      </c>
      <c r="G17583" t="str">
        <f>"2018-10-11 17:47:00"</f>
        <v>2018-10-11 17:47:00</v>
      </c>
    </row>
    <row r="17584" spans="1:7" x14ac:dyDescent="0.2">
      <c r="A17584" t="s">
        <v>16698</v>
      </c>
      <c r="B17584" t="str">
        <f>"13787932559"</f>
        <v>13787932559</v>
      </c>
      <c r="C17584" t="str">
        <f>"43312719881220205X"</f>
        <v>43312719881220205X</v>
      </c>
      <c r="D17584" t="s">
        <v>1</v>
      </c>
      <c r="E17584" t="s">
        <v>1</v>
      </c>
      <c r="F17584" t="s">
        <v>0</v>
      </c>
      <c r="G17584" t="str">
        <f>"2018-10-11 17:26:07"</f>
        <v>2018-10-11 17:26:07</v>
      </c>
    </row>
    <row r="17585" spans="1:7" x14ac:dyDescent="0.2">
      <c r="A17585" t="s">
        <v>16699</v>
      </c>
      <c r="B17585" t="str">
        <f>"18561325277"</f>
        <v>18561325277</v>
      </c>
      <c r="C17585" t="str">
        <f>"370212197609263516"</f>
        <v>370212197609263516</v>
      </c>
      <c r="D17585" t="s">
        <v>1</v>
      </c>
      <c r="E17585" t="s">
        <v>1</v>
      </c>
      <c r="F17585" t="s">
        <v>0</v>
      </c>
      <c r="G17585" t="str">
        <f>"2018-10-11 17:28:43"</f>
        <v>2018-10-11 17:28:43</v>
      </c>
    </row>
    <row r="17586" spans="1:7" x14ac:dyDescent="0.2">
      <c r="A17586" t="s">
        <v>1</v>
      </c>
      <c r="B17586" t="str">
        <f>"15553222022"</f>
        <v>15553222022</v>
      </c>
      <c r="C17586" t="s">
        <v>1</v>
      </c>
      <c r="D17586" t="s">
        <v>1</v>
      </c>
      <c r="E17586" t="s">
        <v>1</v>
      </c>
      <c r="F17586" t="s">
        <v>0</v>
      </c>
      <c r="G17586" t="str">
        <f>"2018-10-11 17:22:19"</f>
        <v>2018-10-11 17:22:19</v>
      </c>
    </row>
    <row r="17587" spans="1:7" x14ac:dyDescent="0.2">
      <c r="A17587" t="s">
        <v>93</v>
      </c>
      <c r="B17587" t="str">
        <f>"15995557530"</f>
        <v>15995557530</v>
      </c>
      <c r="C17587" t="str">
        <f>"342201199304144133"</f>
        <v>342201199304144133</v>
      </c>
      <c r="D17587" t="s">
        <v>1</v>
      </c>
      <c r="E17587" t="s">
        <v>1</v>
      </c>
      <c r="F17587" t="s">
        <v>0</v>
      </c>
      <c r="G17587" t="str">
        <f>"2018-10-12 07:49:13"</f>
        <v>2018-10-12 07:49:13</v>
      </c>
    </row>
    <row r="17588" spans="1:7" x14ac:dyDescent="0.2">
      <c r="A17588" t="s">
        <v>16700</v>
      </c>
      <c r="B17588" t="str">
        <f>"13273971120"</f>
        <v>13273971120</v>
      </c>
      <c r="C17588" t="str">
        <f>"411527199903065274"</f>
        <v>411527199903065274</v>
      </c>
      <c r="D17588" t="s">
        <v>16701</v>
      </c>
      <c r="E17588" t="s">
        <v>16702</v>
      </c>
      <c r="F17588" t="s">
        <v>0</v>
      </c>
      <c r="G17588" t="str">
        <f>"2018-10-11 17:25:34"</f>
        <v>2018-10-11 17:25:34</v>
      </c>
    </row>
    <row r="17589" spans="1:7" x14ac:dyDescent="0.2">
      <c r="A17589" t="s">
        <v>10</v>
      </c>
      <c r="B17589" t="str">
        <f>"15112257071"</f>
        <v>15112257071</v>
      </c>
      <c r="C17589" t="str">
        <f>"231084198503051342"</f>
        <v>231084198503051342</v>
      </c>
      <c r="D17589" t="s">
        <v>1</v>
      </c>
      <c r="E17589" t="s">
        <v>1</v>
      </c>
      <c r="F17589" t="s">
        <v>0</v>
      </c>
      <c r="G17589" t="str">
        <f>"2018-10-11 17:26:52"</f>
        <v>2018-10-11 17:26:52</v>
      </c>
    </row>
    <row r="17590" spans="1:7" x14ac:dyDescent="0.2">
      <c r="A17590" t="s">
        <v>16703</v>
      </c>
      <c r="B17590" t="str">
        <f>"13938555906"</f>
        <v>13938555906</v>
      </c>
      <c r="C17590" t="str">
        <f>"412724198902032110"</f>
        <v>412724198902032110</v>
      </c>
      <c r="D17590" t="s">
        <v>1</v>
      </c>
      <c r="E17590" t="s">
        <v>1</v>
      </c>
      <c r="F17590" t="s">
        <v>0</v>
      </c>
      <c r="G17590" t="str">
        <f>"2018-10-13 10:19:28"</f>
        <v>2018-10-13 10:19:28</v>
      </c>
    </row>
    <row r="17591" spans="1:7" x14ac:dyDescent="0.2">
      <c r="A17591" t="s">
        <v>16704</v>
      </c>
      <c r="B17591" t="str">
        <f>"15651081191"</f>
        <v>15651081191</v>
      </c>
      <c r="C17591" t="str">
        <f>"341181198812140850"</f>
        <v>341181198812140850</v>
      </c>
      <c r="D17591" t="s">
        <v>1</v>
      </c>
      <c r="E17591" t="s">
        <v>1</v>
      </c>
      <c r="F17591" t="s">
        <v>0</v>
      </c>
      <c r="G17591" t="str">
        <f>"2018-10-11 17:23:28"</f>
        <v>2018-10-11 17:23:28</v>
      </c>
    </row>
    <row r="17592" spans="1:7" x14ac:dyDescent="0.2">
      <c r="A17592" t="s">
        <v>1</v>
      </c>
      <c r="B17592" t="str">
        <f>"17608429754"</f>
        <v>17608429754</v>
      </c>
      <c r="C17592" t="s">
        <v>1</v>
      </c>
      <c r="D17592" t="s">
        <v>1</v>
      </c>
      <c r="E17592" t="s">
        <v>1</v>
      </c>
      <c r="F17592" t="s">
        <v>0</v>
      </c>
      <c r="G17592" t="str">
        <f>"2018-10-11 17:21:12"</f>
        <v>2018-10-11 17:21:12</v>
      </c>
    </row>
    <row r="17593" spans="1:7" x14ac:dyDescent="0.2">
      <c r="A17593" t="s">
        <v>1</v>
      </c>
      <c r="B17593" t="str">
        <f>"13590703521"</f>
        <v>13590703521</v>
      </c>
      <c r="C17593" t="s">
        <v>1</v>
      </c>
      <c r="D17593" t="s">
        <v>1</v>
      </c>
      <c r="E17593" t="s">
        <v>1</v>
      </c>
      <c r="F17593" t="s">
        <v>0</v>
      </c>
      <c r="G17593" t="str">
        <f>"2018-10-12 12:08:38"</f>
        <v>2018-10-12 12:08:38</v>
      </c>
    </row>
    <row r="17594" spans="1:7" x14ac:dyDescent="0.2">
      <c r="A17594" t="s">
        <v>1</v>
      </c>
      <c r="B17594" t="str">
        <f>"14763303376"</f>
        <v>14763303376</v>
      </c>
      <c r="C17594" t="s">
        <v>1</v>
      </c>
      <c r="D17594" t="s">
        <v>1</v>
      </c>
      <c r="E17594" t="s">
        <v>1</v>
      </c>
      <c r="F17594" t="s">
        <v>0</v>
      </c>
      <c r="G17594" t="str">
        <f>"2018-10-11 17:20:15"</f>
        <v>2018-10-11 17:20:15</v>
      </c>
    </row>
    <row r="17595" spans="1:7" x14ac:dyDescent="0.2">
      <c r="A17595" t="s">
        <v>16705</v>
      </c>
      <c r="B17595" t="str">
        <f>"13403949036"</f>
        <v>13403949036</v>
      </c>
      <c r="C17595" t="str">
        <f>"412701198712083537"</f>
        <v>412701198712083537</v>
      </c>
      <c r="D17595" t="s">
        <v>1</v>
      </c>
      <c r="E17595" t="s">
        <v>1</v>
      </c>
      <c r="F17595" t="s">
        <v>0</v>
      </c>
      <c r="G17595" t="str">
        <f>"2018-10-11 17:30:31"</f>
        <v>2018-10-11 17:30:31</v>
      </c>
    </row>
    <row r="17596" spans="1:7" x14ac:dyDescent="0.2">
      <c r="A17596" t="s">
        <v>16706</v>
      </c>
      <c r="B17596" t="str">
        <f>"15212776194"</f>
        <v>15212776194</v>
      </c>
      <c r="C17596" t="str">
        <f>"340123199410225122"</f>
        <v>340123199410225122</v>
      </c>
      <c r="D17596" t="s">
        <v>1</v>
      </c>
      <c r="E17596" t="s">
        <v>1</v>
      </c>
      <c r="F17596" t="s">
        <v>0</v>
      </c>
      <c r="G17596" t="str">
        <f>"2018-10-12 20:33:12"</f>
        <v>2018-10-12 20:33:12</v>
      </c>
    </row>
    <row r="17597" spans="1:7" x14ac:dyDescent="0.2">
      <c r="A17597" t="s">
        <v>1</v>
      </c>
      <c r="B17597" t="str">
        <f>"13671432853"</f>
        <v>13671432853</v>
      </c>
      <c r="C17597" t="s">
        <v>1</v>
      </c>
      <c r="D17597" t="s">
        <v>1</v>
      </c>
      <c r="E17597" t="s">
        <v>1</v>
      </c>
      <c r="F17597" t="s">
        <v>0</v>
      </c>
      <c r="G17597" t="str">
        <f>"2018-10-11 17:19:41"</f>
        <v>2018-10-11 17:19:41</v>
      </c>
    </row>
    <row r="17598" spans="1:7" x14ac:dyDescent="0.2">
      <c r="A17598" t="s">
        <v>16707</v>
      </c>
      <c r="B17598" t="str">
        <f>"13030457155"</f>
        <v>13030457155</v>
      </c>
      <c r="C17598" t="str">
        <f>"140221198909250010"</f>
        <v>140221198909250010</v>
      </c>
      <c r="D17598" t="s">
        <v>1</v>
      </c>
      <c r="E17598" t="s">
        <v>1</v>
      </c>
      <c r="F17598" t="s">
        <v>0</v>
      </c>
      <c r="G17598" t="str">
        <f>"2018-10-11 17:19:28"</f>
        <v>2018-10-11 17:19:28</v>
      </c>
    </row>
    <row r="17599" spans="1:7" x14ac:dyDescent="0.2">
      <c r="A17599" t="s">
        <v>16708</v>
      </c>
      <c r="B17599" t="str">
        <f>"13192351092"</f>
        <v>13192351092</v>
      </c>
      <c r="C17599" t="str">
        <f>"440582198911153957"</f>
        <v>440582198911153957</v>
      </c>
      <c r="D17599" t="s">
        <v>1</v>
      </c>
      <c r="E17599" t="s">
        <v>1</v>
      </c>
      <c r="F17599" t="s">
        <v>0</v>
      </c>
      <c r="G17599" t="str">
        <f>"2018-10-11 18:30:35"</f>
        <v>2018-10-11 18:30:35</v>
      </c>
    </row>
    <row r="17600" spans="1:7" x14ac:dyDescent="0.2">
      <c r="A17600" t="s">
        <v>525</v>
      </c>
      <c r="B17600" t="str">
        <f>"13302398409"</f>
        <v>13302398409</v>
      </c>
      <c r="C17600" t="str">
        <f>"362124197606111218"</f>
        <v>362124197606111218</v>
      </c>
      <c r="D17600" t="s">
        <v>1</v>
      </c>
      <c r="E17600" t="s">
        <v>1</v>
      </c>
      <c r="F17600" t="s">
        <v>0</v>
      </c>
      <c r="G17600" t="str">
        <f>"2018-10-11 17:19:24"</f>
        <v>2018-10-11 17:19:24</v>
      </c>
    </row>
    <row r="17601" spans="1:7" x14ac:dyDescent="0.2">
      <c r="A17601" t="s">
        <v>1</v>
      </c>
      <c r="B17601" t="str">
        <f>"18285191867"</f>
        <v>18285191867</v>
      </c>
      <c r="C17601" t="s">
        <v>1</v>
      </c>
      <c r="D17601" t="s">
        <v>1</v>
      </c>
      <c r="E17601" t="s">
        <v>1</v>
      </c>
      <c r="F17601" t="s">
        <v>0</v>
      </c>
      <c r="G17601" t="str">
        <f>"2018-10-11 17:17:13"</f>
        <v>2018-10-11 17:17:13</v>
      </c>
    </row>
    <row r="17602" spans="1:7" x14ac:dyDescent="0.2">
      <c r="A17602" t="s">
        <v>16709</v>
      </c>
      <c r="B17602" t="str">
        <f>"13983626686"</f>
        <v>13983626686</v>
      </c>
      <c r="C17602" t="str">
        <f>"522224199110222816"</f>
        <v>522224199110222816</v>
      </c>
      <c r="D17602" t="s">
        <v>16710</v>
      </c>
      <c r="E17602" t="s">
        <v>16711</v>
      </c>
      <c r="F17602" t="s">
        <v>0</v>
      </c>
      <c r="G17602" t="str">
        <f>"2018-10-11 17:44:17"</f>
        <v>2018-10-11 17:44:17</v>
      </c>
    </row>
    <row r="17603" spans="1:7" x14ac:dyDescent="0.2">
      <c r="A17603" t="s">
        <v>16712</v>
      </c>
      <c r="B17603" t="str">
        <f>"13872729277"</f>
        <v>13872729277</v>
      </c>
      <c r="C17603" t="str">
        <f>"422801197904290269"</f>
        <v>422801197904290269</v>
      </c>
      <c r="D17603" t="s">
        <v>1</v>
      </c>
      <c r="E17603" t="s">
        <v>1</v>
      </c>
      <c r="F17603" t="s">
        <v>0</v>
      </c>
      <c r="G17603" t="str">
        <f>"2018-10-11 17:18:41"</f>
        <v>2018-10-11 17:18:41</v>
      </c>
    </row>
    <row r="17604" spans="1:7" x14ac:dyDescent="0.2">
      <c r="A17604" t="s">
        <v>1</v>
      </c>
      <c r="B17604" t="str">
        <f>"18646256669"</f>
        <v>18646256669</v>
      </c>
      <c r="C17604" t="s">
        <v>1</v>
      </c>
      <c r="D17604" t="s">
        <v>1</v>
      </c>
      <c r="E17604" t="s">
        <v>1</v>
      </c>
      <c r="F17604" t="s">
        <v>0</v>
      </c>
      <c r="G17604" t="str">
        <f>"2018-10-11 17:16:52"</f>
        <v>2018-10-11 17:16:52</v>
      </c>
    </row>
    <row r="17605" spans="1:7" x14ac:dyDescent="0.2">
      <c r="A17605" t="s">
        <v>16713</v>
      </c>
      <c r="B17605" t="str">
        <f>"13250010460"</f>
        <v>13250010460</v>
      </c>
      <c r="C17605" t="str">
        <f>"440782199807066832"</f>
        <v>440782199807066832</v>
      </c>
      <c r="D17605" t="s">
        <v>1</v>
      </c>
      <c r="E17605" t="s">
        <v>1</v>
      </c>
      <c r="F17605" t="s">
        <v>0</v>
      </c>
      <c r="G17605" t="str">
        <f>"2018-10-11 17:18:21"</f>
        <v>2018-10-11 17:18:21</v>
      </c>
    </row>
    <row r="17606" spans="1:7" x14ac:dyDescent="0.2">
      <c r="A17606" t="s">
        <v>16714</v>
      </c>
      <c r="B17606" t="str">
        <f>"15148255727"</f>
        <v>15148255727</v>
      </c>
      <c r="C17606" t="str">
        <f>"152322196908310022"</f>
        <v>152322196908310022</v>
      </c>
      <c r="D17606" t="s">
        <v>1</v>
      </c>
      <c r="E17606" t="s">
        <v>1</v>
      </c>
      <c r="F17606" t="s">
        <v>0</v>
      </c>
      <c r="G17606" t="str">
        <f>"2018-10-11 17:18:45"</f>
        <v>2018-10-11 17:18:45</v>
      </c>
    </row>
    <row r="17607" spans="1:7" x14ac:dyDescent="0.2">
      <c r="A17607" t="s">
        <v>16715</v>
      </c>
      <c r="B17607" t="str">
        <f>"18383808659"</f>
        <v>18383808659</v>
      </c>
      <c r="C17607" t="str">
        <f>"510623199608266615"</f>
        <v>510623199608266615</v>
      </c>
      <c r="D17607" t="s">
        <v>16716</v>
      </c>
      <c r="E17607" t="s">
        <v>16717</v>
      </c>
      <c r="F17607" t="s">
        <v>0</v>
      </c>
      <c r="G17607" t="str">
        <f>"2018-10-15 22:33:44"</f>
        <v>2018-10-15 22:33:44</v>
      </c>
    </row>
    <row r="17608" spans="1:7" x14ac:dyDescent="0.2">
      <c r="A17608" t="s">
        <v>1082</v>
      </c>
      <c r="B17608" t="str">
        <f>"13795587254"</f>
        <v>13795587254</v>
      </c>
      <c r="C17608" t="str">
        <f>"510303199704180019"</f>
        <v>510303199704180019</v>
      </c>
      <c r="D17608" t="s">
        <v>1</v>
      </c>
      <c r="E17608" t="s">
        <v>1</v>
      </c>
      <c r="F17608" t="s">
        <v>0</v>
      </c>
      <c r="G17608" t="str">
        <f>"2018-10-11 17:22:34"</f>
        <v>2018-10-11 17:22:34</v>
      </c>
    </row>
    <row r="17609" spans="1:7" x14ac:dyDescent="0.2">
      <c r="A17609" t="s">
        <v>104</v>
      </c>
      <c r="B17609" t="str">
        <f>"13152677818"</f>
        <v>13152677818</v>
      </c>
      <c r="C17609" t="str">
        <f>"450521199508256677"</f>
        <v>450521199508256677</v>
      </c>
      <c r="D17609" t="s">
        <v>16718</v>
      </c>
      <c r="E17609" t="s">
        <v>16719</v>
      </c>
      <c r="F17609" t="s">
        <v>0</v>
      </c>
      <c r="G17609" t="str">
        <f>"2018-10-11 17:16:46"</f>
        <v>2018-10-11 17:16:46</v>
      </c>
    </row>
    <row r="17610" spans="1:7" x14ac:dyDescent="0.2">
      <c r="A17610" t="s">
        <v>7614</v>
      </c>
      <c r="B17610" t="str">
        <f>"18283495759"</f>
        <v>18283495759</v>
      </c>
      <c r="C17610" t="str">
        <f>"513425197812237817"</f>
        <v>513425197812237817</v>
      </c>
      <c r="D17610" t="s">
        <v>1</v>
      </c>
      <c r="E17610" t="s">
        <v>1</v>
      </c>
      <c r="F17610" t="s">
        <v>0</v>
      </c>
      <c r="G17610" t="str">
        <f>"2018-10-11 17:17:31"</f>
        <v>2018-10-11 17:17:31</v>
      </c>
    </row>
    <row r="17611" spans="1:7" x14ac:dyDescent="0.2">
      <c r="A17611" t="s">
        <v>1</v>
      </c>
      <c r="B17611" t="str">
        <f>"13088078959"</f>
        <v>13088078959</v>
      </c>
      <c r="C17611" t="s">
        <v>1</v>
      </c>
      <c r="D17611" t="s">
        <v>1</v>
      </c>
      <c r="E17611" t="s">
        <v>1</v>
      </c>
      <c r="F17611" t="s">
        <v>0</v>
      </c>
      <c r="G17611" t="str">
        <f>"2018-10-11 17:14:46"</f>
        <v>2018-10-11 17:14:46</v>
      </c>
    </row>
    <row r="17612" spans="1:7" x14ac:dyDescent="0.2">
      <c r="A17612" t="s">
        <v>16720</v>
      </c>
      <c r="B17612" t="str">
        <f>"13773672158"</f>
        <v>13773672158</v>
      </c>
      <c r="C17612" t="str">
        <f>"32068319811219516X"</f>
        <v>32068319811219516X</v>
      </c>
      <c r="D17612" t="s">
        <v>1</v>
      </c>
      <c r="E17612" t="s">
        <v>1</v>
      </c>
      <c r="F17612" t="s">
        <v>0</v>
      </c>
      <c r="G17612" t="str">
        <f>"2018-10-11 17:26:47"</f>
        <v>2018-10-11 17:26:47</v>
      </c>
    </row>
    <row r="17613" spans="1:7" x14ac:dyDescent="0.2">
      <c r="A17613" t="s">
        <v>1</v>
      </c>
      <c r="B17613" t="str">
        <f>"17625548930"</f>
        <v>17625548930</v>
      </c>
      <c r="C17613" t="s">
        <v>1</v>
      </c>
      <c r="D17613" t="s">
        <v>1</v>
      </c>
      <c r="E17613" t="s">
        <v>1</v>
      </c>
      <c r="F17613" t="s">
        <v>0</v>
      </c>
      <c r="G17613" t="str">
        <f>"2018-10-11 17:14:14"</f>
        <v>2018-10-11 17:14:14</v>
      </c>
    </row>
    <row r="17614" spans="1:7" x14ac:dyDescent="0.2">
      <c r="A17614" t="s">
        <v>16721</v>
      </c>
      <c r="B17614" t="str">
        <f>"18674761490"</f>
        <v>18674761490</v>
      </c>
      <c r="C17614" t="str">
        <f>"430482198905040377"</f>
        <v>430482198905040377</v>
      </c>
      <c r="D17614" t="s">
        <v>1</v>
      </c>
      <c r="E17614" t="s">
        <v>1</v>
      </c>
      <c r="F17614" t="s">
        <v>0</v>
      </c>
      <c r="G17614" t="str">
        <f>"2018-10-11 17:15:32"</f>
        <v>2018-10-11 17:15:32</v>
      </c>
    </row>
    <row r="17615" spans="1:7" x14ac:dyDescent="0.2">
      <c r="A17615" t="s">
        <v>16722</v>
      </c>
      <c r="B17615" t="str">
        <f>"18744358831"</f>
        <v>18744358831</v>
      </c>
      <c r="C17615" t="str">
        <f>"222403198503062511"</f>
        <v>222403198503062511</v>
      </c>
      <c r="D17615" t="s">
        <v>1</v>
      </c>
      <c r="E17615" t="s">
        <v>1</v>
      </c>
      <c r="F17615" t="s">
        <v>0</v>
      </c>
      <c r="G17615" t="str">
        <f>"2018-10-11 17:15:06"</f>
        <v>2018-10-11 17:15:06</v>
      </c>
    </row>
    <row r="17616" spans="1:7" x14ac:dyDescent="0.2">
      <c r="A17616" t="s">
        <v>16723</v>
      </c>
      <c r="B17616" t="str">
        <f>"17610082877"</f>
        <v>17610082877</v>
      </c>
      <c r="C17616" t="str">
        <f>"140481199511193636"</f>
        <v>140481199511193636</v>
      </c>
      <c r="D17616" t="s">
        <v>16724</v>
      </c>
      <c r="E17616" t="s">
        <v>16725</v>
      </c>
      <c r="F17616" t="s">
        <v>0</v>
      </c>
      <c r="G17616" t="str">
        <f>"2018-10-11 17:30:11"</f>
        <v>2018-10-11 17:30:11</v>
      </c>
    </row>
    <row r="17617" spans="1:7" x14ac:dyDescent="0.2">
      <c r="A17617" t="s">
        <v>1</v>
      </c>
      <c r="B17617" t="str">
        <f>"18977573554"</f>
        <v>18977573554</v>
      </c>
      <c r="C17617" t="s">
        <v>1</v>
      </c>
      <c r="D17617" t="s">
        <v>1</v>
      </c>
      <c r="E17617" t="s">
        <v>1</v>
      </c>
      <c r="F17617" t="s">
        <v>0</v>
      </c>
      <c r="G17617" t="str">
        <f>"2018-10-11 17:12:27"</f>
        <v>2018-10-11 17:12:27</v>
      </c>
    </row>
    <row r="17618" spans="1:7" x14ac:dyDescent="0.2">
      <c r="A17618" t="s">
        <v>16726</v>
      </c>
      <c r="B17618" t="str">
        <f>"18879797885"</f>
        <v>18879797885</v>
      </c>
      <c r="C17618" t="str">
        <f>"360721198608080861"</f>
        <v>360721198608080861</v>
      </c>
      <c r="D17618" t="s">
        <v>1</v>
      </c>
      <c r="E17618" t="s">
        <v>1</v>
      </c>
      <c r="F17618" t="s">
        <v>0</v>
      </c>
      <c r="G17618" t="str">
        <f>"2018-10-11 17:52:27"</f>
        <v>2018-10-11 17:52:27</v>
      </c>
    </row>
    <row r="17619" spans="1:7" x14ac:dyDescent="0.2">
      <c r="A17619" t="s">
        <v>16727</v>
      </c>
      <c r="B17619" t="str">
        <f>"13107255991"</f>
        <v>13107255991</v>
      </c>
      <c r="C17619" t="str">
        <f>"431224199510094734"</f>
        <v>431224199510094734</v>
      </c>
      <c r="D17619" t="s">
        <v>1</v>
      </c>
      <c r="E17619" t="s">
        <v>1</v>
      </c>
      <c r="F17619" t="s">
        <v>0</v>
      </c>
      <c r="G17619" t="str">
        <f>"2018-10-11 17:12:48"</f>
        <v>2018-10-11 17:12:48</v>
      </c>
    </row>
    <row r="17620" spans="1:7" x14ac:dyDescent="0.2">
      <c r="A17620" t="s">
        <v>16728</v>
      </c>
      <c r="B17620" t="str">
        <f>"13875839816"</f>
        <v>13875839816</v>
      </c>
      <c r="C17620" t="str">
        <f>"342622198104056816"</f>
        <v>342622198104056816</v>
      </c>
      <c r="D17620" t="s">
        <v>1</v>
      </c>
      <c r="E17620" t="s">
        <v>1</v>
      </c>
      <c r="F17620" t="s">
        <v>0</v>
      </c>
      <c r="G17620" t="str">
        <f>"2018-10-27 23:32:23"</f>
        <v>2018-10-27 23:32:23</v>
      </c>
    </row>
    <row r="17621" spans="1:7" x14ac:dyDescent="0.2">
      <c r="A17621" t="s">
        <v>16729</v>
      </c>
      <c r="B17621" t="str">
        <f>"18667175383"</f>
        <v>18667175383</v>
      </c>
      <c r="C17621" t="str">
        <f>"360425198609024318"</f>
        <v>360425198609024318</v>
      </c>
      <c r="D17621" t="s">
        <v>1</v>
      </c>
      <c r="E17621" t="s">
        <v>1</v>
      </c>
      <c r="F17621" t="s">
        <v>0</v>
      </c>
      <c r="G17621" t="str">
        <f>"2018-10-11 17:11:58"</f>
        <v>2018-10-11 17:11:58</v>
      </c>
    </row>
    <row r="17622" spans="1:7" x14ac:dyDescent="0.2">
      <c r="A17622" t="s">
        <v>1</v>
      </c>
      <c r="B17622" t="str">
        <f>"15154462333"</f>
        <v>15154462333</v>
      </c>
      <c r="C17622" t="s">
        <v>1</v>
      </c>
      <c r="D17622" t="s">
        <v>1</v>
      </c>
      <c r="E17622" t="s">
        <v>1</v>
      </c>
      <c r="F17622" t="s">
        <v>0</v>
      </c>
      <c r="G17622" t="str">
        <f>"2018-10-11 17:11:33"</f>
        <v>2018-10-11 17:11:33</v>
      </c>
    </row>
    <row r="17623" spans="1:7" x14ac:dyDescent="0.2">
      <c r="A17623" t="s">
        <v>16730</v>
      </c>
      <c r="B17623" t="str">
        <f>"18798425494"</f>
        <v>18798425494</v>
      </c>
      <c r="C17623" t="str">
        <f>"522731199806229064"</f>
        <v>522731199806229064</v>
      </c>
      <c r="D17623" t="s">
        <v>16731</v>
      </c>
      <c r="E17623" t="s">
        <v>16732</v>
      </c>
      <c r="F17623" t="s">
        <v>0</v>
      </c>
      <c r="G17623" t="str">
        <f>"2018-10-12 00:17:08"</f>
        <v>2018-10-12 00:17:08</v>
      </c>
    </row>
    <row r="17624" spans="1:7" x14ac:dyDescent="0.2">
      <c r="A17624" t="s">
        <v>16733</v>
      </c>
      <c r="B17624" t="str">
        <f>"13933483145"</f>
        <v>13933483145</v>
      </c>
      <c r="C17624" t="str">
        <f>"130221199405285116"</f>
        <v>130221199405285116</v>
      </c>
      <c r="D17624" t="s">
        <v>1</v>
      </c>
      <c r="E17624" t="s">
        <v>1</v>
      </c>
      <c r="F17624" t="s">
        <v>0</v>
      </c>
      <c r="G17624" t="str">
        <f>"2018-10-11 17:14:13"</f>
        <v>2018-10-11 17:14:13</v>
      </c>
    </row>
    <row r="17625" spans="1:7" x14ac:dyDescent="0.2">
      <c r="A17625" t="s">
        <v>1</v>
      </c>
      <c r="B17625" t="str">
        <f>"15202083670"</f>
        <v>15202083670</v>
      </c>
      <c r="C17625" t="s">
        <v>1</v>
      </c>
      <c r="D17625" t="s">
        <v>1</v>
      </c>
      <c r="E17625" t="s">
        <v>1</v>
      </c>
      <c r="F17625" t="s">
        <v>0</v>
      </c>
      <c r="G17625" t="str">
        <f>"2018-10-11 17:14:58"</f>
        <v>2018-10-11 17:14:58</v>
      </c>
    </row>
    <row r="17626" spans="1:7" x14ac:dyDescent="0.2">
      <c r="A17626" t="s">
        <v>16734</v>
      </c>
      <c r="B17626" t="str">
        <f>"18815034970"</f>
        <v>18815034970</v>
      </c>
      <c r="C17626" t="str">
        <f>"431229198702132819"</f>
        <v>431229198702132819</v>
      </c>
      <c r="D17626" t="s">
        <v>1</v>
      </c>
      <c r="E17626" t="s">
        <v>1</v>
      </c>
      <c r="F17626" t="s">
        <v>0</v>
      </c>
      <c r="G17626" t="str">
        <f>"2018-10-11 17:11:20"</f>
        <v>2018-10-11 17:11:20</v>
      </c>
    </row>
    <row r="17627" spans="1:7" x14ac:dyDescent="0.2">
      <c r="A17627" t="s">
        <v>16735</v>
      </c>
      <c r="B17627" t="str">
        <f>"13646442356"</f>
        <v>13646442356</v>
      </c>
      <c r="C17627" t="str">
        <f>"37030419810813656X"</f>
        <v>37030419810813656X</v>
      </c>
      <c r="D17627" t="s">
        <v>1</v>
      </c>
      <c r="E17627" t="s">
        <v>1</v>
      </c>
      <c r="F17627" t="s">
        <v>0</v>
      </c>
      <c r="G17627" t="str">
        <f>"2018-10-11 17:14:55"</f>
        <v>2018-10-11 17:14:55</v>
      </c>
    </row>
    <row r="17628" spans="1:7" x14ac:dyDescent="0.2">
      <c r="A17628" t="s">
        <v>1</v>
      </c>
      <c r="B17628" t="str">
        <f>"18607639475"</f>
        <v>18607639475</v>
      </c>
      <c r="C17628" t="s">
        <v>1</v>
      </c>
      <c r="D17628" t="s">
        <v>1</v>
      </c>
      <c r="E17628" t="s">
        <v>1</v>
      </c>
      <c r="F17628" t="s">
        <v>0</v>
      </c>
      <c r="G17628" t="str">
        <f>"2018-10-11 17:08:18"</f>
        <v>2018-10-11 17:08:18</v>
      </c>
    </row>
    <row r="17629" spans="1:7" x14ac:dyDescent="0.2">
      <c r="A17629" t="s">
        <v>1</v>
      </c>
      <c r="B17629" t="str">
        <f>"13456089524"</f>
        <v>13456089524</v>
      </c>
      <c r="C17629" t="s">
        <v>1</v>
      </c>
      <c r="D17629" t="s">
        <v>1</v>
      </c>
      <c r="E17629" t="s">
        <v>1</v>
      </c>
      <c r="F17629" t="s">
        <v>0</v>
      </c>
      <c r="G17629" t="str">
        <f>"2018-10-11 17:08:16"</f>
        <v>2018-10-11 17:08:16</v>
      </c>
    </row>
    <row r="17630" spans="1:7" x14ac:dyDescent="0.2">
      <c r="A17630" t="s">
        <v>16736</v>
      </c>
      <c r="B17630" t="str">
        <f>"13006589393"</f>
        <v>13006589393</v>
      </c>
      <c r="C17630" t="str">
        <f>"320382198704174538"</f>
        <v>320382198704174538</v>
      </c>
      <c r="D17630" t="s">
        <v>16737</v>
      </c>
      <c r="E17630" t="s">
        <v>16738</v>
      </c>
      <c r="F17630" t="s">
        <v>0</v>
      </c>
      <c r="G17630" t="str">
        <f>"2018-10-11 21:01:31"</f>
        <v>2018-10-11 21:01:31</v>
      </c>
    </row>
    <row r="17631" spans="1:7" x14ac:dyDescent="0.2">
      <c r="A17631" t="s">
        <v>1</v>
      </c>
      <c r="B17631" t="str">
        <f>"17739675537"</f>
        <v>17739675537</v>
      </c>
      <c r="C17631" t="s">
        <v>1</v>
      </c>
      <c r="D17631" t="s">
        <v>1</v>
      </c>
      <c r="E17631" t="s">
        <v>1</v>
      </c>
      <c r="F17631" t="s">
        <v>0</v>
      </c>
      <c r="G17631" t="str">
        <f>"2018-10-11 17:06:28"</f>
        <v>2018-10-11 17:06:28</v>
      </c>
    </row>
    <row r="17632" spans="1:7" x14ac:dyDescent="0.2">
      <c r="A17632" t="s">
        <v>16739</v>
      </c>
      <c r="B17632" t="str">
        <f>"15979883579"</f>
        <v>15979883579</v>
      </c>
      <c r="C17632" t="str">
        <f>"36050219931020431X"</f>
        <v>36050219931020431X</v>
      </c>
      <c r="D17632" t="s">
        <v>1</v>
      </c>
      <c r="E17632" t="s">
        <v>1</v>
      </c>
      <c r="F17632" t="s">
        <v>0</v>
      </c>
      <c r="G17632" t="str">
        <f>"2018-10-12 18:06:56"</f>
        <v>2018-10-12 18:06:56</v>
      </c>
    </row>
    <row r="17633" spans="1:7" x14ac:dyDescent="0.2">
      <c r="A17633" t="s">
        <v>1</v>
      </c>
      <c r="B17633" t="str">
        <f>"18846768456"</f>
        <v>18846768456</v>
      </c>
      <c r="C17633" t="s">
        <v>1</v>
      </c>
      <c r="D17633" t="s">
        <v>1</v>
      </c>
      <c r="E17633" t="s">
        <v>1</v>
      </c>
      <c r="F17633" t="s">
        <v>0</v>
      </c>
      <c r="G17633" t="str">
        <f>"2018-10-11 17:04:52"</f>
        <v>2018-10-11 17:04:52</v>
      </c>
    </row>
    <row r="17634" spans="1:7" x14ac:dyDescent="0.2">
      <c r="A17634" t="s">
        <v>16740</v>
      </c>
      <c r="B17634" t="str">
        <f>"15659799206"</f>
        <v>15659799206</v>
      </c>
      <c r="C17634" t="str">
        <f>"35012319970120151X"</f>
        <v>35012319970120151X</v>
      </c>
      <c r="D17634" t="s">
        <v>1</v>
      </c>
      <c r="E17634" t="s">
        <v>1</v>
      </c>
      <c r="F17634" t="s">
        <v>0</v>
      </c>
      <c r="G17634" t="str">
        <f>"2018-10-11 18:10:30"</f>
        <v>2018-10-11 18:10:30</v>
      </c>
    </row>
    <row r="17635" spans="1:7" x14ac:dyDescent="0.2">
      <c r="A17635" t="s">
        <v>1</v>
      </c>
      <c r="B17635" t="str">
        <f>"15651100527"</f>
        <v>15651100527</v>
      </c>
      <c r="C17635" t="s">
        <v>1</v>
      </c>
      <c r="D17635" t="s">
        <v>1</v>
      </c>
      <c r="E17635" t="s">
        <v>1</v>
      </c>
      <c r="F17635" t="s">
        <v>0</v>
      </c>
      <c r="G17635" t="str">
        <f>"2018-10-11 17:03:20"</f>
        <v>2018-10-11 17:03:20</v>
      </c>
    </row>
    <row r="17636" spans="1:7" x14ac:dyDescent="0.2">
      <c r="A17636" t="s">
        <v>16741</v>
      </c>
      <c r="B17636" t="str">
        <f>"15972572018"</f>
        <v>15972572018</v>
      </c>
      <c r="C17636" t="str">
        <f>"420325198709182314"</f>
        <v>420325198709182314</v>
      </c>
      <c r="D17636" t="s">
        <v>1</v>
      </c>
      <c r="E17636" t="s">
        <v>1</v>
      </c>
      <c r="F17636" t="s">
        <v>0</v>
      </c>
      <c r="G17636" t="str">
        <f>"2018-10-14 14:00:57"</f>
        <v>2018-10-14 14:00:57</v>
      </c>
    </row>
    <row r="17637" spans="1:7" x14ac:dyDescent="0.2">
      <c r="A17637" t="s">
        <v>1</v>
      </c>
      <c r="B17637" t="str">
        <f>"15877655411"</f>
        <v>15877655411</v>
      </c>
      <c r="C17637" t="s">
        <v>1</v>
      </c>
      <c r="D17637" t="s">
        <v>1</v>
      </c>
      <c r="E17637" t="s">
        <v>1</v>
      </c>
      <c r="F17637" t="s">
        <v>0</v>
      </c>
      <c r="G17637" t="str">
        <f>"2018-10-11 17:02:49"</f>
        <v>2018-10-11 17:02:49</v>
      </c>
    </row>
    <row r="17638" spans="1:7" x14ac:dyDescent="0.2">
      <c r="A17638" t="s">
        <v>16742</v>
      </c>
      <c r="B17638" t="str">
        <f>"18300586061"</f>
        <v>18300586061</v>
      </c>
      <c r="C17638" t="str">
        <f>"372923199705032011"</f>
        <v>372923199705032011</v>
      </c>
      <c r="D17638" t="s">
        <v>1</v>
      </c>
      <c r="E17638" t="s">
        <v>1</v>
      </c>
      <c r="F17638" t="s">
        <v>0</v>
      </c>
      <c r="G17638" t="str">
        <f>"2018-10-11 17:02:47"</f>
        <v>2018-10-11 17:02:47</v>
      </c>
    </row>
    <row r="17639" spans="1:7" x14ac:dyDescent="0.2">
      <c r="A17639" t="s">
        <v>215</v>
      </c>
      <c r="B17639" t="str">
        <f>"13468730287"</f>
        <v>13468730287</v>
      </c>
      <c r="C17639" t="str">
        <f>"610526198702225214"</f>
        <v>610526198702225214</v>
      </c>
      <c r="D17639" t="s">
        <v>1</v>
      </c>
      <c r="E17639" t="s">
        <v>1</v>
      </c>
      <c r="F17639" t="s">
        <v>0</v>
      </c>
      <c r="G17639" t="str">
        <f>"2018-10-11 17:26:43"</f>
        <v>2018-10-11 17:26:43</v>
      </c>
    </row>
    <row r="17640" spans="1:7" x14ac:dyDescent="0.2">
      <c r="A17640" t="s">
        <v>16743</v>
      </c>
      <c r="B17640" t="str">
        <f>"18334659706"</f>
        <v>18334659706</v>
      </c>
      <c r="C17640" t="str">
        <f>"140511199610145716"</f>
        <v>140511199610145716</v>
      </c>
      <c r="D17640" t="s">
        <v>1</v>
      </c>
      <c r="E17640" t="s">
        <v>1</v>
      </c>
      <c r="F17640" t="s">
        <v>0</v>
      </c>
      <c r="G17640" t="str">
        <f>"2018-10-11 17:02:25"</f>
        <v>2018-10-11 17:02:25</v>
      </c>
    </row>
    <row r="17641" spans="1:7" x14ac:dyDescent="0.2">
      <c r="A17641" t="s">
        <v>16744</v>
      </c>
      <c r="B17641" t="str">
        <f>"15773492615"</f>
        <v>15773492615</v>
      </c>
      <c r="C17641" t="str">
        <f>"432930198207095314"</f>
        <v>432930198207095314</v>
      </c>
      <c r="D17641" t="s">
        <v>1</v>
      </c>
      <c r="E17641" t="s">
        <v>1</v>
      </c>
      <c r="F17641" t="s">
        <v>0</v>
      </c>
      <c r="G17641" t="str">
        <f>"2018-10-16 13:17:22"</f>
        <v>2018-10-16 13:17:22</v>
      </c>
    </row>
    <row r="17642" spans="1:7" x14ac:dyDescent="0.2">
      <c r="A17642" t="s">
        <v>16745</v>
      </c>
      <c r="B17642" t="str">
        <f>"15158644611"</f>
        <v>15158644611</v>
      </c>
      <c r="C17642" t="str">
        <f>"362201199307252619"</f>
        <v>362201199307252619</v>
      </c>
      <c r="D17642" t="s">
        <v>1</v>
      </c>
      <c r="E17642" t="s">
        <v>1</v>
      </c>
      <c r="F17642" t="s">
        <v>0</v>
      </c>
      <c r="G17642" t="str">
        <f>"2018-10-11 17:01:48"</f>
        <v>2018-10-11 17:01:48</v>
      </c>
    </row>
    <row r="17643" spans="1:7" x14ac:dyDescent="0.2">
      <c r="A17643" t="s">
        <v>16746</v>
      </c>
      <c r="B17643" t="str">
        <f>"15284966607"</f>
        <v>15284966607</v>
      </c>
      <c r="C17643" t="str">
        <f>"511602199503112117"</f>
        <v>511602199503112117</v>
      </c>
      <c r="D17643" t="s">
        <v>1</v>
      </c>
      <c r="E17643" t="s">
        <v>1</v>
      </c>
      <c r="F17643" t="s">
        <v>0</v>
      </c>
      <c r="G17643" t="str">
        <f>"2018-10-11 17:11:43"</f>
        <v>2018-10-11 17:11:43</v>
      </c>
    </row>
    <row r="17644" spans="1:7" x14ac:dyDescent="0.2">
      <c r="A17644" t="s">
        <v>16747</v>
      </c>
      <c r="B17644" t="str">
        <f>"18182080808"</f>
        <v>18182080808</v>
      </c>
      <c r="C17644" t="str">
        <f>"430223198907156516"</f>
        <v>430223198907156516</v>
      </c>
      <c r="D17644" t="s">
        <v>16748</v>
      </c>
      <c r="E17644" t="s">
        <v>16749</v>
      </c>
      <c r="F17644" t="s">
        <v>0</v>
      </c>
      <c r="G17644" t="str">
        <f>"2018-10-11 17:00:24"</f>
        <v>2018-10-11 17:00:24</v>
      </c>
    </row>
    <row r="17645" spans="1:7" x14ac:dyDescent="0.2">
      <c r="A17645" t="s">
        <v>16750</v>
      </c>
      <c r="B17645" t="str">
        <f>"13549636656"</f>
        <v>13549636656</v>
      </c>
      <c r="C17645" t="str">
        <f>"430723198409125642"</f>
        <v>430723198409125642</v>
      </c>
      <c r="D17645" t="s">
        <v>1</v>
      </c>
      <c r="E17645" t="s">
        <v>1</v>
      </c>
      <c r="F17645" t="s">
        <v>0</v>
      </c>
      <c r="G17645" t="str">
        <f>"2018-10-22 13:58:16"</f>
        <v>2018-10-22 13:58:16</v>
      </c>
    </row>
    <row r="17646" spans="1:7" x14ac:dyDescent="0.2">
      <c r="A17646" t="s">
        <v>1</v>
      </c>
      <c r="B17646" t="str">
        <f>"13533637696"</f>
        <v>13533637696</v>
      </c>
      <c r="C17646" t="s">
        <v>1</v>
      </c>
      <c r="D17646" t="s">
        <v>1</v>
      </c>
      <c r="E17646" t="s">
        <v>1</v>
      </c>
      <c r="F17646" t="s">
        <v>0</v>
      </c>
      <c r="G17646" t="str">
        <f>"2018-10-11 16:59:05"</f>
        <v>2018-10-11 16:59:05</v>
      </c>
    </row>
    <row r="17647" spans="1:7" x14ac:dyDescent="0.2">
      <c r="A17647" t="s">
        <v>694</v>
      </c>
      <c r="B17647" t="str">
        <f>"15216141582"</f>
        <v>15216141582</v>
      </c>
      <c r="C17647" t="str">
        <f>"360733198711032812"</f>
        <v>360733198711032812</v>
      </c>
      <c r="D17647" t="s">
        <v>16751</v>
      </c>
      <c r="E17647" t="s">
        <v>16752</v>
      </c>
      <c r="F17647" t="s">
        <v>0</v>
      </c>
      <c r="G17647" t="str">
        <f>"2018-10-11 16:59:03"</f>
        <v>2018-10-11 16:59:03</v>
      </c>
    </row>
    <row r="17648" spans="1:7" x14ac:dyDescent="0.2">
      <c r="A17648" t="s">
        <v>16753</v>
      </c>
      <c r="B17648" t="str">
        <f>"15061675252"</f>
        <v>15061675252</v>
      </c>
      <c r="C17648" t="str">
        <f>"320921198711140045"</f>
        <v>320921198711140045</v>
      </c>
      <c r="D17648" t="s">
        <v>1</v>
      </c>
      <c r="E17648" t="s">
        <v>1</v>
      </c>
      <c r="F17648" t="s">
        <v>0</v>
      </c>
      <c r="G17648" t="str">
        <f>"2018-10-11 17:02:20"</f>
        <v>2018-10-11 17:02:20</v>
      </c>
    </row>
    <row r="17649" spans="1:7" x14ac:dyDescent="0.2">
      <c r="A17649" t="s">
        <v>1</v>
      </c>
      <c r="B17649" t="str">
        <f>"17098946209"</f>
        <v>17098946209</v>
      </c>
      <c r="C17649" t="s">
        <v>1</v>
      </c>
      <c r="D17649" t="s">
        <v>1</v>
      </c>
      <c r="E17649" t="s">
        <v>1</v>
      </c>
      <c r="F17649" t="s">
        <v>0</v>
      </c>
      <c r="G17649" t="str">
        <f>"2018-10-11 16:58:20"</f>
        <v>2018-10-11 16:58:20</v>
      </c>
    </row>
    <row r="17650" spans="1:7" x14ac:dyDescent="0.2">
      <c r="A17650" t="s">
        <v>1303</v>
      </c>
      <c r="B17650" t="str">
        <f>"13654953202"</f>
        <v>13654953202</v>
      </c>
      <c r="C17650" t="str">
        <f>"210726199703281913"</f>
        <v>210726199703281913</v>
      </c>
      <c r="D17650" t="s">
        <v>1</v>
      </c>
      <c r="E17650" t="s">
        <v>1</v>
      </c>
      <c r="F17650" t="s">
        <v>0</v>
      </c>
      <c r="G17650" t="str">
        <f>"2018-10-11 16:58:20"</f>
        <v>2018-10-11 16:58:20</v>
      </c>
    </row>
    <row r="17651" spans="1:7" x14ac:dyDescent="0.2">
      <c r="A17651" t="s">
        <v>1</v>
      </c>
      <c r="B17651" t="str">
        <f>"18596530993"</f>
        <v>18596530993</v>
      </c>
      <c r="C17651" t="s">
        <v>1</v>
      </c>
      <c r="D17651" t="s">
        <v>1</v>
      </c>
      <c r="E17651" t="s">
        <v>1</v>
      </c>
      <c r="F17651" t="s">
        <v>0</v>
      </c>
      <c r="G17651" t="str">
        <f>"2018-10-30 18:30:28"</f>
        <v>2018-10-30 18:30:28</v>
      </c>
    </row>
    <row r="17652" spans="1:7" x14ac:dyDescent="0.2">
      <c r="A17652" t="s">
        <v>16754</v>
      </c>
      <c r="B17652" t="str">
        <f>"13822722927"</f>
        <v>13822722927</v>
      </c>
      <c r="C17652" t="str">
        <f>"412902197906237613"</f>
        <v>412902197906237613</v>
      </c>
      <c r="D17652" t="s">
        <v>1</v>
      </c>
      <c r="E17652" t="s">
        <v>1</v>
      </c>
      <c r="F17652" t="s">
        <v>0</v>
      </c>
      <c r="G17652" t="str">
        <f>"2018-10-11 17:00:41"</f>
        <v>2018-10-11 17:00:41</v>
      </c>
    </row>
    <row r="17653" spans="1:7" x14ac:dyDescent="0.2">
      <c r="A17653" t="s">
        <v>1</v>
      </c>
      <c r="B17653" t="str">
        <f>"18646891470"</f>
        <v>18646891470</v>
      </c>
      <c r="C17653" t="s">
        <v>1</v>
      </c>
      <c r="D17653" t="s">
        <v>1</v>
      </c>
      <c r="E17653" t="s">
        <v>1</v>
      </c>
      <c r="F17653" t="s">
        <v>0</v>
      </c>
      <c r="G17653" t="str">
        <f>"2018-10-11 16:57:29"</f>
        <v>2018-10-11 16:57:29</v>
      </c>
    </row>
    <row r="17654" spans="1:7" x14ac:dyDescent="0.2">
      <c r="A17654" t="s">
        <v>16755</v>
      </c>
      <c r="B17654" t="str">
        <f>"13753414373"</f>
        <v>13753414373</v>
      </c>
      <c r="C17654" t="str">
        <f>"140726199603300031"</f>
        <v>140726199603300031</v>
      </c>
      <c r="D17654" t="s">
        <v>1</v>
      </c>
      <c r="E17654" t="s">
        <v>1</v>
      </c>
      <c r="F17654" t="s">
        <v>0</v>
      </c>
      <c r="G17654" t="str">
        <f>"2018-10-11 17:17:21"</f>
        <v>2018-10-11 17:17:21</v>
      </c>
    </row>
    <row r="17655" spans="1:7" x14ac:dyDescent="0.2">
      <c r="A17655" t="s">
        <v>16756</v>
      </c>
      <c r="B17655" t="str">
        <f>"18907819554"</f>
        <v>18907819554</v>
      </c>
      <c r="C17655" t="str">
        <f>"452129198602020018"</f>
        <v>452129198602020018</v>
      </c>
      <c r="D17655" t="s">
        <v>1</v>
      </c>
      <c r="E17655" t="s">
        <v>1</v>
      </c>
      <c r="F17655" t="s">
        <v>0</v>
      </c>
      <c r="G17655" t="str">
        <f>"2018-10-11 16:56:30"</f>
        <v>2018-10-11 16:56:30</v>
      </c>
    </row>
    <row r="17656" spans="1:7" x14ac:dyDescent="0.2">
      <c r="A17656" t="s">
        <v>1</v>
      </c>
      <c r="B17656" t="str">
        <f>"15506814917"</f>
        <v>15506814917</v>
      </c>
      <c r="C17656" t="s">
        <v>1</v>
      </c>
      <c r="D17656" t="s">
        <v>1</v>
      </c>
      <c r="E17656" t="s">
        <v>1</v>
      </c>
      <c r="F17656" t="s">
        <v>0</v>
      </c>
      <c r="G17656" t="str">
        <f>"2018-10-11 16:55:33"</f>
        <v>2018-10-11 16:55:33</v>
      </c>
    </row>
    <row r="17657" spans="1:7" x14ac:dyDescent="0.2">
      <c r="A17657" t="s">
        <v>1</v>
      </c>
      <c r="B17657" t="str">
        <f>"18602858345"</f>
        <v>18602858345</v>
      </c>
      <c r="C17657" t="s">
        <v>1</v>
      </c>
      <c r="D17657" t="s">
        <v>1</v>
      </c>
      <c r="E17657" t="s">
        <v>1</v>
      </c>
      <c r="F17657" t="s">
        <v>0</v>
      </c>
      <c r="G17657" t="str">
        <f>"2018-10-11 17:09:19"</f>
        <v>2018-10-11 17:09:19</v>
      </c>
    </row>
    <row r="17658" spans="1:7" x14ac:dyDescent="0.2">
      <c r="A17658" t="s">
        <v>1</v>
      </c>
      <c r="B17658" t="str">
        <f>"13221070952"</f>
        <v>13221070952</v>
      </c>
      <c r="C17658" t="s">
        <v>1</v>
      </c>
      <c r="D17658" t="s">
        <v>1</v>
      </c>
      <c r="E17658" t="s">
        <v>1</v>
      </c>
      <c r="F17658" t="s">
        <v>0</v>
      </c>
      <c r="G17658" t="str">
        <f>"2018-10-11 16:55:04"</f>
        <v>2018-10-11 16:55:04</v>
      </c>
    </row>
    <row r="17659" spans="1:7" x14ac:dyDescent="0.2">
      <c r="A17659" t="s">
        <v>1</v>
      </c>
      <c r="B17659" t="str">
        <f>"13593758847"</f>
        <v>13593758847</v>
      </c>
      <c r="C17659" t="s">
        <v>1</v>
      </c>
      <c r="D17659" t="s">
        <v>1</v>
      </c>
      <c r="E17659" t="s">
        <v>1</v>
      </c>
      <c r="F17659" t="s">
        <v>0</v>
      </c>
      <c r="G17659" t="str">
        <f>"2018-10-11 16:53:33"</f>
        <v>2018-10-11 16:53:33</v>
      </c>
    </row>
    <row r="17660" spans="1:7" x14ac:dyDescent="0.2">
      <c r="A17660" t="s">
        <v>16757</v>
      </c>
      <c r="B17660" t="str">
        <f>"18654751952"</f>
        <v>18654751952</v>
      </c>
      <c r="C17660" t="str">
        <f>"371421199606300024"</f>
        <v>371421199606300024</v>
      </c>
      <c r="D17660" t="s">
        <v>16758</v>
      </c>
      <c r="E17660" t="s">
        <v>16759</v>
      </c>
      <c r="F17660" t="s">
        <v>0</v>
      </c>
      <c r="G17660" t="str">
        <f>"2018-10-11 16:59:56"</f>
        <v>2018-10-11 16:59:56</v>
      </c>
    </row>
    <row r="17661" spans="1:7" x14ac:dyDescent="0.2">
      <c r="A17661" t="s">
        <v>16760</v>
      </c>
      <c r="B17661" t="str">
        <f>"18304144449"</f>
        <v>18304144449</v>
      </c>
      <c r="C17661" t="str">
        <f>"210521198907240032"</f>
        <v>210521198907240032</v>
      </c>
      <c r="D17661" t="s">
        <v>1</v>
      </c>
      <c r="E17661" t="s">
        <v>1</v>
      </c>
      <c r="F17661" t="s">
        <v>0</v>
      </c>
      <c r="G17661" t="str">
        <f>"2018-10-11 16:53:24"</f>
        <v>2018-10-11 16:53:24</v>
      </c>
    </row>
    <row r="17662" spans="1:7" x14ac:dyDescent="0.2">
      <c r="A17662" t="s">
        <v>1</v>
      </c>
      <c r="B17662" t="str">
        <f>"18813345222"</f>
        <v>18813345222</v>
      </c>
      <c r="C17662" t="s">
        <v>1</v>
      </c>
      <c r="D17662" t="s">
        <v>1</v>
      </c>
      <c r="E17662" t="s">
        <v>1</v>
      </c>
      <c r="F17662" t="s">
        <v>0</v>
      </c>
      <c r="G17662" t="str">
        <f>"2018-10-11 16:53:03"</f>
        <v>2018-10-11 16:53:03</v>
      </c>
    </row>
    <row r="17663" spans="1:7" x14ac:dyDescent="0.2">
      <c r="A17663" t="s">
        <v>1</v>
      </c>
      <c r="B17663" t="str">
        <f>"15975405087"</f>
        <v>15975405087</v>
      </c>
      <c r="C17663" t="s">
        <v>1</v>
      </c>
      <c r="D17663" t="s">
        <v>1</v>
      </c>
      <c r="E17663" t="s">
        <v>1</v>
      </c>
      <c r="F17663" t="s">
        <v>0</v>
      </c>
      <c r="G17663" t="str">
        <f>"2018-10-11 16:52:09"</f>
        <v>2018-10-11 16:52:09</v>
      </c>
    </row>
    <row r="17664" spans="1:7" x14ac:dyDescent="0.2">
      <c r="A17664" t="s">
        <v>16761</v>
      </c>
      <c r="B17664" t="str">
        <f>"18604445895"</f>
        <v>18604445895</v>
      </c>
      <c r="C17664" t="str">
        <f>"220721198812121252"</f>
        <v>220721198812121252</v>
      </c>
      <c r="D17664" t="s">
        <v>1</v>
      </c>
      <c r="E17664" t="s">
        <v>1</v>
      </c>
      <c r="F17664" t="s">
        <v>0</v>
      </c>
      <c r="G17664" t="str">
        <f>"2018-10-12 11:52:33"</f>
        <v>2018-10-12 11:52:33</v>
      </c>
    </row>
    <row r="17665" spans="1:7" x14ac:dyDescent="0.2">
      <c r="A17665" t="s">
        <v>1</v>
      </c>
      <c r="B17665" t="str">
        <f>"13568749202"</f>
        <v>13568749202</v>
      </c>
      <c r="C17665" t="s">
        <v>1</v>
      </c>
      <c r="D17665" t="s">
        <v>1</v>
      </c>
      <c r="E17665" t="s">
        <v>1</v>
      </c>
      <c r="F17665" t="s">
        <v>0</v>
      </c>
      <c r="G17665" t="str">
        <f>"2018-10-11 16:51:41"</f>
        <v>2018-10-11 16:51:41</v>
      </c>
    </row>
    <row r="17666" spans="1:7" x14ac:dyDescent="0.2">
      <c r="A17666" t="s">
        <v>16762</v>
      </c>
      <c r="B17666" t="str">
        <f>"18768264988"</f>
        <v>18768264988</v>
      </c>
      <c r="C17666" t="str">
        <f>"330425198110050538"</f>
        <v>330425198110050538</v>
      </c>
      <c r="D17666" t="s">
        <v>1</v>
      </c>
      <c r="E17666" t="s">
        <v>1</v>
      </c>
      <c r="F17666" t="s">
        <v>0</v>
      </c>
      <c r="G17666" t="str">
        <f>"2018-10-11 17:17:39"</f>
        <v>2018-10-11 17:17:39</v>
      </c>
    </row>
    <row r="17667" spans="1:7" x14ac:dyDescent="0.2">
      <c r="A17667" t="s">
        <v>1</v>
      </c>
      <c r="B17667" t="str">
        <f>"13717042741"</f>
        <v>13717042741</v>
      </c>
      <c r="C17667" t="s">
        <v>1</v>
      </c>
      <c r="D17667" t="s">
        <v>1</v>
      </c>
      <c r="E17667" t="s">
        <v>1</v>
      </c>
      <c r="F17667" t="s">
        <v>0</v>
      </c>
      <c r="G17667" t="str">
        <f>"2018-10-11 16:51:32"</f>
        <v>2018-10-11 16:51:32</v>
      </c>
    </row>
    <row r="17668" spans="1:7" x14ac:dyDescent="0.2">
      <c r="A17668" t="s">
        <v>16763</v>
      </c>
      <c r="B17668" t="str">
        <f>"15173511118"</f>
        <v>15173511118</v>
      </c>
      <c r="C17668" t="str">
        <f>"431026197708230351"</f>
        <v>431026197708230351</v>
      </c>
      <c r="D17668" t="s">
        <v>1</v>
      </c>
      <c r="E17668" t="s">
        <v>1</v>
      </c>
      <c r="F17668" t="s">
        <v>0</v>
      </c>
      <c r="G17668" t="str">
        <f>"2018-10-11 16:52:37"</f>
        <v>2018-10-11 16:52:37</v>
      </c>
    </row>
    <row r="17669" spans="1:7" x14ac:dyDescent="0.2">
      <c r="A17669" t="s">
        <v>874</v>
      </c>
      <c r="B17669" t="str">
        <f>"18583980095"</f>
        <v>18583980095</v>
      </c>
      <c r="C17669" t="str">
        <f>"510131198603126814"</f>
        <v>510131198603126814</v>
      </c>
      <c r="D17669" t="s">
        <v>1</v>
      </c>
      <c r="E17669" t="s">
        <v>1</v>
      </c>
      <c r="F17669" t="s">
        <v>0</v>
      </c>
      <c r="G17669" t="str">
        <f>"2018-10-14 12:14:19"</f>
        <v>2018-10-14 12:14:19</v>
      </c>
    </row>
    <row r="17670" spans="1:7" x14ac:dyDescent="0.2">
      <c r="A17670" t="s">
        <v>1</v>
      </c>
      <c r="B17670" t="str">
        <f>"17610220862"</f>
        <v>17610220862</v>
      </c>
      <c r="C17670" t="s">
        <v>1</v>
      </c>
      <c r="D17670" t="s">
        <v>1</v>
      </c>
      <c r="E17670" t="s">
        <v>1</v>
      </c>
      <c r="F17670" t="s">
        <v>0</v>
      </c>
      <c r="G17670" t="str">
        <f>"2018-10-11 16:51:04"</f>
        <v>2018-10-11 16:51:04</v>
      </c>
    </row>
    <row r="17671" spans="1:7" x14ac:dyDescent="0.2">
      <c r="A17671" t="s">
        <v>16764</v>
      </c>
      <c r="B17671" t="str">
        <f>"18859155709"</f>
        <v>18859155709</v>
      </c>
      <c r="C17671" t="str">
        <f>"350125197601163812"</f>
        <v>350125197601163812</v>
      </c>
      <c r="D17671" t="s">
        <v>16765</v>
      </c>
      <c r="E17671" t="s">
        <v>16766</v>
      </c>
      <c r="F17671" t="s">
        <v>0</v>
      </c>
      <c r="G17671" t="str">
        <f>"2018-10-11 16:53:17"</f>
        <v>2018-10-11 16:53:17</v>
      </c>
    </row>
    <row r="17672" spans="1:7" x14ac:dyDescent="0.2">
      <c r="A17672" t="s">
        <v>16767</v>
      </c>
      <c r="B17672" t="str">
        <f>"13505649670"</f>
        <v>13505649670</v>
      </c>
      <c r="C17672" t="str">
        <f>"34240119831028071X"</f>
        <v>34240119831028071X</v>
      </c>
      <c r="D17672" t="s">
        <v>1</v>
      </c>
      <c r="E17672" t="s">
        <v>1</v>
      </c>
      <c r="F17672" t="s">
        <v>0</v>
      </c>
      <c r="G17672" t="str">
        <f>"2018-10-11 17:22:37"</f>
        <v>2018-10-11 17:22:37</v>
      </c>
    </row>
    <row r="17673" spans="1:7" x14ac:dyDescent="0.2">
      <c r="A17673" t="s">
        <v>16768</v>
      </c>
      <c r="B17673" t="str">
        <f>"13508725537"</f>
        <v>13508725537</v>
      </c>
      <c r="C17673" t="str">
        <f>"532901198602020138"</f>
        <v>532901198602020138</v>
      </c>
      <c r="D17673" t="s">
        <v>16769</v>
      </c>
      <c r="E17673" t="s">
        <v>16770</v>
      </c>
      <c r="F17673" t="s">
        <v>0</v>
      </c>
      <c r="G17673" t="str">
        <f>"2018-10-18 11:37:56"</f>
        <v>2018-10-18 11:37:56</v>
      </c>
    </row>
    <row r="17674" spans="1:7" x14ac:dyDescent="0.2">
      <c r="A17674" t="s">
        <v>1</v>
      </c>
      <c r="B17674" t="str">
        <f>"18723355604"</f>
        <v>18723355604</v>
      </c>
      <c r="C17674" t="s">
        <v>1</v>
      </c>
      <c r="D17674" t="s">
        <v>1</v>
      </c>
      <c r="E17674" t="s">
        <v>1</v>
      </c>
      <c r="F17674" t="s">
        <v>0</v>
      </c>
      <c r="G17674" t="str">
        <f>"2018-10-11 16:50:46"</f>
        <v>2018-10-11 16:50:46</v>
      </c>
    </row>
    <row r="17675" spans="1:7" x14ac:dyDescent="0.2">
      <c r="A17675" t="s">
        <v>16771</v>
      </c>
      <c r="B17675" t="str">
        <f>"18921501666"</f>
        <v>18921501666</v>
      </c>
      <c r="C17675" t="str">
        <f>"340822198006102611"</f>
        <v>340822198006102611</v>
      </c>
      <c r="D17675" t="s">
        <v>16772</v>
      </c>
      <c r="E17675" t="s">
        <v>16773</v>
      </c>
      <c r="F17675" t="s">
        <v>0</v>
      </c>
      <c r="G17675" t="str">
        <f>"2018-10-20 10:53:08"</f>
        <v>2018-10-20 10:53:08</v>
      </c>
    </row>
    <row r="17676" spans="1:7" x14ac:dyDescent="0.2">
      <c r="A17676" t="s">
        <v>16774</v>
      </c>
      <c r="B17676" t="str">
        <f>"13719689358"</f>
        <v>13719689358</v>
      </c>
      <c r="C17676" t="str">
        <f>"440582198206200658"</f>
        <v>440582198206200658</v>
      </c>
      <c r="D17676" t="s">
        <v>1</v>
      </c>
      <c r="E17676" t="s">
        <v>1</v>
      </c>
      <c r="F17676" t="s">
        <v>0</v>
      </c>
      <c r="G17676" t="str">
        <f>"2018-10-11 16:52:43"</f>
        <v>2018-10-11 16:52:43</v>
      </c>
    </row>
    <row r="17677" spans="1:7" x14ac:dyDescent="0.2">
      <c r="A17677" t="s">
        <v>16775</v>
      </c>
      <c r="B17677" t="str">
        <f>"13643484240"</f>
        <v>13643484240</v>
      </c>
      <c r="C17677" t="str">
        <f>"220721198702081229"</f>
        <v>220721198702081229</v>
      </c>
      <c r="D17677" t="s">
        <v>1</v>
      </c>
      <c r="E17677" t="s">
        <v>1</v>
      </c>
      <c r="F17677" t="s">
        <v>0</v>
      </c>
      <c r="G17677" t="str">
        <f>"2018-10-11 17:01:35"</f>
        <v>2018-10-11 17:01:35</v>
      </c>
    </row>
    <row r="17678" spans="1:7" x14ac:dyDescent="0.2">
      <c r="A17678" t="s">
        <v>16776</v>
      </c>
      <c r="B17678" t="str">
        <f>"15149904772"</f>
        <v>15149904772</v>
      </c>
      <c r="C17678" t="str">
        <f>"152323199510164352"</f>
        <v>152323199510164352</v>
      </c>
      <c r="D17678" t="s">
        <v>16777</v>
      </c>
      <c r="E17678" t="s">
        <v>16778</v>
      </c>
      <c r="F17678" t="s">
        <v>0</v>
      </c>
      <c r="G17678" t="str">
        <f>"2018-10-11 16:51:32"</f>
        <v>2018-10-11 16:51:32</v>
      </c>
    </row>
    <row r="17679" spans="1:7" x14ac:dyDescent="0.2">
      <c r="A17679" t="s">
        <v>1052</v>
      </c>
      <c r="B17679" t="str">
        <f>"13621564687"</f>
        <v>13621564687</v>
      </c>
      <c r="C17679" t="str">
        <f>"430281198208095818"</f>
        <v>430281198208095818</v>
      </c>
      <c r="D17679" t="s">
        <v>1</v>
      </c>
      <c r="E17679" t="s">
        <v>1</v>
      </c>
      <c r="F17679" t="s">
        <v>0</v>
      </c>
      <c r="G17679" t="str">
        <f>"2018-10-11 16:52:24"</f>
        <v>2018-10-11 16:52:24</v>
      </c>
    </row>
    <row r="17680" spans="1:7" x14ac:dyDescent="0.2">
      <c r="A17680" t="s">
        <v>16779</v>
      </c>
      <c r="B17680" t="str">
        <f>"18940640346"</f>
        <v>18940640346</v>
      </c>
      <c r="C17680" t="str">
        <f>"230106199206181757"</f>
        <v>230106199206181757</v>
      </c>
      <c r="D17680" t="s">
        <v>16780</v>
      </c>
      <c r="E17680" t="s">
        <v>16781</v>
      </c>
      <c r="F17680" t="s">
        <v>0</v>
      </c>
      <c r="G17680" t="str">
        <f>"2018-10-11 16:52:42"</f>
        <v>2018-10-11 16:52:42</v>
      </c>
    </row>
    <row r="17681" spans="1:7" x14ac:dyDescent="0.2">
      <c r="A17681" t="s">
        <v>16782</v>
      </c>
      <c r="B17681" t="str">
        <f>"13987182149"</f>
        <v>13987182149</v>
      </c>
      <c r="C17681" t="str">
        <f>"530302198204102711"</f>
        <v>530302198204102711</v>
      </c>
      <c r="D17681" t="s">
        <v>1</v>
      </c>
      <c r="E17681" t="s">
        <v>1</v>
      </c>
      <c r="F17681" t="s">
        <v>0</v>
      </c>
      <c r="G17681" t="str">
        <f>"2018-10-11 16:52:11"</f>
        <v>2018-10-11 16:52:11</v>
      </c>
    </row>
    <row r="17682" spans="1:7" x14ac:dyDescent="0.2">
      <c r="A17682" t="s">
        <v>16783</v>
      </c>
      <c r="B17682" t="str">
        <f>"13836845063"</f>
        <v>13836845063</v>
      </c>
      <c r="C17682" t="str">
        <f>"230624198706150055"</f>
        <v>230624198706150055</v>
      </c>
      <c r="D17682" t="s">
        <v>1</v>
      </c>
      <c r="E17682" t="s">
        <v>1</v>
      </c>
      <c r="F17682" t="s">
        <v>0</v>
      </c>
      <c r="G17682" t="str">
        <f>"2018-10-11 16:51:00"</f>
        <v>2018-10-11 16:51:00</v>
      </c>
    </row>
    <row r="17683" spans="1:7" x14ac:dyDescent="0.2">
      <c r="A17683" t="s">
        <v>1</v>
      </c>
      <c r="B17683" t="str">
        <f>"13003380820"</f>
        <v>13003380820</v>
      </c>
      <c r="C17683" t="s">
        <v>1</v>
      </c>
      <c r="D17683" t="s">
        <v>1</v>
      </c>
      <c r="E17683" t="s">
        <v>1</v>
      </c>
      <c r="F17683" t="s">
        <v>0</v>
      </c>
      <c r="G17683" t="str">
        <f>"2018-10-11 16:48:32"</f>
        <v>2018-10-11 16:48:32</v>
      </c>
    </row>
    <row r="17684" spans="1:7" x14ac:dyDescent="0.2">
      <c r="A17684" t="s">
        <v>16784</v>
      </c>
      <c r="B17684" t="str">
        <f>"18604566834"</f>
        <v>18604566834</v>
      </c>
      <c r="C17684" t="str">
        <f>"231102198103053243"</f>
        <v>231102198103053243</v>
      </c>
      <c r="D17684" t="s">
        <v>1</v>
      </c>
      <c r="E17684" t="s">
        <v>1</v>
      </c>
      <c r="F17684" t="s">
        <v>0</v>
      </c>
      <c r="G17684" t="str">
        <f>"2018-10-11 16:52:39"</f>
        <v>2018-10-11 16:52:39</v>
      </c>
    </row>
    <row r="17685" spans="1:7" x14ac:dyDescent="0.2">
      <c r="A17685" t="s">
        <v>16785</v>
      </c>
      <c r="B17685" t="str">
        <f>"18304596396"</f>
        <v>18304596396</v>
      </c>
      <c r="C17685" t="str">
        <f>"230622199606052601"</f>
        <v>230622199606052601</v>
      </c>
      <c r="D17685" t="s">
        <v>16786</v>
      </c>
      <c r="E17685" t="s">
        <v>16787</v>
      </c>
      <c r="F17685" t="s">
        <v>0</v>
      </c>
      <c r="G17685" t="str">
        <f>"2018-10-11 16:49:32"</f>
        <v>2018-10-11 16:49:32</v>
      </c>
    </row>
    <row r="17686" spans="1:7" x14ac:dyDescent="0.2">
      <c r="A17686" t="s">
        <v>16788</v>
      </c>
      <c r="B17686" t="str">
        <f>"15206097773"</f>
        <v>15206097773</v>
      </c>
      <c r="C17686" t="str">
        <f>"352625197902144972"</f>
        <v>352625197902144972</v>
      </c>
      <c r="D17686" t="s">
        <v>1</v>
      </c>
      <c r="E17686" t="s">
        <v>1</v>
      </c>
      <c r="F17686" t="s">
        <v>0</v>
      </c>
      <c r="G17686" t="str">
        <f>"2018-10-11 16:49:47"</f>
        <v>2018-10-11 16:49:47</v>
      </c>
    </row>
    <row r="17687" spans="1:7" x14ac:dyDescent="0.2">
      <c r="A17687" t="s">
        <v>1</v>
      </c>
      <c r="B17687" t="str">
        <f>"18335914979"</f>
        <v>18335914979</v>
      </c>
      <c r="C17687" t="s">
        <v>1</v>
      </c>
      <c r="D17687" t="s">
        <v>1</v>
      </c>
      <c r="E17687" t="s">
        <v>1</v>
      </c>
      <c r="F17687" t="s">
        <v>0</v>
      </c>
      <c r="G17687" t="str">
        <f>"2018-10-11 16:48:09"</f>
        <v>2018-10-11 16:48:09</v>
      </c>
    </row>
    <row r="17688" spans="1:7" x14ac:dyDescent="0.2">
      <c r="A17688" t="s">
        <v>16789</v>
      </c>
      <c r="B17688" t="str">
        <f>"15852305372"</f>
        <v>15852305372</v>
      </c>
      <c r="C17688" t="str">
        <f>"320311199107185836"</f>
        <v>320311199107185836</v>
      </c>
      <c r="D17688" t="s">
        <v>1</v>
      </c>
      <c r="E17688" t="s">
        <v>1</v>
      </c>
      <c r="F17688" t="s">
        <v>0</v>
      </c>
      <c r="G17688" t="str">
        <f>"2018-10-11 16:48:59"</f>
        <v>2018-10-11 16:48:59</v>
      </c>
    </row>
    <row r="17689" spans="1:7" x14ac:dyDescent="0.2">
      <c r="A17689" t="s">
        <v>16790</v>
      </c>
      <c r="B17689" t="str">
        <f>"13815930555"</f>
        <v>13815930555</v>
      </c>
      <c r="C17689" t="str">
        <f>"230223197412261822"</f>
        <v>230223197412261822</v>
      </c>
      <c r="D17689" t="s">
        <v>1</v>
      </c>
      <c r="E17689" t="s">
        <v>1</v>
      </c>
      <c r="F17689" t="s">
        <v>0</v>
      </c>
      <c r="G17689" t="str">
        <f>"2018-10-11 16:50:58"</f>
        <v>2018-10-11 16:50:58</v>
      </c>
    </row>
    <row r="17690" spans="1:7" x14ac:dyDescent="0.2">
      <c r="A17690" t="s">
        <v>16791</v>
      </c>
      <c r="B17690" t="str">
        <f>"17791777782"</f>
        <v>17791777782</v>
      </c>
      <c r="C17690" t="str">
        <f>"610202199007050026"</f>
        <v>610202199007050026</v>
      </c>
      <c r="D17690" t="s">
        <v>1</v>
      </c>
      <c r="E17690" t="s">
        <v>1</v>
      </c>
      <c r="F17690" t="s">
        <v>0</v>
      </c>
      <c r="G17690" t="str">
        <f>"2018-10-11 17:17:31"</f>
        <v>2018-10-11 17:17:31</v>
      </c>
    </row>
    <row r="17691" spans="1:7" x14ac:dyDescent="0.2">
      <c r="A17691" t="s">
        <v>789</v>
      </c>
      <c r="B17691" t="str">
        <f>"18780908010"</f>
        <v>18780908010</v>
      </c>
      <c r="C17691" t="str">
        <f>"510821199008092111"</f>
        <v>510821199008092111</v>
      </c>
      <c r="D17691" t="s">
        <v>1</v>
      </c>
      <c r="E17691" t="s">
        <v>1</v>
      </c>
      <c r="F17691" t="s">
        <v>0</v>
      </c>
      <c r="G17691" t="str">
        <f>"2018-10-11 16:48:27"</f>
        <v>2018-10-11 16:48:27</v>
      </c>
    </row>
    <row r="17692" spans="1:7" x14ac:dyDescent="0.2">
      <c r="A17692" t="s">
        <v>227</v>
      </c>
      <c r="B17692" t="str">
        <f>"13540125084"</f>
        <v>13540125084</v>
      </c>
      <c r="C17692" t="str">
        <f>"35018119910120207X"</f>
        <v>35018119910120207X</v>
      </c>
      <c r="D17692" t="s">
        <v>1</v>
      </c>
      <c r="E17692" t="s">
        <v>1</v>
      </c>
      <c r="F17692" t="s">
        <v>0</v>
      </c>
      <c r="G17692" t="str">
        <f>"2018-10-11 16:49:04"</f>
        <v>2018-10-11 16:49:04</v>
      </c>
    </row>
    <row r="17693" spans="1:7" x14ac:dyDescent="0.2">
      <c r="A17693" t="s">
        <v>16792</v>
      </c>
      <c r="B17693" t="str">
        <f>"13873458596"</f>
        <v>13873458596</v>
      </c>
      <c r="C17693" t="str">
        <f>"430407199509203079"</f>
        <v>430407199509203079</v>
      </c>
      <c r="D17693" t="s">
        <v>16793</v>
      </c>
      <c r="E17693" t="s">
        <v>16794</v>
      </c>
      <c r="F17693" t="s">
        <v>0</v>
      </c>
      <c r="G17693" t="str">
        <f>"2018-10-11 16:49:18"</f>
        <v>2018-10-11 16:49:18</v>
      </c>
    </row>
    <row r="17694" spans="1:7" x14ac:dyDescent="0.2">
      <c r="A17694" t="s">
        <v>16795</v>
      </c>
      <c r="B17694" t="str">
        <f>"13998484425"</f>
        <v>13998484425</v>
      </c>
      <c r="C17694" t="str">
        <f>"220524199211173375"</f>
        <v>220524199211173375</v>
      </c>
      <c r="D17694" t="s">
        <v>1</v>
      </c>
      <c r="E17694" t="s">
        <v>1</v>
      </c>
      <c r="F17694" t="s">
        <v>0</v>
      </c>
      <c r="G17694" t="str">
        <f>"2018-10-11 21:58:00"</f>
        <v>2018-10-11 21:58:00</v>
      </c>
    </row>
    <row r="17695" spans="1:7" x14ac:dyDescent="0.2">
      <c r="A17695" t="s">
        <v>16796</v>
      </c>
      <c r="B17695" t="str">
        <f>"13559268783"</f>
        <v>13559268783</v>
      </c>
      <c r="C17695" t="str">
        <f>"350628198809231010"</f>
        <v>350628198809231010</v>
      </c>
      <c r="D17695" t="s">
        <v>1</v>
      </c>
      <c r="E17695" t="s">
        <v>1</v>
      </c>
      <c r="F17695" t="s">
        <v>0</v>
      </c>
      <c r="G17695" t="str">
        <f>"2018-10-12 10:13:01"</f>
        <v>2018-10-12 10:13:01</v>
      </c>
    </row>
    <row r="17696" spans="1:7" x14ac:dyDescent="0.2">
      <c r="A17696" t="s">
        <v>1</v>
      </c>
      <c r="B17696" t="str">
        <f>"15962644604"</f>
        <v>15962644604</v>
      </c>
      <c r="C17696" t="s">
        <v>1</v>
      </c>
      <c r="D17696" t="s">
        <v>1</v>
      </c>
      <c r="E17696" t="s">
        <v>1</v>
      </c>
      <c r="F17696" t="s">
        <v>0</v>
      </c>
      <c r="G17696" t="str">
        <f>"2018-10-11 16:45:51"</f>
        <v>2018-10-11 16:45:51</v>
      </c>
    </row>
    <row r="17697" spans="1:7" x14ac:dyDescent="0.2">
      <c r="A17697" t="s">
        <v>1</v>
      </c>
      <c r="B17697" t="str">
        <f>"15989123747"</f>
        <v>15989123747</v>
      </c>
      <c r="C17697" t="s">
        <v>1</v>
      </c>
      <c r="D17697" t="s">
        <v>1</v>
      </c>
      <c r="E17697" t="s">
        <v>1</v>
      </c>
      <c r="F17697" t="s">
        <v>0</v>
      </c>
      <c r="G17697" t="str">
        <f>"2018-10-11 16:45:37"</f>
        <v>2018-10-11 16:45:37</v>
      </c>
    </row>
    <row r="17698" spans="1:7" x14ac:dyDescent="0.2">
      <c r="A17698" t="s">
        <v>16797</v>
      </c>
      <c r="B17698" t="str">
        <f>"15157846587"</f>
        <v>15157846587</v>
      </c>
      <c r="C17698" t="str">
        <f>"332527198907140012"</f>
        <v>332527198907140012</v>
      </c>
      <c r="D17698" t="s">
        <v>1</v>
      </c>
      <c r="E17698" t="s">
        <v>1</v>
      </c>
      <c r="F17698" t="s">
        <v>0</v>
      </c>
      <c r="G17698" t="str">
        <f>"2018-10-11 16:45:35"</f>
        <v>2018-10-11 16:45:35</v>
      </c>
    </row>
    <row r="17699" spans="1:7" x14ac:dyDescent="0.2">
      <c r="A17699" t="s">
        <v>1</v>
      </c>
      <c r="B17699" t="str">
        <f>"15914890708"</f>
        <v>15914890708</v>
      </c>
      <c r="C17699" t="s">
        <v>1</v>
      </c>
      <c r="D17699" t="s">
        <v>1</v>
      </c>
      <c r="E17699" t="s">
        <v>1</v>
      </c>
      <c r="F17699" t="s">
        <v>0</v>
      </c>
      <c r="G17699" t="str">
        <f>"2018-10-11 16:48:38"</f>
        <v>2018-10-11 16:48:38</v>
      </c>
    </row>
    <row r="17700" spans="1:7" x14ac:dyDescent="0.2">
      <c r="A17700" t="s">
        <v>487</v>
      </c>
      <c r="B17700" t="str">
        <f>"13623164651"</f>
        <v>13623164651</v>
      </c>
      <c r="C17700" t="str">
        <f>"130582199708292048"</f>
        <v>130582199708292048</v>
      </c>
      <c r="D17700" t="s">
        <v>1</v>
      </c>
      <c r="E17700" t="s">
        <v>1</v>
      </c>
      <c r="F17700" t="s">
        <v>0</v>
      </c>
      <c r="G17700" t="str">
        <f>"2018-10-11 16:48:18"</f>
        <v>2018-10-11 16:48:18</v>
      </c>
    </row>
    <row r="17701" spans="1:7" x14ac:dyDescent="0.2">
      <c r="A17701" t="s">
        <v>16798</v>
      </c>
      <c r="B17701" t="str">
        <f>"13188384564"</f>
        <v>13188384564</v>
      </c>
      <c r="C17701" t="str">
        <f>"210603198708156025"</f>
        <v>210603198708156025</v>
      </c>
      <c r="D17701" t="s">
        <v>16799</v>
      </c>
      <c r="E17701" t="s">
        <v>16799</v>
      </c>
      <c r="F17701" t="s">
        <v>0</v>
      </c>
      <c r="G17701" t="str">
        <f>"2018-10-11 16:45:19"</f>
        <v>2018-10-11 16:45:19</v>
      </c>
    </row>
    <row r="17702" spans="1:7" x14ac:dyDescent="0.2">
      <c r="A17702" t="s">
        <v>90</v>
      </c>
      <c r="B17702" t="str">
        <f>"15772574492"</f>
        <v>15772574492</v>
      </c>
      <c r="C17702" t="str">
        <f>"522622199211140018"</f>
        <v>522622199211140018</v>
      </c>
      <c r="D17702" t="s">
        <v>1</v>
      </c>
      <c r="E17702" t="s">
        <v>1</v>
      </c>
      <c r="F17702" t="s">
        <v>0</v>
      </c>
      <c r="G17702" t="str">
        <f>"2018-10-11 16:47:00"</f>
        <v>2018-10-11 16:47:00</v>
      </c>
    </row>
    <row r="17703" spans="1:7" x14ac:dyDescent="0.2">
      <c r="A17703" t="s">
        <v>1</v>
      </c>
      <c r="B17703" t="str">
        <f>"17767828521"</f>
        <v>17767828521</v>
      </c>
      <c r="C17703" t="s">
        <v>1</v>
      </c>
      <c r="D17703" t="s">
        <v>1</v>
      </c>
      <c r="E17703" t="s">
        <v>1</v>
      </c>
      <c r="F17703" t="s">
        <v>0</v>
      </c>
      <c r="G17703" t="str">
        <f>"2018-10-11 16:43:15"</f>
        <v>2018-10-11 16:43:15</v>
      </c>
    </row>
    <row r="17704" spans="1:7" x14ac:dyDescent="0.2">
      <c r="A17704" t="s">
        <v>16800</v>
      </c>
      <c r="B17704" t="str">
        <f>"17366907765"</f>
        <v>17366907765</v>
      </c>
      <c r="C17704" t="str">
        <f>"511023199504080670"</f>
        <v>511023199504080670</v>
      </c>
      <c r="D17704" t="s">
        <v>1</v>
      </c>
      <c r="E17704" t="s">
        <v>1</v>
      </c>
      <c r="F17704" t="s">
        <v>0</v>
      </c>
      <c r="G17704" t="str">
        <f>"2018-10-11 16:55:20"</f>
        <v>2018-10-11 16:55:20</v>
      </c>
    </row>
    <row r="17705" spans="1:7" x14ac:dyDescent="0.2">
      <c r="A17705" t="s">
        <v>1</v>
      </c>
      <c r="B17705" t="str">
        <f>"13921594438"</f>
        <v>13921594438</v>
      </c>
      <c r="C17705" t="s">
        <v>1</v>
      </c>
      <c r="D17705" t="s">
        <v>1</v>
      </c>
      <c r="E17705" t="s">
        <v>1</v>
      </c>
      <c r="F17705" t="s">
        <v>0</v>
      </c>
      <c r="G17705" t="str">
        <f>"2018-10-11 16:43:53"</f>
        <v>2018-10-11 16:43:53</v>
      </c>
    </row>
    <row r="17706" spans="1:7" x14ac:dyDescent="0.2">
      <c r="A17706" t="s">
        <v>16801</v>
      </c>
      <c r="B17706" t="str">
        <f>"15209360043"</f>
        <v>15209360043</v>
      </c>
      <c r="C17706" t="str">
        <f>"622223198402105120"</f>
        <v>622223198402105120</v>
      </c>
      <c r="D17706" t="s">
        <v>1</v>
      </c>
      <c r="E17706" t="s">
        <v>1</v>
      </c>
      <c r="F17706" t="s">
        <v>0</v>
      </c>
      <c r="G17706" t="str">
        <f>"2018-10-11 16:45:10"</f>
        <v>2018-10-11 16:45:10</v>
      </c>
    </row>
    <row r="17707" spans="1:7" x14ac:dyDescent="0.2">
      <c r="A17707" t="s">
        <v>1</v>
      </c>
      <c r="B17707" t="str">
        <f>"14775500887"</f>
        <v>14775500887</v>
      </c>
      <c r="C17707" t="s">
        <v>1</v>
      </c>
      <c r="D17707" t="s">
        <v>1</v>
      </c>
      <c r="E17707" t="s">
        <v>1</v>
      </c>
      <c r="F17707" t="s">
        <v>0</v>
      </c>
      <c r="G17707" t="str">
        <f>"2018-10-11 16:41:02"</f>
        <v>2018-10-11 16:41:02</v>
      </c>
    </row>
    <row r="17708" spans="1:7" x14ac:dyDescent="0.2">
      <c r="A17708" t="s">
        <v>1</v>
      </c>
      <c r="B17708" t="str">
        <f>"13385349036"</f>
        <v>13385349036</v>
      </c>
      <c r="C17708" t="s">
        <v>1</v>
      </c>
      <c r="D17708" t="s">
        <v>1</v>
      </c>
      <c r="E17708" t="s">
        <v>1</v>
      </c>
      <c r="F17708" t="s">
        <v>0</v>
      </c>
      <c r="G17708" t="str">
        <f>"2018-10-11 16:39:13"</f>
        <v>2018-10-11 16:39:13</v>
      </c>
    </row>
    <row r="17709" spans="1:7" x14ac:dyDescent="0.2">
      <c r="A17709" t="s">
        <v>1</v>
      </c>
      <c r="B17709" t="str">
        <f>"18426415049"</f>
        <v>18426415049</v>
      </c>
      <c r="C17709" t="s">
        <v>1</v>
      </c>
      <c r="D17709" t="s">
        <v>1</v>
      </c>
      <c r="E17709" t="s">
        <v>1</v>
      </c>
      <c r="F17709" t="s">
        <v>0</v>
      </c>
      <c r="G17709" t="str">
        <f>"2018-10-11 16:39:04"</f>
        <v>2018-10-11 16:39:04</v>
      </c>
    </row>
    <row r="17710" spans="1:7" x14ac:dyDescent="0.2">
      <c r="A17710" t="s">
        <v>16802</v>
      </c>
      <c r="B17710" t="str">
        <f>"18641090200"</f>
        <v>18641090200</v>
      </c>
      <c r="C17710" t="str">
        <f>"211202198911181296"</f>
        <v>211202198911181296</v>
      </c>
      <c r="D17710" t="s">
        <v>1</v>
      </c>
      <c r="E17710" t="s">
        <v>1</v>
      </c>
      <c r="F17710" t="s">
        <v>0</v>
      </c>
      <c r="G17710" t="str">
        <f>"2018-10-11 16:45:23"</f>
        <v>2018-10-11 16:45:23</v>
      </c>
    </row>
    <row r="17711" spans="1:7" x14ac:dyDescent="0.2">
      <c r="A17711" t="s">
        <v>16803</v>
      </c>
      <c r="B17711" t="str">
        <f>"15880553335"</f>
        <v>15880553335</v>
      </c>
      <c r="C17711" t="str">
        <f>"350626199801202516"</f>
        <v>350626199801202516</v>
      </c>
      <c r="D17711" t="s">
        <v>1</v>
      </c>
      <c r="E17711" t="s">
        <v>1</v>
      </c>
      <c r="F17711" t="s">
        <v>0</v>
      </c>
      <c r="G17711" t="str">
        <f>"2018-10-11 16:39:11"</f>
        <v>2018-10-11 16:39:11</v>
      </c>
    </row>
    <row r="17712" spans="1:7" x14ac:dyDescent="0.2">
      <c r="A17712" t="s">
        <v>1</v>
      </c>
      <c r="B17712" t="str">
        <f>"15867850117"</f>
        <v>15867850117</v>
      </c>
      <c r="C17712" t="s">
        <v>1</v>
      </c>
      <c r="D17712" t="s">
        <v>1</v>
      </c>
      <c r="E17712" t="s">
        <v>1</v>
      </c>
      <c r="F17712" t="s">
        <v>0</v>
      </c>
      <c r="G17712" t="str">
        <f>"2018-10-11 16:37:52"</f>
        <v>2018-10-11 16:37:52</v>
      </c>
    </row>
    <row r="17713" spans="1:7" x14ac:dyDescent="0.2">
      <c r="A17713" t="s">
        <v>1</v>
      </c>
      <c r="B17713" t="str">
        <f>"15525051106"</f>
        <v>15525051106</v>
      </c>
      <c r="C17713" t="s">
        <v>1</v>
      </c>
      <c r="D17713" t="s">
        <v>1</v>
      </c>
      <c r="E17713" t="s">
        <v>1</v>
      </c>
      <c r="F17713" t="s">
        <v>0</v>
      </c>
      <c r="G17713" t="str">
        <f>"2018-10-11 16:36:42"</f>
        <v>2018-10-11 16:36:42</v>
      </c>
    </row>
    <row r="17714" spans="1:7" x14ac:dyDescent="0.2">
      <c r="A17714" t="s">
        <v>1</v>
      </c>
      <c r="B17714" t="str">
        <f>"13865592261"</f>
        <v>13865592261</v>
      </c>
      <c r="C17714" t="s">
        <v>1</v>
      </c>
      <c r="D17714" t="s">
        <v>1</v>
      </c>
      <c r="E17714" t="s">
        <v>1</v>
      </c>
      <c r="F17714" t="s">
        <v>0</v>
      </c>
      <c r="G17714" t="str">
        <f>"2018-10-11 16:35:32"</f>
        <v>2018-10-11 16:35:32</v>
      </c>
    </row>
    <row r="17715" spans="1:7" x14ac:dyDescent="0.2">
      <c r="A17715" t="s">
        <v>1</v>
      </c>
      <c r="B17715" t="str">
        <f>"17681883133"</f>
        <v>17681883133</v>
      </c>
      <c r="C17715" t="s">
        <v>1</v>
      </c>
      <c r="D17715" t="s">
        <v>1</v>
      </c>
      <c r="E17715" t="s">
        <v>1</v>
      </c>
      <c r="F17715" t="s">
        <v>0</v>
      </c>
      <c r="G17715" t="str">
        <f>"2018-10-11 16:34:42"</f>
        <v>2018-10-11 16:34:42</v>
      </c>
    </row>
    <row r="17716" spans="1:7" x14ac:dyDescent="0.2">
      <c r="A17716" t="s">
        <v>513</v>
      </c>
      <c r="B17716" t="str">
        <f>"18309777234"</f>
        <v>18309777234</v>
      </c>
      <c r="C17716" t="str">
        <f>"632822199712240320"</f>
        <v>632822199712240320</v>
      </c>
      <c r="D17716" t="s">
        <v>1</v>
      </c>
      <c r="E17716" t="s">
        <v>1</v>
      </c>
      <c r="F17716" t="s">
        <v>0</v>
      </c>
      <c r="G17716" t="str">
        <f>"2018-10-11 16:35:23"</f>
        <v>2018-10-11 16:35:23</v>
      </c>
    </row>
    <row r="17717" spans="1:7" x14ac:dyDescent="0.2">
      <c r="A17717" t="s">
        <v>16804</v>
      </c>
      <c r="B17717" t="str">
        <f>"18095632508"</f>
        <v>18095632508</v>
      </c>
      <c r="C17717" t="str">
        <f>"342501199509306825"</f>
        <v>342501199509306825</v>
      </c>
      <c r="D17717" t="s">
        <v>1</v>
      </c>
      <c r="E17717" t="s">
        <v>1</v>
      </c>
      <c r="F17717" t="s">
        <v>0</v>
      </c>
      <c r="G17717" t="str">
        <f>"2018-10-11 16:37:18"</f>
        <v>2018-10-11 16:37:18</v>
      </c>
    </row>
    <row r="17718" spans="1:7" x14ac:dyDescent="0.2">
      <c r="A17718" t="s">
        <v>16805</v>
      </c>
      <c r="B17718" t="str">
        <f>"13939410371"</f>
        <v>13939410371</v>
      </c>
      <c r="C17718" t="str">
        <f>"411121199208044017"</f>
        <v>411121199208044017</v>
      </c>
      <c r="D17718" t="s">
        <v>1</v>
      </c>
      <c r="E17718" t="s">
        <v>1</v>
      </c>
      <c r="F17718" t="s">
        <v>0</v>
      </c>
      <c r="G17718" t="str">
        <f>"2018-10-11 16:35:39"</f>
        <v>2018-10-11 16:35:39</v>
      </c>
    </row>
    <row r="17719" spans="1:7" x14ac:dyDescent="0.2">
      <c r="A17719" t="s">
        <v>16806</v>
      </c>
      <c r="B17719" t="str">
        <f>"15879365966"</f>
        <v>15879365966</v>
      </c>
      <c r="C17719" t="str">
        <f>"362322199012120042"</f>
        <v>362322199012120042</v>
      </c>
      <c r="D17719" t="s">
        <v>1</v>
      </c>
      <c r="E17719" t="s">
        <v>1</v>
      </c>
      <c r="F17719" t="s">
        <v>0</v>
      </c>
      <c r="G17719" t="str">
        <f>"2018-10-11 17:07:25"</f>
        <v>2018-10-11 17:07:25</v>
      </c>
    </row>
    <row r="17720" spans="1:7" x14ac:dyDescent="0.2">
      <c r="A17720" t="s">
        <v>16807</v>
      </c>
      <c r="B17720" t="str">
        <f>"18993541878"</f>
        <v>18993541878</v>
      </c>
      <c r="C17720" t="str">
        <f>"62230119870718033X"</f>
        <v>62230119870718033X</v>
      </c>
      <c r="D17720" t="s">
        <v>1</v>
      </c>
      <c r="E17720" t="s">
        <v>1</v>
      </c>
      <c r="F17720" t="s">
        <v>0</v>
      </c>
      <c r="G17720" t="str">
        <f>"2018-10-11 16:35:20"</f>
        <v>2018-10-11 16:35:20</v>
      </c>
    </row>
    <row r="17721" spans="1:7" x14ac:dyDescent="0.2">
      <c r="A17721" t="s">
        <v>268</v>
      </c>
      <c r="B17721" t="str">
        <f>"13684943707"</f>
        <v>13684943707</v>
      </c>
      <c r="C17721" t="str">
        <f>"522121199805164216"</f>
        <v>522121199805164216</v>
      </c>
      <c r="D17721" t="s">
        <v>1</v>
      </c>
      <c r="E17721" t="s">
        <v>1</v>
      </c>
      <c r="F17721" t="s">
        <v>0</v>
      </c>
      <c r="G17721" t="str">
        <f>"2018-10-11 16:36:31"</f>
        <v>2018-10-11 16:36:31</v>
      </c>
    </row>
    <row r="17722" spans="1:7" x14ac:dyDescent="0.2">
      <c r="A17722" t="s">
        <v>16808</v>
      </c>
      <c r="B17722" t="str">
        <f>"15308520060"</f>
        <v>15308520060</v>
      </c>
      <c r="C17722" t="str">
        <f>"511621199204287071"</f>
        <v>511621199204287071</v>
      </c>
      <c r="D17722" t="s">
        <v>1</v>
      </c>
      <c r="E17722" t="s">
        <v>1</v>
      </c>
      <c r="F17722" t="s">
        <v>0</v>
      </c>
      <c r="G17722" t="str">
        <f>"2018-10-11 16:44:02"</f>
        <v>2018-10-11 16:44:02</v>
      </c>
    </row>
    <row r="17723" spans="1:7" x14ac:dyDescent="0.2">
      <c r="A17723" t="s">
        <v>16809</v>
      </c>
      <c r="B17723" t="str">
        <f>"18051501880"</f>
        <v>18051501880</v>
      </c>
      <c r="C17723" t="str">
        <f>"320202198207232023"</f>
        <v>320202198207232023</v>
      </c>
      <c r="D17723" t="s">
        <v>1</v>
      </c>
      <c r="E17723" t="s">
        <v>1</v>
      </c>
      <c r="F17723" t="s">
        <v>0</v>
      </c>
      <c r="G17723" t="str">
        <f>"2018-10-11 16:33:48"</f>
        <v>2018-10-11 16:33:48</v>
      </c>
    </row>
    <row r="17724" spans="1:7" x14ac:dyDescent="0.2">
      <c r="A17724" t="s">
        <v>1</v>
      </c>
      <c r="B17724" t="str">
        <f>"15877149321"</f>
        <v>15877149321</v>
      </c>
      <c r="C17724" t="s">
        <v>1</v>
      </c>
      <c r="D17724" t="s">
        <v>1</v>
      </c>
      <c r="E17724" t="s">
        <v>1</v>
      </c>
      <c r="F17724" t="s">
        <v>0</v>
      </c>
      <c r="G17724" t="str">
        <f>"2018-10-11 16:31:15"</f>
        <v>2018-10-11 16:31:15</v>
      </c>
    </row>
    <row r="17725" spans="1:7" x14ac:dyDescent="0.2">
      <c r="A17725" t="s">
        <v>1</v>
      </c>
      <c r="B17725" t="str">
        <f>"13520145285"</f>
        <v>13520145285</v>
      </c>
      <c r="C17725" t="s">
        <v>1</v>
      </c>
      <c r="D17725" t="s">
        <v>1</v>
      </c>
      <c r="E17725" t="s">
        <v>1</v>
      </c>
      <c r="F17725" t="s">
        <v>0</v>
      </c>
      <c r="G17725" t="str">
        <f>"2018-10-11 16:30:37"</f>
        <v>2018-10-11 16:30:37</v>
      </c>
    </row>
    <row r="17726" spans="1:7" x14ac:dyDescent="0.2">
      <c r="A17726" t="s">
        <v>16810</v>
      </c>
      <c r="B17726" t="str">
        <f>"18838722175"</f>
        <v>18838722175</v>
      </c>
      <c r="C17726" t="str">
        <f>"410725199509182429"</f>
        <v>410725199509182429</v>
      </c>
      <c r="D17726" t="s">
        <v>1</v>
      </c>
      <c r="E17726" t="s">
        <v>1</v>
      </c>
      <c r="F17726" t="s">
        <v>0</v>
      </c>
      <c r="G17726" t="str">
        <f>"2018-10-12 12:14:51"</f>
        <v>2018-10-12 12:14:51</v>
      </c>
    </row>
    <row r="17727" spans="1:7" x14ac:dyDescent="0.2">
      <c r="A17727" t="s">
        <v>16811</v>
      </c>
      <c r="B17727" t="str">
        <f>"18706359398"</f>
        <v>18706359398</v>
      </c>
      <c r="C17727" t="str">
        <f>"371524198710204139"</f>
        <v>371524198710204139</v>
      </c>
      <c r="D17727" t="s">
        <v>1</v>
      </c>
      <c r="E17727" t="s">
        <v>1</v>
      </c>
      <c r="F17727" t="s">
        <v>0</v>
      </c>
      <c r="G17727" t="str">
        <f>"2018-10-11 16:30:45"</f>
        <v>2018-10-11 16:30:45</v>
      </c>
    </row>
    <row r="17728" spans="1:7" x14ac:dyDescent="0.2">
      <c r="A17728" t="s">
        <v>16812</v>
      </c>
      <c r="B17728" t="str">
        <f>"15875186697"</f>
        <v>15875186697</v>
      </c>
      <c r="C17728" t="str">
        <f>"441723199101301715"</f>
        <v>441723199101301715</v>
      </c>
      <c r="D17728" t="s">
        <v>1</v>
      </c>
      <c r="E17728" t="s">
        <v>1</v>
      </c>
      <c r="F17728" t="s">
        <v>0</v>
      </c>
      <c r="G17728" t="str">
        <f>"2018-10-11 16:33:10"</f>
        <v>2018-10-11 16:33:10</v>
      </c>
    </row>
    <row r="17729" spans="1:7" x14ac:dyDescent="0.2">
      <c r="A17729" t="s">
        <v>16813</v>
      </c>
      <c r="B17729" t="str">
        <f>"18505711106"</f>
        <v>18505711106</v>
      </c>
      <c r="C17729" t="str">
        <f>"330103198704201327"</f>
        <v>330103198704201327</v>
      </c>
      <c r="D17729" t="s">
        <v>1</v>
      </c>
      <c r="E17729" t="s">
        <v>1</v>
      </c>
      <c r="F17729" t="s">
        <v>0</v>
      </c>
      <c r="G17729" t="str">
        <f>"2018-10-11 16:36:37"</f>
        <v>2018-10-11 16:36:37</v>
      </c>
    </row>
    <row r="17730" spans="1:7" x14ac:dyDescent="0.2">
      <c r="A17730" t="s">
        <v>1</v>
      </c>
      <c r="B17730" t="str">
        <f>"15162261789"</f>
        <v>15162261789</v>
      </c>
      <c r="C17730" t="s">
        <v>1</v>
      </c>
      <c r="D17730" t="s">
        <v>1</v>
      </c>
      <c r="E17730" t="s">
        <v>1</v>
      </c>
      <c r="F17730" t="s">
        <v>0</v>
      </c>
      <c r="G17730" t="str">
        <f>"2018-10-11 16:27:19"</f>
        <v>2018-10-11 16:27:19</v>
      </c>
    </row>
    <row r="17731" spans="1:7" x14ac:dyDescent="0.2">
      <c r="A17731" t="s">
        <v>1</v>
      </c>
      <c r="B17731" t="str">
        <f>"18341472839"</f>
        <v>18341472839</v>
      </c>
      <c r="C17731" t="s">
        <v>1</v>
      </c>
      <c r="D17731" t="s">
        <v>1</v>
      </c>
      <c r="E17731" t="s">
        <v>1</v>
      </c>
      <c r="F17731" t="s">
        <v>0</v>
      </c>
      <c r="G17731" t="str">
        <f>"2018-10-11 16:27:13"</f>
        <v>2018-10-11 16:27:13</v>
      </c>
    </row>
    <row r="17732" spans="1:7" x14ac:dyDescent="0.2">
      <c r="A17732" t="s">
        <v>1</v>
      </c>
      <c r="B17732" t="str">
        <f>"13912532512"</f>
        <v>13912532512</v>
      </c>
      <c r="C17732" t="s">
        <v>1</v>
      </c>
      <c r="D17732" t="s">
        <v>1</v>
      </c>
      <c r="E17732" t="s">
        <v>1</v>
      </c>
      <c r="F17732" t="s">
        <v>0</v>
      </c>
      <c r="G17732" t="str">
        <f>"2018-10-11 16:29:43"</f>
        <v>2018-10-11 16:29:43</v>
      </c>
    </row>
    <row r="17733" spans="1:7" x14ac:dyDescent="0.2">
      <c r="A17733" t="s">
        <v>1</v>
      </c>
      <c r="B17733" t="str">
        <f>"14763309075"</f>
        <v>14763309075</v>
      </c>
      <c r="C17733" t="s">
        <v>1</v>
      </c>
      <c r="D17733" t="s">
        <v>1</v>
      </c>
      <c r="E17733" t="s">
        <v>1</v>
      </c>
      <c r="F17733" t="s">
        <v>0</v>
      </c>
      <c r="G17733" t="str">
        <f>"2018-10-11 16:25:51"</f>
        <v>2018-10-11 16:25:51</v>
      </c>
    </row>
    <row r="17734" spans="1:7" x14ac:dyDescent="0.2">
      <c r="A17734" t="s">
        <v>484</v>
      </c>
      <c r="B17734" t="str">
        <f>"13603529273"</f>
        <v>13603529273</v>
      </c>
      <c r="C17734" t="str">
        <f>"140202197402275557"</f>
        <v>140202197402275557</v>
      </c>
      <c r="D17734" t="s">
        <v>1</v>
      </c>
      <c r="E17734" t="s">
        <v>1</v>
      </c>
      <c r="F17734" t="s">
        <v>0</v>
      </c>
      <c r="G17734" t="str">
        <f>"2018-10-11 16:25:40"</f>
        <v>2018-10-11 16:25:40</v>
      </c>
    </row>
    <row r="17735" spans="1:7" x14ac:dyDescent="0.2">
      <c r="A17735" t="s">
        <v>529</v>
      </c>
      <c r="B17735" t="str">
        <f>"13674839544"</f>
        <v>13674839544</v>
      </c>
      <c r="C17735" t="str">
        <f>"152632198101050619"</f>
        <v>152632198101050619</v>
      </c>
      <c r="D17735" t="s">
        <v>16814</v>
      </c>
      <c r="E17735" t="s">
        <v>16815</v>
      </c>
      <c r="F17735" t="s">
        <v>0</v>
      </c>
      <c r="G17735" t="str">
        <f>"2018-10-11 16:31:29"</f>
        <v>2018-10-11 16:31:29</v>
      </c>
    </row>
    <row r="17736" spans="1:7" x14ac:dyDescent="0.2">
      <c r="A17736" t="s">
        <v>1</v>
      </c>
      <c r="B17736" t="str">
        <f>"13556539697"</f>
        <v>13556539697</v>
      </c>
      <c r="C17736" t="s">
        <v>1</v>
      </c>
      <c r="D17736" t="s">
        <v>1</v>
      </c>
      <c r="E17736" t="s">
        <v>1</v>
      </c>
      <c r="F17736" t="s">
        <v>0</v>
      </c>
      <c r="G17736" t="str">
        <f>"2018-10-11 16:26:52"</f>
        <v>2018-10-11 16:26:52</v>
      </c>
    </row>
    <row r="17737" spans="1:7" x14ac:dyDescent="0.2">
      <c r="A17737" t="s">
        <v>1</v>
      </c>
      <c r="B17737" t="str">
        <f>"13716812460"</f>
        <v>13716812460</v>
      </c>
      <c r="C17737" t="s">
        <v>1</v>
      </c>
      <c r="D17737" t="s">
        <v>1</v>
      </c>
      <c r="E17737" t="s">
        <v>1</v>
      </c>
      <c r="F17737" t="s">
        <v>0</v>
      </c>
      <c r="G17737" t="str">
        <f>"2018-10-11 16:24:17"</f>
        <v>2018-10-11 16:24:17</v>
      </c>
    </row>
    <row r="17738" spans="1:7" x14ac:dyDescent="0.2">
      <c r="A17738" t="s">
        <v>16816</v>
      </c>
      <c r="B17738" t="str">
        <f>"15151829614"</f>
        <v>15151829614</v>
      </c>
      <c r="C17738" t="str">
        <f>"532301199509161915"</f>
        <v>532301199509161915</v>
      </c>
      <c r="D17738" t="s">
        <v>1</v>
      </c>
      <c r="E17738" t="s">
        <v>1</v>
      </c>
      <c r="F17738" t="s">
        <v>0</v>
      </c>
      <c r="G17738" t="str">
        <f>"2018-10-11 16:23:49"</f>
        <v>2018-10-11 16:23:49</v>
      </c>
    </row>
    <row r="17739" spans="1:7" x14ac:dyDescent="0.2">
      <c r="A17739" t="s">
        <v>16817</v>
      </c>
      <c r="B17739" t="str">
        <f>"15860807173"</f>
        <v>15860807173</v>
      </c>
      <c r="C17739" t="str">
        <f>"350181198411012779"</f>
        <v>350181198411012779</v>
      </c>
      <c r="D17739" t="s">
        <v>16818</v>
      </c>
      <c r="E17739" t="s">
        <v>16819</v>
      </c>
      <c r="F17739" t="s">
        <v>0</v>
      </c>
      <c r="G17739" t="str">
        <f>"2018-10-11 16:29:11"</f>
        <v>2018-10-11 16:29:11</v>
      </c>
    </row>
    <row r="17740" spans="1:7" x14ac:dyDescent="0.2">
      <c r="A17740" t="s">
        <v>1</v>
      </c>
      <c r="B17740" t="str">
        <f>"18752465068"</f>
        <v>18752465068</v>
      </c>
      <c r="C17740" t="s">
        <v>1</v>
      </c>
      <c r="D17740" t="s">
        <v>1</v>
      </c>
      <c r="E17740" t="s">
        <v>1</v>
      </c>
      <c r="F17740" t="s">
        <v>0</v>
      </c>
      <c r="G17740" t="str">
        <f>"2018-10-11 16:23:35"</f>
        <v>2018-10-11 16:23:35</v>
      </c>
    </row>
    <row r="17741" spans="1:7" x14ac:dyDescent="0.2">
      <c r="A17741" t="s">
        <v>1</v>
      </c>
      <c r="B17741" t="str">
        <f>"15695987771"</f>
        <v>15695987771</v>
      </c>
      <c r="C17741" t="s">
        <v>1</v>
      </c>
      <c r="D17741" t="s">
        <v>1</v>
      </c>
      <c r="E17741" t="s">
        <v>1</v>
      </c>
      <c r="F17741" t="s">
        <v>0</v>
      </c>
      <c r="G17741" t="str">
        <f>"2018-10-11 16:23:20"</f>
        <v>2018-10-11 16:23:20</v>
      </c>
    </row>
    <row r="17742" spans="1:7" x14ac:dyDescent="0.2">
      <c r="A17742" t="s">
        <v>1</v>
      </c>
      <c r="B17742" t="str">
        <f>"13152993286"</f>
        <v>13152993286</v>
      </c>
      <c r="C17742" t="s">
        <v>1</v>
      </c>
      <c r="D17742" t="s">
        <v>1</v>
      </c>
      <c r="E17742" t="s">
        <v>1</v>
      </c>
      <c r="F17742" t="s">
        <v>0</v>
      </c>
      <c r="G17742" t="str">
        <f>"2018-10-11 16:23:06"</f>
        <v>2018-10-11 16:23:06</v>
      </c>
    </row>
    <row r="17743" spans="1:7" x14ac:dyDescent="0.2">
      <c r="A17743" t="s">
        <v>16820</v>
      </c>
      <c r="B17743" t="str">
        <f>"15892077956"</f>
        <v>15892077956</v>
      </c>
      <c r="C17743" t="str">
        <f>"352230199510162141"</f>
        <v>352230199510162141</v>
      </c>
      <c r="D17743" t="s">
        <v>1</v>
      </c>
      <c r="E17743" t="s">
        <v>1</v>
      </c>
      <c r="F17743" t="s">
        <v>0</v>
      </c>
      <c r="G17743" t="str">
        <f>"2018-10-11 16:24:15"</f>
        <v>2018-10-11 16:24:15</v>
      </c>
    </row>
    <row r="17744" spans="1:7" x14ac:dyDescent="0.2">
      <c r="A17744" t="s">
        <v>16821</v>
      </c>
      <c r="B17744" t="str">
        <f>"13750039034"</f>
        <v>13750039034</v>
      </c>
      <c r="C17744" t="str">
        <f>"441427198810040815"</f>
        <v>441427198810040815</v>
      </c>
      <c r="D17744" t="s">
        <v>1</v>
      </c>
      <c r="E17744" t="s">
        <v>1</v>
      </c>
      <c r="F17744" t="s">
        <v>0</v>
      </c>
      <c r="G17744" t="str">
        <f>"2018-10-11 16:21:45"</f>
        <v>2018-10-11 16:21:45</v>
      </c>
    </row>
    <row r="17745" spans="1:7" x14ac:dyDescent="0.2">
      <c r="A17745" t="s">
        <v>975</v>
      </c>
      <c r="B17745" t="str">
        <f>"13996125327"</f>
        <v>13996125327</v>
      </c>
      <c r="C17745" t="str">
        <f>"51021119720307001X"</f>
        <v>51021119720307001X</v>
      </c>
      <c r="D17745" t="s">
        <v>1</v>
      </c>
      <c r="E17745" t="s">
        <v>1</v>
      </c>
      <c r="F17745" t="s">
        <v>0</v>
      </c>
      <c r="G17745" t="str">
        <f>"2018-10-11 16:24:34"</f>
        <v>2018-10-11 16:24:34</v>
      </c>
    </row>
    <row r="17746" spans="1:7" x14ac:dyDescent="0.2">
      <c r="A17746" t="s">
        <v>16822</v>
      </c>
      <c r="B17746" t="str">
        <f>"15708548119"</f>
        <v>15708548119</v>
      </c>
      <c r="C17746" t="str">
        <f>"522724197010282211"</f>
        <v>522724197010282211</v>
      </c>
      <c r="D17746" t="s">
        <v>1</v>
      </c>
      <c r="E17746" t="s">
        <v>1</v>
      </c>
      <c r="F17746" t="s">
        <v>0</v>
      </c>
      <c r="G17746" t="str">
        <f>"2018-10-11 16:24:22"</f>
        <v>2018-10-11 16:24:22</v>
      </c>
    </row>
    <row r="17747" spans="1:7" x14ac:dyDescent="0.2">
      <c r="A17747" t="s">
        <v>16823</v>
      </c>
      <c r="B17747" t="str">
        <f>"18981044661"</f>
        <v>18981044661</v>
      </c>
      <c r="C17747" t="str">
        <f>"510682198907211660"</f>
        <v>510682198907211660</v>
      </c>
      <c r="D17747" t="s">
        <v>1</v>
      </c>
      <c r="E17747" t="s">
        <v>1</v>
      </c>
      <c r="F17747" t="s">
        <v>0</v>
      </c>
      <c r="G17747" t="str">
        <f>"2018-10-11 16:22:17"</f>
        <v>2018-10-11 16:22:17</v>
      </c>
    </row>
    <row r="17748" spans="1:7" x14ac:dyDescent="0.2">
      <c r="A17748" t="s">
        <v>16824</v>
      </c>
      <c r="B17748" t="str">
        <f>"13384501212"</f>
        <v>13384501212</v>
      </c>
      <c r="C17748" t="str">
        <f>"230621198604205159"</f>
        <v>230621198604205159</v>
      </c>
      <c r="D17748" t="s">
        <v>1</v>
      </c>
      <c r="E17748" t="s">
        <v>1</v>
      </c>
      <c r="F17748" t="s">
        <v>0</v>
      </c>
      <c r="G17748" t="str">
        <f>"2018-10-11 16:21:41"</f>
        <v>2018-10-11 16:21:41</v>
      </c>
    </row>
    <row r="17749" spans="1:7" x14ac:dyDescent="0.2">
      <c r="A17749" t="s">
        <v>1</v>
      </c>
      <c r="B17749" t="str">
        <f>"15276662770"</f>
        <v>15276662770</v>
      </c>
      <c r="C17749" t="s">
        <v>1</v>
      </c>
      <c r="D17749" t="s">
        <v>1</v>
      </c>
      <c r="E17749" t="s">
        <v>1</v>
      </c>
      <c r="F17749" t="s">
        <v>0</v>
      </c>
      <c r="G17749" t="str">
        <f>"2018-10-11 16:20:26"</f>
        <v>2018-10-11 16:20:26</v>
      </c>
    </row>
    <row r="17750" spans="1:7" x14ac:dyDescent="0.2">
      <c r="A17750" t="s">
        <v>1</v>
      </c>
      <c r="B17750" t="str">
        <f>"15048202008"</f>
        <v>15048202008</v>
      </c>
      <c r="C17750" t="s">
        <v>1</v>
      </c>
      <c r="D17750" t="s">
        <v>1</v>
      </c>
      <c r="E17750" t="s">
        <v>1</v>
      </c>
      <c r="F17750" t="s">
        <v>0</v>
      </c>
      <c r="G17750" t="str">
        <f>"2018-10-11 16:20:23"</f>
        <v>2018-10-11 16:20:23</v>
      </c>
    </row>
    <row r="17751" spans="1:7" x14ac:dyDescent="0.2">
      <c r="A17751" t="s">
        <v>16825</v>
      </c>
      <c r="B17751" t="str">
        <f>"15229686010"</f>
        <v>15229686010</v>
      </c>
      <c r="C17751" t="str">
        <f>"61032819900309184X"</f>
        <v>61032819900309184X</v>
      </c>
      <c r="D17751" t="s">
        <v>1</v>
      </c>
      <c r="E17751" t="s">
        <v>1</v>
      </c>
      <c r="F17751" t="s">
        <v>0</v>
      </c>
      <c r="G17751" t="str">
        <f>"2018-10-11 16:23:39"</f>
        <v>2018-10-11 16:23:39</v>
      </c>
    </row>
    <row r="17752" spans="1:7" x14ac:dyDescent="0.2">
      <c r="A17752" t="s">
        <v>1</v>
      </c>
      <c r="B17752" t="str">
        <f>"13189994008"</f>
        <v>13189994008</v>
      </c>
      <c r="C17752" t="s">
        <v>1</v>
      </c>
      <c r="D17752" t="s">
        <v>1</v>
      </c>
      <c r="E17752" t="s">
        <v>1</v>
      </c>
      <c r="F17752" t="s">
        <v>0</v>
      </c>
      <c r="G17752" t="str">
        <f>"2018-10-11 16:18:57"</f>
        <v>2018-10-11 16:18:57</v>
      </c>
    </row>
    <row r="17753" spans="1:7" x14ac:dyDescent="0.2">
      <c r="A17753" t="s">
        <v>1</v>
      </c>
      <c r="B17753" t="str">
        <f>"18513080186"</f>
        <v>18513080186</v>
      </c>
      <c r="C17753" t="s">
        <v>1</v>
      </c>
      <c r="D17753" t="s">
        <v>1</v>
      </c>
      <c r="E17753" t="s">
        <v>1</v>
      </c>
      <c r="F17753" t="s">
        <v>0</v>
      </c>
      <c r="G17753" t="str">
        <f>"2018-10-11 16:26:43"</f>
        <v>2018-10-11 16:26:43</v>
      </c>
    </row>
    <row r="17754" spans="1:7" x14ac:dyDescent="0.2">
      <c r="A17754" t="s">
        <v>1</v>
      </c>
      <c r="B17754" t="str">
        <f>"15205941710"</f>
        <v>15205941710</v>
      </c>
      <c r="C17754" t="s">
        <v>1</v>
      </c>
      <c r="D17754" t="s">
        <v>1</v>
      </c>
      <c r="E17754" t="s">
        <v>1</v>
      </c>
      <c r="F17754" t="s">
        <v>0</v>
      </c>
      <c r="G17754" t="str">
        <f>"2018-10-11 16:17:49"</f>
        <v>2018-10-11 16:17:49</v>
      </c>
    </row>
    <row r="17755" spans="1:7" x14ac:dyDescent="0.2">
      <c r="A17755" t="s">
        <v>16826</v>
      </c>
      <c r="B17755" t="str">
        <f>"15970204253"</f>
        <v>15970204253</v>
      </c>
      <c r="C17755" t="str">
        <f>"362429199302100613"</f>
        <v>362429199302100613</v>
      </c>
      <c r="D17755" t="s">
        <v>16827</v>
      </c>
      <c r="E17755" t="s">
        <v>16828</v>
      </c>
      <c r="F17755" t="s">
        <v>0</v>
      </c>
      <c r="G17755" t="str">
        <f>"2018-10-12 09:34:54"</f>
        <v>2018-10-12 09:34:54</v>
      </c>
    </row>
    <row r="17756" spans="1:7" x14ac:dyDescent="0.2">
      <c r="A17756" t="s">
        <v>1</v>
      </c>
      <c r="B17756" t="str">
        <f>"13073631485"</f>
        <v>13073631485</v>
      </c>
      <c r="C17756" t="s">
        <v>1</v>
      </c>
      <c r="D17756" t="s">
        <v>1</v>
      </c>
      <c r="E17756" t="s">
        <v>1</v>
      </c>
      <c r="F17756" t="s">
        <v>0</v>
      </c>
      <c r="G17756" t="str">
        <f>"2018-10-11 16:17:44"</f>
        <v>2018-10-11 16:17:44</v>
      </c>
    </row>
    <row r="17757" spans="1:7" x14ac:dyDescent="0.2">
      <c r="A17757" t="s">
        <v>16829</v>
      </c>
      <c r="B17757" t="str">
        <f>"18278701239"</f>
        <v>18278701239</v>
      </c>
      <c r="C17757" t="str">
        <f>"450702199201080330"</f>
        <v>450702199201080330</v>
      </c>
      <c r="D17757" t="s">
        <v>16830</v>
      </c>
      <c r="E17757" t="s">
        <v>16831</v>
      </c>
      <c r="F17757" t="s">
        <v>0</v>
      </c>
      <c r="G17757" t="str">
        <f>"2018-10-13 21:24:33"</f>
        <v>2018-10-13 21:24:33</v>
      </c>
    </row>
    <row r="17758" spans="1:7" x14ac:dyDescent="0.2">
      <c r="A17758" t="s">
        <v>1</v>
      </c>
      <c r="B17758" t="str">
        <f>"13907387829"</f>
        <v>13907387829</v>
      </c>
      <c r="C17758" t="s">
        <v>1</v>
      </c>
      <c r="D17758" t="s">
        <v>1</v>
      </c>
      <c r="E17758" t="s">
        <v>1</v>
      </c>
      <c r="F17758" t="s">
        <v>0</v>
      </c>
      <c r="G17758" t="str">
        <f>"2018-10-11 16:16:56"</f>
        <v>2018-10-11 16:16:56</v>
      </c>
    </row>
    <row r="17759" spans="1:7" x14ac:dyDescent="0.2">
      <c r="A17759" t="s">
        <v>16832</v>
      </c>
      <c r="B17759" t="str">
        <f>"15295506164"</f>
        <v>15295506164</v>
      </c>
      <c r="C17759" t="str">
        <f>"320482199109150515"</f>
        <v>320482199109150515</v>
      </c>
      <c r="D17759" t="s">
        <v>1</v>
      </c>
      <c r="E17759" t="s">
        <v>1</v>
      </c>
      <c r="F17759" t="s">
        <v>0</v>
      </c>
      <c r="G17759" t="str">
        <f>"2018-10-11 16:17:46"</f>
        <v>2018-10-11 16:17:46</v>
      </c>
    </row>
    <row r="17760" spans="1:7" x14ac:dyDescent="0.2">
      <c r="A17760" t="s">
        <v>1</v>
      </c>
      <c r="B17760" t="str">
        <f>"18859581190"</f>
        <v>18859581190</v>
      </c>
      <c r="C17760" t="s">
        <v>1</v>
      </c>
      <c r="D17760" t="s">
        <v>1</v>
      </c>
      <c r="E17760" t="s">
        <v>1</v>
      </c>
      <c r="F17760" t="s">
        <v>0</v>
      </c>
      <c r="G17760" t="str">
        <f>"2018-10-11 16:16:16"</f>
        <v>2018-10-11 16:16:16</v>
      </c>
    </row>
    <row r="17761" spans="1:7" x14ac:dyDescent="0.2">
      <c r="A17761" t="s">
        <v>1</v>
      </c>
      <c r="B17761" t="str">
        <f>"18093536757"</f>
        <v>18093536757</v>
      </c>
      <c r="C17761" t="s">
        <v>1</v>
      </c>
      <c r="D17761" t="s">
        <v>1</v>
      </c>
      <c r="E17761" t="s">
        <v>1</v>
      </c>
      <c r="F17761" t="s">
        <v>0</v>
      </c>
      <c r="G17761" t="str">
        <f>"2018-10-11 16:16:06"</f>
        <v>2018-10-11 16:16:06</v>
      </c>
    </row>
    <row r="17762" spans="1:7" x14ac:dyDescent="0.2">
      <c r="A17762" t="s">
        <v>16833</v>
      </c>
      <c r="B17762" t="str">
        <f>"15589762111"</f>
        <v>15589762111</v>
      </c>
      <c r="C17762" t="str">
        <f>"370828198303243617"</f>
        <v>370828198303243617</v>
      </c>
      <c r="D17762" t="s">
        <v>1</v>
      </c>
      <c r="E17762" t="s">
        <v>1</v>
      </c>
      <c r="F17762" t="s">
        <v>0</v>
      </c>
      <c r="G17762" t="str">
        <f>"2018-10-11 16:16:02"</f>
        <v>2018-10-11 16:16:02</v>
      </c>
    </row>
    <row r="17763" spans="1:7" x14ac:dyDescent="0.2">
      <c r="A17763" t="s">
        <v>1</v>
      </c>
      <c r="B17763" t="str">
        <f>"18335918928"</f>
        <v>18335918928</v>
      </c>
      <c r="C17763" t="s">
        <v>1</v>
      </c>
      <c r="D17763" t="s">
        <v>1</v>
      </c>
      <c r="E17763" t="s">
        <v>1</v>
      </c>
      <c r="F17763" t="s">
        <v>0</v>
      </c>
      <c r="G17763" t="str">
        <f>"2018-10-11 16:15:36"</f>
        <v>2018-10-11 16:15:36</v>
      </c>
    </row>
    <row r="17764" spans="1:7" x14ac:dyDescent="0.2">
      <c r="A17764" t="s">
        <v>1842</v>
      </c>
      <c r="B17764" t="str">
        <f>"13848287995"</f>
        <v>13848287995</v>
      </c>
      <c r="C17764" t="str">
        <f>"150221198105152011"</f>
        <v>150221198105152011</v>
      </c>
      <c r="D17764" t="s">
        <v>1</v>
      </c>
      <c r="E17764" t="s">
        <v>1</v>
      </c>
      <c r="F17764" t="s">
        <v>0</v>
      </c>
      <c r="G17764" t="str">
        <f>"2018-10-11 17:05:22"</f>
        <v>2018-10-11 17:05:22</v>
      </c>
    </row>
    <row r="17765" spans="1:7" x14ac:dyDescent="0.2">
      <c r="A17765" t="s">
        <v>1</v>
      </c>
      <c r="B17765" t="str">
        <f>"18009400690"</f>
        <v>18009400690</v>
      </c>
      <c r="C17765" t="s">
        <v>1</v>
      </c>
      <c r="D17765" t="s">
        <v>1</v>
      </c>
      <c r="E17765" t="s">
        <v>1</v>
      </c>
      <c r="F17765" t="s">
        <v>0</v>
      </c>
      <c r="G17765" t="str">
        <f>"2018-10-11 16:14:35"</f>
        <v>2018-10-11 16:14:35</v>
      </c>
    </row>
    <row r="17766" spans="1:7" x14ac:dyDescent="0.2">
      <c r="A17766" t="s">
        <v>1</v>
      </c>
      <c r="B17766" t="str">
        <f>"18507820607"</f>
        <v>18507820607</v>
      </c>
      <c r="C17766" t="s">
        <v>1</v>
      </c>
      <c r="D17766" t="s">
        <v>1</v>
      </c>
      <c r="E17766" t="s">
        <v>1</v>
      </c>
      <c r="F17766" t="s">
        <v>0</v>
      </c>
      <c r="G17766" t="str">
        <f>"2018-10-11 16:14:30"</f>
        <v>2018-10-11 16:14:30</v>
      </c>
    </row>
    <row r="17767" spans="1:7" x14ac:dyDescent="0.2">
      <c r="A17767" t="s">
        <v>1</v>
      </c>
      <c r="B17767" t="str">
        <f>"14763364758"</f>
        <v>14763364758</v>
      </c>
      <c r="C17767" t="s">
        <v>1</v>
      </c>
      <c r="D17767" t="s">
        <v>1</v>
      </c>
      <c r="E17767" t="s">
        <v>1</v>
      </c>
      <c r="F17767" t="s">
        <v>0</v>
      </c>
      <c r="G17767" t="str">
        <f>"2018-10-11 16:14:24"</f>
        <v>2018-10-11 16:14:24</v>
      </c>
    </row>
    <row r="17768" spans="1:7" x14ac:dyDescent="0.2">
      <c r="A17768" t="s">
        <v>1</v>
      </c>
      <c r="B17768" t="str">
        <f>"18476364481"</f>
        <v>18476364481</v>
      </c>
      <c r="C17768" t="s">
        <v>1</v>
      </c>
      <c r="D17768" t="s">
        <v>1</v>
      </c>
      <c r="E17768" t="s">
        <v>1</v>
      </c>
      <c r="F17768" t="s">
        <v>0</v>
      </c>
      <c r="G17768" t="str">
        <f>"2018-10-11 16:14:22"</f>
        <v>2018-10-11 16:14:22</v>
      </c>
    </row>
    <row r="17769" spans="1:7" x14ac:dyDescent="0.2">
      <c r="A17769" t="s">
        <v>16834</v>
      </c>
      <c r="B17769" t="str">
        <f>"17398858444"</f>
        <v>17398858444</v>
      </c>
      <c r="C17769" t="str">
        <f>"510322199006250015"</f>
        <v>510322199006250015</v>
      </c>
      <c r="D17769" t="s">
        <v>1</v>
      </c>
      <c r="E17769" t="s">
        <v>1</v>
      </c>
      <c r="F17769" t="s">
        <v>0</v>
      </c>
      <c r="G17769" t="str">
        <f>"2018-10-11 16:21:54"</f>
        <v>2018-10-11 16:21:54</v>
      </c>
    </row>
    <row r="17770" spans="1:7" x14ac:dyDescent="0.2">
      <c r="A17770" t="s">
        <v>401</v>
      </c>
      <c r="B17770" t="str">
        <f>"13268388425"</f>
        <v>13268388425</v>
      </c>
      <c r="C17770" t="str">
        <f>"522428198909273210"</f>
        <v>522428198909273210</v>
      </c>
      <c r="D17770" t="s">
        <v>1</v>
      </c>
      <c r="E17770" t="s">
        <v>1</v>
      </c>
      <c r="F17770" t="s">
        <v>0</v>
      </c>
      <c r="G17770" t="str">
        <f>"2018-10-11 16:47:15"</f>
        <v>2018-10-11 16:47:15</v>
      </c>
    </row>
    <row r="17771" spans="1:7" x14ac:dyDescent="0.2">
      <c r="A17771" t="s">
        <v>16835</v>
      </c>
      <c r="B17771" t="str">
        <f>"18058169307"</f>
        <v>18058169307</v>
      </c>
      <c r="C17771" t="str">
        <f>"411524199403192040"</f>
        <v>411524199403192040</v>
      </c>
      <c r="D17771" t="s">
        <v>1</v>
      </c>
      <c r="E17771" t="s">
        <v>1</v>
      </c>
      <c r="F17771" t="s">
        <v>0</v>
      </c>
      <c r="G17771" t="str">
        <f>"2018-10-26 08:09:56"</f>
        <v>2018-10-26 08:09:56</v>
      </c>
    </row>
    <row r="17772" spans="1:7" x14ac:dyDescent="0.2">
      <c r="A17772" t="s">
        <v>634</v>
      </c>
      <c r="B17772" t="str">
        <f>"18384257226"</f>
        <v>18384257226</v>
      </c>
      <c r="C17772" t="str">
        <f>"513901198903125520"</f>
        <v>513901198903125520</v>
      </c>
      <c r="D17772" t="s">
        <v>1</v>
      </c>
      <c r="E17772" t="s">
        <v>1</v>
      </c>
      <c r="F17772" t="s">
        <v>0</v>
      </c>
      <c r="G17772" t="str">
        <f>"2018-10-11 16:14:15"</f>
        <v>2018-10-11 16:14:15</v>
      </c>
    </row>
    <row r="17773" spans="1:7" x14ac:dyDescent="0.2">
      <c r="A17773" t="s">
        <v>16836</v>
      </c>
      <c r="B17773" t="str">
        <f>"18852955504"</f>
        <v>18852955504</v>
      </c>
      <c r="C17773" t="str">
        <f>"340621198904052022"</f>
        <v>340621198904052022</v>
      </c>
      <c r="D17773" t="s">
        <v>1</v>
      </c>
      <c r="E17773" t="s">
        <v>1</v>
      </c>
      <c r="F17773" t="s">
        <v>0</v>
      </c>
      <c r="G17773" t="str">
        <f>"2018-10-11 16:17:11"</f>
        <v>2018-10-11 16:17:11</v>
      </c>
    </row>
    <row r="17774" spans="1:7" x14ac:dyDescent="0.2">
      <c r="A17774" t="s">
        <v>16837</v>
      </c>
      <c r="B17774" t="str">
        <f>"13689735735"</f>
        <v>13689735735</v>
      </c>
      <c r="C17774" t="str">
        <f>"220302198906011010"</f>
        <v>220302198906011010</v>
      </c>
      <c r="D17774" t="s">
        <v>1</v>
      </c>
      <c r="E17774" t="s">
        <v>1</v>
      </c>
      <c r="F17774" t="s">
        <v>0</v>
      </c>
      <c r="G17774" t="str">
        <f>"2018-10-11 16:11:43"</f>
        <v>2018-10-11 16:11:43</v>
      </c>
    </row>
    <row r="17775" spans="1:7" x14ac:dyDescent="0.2">
      <c r="A17775" t="s">
        <v>1</v>
      </c>
      <c r="B17775" t="str">
        <f>"18100535767"</f>
        <v>18100535767</v>
      </c>
      <c r="C17775" t="s">
        <v>1</v>
      </c>
      <c r="D17775" t="s">
        <v>1</v>
      </c>
      <c r="E17775" t="s">
        <v>1</v>
      </c>
      <c r="F17775" t="s">
        <v>0</v>
      </c>
      <c r="G17775" t="str">
        <f>"2018-10-11 16:09:52"</f>
        <v>2018-10-11 16:09:52</v>
      </c>
    </row>
    <row r="17776" spans="1:7" x14ac:dyDescent="0.2">
      <c r="A17776" t="s">
        <v>16838</v>
      </c>
      <c r="B17776" t="str">
        <f>"18239641240"</f>
        <v>18239641240</v>
      </c>
      <c r="C17776" t="str">
        <f>"412829199601094416"</f>
        <v>412829199601094416</v>
      </c>
      <c r="D17776" t="s">
        <v>1</v>
      </c>
      <c r="E17776" t="s">
        <v>1</v>
      </c>
      <c r="F17776" t="s">
        <v>0</v>
      </c>
      <c r="G17776" t="str">
        <f>"2018-10-11 17:23:07"</f>
        <v>2018-10-11 17:23:07</v>
      </c>
    </row>
    <row r="17777" spans="1:7" x14ac:dyDescent="0.2">
      <c r="A17777" t="s">
        <v>16839</v>
      </c>
      <c r="B17777" t="str">
        <f>"15264660938"</f>
        <v>15264660938</v>
      </c>
      <c r="C17777" t="str">
        <f>"370784199101164822"</f>
        <v>370784199101164822</v>
      </c>
      <c r="D17777" t="s">
        <v>1</v>
      </c>
      <c r="E17777" t="s">
        <v>1</v>
      </c>
      <c r="F17777" t="s">
        <v>0</v>
      </c>
      <c r="G17777" t="str">
        <f>"2018-10-11 16:10:26"</f>
        <v>2018-10-11 16:10:26</v>
      </c>
    </row>
    <row r="17778" spans="1:7" x14ac:dyDescent="0.2">
      <c r="A17778" t="s">
        <v>6409</v>
      </c>
      <c r="B17778" t="str">
        <f>"15516625300"</f>
        <v>15516625300</v>
      </c>
      <c r="C17778" t="str">
        <f>"41042219890126383X"</f>
        <v>41042219890126383X</v>
      </c>
      <c r="D17778" t="s">
        <v>1</v>
      </c>
      <c r="E17778" t="s">
        <v>1</v>
      </c>
      <c r="F17778" t="s">
        <v>0</v>
      </c>
      <c r="G17778" t="str">
        <f>"2018-10-11 16:10:55"</f>
        <v>2018-10-11 16:10:55</v>
      </c>
    </row>
    <row r="17779" spans="1:7" x14ac:dyDescent="0.2">
      <c r="A17779" t="s">
        <v>16840</v>
      </c>
      <c r="B17779" t="str">
        <f>"13434153933"</f>
        <v>13434153933</v>
      </c>
      <c r="C17779" t="str">
        <f>"450421198410104552"</f>
        <v>450421198410104552</v>
      </c>
      <c r="D17779" t="s">
        <v>1</v>
      </c>
      <c r="E17779" t="s">
        <v>1</v>
      </c>
      <c r="F17779" t="s">
        <v>0</v>
      </c>
      <c r="G17779" t="str">
        <f>"2018-10-19 18:36:24"</f>
        <v>2018-10-19 18:36:24</v>
      </c>
    </row>
    <row r="17780" spans="1:7" x14ac:dyDescent="0.2">
      <c r="A17780" t="s">
        <v>16841</v>
      </c>
      <c r="B17780" t="str">
        <f>"15763361555"</f>
        <v>15763361555</v>
      </c>
      <c r="C17780" t="str">
        <f>"371122198805201817"</f>
        <v>371122198805201817</v>
      </c>
      <c r="D17780" t="s">
        <v>1</v>
      </c>
      <c r="E17780" t="s">
        <v>1</v>
      </c>
      <c r="F17780" t="s">
        <v>0</v>
      </c>
      <c r="G17780" t="str">
        <f>"2018-10-11 16:31:19"</f>
        <v>2018-10-11 16:31:19</v>
      </c>
    </row>
    <row r="17781" spans="1:7" x14ac:dyDescent="0.2">
      <c r="A17781" t="s">
        <v>1</v>
      </c>
      <c r="B17781" t="str">
        <f>"15284434365"</f>
        <v>15284434365</v>
      </c>
      <c r="C17781" t="s">
        <v>1</v>
      </c>
      <c r="D17781" t="s">
        <v>1</v>
      </c>
      <c r="E17781" t="s">
        <v>1</v>
      </c>
      <c r="F17781" t="s">
        <v>0</v>
      </c>
      <c r="G17781" t="str">
        <f>"2018-10-11 16:08:34"</f>
        <v>2018-10-11 16:08:34</v>
      </c>
    </row>
    <row r="17782" spans="1:7" x14ac:dyDescent="0.2">
      <c r="A17782" t="s">
        <v>1</v>
      </c>
      <c r="B17782" t="str">
        <f>"18668030262"</f>
        <v>18668030262</v>
      </c>
      <c r="C17782" t="s">
        <v>1</v>
      </c>
      <c r="D17782" t="s">
        <v>1</v>
      </c>
      <c r="E17782" t="s">
        <v>1</v>
      </c>
      <c r="F17782" t="s">
        <v>0</v>
      </c>
      <c r="G17782" t="str">
        <f>"2018-10-11 16:08:27"</f>
        <v>2018-10-11 16:08:27</v>
      </c>
    </row>
    <row r="17783" spans="1:7" x14ac:dyDescent="0.2">
      <c r="A17783" t="s">
        <v>1</v>
      </c>
      <c r="B17783" t="str">
        <f>"15677676757"</f>
        <v>15677676757</v>
      </c>
      <c r="C17783" t="s">
        <v>1</v>
      </c>
      <c r="D17783" t="s">
        <v>1</v>
      </c>
      <c r="E17783" t="s">
        <v>1</v>
      </c>
      <c r="F17783" t="s">
        <v>0</v>
      </c>
      <c r="G17783" t="str">
        <f>"2018-10-11 16:08:15"</f>
        <v>2018-10-11 16:08:15</v>
      </c>
    </row>
    <row r="17784" spans="1:7" x14ac:dyDescent="0.2">
      <c r="A17784" t="s">
        <v>16842</v>
      </c>
      <c r="B17784" t="str">
        <f>"18369253199"</f>
        <v>18369253199</v>
      </c>
      <c r="C17784" t="str">
        <f>"370403199308235216"</f>
        <v>370403199308235216</v>
      </c>
      <c r="D17784" t="s">
        <v>1</v>
      </c>
      <c r="E17784" t="s">
        <v>1</v>
      </c>
      <c r="F17784" t="s">
        <v>0</v>
      </c>
      <c r="G17784" t="str">
        <f>"2018-11-05 01:06:14"</f>
        <v>2018-11-05 01:06:14</v>
      </c>
    </row>
    <row r="17785" spans="1:7" x14ac:dyDescent="0.2">
      <c r="A17785" t="s">
        <v>16843</v>
      </c>
      <c r="B17785" t="str">
        <f>"15751575093"</f>
        <v>15751575093</v>
      </c>
      <c r="C17785" t="str">
        <f>"321322199101084858"</f>
        <v>321322199101084858</v>
      </c>
      <c r="D17785" t="s">
        <v>1</v>
      </c>
      <c r="E17785" t="s">
        <v>1</v>
      </c>
      <c r="F17785" t="s">
        <v>0</v>
      </c>
      <c r="G17785" t="str">
        <f>"2018-10-12 10:02:15"</f>
        <v>2018-10-12 10:02:15</v>
      </c>
    </row>
    <row r="17786" spans="1:7" x14ac:dyDescent="0.2">
      <c r="A17786" t="s">
        <v>1754</v>
      </c>
      <c r="B17786" t="str">
        <f>"13552803732"</f>
        <v>13552803732</v>
      </c>
      <c r="C17786" t="str">
        <f>"612326199506123910"</f>
        <v>612326199506123910</v>
      </c>
      <c r="D17786" t="s">
        <v>16844</v>
      </c>
      <c r="E17786" t="s">
        <v>16845</v>
      </c>
      <c r="F17786" t="s">
        <v>0</v>
      </c>
      <c r="G17786" t="str">
        <f>"2018-10-11 16:07:09"</f>
        <v>2018-10-11 16:07:09</v>
      </c>
    </row>
    <row r="17787" spans="1:7" x14ac:dyDescent="0.2">
      <c r="A17787" t="s">
        <v>16846</v>
      </c>
      <c r="B17787" t="str">
        <f>"18595125455"</f>
        <v>18595125455</v>
      </c>
      <c r="C17787" t="str">
        <f>"640382199203061913"</f>
        <v>640382199203061913</v>
      </c>
      <c r="D17787" t="s">
        <v>1</v>
      </c>
      <c r="E17787" t="s">
        <v>1</v>
      </c>
      <c r="F17787" t="s">
        <v>0</v>
      </c>
      <c r="G17787" t="str">
        <f>"2018-10-11 16:09:10"</f>
        <v>2018-10-11 16:09:10</v>
      </c>
    </row>
    <row r="17788" spans="1:7" x14ac:dyDescent="0.2">
      <c r="A17788" t="s">
        <v>1</v>
      </c>
      <c r="B17788" t="str">
        <f>"18609582395"</f>
        <v>18609582395</v>
      </c>
      <c r="C17788" t="s">
        <v>1</v>
      </c>
      <c r="D17788" t="s">
        <v>1</v>
      </c>
      <c r="E17788" t="s">
        <v>1</v>
      </c>
      <c r="F17788" t="s">
        <v>0</v>
      </c>
      <c r="G17788" t="str">
        <f>"2018-10-11 16:06:36"</f>
        <v>2018-10-11 16:06:36</v>
      </c>
    </row>
    <row r="17789" spans="1:7" x14ac:dyDescent="0.2">
      <c r="A17789" t="s">
        <v>1</v>
      </c>
      <c r="B17789" t="str">
        <f>"15659660608"</f>
        <v>15659660608</v>
      </c>
      <c r="C17789" t="s">
        <v>1</v>
      </c>
      <c r="D17789" t="s">
        <v>1</v>
      </c>
      <c r="E17789" t="s">
        <v>1</v>
      </c>
      <c r="F17789" t="s">
        <v>0</v>
      </c>
      <c r="G17789" t="str">
        <f>"2018-10-11 16:06:22"</f>
        <v>2018-10-11 16:06:22</v>
      </c>
    </row>
    <row r="17790" spans="1:7" x14ac:dyDescent="0.2">
      <c r="A17790" t="s">
        <v>1</v>
      </c>
      <c r="B17790" t="str">
        <f>"15893886107"</f>
        <v>15893886107</v>
      </c>
      <c r="C17790" t="s">
        <v>1</v>
      </c>
      <c r="D17790" t="s">
        <v>1</v>
      </c>
      <c r="E17790" t="s">
        <v>1</v>
      </c>
      <c r="F17790" t="s">
        <v>0</v>
      </c>
      <c r="G17790" t="str">
        <f>"2018-10-11 16:05:17"</f>
        <v>2018-10-11 16:05:17</v>
      </c>
    </row>
    <row r="17791" spans="1:7" x14ac:dyDescent="0.2">
      <c r="A17791" t="s">
        <v>1490</v>
      </c>
      <c r="B17791" t="str">
        <f>"17562064098"</f>
        <v>17562064098</v>
      </c>
      <c r="C17791" t="str">
        <f>"370832199810152321"</f>
        <v>370832199810152321</v>
      </c>
      <c r="D17791" t="s">
        <v>1</v>
      </c>
      <c r="E17791" t="s">
        <v>1</v>
      </c>
      <c r="F17791" t="s">
        <v>0</v>
      </c>
      <c r="G17791" t="str">
        <f>"2018-10-14 18:19:38"</f>
        <v>2018-10-14 18:19:38</v>
      </c>
    </row>
    <row r="17792" spans="1:7" x14ac:dyDescent="0.2">
      <c r="A17792" t="s">
        <v>16847</v>
      </c>
      <c r="B17792" t="str">
        <f>"18357181369"</f>
        <v>18357181369</v>
      </c>
      <c r="C17792" t="str">
        <f>"332528198303304211"</f>
        <v>332528198303304211</v>
      </c>
      <c r="D17792" t="s">
        <v>1</v>
      </c>
      <c r="E17792" t="s">
        <v>1</v>
      </c>
      <c r="F17792" t="s">
        <v>0</v>
      </c>
      <c r="G17792" t="str">
        <f>"2018-10-11 16:06:11"</f>
        <v>2018-10-11 16:06:11</v>
      </c>
    </row>
    <row r="17793" spans="1:7" x14ac:dyDescent="0.2">
      <c r="A17793" t="s">
        <v>16848</v>
      </c>
      <c r="B17793" t="str">
        <f>"17600735742"</f>
        <v>17600735742</v>
      </c>
      <c r="C17793" t="str">
        <f>"130821199710294257"</f>
        <v>130821199710294257</v>
      </c>
      <c r="D17793" t="s">
        <v>1</v>
      </c>
      <c r="E17793" t="s">
        <v>1</v>
      </c>
      <c r="F17793" t="s">
        <v>0</v>
      </c>
      <c r="G17793" t="str">
        <f>"2018-10-11 16:40:20"</f>
        <v>2018-10-11 16:40:20</v>
      </c>
    </row>
    <row r="17794" spans="1:7" x14ac:dyDescent="0.2">
      <c r="A17794" t="s">
        <v>16849</v>
      </c>
      <c r="B17794" t="str">
        <f>"17602386464"</f>
        <v>17602386464</v>
      </c>
      <c r="C17794" t="str">
        <f>"500234199910053552"</f>
        <v>500234199910053552</v>
      </c>
      <c r="D17794" t="s">
        <v>1</v>
      </c>
      <c r="E17794" t="s">
        <v>1</v>
      </c>
      <c r="F17794" t="s">
        <v>0</v>
      </c>
      <c r="G17794" t="str">
        <f>"2018-10-11 16:07:08"</f>
        <v>2018-10-11 16:07:08</v>
      </c>
    </row>
    <row r="17795" spans="1:7" x14ac:dyDescent="0.2">
      <c r="A17795" t="s">
        <v>16850</v>
      </c>
      <c r="B17795" t="str">
        <f>"17853500539"</f>
        <v>17853500539</v>
      </c>
      <c r="C17795" t="str">
        <f>"342401199611262763"</f>
        <v>342401199611262763</v>
      </c>
      <c r="D17795" t="s">
        <v>1</v>
      </c>
      <c r="E17795" t="s">
        <v>1</v>
      </c>
      <c r="F17795" t="s">
        <v>0</v>
      </c>
      <c r="G17795" t="str">
        <f>"2018-10-11 16:12:30"</f>
        <v>2018-10-11 16:12:30</v>
      </c>
    </row>
    <row r="17796" spans="1:7" x14ac:dyDescent="0.2">
      <c r="A17796" t="s">
        <v>16851</v>
      </c>
      <c r="B17796" t="str">
        <f>"15032669650"</f>
        <v>15032669650</v>
      </c>
      <c r="C17796" t="str">
        <f>"130184199603031053"</f>
        <v>130184199603031053</v>
      </c>
      <c r="D17796" t="s">
        <v>1</v>
      </c>
      <c r="E17796" t="s">
        <v>1</v>
      </c>
      <c r="F17796" t="s">
        <v>0</v>
      </c>
      <c r="G17796" t="str">
        <f>"2018-10-11 16:22:35"</f>
        <v>2018-10-11 16:22:35</v>
      </c>
    </row>
    <row r="17797" spans="1:7" x14ac:dyDescent="0.2">
      <c r="A17797" t="s">
        <v>16852</v>
      </c>
      <c r="B17797" t="str">
        <f>"13043019919"</f>
        <v>13043019919</v>
      </c>
      <c r="C17797" t="str">
        <f>"410781198708235112"</f>
        <v>410781198708235112</v>
      </c>
      <c r="D17797" t="s">
        <v>1</v>
      </c>
      <c r="E17797" t="s">
        <v>1</v>
      </c>
      <c r="F17797" t="s">
        <v>0</v>
      </c>
      <c r="G17797" t="str">
        <f>"2018-10-11 16:01:59"</f>
        <v>2018-10-11 16:01:59</v>
      </c>
    </row>
    <row r="17798" spans="1:7" x14ac:dyDescent="0.2">
      <c r="A17798" t="s">
        <v>1</v>
      </c>
      <c r="B17798" t="str">
        <f>"13925073358"</f>
        <v>13925073358</v>
      </c>
      <c r="C17798" t="s">
        <v>1</v>
      </c>
      <c r="D17798" t="s">
        <v>1</v>
      </c>
      <c r="E17798" t="s">
        <v>1</v>
      </c>
      <c r="F17798" t="s">
        <v>0</v>
      </c>
      <c r="G17798" t="str">
        <f>"2018-10-11 16:00:39"</f>
        <v>2018-10-11 16:00:39</v>
      </c>
    </row>
    <row r="17799" spans="1:7" x14ac:dyDescent="0.2">
      <c r="A17799" t="s">
        <v>937</v>
      </c>
      <c r="B17799" t="str">
        <f>"13614855005"</f>
        <v>13614855005</v>
      </c>
      <c r="C17799" t="str">
        <f>"152321198210155414"</f>
        <v>152321198210155414</v>
      </c>
      <c r="D17799" t="s">
        <v>16853</v>
      </c>
      <c r="E17799" t="s">
        <v>16854</v>
      </c>
      <c r="F17799" t="s">
        <v>0</v>
      </c>
      <c r="G17799" t="str">
        <f>"2018-10-12 12:12:39"</f>
        <v>2018-10-12 12:12:39</v>
      </c>
    </row>
    <row r="17800" spans="1:7" x14ac:dyDescent="0.2">
      <c r="A17800" t="s">
        <v>16855</v>
      </c>
      <c r="B17800" t="str">
        <f>"17314081888"</f>
        <v>17314081888</v>
      </c>
      <c r="C17800" t="str">
        <f>"340823198607104934"</f>
        <v>340823198607104934</v>
      </c>
      <c r="D17800" t="s">
        <v>1</v>
      </c>
      <c r="E17800" t="s">
        <v>1</v>
      </c>
      <c r="F17800" t="s">
        <v>0</v>
      </c>
      <c r="G17800" t="str">
        <f>"2018-10-11 15:59:50"</f>
        <v>2018-10-11 15:59:50</v>
      </c>
    </row>
    <row r="17801" spans="1:7" x14ac:dyDescent="0.2">
      <c r="A17801" t="s">
        <v>16856</v>
      </c>
      <c r="B17801" t="str">
        <f>"18053074789"</f>
        <v>18053074789</v>
      </c>
      <c r="C17801" t="str">
        <f>"372922198511110535"</f>
        <v>372922198511110535</v>
      </c>
      <c r="D17801" t="s">
        <v>16857</v>
      </c>
      <c r="E17801" t="s">
        <v>16858</v>
      </c>
      <c r="F17801" t="s">
        <v>0</v>
      </c>
      <c r="G17801" t="str">
        <f>"2018-10-11 16:08:16"</f>
        <v>2018-10-11 16:08:16</v>
      </c>
    </row>
    <row r="17802" spans="1:7" x14ac:dyDescent="0.2">
      <c r="A17802" t="s">
        <v>16859</v>
      </c>
      <c r="B17802" t="str">
        <f>"18709343923"</f>
        <v>18709343923</v>
      </c>
      <c r="C17802" t="str">
        <f>"622822199612020935"</f>
        <v>622822199612020935</v>
      </c>
      <c r="D17802" t="s">
        <v>16860</v>
      </c>
      <c r="E17802" t="s">
        <v>16861</v>
      </c>
      <c r="F17802" t="s">
        <v>0</v>
      </c>
      <c r="G17802" t="str">
        <f>"2018-10-11 16:00:47"</f>
        <v>2018-10-11 16:00:47</v>
      </c>
    </row>
    <row r="17803" spans="1:7" x14ac:dyDescent="0.2">
      <c r="A17803" t="s">
        <v>1</v>
      </c>
      <c r="B17803" t="str">
        <f>"15070939976"</f>
        <v>15070939976</v>
      </c>
      <c r="C17803" t="s">
        <v>1</v>
      </c>
      <c r="D17803" t="s">
        <v>1</v>
      </c>
      <c r="E17803" t="s">
        <v>1</v>
      </c>
      <c r="F17803" t="s">
        <v>0</v>
      </c>
      <c r="G17803" t="str">
        <f>"2018-10-11 15:57:39"</f>
        <v>2018-10-11 15:57:39</v>
      </c>
    </row>
    <row r="17804" spans="1:7" x14ac:dyDescent="0.2">
      <c r="A17804" t="s">
        <v>16862</v>
      </c>
      <c r="B17804" t="str">
        <f>"15318678899"</f>
        <v>15318678899</v>
      </c>
      <c r="C17804" t="str">
        <f>"370685198712053714"</f>
        <v>370685198712053714</v>
      </c>
      <c r="D17804" t="s">
        <v>1</v>
      </c>
      <c r="E17804" t="s">
        <v>1</v>
      </c>
      <c r="F17804" t="s">
        <v>0</v>
      </c>
      <c r="G17804" t="str">
        <f>"2018-10-18 17:32:19"</f>
        <v>2018-10-18 17:32:19</v>
      </c>
    </row>
    <row r="17805" spans="1:7" x14ac:dyDescent="0.2">
      <c r="A17805" t="s">
        <v>16863</v>
      </c>
      <c r="B17805" t="str">
        <f>"13084844449"</f>
        <v>13084844449</v>
      </c>
      <c r="C17805" t="str">
        <f>"612729199705026612"</f>
        <v>612729199705026612</v>
      </c>
      <c r="D17805" t="s">
        <v>16864</v>
      </c>
      <c r="E17805" t="s">
        <v>16865</v>
      </c>
      <c r="F17805" t="s">
        <v>0</v>
      </c>
      <c r="G17805" t="str">
        <f>"2018-10-11 17:05:00"</f>
        <v>2018-10-11 17:05:00</v>
      </c>
    </row>
    <row r="17806" spans="1:7" x14ac:dyDescent="0.2">
      <c r="A17806" t="s">
        <v>16866</v>
      </c>
      <c r="B17806" t="str">
        <f>"13936259914"</f>
        <v>13936259914</v>
      </c>
      <c r="C17806" t="str">
        <f>"230106199407060425"</f>
        <v>230106199407060425</v>
      </c>
      <c r="D17806" t="s">
        <v>1</v>
      </c>
      <c r="E17806" t="s">
        <v>1</v>
      </c>
      <c r="F17806" t="s">
        <v>0</v>
      </c>
      <c r="G17806" t="str">
        <f>"2018-10-11 15:58:27"</f>
        <v>2018-10-11 15:58:27</v>
      </c>
    </row>
    <row r="17807" spans="1:7" x14ac:dyDescent="0.2">
      <c r="A17807" t="s">
        <v>16867</v>
      </c>
      <c r="B17807" t="str">
        <f>"15765432913"</f>
        <v>15765432913</v>
      </c>
      <c r="C17807" t="str">
        <f>"239004199001121478"</f>
        <v>239004199001121478</v>
      </c>
      <c r="D17807" t="s">
        <v>1</v>
      </c>
      <c r="E17807" t="s">
        <v>1</v>
      </c>
      <c r="F17807" t="s">
        <v>0</v>
      </c>
      <c r="G17807" t="str">
        <f>"2018-10-11 16:07:01"</f>
        <v>2018-10-11 16:07:01</v>
      </c>
    </row>
    <row r="17808" spans="1:7" x14ac:dyDescent="0.2">
      <c r="A17808" t="s">
        <v>16868</v>
      </c>
      <c r="B17808" t="str">
        <f>"15614926971"</f>
        <v>15614926971</v>
      </c>
      <c r="C17808" t="str">
        <f>"130481199212066475"</f>
        <v>130481199212066475</v>
      </c>
      <c r="D17808" t="s">
        <v>1</v>
      </c>
      <c r="E17808" t="s">
        <v>1</v>
      </c>
      <c r="F17808" t="s">
        <v>0</v>
      </c>
      <c r="G17808" t="str">
        <f>"2018-10-11 15:57:02"</f>
        <v>2018-10-11 15:57:02</v>
      </c>
    </row>
    <row r="17809" spans="1:7" x14ac:dyDescent="0.2">
      <c r="A17809" t="s">
        <v>1</v>
      </c>
      <c r="B17809" t="str">
        <f>"18626206267"</f>
        <v>18626206267</v>
      </c>
      <c r="C17809" t="s">
        <v>1</v>
      </c>
      <c r="D17809" t="s">
        <v>1</v>
      </c>
      <c r="E17809" t="s">
        <v>1</v>
      </c>
      <c r="F17809" t="s">
        <v>0</v>
      </c>
      <c r="G17809" t="str">
        <f>"2018-10-11 15:55:42"</f>
        <v>2018-10-11 15:55:42</v>
      </c>
    </row>
    <row r="17810" spans="1:7" x14ac:dyDescent="0.2">
      <c r="A17810" t="s">
        <v>16869</v>
      </c>
      <c r="B17810" t="str">
        <f>"18173813756"</f>
        <v>18173813756</v>
      </c>
      <c r="C17810" t="str">
        <f>"432524199202100079"</f>
        <v>432524199202100079</v>
      </c>
      <c r="D17810" t="s">
        <v>1</v>
      </c>
      <c r="E17810" t="s">
        <v>1</v>
      </c>
      <c r="F17810" t="s">
        <v>0</v>
      </c>
      <c r="G17810" t="str">
        <f>"2018-10-11 15:57:05"</f>
        <v>2018-10-11 15:57:05</v>
      </c>
    </row>
    <row r="17811" spans="1:7" x14ac:dyDescent="0.2">
      <c r="A17811" t="s">
        <v>16870</v>
      </c>
      <c r="B17811" t="str">
        <f>"18733356161"</f>
        <v>18733356161</v>
      </c>
      <c r="C17811" t="str">
        <f>"130227199604166505"</f>
        <v>130227199604166505</v>
      </c>
      <c r="D17811" t="s">
        <v>1</v>
      </c>
      <c r="E17811" t="s">
        <v>1</v>
      </c>
      <c r="F17811" t="s">
        <v>0</v>
      </c>
      <c r="G17811" t="str">
        <f>"2018-10-18 21:18:02"</f>
        <v>2018-10-18 21:18:02</v>
      </c>
    </row>
    <row r="17812" spans="1:7" x14ac:dyDescent="0.2">
      <c r="A17812" t="s">
        <v>16871</v>
      </c>
      <c r="B17812" t="str">
        <f>"15259833243"</f>
        <v>15259833243</v>
      </c>
      <c r="C17812" t="str">
        <f>"350425198509272654"</f>
        <v>350425198509272654</v>
      </c>
      <c r="D17812" t="s">
        <v>1</v>
      </c>
      <c r="E17812" t="s">
        <v>1</v>
      </c>
      <c r="F17812" t="s">
        <v>0</v>
      </c>
      <c r="G17812" t="str">
        <f>"2018-10-11 18:02:23"</f>
        <v>2018-10-11 18:02:23</v>
      </c>
    </row>
    <row r="17813" spans="1:7" x14ac:dyDescent="0.2">
      <c r="A17813" t="s">
        <v>1</v>
      </c>
      <c r="B17813" t="str">
        <f>"15079131622"</f>
        <v>15079131622</v>
      </c>
      <c r="C17813" t="s">
        <v>1</v>
      </c>
      <c r="D17813" t="s">
        <v>1</v>
      </c>
      <c r="E17813" t="s">
        <v>1</v>
      </c>
      <c r="F17813" t="s">
        <v>0</v>
      </c>
      <c r="G17813" t="str">
        <f>"2018-10-11 15:53:10"</f>
        <v>2018-10-11 15:53:10</v>
      </c>
    </row>
    <row r="17814" spans="1:7" x14ac:dyDescent="0.2">
      <c r="A17814" t="s">
        <v>1</v>
      </c>
      <c r="B17814" t="str">
        <f>"13152671449"</f>
        <v>13152671449</v>
      </c>
      <c r="C17814" t="s">
        <v>1</v>
      </c>
      <c r="D17814" t="s">
        <v>1</v>
      </c>
      <c r="E17814" t="s">
        <v>1</v>
      </c>
      <c r="F17814" t="s">
        <v>0</v>
      </c>
      <c r="G17814" t="str">
        <f>"2018-10-11 15:52:41"</f>
        <v>2018-10-11 15:52:41</v>
      </c>
    </row>
    <row r="17815" spans="1:7" x14ac:dyDescent="0.2">
      <c r="A17815" t="s">
        <v>1</v>
      </c>
      <c r="B17815" t="str">
        <f>"15934216385"</f>
        <v>15934216385</v>
      </c>
      <c r="C17815" t="s">
        <v>1</v>
      </c>
      <c r="D17815" t="s">
        <v>1</v>
      </c>
      <c r="E17815" t="s">
        <v>1</v>
      </c>
      <c r="F17815" t="s">
        <v>0</v>
      </c>
      <c r="G17815" t="str">
        <f>"2018-10-11 15:52:03"</f>
        <v>2018-10-11 15:52:03</v>
      </c>
    </row>
    <row r="17816" spans="1:7" x14ac:dyDescent="0.2">
      <c r="A17816" t="s">
        <v>374</v>
      </c>
      <c r="B17816" t="str">
        <f>"18342100729"</f>
        <v>18342100729</v>
      </c>
      <c r="C17816" t="str">
        <f>"211381199201225915"</f>
        <v>211381199201225915</v>
      </c>
      <c r="D17816" t="s">
        <v>1</v>
      </c>
      <c r="E17816" t="s">
        <v>1</v>
      </c>
      <c r="F17816" t="s">
        <v>0</v>
      </c>
      <c r="G17816" t="str">
        <f>"2018-10-11 15:54:23"</f>
        <v>2018-10-11 15:54:23</v>
      </c>
    </row>
    <row r="17817" spans="1:7" x14ac:dyDescent="0.2">
      <c r="A17817" t="s">
        <v>16872</v>
      </c>
      <c r="B17817" t="str">
        <f>"15004678468"</f>
        <v>15004678468</v>
      </c>
      <c r="C17817" t="str">
        <f>"230102199108242119"</f>
        <v>230102199108242119</v>
      </c>
      <c r="D17817" t="s">
        <v>16873</v>
      </c>
      <c r="E17817" t="s">
        <v>16874</v>
      </c>
      <c r="F17817" t="s">
        <v>0</v>
      </c>
      <c r="G17817" t="str">
        <f>"2018-10-11 15:51:52"</f>
        <v>2018-10-11 15:51:52</v>
      </c>
    </row>
    <row r="17818" spans="1:7" x14ac:dyDescent="0.2">
      <c r="A17818" t="s">
        <v>16875</v>
      </c>
      <c r="B17818" t="str">
        <f>"13202364190"</f>
        <v>13202364190</v>
      </c>
      <c r="C17818" t="str">
        <f>"513030198203142218"</f>
        <v>513030198203142218</v>
      </c>
      <c r="D17818" t="s">
        <v>1</v>
      </c>
      <c r="E17818" t="s">
        <v>1</v>
      </c>
      <c r="F17818" t="s">
        <v>0</v>
      </c>
      <c r="G17818" t="str">
        <f>"2018-10-11 15:55:17"</f>
        <v>2018-10-11 15:55:17</v>
      </c>
    </row>
    <row r="17819" spans="1:7" x14ac:dyDescent="0.2">
      <c r="A17819" t="s">
        <v>7744</v>
      </c>
      <c r="B17819" t="str">
        <f>"13880329827"</f>
        <v>13880329827</v>
      </c>
      <c r="C17819" t="str">
        <f>"510121199903043270"</f>
        <v>510121199903043270</v>
      </c>
      <c r="D17819" t="s">
        <v>1</v>
      </c>
      <c r="E17819" t="s">
        <v>1</v>
      </c>
      <c r="F17819" t="s">
        <v>0</v>
      </c>
      <c r="G17819" t="str">
        <f>"2018-10-11 15:50:18"</f>
        <v>2018-10-11 15:50:18</v>
      </c>
    </row>
    <row r="17820" spans="1:7" x14ac:dyDescent="0.2">
      <c r="A17820" t="s">
        <v>16876</v>
      </c>
      <c r="B17820" t="str">
        <f>"18850662238"</f>
        <v>18850662238</v>
      </c>
      <c r="C17820" t="str">
        <f>"321282199205201423"</f>
        <v>321282199205201423</v>
      </c>
      <c r="D17820" t="s">
        <v>1</v>
      </c>
      <c r="E17820" t="s">
        <v>1</v>
      </c>
      <c r="F17820" t="s">
        <v>0</v>
      </c>
      <c r="G17820" t="str">
        <f>"2018-10-11 15:49:44"</f>
        <v>2018-10-11 15:49:44</v>
      </c>
    </row>
    <row r="17821" spans="1:7" x14ac:dyDescent="0.2">
      <c r="A17821" t="s">
        <v>16877</v>
      </c>
      <c r="B17821" t="str">
        <f>"18754370005"</f>
        <v>18754370005</v>
      </c>
      <c r="C17821" t="str">
        <f>"372330199007043339"</f>
        <v>372330199007043339</v>
      </c>
      <c r="D17821" t="s">
        <v>1</v>
      </c>
      <c r="E17821" t="s">
        <v>1</v>
      </c>
      <c r="F17821" t="s">
        <v>0</v>
      </c>
      <c r="G17821" t="str">
        <f>"2018-10-11 15:49:41"</f>
        <v>2018-10-11 15:49:41</v>
      </c>
    </row>
    <row r="17822" spans="1:7" x14ac:dyDescent="0.2">
      <c r="A17822" t="s">
        <v>1</v>
      </c>
      <c r="B17822" t="str">
        <f>"18889827541"</f>
        <v>18889827541</v>
      </c>
      <c r="C17822" t="s">
        <v>1</v>
      </c>
      <c r="D17822" t="s">
        <v>1</v>
      </c>
      <c r="E17822" t="s">
        <v>1</v>
      </c>
      <c r="F17822" t="s">
        <v>0</v>
      </c>
      <c r="G17822" t="str">
        <f>"2018-10-11 15:49:33"</f>
        <v>2018-10-11 15:49:33</v>
      </c>
    </row>
    <row r="17823" spans="1:7" x14ac:dyDescent="0.2">
      <c r="A17823" t="s">
        <v>16878</v>
      </c>
      <c r="B17823" t="str">
        <f>"18684353451"</f>
        <v>18684353451</v>
      </c>
      <c r="C17823" t="str">
        <f>"220602199104213316"</f>
        <v>220602199104213316</v>
      </c>
      <c r="D17823" t="s">
        <v>1</v>
      </c>
      <c r="E17823" t="s">
        <v>1</v>
      </c>
      <c r="F17823" t="s">
        <v>0</v>
      </c>
      <c r="G17823" t="str">
        <f>"2018-10-11 15:49:23"</f>
        <v>2018-10-11 15:49:23</v>
      </c>
    </row>
    <row r="17824" spans="1:7" x14ac:dyDescent="0.2">
      <c r="A17824" t="s">
        <v>1</v>
      </c>
      <c r="B17824" t="str">
        <f>"13850828636"</f>
        <v>13850828636</v>
      </c>
      <c r="C17824" t="s">
        <v>1</v>
      </c>
      <c r="D17824" t="s">
        <v>1</v>
      </c>
      <c r="E17824" t="s">
        <v>1</v>
      </c>
      <c r="F17824" t="s">
        <v>0</v>
      </c>
      <c r="G17824" t="str">
        <f>"2018-10-11 15:49:09"</f>
        <v>2018-10-11 15:49:09</v>
      </c>
    </row>
    <row r="17825" spans="1:7" x14ac:dyDescent="0.2">
      <c r="A17825" t="s">
        <v>16879</v>
      </c>
      <c r="B17825" t="str">
        <f>"15290899889"</f>
        <v>15290899889</v>
      </c>
      <c r="C17825" t="str">
        <f>"410181198806023014"</f>
        <v>410181198806023014</v>
      </c>
      <c r="D17825" t="s">
        <v>1</v>
      </c>
      <c r="E17825" t="s">
        <v>1</v>
      </c>
      <c r="F17825" t="s">
        <v>0</v>
      </c>
      <c r="G17825" t="str">
        <f>"2018-11-04 11:41:54"</f>
        <v>2018-11-04 11:41:54</v>
      </c>
    </row>
    <row r="17826" spans="1:7" x14ac:dyDescent="0.2">
      <c r="A17826" t="s">
        <v>1</v>
      </c>
      <c r="B17826" t="str">
        <f>"13687566171"</f>
        <v>13687566171</v>
      </c>
      <c r="C17826" t="s">
        <v>1</v>
      </c>
      <c r="D17826" t="s">
        <v>1</v>
      </c>
      <c r="E17826" t="s">
        <v>1</v>
      </c>
      <c r="F17826" t="s">
        <v>0</v>
      </c>
      <c r="G17826" t="str">
        <f>"2018-10-11 15:51:37"</f>
        <v>2018-10-11 15:51:37</v>
      </c>
    </row>
    <row r="17827" spans="1:7" x14ac:dyDescent="0.2">
      <c r="A17827" t="s">
        <v>1</v>
      </c>
      <c r="B17827" t="str">
        <f>"15949991105"</f>
        <v>15949991105</v>
      </c>
      <c r="C17827" t="s">
        <v>1</v>
      </c>
      <c r="D17827" t="s">
        <v>1</v>
      </c>
      <c r="E17827" t="s">
        <v>1</v>
      </c>
      <c r="F17827" t="s">
        <v>0</v>
      </c>
      <c r="G17827" t="str">
        <f>"2018-10-11 15:48:47"</f>
        <v>2018-10-11 15:48:47</v>
      </c>
    </row>
    <row r="17828" spans="1:7" x14ac:dyDescent="0.2">
      <c r="A17828" t="s">
        <v>16880</v>
      </c>
      <c r="B17828" t="str">
        <f>"15379788850"</f>
        <v>15379788850</v>
      </c>
      <c r="C17828" t="str">
        <f>"62220119891009663X"</f>
        <v>62220119891009663X</v>
      </c>
      <c r="D17828" t="s">
        <v>1</v>
      </c>
      <c r="E17828" t="s">
        <v>1</v>
      </c>
      <c r="F17828" t="s">
        <v>0</v>
      </c>
      <c r="G17828" t="str">
        <f>"2018-10-11 16:18:07"</f>
        <v>2018-10-11 16:18:07</v>
      </c>
    </row>
    <row r="17829" spans="1:7" x14ac:dyDescent="0.2">
      <c r="A17829" t="s">
        <v>1</v>
      </c>
      <c r="B17829" t="str">
        <f>"18583481145"</f>
        <v>18583481145</v>
      </c>
      <c r="C17829" t="s">
        <v>1</v>
      </c>
      <c r="D17829" t="s">
        <v>1</v>
      </c>
      <c r="E17829" t="s">
        <v>1</v>
      </c>
      <c r="F17829" t="s">
        <v>0</v>
      </c>
      <c r="G17829" t="str">
        <f>"2018-10-11 15:48:27"</f>
        <v>2018-10-11 15:48:27</v>
      </c>
    </row>
    <row r="17830" spans="1:7" x14ac:dyDescent="0.2">
      <c r="A17830" t="s">
        <v>16881</v>
      </c>
      <c r="B17830" t="str">
        <f>"18419659818"</f>
        <v>18419659818</v>
      </c>
      <c r="C17830" t="str">
        <f>"622323199010026810"</f>
        <v>622323199010026810</v>
      </c>
      <c r="D17830" t="s">
        <v>1</v>
      </c>
      <c r="E17830" t="s">
        <v>1</v>
      </c>
      <c r="F17830" t="s">
        <v>0</v>
      </c>
      <c r="G17830" t="str">
        <f>"2018-10-11 15:50:52"</f>
        <v>2018-10-11 15:50:52</v>
      </c>
    </row>
    <row r="17831" spans="1:7" x14ac:dyDescent="0.2">
      <c r="A17831" t="s">
        <v>102</v>
      </c>
      <c r="B17831" t="str">
        <f>"17662087238"</f>
        <v>17662087238</v>
      </c>
      <c r="C17831" t="str">
        <f>"370919197307283717"</f>
        <v>370919197307283717</v>
      </c>
      <c r="D17831" t="s">
        <v>1</v>
      </c>
      <c r="E17831" t="s">
        <v>1</v>
      </c>
      <c r="F17831" t="s">
        <v>0</v>
      </c>
      <c r="G17831" t="str">
        <f>"2018-10-11 15:50:39"</f>
        <v>2018-10-11 15:50:39</v>
      </c>
    </row>
    <row r="17832" spans="1:7" x14ac:dyDescent="0.2">
      <c r="A17832" t="s">
        <v>16882</v>
      </c>
      <c r="B17832" t="str">
        <f>"17726939329"</f>
        <v>17726939329</v>
      </c>
      <c r="C17832" t="str">
        <f>"620102197206085819"</f>
        <v>620102197206085819</v>
      </c>
      <c r="D17832" t="s">
        <v>1</v>
      </c>
      <c r="E17832" t="s">
        <v>1</v>
      </c>
      <c r="F17832" t="s">
        <v>0</v>
      </c>
      <c r="G17832" t="str">
        <f>"2018-10-12 23:41:53"</f>
        <v>2018-10-12 23:41:53</v>
      </c>
    </row>
    <row r="17833" spans="1:7" x14ac:dyDescent="0.2">
      <c r="A17833" t="s">
        <v>1842</v>
      </c>
      <c r="B17833" t="str">
        <f>"15020158926"</f>
        <v>15020158926</v>
      </c>
      <c r="C17833" t="str">
        <f>"372923199907201426"</f>
        <v>372923199907201426</v>
      </c>
      <c r="D17833" t="s">
        <v>1</v>
      </c>
      <c r="E17833" t="s">
        <v>1</v>
      </c>
      <c r="F17833" t="s">
        <v>0</v>
      </c>
      <c r="G17833" t="str">
        <f>"2018-10-11 15:49:55"</f>
        <v>2018-10-11 15:49:55</v>
      </c>
    </row>
    <row r="17834" spans="1:7" x14ac:dyDescent="0.2">
      <c r="A17834" t="s">
        <v>1</v>
      </c>
      <c r="B17834" t="str">
        <f>"15578154095"</f>
        <v>15578154095</v>
      </c>
      <c r="C17834" t="s">
        <v>1</v>
      </c>
      <c r="D17834" t="s">
        <v>1</v>
      </c>
      <c r="E17834" t="s">
        <v>1</v>
      </c>
      <c r="F17834" t="s">
        <v>0</v>
      </c>
      <c r="G17834" t="str">
        <f>"2018-10-11 15:47:13"</f>
        <v>2018-10-11 15:47:13</v>
      </c>
    </row>
    <row r="17835" spans="1:7" x14ac:dyDescent="0.2">
      <c r="A17835" t="s">
        <v>16883</v>
      </c>
      <c r="B17835" t="str">
        <f>"15594229678"</f>
        <v>15594229678</v>
      </c>
      <c r="C17835" t="str">
        <f>"612729198608110914"</f>
        <v>612729198608110914</v>
      </c>
      <c r="D17835" t="s">
        <v>1</v>
      </c>
      <c r="E17835" t="s">
        <v>1</v>
      </c>
      <c r="F17835" t="s">
        <v>0</v>
      </c>
      <c r="G17835" t="str">
        <f>"2018-10-11 15:56:55"</f>
        <v>2018-10-11 15:56:55</v>
      </c>
    </row>
    <row r="17836" spans="1:7" x14ac:dyDescent="0.2">
      <c r="A17836" t="s">
        <v>1</v>
      </c>
      <c r="B17836" t="str">
        <f>"13066833318"</f>
        <v>13066833318</v>
      </c>
      <c r="C17836" t="s">
        <v>1</v>
      </c>
      <c r="D17836" t="s">
        <v>1</v>
      </c>
      <c r="E17836" t="s">
        <v>1</v>
      </c>
      <c r="F17836" t="s">
        <v>0</v>
      </c>
      <c r="G17836" t="str">
        <f>"2018-10-11 15:53:07"</f>
        <v>2018-10-11 15:53:07</v>
      </c>
    </row>
    <row r="17837" spans="1:7" x14ac:dyDescent="0.2">
      <c r="A17837" t="s">
        <v>16884</v>
      </c>
      <c r="B17837" t="str">
        <f>"15055622299"</f>
        <v>15055622299</v>
      </c>
      <c r="C17837" t="str">
        <f>"34032119820113050X"</f>
        <v>34032119820113050X</v>
      </c>
      <c r="D17837" t="s">
        <v>1</v>
      </c>
      <c r="E17837" t="s">
        <v>1</v>
      </c>
      <c r="F17837" t="s">
        <v>0</v>
      </c>
      <c r="G17837" t="str">
        <f>"2018-10-11 15:49:29"</f>
        <v>2018-10-11 15:49:29</v>
      </c>
    </row>
    <row r="17838" spans="1:7" x14ac:dyDescent="0.2">
      <c r="A17838" t="s">
        <v>37</v>
      </c>
      <c r="B17838" t="str">
        <f>"13083385568"</f>
        <v>13083385568</v>
      </c>
      <c r="C17838" t="str">
        <f>"341281198710170018"</f>
        <v>341281198710170018</v>
      </c>
      <c r="D17838" t="s">
        <v>1</v>
      </c>
      <c r="E17838" t="s">
        <v>1</v>
      </c>
      <c r="F17838" t="s">
        <v>0</v>
      </c>
      <c r="G17838" t="str">
        <f>"2018-10-11 15:47:56"</f>
        <v>2018-10-11 15:47:56</v>
      </c>
    </row>
    <row r="17839" spans="1:7" x14ac:dyDescent="0.2">
      <c r="A17839" t="s">
        <v>16885</v>
      </c>
      <c r="B17839" t="str">
        <f>"13464451233"</f>
        <v>13464451233</v>
      </c>
      <c r="C17839" t="str">
        <f>"210781200002273611"</f>
        <v>210781200002273611</v>
      </c>
      <c r="D17839" t="s">
        <v>1</v>
      </c>
      <c r="E17839" t="s">
        <v>1</v>
      </c>
      <c r="F17839" t="s">
        <v>0</v>
      </c>
      <c r="G17839" t="str">
        <f>"2018-10-11 15:47:54"</f>
        <v>2018-10-11 15:47:54</v>
      </c>
    </row>
    <row r="17840" spans="1:7" x14ac:dyDescent="0.2">
      <c r="A17840" t="s">
        <v>16886</v>
      </c>
      <c r="B17840" t="str">
        <f>"18703932166"</f>
        <v>18703932166</v>
      </c>
      <c r="C17840" t="str">
        <f>"410928198512191292"</f>
        <v>410928198512191292</v>
      </c>
      <c r="D17840" t="s">
        <v>1</v>
      </c>
      <c r="E17840" t="s">
        <v>1</v>
      </c>
      <c r="F17840" t="s">
        <v>0</v>
      </c>
      <c r="G17840" t="str">
        <f>"2018-10-11 15:49:22"</f>
        <v>2018-10-11 15:49:22</v>
      </c>
    </row>
    <row r="17841" spans="1:7" x14ac:dyDescent="0.2">
      <c r="A17841" t="s">
        <v>16887</v>
      </c>
      <c r="B17841" t="str">
        <f>"18853100588"</f>
        <v>18853100588</v>
      </c>
      <c r="C17841" t="str">
        <f>"340822198311082637"</f>
        <v>340822198311082637</v>
      </c>
      <c r="D17841" t="s">
        <v>1</v>
      </c>
      <c r="E17841" t="s">
        <v>1</v>
      </c>
      <c r="F17841" t="s">
        <v>0</v>
      </c>
      <c r="G17841" t="str">
        <f>"2018-10-11 15:49:35"</f>
        <v>2018-10-11 15:49:35</v>
      </c>
    </row>
    <row r="17842" spans="1:7" x14ac:dyDescent="0.2">
      <c r="A17842" t="s">
        <v>1</v>
      </c>
      <c r="B17842" t="str">
        <f>"15984637253"</f>
        <v>15984637253</v>
      </c>
      <c r="C17842" t="s">
        <v>1</v>
      </c>
      <c r="D17842" t="s">
        <v>1</v>
      </c>
      <c r="E17842" t="s">
        <v>1</v>
      </c>
      <c r="F17842" t="s">
        <v>0</v>
      </c>
      <c r="G17842" t="str">
        <f>"2018-10-11 15:45:10"</f>
        <v>2018-10-11 15:45:10</v>
      </c>
    </row>
    <row r="17843" spans="1:7" x14ac:dyDescent="0.2">
      <c r="A17843" t="s">
        <v>16888</v>
      </c>
      <c r="B17843" t="str">
        <f>"18872697288"</f>
        <v>18872697288</v>
      </c>
      <c r="C17843" t="str">
        <f>"421127198602010259"</f>
        <v>421127198602010259</v>
      </c>
      <c r="D17843" t="s">
        <v>1</v>
      </c>
      <c r="E17843" t="s">
        <v>1</v>
      </c>
      <c r="F17843" t="s">
        <v>0</v>
      </c>
      <c r="G17843" t="str">
        <f>"2018-10-11 15:47:12"</f>
        <v>2018-10-11 15:47:12</v>
      </c>
    </row>
    <row r="17844" spans="1:7" x14ac:dyDescent="0.2">
      <c r="A17844" t="s">
        <v>16889</v>
      </c>
      <c r="B17844" t="str">
        <f>"13863869013"</f>
        <v>13863869013</v>
      </c>
      <c r="C17844" t="str">
        <f>"622226198102200512"</f>
        <v>622226198102200512</v>
      </c>
      <c r="D17844" t="s">
        <v>1</v>
      </c>
      <c r="E17844" t="s">
        <v>1</v>
      </c>
      <c r="F17844" t="s">
        <v>0</v>
      </c>
      <c r="G17844" t="str">
        <f>"2018-10-11 15:47:58"</f>
        <v>2018-10-11 15:47:58</v>
      </c>
    </row>
    <row r="17845" spans="1:7" x14ac:dyDescent="0.2">
      <c r="A17845" t="s">
        <v>1</v>
      </c>
      <c r="B17845" t="str">
        <f>"18931308885"</f>
        <v>18931308885</v>
      </c>
      <c r="C17845" t="s">
        <v>1</v>
      </c>
      <c r="D17845" t="s">
        <v>1</v>
      </c>
      <c r="E17845" t="s">
        <v>1</v>
      </c>
      <c r="F17845" t="s">
        <v>0</v>
      </c>
      <c r="G17845" t="str">
        <f>"2018-10-11 15:45:57"</f>
        <v>2018-10-11 15:45:57</v>
      </c>
    </row>
    <row r="17846" spans="1:7" x14ac:dyDescent="0.2">
      <c r="A17846" t="s">
        <v>16890</v>
      </c>
      <c r="B17846" t="str">
        <f>"18656473923"</f>
        <v>18656473923</v>
      </c>
      <c r="C17846" t="str">
        <f>"34242319880911679X"</f>
        <v>34242319880911679X</v>
      </c>
      <c r="D17846" t="s">
        <v>1</v>
      </c>
      <c r="E17846" t="s">
        <v>1</v>
      </c>
      <c r="F17846" t="s">
        <v>0</v>
      </c>
      <c r="G17846" t="str">
        <f>"2018-10-11 15:51:26"</f>
        <v>2018-10-11 15:51:26</v>
      </c>
    </row>
    <row r="17847" spans="1:7" x14ac:dyDescent="0.2">
      <c r="A17847" t="s">
        <v>16891</v>
      </c>
      <c r="B17847" t="str">
        <f>"18339362789"</f>
        <v>18339362789</v>
      </c>
      <c r="C17847" t="str">
        <f>"411521199404182523"</f>
        <v>411521199404182523</v>
      </c>
      <c r="D17847" t="s">
        <v>1</v>
      </c>
      <c r="E17847" t="s">
        <v>1</v>
      </c>
      <c r="F17847" t="s">
        <v>0</v>
      </c>
      <c r="G17847" t="str">
        <f>"2018-10-29 10:06:13"</f>
        <v>2018-10-29 10:06:13</v>
      </c>
    </row>
    <row r="17848" spans="1:7" x14ac:dyDescent="0.2">
      <c r="A17848" t="s">
        <v>16892</v>
      </c>
      <c r="B17848" t="str">
        <f>"18196211978"</f>
        <v>18196211978</v>
      </c>
      <c r="C17848" t="str">
        <f>"652801199105171118"</f>
        <v>652801199105171118</v>
      </c>
      <c r="D17848" t="s">
        <v>1</v>
      </c>
      <c r="E17848" t="s">
        <v>1</v>
      </c>
      <c r="F17848" t="s">
        <v>0</v>
      </c>
      <c r="G17848" t="str">
        <f>"2018-10-11 15:44:40"</f>
        <v>2018-10-11 15:44:40</v>
      </c>
    </row>
    <row r="17849" spans="1:7" x14ac:dyDescent="0.2">
      <c r="A17849" t="s">
        <v>16893</v>
      </c>
      <c r="B17849" t="str">
        <f>"18943088845"</f>
        <v>18943088845</v>
      </c>
      <c r="C17849" t="str">
        <f>"220181199206190424"</f>
        <v>220181199206190424</v>
      </c>
      <c r="D17849" t="s">
        <v>1</v>
      </c>
      <c r="E17849" t="s">
        <v>1</v>
      </c>
      <c r="F17849" t="s">
        <v>0</v>
      </c>
      <c r="G17849" t="str">
        <f>"2018-10-11 15:44:20"</f>
        <v>2018-10-11 15:44:20</v>
      </c>
    </row>
    <row r="17850" spans="1:7" x14ac:dyDescent="0.2">
      <c r="A17850" t="s">
        <v>1</v>
      </c>
      <c r="B17850" t="str">
        <f>"13136750823"</f>
        <v>13136750823</v>
      </c>
      <c r="C17850" t="s">
        <v>1</v>
      </c>
      <c r="D17850" t="s">
        <v>1</v>
      </c>
      <c r="E17850" t="s">
        <v>1</v>
      </c>
      <c r="F17850" t="s">
        <v>0</v>
      </c>
      <c r="G17850" t="str">
        <f>"2018-10-11 15:44:34"</f>
        <v>2018-10-11 15:44:34</v>
      </c>
    </row>
    <row r="17851" spans="1:7" x14ac:dyDescent="0.2">
      <c r="A17851" t="s">
        <v>16894</v>
      </c>
      <c r="B17851" t="str">
        <f>"13604406368"</f>
        <v>13604406368</v>
      </c>
      <c r="C17851" t="str">
        <f>"22018119941029022X"</f>
        <v>22018119941029022X</v>
      </c>
      <c r="D17851" t="s">
        <v>1</v>
      </c>
      <c r="E17851" t="s">
        <v>1</v>
      </c>
      <c r="F17851" t="s">
        <v>0</v>
      </c>
      <c r="G17851" t="str">
        <f>"2018-10-11 15:54:52"</f>
        <v>2018-10-11 15:54:52</v>
      </c>
    </row>
    <row r="17852" spans="1:7" x14ac:dyDescent="0.2">
      <c r="A17852" t="s">
        <v>16895</v>
      </c>
      <c r="B17852" t="str">
        <f>"18085435556"</f>
        <v>18085435556</v>
      </c>
      <c r="C17852" t="str">
        <f>"522701198409130340"</f>
        <v>522701198409130340</v>
      </c>
      <c r="D17852" t="s">
        <v>1</v>
      </c>
      <c r="E17852" t="s">
        <v>1</v>
      </c>
      <c r="F17852" t="s">
        <v>0</v>
      </c>
      <c r="G17852" t="str">
        <f>"2018-10-11 15:45:25"</f>
        <v>2018-10-11 15:45:25</v>
      </c>
    </row>
    <row r="17853" spans="1:7" x14ac:dyDescent="0.2">
      <c r="A17853" t="s">
        <v>1</v>
      </c>
      <c r="B17853" t="str">
        <f>"18256133355"</f>
        <v>18256133355</v>
      </c>
      <c r="C17853" t="s">
        <v>1</v>
      </c>
      <c r="D17853" t="s">
        <v>1</v>
      </c>
      <c r="E17853" t="s">
        <v>1</v>
      </c>
      <c r="F17853" t="s">
        <v>0</v>
      </c>
      <c r="G17853" t="str">
        <f>"2018-10-11 15:42:05"</f>
        <v>2018-10-11 15:42:05</v>
      </c>
    </row>
    <row r="17854" spans="1:7" x14ac:dyDescent="0.2">
      <c r="A17854" t="s">
        <v>16896</v>
      </c>
      <c r="B17854" t="str">
        <f>"13860063559"</f>
        <v>13860063559</v>
      </c>
      <c r="C17854" t="str">
        <f>"352121197907143618"</f>
        <v>352121197907143618</v>
      </c>
      <c r="D17854" t="s">
        <v>1</v>
      </c>
      <c r="E17854" t="s">
        <v>1</v>
      </c>
      <c r="F17854" t="s">
        <v>0</v>
      </c>
      <c r="G17854" t="str">
        <f>"2018-10-11 15:44:04"</f>
        <v>2018-10-11 15:44:04</v>
      </c>
    </row>
    <row r="17855" spans="1:7" x14ac:dyDescent="0.2">
      <c r="A17855" t="s">
        <v>16897</v>
      </c>
      <c r="B17855" t="str">
        <f>"15770517192"</f>
        <v>15770517192</v>
      </c>
      <c r="C17855" t="str">
        <f>"362227198412123834"</f>
        <v>362227198412123834</v>
      </c>
      <c r="D17855" t="s">
        <v>1</v>
      </c>
      <c r="E17855" t="s">
        <v>1</v>
      </c>
      <c r="F17855" t="s">
        <v>0</v>
      </c>
      <c r="G17855" t="str">
        <f>"2018-10-11 15:42:17"</f>
        <v>2018-10-11 15:42:17</v>
      </c>
    </row>
    <row r="17856" spans="1:7" x14ac:dyDescent="0.2">
      <c r="A17856" t="s">
        <v>11069</v>
      </c>
      <c r="B17856" t="str">
        <f>"13434894496"</f>
        <v>13434894496</v>
      </c>
      <c r="C17856" t="str">
        <f>"511325198805294941"</f>
        <v>511325198805294941</v>
      </c>
      <c r="D17856" t="s">
        <v>1</v>
      </c>
      <c r="E17856" t="s">
        <v>1</v>
      </c>
      <c r="F17856" t="s">
        <v>0</v>
      </c>
      <c r="G17856" t="str">
        <f>"2018-10-11 15:42:22"</f>
        <v>2018-10-11 15:42:22</v>
      </c>
    </row>
    <row r="17857" spans="1:7" x14ac:dyDescent="0.2">
      <c r="A17857" t="s">
        <v>1</v>
      </c>
      <c r="B17857" t="str">
        <f>"18735602221"</f>
        <v>18735602221</v>
      </c>
      <c r="C17857" t="s">
        <v>1</v>
      </c>
      <c r="D17857" t="s">
        <v>1</v>
      </c>
      <c r="E17857" t="s">
        <v>1</v>
      </c>
      <c r="F17857" t="s">
        <v>0</v>
      </c>
      <c r="G17857" t="str">
        <f>"2018-10-11 15:41:02"</f>
        <v>2018-10-11 15:41:02</v>
      </c>
    </row>
    <row r="17858" spans="1:7" x14ac:dyDescent="0.2">
      <c r="A17858" t="s">
        <v>16898</v>
      </c>
      <c r="B17858" t="str">
        <f>"13091726605"</f>
        <v>13091726605</v>
      </c>
      <c r="C17858" t="str">
        <f>"232101199904264648"</f>
        <v>232101199904264648</v>
      </c>
      <c r="D17858" t="s">
        <v>16899</v>
      </c>
      <c r="E17858" t="s">
        <v>16900</v>
      </c>
      <c r="F17858" t="s">
        <v>0</v>
      </c>
      <c r="G17858" t="str">
        <f>"2018-10-11 15:41:35"</f>
        <v>2018-10-11 15:41:35</v>
      </c>
    </row>
    <row r="17859" spans="1:7" x14ac:dyDescent="0.2">
      <c r="A17859" t="s">
        <v>16901</v>
      </c>
      <c r="B17859" t="str">
        <f>"15894291155"</f>
        <v>15894291155</v>
      </c>
      <c r="C17859" t="str">
        <f>"530423199501080311"</f>
        <v>530423199501080311</v>
      </c>
      <c r="D17859" t="s">
        <v>1</v>
      </c>
      <c r="E17859" t="s">
        <v>1</v>
      </c>
      <c r="F17859" t="s">
        <v>0</v>
      </c>
      <c r="G17859" t="str">
        <f>"2018-10-11 15:42:09"</f>
        <v>2018-10-11 15:42:09</v>
      </c>
    </row>
    <row r="17860" spans="1:7" x14ac:dyDescent="0.2">
      <c r="A17860" t="s">
        <v>1</v>
      </c>
      <c r="B17860" t="str">
        <f>"18858213520"</f>
        <v>18858213520</v>
      </c>
      <c r="C17860" t="s">
        <v>1</v>
      </c>
      <c r="D17860" t="s">
        <v>1</v>
      </c>
      <c r="E17860" t="s">
        <v>1</v>
      </c>
      <c r="F17860" t="s">
        <v>0</v>
      </c>
      <c r="G17860" t="str">
        <f>"2018-10-11 15:40:25"</f>
        <v>2018-10-11 15:40:25</v>
      </c>
    </row>
    <row r="17861" spans="1:7" x14ac:dyDescent="0.2">
      <c r="A17861" t="s">
        <v>16902</v>
      </c>
      <c r="B17861" t="str">
        <f>"15135999942"</f>
        <v>15135999942</v>
      </c>
      <c r="C17861" t="str">
        <f>"142702198501052459"</f>
        <v>142702198501052459</v>
      </c>
      <c r="D17861" t="s">
        <v>16903</v>
      </c>
      <c r="E17861" t="s">
        <v>16904</v>
      </c>
      <c r="F17861" t="s">
        <v>0</v>
      </c>
      <c r="G17861" t="str">
        <f>"2018-10-11 15:42:27"</f>
        <v>2018-10-11 15:42:27</v>
      </c>
    </row>
    <row r="17862" spans="1:7" x14ac:dyDescent="0.2">
      <c r="A17862" t="s">
        <v>16905</v>
      </c>
      <c r="B17862" t="str">
        <f>"15326525076"</f>
        <v>15326525076</v>
      </c>
      <c r="C17862" t="str">
        <f>"230225197403023219"</f>
        <v>230225197403023219</v>
      </c>
      <c r="D17862" t="s">
        <v>1</v>
      </c>
      <c r="E17862" t="s">
        <v>1</v>
      </c>
      <c r="F17862" t="s">
        <v>0</v>
      </c>
      <c r="G17862" t="str">
        <f>"2018-10-11 15:39:30"</f>
        <v>2018-10-11 15:39:30</v>
      </c>
    </row>
    <row r="17863" spans="1:7" x14ac:dyDescent="0.2">
      <c r="A17863" t="s">
        <v>16906</v>
      </c>
      <c r="B17863" t="str">
        <f>"18458133393"</f>
        <v>18458133393</v>
      </c>
      <c r="C17863" t="str">
        <f>"339005198307240328"</f>
        <v>339005198307240328</v>
      </c>
      <c r="D17863" t="s">
        <v>1</v>
      </c>
      <c r="E17863" t="s">
        <v>1</v>
      </c>
      <c r="F17863" t="s">
        <v>0</v>
      </c>
      <c r="G17863" t="str">
        <f>"2018-10-12 09:46:40"</f>
        <v>2018-10-12 09:46:40</v>
      </c>
    </row>
    <row r="17864" spans="1:7" x14ac:dyDescent="0.2">
      <c r="A17864" t="s">
        <v>1</v>
      </c>
      <c r="B17864" t="str">
        <f>"15158344280"</f>
        <v>15158344280</v>
      </c>
      <c r="C17864" t="s">
        <v>1</v>
      </c>
      <c r="D17864" t="s">
        <v>1</v>
      </c>
      <c r="E17864" t="s">
        <v>1</v>
      </c>
      <c r="F17864" t="s">
        <v>0</v>
      </c>
      <c r="G17864" t="str">
        <f>"2018-10-11 15:39:10"</f>
        <v>2018-10-11 15:39:10</v>
      </c>
    </row>
    <row r="17865" spans="1:7" x14ac:dyDescent="0.2">
      <c r="A17865" t="s">
        <v>1</v>
      </c>
      <c r="B17865" t="str">
        <f>"13967802077"</f>
        <v>13967802077</v>
      </c>
      <c r="C17865" t="s">
        <v>1</v>
      </c>
      <c r="D17865" t="s">
        <v>1</v>
      </c>
      <c r="E17865" t="s">
        <v>1</v>
      </c>
      <c r="F17865" t="s">
        <v>0</v>
      </c>
      <c r="G17865" t="str">
        <f>"2018-10-11 15:38:27"</f>
        <v>2018-10-11 15:38:27</v>
      </c>
    </row>
    <row r="17866" spans="1:7" x14ac:dyDescent="0.2">
      <c r="A17866" t="s">
        <v>16907</v>
      </c>
      <c r="B17866" t="str">
        <f>"18266073788"</f>
        <v>18266073788</v>
      </c>
      <c r="C17866" t="str">
        <f>"370402199009103073"</f>
        <v>370402199009103073</v>
      </c>
      <c r="D17866" t="s">
        <v>16908</v>
      </c>
      <c r="E17866" t="s">
        <v>16909</v>
      </c>
      <c r="F17866" t="s">
        <v>0</v>
      </c>
      <c r="G17866" t="str">
        <f>"2018-10-11 15:46:46"</f>
        <v>2018-10-11 15:46:46</v>
      </c>
    </row>
    <row r="17867" spans="1:7" x14ac:dyDescent="0.2">
      <c r="A17867" t="s">
        <v>16910</v>
      </c>
      <c r="B17867" t="str">
        <f>"15029012973"</f>
        <v>15029012973</v>
      </c>
      <c r="C17867" t="str">
        <f>"612722199404083571"</f>
        <v>612722199404083571</v>
      </c>
      <c r="D17867" t="s">
        <v>1</v>
      </c>
      <c r="E17867" t="s">
        <v>1</v>
      </c>
      <c r="F17867" t="s">
        <v>0</v>
      </c>
      <c r="G17867" t="str">
        <f>"2018-10-11 15:39:47"</f>
        <v>2018-10-11 15:39:47</v>
      </c>
    </row>
    <row r="17868" spans="1:7" x14ac:dyDescent="0.2">
      <c r="A17868" t="s">
        <v>16911</v>
      </c>
      <c r="B17868" t="str">
        <f>"13830922155"</f>
        <v>13830922155</v>
      </c>
      <c r="C17868" t="str">
        <f>"622625198801251816"</f>
        <v>622625198801251816</v>
      </c>
      <c r="D17868" t="s">
        <v>16912</v>
      </c>
      <c r="E17868" t="s">
        <v>16913</v>
      </c>
      <c r="F17868" t="s">
        <v>0</v>
      </c>
      <c r="G17868" t="str">
        <f>"2018-10-11 17:25:45"</f>
        <v>2018-10-11 17:25:45</v>
      </c>
    </row>
    <row r="17869" spans="1:7" x14ac:dyDescent="0.2">
      <c r="A17869" t="s">
        <v>16914</v>
      </c>
      <c r="B17869" t="str">
        <f>"18754471928"</f>
        <v>18754471928</v>
      </c>
      <c r="C17869" t="str">
        <f>"370784198706012552"</f>
        <v>370784198706012552</v>
      </c>
      <c r="D17869" t="s">
        <v>1</v>
      </c>
      <c r="E17869" t="s">
        <v>1</v>
      </c>
      <c r="F17869" t="s">
        <v>0</v>
      </c>
      <c r="G17869" t="str">
        <f>"2018-10-11 15:37:23"</f>
        <v>2018-10-11 15:37:23</v>
      </c>
    </row>
    <row r="17870" spans="1:7" x14ac:dyDescent="0.2">
      <c r="A17870" t="s">
        <v>1813</v>
      </c>
      <c r="B17870" t="str">
        <f>"18169356928"</f>
        <v>18169356928</v>
      </c>
      <c r="C17870" t="str">
        <f>"431127198702160221"</f>
        <v>431127198702160221</v>
      </c>
      <c r="D17870" t="s">
        <v>1</v>
      </c>
      <c r="E17870" t="s">
        <v>1</v>
      </c>
      <c r="F17870" t="s">
        <v>0</v>
      </c>
      <c r="G17870" t="str">
        <f>"2018-10-11 16:59:03"</f>
        <v>2018-10-11 16:59:03</v>
      </c>
    </row>
    <row r="17871" spans="1:7" x14ac:dyDescent="0.2">
      <c r="A17871" t="s">
        <v>16915</v>
      </c>
      <c r="B17871" t="str">
        <f>"15838111563"</f>
        <v>15838111563</v>
      </c>
      <c r="C17871" t="str">
        <f>"412727199302157730"</f>
        <v>412727199302157730</v>
      </c>
      <c r="D17871" t="s">
        <v>1</v>
      </c>
      <c r="E17871" t="s">
        <v>1</v>
      </c>
      <c r="F17871" t="s">
        <v>0</v>
      </c>
      <c r="G17871" t="str">
        <f>"2018-10-11 15:38:09"</f>
        <v>2018-10-11 15:38:09</v>
      </c>
    </row>
    <row r="17872" spans="1:7" x14ac:dyDescent="0.2">
      <c r="A17872" t="s">
        <v>16916</v>
      </c>
      <c r="B17872" t="str">
        <f>"18271564567"</f>
        <v>18271564567</v>
      </c>
      <c r="C17872" t="str">
        <f>"421121198603014018"</f>
        <v>421121198603014018</v>
      </c>
      <c r="D17872" t="s">
        <v>1</v>
      </c>
      <c r="E17872" t="s">
        <v>1</v>
      </c>
      <c r="F17872" t="s">
        <v>0</v>
      </c>
      <c r="G17872" t="str">
        <f>"2018-10-11 15:39:25"</f>
        <v>2018-10-11 15:39:25</v>
      </c>
    </row>
    <row r="17873" spans="1:7" x14ac:dyDescent="0.2">
      <c r="A17873" t="s">
        <v>16917</v>
      </c>
      <c r="B17873" t="str">
        <f>"15119059128"</f>
        <v>15119059128</v>
      </c>
      <c r="C17873" t="str">
        <f>"441424198508123506"</f>
        <v>441424198508123506</v>
      </c>
      <c r="D17873" t="s">
        <v>1</v>
      </c>
      <c r="E17873" t="s">
        <v>1</v>
      </c>
      <c r="F17873" t="s">
        <v>0</v>
      </c>
      <c r="G17873" t="str">
        <f>"2018-10-11 15:38:28"</f>
        <v>2018-10-11 15:38:28</v>
      </c>
    </row>
    <row r="17874" spans="1:7" x14ac:dyDescent="0.2">
      <c r="A17874" t="s">
        <v>10873</v>
      </c>
      <c r="B17874" t="str">
        <f>"13395288908"</f>
        <v>13395288908</v>
      </c>
      <c r="C17874" t="str">
        <f>"320303199412110427"</f>
        <v>320303199412110427</v>
      </c>
      <c r="D17874" t="s">
        <v>1</v>
      </c>
      <c r="E17874" t="s">
        <v>1</v>
      </c>
      <c r="F17874" t="s">
        <v>0</v>
      </c>
      <c r="G17874" t="str">
        <f>"2018-10-11 15:55:12"</f>
        <v>2018-10-11 15:55:12</v>
      </c>
    </row>
    <row r="17875" spans="1:7" x14ac:dyDescent="0.2">
      <c r="A17875" t="s">
        <v>1</v>
      </c>
      <c r="B17875" t="str">
        <f>"13096555708"</f>
        <v>13096555708</v>
      </c>
      <c r="C17875" t="s">
        <v>1</v>
      </c>
      <c r="D17875" t="s">
        <v>1</v>
      </c>
      <c r="E17875" t="s">
        <v>1</v>
      </c>
      <c r="F17875" t="s">
        <v>0</v>
      </c>
      <c r="G17875" t="str">
        <f>"2018-10-11 15:36:23"</f>
        <v>2018-10-11 15:36:23</v>
      </c>
    </row>
    <row r="17876" spans="1:7" x14ac:dyDescent="0.2">
      <c r="A17876" t="s">
        <v>16918</v>
      </c>
      <c r="B17876" t="str">
        <f>"13797368433"</f>
        <v>13797368433</v>
      </c>
      <c r="C17876" t="str">
        <f>"42108719841215704X"</f>
        <v>42108719841215704X</v>
      </c>
      <c r="D17876" t="s">
        <v>1</v>
      </c>
      <c r="E17876" t="s">
        <v>1</v>
      </c>
      <c r="F17876" t="s">
        <v>0</v>
      </c>
      <c r="G17876" t="str">
        <f>"2018-10-11 15:36:06"</f>
        <v>2018-10-11 15:36:06</v>
      </c>
    </row>
    <row r="17877" spans="1:7" x14ac:dyDescent="0.2">
      <c r="A17877" t="s">
        <v>16919</v>
      </c>
      <c r="B17877" t="str">
        <f>"15624591715"</f>
        <v>15624591715</v>
      </c>
      <c r="C17877" t="str">
        <f>"370181199811121139"</f>
        <v>370181199811121139</v>
      </c>
      <c r="D17877" t="s">
        <v>1</v>
      </c>
      <c r="E17877" t="s">
        <v>1</v>
      </c>
      <c r="F17877" t="s">
        <v>0</v>
      </c>
      <c r="G17877" t="str">
        <f>"2018-10-11 15:36:06"</f>
        <v>2018-10-11 15:36:06</v>
      </c>
    </row>
    <row r="17878" spans="1:7" x14ac:dyDescent="0.2">
      <c r="A17878" t="s">
        <v>168</v>
      </c>
      <c r="B17878" t="str">
        <f>"15610564623"</f>
        <v>15610564623</v>
      </c>
      <c r="C17878" t="str">
        <f>"230223198304201050"</f>
        <v>230223198304201050</v>
      </c>
      <c r="D17878" t="s">
        <v>1</v>
      </c>
      <c r="E17878" t="s">
        <v>1</v>
      </c>
      <c r="F17878" t="s">
        <v>0</v>
      </c>
      <c r="G17878" t="str">
        <f>"2018-10-11 15:46:51"</f>
        <v>2018-10-11 15:46:51</v>
      </c>
    </row>
    <row r="17879" spans="1:7" x14ac:dyDescent="0.2">
      <c r="A17879" t="s">
        <v>16920</v>
      </c>
      <c r="B17879" t="str">
        <f>"13733316056"</f>
        <v>13733316056</v>
      </c>
      <c r="C17879" t="str">
        <f>"130124198406154539"</f>
        <v>130124198406154539</v>
      </c>
      <c r="D17879" t="s">
        <v>1</v>
      </c>
      <c r="E17879" t="s">
        <v>1</v>
      </c>
      <c r="F17879" t="s">
        <v>0</v>
      </c>
      <c r="G17879" t="str">
        <f>"2018-10-11 15:37:23"</f>
        <v>2018-10-11 15:37:23</v>
      </c>
    </row>
    <row r="17880" spans="1:7" x14ac:dyDescent="0.2">
      <c r="A17880" t="s">
        <v>16921</v>
      </c>
      <c r="B17880" t="str">
        <f>"15312256222"</f>
        <v>15312256222</v>
      </c>
      <c r="C17880" t="str">
        <f>"330522198508134519"</f>
        <v>330522198508134519</v>
      </c>
      <c r="D17880" t="s">
        <v>1</v>
      </c>
      <c r="E17880" t="s">
        <v>1</v>
      </c>
      <c r="F17880" t="s">
        <v>0</v>
      </c>
      <c r="G17880" t="str">
        <f>"2018-10-28 10:23:14"</f>
        <v>2018-10-28 10:23:14</v>
      </c>
    </row>
    <row r="17881" spans="1:7" x14ac:dyDescent="0.2">
      <c r="A17881" t="s">
        <v>16922</v>
      </c>
      <c r="B17881" t="str">
        <f>"13063125698"</f>
        <v>13063125698</v>
      </c>
      <c r="C17881" t="str">
        <f>"350628199611133014"</f>
        <v>350628199611133014</v>
      </c>
      <c r="D17881" t="s">
        <v>1</v>
      </c>
      <c r="E17881" t="s">
        <v>1</v>
      </c>
      <c r="F17881" t="s">
        <v>0</v>
      </c>
      <c r="G17881" t="str">
        <f>"2018-10-11 16:16:57"</f>
        <v>2018-10-11 16:16:57</v>
      </c>
    </row>
    <row r="17882" spans="1:7" x14ac:dyDescent="0.2">
      <c r="A17882" t="s">
        <v>3580</v>
      </c>
      <c r="B17882" t="str">
        <f>"18814357734"</f>
        <v>18814357734</v>
      </c>
      <c r="C17882" t="str">
        <f>"440981199207226147"</f>
        <v>440981199207226147</v>
      </c>
      <c r="D17882" t="s">
        <v>1</v>
      </c>
      <c r="E17882" t="s">
        <v>1</v>
      </c>
      <c r="F17882" t="s">
        <v>0</v>
      </c>
      <c r="G17882" t="str">
        <f>"2018-10-11 15:36:46"</f>
        <v>2018-10-11 15:36:46</v>
      </c>
    </row>
    <row r="17883" spans="1:7" x14ac:dyDescent="0.2">
      <c r="A17883" t="s">
        <v>1</v>
      </c>
      <c r="B17883" t="str">
        <f>"13713397876"</f>
        <v>13713397876</v>
      </c>
      <c r="C17883" t="s">
        <v>1</v>
      </c>
      <c r="D17883" t="s">
        <v>1</v>
      </c>
      <c r="E17883" t="s">
        <v>1</v>
      </c>
      <c r="F17883" t="s">
        <v>0</v>
      </c>
      <c r="G17883" t="str">
        <f>"2018-10-11 15:35:10"</f>
        <v>2018-10-11 15:35:10</v>
      </c>
    </row>
    <row r="17884" spans="1:7" x14ac:dyDescent="0.2">
      <c r="A17884" t="s">
        <v>16923</v>
      </c>
      <c r="B17884" t="str">
        <f>"18318773559"</f>
        <v>18318773559</v>
      </c>
      <c r="C17884" t="str">
        <f>"440923199701280276"</f>
        <v>440923199701280276</v>
      </c>
      <c r="D17884" t="s">
        <v>1</v>
      </c>
      <c r="E17884" t="s">
        <v>1</v>
      </c>
      <c r="F17884" t="s">
        <v>0</v>
      </c>
      <c r="G17884" t="str">
        <f>"2018-10-11 15:36:06"</f>
        <v>2018-10-11 15:36:06</v>
      </c>
    </row>
    <row r="17885" spans="1:7" x14ac:dyDescent="0.2">
      <c r="A17885" t="s">
        <v>16924</v>
      </c>
      <c r="B17885" t="str">
        <f>"15107543043"</f>
        <v>15107543043</v>
      </c>
      <c r="C17885" t="str">
        <f>"445122199009293016"</f>
        <v>445122199009293016</v>
      </c>
      <c r="D17885" t="s">
        <v>1</v>
      </c>
      <c r="E17885" t="s">
        <v>1</v>
      </c>
      <c r="F17885" t="s">
        <v>0</v>
      </c>
      <c r="G17885" t="str">
        <f>"2018-10-11 15:37:36"</f>
        <v>2018-10-11 15:37:36</v>
      </c>
    </row>
    <row r="17886" spans="1:7" x14ac:dyDescent="0.2">
      <c r="A17886" t="s">
        <v>16925</v>
      </c>
      <c r="B17886" t="str">
        <f>"15981652258"</f>
        <v>15981652258</v>
      </c>
      <c r="C17886" t="str">
        <f>"220381199712310637"</f>
        <v>220381199712310637</v>
      </c>
      <c r="D17886" t="s">
        <v>1</v>
      </c>
      <c r="E17886" t="s">
        <v>1</v>
      </c>
      <c r="F17886" t="s">
        <v>0</v>
      </c>
      <c r="G17886" t="str">
        <f>"2018-10-11 15:35:29"</f>
        <v>2018-10-11 15:35:29</v>
      </c>
    </row>
    <row r="17887" spans="1:7" x14ac:dyDescent="0.2">
      <c r="A17887" t="s">
        <v>16926</v>
      </c>
      <c r="B17887" t="str">
        <f>"13526255760"</f>
        <v>13526255760</v>
      </c>
      <c r="C17887" t="str">
        <f>"412724199504057915"</f>
        <v>412724199504057915</v>
      </c>
      <c r="D17887" t="s">
        <v>1</v>
      </c>
      <c r="E17887" t="s">
        <v>1</v>
      </c>
      <c r="F17887" t="s">
        <v>0</v>
      </c>
      <c r="G17887" t="str">
        <f>"2018-10-23 10:38:41"</f>
        <v>2018-10-23 10:38:41</v>
      </c>
    </row>
    <row r="17888" spans="1:7" x14ac:dyDescent="0.2">
      <c r="A17888" t="s">
        <v>16927</v>
      </c>
      <c r="B17888" t="str">
        <f>"15548290553"</f>
        <v>15548290553</v>
      </c>
      <c r="C17888" t="str">
        <f>"152323199505264623"</f>
        <v>152323199505264623</v>
      </c>
      <c r="D17888" t="s">
        <v>1</v>
      </c>
      <c r="E17888" t="s">
        <v>1</v>
      </c>
      <c r="F17888" t="s">
        <v>0</v>
      </c>
      <c r="G17888" t="str">
        <f>"2018-10-13 17:39:10"</f>
        <v>2018-10-13 17:39:10</v>
      </c>
    </row>
    <row r="17889" spans="1:7" x14ac:dyDescent="0.2">
      <c r="A17889" t="s">
        <v>1</v>
      </c>
      <c r="B17889" t="str">
        <f>"15535659005"</f>
        <v>15535659005</v>
      </c>
      <c r="C17889" t="s">
        <v>1</v>
      </c>
      <c r="D17889" t="s">
        <v>1</v>
      </c>
      <c r="E17889" t="s">
        <v>1</v>
      </c>
      <c r="F17889" t="s">
        <v>0</v>
      </c>
      <c r="G17889" t="str">
        <f>"2018-10-11 15:32:58"</f>
        <v>2018-10-11 15:32:58</v>
      </c>
    </row>
    <row r="17890" spans="1:7" x14ac:dyDescent="0.2">
      <c r="A17890" t="s">
        <v>1</v>
      </c>
      <c r="B17890" t="str">
        <f>"13632740210"</f>
        <v>13632740210</v>
      </c>
      <c r="C17890" t="s">
        <v>1</v>
      </c>
      <c r="D17890" t="s">
        <v>1</v>
      </c>
      <c r="E17890" t="s">
        <v>1</v>
      </c>
      <c r="F17890" t="s">
        <v>0</v>
      </c>
      <c r="G17890" t="str">
        <f>"2018-10-11 16:14:18"</f>
        <v>2018-10-11 16:14:18</v>
      </c>
    </row>
    <row r="17891" spans="1:7" x14ac:dyDescent="0.2">
      <c r="A17891" t="s">
        <v>1</v>
      </c>
      <c r="B17891" t="str">
        <f>"18658230236"</f>
        <v>18658230236</v>
      </c>
      <c r="C17891" t="s">
        <v>1</v>
      </c>
      <c r="D17891" t="s">
        <v>1</v>
      </c>
      <c r="E17891" t="s">
        <v>1</v>
      </c>
      <c r="F17891" t="s">
        <v>0</v>
      </c>
      <c r="G17891" t="str">
        <f>"2018-10-11 15:32:21"</f>
        <v>2018-10-11 15:32:21</v>
      </c>
    </row>
    <row r="17892" spans="1:7" x14ac:dyDescent="0.2">
      <c r="A17892" t="s">
        <v>16928</v>
      </c>
      <c r="B17892" t="str">
        <f>"13106786289"</f>
        <v>13106786289</v>
      </c>
      <c r="C17892" t="str">
        <f>"452625197912241470"</f>
        <v>452625197912241470</v>
      </c>
      <c r="D17892" t="s">
        <v>1</v>
      </c>
      <c r="E17892" t="s">
        <v>1</v>
      </c>
      <c r="F17892" t="s">
        <v>0</v>
      </c>
      <c r="G17892" t="str">
        <f>"2018-10-11 15:37:24"</f>
        <v>2018-10-11 15:37:24</v>
      </c>
    </row>
    <row r="17893" spans="1:7" x14ac:dyDescent="0.2">
      <c r="A17893" t="s">
        <v>16929</v>
      </c>
      <c r="B17893" t="str">
        <f>"18790205216"</f>
        <v>18790205216</v>
      </c>
      <c r="C17893" t="str">
        <f>"410821198906180107"</f>
        <v>410821198906180107</v>
      </c>
      <c r="D17893" t="s">
        <v>1</v>
      </c>
      <c r="E17893" t="s">
        <v>1</v>
      </c>
      <c r="F17893" t="s">
        <v>0</v>
      </c>
      <c r="G17893" t="str">
        <f>"2018-10-11 15:39:34"</f>
        <v>2018-10-11 15:39:34</v>
      </c>
    </row>
    <row r="17894" spans="1:7" x14ac:dyDescent="0.2">
      <c r="A17894" t="s">
        <v>1</v>
      </c>
      <c r="B17894" t="str">
        <f>"15059901893"</f>
        <v>15059901893</v>
      </c>
      <c r="C17894" t="s">
        <v>1</v>
      </c>
      <c r="D17894" t="s">
        <v>1</v>
      </c>
      <c r="E17894" t="s">
        <v>1</v>
      </c>
      <c r="F17894" t="s">
        <v>0</v>
      </c>
      <c r="G17894" t="str">
        <f>"2018-10-11 15:31:58"</f>
        <v>2018-10-11 15:31:58</v>
      </c>
    </row>
    <row r="17895" spans="1:7" x14ac:dyDescent="0.2">
      <c r="A17895" t="s">
        <v>16930</v>
      </c>
      <c r="B17895" t="str">
        <f>"13613929884"</f>
        <v>13613929884</v>
      </c>
      <c r="C17895" t="str">
        <f>"41062219920505305X"</f>
        <v>41062219920505305X</v>
      </c>
      <c r="D17895" t="s">
        <v>1</v>
      </c>
      <c r="E17895" t="s">
        <v>1</v>
      </c>
      <c r="F17895" t="s">
        <v>0</v>
      </c>
      <c r="G17895" t="str">
        <f>"2018-10-11 15:51:43"</f>
        <v>2018-10-11 15:51:43</v>
      </c>
    </row>
    <row r="17896" spans="1:7" x14ac:dyDescent="0.2">
      <c r="A17896" t="s">
        <v>1</v>
      </c>
      <c r="B17896" t="str">
        <f>"15648744473"</f>
        <v>15648744473</v>
      </c>
      <c r="C17896" t="s">
        <v>1</v>
      </c>
      <c r="D17896" t="s">
        <v>1</v>
      </c>
      <c r="E17896" t="s">
        <v>1</v>
      </c>
      <c r="F17896" t="s">
        <v>0</v>
      </c>
      <c r="G17896" t="str">
        <f>"2018-10-11 15:31:10"</f>
        <v>2018-10-11 15:31:10</v>
      </c>
    </row>
    <row r="17897" spans="1:7" x14ac:dyDescent="0.2">
      <c r="A17897" t="s">
        <v>1</v>
      </c>
      <c r="B17897" t="str">
        <f>"17688807620"</f>
        <v>17688807620</v>
      </c>
      <c r="C17897" t="s">
        <v>1</v>
      </c>
      <c r="D17897" t="s">
        <v>1</v>
      </c>
      <c r="E17897" t="s">
        <v>1</v>
      </c>
      <c r="F17897" t="s">
        <v>0</v>
      </c>
      <c r="G17897" t="str">
        <f>"2018-10-11 15:31:08"</f>
        <v>2018-10-11 15:31:08</v>
      </c>
    </row>
    <row r="17898" spans="1:7" x14ac:dyDescent="0.2">
      <c r="A17898" t="s">
        <v>16931</v>
      </c>
      <c r="B17898" t="str">
        <f>"18315755231"</f>
        <v>18315755231</v>
      </c>
      <c r="C17898" t="str">
        <f>"371326200008270031"</f>
        <v>371326200008270031</v>
      </c>
      <c r="D17898" t="s">
        <v>1</v>
      </c>
      <c r="E17898" t="s">
        <v>1</v>
      </c>
      <c r="F17898" t="s">
        <v>0</v>
      </c>
      <c r="G17898" t="str">
        <f>"2018-10-11 15:32:25"</f>
        <v>2018-10-11 15:32:25</v>
      </c>
    </row>
    <row r="17899" spans="1:7" x14ac:dyDescent="0.2">
      <c r="A17899" t="s">
        <v>1</v>
      </c>
      <c r="B17899" t="str">
        <f>"15374830044"</f>
        <v>15374830044</v>
      </c>
      <c r="C17899" t="s">
        <v>1</v>
      </c>
      <c r="D17899" t="s">
        <v>1</v>
      </c>
      <c r="E17899" t="s">
        <v>1</v>
      </c>
      <c r="F17899" t="s">
        <v>0</v>
      </c>
      <c r="G17899" t="str">
        <f>"2018-10-11 15:30:59"</f>
        <v>2018-10-11 15:30:59</v>
      </c>
    </row>
    <row r="17900" spans="1:7" x14ac:dyDescent="0.2">
      <c r="A17900" t="s">
        <v>9461</v>
      </c>
      <c r="B17900" t="str">
        <f>"17330138080"</f>
        <v>17330138080</v>
      </c>
      <c r="C17900" t="str">
        <f>"130721198201010033"</f>
        <v>130721198201010033</v>
      </c>
      <c r="D17900" t="s">
        <v>1</v>
      </c>
      <c r="E17900" t="s">
        <v>1</v>
      </c>
      <c r="F17900" t="s">
        <v>0</v>
      </c>
      <c r="G17900" t="str">
        <f>"2018-10-11 15:32:46"</f>
        <v>2018-10-11 15:32:46</v>
      </c>
    </row>
    <row r="17901" spans="1:7" x14ac:dyDescent="0.2">
      <c r="A17901" t="s">
        <v>16932</v>
      </c>
      <c r="B17901" t="str">
        <f>"15143942086"</f>
        <v>15143942086</v>
      </c>
      <c r="C17901" t="str">
        <f>"220681199212270866"</f>
        <v>220681199212270866</v>
      </c>
      <c r="D17901" t="s">
        <v>1</v>
      </c>
      <c r="E17901" t="s">
        <v>1</v>
      </c>
      <c r="F17901" t="s">
        <v>0</v>
      </c>
      <c r="G17901" t="str">
        <f>"2018-10-11 15:31:15"</f>
        <v>2018-10-11 15:31:15</v>
      </c>
    </row>
    <row r="17902" spans="1:7" x14ac:dyDescent="0.2">
      <c r="A17902" t="s">
        <v>16933</v>
      </c>
      <c r="B17902" t="str">
        <f>"13607842185"</f>
        <v>13607842185</v>
      </c>
      <c r="C17902" t="str">
        <f>"452426197410050012"</f>
        <v>452426197410050012</v>
      </c>
      <c r="D17902" t="s">
        <v>1</v>
      </c>
      <c r="E17902" t="s">
        <v>1</v>
      </c>
      <c r="F17902" t="s">
        <v>0</v>
      </c>
      <c r="G17902" t="str">
        <f>"2018-10-11 15:31:13"</f>
        <v>2018-10-11 15:31:13</v>
      </c>
    </row>
    <row r="17903" spans="1:7" x14ac:dyDescent="0.2">
      <c r="A17903" t="s">
        <v>16934</v>
      </c>
      <c r="B17903" t="str">
        <f>"13583665002"</f>
        <v>13583665002</v>
      </c>
      <c r="C17903" t="str">
        <f>"370783199709255750"</f>
        <v>370783199709255750</v>
      </c>
      <c r="D17903" t="s">
        <v>1</v>
      </c>
      <c r="E17903" t="s">
        <v>1</v>
      </c>
      <c r="F17903" t="s">
        <v>0</v>
      </c>
      <c r="G17903" t="str">
        <f>"2018-10-11 15:30:38"</f>
        <v>2018-10-11 15:30:38</v>
      </c>
    </row>
    <row r="17904" spans="1:7" x14ac:dyDescent="0.2">
      <c r="A17904" t="s">
        <v>16935</v>
      </c>
      <c r="B17904" t="str">
        <f>"15674949609"</f>
        <v>15674949609</v>
      </c>
      <c r="C17904" t="str">
        <f>"612325199803050838"</f>
        <v>612325199803050838</v>
      </c>
      <c r="D17904" t="s">
        <v>1</v>
      </c>
      <c r="E17904" t="s">
        <v>1</v>
      </c>
      <c r="F17904" t="s">
        <v>0</v>
      </c>
      <c r="G17904" t="str">
        <f>"2018-10-11 15:31:24"</f>
        <v>2018-10-11 15:31:24</v>
      </c>
    </row>
    <row r="17905" spans="1:7" x14ac:dyDescent="0.2">
      <c r="A17905" t="s">
        <v>1689</v>
      </c>
      <c r="B17905" t="str">
        <f>"15161323041"</f>
        <v>15161323041</v>
      </c>
      <c r="C17905" t="str">
        <f>"320722199805200811"</f>
        <v>320722199805200811</v>
      </c>
      <c r="D17905" t="s">
        <v>1</v>
      </c>
      <c r="E17905" t="s">
        <v>1</v>
      </c>
      <c r="F17905" t="s">
        <v>0</v>
      </c>
      <c r="G17905" t="str">
        <f>"2018-10-11 15:28:35"</f>
        <v>2018-10-11 15:28:35</v>
      </c>
    </row>
    <row r="17906" spans="1:7" x14ac:dyDescent="0.2">
      <c r="A17906" t="s">
        <v>1</v>
      </c>
      <c r="B17906" t="str">
        <f>"13119164259"</f>
        <v>13119164259</v>
      </c>
      <c r="C17906" t="s">
        <v>1</v>
      </c>
      <c r="D17906" t="s">
        <v>1</v>
      </c>
      <c r="E17906" t="s">
        <v>1</v>
      </c>
      <c r="F17906" t="s">
        <v>0</v>
      </c>
      <c r="G17906" t="str">
        <f>"2018-10-11 15:27:32"</f>
        <v>2018-10-11 15:27:32</v>
      </c>
    </row>
    <row r="17907" spans="1:7" x14ac:dyDescent="0.2">
      <c r="A17907" t="s">
        <v>1099</v>
      </c>
      <c r="B17907" t="str">
        <f>"13810679775"</f>
        <v>13810679775</v>
      </c>
      <c r="C17907" t="str">
        <f>"230105198604090016"</f>
        <v>230105198604090016</v>
      </c>
      <c r="D17907" t="s">
        <v>1</v>
      </c>
      <c r="E17907" t="s">
        <v>1</v>
      </c>
      <c r="F17907" t="s">
        <v>0</v>
      </c>
      <c r="G17907" t="str">
        <f>"2018-10-11 15:42:04"</f>
        <v>2018-10-11 15:42:04</v>
      </c>
    </row>
    <row r="17908" spans="1:7" x14ac:dyDescent="0.2">
      <c r="A17908" t="s">
        <v>1</v>
      </c>
      <c r="B17908" t="str">
        <f>"18552545573"</f>
        <v>18552545573</v>
      </c>
      <c r="C17908" t="s">
        <v>1</v>
      </c>
      <c r="D17908" t="s">
        <v>1</v>
      </c>
      <c r="E17908" t="s">
        <v>1</v>
      </c>
      <c r="F17908" t="s">
        <v>0</v>
      </c>
      <c r="G17908" t="str">
        <f>"2018-10-11 15:27:31"</f>
        <v>2018-10-11 15:27:31</v>
      </c>
    </row>
    <row r="17909" spans="1:7" x14ac:dyDescent="0.2">
      <c r="A17909" t="s">
        <v>16936</v>
      </c>
      <c r="B17909" t="str">
        <f>"18380385214"</f>
        <v>18380385214</v>
      </c>
      <c r="C17909" t="str">
        <f>"511023199710102367"</f>
        <v>511023199710102367</v>
      </c>
      <c r="D17909" t="s">
        <v>1</v>
      </c>
      <c r="E17909" t="s">
        <v>1</v>
      </c>
      <c r="F17909" t="s">
        <v>0</v>
      </c>
      <c r="G17909" t="str">
        <f>"2018-10-11 15:29:02"</f>
        <v>2018-10-11 15:29:02</v>
      </c>
    </row>
    <row r="17910" spans="1:7" x14ac:dyDescent="0.2">
      <c r="A17910" t="s">
        <v>1106</v>
      </c>
      <c r="B17910" t="str">
        <f>"17625439817"</f>
        <v>17625439817</v>
      </c>
      <c r="C17910" t="str">
        <f>"320684199408044695"</f>
        <v>320684199408044695</v>
      </c>
      <c r="D17910" t="s">
        <v>1</v>
      </c>
      <c r="E17910" t="s">
        <v>1</v>
      </c>
      <c r="F17910" t="s">
        <v>0</v>
      </c>
      <c r="G17910" t="str">
        <f>"2018-10-30 18:25:34"</f>
        <v>2018-10-30 18:25:34</v>
      </c>
    </row>
    <row r="17911" spans="1:7" x14ac:dyDescent="0.2">
      <c r="A17911" t="s">
        <v>1</v>
      </c>
      <c r="B17911" t="str">
        <f>"15143476789"</f>
        <v>15143476789</v>
      </c>
      <c r="C17911" t="s">
        <v>1</v>
      </c>
      <c r="D17911" t="s">
        <v>1</v>
      </c>
      <c r="E17911" t="s">
        <v>1</v>
      </c>
      <c r="F17911" t="s">
        <v>0</v>
      </c>
      <c r="G17911" t="str">
        <f>"2018-10-11 15:26:42"</f>
        <v>2018-10-11 15:26:42</v>
      </c>
    </row>
    <row r="17912" spans="1:7" x14ac:dyDescent="0.2">
      <c r="A17912" t="s">
        <v>3632</v>
      </c>
      <c r="B17912" t="str">
        <f>"18005368128"</f>
        <v>18005368128</v>
      </c>
      <c r="C17912" t="str">
        <f>"370785198808066275"</f>
        <v>370785198808066275</v>
      </c>
      <c r="D17912" t="s">
        <v>1</v>
      </c>
      <c r="E17912" t="s">
        <v>1</v>
      </c>
      <c r="F17912" t="s">
        <v>0</v>
      </c>
      <c r="G17912" t="str">
        <f>"2018-10-11 15:26:29"</f>
        <v>2018-10-11 15:26:29</v>
      </c>
    </row>
    <row r="17913" spans="1:7" x14ac:dyDescent="0.2">
      <c r="A17913" t="s">
        <v>16937</v>
      </c>
      <c r="B17913" t="str">
        <f>"15542367222"</f>
        <v>15542367222</v>
      </c>
      <c r="C17913" t="str">
        <f>"210213199308253032"</f>
        <v>210213199308253032</v>
      </c>
      <c r="D17913" t="s">
        <v>16938</v>
      </c>
      <c r="E17913" t="s">
        <v>16939</v>
      </c>
      <c r="F17913" t="s">
        <v>0</v>
      </c>
      <c r="G17913" t="str">
        <f>"2018-10-11 16:13:57"</f>
        <v>2018-10-11 16:13:57</v>
      </c>
    </row>
    <row r="17914" spans="1:7" x14ac:dyDescent="0.2">
      <c r="A17914" t="s">
        <v>1026</v>
      </c>
      <c r="B17914" t="str">
        <f>"13819816708"</f>
        <v>13819816708</v>
      </c>
      <c r="C17914" t="str">
        <f>"340826198310254033"</f>
        <v>340826198310254033</v>
      </c>
      <c r="D17914" t="s">
        <v>1</v>
      </c>
      <c r="E17914" t="s">
        <v>1</v>
      </c>
      <c r="F17914" t="s">
        <v>0</v>
      </c>
      <c r="G17914" t="str">
        <f>"2018-10-11 15:28:27"</f>
        <v>2018-10-11 15:28:27</v>
      </c>
    </row>
    <row r="17915" spans="1:7" x14ac:dyDescent="0.2">
      <c r="A17915" t="s">
        <v>124</v>
      </c>
      <c r="B17915" t="str">
        <f>"18713972270"</f>
        <v>18713972270</v>
      </c>
      <c r="C17915" t="str">
        <f>"130526199706195817"</f>
        <v>130526199706195817</v>
      </c>
      <c r="D17915" t="s">
        <v>1</v>
      </c>
      <c r="E17915" t="s">
        <v>1</v>
      </c>
      <c r="F17915" t="s">
        <v>0</v>
      </c>
      <c r="G17915" t="str">
        <f>"2018-10-11 15:26:55"</f>
        <v>2018-10-11 15:26:55</v>
      </c>
    </row>
    <row r="17916" spans="1:7" x14ac:dyDescent="0.2">
      <c r="A17916" t="s">
        <v>16940</v>
      </c>
      <c r="B17916" t="str">
        <f>"13941808192"</f>
        <v>13941808192</v>
      </c>
      <c r="C17916" t="str">
        <f>"210921199305136410"</f>
        <v>210921199305136410</v>
      </c>
      <c r="D17916" t="s">
        <v>1</v>
      </c>
      <c r="E17916" t="s">
        <v>1</v>
      </c>
      <c r="F17916" t="s">
        <v>0</v>
      </c>
      <c r="G17916" t="str">
        <f>"2018-10-11 15:28:19"</f>
        <v>2018-10-11 15:28:19</v>
      </c>
    </row>
    <row r="17917" spans="1:7" x14ac:dyDescent="0.2">
      <c r="A17917" t="s">
        <v>16941</v>
      </c>
      <c r="B17917" t="str">
        <f>"13382325078"</f>
        <v>13382325078</v>
      </c>
      <c r="C17917" t="str">
        <f>"320821198910253522"</f>
        <v>320821198910253522</v>
      </c>
      <c r="D17917" t="s">
        <v>1</v>
      </c>
      <c r="E17917" t="s">
        <v>1</v>
      </c>
      <c r="F17917" t="s">
        <v>0</v>
      </c>
      <c r="G17917" t="str">
        <f>"2018-10-11 15:29:22"</f>
        <v>2018-10-11 15:29:22</v>
      </c>
    </row>
    <row r="17918" spans="1:7" x14ac:dyDescent="0.2">
      <c r="A17918" t="s">
        <v>16942</v>
      </c>
      <c r="B17918" t="str">
        <f>"18380244322"</f>
        <v>18380244322</v>
      </c>
      <c r="C17918" t="str">
        <f>"510129198510150020"</f>
        <v>510129198510150020</v>
      </c>
      <c r="D17918" t="s">
        <v>1</v>
      </c>
      <c r="E17918" t="s">
        <v>1</v>
      </c>
      <c r="F17918" t="s">
        <v>0</v>
      </c>
      <c r="G17918" t="str">
        <f>"2018-10-11 15:38:00"</f>
        <v>2018-10-11 15:38:00</v>
      </c>
    </row>
    <row r="17919" spans="1:7" x14ac:dyDescent="0.2">
      <c r="A17919" t="s">
        <v>16943</v>
      </c>
      <c r="B17919" t="str">
        <f>"15768867669"</f>
        <v>15768867669</v>
      </c>
      <c r="C17919" t="str">
        <f>"440882199507278513"</f>
        <v>440882199507278513</v>
      </c>
      <c r="D17919" t="s">
        <v>16944</v>
      </c>
      <c r="E17919" t="s">
        <v>16945</v>
      </c>
      <c r="F17919" t="s">
        <v>0</v>
      </c>
      <c r="G17919" t="str">
        <f>"2018-10-11 15:25:53"</f>
        <v>2018-10-11 15:25:53</v>
      </c>
    </row>
    <row r="17920" spans="1:7" x14ac:dyDescent="0.2">
      <c r="A17920" t="s">
        <v>16946</v>
      </c>
      <c r="B17920" t="str">
        <f>"13919467094"</f>
        <v>13919467094</v>
      </c>
      <c r="C17920" t="str">
        <f>"510821198106026113"</f>
        <v>510821198106026113</v>
      </c>
      <c r="D17920" t="s">
        <v>1</v>
      </c>
      <c r="E17920" t="s">
        <v>1</v>
      </c>
      <c r="F17920" t="s">
        <v>0</v>
      </c>
      <c r="G17920" t="str">
        <f>"2018-10-11 15:34:42"</f>
        <v>2018-10-11 15:34:42</v>
      </c>
    </row>
    <row r="17921" spans="1:7" x14ac:dyDescent="0.2">
      <c r="A17921" t="s">
        <v>1</v>
      </c>
      <c r="B17921" t="str">
        <f>"13255774729"</f>
        <v>13255774729</v>
      </c>
      <c r="C17921" t="s">
        <v>1</v>
      </c>
      <c r="D17921" t="s">
        <v>1</v>
      </c>
      <c r="E17921" t="s">
        <v>1</v>
      </c>
      <c r="F17921" t="s">
        <v>0</v>
      </c>
      <c r="G17921" t="str">
        <f>"2018-10-11 15:24:26"</f>
        <v>2018-10-11 15:24:26</v>
      </c>
    </row>
    <row r="17922" spans="1:7" x14ac:dyDescent="0.2">
      <c r="A17922" t="s">
        <v>16947</v>
      </c>
      <c r="B17922" t="str">
        <f>"13878789373"</f>
        <v>13878789373</v>
      </c>
      <c r="C17922" t="str">
        <f>"452133198605180329"</f>
        <v>452133198605180329</v>
      </c>
      <c r="D17922" t="s">
        <v>1</v>
      </c>
      <c r="E17922" t="s">
        <v>1</v>
      </c>
      <c r="F17922" t="s">
        <v>0</v>
      </c>
      <c r="G17922" t="str">
        <f>"2018-10-11 15:28:39"</f>
        <v>2018-10-11 15:28:39</v>
      </c>
    </row>
    <row r="17923" spans="1:7" x14ac:dyDescent="0.2">
      <c r="A17923" t="s">
        <v>16948</v>
      </c>
      <c r="B17923" t="str">
        <f>"15755303252"</f>
        <v>15755303252</v>
      </c>
      <c r="C17923" t="str">
        <f>"342626199110200554"</f>
        <v>342626199110200554</v>
      </c>
      <c r="D17923" t="s">
        <v>1</v>
      </c>
      <c r="E17923" t="s">
        <v>1</v>
      </c>
      <c r="F17923" t="s">
        <v>0</v>
      </c>
      <c r="G17923" t="str">
        <f>"2018-10-11 15:28:55"</f>
        <v>2018-10-11 15:28:55</v>
      </c>
    </row>
    <row r="17924" spans="1:7" x14ac:dyDescent="0.2">
      <c r="A17924" t="s">
        <v>16949</v>
      </c>
      <c r="B17924" t="str">
        <f>"13688075528"</f>
        <v>13688075528</v>
      </c>
      <c r="C17924" t="str">
        <f>"500382198409155338"</f>
        <v>500382198409155338</v>
      </c>
      <c r="D17924" t="s">
        <v>1</v>
      </c>
      <c r="E17924" t="s">
        <v>1</v>
      </c>
      <c r="F17924" t="s">
        <v>0</v>
      </c>
      <c r="G17924" t="str">
        <f>"2018-10-11 15:25:38"</f>
        <v>2018-10-11 15:25:38</v>
      </c>
    </row>
    <row r="17925" spans="1:7" x14ac:dyDescent="0.2">
      <c r="A17925" t="s">
        <v>16950</v>
      </c>
      <c r="B17925" t="str">
        <f>"18253783512"</f>
        <v>18253783512</v>
      </c>
      <c r="C17925" t="str">
        <f>"370826197609207419"</f>
        <v>370826197609207419</v>
      </c>
      <c r="D17925" t="s">
        <v>1</v>
      </c>
      <c r="E17925" t="s">
        <v>1</v>
      </c>
      <c r="F17925" t="s">
        <v>0</v>
      </c>
      <c r="G17925" t="str">
        <f>"2018-10-11 15:31:11"</f>
        <v>2018-10-11 15:31:11</v>
      </c>
    </row>
    <row r="17926" spans="1:7" x14ac:dyDescent="0.2">
      <c r="A17926" t="s">
        <v>16951</v>
      </c>
      <c r="B17926" t="str">
        <f>"17699285592"</f>
        <v>17699285592</v>
      </c>
      <c r="C17926" t="str">
        <f>"654224199311030029"</f>
        <v>654224199311030029</v>
      </c>
      <c r="D17926" t="s">
        <v>1</v>
      </c>
      <c r="E17926" t="s">
        <v>1</v>
      </c>
      <c r="F17926" t="s">
        <v>0</v>
      </c>
      <c r="G17926" t="str">
        <f>"2018-10-11 15:32:36"</f>
        <v>2018-10-11 15:32:36</v>
      </c>
    </row>
    <row r="17927" spans="1:7" x14ac:dyDescent="0.2">
      <c r="A17927" t="s">
        <v>16952</v>
      </c>
      <c r="B17927" t="str">
        <f>"15942200247"</f>
        <v>15942200247</v>
      </c>
      <c r="C17927" t="str">
        <f>"210304196911121654"</f>
        <v>210304196911121654</v>
      </c>
      <c r="D17927" t="s">
        <v>16953</v>
      </c>
      <c r="E17927" t="s">
        <v>16954</v>
      </c>
      <c r="F17927" t="s">
        <v>0</v>
      </c>
      <c r="G17927" t="str">
        <f>"2018-10-11 15:25:30"</f>
        <v>2018-10-11 15:25:30</v>
      </c>
    </row>
    <row r="17928" spans="1:7" x14ac:dyDescent="0.2">
      <c r="A17928" t="s">
        <v>16955</v>
      </c>
      <c r="B17928" t="str">
        <f>"15177809997"</f>
        <v>15177809997</v>
      </c>
      <c r="C17928" t="str">
        <f>"452123198706195885"</f>
        <v>452123198706195885</v>
      </c>
      <c r="D17928" t="s">
        <v>1</v>
      </c>
      <c r="E17928" t="s">
        <v>1</v>
      </c>
      <c r="F17928" t="s">
        <v>0</v>
      </c>
      <c r="G17928" t="str">
        <f>"2018-10-11 15:25:02"</f>
        <v>2018-10-11 15:25:02</v>
      </c>
    </row>
    <row r="17929" spans="1:7" x14ac:dyDescent="0.2">
      <c r="A17929" t="s">
        <v>9720</v>
      </c>
      <c r="B17929" t="str">
        <f>"15617290705"</f>
        <v>15617290705</v>
      </c>
      <c r="C17929" t="str">
        <f>"410927199007053049"</f>
        <v>410927199007053049</v>
      </c>
      <c r="D17929" t="s">
        <v>1</v>
      </c>
      <c r="E17929" t="s">
        <v>1</v>
      </c>
      <c r="F17929" t="s">
        <v>0</v>
      </c>
      <c r="G17929" t="str">
        <f>"2018-10-26 14:08:57"</f>
        <v>2018-10-26 14:08:57</v>
      </c>
    </row>
    <row r="17930" spans="1:7" x14ac:dyDescent="0.2">
      <c r="A17930" t="s">
        <v>16956</v>
      </c>
      <c r="B17930" t="str">
        <f>"15203121231"</f>
        <v>15203121231</v>
      </c>
      <c r="C17930" t="str">
        <f>"130602199312033318"</f>
        <v>130602199312033318</v>
      </c>
      <c r="D17930" t="s">
        <v>1</v>
      </c>
      <c r="E17930" t="s">
        <v>1</v>
      </c>
      <c r="F17930" t="s">
        <v>0</v>
      </c>
      <c r="G17930" t="str">
        <f>"2018-10-11 15:24:12"</f>
        <v>2018-10-11 15:24:12</v>
      </c>
    </row>
    <row r="17931" spans="1:7" x14ac:dyDescent="0.2">
      <c r="A17931" t="s">
        <v>16957</v>
      </c>
      <c r="B17931" t="str">
        <f>"13030005217"</f>
        <v>13030005217</v>
      </c>
      <c r="C17931" t="str">
        <f>"230304199701264427"</f>
        <v>230304199701264427</v>
      </c>
      <c r="D17931" t="s">
        <v>16958</v>
      </c>
      <c r="E17931" t="s">
        <v>16959</v>
      </c>
      <c r="F17931" t="s">
        <v>0</v>
      </c>
      <c r="G17931" t="str">
        <f>"2018-10-11 15:47:16"</f>
        <v>2018-10-11 15:47:16</v>
      </c>
    </row>
    <row r="17932" spans="1:7" x14ac:dyDescent="0.2">
      <c r="A17932" t="s">
        <v>16960</v>
      </c>
      <c r="B17932" t="str">
        <f>"18664335075"</f>
        <v>18664335075</v>
      </c>
      <c r="C17932" t="str">
        <f>"360723198610113119"</f>
        <v>360723198610113119</v>
      </c>
      <c r="D17932" t="s">
        <v>1</v>
      </c>
      <c r="E17932" t="s">
        <v>1</v>
      </c>
      <c r="F17932" t="s">
        <v>0</v>
      </c>
      <c r="G17932" t="str">
        <f>"2018-10-11 15:41:27"</f>
        <v>2018-10-11 15:41:27</v>
      </c>
    </row>
    <row r="17933" spans="1:7" x14ac:dyDescent="0.2">
      <c r="A17933" t="s">
        <v>1</v>
      </c>
      <c r="B17933" t="str">
        <f>"13236790150"</f>
        <v>13236790150</v>
      </c>
      <c r="C17933" t="s">
        <v>1</v>
      </c>
      <c r="D17933" t="s">
        <v>1</v>
      </c>
      <c r="E17933" t="s">
        <v>1</v>
      </c>
      <c r="F17933" t="s">
        <v>0</v>
      </c>
      <c r="G17933" t="str">
        <f>"2018-10-11 15:21:28"</f>
        <v>2018-10-11 15:21:28</v>
      </c>
    </row>
    <row r="17934" spans="1:7" x14ac:dyDescent="0.2">
      <c r="A17934" t="s">
        <v>16961</v>
      </c>
      <c r="B17934" t="str">
        <f>"18620161151"</f>
        <v>18620161151</v>
      </c>
      <c r="C17934" t="str">
        <f>"450703198412157512"</f>
        <v>450703198412157512</v>
      </c>
      <c r="D17934" t="s">
        <v>1</v>
      </c>
      <c r="E17934" t="s">
        <v>1</v>
      </c>
      <c r="F17934" t="s">
        <v>0</v>
      </c>
      <c r="G17934" t="str">
        <f>"2018-10-11 15:23:20"</f>
        <v>2018-10-11 15:23:20</v>
      </c>
    </row>
    <row r="17935" spans="1:7" x14ac:dyDescent="0.2">
      <c r="A17935" t="s">
        <v>16962</v>
      </c>
      <c r="B17935" t="str">
        <f>"15039636974"</f>
        <v>15039636974</v>
      </c>
      <c r="C17935" t="str">
        <f>"412825199403027911"</f>
        <v>412825199403027911</v>
      </c>
      <c r="D17935" t="s">
        <v>1</v>
      </c>
      <c r="E17935" t="s">
        <v>1</v>
      </c>
      <c r="F17935" t="s">
        <v>0</v>
      </c>
      <c r="G17935" t="str">
        <f>"2018-10-11 15:22:54"</f>
        <v>2018-10-11 15:22:54</v>
      </c>
    </row>
    <row r="17936" spans="1:7" x14ac:dyDescent="0.2">
      <c r="A17936" t="s">
        <v>16963</v>
      </c>
      <c r="B17936" t="str">
        <f>"18298386816"</f>
        <v>18298386816</v>
      </c>
      <c r="C17936" t="str">
        <f>"620111198811283515"</f>
        <v>620111198811283515</v>
      </c>
      <c r="D17936" t="s">
        <v>16964</v>
      </c>
      <c r="E17936" t="s">
        <v>16965</v>
      </c>
      <c r="F17936" t="s">
        <v>0</v>
      </c>
      <c r="G17936" t="str">
        <f>"2018-10-11 15:22:29"</f>
        <v>2018-10-11 15:22:29</v>
      </c>
    </row>
    <row r="17937" spans="1:7" x14ac:dyDescent="0.2">
      <c r="A17937" t="s">
        <v>16966</v>
      </c>
      <c r="B17937" t="str">
        <f>"18093353851"</f>
        <v>18093353851</v>
      </c>
      <c r="C17937" t="str">
        <f>"622725198511300312"</f>
        <v>622725198511300312</v>
      </c>
      <c r="D17937" t="s">
        <v>1</v>
      </c>
      <c r="E17937" t="s">
        <v>1</v>
      </c>
      <c r="F17937" t="s">
        <v>0</v>
      </c>
      <c r="G17937" t="str">
        <f>"2018-10-11 15:21:31"</f>
        <v>2018-10-11 15:21:31</v>
      </c>
    </row>
    <row r="17938" spans="1:7" x14ac:dyDescent="0.2">
      <c r="A17938" t="s">
        <v>16967</v>
      </c>
      <c r="B17938" t="str">
        <f>"13767790720"</f>
        <v>13767790720</v>
      </c>
      <c r="C17938" t="str">
        <f>"360721199012133613"</f>
        <v>360721199012133613</v>
      </c>
      <c r="D17938" t="s">
        <v>1</v>
      </c>
      <c r="E17938" t="s">
        <v>1</v>
      </c>
      <c r="F17938" t="s">
        <v>0</v>
      </c>
      <c r="G17938" t="str">
        <f>"2018-10-11 15:30:54"</f>
        <v>2018-10-11 15:30:54</v>
      </c>
    </row>
    <row r="17939" spans="1:7" x14ac:dyDescent="0.2">
      <c r="A17939" t="s">
        <v>1</v>
      </c>
      <c r="B17939" t="str">
        <f>"15535486077"</f>
        <v>15535486077</v>
      </c>
      <c r="C17939" t="s">
        <v>1</v>
      </c>
      <c r="D17939" t="s">
        <v>1</v>
      </c>
      <c r="E17939" t="s">
        <v>1</v>
      </c>
      <c r="F17939" t="s">
        <v>0</v>
      </c>
      <c r="G17939" t="str">
        <f>"2018-10-11 15:19:50"</f>
        <v>2018-10-11 15:19:50</v>
      </c>
    </row>
    <row r="17940" spans="1:7" x14ac:dyDescent="0.2">
      <c r="A17940" t="s">
        <v>1</v>
      </c>
      <c r="B17940" t="str">
        <f>"13815281954"</f>
        <v>13815281954</v>
      </c>
      <c r="C17940" t="s">
        <v>1</v>
      </c>
      <c r="D17940" t="s">
        <v>1</v>
      </c>
      <c r="E17940" t="s">
        <v>1</v>
      </c>
      <c r="F17940" t="s">
        <v>0</v>
      </c>
      <c r="G17940" t="str">
        <f>"2018-10-11 15:19:48"</f>
        <v>2018-10-11 15:19:48</v>
      </c>
    </row>
    <row r="17941" spans="1:7" x14ac:dyDescent="0.2">
      <c r="A17941" t="s">
        <v>1</v>
      </c>
      <c r="B17941" t="str">
        <f>"13632720690"</f>
        <v>13632720690</v>
      </c>
      <c r="C17941" t="s">
        <v>1</v>
      </c>
      <c r="D17941" t="s">
        <v>1</v>
      </c>
      <c r="E17941" t="s">
        <v>1</v>
      </c>
      <c r="F17941" t="s">
        <v>0</v>
      </c>
      <c r="G17941" t="str">
        <f>"2018-10-11 15:22:47"</f>
        <v>2018-10-11 15:22:47</v>
      </c>
    </row>
    <row r="17942" spans="1:7" x14ac:dyDescent="0.2">
      <c r="A17942" t="s">
        <v>16968</v>
      </c>
      <c r="B17942" t="str">
        <f>"18312719820"</f>
        <v>18312719820</v>
      </c>
      <c r="C17942" t="str">
        <f>"440804199408211816"</f>
        <v>440804199408211816</v>
      </c>
      <c r="D17942" t="s">
        <v>16969</v>
      </c>
      <c r="E17942" t="s">
        <v>16970</v>
      </c>
      <c r="F17942" t="s">
        <v>0</v>
      </c>
      <c r="G17942" t="str">
        <f>"2018-10-26 20:19:19"</f>
        <v>2018-10-26 20:19:19</v>
      </c>
    </row>
    <row r="17943" spans="1:7" x14ac:dyDescent="0.2">
      <c r="A17943" t="s">
        <v>1</v>
      </c>
      <c r="B17943" t="str">
        <f>"13766804253"</f>
        <v>13766804253</v>
      </c>
      <c r="C17943" t="s">
        <v>1</v>
      </c>
      <c r="D17943" t="s">
        <v>1</v>
      </c>
      <c r="E17943" t="s">
        <v>1</v>
      </c>
      <c r="F17943" t="s">
        <v>0</v>
      </c>
      <c r="G17943" t="str">
        <f>"2018-10-11 15:19:41"</f>
        <v>2018-10-11 15:19:41</v>
      </c>
    </row>
    <row r="17944" spans="1:7" x14ac:dyDescent="0.2">
      <c r="A17944" t="s">
        <v>904</v>
      </c>
      <c r="B17944" t="str">
        <f>"15853544475"</f>
        <v>15853544475</v>
      </c>
      <c r="C17944" t="str">
        <f>"370683198802214224"</f>
        <v>370683198802214224</v>
      </c>
      <c r="D17944" t="s">
        <v>1</v>
      </c>
      <c r="E17944" t="s">
        <v>1</v>
      </c>
      <c r="F17944" t="s">
        <v>0</v>
      </c>
      <c r="G17944" t="str">
        <f>"2018-10-11 15:22:03"</f>
        <v>2018-10-11 15:22:03</v>
      </c>
    </row>
    <row r="17945" spans="1:7" x14ac:dyDescent="0.2">
      <c r="A17945" t="s">
        <v>16971</v>
      </c>
      <c r="B17945" t="str">
        <f>"18815957232"</f>
        <v>18815957232</v>
      </c>
      <c r="C17945" t="str">
        <f>"350426199710270029"</f>
        <v>350426199710270029</v>
      </c>
      <c r="D17945" t="s">
        <v>16972</v>
      </c>
      <c r="E17945" t="s">
        <v>16973</v>
      </c>
      <c r="F17945" t="s">
        <v>0</v>
      </c>
      <c r="G17945" t="str">
        <f>"2018-10-11 15:20:17"</f>
        <v>2018-10-11 15:20:17</v>
      </c>
    </row>
    <row r="17946" spans="1:7" x14ac:dyDescent="0.2">
      <c r="A17946" t="s">
        <v>1</v>
      </c>
      <c r="B17946" t="str">
        <f>"17773592073"</f>
        <v>17773592073</v>
      </c>
      <c r="C17946" t="s">
        <v>1</v>
      </c>
      <c r="D17946" t="s">
        <v>1</v>
      </c>
      <c r="E17946" t="s">
        <v>1</v>
      </c>
      <c r="F17946" t="s">
        <v>0</v>
      </c>
      <c r="G17946" t="str">
        <f>"2018-10-11 15:19:17"</f>
        <v>2018-10-11 15:19:17</v>
      </c>
    </row>
    <row r="17947" spans="1:7" x14ac:dyDescent="0.2">
      <c r="A17947" t="s">
        <v>1</v>
      </c>
      <c r="B17947" t="str">
        <f>"13116910099"</f>
        <v>13116910099</v>
      </c>
      <c r="C17947" t="s">
        <v>1</v>
      </c>
      <c r="D17947" t="s">
        <v>1</v>
      </c>
      <c r="E17947" t="s">
        <v>1</v>
      </c>
      <c r="F17947" t="s">
        <v>0</v>
      </c>
      <c r="G17947" t="str">
        <f>"2018-10-11 15:17:59"</f>
        <v>2018-10-11 15:17:59</v>
      </c>
    </row>
    <row r="17948" spans="1:7" x14ac:dyDescent="0.2">
      <c r="A17948" t="s">
        <v>16974</v>
      </c>
      <c r="B17948" t="str">
        <f>"15004509146"</f>
        <v>15004509146</v>
      </c>
      <c r="C17948" t="str">
        <f>"230103198804064223"</f>
        <v>230103198804064223</v>
      </c>
      <c r="D17948" t="s">
        <v>1</v>
      </c>
      <c r="E17948" t="s">
        <v>1</v>
      </c>
      <c r="F17948" t="s">
        <v>0</v>
      </c>
      <c r="G17948" t="str">
        <f>"2018-10-11 15:20:02"</f>
        <v>2018-10-11 15:20:02</v>
      </c>
    </row>
    <row r="17949" spans="1:7" x14ac:dyDescent="0.2">
      <c r="A17949" t="s">
        <v>16975</v>
      </c>
      <c r="B17949" t="str">
        <f>"13639465515"</f>
        <v>13639465515</v>
      </c>
      <c r="C17949" t="str">
        <f>"131127198905026718"</f>
        <v>131127198905026718</v>
      </c>
      <c r="D17949" t="s">
        <v>1</v>
      </c>
      <c r="E17949" t="s">
        <v>1</v>
      </c>
      <c r="F17949" t="s">
        <v>0</v>
      </c>
      <c r="G17949" t="str">
        <f>"2018-10-11 18:00:09"</f>
        <v>2018-10-11 18:00:09</v>
      </c>
    </row>
    <row r="17950" spans="1:7" x14ac:dyDescent="0.2">
      <c r="A17950" t="s">
        <v>1313</v>
      </c>
      <c r="B17950" t="str">
        <f>"18650636889"</f>
        <v>18650636889</v>
      </c>
      <c r="C17950" t="str">
        <f>"350702198001170827"</f>
        <v>350702198001170827</v>
      </c>
      <c r="D17950" t="s">
        <v>1</v>
      </c>
      <c r="E17950" t="s">
        <v>1</v>
      </c>
      <c r="F17950" t="s">
        <v>0</v>
      </c>
      <c r="G17950" t="str">
        <f>"2018-10-23 16:39:55"</f>
        <v>2018-10-23 16:39:55</v>
      </c>
    </row>
    <row r="17951" spans="1:7" x14ac:dyDescent="0.2">
      <c r="A17951" t="s">
        <v>16976</v>
      </c>
      <c r="B17951" t="str">
        <f>"15705990069"</f>
        <v>15705990069</v>
      </c>
      <c r="C17951" t="str">
        <f>"350123198809034640"</f>
        <v>350123198809034640</v>
      </c>
      <c r="D17951" t="s">
        <v>1</v>
      </c>
      <c r="E17951" t="s">
        <v>1</v>
      </c>
      <c r="F17951" t="s">
        <v>0</v>
      </c>
      <c r="G17951" t="str">
        <f>"2018-10-13 14:18:04"</f>
        <v>2018-10-13 14:18:04</v>
      </c>
    </row>
    <row r="17952" spans="1:7" x14ac:dyDescent="0.2">
      <c r="A17952" t="s">
        <v>574</v>
      </c>
      <c r="B17952" t="str">
        <f>"15005802738"</f>
        <v>15005802738</v>
      </c>
      <c r="C17952" t="str">
        <f>"512501196411302250"</f>
        <v>512501196411302250</v>
      </c>
      <c r="D17952" t="s">
        <v>16977</v>
      </c>
      <c r="E17952" t="s">
        <v>16978</v>
      </c>
      <c r="F17952" t="s">
        <v>0</v>
      </c>
      <c r="G17952" t="str">
        <f>"2018-10-11 15:19:13"</f>
        <v>2018-10-11 15:19:13</v>
      </c>
    </row>
    <row r="17953" spans="1:7" x14ac:dyDescent="0.2">
      <c r="A17953" t="s">
        <v>1199</v>
      </c>
      <c r="B17953" t="str">
        <f>"15239720675"</f>
        <v>15239720675</v>
      </c>
      <c r="C17953" t="str">
        <f>"410881199308125512"</f>
        <v>410881199308125512</v>
      </c>
      <c r="D17953" t="s">
        <v>1</v>
      </c>
      <c r="E17953" t="s">
        <v>1</v>
      </c>
      <c r="F17953" t="s">
        <v>0</v>
      </c>
      <c r="G17953" t="str">
        <f>"2018-10-11 15:50:05"</f>
        <v>2018-10-11 15:50:05</v>
      </c>
    </row>
    <row r="17954" spans="1:7" x14ac:dyDescent="0.2">
      <c r="A17954" t="s">
        <v>16979</v>
      </c>
      <c r="B17954" t="str">
        <f>"13974549130"</f>
        <v>13974549130</v>
      </c>
      <c r="C17954" t="str">
        <f>"431227199009165470"</f>
        <v>431227199009165470</v>
      </c>
      <c r="D17954" t="s">
        <v>1</v>
      </c>
      <c r="E17954" t="s">
        <v>1</v>
      </c>
      <c r="F17954" t="s">
        <v>0</v>
      </c>
      <c r="G17954" t="str">
        <f>"2018-10-11 15:52:33"</f>
        <v>2018-10-11 15:52:33</v>
      </c>
    </row>
    <row r="17955" spans="1:7" x14ac:dyDescent="0.2">
      <c r="A17955" t="s">
        <v>1</v>
      </c>
      <c r="B17955" t="str">
        <f>"18240242508"</f>
        <v>18240242508</v>
      </c>
      <c r="C17955" t="s">
        <v>1</v>
      </c>
      <c r="D17955" t="s">
        <v>1</v>
      </c>
      <c r="E17955" t="s">
        <v>1</v>
      </c>
      <c r="F17955" t="s">
        <v>0</v>
      </c>
      <c r="G17955" t="str">
        <f>"2018-10-11 19:16:31"</f>
        <v>2018-10-11 19:16:31</v>
      </c>
    </row>
    <row r="17956" spans="1:7" x14ac:dyDescent="0.2">
      <c r="A17956" t="s">
        <v>16980</v>
      </c>
      <c r="B17956" t="str">
        <f>"15136326288"</f>
        <v>15136326288</v>
      </c>
      <c r="C17956" t="str">
        <f>"410322198706083838"</f>
        <v>410322198706083838</v>
      </c>
      <c r="D17956" t="s">
        <v>1</v>
      </c>
      <c r="E17956" t="s">
        <v>1</v>
      </c>
      <c r="F17956" t="s">
        <v>0</v>
      </c>
      <c r="G17956" t="str">
        <f>"2018-10-11 15:20:59"</f>
        <v>2018-10-11 15:20:59</v>
      </c>
    </row>
    <row r="17957" spans="1:7" x14ac:dyDescent="0.2">
      <c r="A17957" t="s">
        <v>16981</v>
      </c>
      <c r="B17957" t="str">
        <f>"18338133662"</f>
        <v>18338133662</v>
      </c>
      <c r="C17957" t="str">
        <f>"411325199002019461"</f>
        <v>411325199002019461</v>
      </c>
      <c r="D17957" t="s">
        <v>1</v>
      </c>
      <c r="E17957" t="s">
        <v>1</v>
      </c>
      <c r="F17957" t="s">
        <v>0</v>
      </c>
      <c r="G17957" t="str">
        <f>"2018-10-11 15:17:50"</f>
        <v>2018-10-11 15:17:50</v>
      </c>
    </row>
    <row r="17958" spans="1:7" x14ac:dyDescent="0.2">
      <c r="A17958" t="s">
        <v>16982</v>
      </c>
      <c r="B17958" t="str">
        <f>"15207827073"</f>
        <v>15207827073</v>
      </c>
      <c r="C17958" t="str">
        <f>"450221198910262919"</f>
        <v>450221198910262919</v>
      </c>
      <c r="D17958" t="s">
        <v>16983</v>
      </c>
      <c r="E17958" t="s">
        <v>16984</v>
      </c>
      <c r="F17958" t="s">
        <v>0</v>
      </c>
      <c r="G17958" t="str">
        <f>"2018-10-11 15:22:20"</f>
        <v>2018-10-11 15:22:20</v>
      </c>
    </row>
    <row r="17959" spans="1:7" x14ac:dyDescent="0.2">
      <c r="A17959" t="s">
        <v>16985</v>
      </c>
      <c r="B17959" t="str">
        <f>"18369746575"</f>
        <v>18369746575</v>
      </c>
      <c r="C17959" t="str">
        <f>"37052119881003283X"</f>
        <v>37052119881003283X</v>
      </c>
      <c r="D17959" t="s">
        <v>16986</v>
      </c>
      <c r="E17959" t="s">
        <v>16987</v>
      </c>
      <c r="F17959" t="s">
        <v>0</v>
      </c>
      <c r="G17959" t="str">
        <f>"2018-10-11 15:40:26"</f>
        <v>2018-10-11 15:40:26</v>
      </c>
    </row>
    <row r="17960" spans="1:7" x14ac:dyDescent="0.2">
      <c r="A17960" t="s">
        <v>16988</v>
      </c>
      <c r="B17960" t="str">
        <f>"18083569532"</f>
        <v>18083569532</v>
      </c>
      <c r="C17960" t="str">
        <f>"522529198507210825"</f>
        <v>522529198507210825</v>
      </c>
      <c r="D17960" t="s">
        <v>1</v>
      </c>
      <c r="E17960" t="s">
        <v>1</v>
      </c>
      <c r="F17960" t="s">
        <v>0</v>
      </c>
      <c r="G17960" t="str">
        <f>"2018-10-11 15:17:29"</f>
        <v>2018-10-11 15:17:29</v>
      </c>
    </row>
    <row r="17961" spans="1:7" x14ac:dyDescent="0.2">
      <c r="A17961" t="s">
        <v>16989</v>
      </c>
      <c r="B17961" t="str">
        <f>"15158158418"</f>
        <v>15158158418</v>
      </c>
      <c r="C17961" t="str">
        <f>"330302197903020019"</f>
        <v>330302197903020019</v>
      </c>
      <c r="D17961" t="s">
        <v>16990</v>
      </c>
      <c r="E17961" t="s">
        <v>16991</v>
      </c>
      <c r="F17961" t="s">
        <v>0</v>
      </c>
      <c r="G17961" t="str">
        <f>"2018-10-11 15:35:43"</f>
        <v>2018-10-11 15:35:43</v>
      </c>
    </row>
    <row r="17962" spans="1:7" x14ac:dyDescent="0.2">
      <c r="A17962" t="s">
        <v>16992</v>
      </c>
      <c r="B17962" t="str">
        <f>"18983319555"</f>
        <v>18983319555</v>
      </c>
      <c r="C17962" t="str">
        <f>"512326198005095554"</f>
        <v>512326198005095554</v>
      </c>
      <c r="D17962" t="s">
        <v>1</v>
      </c>
      <c r="E17962" t="s">
        <v>1</v>
      </c>
      <c r="F17962" t="s">
        <v>0</v>
      </c>
      <c r="G17962" t="str">
        <f>"2018-10-11 15:17:33"</f>
        <v>2018-10-11 15:17:33</v>
      </c>
    </row>
    <row r="17963" spans="1:7" x14ac:dyDescent="0.2">
      <c r="A17963" t="s">
        <v>16993</v>
      </c>
      <c r="B17963" t="str">
        <f>"13095226193"</f>
        <v>13095226193</v>
      </c>
      <c r="C17963" t="str">
        <f>"533527200008251614"</f>
        <v>533527200008251614</v>
      </c>
      <c r="D17963" t="s">
        <v>16994</v>
      </c>
      <c r="E17963" t="s">
        <v>16995</v>
      </c>
      <c r="F17963" t="s">
        <v>0</v>
      </c>
      <c r="G17963" t="str">
        <f>"2018-10-11 15:16:35"</f>
        <v>2018-10-11 15:16:35</v>
      </c>
    </row>
    <row r="17964" spans="1:7" x14ac:dyDescent="0.2">
      <c r="A17964" t="s">
        <v>1</v>
      </c>
      <c r="B17964" t="str">
        <f>"13453038900"</f>
        <v>13453038900</v>
      </c>
      <c r="C17964" t="s">
        <v>1</v>
      </c>
      <c r="D17964" t="s">
        <v>1</v>
      </c>
      <c r="E17964" t="s">
        <v>1</v>
      </c>
      <c r="F17964" t="s">
        <v>0</v>
      </c>
      <c r="G17964" t="str">
        <f>"2018-10-11 15:15:55"</f>
        <v>2018-10-11 15:15:55</v>
      </c>
    </row>
    <row r="17965" spans="1:7" x14ac:dyDescent="0.2">
      <c r="A17965" t="s">
        <v>16996</v>
      </c>
      <c r="B17965" t="str">
        <f>"13873212724"</f>
        <v>13873212724</v>
      </c>
      <c r="C17965" t="str">
        <f>"430321199806202787"</f>
        <v>430321199806202787</v>
      </c>
      <c r="D17965" t="s">
        <v>1</v>
      </c>
      <c r="E17965" t="s">
        <v>1</v>
      </c>
      <c r="F17965" t="s">
        <v>0</v>
      </c>
      <c r="G17965" t="str">
        <f>"2018-10-11 15:16:50"</f>
        <v>2018-10-11 15:16:50</v>
      </c>
    </row>
    <row r="17966" spans="1:7" x14ac:dyDescent="0.2">
      <c r="A17966" t="s">
        <v>16997</v>
      </c>
      <c r="B17966" t="str">
        <f>"13476738075"</f>
        <v>13476738075</v>
      </c>
      <c r="C17966" t="str">
        <f>"42070419850908535X"</f>
        <v>42070419850908535X</v>
      </c>
      <c r="D17966" t="s">
        <v>1</v>
      </c>
      <c r="E17966" t="s">
        <v>1</v>
      </c>
      <c r="F17966" t="s">
        <v>0</v>
      </c>
      <c r="G17966" t="str">
        <f>"2018-10-11 15:15:23"</f>
        <v>2018-10-11 15:15:23</v>
      </c>
    </row>
    <row r="17967" spans="1:7" x14ac:dyDescent="0.2">
      <c r="A17967" t="s">
        <v>16998</v>
      </c>
      <c r="B17967" t="str">
        <f>"13674215007"</f>
        <v>13674215007</v>
      </c>
      <c r="C17967" t="str">
        <f>"211022199510166895"</f>
        <v>211022199510166895</v>
      </c>
      <c r="D17967" t="s">
        <v>1</v>
      </c>
      <c r="E17967" t="s">
        <v>1</v>
      </c>
      <c r="F17967" t="s">
        <v>0</v>
      </c>
      <c r="G17967" t="str">
        <f>"2018-10-11 15:16:45"</f>
        <v>2018-10-11 15:16:45</v>
      </c>
    </row>
    <row r="17968" spans="1:7" x14ac:dyDescent="0.2">
      <c r="A17968" t="s">
        <v>1</v>
      </c>
      <c r="B17968" t="str">
        <f>"18403886480"</f>
        <v>18403886480</v>
      </c>
      <c r="C17968" t="s">
        <v>1</v>
      </c>
      <c r="D17968" t="s">
        <v>1</v>
      </c>
      <c r="E17968" t="s">
        <v>1</v>
      </c>
      <c r="F17968" t="s">
        <v>0</v>
      </c>
      <c r="G17968" t="str">
        <f>"2018-10-11 15:13:12"</f>
        <v>2018-10-11 15:13:12</v>
      </c>
    </row>
    <row r="17969" spans="1:7" x14ac:dyDescent="0.2">
      <c r="A17969" t="s">
        <v>16999</v>
      </c>
      <c r="B17969" t="str">
        <f>"13168614758"</f>
        <v>13168614758</v>
      </c>
      <c r="C17969" t="str">
        <f>"522322199010280413"</f>
        <v>522322199010280413</v>
      </c>
      <c r="D17969" t="s">
        <v>1</v>
      </c>
      <c r="E17969" t="s">
        <v>1</v>
      </c>
      <c r="F17969" t="s">
        <v>0</v>
      </c>
      <c r="G17969" t="str">
        <f>"2018-10-11 15:17:16"</f>
        <v>2018-10-11 15:17:16</v>
      </c>
    </row>
    <row r="17970" spans="1:7" x14ac:dyDescent="0.2">
      <c r="A17970" t="s">
        <v>489</v>
      </c>
      <c r="B17970" t="str">
        <f>"13688711744"</f>
        <v>13688711744</v>
      </c>
      <c r="C17970" t="str">
        <f>"532923199210142331"</f>
        <v>532923199210142331</v>
      </c>
      <c r="D17970" t="s">
        <v>17000</v>
      </c>
      <c r="E17970" t="s">
        <v>17001</v>
      </c>
      <c r="F17970" t="s">
        <v>0</v>
      </c>
      <c r="G17970" t="str">
        <f>"2018-10-29 15:45:12"</f>
        <v>2018-10-29 15:45:12</v>
      </c>
    </row>
    <row r="17971" spans="1:7" x14ac:dyDescent="0.2">
      <c r="A17971" t="s">
        <v>1</v>
      </c>
      <c r="B17971" t="str">
        <f>"17685350226"</f>
        <v>17685350226</v>
      </c>
      <c r="C17971" t="s">
        <v>1</v>
      </c>
      <c r="D17971" t="s">
        <v>1</v>
      </c>
      <c r="E17971" t="s">
        <v>1</v>
      </c>
      <c r="F17971" t="s">
        <v>0</v>
      </c>
      <c r="G17971" t="str">
        <f>"2018-10-11 15:15:36"</f>
        <v>2018-10-11 15:15:36</v>
      </c>
    </row>
    <row r="17972" spans="1:7" x14ac:dyDescent="0.2">
      <c r="A17972" t="s">
        <v>1</v>
      </c>
      <c r="B17972" t="str">
        <f>"18532511286"</f>
        <v>18532511286</v>
      </c>
      <c r="C17972" t="s">
        <v>1</v>
      </c>
      <c r="D17972" t="s">
        <v>1</v>
      </c>
      <c r="E17972" t="s">
        <v>1</v>
      </c>
      <c r="F17972" t="s">
        <v>0</v>
      </c>
      <c r="G17972" t="str">
        <f>"2018-10-11 15:12:04"</f>
        <v>2018-10-11 15:12:04</v>
      </c>
    </row>
    <row r="17973" spans="1:7" x14ac:dyDescent="0.2">
      <c r="A17973" t="s">
        <v>17002</v>
      </c>
      <c r="B17973" t="str">
        <f>"13593684014"</f>
        <v>13593684014</v>
      </c>
      <c r="C17973" t="str">
        <f>"421125198808160938"</f>
        <v>421125198808160938</v>
      </c>
      <c r="D17973" t="s">
        <v>1</v>
      </c>
      <c r="E17973" t="s">
        <v>1</v>
      </c>
      <c r="F17973" t="s">
        <v>0</v>
      </c>
      <c r="G17973" t="str">
        <f>"2018-10-11 15:13:13"</f>
        <v>2018-10-11 15:13:13</v>
      </c>
    </row>
    <row r="17974" spans="1:7" x14ac:dyDescent="0.2">
      <c r="A17974" t="s">
        <v>17003</v>
      </c>
      <c r="B17974" t="str">
        <f>"18731370903"</f>
        <v>18731370903</v>
      </c>
      <c r="C17974" t="str">
        <f>"130729198912142519"</f>
        <v>130729198912142519</v>
      </c>
      <c r="D17974" t="s">
        <v>17004</v>
      </c>
      <c r="E17974" t="s">
        <v>17005</v>
      </c>
      <c r="F17974" t="s">
        <v>0</v>
      </c>
      <c r="G17974" t="str">
        <f>"2018-10-11 15:16:08"</f>
        <v>2018-10-11 15:16:08</v>
      </c>
    </row>
    <row r="17975" spans="1:7" x14ac:dyDescent="0.2">
      <c r="A17975" t="s">
        <v>1</v>
      </c>
      <c r="B17975" t="str">
        <f>"17753777431"</f>
        <v>17753777431</v>
      </c>
      <c r="C17975" t="s">
        <v>1</v>
      </c>
      <c r="D17975" t="s">
        <v>1</v>
      </c>
      <c r="E17975" t="s">
        <v>1</v>
      </c>
      <c r="F17975" t="s">
        <v>0</v>
      </c>
      <c r="G17975" t="str">
        <f>"2018-10-11 15:11:44"</f>
        <v>2018-10-11 15:11:44</v>
      </c>
    </row>
    <row r="17976" spans="1:7" x14ac:dyDescent="0.2">
      <c r="A17976" t="s">
        <v>1</v>
      </c>
      <c r="B17976" t="str">
        <f>"17779779493"</f>
        <v>17779779493</v>
      </c>
      <c r="C17976" t="s">
        <v>1</v>
      </c>
      <c r="D17976" t="s">
        <v>1</v>
      </c>
      <c r="E17976" t="s">
        <v>1</v>
      </c>
      <c r="F17976" t="s">
        <v>0</v>
      </c>
      <c r="G17976" t="str">
        <f>"2018-10-11 15:11:42"</f>
        <v>2018-10-11 15:11:42</v>
      </c>
    </row>
    <row r="17977" spans="1:7" x14ac:dyDescent="0.2">
      <c r="A17977" t="s">
        <v>24</v>
      </c>
      <c r="B17977" t="str">
        <f>"18772950377"</f>
        <v>18772950377</v>
      </c>
      <c r="C17977" t="str">
        <f>"420321198905140714"</f>
        <v>420321198905140714</v>
      </c>
      <c r="D17977" t="s">
        <v>1</v>
      </c>
      <c r="E17977" t="s">
        <v>1</v>
      </c>
      <c r="F17977" t="s">
        <v>0</v>
      </c>
      <c r="G17977" t="str">
        <f>"2018-10-11 15:13:24"</f>
        <v>2018-10-11 15:13:24</v>
      </c>
    </row>
    <row r="17978" spans="1:7" x14ac:dyDescent="0.2">
      <c r="A17978" t="s">
        <v>17006</v>
      </c>
      <c r="B17978" t="str">
        <f>"13844418037"</f>
        <v>13844418037</v>
      </c>
      <c r="C17978" t="str">
        <f>"220302199401140815"</f>
        <v>220302199401140815</v>
      </c>
      <c r="D17978" t="s">
        <v>1</v>
      </c>
      <c r="E17978" t="s">
        <v>1</v>
      </c>
      <c r="F17978" t="s">
        <v>0</v>
      </c>
      <c r="G17978" t="str">
        <f>"2018-10-11 15:12:23"</f>
        <v>2018-10-11 15:12:23</v>
      </c>
    </row>
    <row r="17979" spans="1:7" x14ac:dyDescent="0.2">
      <c r="A17979" t="s">
        <v>17007</v>
      </c>
      <c r="B17979" t="str">
        <f>"18359628357"</f>
        <v>18359628357</v>
      </c>
      <c r="C17979" t="str">
        <f>"350322199702061541"</f>
        <v>350322199702061541</v>
      </c>
      <c r="D17979" t="s">
        <v>17008</v>
      </c>
      <c r="E17979" t="s">
        <v>17009</v>
      </c>
      <c r="F17979" t="s">
        <v>0</v>
      </c>
      <c r="G17979" t="str">
        <f>"2018-10-11 15:10:26"</f>
        <v>2018-10-11 15:10:26</v>
      </c>
    </row>
    <row r="17980" spans="1:7" x14ac:dyDescent="0.2">
      <c r="A17980" t="s">
        <v>1</v>
      </c>
      <c r="B17980" t="str">
        <f>"13058753828"</f>
        <v>13058753828</v>
      </c>
      <c r="C17980" t="s">
        <v>1</v>
      </c>
      <c r="D17980" t="s">
        <v>1</v>
      </c>
      <c r="E17980" t="s">
        <v>1</v>
      </c>
      <c r="F17980" t="s">
        <v>0</v>
      </c>
      <c r="G17980" t="str">
        <f>"2018-10-11 15:10:04"</f>
        <v>2018-10-11 15:10:04</v>
      </c>
    </row>
    <row r="17981" spans="1:7" x14ac:dyDescent="0.2">
      <c r="A17981" t="s">
        <v>17010</v>
      </c>
      <c r="B17981" t="str">
        <f>"13699806422"</f>
        <v>13699806422</v>
      </c>
      <c r="C17981" t="str">
        <f>"441423198210215241"</f>
        <v>441423198210215241</v>
      </c>
      <c r="D17981" t="s">
        <v>1</v>
      </c>
      <c r="E17981" t="s">
        <v>1</v>
      </c>
      <c r="F17981" t="s">
        <v>0</v>
      </c>
      <c r="G17981" t="str">
        <f>"2018-10-11 15:10:26"</f>
        <v>2018-10-11 15:10:26</v>
      </c>
    </row>
    <row r="17982" spans="1:7" x14ac:dyDescent="0.2">
      <c r="A17982" t="s">
        <v>17011</v>
      </c>
      <c r="B17982" t="str">
        <f>"18628515444"</f>
        <v>18628515444</v>
      </c>
      <c r="C17982" t="str">
        <f>"610502199609196416"</f>
        <v>610502199609196416</v>
      </c>
      <c r="D17982" t="s">
        <v>1</v>
      </c>
      <c r="E17982" t="s">
        <v>1</v>
      </c>
      <c r="F17982" t="s">
        <v>0</v>
      </c>
      <c r="G17982" t="str">
        <f>"2018-10-11 15:10:35"</f>
        <v>2018-10-11 15:10:35</v>
      </c>
    </row>
    <row r="17983" spans="1:7" x14ac:dyDescent="0.2">
      <c r="A17983" t="s">
        <v>17012</v>
      </c>
      <c r="B17983" t="str">
        <f>"18976419589"</f>
        <v>18976419589</v>
      </c>
      <c r="C17983" t="str">
        <f>"460006198506206816"</f>
        <v>460006198506206816</v>
      </c>
      <c r="D17983" t="s">
        <v>1</v>
      </c>
      <c r="E17983" t="s">
        <v>1</v>
      </c>
      <c r="F17983" t="s">
        <v>0</v>
      </c>
      <c r="G17983" t="str">
        <f>"2018-10-11 15:09:37"</f>
        <v>2018-10-11 15:09:37</v>
      </c>
    </row>
    <row r="17984" spans="1:7" x14ac:dyDescent="0.2">
      <c r="A17984" t="s">
        <v>1</v>
      </c>
      <c r="B17984" t="str">
        <f>"13960316810"</f>
        <v>13960316810</v>
      </c>
      <c r="C17984" t="s">
        <v>1</v>
      </c>
      <c r="D17984" t="s">
        <v>1</v>
      </c>
      <c r="E17984" t="s">
        <v>1</v>
      </c>
      <c r="F17984" t="s">
        <v>0</v>
      </c>
      <c r="G17984" t="str">
        <f>"2018-10-11 15:06:32"</f>
        <v>2018-10-11 15:06:32</v>
      </c>
    </row>
    <row r="17985" spans="1:7" x14ac:dyDescent="0.2">
      <c r="A17985" t="s">
        <v>17013</v>
      </c>
      <c r="B17985" t="str">
        <f>"13315740530"</f>
        <v>13315740530</v>
      </c>
      <c r="C17985" t="str">
        <f>"130983199605041615"</f>
        <v>130983199605041615</v>
      </c>
      <c r="D17985" t="s">
        <v>1</v>
      </c>
      <c r="E17985" t="s">
        <v>1</v>
      </c>
      <c r="F17985" t="s">
        <v>0</v>
      </c>
      <c r="G17985" t="str">
        <f>"2018-10-11 15:07:13"</f>
        <v>2018-10-11 15:07:13</v>
      </c>
    </row>
    <row r="17986" spans="1:7" x14ac:dyDescent="0.2">
      <c r="A17986" t="s">
        <v>1</v>
      </c>
      <c r="B17986" t="str">
        <f>"14763365964"</f>
        <v>14763365964</v>
      </c>
      <c r="C17986" t="s">
        <v>1</v>
      </c>
      <c r="D17986" t="s">
        <v>1</v>
      </c>
      <c r="E17986" t="s">
        <v>1</v>
      </c>
      <c r="F17986" t="s">
        <v>0</v>
      </c>
      <c r="G17986" t="str">
        <f>"2018-10-11 15:05:07"</f>
        <v>2018-10-11 15:05:07</v>
      </c>
    </row>
    <row r="17987" spans="1:7" x14ac:dyDescent="0.2">
      <c r="A17987" t="s">
        <v>7970</v>
      </c>
      <c r="B17987" t="str">
        <f>"13126545939"</f>
        <v>13126545939</v>
      </c>
      <c r="C17987" t="str">
        <f>"152322199505010934"</f>
        <v>152322199505010934</v>
      </c>
      <c r="D17987" t="s">
        <v>1</v>
      </c>
      <c r="E17987" t="s">
        <v>1</v>
      </c>
      <c r="F17987" t="s">
        <v>0</v>
      </c>
      <c r="G17987" t="str">
        <f>"2018-10-11 19:11:27"</f>
        <v>2018-10-11 19:11:27</v>
      </c>
    </row>
    <row r="17988" spans="1:7" x14ac:dyDescent="0.2">
      <c r="A17988" t="s">
        <v>17014</v>
      </c>
      <c r="B17988" t="str">
        <f>"15083823505"</f>
        <v>15083823505</v>
      </c>
      <c r="C17988" t="str">
        <f>"360121198407190017"</f>
        <v>360121198407190017</v>
      </c>
      <c r="D17988" t="s">
        <v>1</v>
      </c>
      <c r="E17988" t="s">
        <v>1</v>
      </c>
      <c r="F17988" t="s">
        <v>0</v>
      </c>
      <c r="G17988" t="str">
        <f>"2018-10-11 15:04:49"</f>
        <v>2018-10-11 15:04:49</v>
      </c>
    </row>
    <row r="17989" spans="1:7" x14ac:dyDescent="0.2">
      <c r="A17989" t="s">
        <v>17015</v>
      </c>
      <c r="B17989" t="str">
        <f>"17839676514"</f>
        <v>17839676514</v>
      </c>
      <c r="C17989" t="str">
        <f>"412826198912206098"</f>
        <v>412826198912206098</v>
      </c>
      <c r="D17989" t="s">
        <v>1</v>
      </c>
      <c r="E17989" t="s">
        <v>1</v>
      </c>
      <c r="F17989" t="s">
        <v>0</v>
      </c>
      <c r="G17989" t="str">
        <f>"2018-10-11 15:09:10"</f>
        <v>2018-10-11 15:09:10</v>
      </c>
    </row>
    <row r="17990" spans="1:7" x14ac:dyDescent="0.2">
      <c r="A17990" t="s">
        <v>17016</v>
      </c>
      <c r="B17990" t="str">
        <f>"18316226495"</f>
        <v>18316226495</v>
      </c>
      <c r="C17990" t="str">
        <f>"441622199106226468"</f>
        <v>441622199106226468</v>
      </c>
      <c r="D17990" t="s">
        <v>1</v>
      </c>
      <c r="E17990" t="s">
        <v>1</v>
      </c>
      <c r="F17990" t="s">
        <v>0</v>
      </c>
      <c r="G17990" t="str">
        <f>"2018-10-11 15:29:08"</f>
        <v>2018-10-11 15:29:08</v>
      </c>
    </row>
    <row r="17991" spans="1:7" x14ac:dyDescent="0.2">
      <c r="A17991" t="s">
        <v>1</v>
      </c>
      <c r="B17991" t="str">
        <f>"15995338775"</f>
        <v>15995338775</v>
      </c>
      <c r="C17991" t="s">
        <v>1</v>
      </c>
      <c r="D17991" t="s">
        <v>1</v>
      </c>
      <c r="E17991" t="s">
        <v>1</v>
      </c>
      <c r="F17991" t="s">
        <v>0</v>
      </c>
      <c r="G17991" t="str">
        <f>"2018-10-11 15:02:29"</f>
        <v>2018-10-11 15:02:29</v>
      </c>
    </row>
    <row r="17992" spans="1:7" x14ac:dyDescent="0.2">
      <c r="A17992" t="s">
        <v>17017</v>
      </c>
      <c r="B17992" t="str">
        <f>"13580307864"</f>
        <v>13580307864</v>
      </c>
      <c r="C17992" t="str">
        <f>"610523198701297233"</f>
        <v>610523198701297233</v>
      </c>
      <c r="D17992" t="s">
        <v>1</v>
      </c>
      <c r="E17992" t="s">
        <v>1</v>
      </c>
      <c r="F17992" t="s">
        <v>0</v>
      </c>
      <c r="G17992" t="str">
        <f>"2018-10-11 15:02:08"</f>
        <v>2018-10-11 15:02:08</v>
      </c>
    </row>
    <row r="17993" spans="1:7" x14ac:dyDescent="0.2">
      <c r="A17993" t="s">
        <v>17018</v>
      </c>
      <c r="B17993" t="str">
        <f>"13614181419"</f>
        <v>13614181419</v>
      </c>
      <c r="C17993" t="str">
        <f>"210902199805204513"</f>
        <v>210902199805204513</v>
      </c>
      <c r="D17993" t="s">
        <v>17019</v>
      </c>
      <c r="E17993" t="s">
        <v>17020</v>
      </c>
      <c r="F17993" t="s">
        <v>0</v>
      </c>
      <c r="G17993" t="str">
        <f>"2018-10-12 14:39:59"</f>
        <v>2018-10-12 14:39:59</v>
      </c>
    </row>
    <row r="17994" spans="1:7" x14ac:dyDescent="0.2">
      <c r="A17994" t="s">
        <v>17021</v>
      </c>
      <c r="B17994" t="str">
        <f>"13216785633"</f>
        <v>13216785633</v>
      </c>
      <c r="C17994" t="str">
        <f>"330682198501169016"</f>
        <v>330682198501169016</v>
      </c>
      <c r="D17994" t="s">
        <v>1</v>
      </c>
      <c r="E17994" t="s">
        <v>1</v>
      </c>
      <c r="F17994" t="s">
        <v>0</v>
      </c>
      <c r="G17994" t="str">
        <f>"2018-10-11 15:03:10"</f>
        <v>2018-10-11 15:03:10</v>
      </c>
    </row>
    <row r="17995" spans="1:7" x14ac:dyDescent="0.2">
      <c r="A17995" t="s">
        <v>17022</v>
      </c>
      <c r="B17995" t="str">
        <f>"13848337547"</f>
        <v>13848337547</v>
      </c>
      <c r="C17995" t="str">
        <f>"42082219891105551X"</f>
        <v>42082219891105551X</v>
      </c>
      <c r="D17995" t="s">
        <v>17023</v>
      </c>
      <c r="E17995" t="s">
        <v>17023</v>
      </c>
      <c r="F17995" t="s">
        <v>0</v>
      </c>
      <c r="G17995" t="str">
        <f>"2018-10-11 15:01:30"</f>
        <v>2018-10-11 15:01:30</v>
      </c>
    </row>
    <row r="17996" spans="1:7" x14ac:dyDescent="0.2">
      <c r="A17996" t="s">
        <v>17024</v>
      </c>
      <c r="B17996" t="str">
        <f>"15006786400"</f>
        <v>15006786400</v>
      </c>
      <c r="C17996" t="str">
        <f>"370403199212274130"</f>
        <v>370403199212274130</v>
      </c>
      <c r="D17996" t="s">
        <v>1</v>
      </c>
      <c r="E17996" t="s">
        <v>1</v>
      </c>
      <c r="F17996" t="s">
        <v>0</v>
      </c>
      <c r="G17996" t="str">
        <f>"2018-10-11 15:07:53"</f>
        <v>2018-10-11 15:07:53</v>
      </c>
    </row>
    <row r="17997" spans="1:7" x14ac:dyDescent="0.2">
      <c r="A17997" t="s">
        <v>17025</v>
      </c>
      <c r="B17997" t="str">
        <f>"13598275304"</f>
        <v>13598275304</v>
      </c>
      <c r="C17997" t="str">
        <f>"411381199011206809"</f>
        <v>411381199011206809</v>
      </c>
      <c r="D17997" t="s">
        <v>1</v>
      </c>
      <c r="E17997" t="s">
        <v>1</v>
      </c>
      <c r="F17997" t="s">
        <v>0</v>
      </c>
      <c r="G17997" t="str">
        <f>"2018-10-12 20:56:53"</f>
        <v>2018-10-12 20:56:53</v>
      </c>
    </row>
    <row r="17998" spans="1:7" x14ac:dyDescent="0.2">
      <c r="A17998" t="s">
        <v>17026</v>
      </c>
      <c r="B17998" t="str">
        <f>"18726758669"</f>
        <v>18726758669</v>
      </c>
      <c r="C17998" t="str">
        <f>"341621198705081729"</f>
        <v>341621198705081729</v>
      </c>
      <c r="D17998" t="s">
        <v>1</v>
      </c>
      <c r="E17998" t="s">
        <v>1</v>
      </c>
      <c r="F17998" t="s">
        <v>0</v>
      </c>
      <c r="G17998" t="str">
        <f>"2018-10-11 14:58:20"</f>
        <v>2018-10-11 14:58:20</v>
      </c>
    </row>
    <row r="17999" spans="1:7" x14ac:dyDescent="0.2">
      <c r="A17999" t="s">
        <v>1</v>
      </c>
      <c r="B17999" t="str">
        <f>"17151076472"</f>
        <v>17151076472</v>
      </c>
      <c r="C17999" t="s">
        <v>1</v>
      </c>
      <c r="D17999" t="s">
        <v>1</v>
      </c>
      <c r="E17999" t="s">
        <v>1</v>
      </c>
      <c r="F17999" t="s">
        <v>0</v>
      </c>
      <c r="G17999" t="str">
        <f>"2018-10-11 14:56:45"</f>
        <v>2018-10-11 14:56:45</v>
      </c>
    </row>
    <row r="18000" spans="1:7" x14ac:dyDescent="0.2">
      <c r="A18000" t="s">
        <v>17027</v>
      </c>
      <c r="B18000" t="str">
        <f>"18871121053"</f>
        <v>18871121053</v>
      </c>
      <c r="C18000" t="str">
        <f>"420983199404242436"</f>
        <v>420983199404242436</v>
      </c>
      <c r="D18000" t="s">
        <v>1</v>
      </c>
      <c r="E18000" t="s">
        <v>1</v>
      </c>
      <c r="F18000" t="s">
        <v>0</v>
      </c>
      <c r="G18000" t="str">
        <f>"2018-10-11 14:56:35"</f>
        <v>2018-10-11 14:56:35</v>
      </c>
    </row>
    <row r="18001" spans="1:7" x14ac:dyDescent="0.2">
      <c r="A18001" t="s">
        <v>6997</v>
      </c>
      <c r="B18001" t="str">
        <f>"18387247020"</f>
        <v>18387247020</v>
      </c>
      <c r="C18001" t="str">
        <f>"532901199512224932"</f>
        <v>532901199512224932</v>
      </c>
      <c r="D18001" t="s">
        <v>1</v>
      </c>
      <c r="E18001" t="s">
        <v>1</v>
      </c>
      <c r="F18001" t="s">
        <v>0</v>
      </c>
      <c r="G18001" t="str">
        <f>"2018-10-12 14:05:09"</f>
        <v>2018-10-12 14:05:09</v>
      </c>
    </row>
    <row r="18002" spans="1:7" x14ac:dyDescent="0.2">
      <c r="A18002" t="s">
        <v>17028</v>
      </c>
      <c r="B18002" t="str">
        <f>"13833491839"</f>
        <v>13833491839</v>
      </c>
      <c r="C18002" t="str">
        <f>"130604198502050627"</f>
        <v>130604198502050627</v>
      </c>
      <c r="D18002" t="s">
        <v>17029</v>
      </c>
      <c r="E18002" t="s">
        <v>17030</v>
      </c>
      <c r="F18002" t="s">
        <v>0</v>
      </c>
      <c r="G18002" t="str">
        <f>"2018-10-15 12:00:36"</f>
        <v>2018-10-15 12:00:36</v>
      </c>
    </row>
    <row r="18003" spans="1:7" x14ac:dyDescent="0.2">
      <c r="A18003" t="s">
        <v>17031</v>
      </c>
      <c r="B18003" t="str">
        <f>"15690153017"</f>
        <v>15690153017</v>
      </c>
      <c r="C18003" t="str">
        <f>"421182199502255557"</f>
        <v>421182199502255557</v>
      </c>
      <c r="D18003" t="s">
        <v>1</v>
      </c>
      <c r="E18003" t="s">
        <v>1</v>
      </c>
      <c r="F18003" t="s">
        <v>0</v>
      </c>
      <c r="G18003" t="str">
        <f>"2018-10-11 14:57:38"</f>
        <v>2018-10-11 14:57:38</v>
      </c>
    </row>
    <row r="18004" spans="1:7" x14ac:dyDescent="0.2">
      <c r="A18004" t="s">
        <v>17032</v>
      </c>
      <c r="B18004" t="str">
        <f>"15517901077"</f>
        <v>15517901077</v>
      </c>
      <c r="C18004" t="str">
        <f>"410303199309201031"</f>
        <v>410303199309201031</v>
      </c>
      <c r="D18004" t="s">
        <v>1</v>
      </c>
      <c r="E18004" t="s">
        <v>1</v>
      </c>
      <c r="F18004" t="s">
        <v>0</v>
      </c>
      <c r="G18004" t="str">
        <f>"2018-10-11 15:02:10"</f>
        <v>2018-10-11 15:02:10</v>
      </c>
    </row>
    <row r="18005" spans="1:7" x14ac:dyDescent="0.2">
      <c r="A18005" t="s">
        <v>1</v>
      </c>
      <c r="B18005" t="str">
        <f>"18321217115"</f>
        <v>18321217115</v>
      </c>
      <c r="C18005" t="s">
        <v>1</v>
      </c>
      <c r="D18005" t="s">
        <v>1</v>
      </c>
      <c r="E18005" t="s">
        <v>1</v>
      </c>
      <c r="F18005" t="s">
        <v>0</v>
      </c>
      <c r="G18005" t="str">
        <f>"2018-10-11 14:52:58"</f>
        <v>2018-10-11 14:52:58</v>
      </c>
    </row>
    <row r="18006" spans="1:7" x14ac:dyDescent="0.2">
      <c r="A18006" t="s">
        <v>17033</v>
      </c>
      <c r="B18006" t="str">
        <f>"13993545808"</f>
        <v>13993545808</v>
      </c>
      <c r="C18006" t="str">
        <f>"622322198407291814"</f>
        <v>622322198407291814</v>
      </c>
      <c r="D18006" t="s">
        <v>1</v>
      </c>
      <c r="E18006" t="s">
        <v>1</v>
      </c>
      <c r="F18006" t="s">
        <v>0</v>
      </c>
      <c r="G18006" t="str">
        <f>"2018-10-11 14:55:27"</f>
        <v>2018-10-11 14:55:27</v>
      </c>
    </row>
    <row r="18007" spans="1:7" x14ac:dyDescent="0.2">
      <c r="A18007" t="s">
        <v>1</v>
      </c>
      <c r="B18007" t="str">
        <f>"13279473841"</f>
        <v>13279473841</v>
      </c>
      <c r="C18007" t="s">
        <v>1</v>
      </c>
      <c r="D18007" t="s">
        <v>1</v>
      </c>
      <c r="E18007" t="s">
        <v>1</v>
      </c>
      <c r="F18007" t="s">
        <v>0</v>
      </c>
      <c r="G18007" t="str">
        <f>"2018-10-11 14:51:24"</f>
        <v>2018-10-11 14:51:24</v>
      </c>
    </row>
    <row r="18008" spans="1:7" x14ac:dyDescent="0.2">
      <c r="A18008" t="s">
        <v>1</v>
      </c>
      <c r="B18008" t="str">
        <f>"15887158276"</f>
        <v>15887158276</v>
      </c>
      <c r="C18008" t="s">
        <v>1</v>
      </c>
      <c r="D18008" t="s">
        <v>1</v>
      </c>
      <c r="E18008" t="s">
        <v>1</v>
      </c>
      <c r="F18008" t="s">
        <v>0</v>
      </c>
      <c r="G18008" t="str">
        <f>"2018-10-11 14:52:21"</f>
        <v>2018-10-11 14:52:21</v>
      </c>
    </row>
    <row r="18009" spans="1:7" x14ac:dyDescent="0.2">
      <c r="A18009" t="s">
        <v>1</v>
      </c>
      <c r="B18009" t="str">
        <f>"15276932655"</f>
        <v>15276932655</v>
      </c>
      <c r="C18009" t="s">
        <v>1</v>
      </c>
      <c r="D18009" t="s">
        <v>1</v>
      </c>
      <c r="E18009" t="s">
        <v>1</v>
      </c>
      <c r="F18009" t="s">
        <v>0</v>
      </c>
      <c r="G18009" t="str">
        <f>"2018-10-11 14:50:11"</f>
        <v>2018-10-11 14:50:11</v>
      </c>
    </row>
    <row r="18010" spans="1:7" x14ac:dyDescent="0.2">
      <c r="A18010" t="s">
        <v>17034</v>
      </c>
      <c r="B18010" t="str">
        <f>"15906751052"</f>
        <v>15906751052</v>
      </c>
      <c r="C18010" t="str">
        <f>"339005199102017418"</f>
        <v>339005199102017418</v>
      </c>
      <c r="D18010" t="s">
        <v>1</v>
      </c>
      <c r="E18010" t="s">
        <v>1</v>
      </c>
      <c r="F18010" t="s">
        <v>0</v>
      </c>
      <c r="G18010" t="str">
        <f>"2018-10-11 14:51:12"</f>
        <v>2018-10-11 14:51:12</v>
      </c>
    </row>
    <row r="18011" spans="1:7" x14ac:dyDescent="0.2">
      <c r="A18011" t="s">
        <v>1</v>
      </c>
      <c r="B18011" t="str">
        <f>"13799631538"</f>
        <v>13799631538</v>
      </c>
      <c r="C18011" t="s">
        <v>1</v>
      </c>
      <c r="D18011" t="s">
        <v>1</v>
      </c>
      <c r="E18011" t="s">
        <v>1</v>
      </c>
      <c r="F18011" t="s">
        <v>0</v>
      </c>
      <c r="G18011" t="str">
        <f>"2018-10-11 14:54:58"</f>
        <v>2018-10-11 14:54:58</v>
      </c>
    </row>
    <row r="18012" spans="1:7" x14ac:dyDescent="0.2">
      <c r="A18012" t="s">
        <v>17035</v>
      </c>
      <c r="B18012" t="str">
        <f>"13030281101"</f>
        <v>13030281101</v>
      </c>
      <c r="C18012" t="str">
        <f>"445302198005150334"</f>
        <v>445302198005150334</v>
      </c>
      <c r="D18012" t="s">
        <v>17036</v>
      </c>
      <c r="E18012" t="s">
        <v>17037</v>
      </c>
      <c r="F18012" t="s">
        <v>0</v>
      </c>
      <c r="G18012" t="str">
        <f>"2018-10-11 14:53:57"</f>
        <v>2018-10-11 14:53:57</v>
      </c>
    </row>
    <row r="18013" spans="1:7" x14ac:dyDescent="0.2">
      <c r="A18013" t="s">
        <v>1</v>
      </c>
      <c r="B18013" t="str">
        <f>"13100509042"</f>
        <v>13100509042</v>
      </c>
      <c r="C18013" t="s">
        <v>1</v>
      </c>
      <c r="D18013" t="s">
        <v>1</v>
      </c>
      <c r="E18013" t="s">
        <v>1</v>
      </c>
      <c r="F18013" t="s">
        <v>0</v>
      </c>
      <c r="G18013" t="str">
        <f>"2018-10-11 14:49:10"</f>
        <v>2018-10-11 14:49:10</v>
      </c>
    </row>
    <row r="18014" spans="1:7" x14ac:dyDescent="0.2">
      <c r="A18014" t="s">
        <v>1</v>
      </c>
      <c r="B18014" t="str">
        <f>"13186734136"</f>
        <v>13186734136</v>
      </c>
      <c r="C18014" t="s">
        <v>1</v>
      </c>
      <c r="D18014" t="s">
        <v>1</v>
      </c>
      <c r="E18014" t="s">
        <v>1</v>
      </c>
      <c r="F18014" t="s">
        <v>0</v>
      </c>
      <c r="G18014" t="str">
        <f>"2018-10-11 14:46:49"</f>
        <v>2018-10-11 14:46:49</v>
      </c>
    </row>
    <row r="18015" spans="1:7" x14ac:dyDescent="0.2">
      <c r="A18015" t="s">
        <v>17038</v>
      </c>
      <c r="B18015" t="str">
        <f>"18772458983"</f>
        <v>18772458983</v>
      </c>
      <c r="C18015" t="str">
        <f>"421122198201281822"</f>
        <v>421122198201281822</v>
      </c>
      <c r="D18015" t="s">
        <v>1</v>
      </c>
      <c r="E18015" t="s">
        <v>1</v>
      </c>
      <c r="F18015" t="s">
        <v>0</v>
      </c>
      <c r="G18015" t="str">
        <f>"2018-10-11 14:48:21"</f>
        <v>2018-10-11 14:48:21</v>
      </c>
    </row>
    <row r="18016" spans="1:7" x14ac:dyDescent="0.2">
      <c r="A18016" t="s">
        <v>17039</v>
      </c>
      <c r="B18016" t="str">
        <f>"13934970550"</f>
        <v>13934970550</v>
      </c>
      <c r="C18016" t="str">
        <f>"140622199204130038"</f>
        <v>140622199204130038</v>
      </c>
      <c r="D18016" t="s">
        <v>1</v>
      </c>
      <c r="E18016" t="s">
        <v>1</v>
      </c>
      <c r="F18016" t="s">
        <v>0</v>
      </c>
      <c r="G18016" t="str">
        <f>"2018-10-11 18:02:00"</f>
        <v>2018-10-11 18:02:00</v>
      </c>
    </row>
    <row r="18017" spans="1:7" x14ac:dyDescent="0.2">
      <c r="A18017" t="s">
        <v>1</v>
      </c>
      <c r="B18017" t="str">
        <f>"14763302570"</f>
        <v>14763302570</v>
      </c>
      <c r="C18017" t="s">
        <v>1</v>
      </c>
      <c r="D18017" t="s">
        <v>1</v>
      </c>
      <c r="E18017" t="s">
        <v>1</v>
      </c>
      <c r="F18017" t="s">
        <v>0</v>
      </c>
      <c r="G18017" t="str">
        <f>"2018-10-11 14:45:06"</f>
        <v>2018-10-11 14:45:06</v>
      </c>
    </row>
    <row r="18018" spans="1:7" x14ac:dyDescent="0.2">
      <c r="A18018" t="s">
        <v>1</v>
      </c>
      <c r="B18018" t="str">
        <f>"18378686351"</f>
        <v>18378686351</v>
      </c>
      <c r="C18018" t="s">
        <v>1</v>
      </c>
      <c r="D18018" t="s">
        <v>1</v>
      </c>
      <c r="E18018" t="s">
        <v>1</v>
      </c>
      <c r="F18018" t="s">
        <v>0</v>
      </c>
      <c r="G18018" t="str">
        <f>"2018-10-11 14:45:04"</f>
        <v>2018-10-11 14:45:04</v>
      </c>
    </row>
    <row r="18019" spans="1:7" x14ac:dyDescent="0.2">
      <c r="A18019" t="s">
        <v>17040</v>
      </c>
      <c r="B18019" t="str">
        <f>"18501316834"</f>
        <v>18501316834</v>
      </c>
      <c r="C18019" t="str">
        <f>"230621199810260620"</f>
        <v>230621199810260620</v>
      </c>
      <c r="D18019" t="s">
        <v>1</v>
      </c>
      <c r="E18019" t="s">
        <v>1</v>
      </c>
      <c r="F18019" t="s">
        <v>0</v>
      </c>
      <c r="G18019" t="str">
        <f>"2018-10-11 15:04:39"</f>
        <v>2018-10-11 15:04:39</v>
      </c>
    </row>
    <row r="18020" spans="1:7" x14ac:dyDescent="0.2">
      <c r="A18020" t="s">
        <v>17041</v>
      </c>
      <c r="B18020" t="str">
        <f>"13665885877"</f>
        <v>13665885877</v>
      </c>
      <c r="C18020" t="str">
        <f>"330721197612061014"</f>
        <v>330721197612061014</v>
      </c>
      <c r="D18020" t="s">
        <v>1</v>
      </c>
      <c r="E18020" t="s">
        <v>1</v>
      </c>
      <c r="F18020" t="s">
        <v>0</v>
      </c>
      <c r="G18020" t="str">
        <f>"2018-10-11 14:47:59"</f>
        <v>2018-10-11 14:47:59</v>
      </c>
    </row>
    <row r="18021" spans="1:7" x14ac:dyDescent="0.2">
      <c r="A18021" t="s">
        <v>17042</v>
      </c>
      <c r="B18021" t="str">
        <f>"15173629635"</f>
        <v>15173629635</v>
      </c>
      <c r="C18021" t="str">
        <f>"432427197102161039"</f>
        <v>432427197102161039</v>
      </c>
      <c r="D18021" t="s">
        <v>1</v>
      </c>
      <c r="E18021" t="s">
        <v>1</v>
      </c>
      <c r="F18021" t="s">
        <v>0</v>
      </c>
      <c r="G18021" t="str">
        <f>"2018-10-11 14:48:02"</f>
        <v>2018-10-11 14:48:02</v>
      </c>
    </row>
    <row r="18022" spans="1:7" x14ac:dyDescent="0.2">
      <c r="A18022" t="s">
        <v>10</v>
      </c>
      <c r="B18022" t="str">
        <f>"13583535120"</f>
        <v>13583535120</v>
      </c>
      <c r="C18022" t="str">
        <f>"370685199208051319"</f>
        <v>370685199208051319</v>
      </c>
      <c r="D18022" t="s">
        <v>1</v>
      </c>
      <c r="E18022" t="s">
        <v>1</v>
      </c>
      <c r="F18022" t="s">
        <v>0</v>
      </c>
      <c r="G18022" t="str">
        <f>"2018-10-11 14:51:19"</f>
        <v>2018-10-11 14:51:19</v>
      </c>
    </row>
    <row r="18023" spans="1:7" x14ac:dyDescent="0.2">
      <c r="A18023" t="s">
        <v>1</v>
      </c>
      <c r="B18023" t="str">
        <f>"15753053551"</f>
        <v>15753053551</v>
      </c>
      <c r="C18023" t="s">
        <v>1</v>
      </c>
      <c r="D18023" t="s">
        <v>1</v>
      </c>
      <c r="E18023" t="s">
        <v>1</v>
      </c>
      <c r="F18023" t="s">
        <v>0</v>
      </c>
      <c r="G18023" t="str">
        <f>"2018-10-11 14:41:21"</f>
        <v>2018-10-11 14:41:21</v>
      </c>
    </row>
    <row r="18024" spans="1:7" x14ac:dyDescent="0.2">
      <c r="A18024" t="s">
        <v>1</v>
      </c>
      <c r="B18024" t="str">
        <f>"15007615102"</f>
        <v>15007615102</v>
      </c>
      <c r="C18024" t="s">
        <v>1</v>
      </c>
      <c r="D18024" t="s">
        <v>1</v>
      </c>
      <c r="E18024" t="s">
        <v>1</v>
      </c>
      <c r="F18024" t="s">
        <v>0</v>
      </c>
      <c r="G18024" t="str">
        <f>"2018-10-11 14:40:02"</f>
        <v>2018-10-11 14:40:02</v>
      </c>
    </row>
    <row r="18025" spans="1:7" x14ac:dyDescent="0.2">
      <c r="A18025" t="s">
        <v>1747</v>
      </c>
      <c r="B18025" t="str">
        <f>"18638233062"</f>
        <v>18638233062</v>
      </c>
      <c r="C18025" t="str">
        <f>"413026199612301511"</f>
        <v>413026199612301511</v>
      </c>
      <c r="D18025" t="s">
        <v>17043</v>
      </c>
      <c r="E18025" t="s">
        <v>17044</v>
      </c>
      <c r="F18025" t="s">
        <v>0</v>
      </c>
      <c r="G18025" t="str">
        <f>"2018-10-11 14:43:58"</f>
        <v>2018-10-11 14:43:58</v>
      </c>
    </row>
    <row r="18026" spans="1:7" x14ac:dyDescent="0.2">
      <c r="A18026" t="s">
        <v>17045</v>
      </c>
      <c r="B18026" t="str">
        <f>"17560616092"</f>
        <v>17560616092</v>
      </c>
      <c r="C18026" t="str">
        <f>"370724199910103628"</f>
        <v>370724199910103628</v>
      </c>
      <c r="D18026" t="s">
        <v>17046</v>
      </c>
      <c r="E18026" t="s">
        <v>17047</v>
      </c>
      <c r="F18026" t="s">
        <v>0</v>
      </c>
      <c r="G18026" t="str">
        <f>"2018-10-11 14:40:36"</f>
        <v>2018-10-11 14:40:36</v>
      </c>
    </row>
    <row r="18027" spans="1:7" x14ac:dyDescent="0.2">
      <c r="A18027" t="s">
        <v>17048</v>
      </c>
      <c r="B18027" t="str">
        <f>"15643924119"</f>
        <v>15643924119</v>
      </c>
      <c r="C18027" t="str">
        <f>"220221198304240522"</f>
        <v>220221198304240522</v>
      </c>
      <c r="D18027" t="s">
        <v>1</v>
      </c>
      <c r="E18027" t="s">
        <v>1</v>
      </c>
      <c r="F18027" t="s">
        <v>0</v>
      </c>
      <c r="G18027" t="str">
        <f>"2018-10-11 14:40:07"</f>
        <v>2018-10-11 14:40:07</v>
      </c>
    </row>
    <row r="18028" spans="1:7" x14ac:dyDescent="0.2">
      <c r="A18028" t="s">
        <v>17049</v>
      </c>
      <c r="B18028" t="str">
        <f>"18019980106"</f>
        <v>18019980106</v>
      </c>
      <c r="C18028" t="str">
        <f>"340881198811035335"</f>
        <v>340881198811035335</v>
      </c>
      <c r="D18028" t="s">
        <v>1</v>
      </c>
      <c r="E18028" t="s">
        <v>1</v>
      </c>
      <c r="F18028" t="s">
        <v>0</v>
      </c>
      <c r="G18028" t="str">
        <f>"2018-10-11 14:57:44"</f>
        <v>2018-10-11 14:57:44</v>
      </c>
    </row>
    <row r="18029" spans="1:7" x14ac:dyDescent="0.2">
      <c r="A18029" t="s">
        <v>1</v>
      </c>
      <c r="B18029" t="str">
        <f>"13549914591"</f>
        <v>13549914591</v>
      </c>
      <c r="C18029" t="s">
        <v>1</v>
      </c>
      <c r="D18029" t="s">
        <v>1</v>
      </c>
      <c r="E18029" t="s">
        <v>1</v>
      </c>
      <c r="F18029" t="s">
        <v>0</v>
      </c>
      <c r="G18029" t="str">
        <f>"2018-10-11 14:38:22"</f>
        <v>2018-10-11 14:38:22</v>
      </c>
    </row>
    <row r="18030" spans="1:7" x14ac:dyDescent="0.2">
      <c r="A18030" t="s">
        <v>1</v>
      </c>
      <c r="B18030" t="str">
        <f>"13267535853"</f>
        <v>13267535853</v>
      </c>
      <c r="C18030" t="s">
        <v>1</v>
      </c>
      <c r="D18030" t="s">
        <v>1</v>
      </c>
      <c r="E18030" t="s">
        <v>1</v>
      </c>
      <c r="F18030" t="s">
        <v>0</v>
      </c>
      <c r="G18030" t="str">
        <f>"2018-10-11 14:37:19"</f>
        <v>2018-10-11 14:37:19</v>
      </c>
    </row>
    <row r="18031" spans="1:7" x14ac:dyDescent="0.2">
      <c r="A18031" t="s">
        <v>17050</v>
      </c>
      <c r="B18031" t="str">
        <f>"18841321016"</f>
        <v>18841321016</v>
      </c>
      <c r="C18031" t="str">
        <f>"210403199807102122"</f>
        <v>210403199807102122</v>
      </c>
      <c r="D18031" t="s">
        <v>1</v>
      </c>
      <c r="E18031" t="s">
        <v>1</v>
      </c>
      <c r="F18031" t="s">
        <v>0</v>
      </c>
      <c r="G18031" t="str">
        <f>"2018-10-11 14:37:05"</f>
        <v>2018-10-11 14:37:05</v>
      </c>
    </row>
    <row r="18032" spans="1:7" x14ac:dyDescent="0.2">
      <c r="A18032" t="s">
        <v>1</v>
      </c>
      <c r="B18032" t="str">
        <f>"18769301085"</f>
        <v>18769301085</v>
      </c>
      <c r="C18032" t="s">
        <v>1</v>
      </c>
      <c r="D18032" t="s">
        <v>1</v>
      </c>
      <c r="E18032" t="s">
        <v>1</v>
      </c>
      <c r="F18032" t="s">
        <v>0</v>
      </c>
      <c r="G18032" t="str">
        <f>"2018-10-11 14:36:44"</f>
        <v>2018-10-11 14:36:44</v>
      </c>
    </row>
    <row r="18033" spans="1:7" x14ac:dyDescent="0.2">
      <c r="A18033" t="s">
        <v>17051</v>
      </c>
      <c r="B18033" t="str">
        <f>"18367666607"</f>
        <v>18367666607</v>
      </c>
      <c r="C18033" t="str">
        <f>"331081199701061217"</f>
        <v>331081199701061217</v>
      </c>
      <c r="D18033" t="s">
        <v>1</v>
      </c>
      <c r="E18033" t="s">
        <v>1</v>
      </c>
      <c r="F18033" t="s">
        <v>0</v>
      </c>
      <c r="G18033" t="str">
        <f>"2018-10-11 14:37:47"</f>
        <v>2018-10-11 14:37:47</v>
      </c>
    </row>
    <row r="18034" spans="1:7" x14ac:dyDescent="0.2">
      <c r="A18034" t="s">
        <v>1</v>
      </c>
      <c r="B18034" t="str">
        <f>"13245973607"</f>
        <v>13245973607</v>
      </c>
      <c r="C18034" t="s">
        <v>1</v>
      </c>
      <c r="D18034" t="s">
        <v>1</v>
      </c>
      <c r="E18034" t="s">
        <v>1</v>
      </c>
      <c r="F18034" t="s">
        <v>0</v>
      </c>
      <c r="G18034" t="str">
        <f>"2018-10-11 14:33:51"</f>
        <v>2018-10-11 14:33:51</v>
      </c>
    </row>
    <row r="18035" spans="1:7" x14ac:dyDescent="0.2">
      <c r="A18035" t="s">
        <v>17052</v>
      </c>
      <c r="B18035" t="str">
        <f>"18094391478"</f>
        <v>18094391478</v>
      </c>
      <c r="C18035" t="str">
        <f>"320682199503137299"</f>
        <v>320682199503137299</v>
      </c>
      <c r="D18035" t="s">
        <v>1</v>
      </c>
      <c r="E18035" t="s">
        <v>1</v>
      </c>
      <c r="F18035" t="s">
        <v>0</v>
      </c>
      <c r="G18035" t="str">
        <f>"2018-10-11 14:51:19"</f>
        <v>2018-10-11 14:51:19</v>
      </c>
    </row>
    <row r="18036" spans="1:7" x14ac:dyDescent="0.2">
      <c r="A18036" t="s">
        <v>1221</v>
      </c>
      <c r="B18036" t="str">
        <f>"18366663688"</f>
        <v>18366663688</v>
      </c>
      <c r="C18036" t="str">
        <f>"350303199109091310"</f>
        <v>350303199109091310</v>
      </c>
      <c r="D18036" t="s">
        <v>17053</v>
      </c>
      <c r="E18036" t="s">
        <v>17054</v>
      </c>
      <c r="F18036" t="s">
        <v>0</v>
      </c>
      <c r="G18036" t="str">
        <f>"2018-10-11 14:57:53"</f>
        <v>2018-10-11 14:57:53</v>
      </c>
    </row>
    <row r="18037" spans="1:7" x14ac:dyDescent="0.2">
      <c r="A18037" t="s">
        <v>1</v>
      </c>
      <c r="B18037" t="str">
        <f>"13860878823"</f>
        <v>13860878823</v>
      </c>
      <c r="C18037" t="s">
        <v>1</v>
      </c>
      <c r="D18037" t="s">
        <v>1</v>
      </c>
      <c r="E18037" t="s">
        <v>1</v>
      </c>
      <c r="F18037" t="s">
        <v>0</v>
      </c>
      <c r="G18037" t="str">
        <f>"2018-10-11 14:32:17"</f>
        <v>2018-10-11 14:32:17</v>
      </c>
    </row>
    <row r="18038" spans="1:7" x14ac:dyDescent="0.2">
      <c r="A18038" t="s">
        <v>17055</v>
      </c>
      <c r="B18038" t="str">
        <f>"18623472456"</f>
        <v>18623472456</v>
      </c>
      <c r="C18038" t="str">
        <f>"500233198506082158"</f>
        <v>500233198506082158</v>
      </c>
      <c r="D18038" t="s">
        <v>1</v>
      </c>
      <c r="E18038" t="s">
        <v>1</v>
      </c>
      <c r="F18038" t="s">
        <v>0</v>
      </c>
      <c r="G18038" t="str">
        <f>"2018-10-17 22:45:38"</f>
        <v>2018-10-17 22:45:38</v>
      </c>
    </row>
    <row r="18039" spans="1:7" x14ac:dyDescent="0.2">
      <c r="A18039" t="s">
        <v>17056</v>
      </c>
      <c r="B18039" t="str">
        <f>"13767666797"</f>
        <v>13767666797</v>
      </c>
      <c r="C18039" t="str">
        <f>"362522198805150010"</f>
        <v>362522198805150010</v>
      </c>
      <c r="D18039" t="s">
        <v>1</v>
      </c>
      <c r="E18039" t="s">
        <v>1</v>
      </c>
      <c r="F18039" t="s">
        <v>0</v>
      </c>
      <c r="G18039" t="str">
        <f>"2018-10-11 14:33:47"</f>
        <v>2018-10-11 14:33:47</v>
      </c>
    </row>
    <row r="18040" spans="1:7" x14ac:dyDescent="0.2">
      <c r="A18040" t="s">
        <v>996</v>
      </c>
      <c r="B18040" t="str">
        <f>"15729400085"</f>
        <v>15729400085</v>
      </c>
      <c r="C18040" t="str">
        <f>"410882199001051519"</f>
        <v>410882199001051519</v>
      </c>
      <c r="D18040" t="s">
        <v>1</v>
      </c>
      <c r="E18040" t="s">
        <v>1</v>
      </c>
      <c r="F18040" t="s">
        <v>0</v>
      </c>
      <c r="G18040" t="str">
        <f>"2018-10-11 15:16:14"</f>
        <v>2018-10-11 15:16:14</v>
      </c>
    </row>
    <row r="18041" spans="1:7" x14ac:dyDescent="0.2">
      <c r="A18041" t="s">
        <v>17057</v>
      </c>
      <c r="B18041" t="str">
        <f>"15514785182"</f>
        <v>15514785182</v>
      </c>
      <c r="C18041" t="str">
        <f>"410803198511180011"</f>
        <v>410803198511180011</v>
      </c>
      <c r="D18041" t="s">
        <v>1</v>
      </c>
      <c r="E18041" t="s">
        <v>1</v>
      </c>
      <c r="F18041" t="s">
        <v>0</v>
      </c>
      <c r="G18041" t="str">
        <f>"2018-10-11 14:32:17"</f>
        <v>2018-10-11 14:32:17</v>
      </c>
    </row>
    <row r="18042" spans="1:7" x14ac:dyDescent="0.2">
      <c r="A18042" t="s">
        <v>17058</v>
      </c>
      <c r="B18042" t="str">
        <f>"15084492678"</f>
        <v>15084492678</v>
      </c>
      <c r="C18042" t="str">
        <f>"500236199410266036"</f>
        <v>500236199410266036</v>
      </c>
      <c r="D18042" t="s">
        <v>1</v>
      </c>
      <c r="E18042" t="s">
        <v>1</v>
      </c>
      <c r="F18042" t="s">
        <v>0</v>
      </c>
      <c r="G18042" t="str">
        <f>"2018-10-11 14:31:30"</f>
        <v>2018-10-11 14:31:30</v>
      </c>
    </row>
    <row r="18043" spans="1:7" x14ac:dyDescent="0.2">
      <c r="A18043" t="s">
        <v>17059</v>
      </c>
      <c r="B18043" t="str">
        <f>"18695610410"</f>
        <v>18695610410</v>
      </c>
      <c r="C18043" t="str">
        <f>"350322199602194814"</f>
        <v>350322199602194814</v>
      </c>
      <c r="D18043" t="s">
        <v>1</v>
      </c>
      <c r="E18043" t="s">
        <v>1</v>
      </c>
      <c r="F18043" t="s">
        <v>0</v>
      </c>
      <c r="G18043" t="str">
        <f>"2018-10-11 14:41:23"</f>
        <v>2018-10-11 14:41:23</v>
      </c>
    </row>
    <row r="18044" spans="1:7" x14ac:dyDescent="0.2">
      <c r="A18044" t="s">
        <v>17060</v>
      </c>
      <c r="B18044" t="str">
        <f>"15860625220"</f>
        <v>15860625220</v>
      </c>
      <c r="C18044" t="str">
        <f>"445121199611033616"</f>
        <v>445121199611033616</v>
      </c>
      <c r="D18044" t="s">
        <v>1</v>
      </c>
      <c r="E18044" t="s">
        <v>1</v>
      </c>
      <c r="F18044" t="s">
        <v>0</v>
      </c>
      <c r="G18044" t="str">
        <f>"2018-10-11 14:32:54"</f>
        <v>2018-10-11 14:32:54</v>
      </c>
    </row>
    <row r="18045" spans="1:7" x14ac:dyDescent="0.2">
      <c r="A18045" t="s">
        <v>1131</v>
      </c>
      <c r="B18045" t="str">
        <f>"15827022133"</f>
        <v>15827022133</v>
      </c>
      <c r="C18045" t="str">
        <f>"420529199112051523"</f>
        <v>420529199112051523</v>
      </c>
      <c r="D18045" t="s">
        <v>1</v>
      </c>
      <c r="E18045" t="s">
        <v>1</v>
      </c>
      <c r="F18045" t="s">
        <v>0</v>
      </c>
      <c r="G18045" t="str">
        <f>"2018-10-11 14:30:48"</f>
        <v>2018-10-11 14:30:48</v>
      </c>
    </row>
    <row r="18046" spans="1:7" x14ac:dyDescent="0.2">
      <c r="A18046" t="s">
        <v>437</v>
      </c>
      <c r="B18046" t="str">
        <f>"15234582521"</f>
        <v>15234582521</v>
      </c>
      <c r="C18046" t="str">
        <f>"140421199103126833"</f>
        <v>140421199103126833</v>
      </c>
      <c r="D18046" t="s">
        <v>1</v>
      </c>
      <c r="E18046" t="s">
        <v>1</v>
      </c>
      <c r="F18046" t="s">
        <v>0</v>
      </c>
      <c r="G18046" t="str">
        <f>"2018-10-11 14:29:41"</f>
        <v>2018-10-11 14:29:41</v>
      </c>
    </row>
    <row r="18047" spans="1:7" x14ac:dyDescent="0.2">
      <c r="A18047" t="s">
        <v>17061</v>
      </c>
      <c r="B18047" t="str">
        <f>"18256008224"</f>
        <v>18256008224</v>
      </c>
      <c r="C18047" t="str">
        <f>"342401199512057633"</f>
        <v>342401199512057633</v>
      </c>
      <c r="D18047" t="s">
        <v>1</v>
      </c>
      <c r="E18047" t="s">
        <v>1</v>
      </c>
      <c r="F18047" t="s">
        <v>0</v>
      </c>
      <c r="G18047" t="str">
        <f>"2018-10-11 14:38:23"</f>
        <v>2018-10-11 14:38:23</v>
      </c>
    </row>
    <row r="18048" spans="1:7" x14ac:dyDescent="0.2">
      <c r="A18048" t="s">
        <v>17062</v>
      </c>
      <c r="B18048" t="str">
        <f>"18910302253"</f>
        <v>18910302253</v>
      </c>
      <c r="C18048" t="str">
        <f>"130425198809170616"</f>
        <v>130425198809170616</v>
      </c>
      <c r="D18048" t="s">
        <v>1</v>
      </c>
      <c r="E18048" t="s">
        <v>1</v>
      </c>
      <c r="F18048" t="s">
        <v>0</v>
      </c>
      <c r="G18048" t="str">
        <f>"2018-10-16 17:04:30"</f>
        <v>2018-10-16 17:04:30</v>
      </c>
    </row>
    <row r="18049" spans="1:7" x14ac:dyDescent="0.2">
      <c r="A18049" t="s">
        <v>17063</v>
      </c>
      <c r="B18049" t="str">
        <f>"13586007697"</f>
        <v>13586007697</v>
      </c>
      <c r="C18049" t="str">
        <f>"332624198805140026"</f>
        <v>332624198805140026</v>
      </c>
      <c r="D18049" t="s">
        <v>17064</v>
      </c>
      <c r="E18049" t="s">
        <v>17065</v>
      </c>
      <c r="F18049" t="s">
        <v>0</v>
      </c>
      <c r="G18049" t="str">
        <f>"2018-10-11 16:51:06"</f>
        <v>2018-10-11 16:51:06</v>
      </c>
    </row>
    <row r="18050" spans="1:7" x14ac:dyDescent="0.2">
      <c r="A18050" t="s">
        <v>1</v>
      </c>
      <c r="B18050" t="str">
        <f>"15386118596"</f>
        <v>15386118596</v>
      </c>
      <c r="C18050" t="s">
        <v>1</v>
      </c>
      <c r="D18050" t="s">
        <v>1</v>
      </c>
      <c r="E18050" t="s">
        <v>1</v>
      </c>
      <c r="F18050" t="s">
        <v>0</v>
      </c>
      <c r="G18050" t="str">
        <f>"2018-10-29 15:27:10"</f>
        <v>2018-10-29 15:27:10</v>
      </c>
    </row>
    <row r="18051" spans="1:7" x14ac:dyDescent="0.2">
      <c r="A18051" t="s">
        <v>1</v>
      </c>
      <c r="B18051" t="str">
        <f>"13480869097"</f>
        <v>13480869097</v>
      </c>
      <c r="C18051" t="s">
        <v>1</v>
      </c>
      <c r="D18051" t="s">
        <v>1</v>
      </c>
      <c r="E18051" t="s">
        <v>1</v>
      </c>
      <c r="F18051" t="s">
        <v>0</v>
      </c>
      <c r="G18051" t="str">
        <f>"2018-10-11 14:26:21"</f>
        <v>2018-10-11 14:26:21</v>
      </c>
    </row>
    <row r="18052" spans="1:7" x14ac:dyDescent="0.2">
      <c r="A18052" t="s">
        <v>17066</v>
      </c>
      <c r="B18052" t="str">
        <f>"15926224548"</f>
        <v>15926224548</v>
      </c>
      <c r="C18052" t="str">
        <f>"420984198906053645"</f>
        <v>420984198906053645</v>
      </c>
      <c r="D18052" t="s">
        <v>1</v>
      </c>
      <c r="E18052" t="s">
        <v>1</v>
      </c>
      <c r="F18052" t="s">
        <v>0</v>
      </c>
      <c r="G18052" t="str">
        <f>"2018-10-11 14:39:08"</f>
        <v>2018-10-11 14:39:08</v>
      </c>
    </row>
    <row r="18053" spans="1:7" x14ac:dyDescent="0.2">
      <c r="A18053" t="s">
        <v>17067</v>
      </c>
      <c r="B18053" t="str">
        <f>"18641211017"</f>
        <v>18641211017</v>
      </c>
      <c r="C18053" t="str">
        <f>"211021199408215316"</f>
        <v>211021199408215316</v>
      </c>
      <c r="D18053" t="s">
        <v>1</v>
      </c>
      <c r="E18053" t="s">
        <v>1</v>
      </c>
      <c r="F18053" t="s">
        <v>0</v>
      </c>
      <c r="G18053" t="str">
        <f>"2018-10-11 14:27:56"</f>
        <v>2018-10-11 14:27:56</v>
      </c>
    </row>
    <row r="18054" spans="1:7" x14ac:dyDescent="0.2">
      <c r="A18054" t="s">
        <v>1</v>
      </c>
      <c r="B18054" t="str">
        <f>"15102257316"</f>
        <v>15102257316</v>
      </c>
      <c r="C18054" t="s">
        <v>1</v>
      </c>
      <c r="D18054" t="s">
        <v>1</v>
      </c>
      <c r="E18054" t="s">
        <v>1</v>
      </c>
      <c r="F18054" t="s">
        <v>0</v>
      </c>
      <c r="G18054" t="str">
        <f>"2018-10-11 14:24:33"</f>
        <v>2018-10-11 14:24:33</v>
      </c>
    </row>
    <row r="18055" spans="1:7" x14ac:dyDescent="0.2">
      <c r="A18055" t="s">
        <v>17068</v>
      </c>
      <c r="B18055" t="str">
        <f>"18311596303"</f>
        <v>18311596303</v>
      </c>
      <c r="C18055" t="str">
        <f>"522101198105094421"</f>
        <v>522101198105094421</v>
      </c>
      <c r="D18055" t="s">
        <v>1</v>
      </c>
      <c r="E18055" t="s">
        <v>1</v>
      </c>
      <c r="F18055" t="s">
        <v>0</v>
      </c>
      <c r="G18055" t="str">
        <f>"2018-10-11 14:26:35"</f>
        <v>2018-10-11 14:26:35</v>
      </c>
    </row>
    <row r="18056" spans="1:7" x14ac:dyDescent="0.2">
      <c r="A18056" t="s">
        <v>17069</v>
      </c>
      <c r="B18056" t="str">
        <f>"15959848521"</f>
        <v>15959848521</v>
      </c>
      <c r="C18056" t="str">
        <f>"35042819900310151X"</f>
        <v>35042819900310151X</v>
      </c>
      <c r="D18056" t="s">
        <v>1</v>
      </c>
      <c r="E18056" t="s">
        <v>1</v>
      </c>
      <c r="F18056" t="s">
        <v>0</v>
      </c>
      <c r="G18056" t="str">
        <f>"2018-10-11 20:10:18"</f>
        <v>2018-10-11 20:10:18</v>
      </c>
    </row>
    <row r="18057" spans="1:7" x14ac:dyDescent="0.2">
      <c r="A18057" t="s">
        <v>837</v>
      </c>
      <c r="B18057" t="str">
        <f>"15872181967"</f>
        <v>15872181967</v>
      </c>
      <c r="C18057" t="str">
        <f>"421022198609053975"</f>
        <v>421022198609053975</v>
      </c>
      <c r="D18057" t="s">
        <v>1</v>
      </c>
      <c r="E18057" t="s">
        <v>1</v>
      </c>
      <c r="F18057" t="s">
        <v>0</v>
      </c>
      <c r="G18057" t="str">
        <f>"2018-10-11 14:25:46"</f>
        <v>2018-10-11 14:25:46</v>
      </c>
    </row>
    <row r="18058" spans="1:7" x14ac:dyDescent="0.2">
      <c r="A18058" t="s">
        <v>1</v>
      </c>
      <c r="B18058" t="str">
        <f>"13976612717"</f>
        <v>13976612717</v>
      </c>
      <c r="C18058" t="s">
        <v>1</v>
      </c>
      <c r="D18058" t="s">
        <v>1</v>
      </c>
      <c r="E18058" t="s">
        <v>1</v>
      </c>
      <c r="F18058" t="s">
        <v>0</v>
      </c>
      <c r="G18058" t="str">
        <f>"2018-10-11 14:22:47"</f>
        <v>2018-10-11 14:22:47</v>
      </c>
    </row>
    <row r="18059" spans="1:7" x14ac:dyDescent="0.2">
      <c r="A18059" t="s">
        <v>17070</v>
      </c>
      <c r="B18059" t="str">
        <f>"13150536322"</f>
        <v>13150536322</v>
      </c>
      <c r="C18059" t="str">
        <f>"530302199212152115"</f>
        <v>530302199212152115</v>
      </c>
      <c r="D18059" t="s">
        <v>17071</v>
      </c>
      <c r="E18059" t="s">
        <v>17072</v>
      </c>
      <c r="F18059" t="s">
        <v>0</v>
      </c>
      <c r="G18059" t="str">
        <f>"2018-10-12 14:23:18"</f>
        <v>2018-10-12 14:23:18</v>
      </c>
    </row>
    <row r="18060" spans="1:7" x14ac:dyDescent="0.2">
      <c r="A18060" t="s">
        <v>1</v>
      </c>
      <c r="B18060" t="str">
        <f>"18763376042"</f>
        <v>18763376042</v>
      </c>
      <c r="C18060" t="s">
        <v>1</v>
      </c>
      <c r="D18060" t="s">
        <v>1</v>
      </c>
      <c r="E18060" t="s">
        <v>1</v>
      </c>
      <c r="F18060" t="s">
        <v>0</v>
      </c>
      <c r="G18060" t="str">
        <f>"2018-10-11 14:21:58"</f>
        <v>2018-10-11 14:21:58</v>
      </c>
    </row>
    <row r="18061" spans="1:7" x14ac:dyDescent="0.2">
      <c r="A18061" t="s">
        <v>1730</v>
      </c>
      <c r="B18061" t="str">
        <f>"18666817431"</f>
        <v>18666817431</v>
      </c>
      <c r="C18061" t="str">
        <f>"440982199312216131"</f>
        <v>440982199312216131</v>
      </c>
      <c r="D18061" t="s">
        <v>1</v>
      </c>
      <c r="E18061" t="s">
        <v>1</v>
      </c>
      <c r="F18061" t="s">
        <v>0</v>
      </c>
      <c r="G18061" t="str">
        <f>"2018-10-11 14:23:33"</f>
        <v>2018-10-11 14:23:33</v>
      </c>
    </row>
    <row r="18062" spans="1:7" x14ac:dyDescent="0.2">
      <c r="A18062" t="s">
        <v>17073</v>
      </c>
      <c r="B18062" t="str">
        <f>"18719015488"</f>
        <v>18719015488</v>
      </c>
      <c r="C18062" t="str">
        <f>"362322197406236348"</f>
        <v>362322197406236348</v>
      </c>
      <c r="D18062" t="s">
        <v>1</v>
      </c>
      <c r="E18062" t="s">
        <v>1</v>
      </c>
      <c r="F18062" t="s">
        <v>0</v>
      </c>
      <c r="G18062" t="str">
        <f>"2018-10-11 14:20:38"</f>
        <v>2018-10-11 14:20:38</v>
      </c>
    </row>
    <row r="18063" spans="1:7" x14ac:dyDescent="0.2">
      <c r="A18063" t="s">
        <v>1</v>
      </c>
      <c r="B18063" t="str">
        <f>"13907738793"</f>
        <v>13907738793</v>
      </c>
      <c r="C18063" t="s">
        <v>1</v>
      </c>
      <c r="D18063" t="s">
        <v>1</v>
      </c>
      <c r="E18063" t="s">
        <v>1</v>
      </c>
      <c r="F18063" t="s">
        <v>0</v>
      </c>
      <c r="G18063" t="str">
        <f>"2018-10-11 14:18:42"</f>
        <v>2018-10-11 14:18:42</v>
      </c>
    </row>
    <row r="18064" spans="1:7" x14ac:dyDescent="0.2">
      <c r="A18064" t="s">
        <v>17074</v>
      </c>
      <c r="B18064" t="str">
        <f>"17795162715"</f>
        <v>17795162715</v>
      </c>
      <c r="C18064" t="str">
        <f>"640121198910130035"</f>
        <v>640121198910130035</v>
      </c>
      <c r="D18064" t="s">
        <v>1</v>
      </c>
      <c r="E18064" t="s">
        <v>1</v>
      </c>
      <c r="F18064" t="s">
        <v>0</v>
      </c>
      <c r="G18064" t="str">
        <f>"2018-10-11 14:19:53"</f>
        <v>2018-10-11 14:19:53</v>
      </c>
    </row>
    <row r="18065" spans="1:7" x14ac:dyDescent="0.2">
      <c r="A18065" t="s">
        <v>17075</v>
      </c>
      <c r="B18065" t="str">
        <f>"18294953143"</f>
        <v>18294953143</v>
      </c>
      <c r="C18065" t="str">
        <f>"62042119840110451X"</f>
        <v>62042119840110451X</v>
      </c>
      <c r="D18065" t="s">
        <v>1</v>
      </c>
      <c r="E18065" t="s">
        <v>1</v>
      </c>
      <c r="F18065" t="s">
        <v>0</v>
      </c>
      <c r="G18065" t="str">
        <f>"2018-10-11 14:18:37"</f>
        <v>2018-10-11 14:18:37</v>
      </c>
    </row>
    <row r="18066" spans="1:7" x14ac:dyDescent="0.2">
      <c r="A18066" t="s">
        <v>17076</v>
      </c>
      <c r="B18066" t="str">
        <f>"15759256305"</f>
        <v>15759256305</v>
      </c>
      <c r="C18066" t="str">
        <f>"350824199201131118"</f>
        <v>350824199201131118</v>
      </c>
      <c r="D18066" t="s">
        <v>1</v>
      </c>
      <c r="E18066" t="s">
        <v>1</v>
      </c>
      <c r="F18066" t="s">
        <v>0</v>
      </c>
      <c r="G18066" t="str">
        <f>"2018-10-11 14:17:15"</f>
        <v>2018-10-11 14:17:15</v>
      </c>
    </row>
    <row r="18067" spans="1:7" x14ac:dyDescent="0.2">
      <c r="A18067" t="s">
        <v>444</v>
      </c>
      <c r="B18067" t="str">
        <f>"18533669453"</f>
        <v>18533669453</v>
      </c>
      <c r="C18067" t="str">
        <f>"230229199508062550"</f>
        <v>230229199508062550</v>
      </c>
      <c r="D18067" t="s">
        <v>1</v>
      </c>
      <c r="E18067" t="s">
        <v>1</v>
      </c>
      <c r="F18067" t="s">
        <v>0</v>
      </c>
      <c r="G18067" t="str">
        <f>"2018-10-11 14:18:26"</f>
        <v>2018-10-11 14:18:26</v>
      </c>
    </row>
    <row r="18068" spans="1:7" x14ac:dyDescent="0.2">
      <c r="A18068" t="s">
        <v>1</v>
      </c>
      <c r="B18068" t="str">
        <f>"15587347676"</f>
        <v>15587347676</v>
      </c>
      <c r="C18068" t="s">
        <v>1</v>
      </c>
      <c r="D18068" t="s">
        <v>1</v>
      </c>
      <c r="E18068" t="s">
        <v>1</v>
      </c>
      <c r="F18068" t="s">
        <v>0</v>
      </c>
      <c r="G18068" t="str">
        <f>"2018-10-11 14:15:19"</f>
        <v>2018-10-11 14:15:19</v>
      </c>
    </row>
    <row r="18069" spans="1:7" x14ac:dyDescent="0.2">
      <c r="A18069" t="s">
        <v>17077</v>
      </c>
      <c r="B18069" t="str">
        <f>"15050155663"</f>
        <v>15050155663</v>
      </c>
      <c r="C18069" t="str">
        <f>"320586199011045830"</f>
        <v>320586199011045830</v>
      </c>
      <c r="D18069" t="s">
        <v>1</v>
      </c>
      <c r="E18069" t="s">
        <v>1</v>
      </c>
      <c r="F18069" t="s">
        <v>0</v>
      </c>
      <c r="G18069" t="str">
        <f>"2018-10-11 14:17:18"</f>
        <v>2018-10-11 14:17:18</v>
      </c>
    </row>
    <row r="18070" spans="1:7" x14ac:dyDescent="0.2">
      <c r="A18070" t="s">
        <v>17078</v>
      </c>
      <c r="B18070" t="str">
        <f>"13676922062"</f>
        <v>13676922062</v>
      </c>
      <c r="C18070" t="str">
        <f>"411527198604083021"</f>
        <v>411527198604083021</v>
      </c>
      <c r="D18070" t="s">
        <v>1</v>
      </c>
      <c r="E18070" t="s">
        <v>1</v>
      </c>
      <c r="F18070" t="s">
        <v>0</v>
      </c>
      <c r="G18070" t="str">
        <f>"2018-10-11 18:19:05"</f>
        <v>2018-10-11 18:19:05</v>
      </c>
    </row>
    <row r="18071" spans="1:7" x14ac:dyDescent="0.2">
      <c r="A18071" t="s">
        <v>17079</v>
      </c>
      <c r="B18071" t="str">
        <f>"15257312421"</f>
        <v>15257312421</v>
      </c>
      <c r="C18071" t="str">
        <f>"330425198210020512"</f>
        <v>330425198210020512</v>
      </c>
      <c r="D18071" t="s">
        <v>1</v>
      </c>
      <c r="E18071" t="s">
        <v>1</v>
      </c>
      <c r="F18071" t="s">
        <v>0</v>
      </c>
      <c r="G18071" t="str">
        <f>"2018-10-11 14:15:31"</f>
        <v>2018-10-11 14:15:31</v>
      </c>
    </row>
    <row r="18072" spans="1:7" x14ac:dyDescent="0.2">
      <c r="A18072" t="s">
        <v>17080</v>
      </c>
      <c r="B18072" t="str">
        <f>"13888247161"</f>
        <v>13888247161</v>
      </c>
      <c r="C18072" t="str">
        <f>"230822198012307132"</f>
        <v>230822198012307132</v>
      </c>
      <c r="D18072" t="s">
        <v>1</v>
      </c>
      <c r="E18072" t="s">
        <v>1</v>
      </c>
      <c r="F18072" t="s">
        <v>0</v>
      </c>
      <c r="G18072" t="str">
        <f>"2018-10-11 14:13:21"</f>
        <v>2018-10-11 14:13:21</v>
      </c>
    </row>
    <row r="18073" spans="1:7" x14ac:dyDescent="0.2">
      <c r="A18073" t="s">
        <v>17081</v>
      </c>
      <c r="B18073" t="str">
        <f>"18288018862"</f>
        <v>18288018862</v>
      </c>
      <c r="C18073" t="str">
        <f>"532801199208063710"</f>
        <v>532801199208063710</v>
      </c>
      <c r="D18073" t="s">
        <v>17082</v>
      </c>
      <c r="E18073" t="s">
        <v>17083</v>
      </c>
      <c r="F18073" t="s">
        <v>0</v>
      </c>
      <c r="G18073" t="str">
        <f>"2018-10-11 14:19:42"</f>
        <v>2018-10-11 14:19:42</v>
      </c>
    </row>
    <row r="18074" spans="1:7" x14ac:dyDescent="0.2">
      <c r="A18074" t="s">
        <v>1129</v>
      </c>
      <c r="B18074" t="str">
        <f>"13859516191"</f>
        <v>13859516191</v>
      </c>
      <c r="C18074" t="str">
        <f>"35080219881205354X"</f>
        <v>35080219881205354X</v>
      </c>
      <c r="D18074" t="s">
        <v>17084</v>
      </c>
      <c r="E18074" t="s">
        <v>17085</v>
      </c>
      <c r="F18074" t="s">
        <v>0</v>
      </c>
      <c r="G18074" t="str">
        <f>"2018-10-29 08:32:39"</f>
        <v>2018-10-29 08:32:39</v>
      </c>
    </row>
    <row r="18075" spans="1:7" x14ac:dyDescent="0.2">
      <c r="A18075" t="s">
        <v>17086</v>
      </c>
      <c r="B18075" t="str">
        <f>"13615061840"</f>
        <v>13615061840</v>
      </c>
      <c r="C18075" t="str">
        <f>"350681198301170044"</f>
        <v>350681198301170044</v>
      </c>
      <c r="D18075" t="s">
        <v>1</v>
      </c>
      <c r="E18075" t="s">
        <v>1</v>
      </c>
      <c r="F18075" t="s">
        <v>0</v>
      </c>
      <c r="G18075" t="str">
        <f>"2018-10-11 18:54:48"</f>
        <v>2018-10-11 18:54:48</v>
      </c>
    </row>
    <row r="18076" spans="1:7" x14ac:dyDescent="0.2">
      <c r="A18076" t="s">
        <v>1</v>
      </c>
      <c r="B18076" t="str">
        <f>"13221260541"</f>
        <v>13221260541</v>
      </c>
      <c r="C18076" t="s">
        <v>1</v>
      </c>
      <c r="D18076" t="s">
        <v>1</v>
      </c>
      <c r="E18076" t="s">
        <v>1</v>
      </c>
      <c r="F18076" t="s">
        <v>0</v>
      </c>
      <c r="G18076" t="str">
        <f>"2018-10-11 14:10:19"</f>
        <v>2018-10-11 14:10:19</v>
      </c>
    </row>
    <row r="18077" spans="1:7" x14ac:dyDescent="0.2">
      <c r="A18077" t="s">
        <v>1</v>
      </c>
      <c r="B18077" t="str">
        <f>"13858808589"</f>
        <v>13858808589</v>
      </c>
      <c r="C18077" t="s">
        <v>1</v>
      </c>
      <c r="D18077" t="s">
        <v>1</v>
      </c>
      <c r="E18077" t="s">
        <v>1</v>
      </c>
      <c r="F18077" t="s">
        <v>0</v>
      </c>
      <c r="G18077" t="str">
        <f>"2018-10-11 14:10:08"</f>
        <v>2018-10-11 14:10:08</v>
      </c>
    </row>
    <row r="18078" spans="1:7" x14ac:dyDescent="0.2">
      <c r="A18078" t="s">
        <v>17087</v>
      </c>
      <c r="B18078" t="str">
        <f>"15119227652"</f>
        <v>15119227652</v>
      </c>
      <c r="C18078" t="str">
        <f>"440203199002038620"</f>
        <v>440203199002038620</v>
      </c>
      <c r="D18078" t="s">
        <v>1</v>
      </c>
      <c r="E18078" t="s">
        <v>1</v>
      </c>
      <c r="F18078" t="s">
        <v>0</v>
      </c>
      <c r="G18078" t="str">
        <f>"2018-10-11 14:14:07"</f>
        <v>2018-10-11 14:14:07</v>
      </c>
    </row>
    <row r="18079" spans="1:7" x14ac:dyDescent="0.2">
      <c r="A18079" t="s">
        <v>17088</v>
      </c>
      <c r="B18079" t="str">
        <f>"13484259260"</f>
        <v>13484259260</v>
      </c>
      <c r="C18079" t="str">
        <f>"513030199506292015"</f>
        <v>513030199506292015</v>
      </c>
      <c r="D18079" t="s">
        <v>1</v>
      </c>
      <c r="E18079" t="s">
        <v>1</v>
      </c>
      <c r="F18079" t="s">
        <v>0</v>
      </c>
      <c r="G18079" t="str">
        <f>"2018-10-19 16:03:23"</f>
        <v>2018-10-19 16:03:23</v>
      </c>
    </row>
    <row r="18080" spans="1:7" x14ac:dyDescent="0.2">
      <c r="A18080" t="s">
        <v>1</v>
      </c>
      <c r="B18080" t="str">
        <f>"13511916069"</f>
        <v>13511916069</v>
      </c>
      <c r="C18080" t="s">
        <v>1</v>
      </c>
      <c r="D18080" t="s">
        <v>1</v>
      </c>
      <c r="E18080" t="s">
        <v>1</v>
      </c>
      <c r="F18080" t="s">
        <v>0</v>
      </c>
      <c r="G18080" t="str">
        <f>"2018-10-11 14:08:33"</f>
        <v>2018-10-11 14:08:33</v>
      </c>
    </row>
    <row r="18081" spans="1:7" x14ac:dyDescent="0.2">
      <c r="A18081" t="s">
        <v>17089</v>
      </c>
      <c r="B18081" t="str">
        <f>"15858901984"</f>
        <v>15858901984</v>
      </c>
      <c r="C18081" t="str">
        <f>"33072119810807542X"</f>
        <v>33072119810807542X</v>
      </c>
      <c r="D18081" t="s">
        <v>1</v>
      </c>
      <c r="E18081" t="s">
        <v>1</v>
      </c>
      <c r="F18081" t="s">
        <v>0</v>
      </c>
      <c r="G18081" t="str">
        <f>"2018-10-19 11:12:14"</f>
        <v>2018-10-19 11:12:14</v>
      </c>
    </row>
    <row r="18082" spans="1:7" x14ac:dyDescent="0.2">
      <c r="A18082" t="s">
        <v>1</v>
      </c>
      <c r="B18082" t="str">
        <f>"13058360898"</f>
        <v>13058360898</v>
      </c>
      <c r="C18082" t="s">
        <v>1</v>
      </c>
      <c r="D18082" t="s">
        <v>1</v>
      </c>
      <c r="E18082" t="s">
        <v>1</v>
      </c>
      <c r="F18082" t="s">
        <v>0</v>
      </c>
      <c r="G18082" t="str">
        <f>"2018-10-11 14:05:16"</f>
        <v>2018-10-11 14:05:16</v>
      </c>
    </row>
    <row r="18083" spans="1:7" x14ac:dyDescent="0.2">
      <c r="A18083" t="s">
        <v>1</v>
      </c>
      <c r="B18083" t="str">
        <f>"18354998394"</f>
        <v>18354998394</v>
      </c>
      <c r="C18083" t="s">
        <v>1</v>
      </c>
      <c r="D18083" t="s">
        <v>1</v>
      </c>
      <c r="E18083" t="s">
        <v>1</v>
      </c>
      <c r="F18083" t="s">
        <v>0</v>
      </c>
      <c r="G18083" t="str">
        <f>"2018-10-11 14:05:11"</f>
        <v>2018-10-11 14:05:11</v>
      </c>
    </row>
    <row r="18084" spans="1:7" x14ac:dyDescent="0.2">
      <c r="A18084" t="s">
        <v>1256</v>
      </c>
      <c r="B18084" t="str">
        <f>"13134552906"</f>
        <v>13134552906</v>
      </c>
      <c r="C18084" t="str">
        <f>"232324197205015163"</f>
        <v>232324197205015163</v>
      </c>
      <c r="D18084" t="s">
        <v>1</v>
      </c>
      <c r="E18084" t="s">
        <v>1</v>
      </c>
      <c r="F18084" t="s">
        <v>0</v>
      </c>
      <c r="G18084" t="str">
        <f>"2018-10-11 14:05:39"</f>
        <v>2018-10-11 14:05:39</v>
      </c>
    </row>
    <row r="18085" spans="1:7" x14ac:dyDescent="0.2">
      <c r="A18085" t="s">
        <v>17090</v>
      </c>
      <c r="B18085" t="str">
        <f>"13361494535"</f>
        <v>13361494535</v>
      </c>
      <c r="C18085" t="str">
        <f>"370283199506173942"</f>
        <v>370283199506173942</v>
      </c>
      <c r="D18085" t="s">
        <v>1</v>
      </c>
      <c r="E18085" t="s">
        <v>1</v>
      </c>
      <c r="F18085" t="s">
        <v>0</v>
      </c>
      <c r="G18085" t="str">
        <f>"2018-10-11 14:04:41"</f>
        <v>2018-10-11 14:04:41</v>
      </c>
    </row>
    <row r="18086" spans="1:7" x14ac:dyDescent="0.2">
      <c r="A18086" t="s">
        <v>1</v>
      </c>
      <c r="B18086" t="str">
        <f>"13631087096"</f>
        <v>13631087096</v>
      </c>
      <c r="C18086" t="s">
        <v>1</v>
      </c>
      <c r="D18086" t="s">
        <v>1</v>
      </c>
      <c r="E18086" t="s">
        <v>1</v>
      </c>
      <c r="F18086" t="s">
        <v>0</v>
      </c>
      <c r="G18086" t="str">
        <f>"2018-10-11 14:06:16"</f>
        <v>2018-10-11 14:06:16</v>
      </c>
    </row>
    <row r="18087" spans="1:7" x14ac:dyDescent="0.2">
      <c r="A18087" t="s">
        <v>177</v>
      </c>
      <c r="B18087" t="str">
        <f>"15680489534"</f>
        <v>15680489534</v>
      </c>
      <c r="C18087" t="str">
        <f>"511324199408201295"</f>
        <v>511324199408201295</v>
      </c>
      <c r="D18087" t="s">
        <v>1</v>
      </c>
      <c r="E18087" t="s">
        <v>1</v>
      </c>
      <c r="F18087" t="s">
        <v>0</v>
      </c>
      <c r="G18087" t="str">
        <f>"2018-10-12 00:17:20"</f>
        <v>2018-10-12 00:17:20</v>
      </c>
    </row>
    <row r="18088" spans="1:7" x14ac:dyDescent="0.2">
      <c r="A18088" t="s">
        <v>1102</v>
      </c>
      <c r="B18088" t="str">
        <f>"15959528792"</f>
        <v>15959528792</v>
      </c>
      <c r="C18088" t="str">
        <f>"350500199010088316"</f>
        <v>350500199010088316</v>
      </c>
      <c r="D18088" t="s">
        <v>17091</v>
      </c>
      <c r="E18088" t="s">
        <v>17092</v>
      </c>
      <c r="F18088" t="s">
        <v>0</v>
      </c>
      <c r="G18088" t="str">
        <f>"2018-10-11 14:03:36"</f>
        <v>2018-10-11 14:03:36</v>
      </c>
    </row>
    <row r="18089" spans="1:7" x14ac:dyDescent="0.2">
      <c r="A18089" t="s">
        <v>17093</v>
      </c>
      <c r="B18089" t="str">
        <f>"15848543060"</f>
        <v>15848543060</v>
      </c>
      <c r="C18089" t="str">
        <f>"130324197208295417"</f>
        <v>130324197208295417</v>
      </c>
      <c r="D18089" t="s">
        <v>1</v>
      </c>
      <c r="E18089" t="s">
        <v>1</v>
      </c>
      <c r="F18089" t="s">
        <v>0</v>
      </c>
      <c r="G18089" t="str">
        <f>"2018-10-11 14:02:51"</f>
        <v>2018-10-11 14:02:51</v>
      </c>
    </row>
    <row r="18090" spans="1:7" x14ac:dyDescent="0.2">
      <c r="A18090" t="s">
        <v>17094</v>
      </c>
      <c r="B18090" t="str">
        <f>"15194800484"</f>
        <v>15194800484</v>
      </c>
      <c r="C18090" t="str">
        <f>"131181198611090034"</f>
        <v>131181198611090034</v>
      </c>
      <c r="D18090" t="s">
        <v>1</v>
      </c>
      <c r="E18090" t="s">
        <v>1</v>
      </c>
      <c r="F18090" t="s">
        <v>0</v>
      </c>
      <c r="G18090" t="str">
        <f>"2018-10-11 14:02:39"</f>
        <v>2018-10-11 14:02:39</v>
      </c>
    </row>
    <row r="18091" spans="1:7" x14ac:dyDescent="0.2">
      <c r="A18091" t="s">
        <v>17095</v>
      </c>
      <c r="B18091" t="str">
        <f>"13533662566"</f>
        <v>13533662566</v>
      </c>
      <c r="C18091" t="str">
        <f>"440509199308043216"</f>
        <v>440509199308043216</v>
      </c>
      <c r="D18091" t="s">
        <v>17096</v>
      </c>
      <c r="E18091" t="s">
        <v>17097</v>
      </c>
      <c r="F18091" t="s">
        <v>0</v>
      </c>
      <c r="G18091" t="str">
        <f>"2018-10-11 14:02:32"</f>
        <v>2018-10-11 14:02:32</v>
      </c>
    </row>
    <row r="18092" spans="1:7" x14ac:dyDescent="0.2">
      <c r="A18092" t="s">
        <v>17098</v>
      </c>
      <c r="B18092" t="str">
        <f>"13519502988"</f>
        <v>13519502988</v>
      </c>
      <c r="C18092" t="str">
        <f>"640103197903021511"</f>
        <v>640103197903021511</v>
      </c>
      <c r="D18092" t="s">
        <v>1</v>
      </c>
      <c r="E18092" t="s">
        <v>1</v>
      </c>
      <c r="F18092" t="s">
        <v>0</v>
      </c>
      <c r="G18092" t="str">
        <f>"2018-10-11 13:59:59"</f>
        <v>2018-10-11 13:59:59</v>
      </c>
    </row>
    <row r="18093" spans="1:7" x14ac:dyDescent="0.2">
      <c r="A18093" t="s">
        <v>17099</v>
      </c>
      <c r="B18093" t="str">
        <f>"15707050701"</f>
        <v>15707050701</v>
      </c>
      <c r="C18093" t="str">
        <f>"362330199208104271"</f>
        <v>362330199208104271</v>
      </c>
      <c r="D18093" t="s">
        <v>17100</v>
      </c>
      <c r="E18093" t="s">
        <v>17101</v>
      </c>
      <c r="F18093" t="s">
        <v>0</v>
      </c>
      <c r="G18093" t="str">
        <f>"2018-10-11 14:13:14"</f>
        <v>2018-10-11 14:13:14</v>
      </c>
    </row>
    <row r="18094" spans="1:7" x14ac:dyDescent="0.2">
      <c r="A18094" t="s">
        <v>17102</v>
      </c>
      <c r="B18094" t="str">
        <f>"18323996690"</f>
        <v>18323996690</v>
      </c>
      <c r="C18094" t="str">
        <f>"50038419971103282X"</f>
        <v>50038419971103282X</v>
      </c>
      <c r="D18094" t="s">
        <v>1</v>
      </c>
      <c r="E18094" t="s">
        <v>1</v>
      </c>
      <c r="F18094" t="s">
        <v>0</v>
      </c>
      <c r="G18094" t="str">
        <f>"2018-10-11 14:05:52"</f>
        <v>2018-10-11 14:05:52</v>
      </c>
    </row>
    <row r="18095" spans="1:7" x14ac:dyDescent="0.2">
      <c r="A18095" t="s">
        <v>17103</v>
      </c>
      <c r="B18095" t="str">
        <f>"13632782285"</f>
        <v>13632782285</v>
      </c>
      <c r="C18095" t="str">
        <f>"460005199704174120"</f>
        <v>460005199704174120</v>
      </c>
      <c r="D18095" t="s">
        <v>17104</v>
      </c>
      <c r="E18095" t="s">
        <v>17105</v>
      </c>
      <c r="F18095" t="s">
        <v>0</v>
      </c>
      <c r="G18095" t="str">
        <f>"2018-10-11 13:57:43"</f>
        <v>2018-10-11 13:57:43</v>
      </c>
    </row>
    <row r="18096" spans="1:7" x14ac:dyDescent="0.2">
      <c r="A18096" t="s">
        <v>17106</v>
      </c>
      <c r="B18096" t="str">
        <f>"15105344457"</f>
        <v>15105344457</v>
      </c>
      <c r="C18096" t="str">
        <f>"371402199102266433"</f>
        <v>371402199102266433</v>
      </c>
      <c r="D18096" t="s">
        <v>1</v>
      </c>
      <c r="E18096" t="s">
        <v>1</v>
      </c>
      <c r="F18096" t="s">
        <v>0</v>
      </c>
      <c r="G18096" t="str">
        <f>"2018-10-11 14:02:33"</f>
        <v>2018-10-11 14:02:33</v>
      </c>
    </row>
    <row r="18097" spans="1:7" x14ac:dyDescent="0.2">
      <c r="A18097" t="s">
        <v>17107</v>
      </c>
      <c r="B18097" t="str">
        <f>"15733231131"</f>
        <v>15733231131</v>
      </c>
      <c r="C18097" t="str">
        <f>"130634199212011964"</f>
        <v>130634199212011964</v>
      </c>
      <c r="D18097" t="s">
        <v>17108</v>
      </c>
      <c r="E18097" t="s">
        <v>17109</v>
      </c>
      <c r="F18097" t="s">
        <v>0</v>
      </c>
      <c r="G18097" t="str">
        <f>"2018-10-11 13:56:42"</f>
        <v>2018-10-11 13:56:42</v>
      </c>
    </row>
    <row r="18098" spans="1:7" x14ac:dyDescent="0.2">
      <c r="A18098" t="s">
        <v>17110</v>
      </c>
      <c r="B18098" t="str">
        <f>"15218798314"</f>
        <v>15218798314</v>
      </c>
      <c r="C18098" t="str">
        <f>"431121199511206932"</f>
        <v>431121199511206932</v>
      </c>
      <c r="D18098" t="s">
        <v>1</v>
      </c>
      <c r="E18098" t="s">
        <v>1</v>
      </c>
      <c r="F18098" t="s">
        <v>0</v>
      </c>
      <c r="G18098" t="str">
        <f>"2018-10-11 13:56:53"</f>
        <v>2018-10-11 13:56:53</v>
      </c>
    </row>
    <row r="18099" spans="1:7" x14ac:dyDescent="0.2">
      <c r="A18099" t="s">
        <v>17111</v>
      </c>
      <c r="B18099" t="str">
        <f>"17600169271"</f>
        <v>17600169271</v>
      </c>
      <c r="C18099" t="str">
        <f>"450923199702011790"</f>
        <v>450923199702011790</v>
      </c>
      <c r="D18099" t="s">
        <v>1</v>
      </c>
      <c r="E18099" t="s">
        <v>1</v>
      </c>
      <c r="F18099" t="s">
        <v>0</v>
      </c>
      <c r="G18099" t="str">
        <f>"2018-10-11 14:27:54"</f>
        <v>2018-10-11 14:27:54</v>
      </c>
    </row>
    <row r="18100" spans="1:7" x14ac:dyDescent="0.2">
      <c r="A18100" t="s">
        <v>330</v>
      </c>
      <c r="B18100" t="str">
        <f>"15755408474"</f>
        <v>15755408474</v>
      </c>
      <c r="C18100" t="str">
        <f>"341226198911250431"</f>
        <v>341226198911250431</v>
      </c>
      <c r="D18100" t="s">
        <v>1</v>
      </c>
      <c r="E18100" t="s">
        <v>1</v>
      </c>
      <c r="F18100" t="s">
        <v>0</v>
      </c>
      <c r="G18100" t="str">
        <f>"2018-10-11 13:57:19"</f>
        <v>2018-10-11 13:57:19</v>
      </c>
    </row>
    <row r="18101" spans="1:7" x14ac:dyDescent="0.2">
      <c r="A18101" t="s">
        <v>17112</v>
      </c>
      <c r="B18101" t="str">
        <f>"13287666683"</f>
        <v>13287666683</v>
      </c>
      <c r="C18101" t="str">
        <f>"370781199605311014"</f>
        <v>370781199605311014</v>
      </c>
      <c r="D18101" t="s">
        <v>1</v>
      </c>
      <c r="E18101" t="s">
        <v>1</v>
      </c>
      <c r="F18101" t="s">
        <v>0</v>
      </c>
      <c r="G18101" t="str">
        <f>"2018-10-11 14:18:17"</f>
        <v>2018-10-11 14:18:17</v>
      </c>
    </row>
    <row r="18102" spans="1:7" x14ac:dyDescent="0.2">
      <c r="A18102" t="s">
        <v>1</v>
      </c>
      <c r="B18102" t="str">
        <f>"18358065616"</f>
        <v>18358065616</v>
      </c>
      <c r="C18102" t="s">
        <v>1</v>
      </c>
      <c r="D18102" t="s">
        <v>1</v>
      </c>
      <c r="E18102" t="s">
        <v>1</v>
      </c>
      <c r="F18102" t="s">
        <v>0</v>
      </c>
      <c r="G18102" t="str">
        <f>"2018-10-11 13:52:39"</f>
        <v>2018-10-11 13:52:39</v>
      </c>
    </row>
    <row r="18103" spans="1:7" x14ac:dyDescent="0.2">
      <c r="A18103" t="s">
        <v>17113</v>
      </c>
      <c r="B18103" t="str">
        <f>"13850857770"</f>
        <v>13850857770</v>
      </c>
      <c r="C18103" t="str">
        <f>"350481199009074542"</f>
        <v>350481199009074542</v>
      </c>
      <c r="D18103" t="s">
        <v>1</v>
      </c>
      <c r="E18103" t="s">
        <v>1</v>
      </c>
      <c r="F18103" t="s">
        <v>0</v>
      </c>
      <c r="G18103" t="str">
        <f>"2018-10-11 15:47:32"</f>
        <v>2018-10-11 15:47:32</v>
      </c>
    </row>
    <row r="18104" spans="1:7" x14ac:dyDescent="0.2">
      <c r="A18104" t="s">
        <v>1</v>
      </c>
      <c r="B18104" t="str">
        <f>"15282703388"</f>
        <v>15282703388</v>
      </c>
      <c r="C18104" t="s">
        <v>1</v>
      </c>
      <c r="D18104" t="s">
        <v>1</v>
      </c>
      <c r="E18104" t="s">
        <v>1</v>
      </c>
      <c r="F18104" t="s">
        <v>0</v>
      </c>
      <c r="G18104" t="str">
        <f>"2018-10-11 13:51:06"</f>
        <v>2018-10-11 13:51:06</v>
      </c>
    </row>
    <row r="18105" spans="1:7" x14ac:dyDescent="0.2">
      <c r="A18105" t="s">
        <v>17114</v>
      </c>
      <c r="B18105" t="str">
        <f>"18189620735"</f>
        <v>18189620735</v>
      </c>
      <c r="C18105" t="str">
        <f>"622201198903152728"</f>
        <v>622201198903152728</v>
      </c>
      <c r="D18105" t="s">
        <v>1</v>
      </c>
      <c r="E18105" t="s">
        <v>1</v>
      </c>
      <c r="F18105" t="s">
        <v>0</v>
      </c>
      <c r="G18105" t="str">
        <f>"2018-10-21 22:59:01"</f>
        <v>2018-10-21 22:59:01</v>
      </c>
    </row>
    <row r="18106" spans="1:7" x14ac:dyDescent="0.2">
      <c r="A18106" t="s">
        <v>17115</v>
      </c>
      <c r="B18106" t="str">
        <f>"15278642596"</f>
        <v>15278642596</v>
      </c>
      <c r="C18106" t="str">
        <f>"452622199006081655"</f>
        <v>452622199006081655</v>
      </c>
      <c r="D18106" t="s">
        <v>1</v>
      </c>
      <c r="E18106" t="s">
        <v>1</v>
      </c>
      <c r="F18106" t="s">
        <v>0</v>
      </c>
      <c r="G18106" t="str">
        <f>"2018-10-13 17:29:51"</f>
        <v>2018-10-13 17:29:51</v>
      </c>
    </row>
    <row r="18107" spans="1:7" x14ac:dyDescent="0.2">
      <c r="A18107" t="s">
        <v>1</v>
      </c>
      <c r="B18107" t="str">
        <f>"15034913433"</f>
        <v>15034913433</v>
      </c>
      <c r="C18107" t="s">
        <v>1</v>
      </c>
      <c r="D18107" t="s">
        <v>1</v>
      </c>
      <c r="E18107" t="s">
        <v>1</v>
      </c>
      <c r="F18107" t="s">
        <v>0</v>
      </c>
      <c r="G18107" t="str">
        <f>"2018-10-11 13:49:45"</f>
        <v>2018-10-11 13:49:45</v>
      </c>
    </row>
    <row r="18108" spans="1:7" x14ac:dyDescent="0.2">
      <c r="A18108" t="s">
        <v>1096</v>
      </c>
      <c r="B18108" t="str">
        <f>"18200465703"</f>
        <v>18200465703</v>
      </c>
      <c r="C18108" t="str">
        <f>"513902199111225217"</f>
        <v>513902199111225217</v>
      </c>
      <c r="D18108" t="s">
        <v>1</v>
      </c>
      <c r="E18108" t="s">
        <v>1</v>
      </c>
      <c r="F18108" t="s">
        <v>0</v>
      </c>
      <c r="G18108" t="str">
        <f>"2018-10-11 13:51:11"</f>
        <v>2018-10-11 13:51:11</v>
      </c>
    </row>
    <row r="18109" spans="1:7" x14ac:dyDescent="0.2">
      <c r="A18109" t="s">
        <v>17116</v>
      </c>
      <c r="B18109" t="str">
        <f>"13347050788"</f>
        <v>13347050788</v>
      </c>
      <c r="C18109" t="str">
        <f>"152323198701201617"</f>
        <v>152323198701201617</v>
      </c>
      <c r="D18109" t="s">
        <v>1</v>
      </c>
      <c r="E18109" t="s">
        <v>1</v>
      </c>
      <c r="F18109" t="s">
        <v>0</v>
      </c>
      <c r="G18109" t="str">
        <f>"2018-10-11 13:57:04"</f>
        <v>2018-10-11 13:57:04</v>
      </c>
    </row>
    <row r="18110" spans="1:7" x14ac:dyDescent="0.2">
      <c r="A18110" t="s">
        <v>1</v>
      </c>
      <c r="B18110" t="str">
        <f>"15148749290"</f>
        <v>15148749290</v>
      </c>
      <c r="C18110" t="s">
        <v>1</v>
      </c>
      <c r="D18110" t="s">
        <v>1</v>
      </c>
      <c r="E18110" t="s">
        <v>1</v>
      </c>
      <c r="F18110" t="s">
        <v>0</v>
      </c>
      <c r="G18110" t="str">
        <f>"2018-10-11 13:51:39"</f>
        <v>2018-10-11 13:51:39</v>
      </c>
    </row>
    <row r="18111" spans="1:7" x14ac:dyDescent="0.2">
      <c r="A18111" t="s">
        <v>1</v>
      </c>
      <c r="B18111" t="str">
        <f>"13282694034"</f>
        <v>13282694034</v>
      </c>
      <c r="C18111" t="s">
        <v>1</v>
      </c>
      <c r="D18111" t="s">
        <v>1</v>
      </c>
      <c r="E18111" t="s">
        <v>1</v>
      </c>
      <c r="F18111" t="s">
        <v>0</v>
      </c>
      <c r="G18111" t="str">
        <f>"2018-10-11 13:49:11"</f>
        <v>2018-10-11 13:49:11</v>
      </c>
    </row>
    <row r="18112" spans="1:7" x14ac:dyDescent="0.2">
      <c r="A18112" t="s">
        <v>193</v>
      </c>
      <c r="B18112" t="str">
        <f>"15151809394"</f>
        <v>15151809394</v>
      </c>
      <c r="C18112" t="str">
        <f>"341122199311223011"</f>
        <v>341122199311223011</v>
      </c>
      <c r="D18112" t="s">
        <v>1</v>
      </c>
      <c r="E18112" t="s">
        <v>1</v>
      </c>
      <c r="F18112" t="s">
        <v>0</v>
      </c>
      <c r="G18112" t="str">
        <f>"2018-10-11 13:50:07"</f>
        <v>2018-10-11 13:50:07</v>
      </c>
    </row>
    <row r="18113" spans="1:7" x14ac:dyDescent="0.2">
      <c r="A18113" t="s">
        <v>17117</v>
      </c>
      <c r="B18113" t="str">
        <f>"13031693574"</f>
        <v>13031693574</v>
      </c>
      <c r="C18113" t="str">
        <f>"370786199001273311"</f>
        <v>370786199001273311</v>
      </c>
      <c r="D18113" t="s">
        <v>1</v>
      </c>
      <c r="E18113" t="s">
        <v>1</v>
      </c>
      <c r="F18113" t="s">
        <v>0</v>
      </c>
      <c r="G18113" t="str">
        <f>"2018-10-29 10:28:35"</f>
        <v>2018-10-29 10:28:35</v>
      </c>
    </row>
    <row r="18114" spans="1:7" x14ac:dyDescent="0.2">
      <c r="A18114" t="s">
        <v>1</v>
      </c>
      <c r="B18114" t="str">
        <f>"15652388870"</f>
        <v>15652388870</v>
      </c>
      <c r="C18114" t="s">
        <v>1</v>
      </c>
      <c r="D18114" t="s">
        <v>1</v>
      </c>
      <c r="E18114" t="s">
        <v>1</v>
      </c>
      <c r="F18114" t="s">
        <v>0</v>
      </c>
      <c r="G18114" t="str">
        <f>"2018-10-11 13:48:29"</f>
        <v>2018-10-11 13:48:29</v>
      </c>
    </row>
    <row r="18115" spans="1:7" x14ac:dyDescent="0.2">
      <c r="A18115" t="s">
        <v>1</v>
      </c>
      <c r="B18115" t="str">
        <f>"18248206138"</f>
        <v>18248206138</v>
      </c>
      <c r="C18115" t="s">
        <v>1</v>
      </c>
      <c r="D18115" t="s">
        <v>1</v>
      </c>
      <c r="E18115" t="s">
        <v>1</v>
      </c>
      <c r="F18115" t="s">
        <v>0</v>
      </c>
      <c r="G18115" t="str">
        <f>"2018-10-11 13:48:25"</f>
        <v>2018-10-11 13:48:25</v>
      </c>
    </row>
    <row r="18116" spans="1:7" x14ac:dyDescent="0.2">
      <c r="A18116" t="s">
        <v>1</v>
      </c>
      <c r="B18116" t="str">
        <f>"13333526779"</f>
        <v>13333526779</v>
      </c>
      <c r="C18116" t="s">
        <v>1</v>
      </c>
      <c r="D18116" t="s">
        <v>1</v>
      </c>
      <c r="E18116" t="s">
        <v>1</v>
      </c>
      <c r="F18116" t="s">
        <v>0</v>
      </c>
      <c r="G18116" t="str">
        <f>"2018-10-11 13:48:18"</f>
        <v>2018-10-11 13:48:18</v>
      </c>
    </row>
    <row r="18117" spans="1:7" x14ac:dyDescent="0.2">
      <c r="A18117" t="s">
        <v>17118</v>
      </c>
      <c r="B18117" t="str">
        <f>"13053989256"</f>
        <v>13053989256</v>
      </c>
      <c r="C18117" t="str">
        <f>"371322198802212714"</f>
        <v>371322198802212714</v>
      </c>
      <c r="D18117" t="s">
        <v>17119</v>
      </c>
      <c r="E18117" t="s">
        <v>17120</v>
      </c>
      <c r="F18117" t="s">
        <v>0</v>
      </c>
      <c r="G18117" t="str">
        <f>"2018-10-23 14:27:09"</f>
        <v>2018-10-23 14:27:09</v>
      </c>
    </row>
    <row r="18118" spans="1:7" x14ac:dyDescent="0.2">
      <c r="A18118" t="s">
        <v>1</v>
      </c>
      <c r="B18118" t="str">
        <f>"13221775415"</f>
        <v>13221775415</v>
      </c>
      <c r="C18118" t="s">
        <v>1</v>
      </c>
      <c r="D18118" t="s">
        <v>1</v>
      </c>
      <c r="E18118" t="s">
        <v>1</v>
      </c>
      <c r="F18118" t="s">
        <v>0</v>
      </c>
      <c r="G18118" t="str">
        <f>"2018-10-11 13:46:53"</f>
        <v>2018-10-11 13:46:53</v>
      </c>
    </row>
    <row r="18119" spans="1:7" x14ac:dyDescent="0.2">
      <c r="A18119" t="s">
        <v>17121</v>
      </c>
      <c r="B18119" t="str">
        <f>"18977571392"</f>
        <v>18977571392</v>
      </c>
      <c r="C18119" t="str">
        <f>"450902199412282910"</f>
        <v>450902199412282910</v>
      </c>
      <c r="D18119" t="s">
        <v>1</v>
      </c>
      <c r="E18119" t="s">
        <v>1</v>
      </c>
      <c r="F18119" t="s">
        <v>0</v>
      </c>
      <c r="G18119" t="str">
        <f>"2018-10-11 13:49:22"</f>
        <v>2018-10-11 13:49:22</v>
      </c>
    </row>
    <row r="18120" spans="1:7" x14ac:dyDescent="0.2">
      <c r="A18120" t="s">
        <v>1</v>
      </c>
      <c r="B18120" t="str">
        <f>"13690162969"</f>
        <v>13690162969</v>
      </c>
      <c r="C18120" t="s">
        <v>1</v>
      </c>
      <c r="D18120" t="s">
        <v>1</v>
      </c>
      <c r="E18120" t="s">
        <v>1</v>
      </c>
      <c r="F18120" t="s">
        <v>0</v>
      </c>
      <c r="G18120" t="str">
        <f>"2018-10-11 13:45:06"</f>
        <v>2018-10-11 13:45:06</v>
      </c>
    </row>
    <row r="18121" spans="1:7" x14ac:dyDescent="0.2">
      <c r="A18121" t="s">
        <v>17122</v>
      </c>
      <c r="B18121" t="str">
        <f>"18776690887"</f>
        <v>18776690887</v>
      </c>
      <c r="C18121" t="str">
        <f>"450881198704280904"</f>
        <v>450881198704280904</v>
      </c>
      <c r="D18121" t="s">
        <v>1</v>
      </c>
      <c r="E18121" t="s">
        <v>1</v>
      </c>
      <c r="F18121" t="s">
        <v>0</v>
      </c>
      <c r="G18121" t="str">
        <f>"2018-10-11 13:54:49"</f>
        <v>2018-10-11 13:54:49</v>
      </c>
    </row>
    <row r="18122" spans="1:7" x14ac:dyDescent="0.2">
      <c r="A18122" t="s">
        <v>5611</v>
      </c>
      <c r="B18122" t="str">
        <f>"13381361061"</f>
        <v>13381361061</v>
      </c>
      <c r="C18122" t="str">
        <f>"110223198312074269"</f>
        <v>110223198312074269</v>
      </c>
      <c r="D18122" t="s">
        <v>1</v>
      </c>
      <c r="E18122" t="s">
        <v>1</v>
      </c>
      <c r="F18122" t="s">
        <v>0</v>
      </c>
      <c r="G18122" t="str">
        <f>"2018-10-11 13:45:34"</f>
        <v>2018-10-11 13:45:34</v>
      </c>
    </row>
    <row r="18123" spans="1:7" x14ac:dyDescent="0.2">
      <c r="A18123" t="s">
        <v>17123</v>
      </c>
      <c r="B18123" t="str">
        <f>"18063538828"</f>
        <v>18063538828</v>
      </c>
      <c r="C18123" t="str">
        <f>"371524198506012439"</f>
        <v>371524198506012439</v>
      </c>
      <c r="D18123" t="s">
        <v>1</v>
      </c>
      <c r="E18123" t="s">
        <v>1</v>
      </c>
      <c r="F18123" t="s">
        <v>0</v>
      </c>
      <c r="G18123" t="str">
        <f>"2018-10-21 22:17:39"</f>
        <v>2018-10-21 22:17:39</v>
      </c>
    </row>
    <row r="18124" spans="1:7" x14ac:dyDescent="0.2">
      <c r="A18124" t="s">
        <v>206</v>
      </c>
      <c r="B18124" t="str">
        <f>"18743064800"</f>
        <v>18743064800</v>
      </c>
      <c r="C18124" t="str">
        <f>"220104198910107519"</f>
        <v>220104198910107519</v>
      </c>
      <c r="D18124" t="s">
        <v>1</v>
      </c>
      <c r="E18124" t="s">
        <v>1</v>
      </c>
      <c r="F18124" t="s">
        <v>0</v>
      </c>
      <c r="G18124" t="str">
        <f>"2018-10-11 13:45:02"</f>
        <v>2018-10-11 13:45:02</v>
      </c>
    </row>
    <row r="18125" spans="1:7" x14ac:dyDescent="0.2">
      <c r="A18125" t="s">
        <v>17124</v>
      </c>
      <c r="B18125" t="str">
        <f>"13976929524"</f>
        <v>13976929524</v>
      </c>
      <c r="C18125" t="str">
        <f>"460003198911077027"</f>
        <v>460003198911077027</v>
      </c>
      <c r="D18125" t="s">
        <v>17125</v>
      </c>
      <c r="E18125" t="s">
        <v>17126</v>
      </c>
      <c r="F18125" t="s">
        <v>0</v>
      </c>
      <c r="G18125" t="str">
        <f>"2018-10-11 13:47:17"</f>
        <v>2018-10-11 13:47:17</v>
      </c>
    </row>
    <row r="18126" spans="1:7" x14ac:dyDescent="0.2">
      <c r="A18126" t="s">
        <v>1278</v>
      </c>
      <c r="B18126" t="str">
        <f>"13963219652"</f>
        <v>13963219652</v>
      </c>
      <c r="C18126" t="str">
        <f>"371324198808255259"</f>
        <v>371324198808255259</v>
      </c>
      <c r="D18126" t="s">
        <v>17127</v>
      </c>
      <c r="E18126" t="s">
        <v>17128</v>
      </c>
      <c r="F18126" t="s">
        <v>0</v>
      </c>
      <c r="G18126" t="str">
        <f>"2018-10-11 13:42:13"</f>
        <v>2018-10-11 13:42:13</v>
      </c>
    </row>
    <row r="18127" spans="1:7" x14ac:dyDescent="0.2">
      <c r="A18127" t="s">
        <v>17129</v>
      </c>
      <c r="B18127" t="str">
        <f>"18663822606"</f>
        <v>18663822606</v>
      </c>
      <c r="C18127" t="str">
        <f>"370687198609291178"</f>
        <v>370687198609291178</v>
      </c>
      <c r="D18127" t="s">
        <v>1</v>
      </c>
      <c r="E18127" t="s">
        <v>1</v>
      </c>
      <c r="F18127" t="s">
        <v>0</v>
      </c>
      <c r="G18127" t="str">
        <f>"2018-10-11 16:52:17"</f>
        <v>2018-10-11 16:52:17</v>
      </c>
    </row>
    <row r="18128" spans="1:7" x14ac:dyDescent="0.2">
      <c r="A18128" t="s">
        <v>763</v>
      </c>
      <c r="B18128" t="str">
        <f>"15948319974"</f>
        <v>15948319974</v>
      </c>
      <c r="C18128" t="str">
        <f>"220122199702033110"</f>
        <v>220122199702033110</v>
      </c>
      <c r="D18128" t="s">
        <v>1</v>
      </c>
      <c r="E18128" t="s">
        <v>1</v>
      </c>
      <c r="F18128" t="s">
        <v>0</v>
      </c>
      <c r="G18128" t="str">
        <f>"2018-10-11 13:39:59"</f>
        <v>2018-10-11 13:39:59</v>
      </c>
    </row>
    <row r="18129" spans="1:7" x14ac:dyDescent="0.2">
      <c r="A18129" t="s">
        <v>17130</v>
      </c>
      <c r="B18129" t="str">
        <f>"13951214199"</f>
        <v>13951214199</v>
      </c>
      <c r="C18129" t="str">
        <f>"341127198506191416"</f>
        <v>341127198506191416</v>
      </c>
      <c r="D18129" t="s">
        <v>1</v>
      </c>
      <c r="E18129" t="s">
        <v>1</v>
      </c>
      <c r="F18129" t="s">
        <v>0</v>
      </c>
      <c r="G18129" t="str">
        <f>"2018-10-11 13:53:08"</f>
        <v>2018-10-11 13:53:08</v>
      </c>
    </row>
    <row r="18130" spans="1:7" x14ac:dyDescent="0.2">
      <c r="A18130" t="s">
        <v>17131</v>
      </c>
      <c r="B18130" t="str">
        <f>"18218881021"</f>
        <v>18218881021</v>
      </c>
      <c r="C18130" t="str">
        <f>"362330198509153646"</f>
        <v>362330198509153646</v>
      </c>
      <c r="D18130" t="s">
        <v>1</v>
      </c>
      <c r="E18130" t="s">
        <v>1</v>
      </c>
      <c r="F18130" t="s">
        <v>0</v>
      </c>
      <c r="G18130" t="str">
        <f>"2018-10-11 13:38:03"</f>
        <v>2018-10-11 13:38:03</v>
      </c>
    </row>
    <row r="18131" spans="1:7" x14ac:dyDescent="0.2">
      <c r="A18131" t="s">
        <v>17132</v>
      </c>
      <c r="B18131" t="str">
        <f>"15335356931"</f>
        <v>15335356931</v>
      </c>
      <c r="C18131" t="str">
        <f>"370683199110137939"</f>
        <v>370683199110137939</v>
      </c>
      <c r="D18131" t="s">
        <v>1</v>
      </c>
      <c r="E18131" t="s">
        <v>1</v>
      </c>
      <c r="F18131" t="s">
        <v>0</v>
      </c>
      <c r="G18131" t="str">
        <f>"2018-10-11 13:36:18"</f>
        <v>2018-10-11 13:36:18</v>
      </c>
    </row>
    <row r="18132" spans="1:7" x14ac:dyDescent="0.2">
      <c r="A18132" t="s">
        <v>17133</v>
      </c>
      <c r="B18132" t="str">
        <f>"15211705518"</f>
        <v>15211705518</v>
      </c>
      <c r="C18132" t="str">
        <f>"431021198207102653"</f>
        <v>431021198207102653</v>
      </c>
      <c r="D18132" t="s">
        <v>1</v>
      </c>
      <c r="E18132" t="s">
        <v>1</v>
      </c>
      <c r="F18132" t="s">
        <v>0</v>
      </c>
      <c r="G18132" t="str">
        <f>"2018-10-11 13:35:57"</f>
        <v>2018-10-11 13:35:57</v>
      </c>
    </row>
    <row r="18133" spans="1:7" x14ac:dyDescent="0.2">
      <c r="A18133" t="s">
        <v>1</v>
      </c>
      <c r="B18133" t="str">
        <f>"13880428678"</f>
        <v>13880428678</v>
      </c>
      <c r="C18133" t="s">
        <v>1</v>
      </c>
      <c r="D18133" t="s">
        <v>1</v>
      </c>
      <c r="E18133" t="s">
        <v>1</v>
      </c>
      <c r="F18133" t="s">
        <v>0</v>
      </c>
      <c r="G18133" t="str">
        <f>"2018-10-11 13:32:01"</f>
        <v>2018-10-11 13:32:01</v>
      </c>
    </row>
    <row r="18134" spans="1:7" x14ac:dyDescent="0.2">
      <c r="A18134" t="s">
        <v>17134</v>
      </c>
      <c r="B18134" t="str">
        <f>"13825715690"</f>
        <v>13825715690</v>
      </c>
      <c r="C18134" t="str">
        <f>"430581199005233556"</f>
        <v>430581199005233556</v>
      </c>
      <c r="D18134" t="s">
        <v>1</v>
      </c>
      <c r="E18134" t="s">
        <v>1</v>
      </c>
      <c r="F18134" t="s">
        <v>0</v>
      </c>
      <c r="G18134" t="str">
        <f>"2018-10-11 13:31:54"</f>
        <v>2018-10-11 13:31:54</v>
      </c>
    </row>
    <row r="18135" spans="1:7" x14ac:dyDescent="0.2">
      <c r="A18135" t="s">
        <v>17135</v>
      </c>
      <c r="B18135" t="str">
        <f>"18234965251"</f>
        <v>18234965251</v>
      </c>
      <c r="C18135" t="str">
        <f>"140622199203206213"</f>
        <v>140622199203206213</v>
      </c>
      <c r="D18135" t="s">
        <v>17136</v>
      </c>
      <c r="E18135" t="s">
        <v>17137</v>
      </c>
      <c r="F18135" t="s">
        <v>0</v>
      </c>
      <c r="G18135" t="str">
        <f>"2018-11-04 01:15:37"</f>
        <v>2018-11-04 01:15:37</v>
      </c>
    </row>
    <row r="18136" spans="1:7" x14ac:dyDescent="0.2">
      <c r="A18136" t="s">
        <v>17138</v>
      </c>
      <c r="B18136" t="str">
        <f>"17711612563"</f>
        <v>17711612563</v>
      </c>
      <c r="C18136" t="str">
        <f>"431021198612203538"</f>
        <v>431021198612203538</v>
      </c>
      <c r="D18136" t="s">
        <v>1</v>
      </c>
      <c r="E18136" t="s">
        <v>1</v>
      </c>
      <c r="F18136" t="s">
        <v>0</v>
      </c>
      <c r="G18136" t="str">
        <f>"2018-10-11 13:32:29"</f>
        <v>2018-10-11 13:32:29</v>
      </c>
    </row>
    <row r="18137" spans="1:7" x14ac:dyDescent="0.2">
      <c r="A18137" t="s">
        <v>17139</v>
      </c>
      <c r="B18137" t="str">
        <f>"13974894947"</f>
        <v>13974894947</v>
      </c>
      <c r="C18137" t="str">
        <f>"430626199212170018"</f>
        <v>430626199212170018</v>
      </c>
      <c r="D18137" t="s">
        <v>1</v>
      </c>
      <c r="E18137" t="s">
        <v>1</v>
      </c>
      <c r="F18137" t="s">
        <v>0</v>
      </c>
      <c r="G18137" t="str">
        <f>"2018-10-11 13:31:39"</f>
        <v>2018-10-11 13:31:39</v>
      </c>
    </row>
    <row r="18138" spans="1:7" x14ac:dyDescent="0.2">
      <c r="A18138" t="s">
        <v>1</v>
      </c>
      <c r="B18138" t="str">
        <f>"18303688454"</f>
        <v>18303688454</v>
      </c>
      <c r="C18138" t="s">
        <v>1</v>
      </c>
      <c r="D18138" t="s">
        <v>1</v>
      </c>
      <c r="E18138" t="s">
        <v>1</v>
      </c>
      <c r="F18138" t="s">
        <v>0</v>
      </c>
      <c r="G18138" t="str">
        <f>"2018-10-11 13:29:40"</f>
        <v>2018-10-11 13:29:40</v>
      </c>
    </row>
    <row r="18139" spans="1:7" x14ac:dyDescent="0.2">
      <c r="A18139" t="s">
        <v>17140</v>
      </c>
      <c r="B18139" t="str">
        <f>"15104850365"</f>
        <v>15104850365</v>
      </c>
      <c r="C18139" t="str">
        <f>"22088119940311682X"</f>
        <v>22088119940311682X</v>
      </c>
      <c r="D18139" t="s">
        <v>1</v>
      </c>
      <c r="E18139" t="s">
        <v>1</v>
      </c>
      <c r="F18139" t="s">
        <v>0</v>
      </c>
      <c r="G18139" t="str">
        <f>"2018-10-11 13:29:49"</f>
        <v>2018-10-11 13:29:49</v>
      </c>
    </row>
    <row r="18140" spans="1:7" x14ac:dyDescent="0.2">
      <c r="A18140" t="s">
        <v>17141</v>
      </c>
      <c r="B18140" t="str">
        <f>"18558427776"</f>
        <v>18558427776</v>
      </c>
      <c r="C18140" t="str">
        <f>"640221199305040015"</f>
        <v>640221199305040015</v>
      </c>
      <c r="D18140" t="s">
        <v>17142</v>
      </c>
      <c r="E18140" t="s">
        <v>17143</v>
      </c>
      <c r="F18140" t="s">
        <v>0</v>
      </c>
      <c r="G18140" t="str">
        <f>"2018-10-12 12:24:16"</f>
        <v>2018-10-12 12:24:16</v>
      </c>
    </row>
    <row r="18141" spans="1:7" x14ac:dyDescent="0.2">
      <c r="A18141" t="s">
        <v>17144</v>
      </c>
      <c r="B18141" t="str">
        <f>"18863443092"</f>
        <v>18863443092</v>
      </c>
      <c r="C18141" t="str">
        <f>"371202199412314911"</f>
        <v>371202199412314911</v>
      </c>
      <c r="D18141" t="s">
        <v>1</v>
      </c>
      <c r="E18141" t="s">
        <v>1</v>
      </c>
      <c r="F18141" t="s">
        <v>0</v>
      </c>
      <c r="G18141" t="str">
        <f>"2018-10-11 13:28:33"</f>
        <v>2018-10-11 13:28:33</v>
      </c>
    </row>
    <row r="18142" spans="1:7" x14ac:dyDescent="0.2">
      <c r="A18142" t="s">
        <v>1</v>
      </c>
      <c r="B18142" t="str">
        <f>"13527180701"</f>
        <v>13527180701</v>
      </c>
      <c r="C18142" t="s">
        <v>1</v>
      </c>
      <c r="D18142" t="s">
        <v>1</v>
      </c>
      <c r="E18142" t="s">
        <v>1</v>
      </c>
      <c r="F18142" t="s">
        <v>0</v>
      </c>
      <c r="G18142" t="str">
        <f>"2018-10-11 13:26:32"</f>
        <v>2018-10-11 13:26:32</v>
      </c>
    </row>
    <row r="18143" spans="1:7" x14ac:dyDescent="0.2">
      <c r="A18143" t="s">
        <v>1</v>
      </c>
      <c r="B18143" t="str">
        <f>"15817630449"</f>
        <v>15817630449</v>
      </c>
      <c r="C18143" t="s">
        <v>1</v>
      </c>
      <c r="D18143" t="s">
        <v>1</v>
      </c>
      <c r="E18143" t="s">
        <v>1</v>
      </c>
      <c r="F18143" t="s">
        <v>0</v>
      </c>
      <c r="G18143" t="str">
        <f>"2018-10-11 13:25:01"</f>
        <v>2018-10-11 13:25:01</v>
      </c>
    </row>
    <row r="18144" spans="1:7" x14ac:dyDescent="0.2">
      <c r="A18144" t="s">
        <v>17145</v>
      </c>
      <c r="B18144" t="str">
        <f>"13295022695"</f>
        <v>13295022695</v>
      </c>
      <c r="C18144" t="str">
        <f>"500233199405093135"</f>
        <v>500233199405093135</v>
      </c>
      <c r="D18144" t="s">
        <v>1</v>
      </c>
      <c r="E18144" t="s">
        <v>1</v>
      </c>
      <c r="F18144" t="s">
        <v>0</v>
      </c>
      <c r="G18144" t="str">
        <f>"2018-10-11 13:25:59"</f>
        <v>2018-10-11 13:25:59</v>
      </c>
    </row>
    <row r="18145" spans="1:7" x14ac:dyDescent="0.2">
      <c r="A18145" t="s">
        <v>17146</v>
      </c>
      <c r="B18145" t="str">
        <f>"18605899607"</f>
        <v>18605899607</v>
      </c>
      <c r="C18145" t="str">
        <f>"330702199403070432"</f>
        <v>330702199403070432</v>
      </c>
      <c r="D18145" t="s">
        <v>1</v>
      </c>
      <c r="E18145" t="s">
        <v>1</v>
      </c>
      <c r="F18145" t="s">
        <v>0</v>
      </c>
      <c r="G18145" t="str">
        <f>"2018-10-11 13:28:36"</f>
        <v>2018-10-11 13:28:36</v>
      </c>
    </row>
    <row r="18146" spans="1:7" x14ac:dyDescent="0.2">
      <c r="A18146" t="s">
        <v>93</v>
      </c>
      <c r="B18146" t="str">
        <f>"15697350187"</f>
        <v>15697350187</v>
      </c>
      <c r="C18146" t="str">
        <f>"431023199307177211"</f>
        <v>431023199307177211</v>
      </c>
      <c r="D18146" t="s">
        <v>1</v>
      </c>
      <c r="E18146" t="s">
        <v>1</v>
      </c>
      <c r="F18146" t="s">
        <v>0</v>
      </c>
      <c r="G18146" t="str">
        <f>"2018-10-11 13:24:57"</f>
        <v>2018-10-11 13:24:57</v>
      </c>
    </row>
    <row r="18147" spans="1:7" x14ac:dyDescent="0.2">
      <c r="A18147" t="s">
        <v>17147</v>
      </c>
      <c r="B18147" t="str">
        <f>"13924610052"</f>
        <v>13924610052</v>
      </c>
      <c r="C18147" t="str">
        <f>"511521198506198410"</f>
        <v>511521198506198410</v>
      </c>
      <c r="D18147" t="s">
        <v>1</v>
      </c>
      <c r="E18147" t="s">
        <v>1</v>
      </c>
      <c r="F18147" t="s">
        <v>0</v>
      </c>
      <c r="G18147" t="str">
        <f>"2018-10-11 13:23:35"</f>
        <v>2018-10-11 13:23:35</v>
      </c>
    </row>
    <row r="18148" spans="1:7" x14ac:dyDescent="0.2">
      <c r="A18148" t="s">
        <v>17148</v>
      </c>
      <c r="B18148" t="str">
        <f>"15591577927"</f>
        <v>15591577927</v>
      </c>
      <c r="C18148" t="str">
        <f>"612401199708073075"</f>
        <v>612401199708073075</v>
      </c>
      <c r="D18148" t="s">
        <v>17149</v>
      </c>
      <c r="E18148" t="s">
        <v>17150</v>
      </c>
      <c r="F18148" t="s">
        <v>0</v>
      </c>
      <c r="G18148" t="str">
        <f>"2018-10-11 13:23:02"</f>
        <v>2018-10-11 13:23:02</v>
      </c>
    </row>
    <row r="18149" spans="1:7" x14ac:dyDescent="0.2">
      <c r="A18149" t="s">
        <v>17151</v>
      </c>
      <c r="B18149" t="str">
        <f>"13275423251"</f>
        <v>13275423251</v>
      </c>
      <c r="C18149" t="str">
        <f>"220581199402242617"</f>
        <v>220581199402242617</v>
      </c>
      <c r="D18149" t="s">
        <v>1</v>
      </c>
      <c r="E18149" t="s">
        <v>1</v>
      </c>
      <c r="F18149" t="s">
        <v>0</v>
      </c>
      <c r="G18149" t="str">
        <f>"2018-10-11 15:14:49"</f>
        <v>2018-10-11 15:14:49</v>
      </c>
    </row>
    <row r="18150" spans="1:7" x14ac:dyDescent="0.2">
      <c r="A18150" t="s">
        <v>17152</v>
      </c>
      <c r="B18150" t="str">
        <f>"18616591261"</f>
        <v>18616591261</v>
      </c>
      <c r="C18150" t="str">
        <f>"420324199312290518"</f>
        <v>420324199312290518</v>
      </c>
      <c r="D18150" t="s">
        <v>1</v>
      </c>
      <c r="E18150" t="s">
        <v>1</v>
      </c>
      <c r="F18150" t="s">
        <v>0</v>
      </c>
      <c r="G18150" t="str">
        <f>"2018-10-24 18:36:02"</f>
        <v>2018-10-24 18:36:02</v>
      </c>
    </row>
    <row r="18151" spans="1:7" x14ac:dyDescent="0.2">
      <c r="A18151" t="s">
        <v>170</v>
      </c>
      <c r="B18151" t="str">
        <f>"15688887699"</f>
        <v>15688887699</v>
      </c>
      <c r="C18151" t="str">
        <f>"37010219791015111X"</f>
        <v>37010219791015111X</v>
      </c>
      <c r="D18151" t="s">
        <v>1</v>
      </c>
      <c r="E18151" t="s">
        <v>1</v>
      </c>
      <c r="F18151" t="s">
        <v>0</v>
      </c>
      <c r="G18151" t="str">
        <f>"2018-10-11 13:20:53"</f>
        <v>2018-10-11 13:20:53</v>
      </c>
    </row>
    <row r="18152" spans="1:7" x14ac:dyDescent="0.2">
      <c r="A18152" t="s">
        <v>17153</v>
      </c>
      <c r="B18152" t="str">
        <f>"13167152280"</f>
        <v>13167152280</v>
      </c>
      <c r="C18152" t="str">
        <f>"340828198911155850"</f>
        <v>340828198911155850</v>
      </c>
      <c r="D18152" t="s">
        <v>17154</v>
      </c>
      <c r="E18152" t="s">
        <v>17155</v>
      </c>
      <c r="F18152" t="s">
        <v>0</v>
      </c>
      <c r="G18152" t="str">
        <f>"2018-10-11 13:15:48"</f>
        <v>2018-10-11 13:15:48</v>
      </c>
    </row>
    <row r="18153" spans="1:7" x14ac:dyDescent="0.2">
      <c r="A18153" t="s">
        <v>17156</v>
      </c>
      <c r="B18153" t="str">
        <f>"13986223324"</f>
        <v>13986223324</v>
      </c>
      <c r="C18153" t="str">
        <f>"440582199907245896"</f>
        <v>440582199907245896</v>
      </c>
      <c r="D18153" t="s">
        <v>1</v>
      </c>
      <c r="E18153" t="s">
        <v>1</v>
      </c>
      <c r="F18153" t="s">
        <v>0</v>
      </c>
      <c r="G18153" t="str">
        <f>"2018-10-11 13:42:02"</f>
        <v>2018-10-11 13:42:02</v>
      </c>
    </row>
    <row r="18154" spans="1:7" x14ac:dyDescent="0.2">
      <c r="A18154" t="s">
        <v>17157</v>
      </c>
      <c r="B18154" t="str">
        <f>"18889497085"</f>
        <v>18889497085</v>
      </c>
      <c r="C18154" t="str">
        <f>"441424199004074813"</f>
        <v>441424199004074813</v>
      </c>
      <c r="D18154" t="s">
        <v>1</v>
      </c>
      <c r="E18154" t="s">
        <v>1</v>
      </c>
      <c r="F18154" t="s">
        <v>0</v>
      </c>
      <c r="G18154" t="str">
        <f>"2018-10-11 13:14:32"</f>
        <v>2018-10-11 13:14:32</v>
      </c>
    </row>
    <row r="18155" spans="1:7" x14ac:dyDescent="0.2">
      <c r="A18155" t="s">
        <v>17158</v>
      </c>
      <c r="B18155" t="str">
        <f>"15334008763"</f>
        <v>15334008763</v>
      </c>
      <c r="C18155" t="str">
        <f>"42282620000221551X"</f>
        <v>42282620000221551X</v>
      </c>
      <c r="D18155" t="s">
        <v>1</v>
      </c>
      <c r="E18155" t="s">
        <v>1</v>
      </c>
      <c r="F18155" t="s">
        <v>0</v>
      </c>
      <c r="G18155" t="str">
        <f>"2018-10-11 13:29:29"</f>
        <v>2018-10-11 13:29:29</v>
      </c>
    </row>
    <row r="18156" spans="1:7" x14ac:dyDescent="0.2">
      <c r="A18156" t="s">
        <v>1</v>
      </c>
      <c r="B18156" t="str">
        <f>"18066212869"</f>
        <v>18066212869</v>
      </c>
      <c r="C18156" t="s">
        <v>1</v>
      </c>
      <c r="D18156" t="s">
        <v>1</v>
      </c>
      <c r="E18156" t="s">
        <v>1</v>
      </c>
      <c r="F18156" t="s">
        <v>0</v>
      </c>
      <c r="G18156" t="str">
        <f>"2018-10-11 13:10:43"</f>
        <v>2018-10-11 13:10:43</v>
      </c>
    </row>
    <row r="18157" spans="1:7" x14ac:dyDescent="0.2">
      <c r="A18157" t="s">
        <v>17159</v>
      </c>
      <c r="B18157" t="str">
        <f>"15019455163"</f>
        <v>15019455163</v>
      </c>
      <c r="C18157" t="str">
        <f>"522423197912061925"</f>
        <v>522423197912061925</v>
      </c>
      <c r="D18157" t="s">
        <v>1</v>
      </c>
      <c r="E18157" t="s">
        <v>1</v>
      </c>
      <c r="F18157" t="s">
        <v>0</v>
      </c>
      <c r="G18157" t="str">
        <f>"2018-10-11 13:11:46"</f>
        <v>2018-10-11 13:11:46</v>
      </c>
    </row>
    <row r="18158" spans="1:7" x14ac:dyDescent="0.2">
      <c r="A18158" t="s">
        <v>17160</v>
      </c>
      <c r="B18158" t="str">
        <f>"13877754043"</f>
        <v>13877754043</v>
      </c>
      <c r="C18158" t="str">
        <f>"45070319870703275X"</f>
        <v>45070319870703275X</v>
      </c>
      <c r="D18158" t="s">
        <v>1</v>
      </c>
      <c r="E18158" t="s">
        <v>1</v>
      </c>
      <c r="F18158" t="s">
        <v>0</v>
      </c>
      <c r="G18158" t="str">
        <f>"2018-10-11 13:14:36"</f>
        <v>2018-10-11 13:14:36</v>
      </c>
    </row>
    <row r="18159" spans="1:7" x14ac:dyDescent="0.2">
      <c r="A18159" t="s">
        <v>17161</v>
      </c>
      <c r="B18159" t="str">
        <f>"18334962044"</f>
        <v>18334962044</v>
      </c>
      <c r="C18159" t="str">
        <f>"140603199401141618"</f>
        <v>140603199401141618</v>
      </c>
      <c r="D18159" t="s">
        <v>17162</v>
      </c>
      <c r="E18159" t="s">
        <v>17163</v>
      </c>
      <c r="F18159" t="s">
        <v>0</v>
      </c>
      <c r="G18159" t="str">
        <f>"2018-10-18 15:52:38"</f>
        <v>2018-10-18 15:52:38</v>
      </c>
    </row>
    <row r="18160" spans="1:7" x14ac:dyDescent="0.2">
      <c r="A18160" t="s">
        <v>1</v>
      </c>
      <c r="B18160" t="str">
        <f>"18824126975"</f>
        <v>18824126975</v>
      </c>
      <c r="C18160" t="s">
        <v>1</v>
      </c>
      <c r="D18160" t="s">
        <v>1</v>
      </c>
      <c r="E18160" t="s">
        <v>1</v>
      </c>
      <c r="F18160" t="s">
        <v>0</v>
      </c>
      <c r="G18160" t="str">
        <f>"2018-10-11 13:10:56"</f>
        <v>2018-10-11 13:10:56</v>
      </c>
    </row>
    <row r="18161" spans="1:7" x14ac:dyDescent="0.2">
      <c r="A18161" t="s">
        <v>1</v>
      </c>
      <c r="B18161" t="str">
        <f>"13766652869"</f>
        <v>13766652869</v>
      </c>
      <c r="C18161" t="s">
        <v>1</v>
      </c>
      <c r="D18161" t="s">
        <v>1</v>
      </c>
      <c r="E18161" t="s">
        <v>1</v>
      </c>
      <c r="F18161" t="s">
        <v>0</v>
      </c>
      <c r="G18161" t="str">
        <f>"2018-10-11 13:07:31"</f>
        <v>2018-10-11 13:07:31</v>
      </c>
    </row>
    <row r="18162" spans="1:7" x14ac:dyDescent="0.2">
      <c r="A18162" t="s">
        <v>17164</v>
      </c>
      <c r="B18162" t="str">
        <f>"18615935929"</f>
        <v>18615935929</v>
      </c>
      <c r="C18162" t="str">
        <f>"370602198904180418"</f>
        <v>370602198904180418</v>
      </c>
      <c r="D18162" t="s">
        <v>17165</v>
      </c>
      <c r="E18162" t="s">
        <v>17166</v>
      </c>
      <c r="F18162" t="s">
        <v>0</v>
      </c>
      <c r="G18162" t="str">
        <f>"2018-10-11 13:54:59"</f>
        <v>2018-10-11 13:54:59</v>
      </c>
    </row>
    <row r="18163" spans="1:7" x14ac:dyDescent="0.2">
      <c r="A18163" t="s">
        <v>1</v>
      </c>
      <c r="B18163" t="str">
        <f>"17698009186"</f>
        <v>17698009186</v>
      </c>
      <c r="C18163" t="s">
        <v>1</v>
      </c>
      <c r="D18163" t="s">
        <v>1</v>
      </c>
      <c r="E18163" t="s">
        <v>1</v>
      </c>
      <c r="F18163" t="s">
        <v>0</v>
      </c>
      <c r="G18163" t="str">
        <f>"2018-10-11 13:06:13"</f>
        <v>2018-10-11 13:06:13</v>
      </c>
    </row>
    <row r="18164" spans="1:7" x14ac:dyDescent="0.2">
      <c r="A18164" t="s">
        <v>1</v>
      </c>
      <c r="B18164" t="str">
        <f>"15126389323"</f>
        <v>15126389323</v>
      </c>
      <c r="C18164" t="s">
        <v>1</v>
      </c>
      <c r="D18164" t="s">
        <v>1</v>
      </c>
      <c r="E18164" t="s">
        <v>1</v>
      </c>
      <c r="F18164" t="s">
        <v>0</v>
      </c>
      <c r="G18164" t="str">
        <f>"2018-10-11 13:05:09"</f>
        <v>2018-10-11 13:05:09</v>
      </c>
    </row>
    <row r="18165" spans="1:7" x14ac:dyDescent="0.2">
      <c r="A18165" t="s">
        <v>17167</v>
      </c>
      <c r="B18165" t="str">
        <f>"18120141576"</f>
        <v>18120141576</v>
      </c>
      <c r="C18165" t="str">
        <f>"341127198312115415"</f>
        <v>341127198312115415</v>
      </c>
      <c r="D18165" t="s">
        <v>1</v>
      </c>
      <c r="E18165" t="s">
        <v>1</v>
      </c>
      <c r="F18165" t="s">
        <v>0</v>
      </c>
      <c r="G18165" t="str">
        <f>"2018-10-11 13:10:24"</f>
        <v>2018-10-11 13:10:24</v>
      </c>
    </row>
    <row r="18166" spans="1:7" x14ac:dyDescent="0.2">
      <c r="A18166" t="s">
        <v>17168</v>
      </c>
      <c r="B18166" t="str">
        <f>"15926358078"</f>
        <v>15926358078</v>
      </c>
      <c r="C18166" t="str">
        <f>"421083197905095625"</f>
        <v>421083197905095625</v>
      </c>
      <c r="D18166" t="s">
        <v>1</v>
      </c>
      <c r="E18166" t="s">
        <v>1</v>
      </c>
      <c r="F18166" t="s">
        <v>0</v>
      </c>
      <c r="G18166" t="str">
        <f>"2018-10-11 13:06:08"</f>
        <v>2018-10-11 13:06:08</v>
      </c>
    </row>
    <row r="18167" spans="1:7" x14ac:dyDescent="0.2">
      <c r="A18167" t="s">
        <v>1</v>
      </c>
      <c r="B18167" t="str">
        <f>"15840518891"</f>
        <v>15840518891</v>
      </c>
      <c r="C18167" t="s">
        <v>1</v>
      </c>
      <c r="D18167" t="s">
        <v>1</v>
      </c>
      <c r="E18167" t="s">
        <v>1</v>
      </c>
      <c r="F18167" t="s">
        <v>0</v>
      </c>
      <c r="G18167" t="str">
        <f>"2018-10-11 13:04:37"</f>
        <v>2018-10-11 13:04:37</v>
      </c>
    </row>
    <row r="18168" spans="1:7" x14ac:dyDescent="0.2">
      <c r="A18168" t="s">
        <v>1</v>
      </c>
      <c r="B18168" t="str">
        <f>"13011613477"</f>
        <v>13011613477</v>
      </c>
      <c r="C18168" t="s">
        <v>1</v>
      </c>
      <c r="D18168" t="s">
        <v>1</v>
      </c>
      <c r="E18168" t="s">
        <v>1</v>
      </c>
      <c r="F18168" t="s">
        <v>0</v>
      </c>
      <c r="G18168" t="str">
        <f>"2018-10-11 13:02:56"</f>
        <v>2018-10-11 13:02:56</v>
      </c>
    </row>
    <row r="18169" spans="1:7" x14ac:dyDescent="0.2">
      <c r="A18169" t="s">
        <v>823</v>
      </c>
      <c r="B18169" t="str">
        <f>"13088925072"</f>
        <v>13088925072</v>
      </c>
      <c r="C18169" t="str">
        <f>"610321199105156419"</f>
        <v>610321199105156419</v>
      </c>
      <c r="D18169" t="s">
        <v>1</v>
      </c>
      <c r="E18169" t="s">
        <v>1</v>
      </c>
      <c r="F18169" t="s">
        <v>0</v>
      </c>
      <c r="G18169" t="str">
        <f>"2018-10-11 13:03:52"</f>
        <v>2018-10-11 13:03:52</v>
      </c>
    </row>
    <row r="18170" spans="1:7" x14ac:dyDescent="0.2">
      <c r="A18170" t="s">
        <v>1163</v>
      </c>
      <c r="B18170" t="str">
        <f>"18271699073"</f>
        <v>18271699073</v>
      </c>
      <c r="C18170" t="str">
        <f>"420281198803070031"</f>
        <v>420281198803070031</v>
      </c>
      <c r="D18170" t="s">
        <v>1</v>
      </c>
      <c r="E18170" t="s">
        <v>1</v>
      </c>
      <c r="F18170" t="s">
        <v>0</v>
      </c>
      <c r="G18170" t="str">
        <f>"2018-11-02 12:00:47"</f>
        <v>2018-11-02 12:00:47</v>
      </c>
    </row>
    <row r="18171" spans="1:7" x14ac:dyDescent="0.2">
      <c r="A18171" t="s">
        <v>1</v>
      </c>
      <c r="B18171" t="str">
        <f>"15285939300"</f>
        <v>15285939300</v>
      </c>
      <c r="C18171" t="s">
        <v>1</v>
      </c>
      <c r="D18171" t="s">
        <v>1</v>
      </c>
      <c r="E18171" t="s">
        <v>1</v>
      </c>
      <c r="F18171" t="s">
        <v>0</v>
      </c>
      <c r="G18171" t="str">
        <f>"2018-10-11 13:02:17"</f>
        <v>2018-10-11 13:02:17</v>
      </c>
    </row>
    <row r="18172" spans="1:7" x14ac:dyDescent="0.2">
      <c r="A18172" t="s">
        <v>1</v>
      </c>
      <c r="B18172" t="str">
        <f>"18469199331"</f>
        <v>18469199331</v>
      </c>
      <c r="C18172" t="s">
        <v>1</v>
      </c>
      <c r="D18172" t="s">
        <v>1</v>
      </c>
      <c r="E18172" t="s">
        <v>1</v>
      </c>
      <c r="F18172" t="s">
        <v>0</v>
      </c>
      <c r="G18172" t="str">
        <f>"2018-10-11 13:01:59"</f>
        <v>2018-10-11 13:01:59</v>
      </c>
    </row>
    <row r="18173" spans="1:7" x14ac:dyDescent="0.2">
      <c r="A18173" t="s">
        <v>1173</v>
      </c>
      <c r="B18173" t="str">
        <f>"13461103165"</f>
        <v>13461103165</v>
      </c>
      <c r="C18173" t="str">
        <f>"410421199410210010"</f>
        <v>410421199410210010</v>
      </c>
      <c r="D18173" t="s">
        <v>1</v>
      </c>
      <c r="E18173" t="s">
        <v>1</v>
      </c>
      <c r="F18173" t="s">
        <v>0</v>
      </c>
      <c r="G18173" t="str">
        <f>"2018-10-11 13:03:15"</f>
        <v>2018-10-11 13:03:15</v>
      </c>
    </row>
    <row r="18174" spans="1:7" x14ac:dyDescent="0.2">
      <c r="A18174" t="s">
        <v>17169</v>
      </c>
      <c r="B18174" t="str">
        <f>"15692684747"</f>
        <v>15692684747</v>
      </c>
      <c r="C18174" t="str">
        <f>"542523199007030035"</f>
        <v>542523199007030035</v>
      </c>
      <c r="D18174" t="s">
        <v>1</v>
      </c>
      <c r="E18174" t="s">
        <v>1</v>
      </c>
      <c r="F18174" t="s">
        <v>0</v>
      </c>
      <c r="G18174" t="str">
        <f>"2018-10-15 09:33:28"</f>
        <v>2018-10-15 09:33:28</v>
      </c>
    </row>
    <row r="18175" spans="1:7" x14ac:dyDescent="0.2">
      <c r="A18175" t="s">
        <v>17170</v>
      </c>
      <c r="B18175" t="str">
        <f>"13841967991"</f>
        <v>13841967991</v>
      </c>
      <c r="C18175" t="str">
        <f>"211021199405148824"</f>
        <v>211021199405148824</v>
      </c>
      <c r="D18175" t="s">
        <v>1</v>
      </c>
      <c r="E18175" t="s">
        <v>1</v>
      </c>
      <c r="F18175" t="s">
        <v>0</v>
      </c>
      <c r="G18175" t="str">
        <f>"2018-10-11 13:03:02"</f>
        <v>2018-10-11 13:03:02</v>
      </c>
    </row>
    <row r="18176" spans="1:7" x14ac:dyDescent="0.2">
      <c r="A18176" t="s">
        <v>17171</v>
      </c>
      <c r="B18176" t="str">
        <f>"15979017131"</f>
        <v>15979017131</v>
      </c>
      <c r="C18176" t="str">
        <f>"360102198606154327"</f>
        <v>360102198606154327</v>
      </c>
      <c r="D18176" t="s">
        <v>1</v>
      </c>
      <c r="E18176" t="s">
        <v>1</v>
      </c>
      <c r="F18176" t="s">
        <v>0</v>
      </c>
      <c r="G18176" t="str">
        <f>"2018-10-11 13:48:52"</f>
        <v>2018-10-11 13:48:52</v>
      </c>
    </row>
    <row r="18177" spans="1:7" x14ac:dyDescent="0.2">
      <c r="A18177" t="s">
        <v>17172</v>
      </c>
      <c r="B18177" t="str">
        <f>"18679798627"</f>
        <v>18679798627</v>
      </c>
      <c r="C18177" t="str">
        <f>"360728199310023142"</f>
        <v>360728199310023142</v>
      </c>
      <c r="D18177" t="s">
        <v>1</v>
      </c>
      <c r="E18177" t="s">
        <v>1</v>
      </c>
      <c r="F18177" t="s">
        <v>0</v>
      </c>
      <c r="G18177" t="str">
        <f>"2018-10-11 13:00:32"</f>
        <v>2018-10-11 13:00:32</v>
      </c>
    </row>
    <row r="18178" spans="1:7" x14ac:dyDescent="0.2">
      <c r="A18178" t="s">
        <v>17173</v>
      </c>
      <c r="B18178" t="str">
        <f>"13737147499"</f>
        <v>13737147499</v>
      </c>
      <c r="C18178" t="str">
        <f>"452124199310100334"</f>
        <v>452124199310100334</v>
      </c>
      <c r="D18178" t="s">
        <v>1</v>
      </c>
      <c r="E18178" t="s">
        <v>1</v>
      </c>
      <c r="F18178" t="s">
        <v>0</v>
      </c>
      <c r="G18178" t="str">
        <f>"2018-10-11 12:59:59"</f>
        <v>2018-10-11 12:59:59</v>
      </c>
    </row>
    <row r="18179" spans="1:7" x14ac:dyDescent="0.2">
      <c r="A18179" t="s">
        <v>17174</v>
      </c>
      <c r="B18179" t="str">
        <f>"17614637448"</f>
        <v>17614637448</v>
      </c>
      <c r="C18179" t="str">
        <f>"230622198708110054"</f>
        <v>230622198708110054</v>
      </c>
      <c r="D18179" t="s">
        <v>1</v>
      </c>
      <c r="E18179" t="s">
        <v>1</v>
      </c>
      <c r="F18179" t="s">
        <v>0</v>
      </c>
      <c r="G18179" t="str">
        <f>"2018-10-11 13:01:15"</f>
        <v>2018-10-11 13:01:15</v>
      </c>
    </row>
    <row r="18180" spans="1:7" x14ac:dyDescent="0.2">
      <c r="A18180" t="s">
        <v>17175</v>
      </c>
      <c r="B18180" t="str">
        <f>"18258267525"</f>
        <v>18258267525</v>
      </c>
      <c r="C18180" t="str">
        <f>"330181199611204338"</f>
        <v>330181199611204338</v>
      </c>
      <c r="D18180" t="s">
        <v>17176</v>
      </c>
      <c r="E18180" t="s">
        <v>17177</v>
      </c>
      <c r="F18180" t="s">
        <v>0</v>
      </c>
      <c r="G18180" t="str">
        <f>"2018-10-26 11:20:15"</f>
        <v>2018-10-26 11:20:15</v>
      </c>
    </row>
    <row r="18181" spans="1:7" x14ac:dyDescent="0.2">
      <c r="A18181" t="s">
        <v>17178</v>
      </c>
      <c r="B18181" t="str">
        <f>"13870572802"</f>
        <v>13870572802</v>
      </c>
      <c r="C18181" t="str">
        <f>"362228198901200518"</f>
        <v>362228198901200518</v>
      </c>
      <c r="D18181" t="s">
        <v>1</v>
      </c>
      <c r="E18181" t="s">
        <v>1</v>
      </c>
      <c r="F18181" t="s">
        <v>0</v>
      </c>
      <c r="G18181" t="str">
        <f>"2018-10-15 12:07:27"</f>
        <v>2018-10-15 12:07:27</v>
      </c>
    </row>
    <row r="18182" spans="1:7" x14ac:dyDescent="0.2">
      <c r="A18182" t="s">
        <v>566</v>
      </c>
      <c r="B18182" t="str">
        <f>"15075851608"</f>
        <v>15075851608</v>
      </c>
      <c r="C18182" t="str">
        <f>"130528198305020045"</f>
        <v>130528198305020045</v>
      </c>
      <c r="D18182" t="s">
        <v>17179</v>
      </c>
      <c r="E18182" t="s">
        <v>17180</v>
      </c>
      <c r="F18182" t="s">
        <v>0</v>
      </c>
      <c r="G18182" t="str">
        <f>"2018-10-11 12:57:02"</f>
        <v>2018-10-11 12:57:02</v>
      </c>
    </row>
    <row r="18183" spans="1:7" x14ac:dyDescent="0.2">
      <c r="A18183" t="s">
        <v>17181</v>
      </c>
      <c r="B18183" t="str">
        <f>"18262445280"</f>
        <v>18262445280</v>
      </c>
      <c r="C18183" t="str">
        <f>"320830199005120827"</f>
        <v>320830199005120827</v>
      </c>
      <c r="D18183" t="s">
        <v>17182</v>
      </c>
      <c r="E18183" t="s">
        <v>17183</v>
      </c>
      <c r="F18183" t="s">
        <v>0</v>
      </c>
      <c r="G18183" t="str">
        <f>"2018-10-11 13:03:19"</f>
        <v>2018-10-11 13:03:19</v>
      </c>
    </row>
    <row r="18184" spans="1:7" x14ac:dyDescent="0.2">
      <c r="A18184" t="s">
        <v>17184</v>
      </c>
      <c r="B18184" t="str">
        <f>"18872466699"</f>
        <v>18872466699</v>
      </c>
      <c r="C18184" t="str">
        <f>"500227199109071815"</f>
        <v>500227199109071815</v>
      </c>
      <c r="D18184" t="s">
        <v>17185</v>
      </c>
      <c r="E18184" t="s">
        <v>17186</v>
      </c>
      <c r="F18184" t="s">
        <v>0</v>
      </c>
      <c r="G18184" t="str">
        <f>"2018-10-11 13:30:06"</f>
        <v>2018-10-11 13:30:06</v>
      </c>
    </row>
    <row r="18185" spans="1:7" x14ac:dyDescent="0.2">
      <c r="A18185" t="s">
        <v>17187</v>
      </c>
      <c r="B18185" t="str">
        <f>"17671229342"</f>
        <v>17671229342</v>
      </c>
      <c r="C18185" t="str">
        <f>"420281198103090410"</f>
        <v>420281198103090410</v>
      </c>
      <c r="D18185" t="s">
        <v>1</v>
      </c>
      <c r="E18185" t="s">
        <v>1</v>
      </c>
      <c r="F18185" t="s">
        <v>0</v>
      </c>
      <c r="G18185" t="str">
        <f>"2018-10-11 12:55:29"</f>
        <v>2018-10-11 12:55:29</v>
      </c>
    </row>
    <row r="18186" spans="1:7" x14ac:dyDescent="0.2">
      <c r="A18186" t="s">
        <v>17188</v>
      </c>
      <c r="B18186" t="str">
        <f>"18654733229"</f>
        <v>18654733229</v>
      </c>
      <c r="C18186" t="str">
        <f>"370781199507301824"</f>
        <v>370781199507301824</v>
      </c>
      <c r="D18186" t="s">
        <v>1</v>
      </c>
      <c r="E18186" t="s">
        <v>1</v>
      </c>
      <c r="F18186" t="s">
        <v>0</v>
      </c>
      <c r="G18186" t="str">
        <f>"2018-10-11 12:54:30"</f>
        <v>2018-10-11 12:54:30</v>
      </c>
    </row>
    <row r="18187" spans="1:7" x14ac:dyDescent="0.2">
      <c r="A18187" t="s">
        <v>1</v>
      </c>
      <c r="B18187" t="str">
        <f>"13593363304"</f>
        <v>13593363304</v>
      </c>
      <c r="C18187" t="s">
        <v>1</v>
      </c>
      <c r="D18187" t="s">
        <v>1</v>
      </c>
      <c r="E18187" t="s">
        <v>1</v>
      </c>
      <c r="F18187" t="s">
        <v>0</v>
      </c>
      <c r="G18187" t="str">
        <f>"2018-10-11 12:55:10"</f>
        <v>2018-10-11 12:55:10</v>
      </c>
    </row>
    <row r="18188" spans="1:7" x14ac:dyDescent="0.2">
      <c r="A18188" t="s">
        <v>17189</v>
      </c>
      <c r="B18188" t="str">
        <f>"18246573748"</f>
        <v>18246573748</v>
      </c>
      <c r="C18188" t="str">
        <f>"230122199511035019"</f>
        <v>230122199511035019</v>
      </c>
      <c r="D18188" t="s">
        <v>17190</v>
      </c>
      <c r="E18188" t="s">
        <v>17191</v>
      </c>
      <c r="F18188" t="s">
        <v>0</v>
      </c>
      <c r="G18188" t="str">
        <f>"2018-10-16 13:46:56"</f>
        <v>2018-10-16 13:46:56</v>
      </c>
    </row>
    <row r="18189" spans="1:7" x14ac:dyDescent="0.2">
      <c r="A18189" t="s">
        <v>17192</v>
      </c>
      <c r="B18189" t="str">
        <f>"15887806780"</f>
        <v>15887806780</v>
      </c>
      <c r="C18189" t="str">
        <f>"530426199101250843"</f>
        <v>530426199101250843</v>
      </c>
      <c r="D18189" t="s">
        <v>1</v>
      </c>
      <c r="E18189" t="s">
        <v>1</v>
      </c>
      <c r="F18189" t="s">
        <v>0</v>
      </c>
      <c r="G18189" t="str">
        <f>"2018-10-11 12:59:49"</f>
        <v>2018-10-11 12:59:49</v>
      </c>
    </row>
    <row r="18190" spans="1:7" x14ac:dyDescent="0.2">
      <c r="A18190" t="s">
        <v>17193</v>
      </c>
      <c r="B18190" t="str">
        <f>"15971237800"</f>
        <v>15971237800</v>
      </c>
      <c r="C18190" t="str">
        <f>"420525199002010012"</f>
        <v>420525199002010012</v>
      </c>
      <c r="D18190" t="s">
        <v>17194</v>
      </c>
      <c r="E18190" t="s">
        <v>17195</v>
      </c>
      <c r="F18190" t="s">
        <v>0</v>
      </c>
      <c r="G18190" t="str">
        <f>"2018-10-13 17:02:57"</f>
        <v>2018-10-13 17:02:57</v>
      </c>
    </row>
    <row r="18191" spans="1:7" x14ac:dyDescent="0.2">
      <c r="A18191" t="s">
        <v>17196</v>
      </c>
      <c r="B18191" t="str">
        <f>"17602299134"</f>
        <v>17602299134</v>
      </c>
      <c r="C18191" t="str">
        <f>"522530199809274111"</f>
        <v>522530199809274111</v>
      </c>
      <c r="D18191" t="s">
        <v>1</v>
      </c>
      <c r="E18191" t="s">
        <v>1</v>
      </c>
      <c r="F18191" t="s">
        <v>0</v>
      </c>
      <c r="G18191" t="str">
        <f>"2018-10-11 12:52:23"</f>
        <v>2018-10-11 12:52:23</v>
      </c>
    </row>
    <row r="18192" spans="1:7" x14ac:dyDescent="0.2">
      <c r="A18192" t="s">
        <v>17197</v>
      </c>
      <c r="B18192" t="str">
        <f>"13704780114"</f>
        <v>13704780114</v>
      </c>
      <c r="C18192" t="str">
        <f>"152826199010130419"</f>
        <v>152826199010130419</v>
      </c>
      <c r="D18192" t="s">
        <v>1</v>
      </c>
      <c r="E18192" t="s">
        <v>1</v>
      </c>
      <c r="F18192" t="s">
        <v>0</v>
      </c>
      <c r="G18192" t="str">
        <f>"2018-10-11 12:52:24"</f>
        <v>2018-10-11 12:52:24</v>
      </c>
    </row>
    <row r="18193" spans="1:7" x14ac:dyDescent="0.2">
      <c r="A18193" t="s">
        <v>17198</v>
      </c>
      <c r="B18193" t="str">
        <f>"15006787800"</f>
        <v>15006787800</v>
      </c>
      <c r="C18193" t="str">
        <f>"370404198708196238"</f>
        <v>370404198708196238</v>
      </c>
      <c r="D18193" t="s">
        <v>1</v>
      </c>
      <c r="E18193" t="s">
        <v>1</v>
      </c>
      <c r="F18193" t="s">
        <v>0</v>
      </c>
      <c r="G18193" t="str">
        <f>"2018-10-11 12:48:51"</f>
        <v>2018-10-11 12:48:51</v>
      </c>
    </row>
    <row r="18194" spans="1:7" x14ac:dyDescent="0.2">
      <c r="A18194" t="s">
        <v>264</v>
      </c>
      <c r="B18194" t="str">
        <f>"15122763563"</f>
        <v>15122763563</v>
      </c>
      <c r="C18194" t="str">
        <f>"140203199507083215"</f>
        <v>140203199507083215</v>
      </c>
      <c r="D18194" t="s">
        <v>1</v>
      </c>
      <c r="E18194" t="s">
        <v>1</v>
      </c>
      <c r="F18194" t="s">
        <v>0</v>
      </c>
      <c r="G18194" t="str">
        <f>"2018-10-21 13:59:11"</f>
        <v>2018-10-21 13:59:11</v>
      </c>
    </row>
    <row r="18195" spans="1:7" x14ac:dyDescent="0.2">
      <c r="A18195" t="s">
        <v>17199</v>
      </c>
      <c r="B18195" t="str">
        <f>"13630096060"</f>
        <v>13630096060</v>
      </c>
      <c r="C18195" t="str">
        <f>"441882198911145719"</f>
        <v>441882198911145719</v>
      </c>
      <c r="D18195" t="s">
        <v>17200</v>
      </c>
      <c r="E18195" t="s">
        <v>17201</v>
      </c>
      <c r="F18195" t="s">
        <v>0</v>
      </c>
      <c r="G18195" t="str">
        <f>"2018-10-11 12:47:29"</f>
        <v>2018-10-11 12:47:29</v>
      </c>
    </row>
    <row r="18196" spans="1:7" x14ac:dyDescent="0.2">
      <c r="A18196" t="s">
        <v>17202</v>
      </c>
      <c r="B18196" t="str">
        <f>"15399949001"</f>
        <v>15399949001</v>
      </c>
      <c r="C18196" t="str">
        <f>"232303198810173015"</f>
        <v>232303198810173015</v>
      </c>
      <c r="D18196" t="s">
        <v>1</v>
      </c>
      <c r="E18196" t="s">
        <v>1</v>
      </c>
      <c r="F18196" t="s">
        <v>0</v>
      </c>
      <c r="G18196" t="str">
        <f>"2018-10-11 12:46:28"</f>
        <v>2018-10-11 12:46:28</v>
      </c>
    </row>
    <row r="18197" spans="1:7" x14ac:dyDescent="0.2">
      <c r="A18197" t="s">
        <v>17203</v>
      </c>
      <c r="B18197" t="str">
        <f>"13542915035"</f>
        <v>13542915035</v>
      </c>
      <c r="C18197" t="str">
        <f>"441224199512072610"</f>
        <v>441224199512072610</v>
      </c>
      <c r="D18197" t="s">
        <v>1</v>
      </c>
      <c r="E18197" t="s">
        <v>1</v>
      </c>
      <c r="F18197" t="s">
        <v>0</v>
      </c>
      <c r="G18197" t="str">
        <f>"2018-10-11 12:47:40"</f>
        <v>2018-10-11 12:47:40</v>
      </c>
    </row>
    <row r="18198" spans="1:7" x14ac:dyDescent="0.2">
      <c r="A18198" t="s">
        <v>1146</v>
      </c>
      <c r="B18198" t="str">
        <f>"15726944990"</f>
        <v>15726944990</v>
      </c>
      <c r="C18198" t="str">
        <f>"632125198812103426"</f>
        <v>632125198812103426</v>
      </c>
      <c r="D18198" t="s">
        <v>1</v>
      </c>
      <c r="E18198" t="s">
        <v>1</v>
      </c>
      <c r="F18198" t="s">
        <v>0</v>
      </c>
      <c r="G18198" t="str">
        <f>"2018-10-11 12:45:43"</f>
        <v>2018-10-11 12:45:43</v>
      </c>
    </row>
    <row r="18199" spans="1:7" x14ac:dyDescent="0.2">
      <c r="A18199" t="s">
        <v>1</v>
      </c>
      <c r="B18199" t="str">
        <f>"13362862953"</f>
        <v>13362862953</v>
      </c>
      <c r="C18199" t="s">
        <v>1</v>
      </c>
      <c r="D18199" t="s">
        <v>1</v>
      </c>
      <c r="E18199" t="s">
        <v>1</v>
      </c>
      <c r="F18199" t="s">
        <v>0</v>
      </c>
      <c r="G18199" t="str">
        <f>"2018-10-11 12:43:35"</f>
        <v>2018-10-11 12:43:35</v>
      </c>
    </row>
    <row r="18200" spans="1:7" x14ac:dyDescent="0.2">
      <c r="A18200" t="s">
        <v>17204</v>
      </c>
      <c r="B18200" t="str">
        <f>"17683233235"</f>
        <v>17683233235</v>
      </c>
      <c r="C18200" t="str">
        <f>"511325199304250515"</f>
        <v>511325199304250515</v>
      </c>
      <c r="D18200" t="s">
        <v>17205</v>
      </c>
      <c r="E18200" t="s">
        <v>17206</v>
      </c>
      <c r="F18200" t="s">
        <v>0</v>
      </c>
      <c r="G18200" t="str">
        <f>"2018-10-11 12:43:33"</f>
        <v>2018-10-11 12:43:33</v>
      </c>
    </row>
    <row r="18201" spans="1:7" x14ac:dyDescent="0.2">
      <c r="A18201" t="s">
        <v>1</v>
      </c>
      <c r="B18201" t="str">
        <f>"15840234504"</f>
        <v>15840234504</v>
      </c>
      <c r="C18201" t="s">
        <v>1</v>
      </c>
      <c r="D18201" t="s">
        <v>1</v>
      </c>
      <c r="E18201" t="s">
        <v>1</v>
      </c>
      <c r="F18201" t="s">
        <v>0</v>
      </c>
      <c r="G18201" t="str">
        <f>"2018-10-11 12:41:39"</f>
        <v>2018-10-11 12:41:39</v>
      </c>
    </row>
    <row r="18202" spans="1:7" x14ac:dyDescent="0.2">
      <c r="A18202" t="s">
        <v>17207</v>
      </c>
      <c r="B18202" t="str">
        <f>"17794366467"</f>
        <v>17794366467</v>
      </c>
      <c r="C18202" t="str">
        <f>"620421200009012514"</f>
        <v>620421200009012514</v>
      </c>
      <c r="D18202" t="s">
        <v>1</v>
      </c>
      <c r="E18202" t="s">
        <v>1</v>
      </c>
      <c r="F18202" t="s">
        <v>0</v>
      </c>
      <c r="G18202" t="str">
        <f>"2018-10-11 13:16:58"</f>
        <v>2018-10-11 13:16:58</v>
      </c>
    </row>
    <row r="18203" spans="1:7" x14ac:dyDescent="0.2">
      <c r="A18203" t="s">
        <v>17208</v>
      </c>
      <c r="B18203" t="str">
        <f>"18685400328"</f>
        <v>18685400328</v>
      </c>
      <c r="C18203" t="str">
        <f>"522731198706200032"</f>
        <v>522731198706200032</v>
      </c>
      <c r="D18203" t="s">
        <v>1</v>
      </c>
      <c r="E18203" t="s">
        <v>1</v>
      </c>
      <c r="F18203" t="s">
        <v>0</v>
      </c>
      <c r="G18203" t="str">
        <f>"2018-10-21 16:19:41"</f>
        <v>2018-10-21 16:19:41</v>
      </c>
    </row>
    <row r="18204" spans="1:7" x14ac:dyDescent="0.2">
      <c r="A18204" t="s">
        <v>759</v>
      </c>
      <c r="B18204" t="str">
        <f>"13651167126"</f>
        <v>13651167126</v>
      </c>
      <c r="C18204" t="str">
        <f>"11010919951118311X"</f>
        <v>11010919951118311X</v>
      </c>
      <c r="D18204" t="s">
        <v>1</v>
      </c>
      <c r="E18204" t="s">
        <v>1</v>
      </c>
      <c r="F18204" t="s">
        <v>0</v>
      </c>
      <c r="G18204" t="str">
        <f>"2018-10-22 08:40:10"</f>
        <v>2018-10-22 08:40:10</v>
      </c>
    </row>
    <row r="18205" spans="1:7" x14ac:dyDescent="0.2">
      <c r="A18205" t="s">
        <v>17209</v>
      </c>
      <c r="B18205" t="str">
        <f>"15866694545"</f>
        <v>15866694545</v>
      </c>
      <c r="C18205" t="str">
        <f>"37152419921127441X"</f>
        <v>37152419921127441X</v>
      </c>
      <c r="D18205" t="s">
        <v>17210</v>
      </c>
      <c r="E18205" t="s">
        <v>17211</v>
      </c>
      <c r="F18205" t="s">
        <v>0</v>
      </c>
      <c r="G18205" t="str">
        <f>"2018-10-11 12:41:57"</f>
        <v>2018-10-11 12:41:57</v>
      </c>
    </row>
    <row r="18206" spans="1:7" x14ac:dyDescent="0.2">
      <c r="A18206" t="s">
        <v>17212</v>
      </c>
      <c r="B18206" t="str">
        <f>"13918633460"</f>
        <v>13918633460</v>
      </c>
      <c r="C18206" t="str">
        <f>"450332198802081816"</f>
        <v>450332198802081816</v>
      </c>
      <c r="D18206" t="s">
        <v>1</v>
      </c>
      <c r="E18206" t="s">
        <v>1</v>
      </c>
      <c r="F18206" t="s">
        <v>0</v>
      </c>
      <c r="G18206" t="str">
        <f>"2018-10-11 12:40:18"</f>
        <v>2018-10-11 12:40:18</v>
      </c>
    </row>
    <row r="18207" spans="1:7" x14ac:dyDescent="0.2">
      <c r="A18207" t="s">
        <v>17213</v>
      </c>
      <c r="B18207" t="str">
        <f>"17726640233"</f>
        <v>17726640233</v>
      </c>
      <c r="C18207" t="str">
        <f>"500225199108245219"</f>
        <v>500225199108245219</v>
      </c>
      <c r="D18207" t="s">
        <v>17214</v>
      </c>
      <c r="E18207" t="s">
        <v>17215</v>
      </c>
      <c r="F18207" t="s">
        <v>0</v>
      </c>
      <c r="G18207" t="str">
        <f>"2018-10-11 12:38:33"</f>
        <v>2018-10-11 12:38:33</v>
      </c>
    </row>
    <row r="18208" spans="1:7" x14ac:dyDescent="0.2">
      <c r="A18208" t="s">
        <v>1</v>
      </c>
      <c r="B18208" t="str">
        <f>"15196482659"</f>
        <v>15196482659</v>
      </c>
      <c r="C18208" t="s">
        <v>1</v>
      </c>
      <c r="D18208" t="s">
        <v>1</v>
      </c>
      <c r="E18208" t="s">
        <v>1</v>
      </c>
      <c r="F18208" t="s">
        <v>0</v>
      </c>
      <c r="G18208" t="str">
        <f>"2018-10-11 12:31:57"</f>
        <v>2018-10-11 12:31:57</v>
      </c>
    </row>
    <row r="18209" spans="1:7" x14ac:dyDescent="0.2">
      <c r="A18209" t="s">
        <v>1</v>
      </c>
      <c r="B18209" t="str">
        <f>"15809200817"</f>
        <v>15809200817</v>
      </c>
      <c r="C18209" t="s">
        <v>1</v>
      </c>
      <c r="D18209" t="s">
        <v>1</v>
      </c>
      <c r="E18209" t="s">
        <v>1</v>
      </c>
      <c r="F18209" t="s">
        <v>0</v>
      </c>
      <c r="G18209" t="str">
        <f>"2018-10-11 12:31:31"</f>
        <v>2018-10-11 12:31:31</v>
      </c>
    </row>
    <row r="18210" spans="1:7" x14ac:dyDescent="0.2">
      <c r="A18210" t="s">
        <v>1</v>
      </c>
      <c r="B18210" t="str">
        <f>"15983171288"</f>
        <v>15983171288</v>
      </c>
      <c r="C18210" t="s">
        <v>1</v>
      </c>
      <c r="D18210" t="s">
        <v>1</v>
      </c>
      <c r="E18210" t="s">
        <v>1</v>
      </c>
      <c r="F18210" t="s">
        <v>0</v>
      </c>
      <c r="G18210" t="str">
        <f>"2018-10-11 12:30:39"</f>
        <v>2018-10-11 12:30:39</v>
      </c>
    </row>
    <row r="18211" spans="1:7" x14ac:dyDescent="0.2">
      <c r="A18211" t="s">
        <v>17216</v>
      </c>
      <c r="B18211" t="str">
        <f>"18325692375"</f>
        <v>18325692375</v>
      </c>
      <c r="C18211" t="str">
        <f>"342822197507201236"</f>
        <v>342822197507201236</v>
      </c>
      <c r="D18211" t="s">
        <v>1</v>
      </c>
      <c r="E18211" t="s">
        <v>1</v>
      </c>
      <c r="F18211" t="s">
        <v>0</v>
      </c>
      <c r="G18211" t="str">
        <f>"2018-10-15 09:41:13"</f>
        <v>2018-10-15 09:41:13</v>
      </c>
    </row>
    <row r="18212" spans="1:7" x14ac:dyDescent="0.2">
      <c r="A18212" t="s">
        <v>1</v>
      </c>
      <c r="B18212" t="str">
        <f>"13533912974"</f>
        <v>13533912974</v>
      </c>
      <c r="C18212" t="s">
        <v>1</v>
      </c>
      <c r="D18212" t="s">
        <v>1</v>
      </c>
      <c r="E18212" t="s">
        <v>1</v>
      </c>
      <c r="F18212" t="s">
        <v>0</v>
      </c>
      <c r="G18212" t="str">
        <f>"2018-10-11 12:29:36"</f>
        <v>2018-10-11 12:29:36</v>
      </c>
    </row>
    <row r="18213" spans="1:7" x14ac:dyDescent="0.2">
      <c r="A18213" t="s">
        <v>1</v>
      </c>
      <c r="B18213" t="str">
        <f>"13276848747"</f>
        <v>13276848747</v>
      </c>
      <c r="C18213" t="s">
        <v>1</v>
      </c>
      <c r="D18213" t="s">
        <v>1</v>
      </c>
      <c r="E18213" t="s">
        <v>1</v>
      </c>
      <c r="F18213" t="s">
        <v>0</v>
      </c>
      <c r="G18213" t="str">
        <f>"2018-10-11 12:28:57"</f>
        <v>2018-10-11 12:28:57</v>
      </c>
    </row>
    <row r="18214" spans="1:7" x14ac:dyDescent="0.2">
      <c r="A18214" t="s">
        <v>17217</v>
      </c>
      <c r="B18214" t="str">
        <f>"15232570725"</f>
        <v>15232570725</v>
      </c>
      <c r="C18214" t="str">
        <f>"130281199606253117"</f>
        <v>130281199606253117</v>
      </c>
      <c r="D18214" t="s">
        <v>1</v>
      </c>
      <c r="E18214" t="s">
        <v>1</v>
      </c>
      <c r="F18214" t="s">
        <v>0</v>
      </c>
      <c r="G18214" t="str">
        <f>"2018-10-11 12:39:52"</f>
        <v>2018-10-11 12:39:52</v>
      </c>
    </row>
    <row r="18215" spans="1:7" x14ac:dyDescent="0.2">
      <c r="A18215" t="s">
        <v>1</v>
      </c>
      <c r="B18215" t="str">
        <f>"15657564169"</f>
        <v>15657564169</v>
      </c>
      <c r="C18215" t="s">
        <v>1</v>
      </c>
      <c r="D18215" t="s">
        <v>1</v>
      </c>
      <c r="E18215" t="s">
        <v>1</v>
      </c>
      <c r="F18215" t="s">
        <v>0</v>
      </c>
      <c r="G18215" t="str">
        <f>"2018-10-11 12:27:41"</f>
        <v>2018-10-11 12:27:41</v>
      </c>
    </row>
    <row r="18216" spans="1:7" x14ac:dyDescent="0.2">
      <c r="A18216" t="s">
        <v>1</v>
      </c>
      <c r="B18216" t="str">
        <f>"15701520768"</f>
        <v>15701520768</v>
      </c>
      <c r="C18216" t="s">
        <v>1</v>
      </c>
      <c r="D18216" t="s">
        <v>1</v>
      </c>
      <c r="E18216" t="s">
        <v>1</v>
      </c>
      <c r="F18216" t="s">
        <v>0</v>
      </c>
      <c r="G18216" t="str">
        <f>"2018-10-11 12:27:21"</f>
        <v>2018-10-11 12:27:21</v>
      </c>
    </row>
    <row r="18217" spans="1:7" x14ac:dyDescent="0.2">
      <c r="A18217" t="s">
        <v>1</v>
      </c>
      <c r="B18217" t="str">
        <f>"18773597974"</f>
        <v>18773597974</v>
      </c>
      <c r="C18217" t="s">
        <v>1</v>
      </c>
      <c r="D18217" t="s">
        <v>1</v>
      </c>
      <c r="E18217" t="s">
        <v>1</v>
      </c>
      <c r="F18217" t="s">
        <v>0</v>
      </c>
      <c r="G18217" t="str">
        <f>"2018-10-11 13:31:52"</f>
        <v>2018-10-11 13:31:52</v>
      </c>
    </row>
    <row r="18218" spans="1:7" x14ac:dyDescent="0.2">
      <c r="A18218" t="s">
        <v>17218</v>
      </c>
      <c r="B18218" t="str">
        <f>"18699932919"</f>
        <v>18699932919</v>
      </c>
      <c r="C18218" t="str">
        <f>"622827199404271731"</f>
        <v>622827199404271731</v>
      </c>
      <c r="D18218" t="s">
        <v>1</v>
      </c>
      <c r="E18218" t="s">
        <v>1</v>
      </c>
      <c r="F18218" t="s">
        <v>0</v>
      </c>
      <c r="G18218" t="str">
        <f>"2018-10-11 12:29:54"</f>
        <v>2018-10-11 12:29:54</v>
      </c>
    </row>
    <row r="18219" spans="1:7" x14ac:dyDescent="0.2">
      <c r="A18219" t="s">
        <v>17219</v>
      </c>
      <c r="B18219" t="str">
        <f>"13507263231"</f>
        <v>13507263231</v>
      </c>
      <c r="C18219" t="str">
        <f>"421003198902173301"</f>
        <v>421003198902173301</v>
      </c>
      <c r="D18219" t="s">
        <v>1</v>
      </c>
      <c r="E18219" t="s">
        <v>1</v>
      </c>
      <c r="F18219" t="s">
        <v>0</v>
      </c>
      <c r="G18219" t="str">
        <f>"2018-10-11 12:28:46"</f>
        <v>2018-10-11 12:28:46</v>
      </c>
    </row>
    <row r="18220" spans="1:7" x14ac:dyDescent="0.2">
      <c r="A18220" t="s">
        <v>17220</v>
      </c>
      <c r="B18220" t="str">
        <f>"18707466944"</f>
        <v>18707466944</v>
      </c>
      <c r="C18220" t="str">
        <f>"432927197504120034"</f>
        <v>432927197504120034</v>
      </c>
      <c r="D18220" t="s">
        <v>17221</v>
      </c>
      <c r="E18220" t="s">
        <v>17222</v>
      </c>
      <c r="F18220" t="s">
        <v>0</v>
      </c>
      <c r="G18220" t="str">
        <f>"2018-10-11 12:26:26"</f>
        <v>2018-10-11 12:26:26</v>
      </c>
    </row>
    <row r="18221" spans="1:7" x14ac:dyDescent="0.2">
      <c r="A18221" t="s">
        <v>17223</v>
      </c>
      <c r="B18221" t="str">
        <f>"13721171213"</f>
        <v>13721171213</v>
      </c>
      <c r="C18221" t="str">
        <f>"340322199505038412"</f>
        <v>340322199505038412</v>
      </c>
      <c r="D18221" t="s">
        <v>1</v>
      </c>
      <c r="E18221" t="s">
        <v>1</v>
      </c>
      <c r="F18221" t="s">
        <v>0</v>
      </c>
      <c r="G18221" t="str">
        <f>"2018-10-11 12:25:54"</f>
        <v>2018-10-11 12:25:54</v>
      </c>
    </row>
    <row r="18222" spans="1:7" x14ac:dyDescent="0.2">
      <c r="A18222" t="s">
        <v>1</v>
      </c>
      <c r="B18222" t="str">
        <f>"15113652817"</f>
        <v>15113652817</v>
      </c>
      <c r="C18222" t="s">
        <v>1</v>
      </c>
      <c r="D18222" t="s">
        <v>1</v>
      </c>
      <c r="E18222" t="s">
        <v>1</v>
      </c>
      <c r="F18222" t="s">
        <v>0</v>
      </c>
      <c r="G18222" t="str">
        <f>"2018-10-11 12:24:58"</f>
        <v>2018-10-11 12:24:58</v>
      </c>
    </row>
    <row r="18223" spans="1:7" x14ac:dyDescent="0.2">
      <c r="A18223" t="s">
        <v>12</v>
      </c>
      <c r="B18223" t="str">
        <f>"13865962345"</f>
        <v>13865962345</v>
      </c>
      <c r="C18223" t="str">
        <f>"342601198708180613"</f>
        <v>342601198708180613</v>
      </c>
      <c r="D18223" t="s">
        <v>1</v>
      </c>
      <c r="E18223" t="s">
        <v>1</v>
      </c>
      <c r="F18223" t="s">
        <v>0</v>
      </c>
      <c r="G18223" t="str">
        <f>"2018-10-24 10:11:21"</f>
        <v>2018-10-24 10:11:21</v>
      </c>
    </row>
    <row r="18224" spans="1:7" x14ac:dyDescent="0.2">
      <c r="A18224" t="s">
        <v>17224</v>
      </c>
      <c r="B18224" t="str">
        <f>"18382087672"</f>
        <v>18382087672</v>
      </c>
      <c r="C18224" t="str">
        <f>"513902198605264967"</f>
        <v>513902198605264967</v>
      </c>
      <c r="D18224" t="s">
        <v>1</v>
      </c>
      <c r="E18224" t="s">
        <v>1</v>
      </c>
      <c r="F18224" t="s">
        <v>0</v>
      </c>
      <c r="G18224" t="str">
        <f>"2018-10-11 12:24:58"</f>
        <v>2018-10-11 12:24:58</v>
      </c>
    </row>
    <row r="18225" spans="1:7" x14ac:dyDescent="0.2">
      <c r="A18225" t="s">
        <v>1</v>
      </c>
      <c r="B18225" t="str">
        <f>"18721667008"</f>
        <v>18721667008</v>
      </c>
      <c r="C18225" t="s">
        <v>1</v>
      </c>
      <c r="D18225" t="s">
        <v>1</v>
      </c>
      <c r="E18225" t="s">
        <v>1</v>
      </c>
      <c r="F18225" t="s">
        <v>0</v>
      </c>
      <c r="G18225" t="str">
        <f>"2018-10-11 12:23:17"</f>
        <v>2018-10-11 12:23:17</v>
      </c>
    </row>
    <row r="18226" spans="1:7" x14ac:dyDescent="0.2">
      <c r="A18226" t="s">
        <v>1</v>
      </c>
      <c r="B18226" t="str">
        <f>"18311797784"</f>
        <v>18311797784</v>
      </c>
      <c r="C18226" t="s">
        <v>1</v>
      </c>
      <c r="D18226" t="s">
        <v>1</v>
      </c>
      <c r="E18226" t="s">
        <v>1</v>
      </c>
      <c r="F18226" t="s">
        <v>0</v>
      </c>
      <c r="G18226" t="str">
        <f>"2018-10-11 12:22:33"</f>
        <v>2018-10-11 12:22:33</v>
      </c>
    </row>
    <row r="18227" spans="1:7" x14ac:dyDescent="0.2">
      <c r="A18227" t="s">
        <v>17225</v>
      </c>
      <c r="B18227" t="str">
        <f>"13758015989"</f>
        <v>13758015989</v>
      </c>
      <c r="C18227" t="str">
        <f>"330902198109294116"</f>
        <v>330902198109294116</v>
      </c>
      <c r="D18227" t="s">
        <v>1</v>
      </c>
      <c r="E18227" t="s">
        <v>1</v>
      </c>
      <c r="F18227" t="s">
        <v>0</v>
      </c>
      <c r="G18227" t="str">
        <f>"2018-10-18 11:04:26"</f>
        <v>2018-10-18 11:04:26</v>
      </c>
    </row>
    <row r="18228" spans="1:7" x14ac:dyDescent="0.2">
      <c r="A18228" t="s">
        <v>17226</v>
      </c>
      <c r="B18228" t="str">
        <f>"17767715523"</f>
        <v>17767715523</v>
      </c>
      <c r="C18228" t="str">
        <f>"150430199707202719"</f>
        <v>150430199707202719</v>
      </c>
      <c r="D18228" t="s">
        <v>1</v>
      </c>
      <c r="E18228" t="s">
        <v>1</v>
      </c>
      <c r="F18228" t="s">
        <v>0</v>
      </c>
      <c r="G18228" t="str">
        <f>"2018-10-20 15:36:20"</f>
        <v>2018-10-20 15:36:20</v>
      </c>
    </row>
    <row r="18229" spans="1:7" x14ac:dyDescent="0.2">
      <c r="A18229" t="s">
        <v>17227</v>
      </c>
      <c r="B18229" t="str">
        <f>"18345234288"</f>
        <v>18345234288</v>
      </c>
      <c r="C18229" t="str">
        <f>"230128199701191029"</f>
        <v>230128199701191029</v>
      </c>
      <c r="D18229" t="s">
        <v>1</v>
      </c>
      <c r="E18229" t="s">
        <v>1</v>
      </c>
      <c r="F18229" t="s">
        <v>0</v>
      </c>
      <c r="G18229" t="str">
        <f>"2018-10-11 12:22:29"</f>
        <v>2018-10-11 12:22:29</v>
      </c>
    </row>
    <row r="18230" spans="1:7" x14ac:dyDescent="0.2">
      <c r="A18230" t="s">
        <v>17228</v>
      </c>
      <c r="B18230" t="str">
        <f>"18890100110"</f>
        <v>18890100110</v>
      </c>
      <c r="C18230" t="str">
        <f>"430482198511062178"</f>
        <v>430482198511062178</v>
      </c>
      <c r="D18230" t="s">
        <v>1</v>
      </c>
      <c r="E18230" t="s">
        <v>1</v>
      </c>
      <c r="F18230" t="s">
        <v>0</v>
      </c>
      <c r="G18230" t="str">
        <f>"2018-10-11 15:06:03"</f>
        <v>2018-10-11 15:06:03</v>
      </c>
    </row>
    <row r="18231" spans="1:7" x14ac:dyDescent="0.2">
      <c r="A18231" t="s">
        <v>17229</v>
      </c>
      <c r="B18231" t="str">
        <f>"18068546561"</f>
        <v>18068546561</v>
      </c>
      <c r="C18231" t="str">
        <f>"321023199202211633"</f>
        <v>321023199202211633</v>
      </c>
      <c r="D18231" t="s">
        <v>17230</v>
      </c>
      <c r="E18231" t="s">
        <v>17231</v>
      </c>
      <c r="F18231" t="s">
        <v>0</v>
      </c>
      <c r="G18231" t="str">
        <f>"2018-10-11 12:21:25"</f>
        <v>2018-10-11 12:21:25</v>
      </c>
    </row>
    <row r="18232" spans="1:7" x14ac:dyDescent="0.2">
      <c r="A18232" t="s">
        <v>209</v>
      </c>
      <c r="B18232" t="str">
        <f>"13912795570"</f>
        <v>13912795570</v>
      </c>
      <c r="C18232" t="str">
        <f>"342221198102067011"</f>
        <v>342221198102067011</v>
      </c>
      <c r="D18232" t="s">
        <v>1</v>
      </c>
      <c r="E18232" t="s">
        <v>1</v>
      </c>
      <c r="F18232" t="s">
        <v>0</v>
      </c>
      <c r="G18232" t="str">
        <f>"2018-10-11 12:19:51"</f>
        <v>2018-10-11 12:19:51</v>
      </c>
    </row>
    <row r="18233" spans="1:7" x14ac:dyDescent="0.2">
      <c r="A18233" t="s">
        <v>1</v>
      </c>
      <c r="B18233" t="str">
        <f>"15838156562"</f>
        <v>15838156562</v>
      </c>
      <c r="C18233" t="s">
        <v>1</v>
      </c>
      <c r="D18233" t="s">
        <v>1</v>
      </c>
      <c r="E18233" t="s">
        <v>1</v>
      </c>
      <c r="F18233" t="s">
        <v>0</v>
      </c>
      <c r="G18233" t="str">
        <f>"2018-10-11 12:18:27"</f>
        <v>2018-10-11 12:18:27</v>
      </c>
    </row>
    <row r="18234" spans="1:7" x14ac:dyDescent="0.2">
      <c r="A18234" t="s">
        <v>17232</v>
      </c>
      <c r="B18234" t="str">
        <f>"18787851781"</f>
        <v>18787851781</v>
      </c>
      <c r="C18234" t="str">
        <f>"532328199306070749"</f>
        <v>532328199306070749</v>
      </c>
      <c r="D18234" t="s">
        <v>1</v>
      </c>
      <c r="E18234" t="s">
        <v>1</v>
      </c>
      <c r="F18234" t="s">
        <v>0</v>
      </c>
      <c r="G18234" t="str">
        <f>"2018-10-11 12:23:17"</f>
        <v>2018-10-11 12:23:17</v>
      </c>
    </row>
    <row r="18235" spans="1:7" x14ac:dyDescent="0.2">
      <c r="A18235" t="s">
        <v>17233</v>
      </c>
      <c r="B18235" t="str">
        <f>"18988785680"</f>
        <v>18988785680</v>
      </c>
      <c r="C18235" t="str">
        <f>"445122198302190038"</f>
        <v>445122198302190038</v>
      </c>
      <c r="D18235" t="s">
        <v>1</v>
      </c>
      <c r="E18235" t="s">
        <v>1</v>
      </c>
      <c r="F18235" t="s">
        <v>0</v>
      </c>
      <c r="G18235" t="str">
        <f>"2018-10-11 12:19:30"</f>
        <v>2018-10-11 12:19:30</v>
      </c>
    </row>
    <row r="18236" spans="1:7" x14ac:dyDescent="0.2">
      <c r="A18236" t="s">
        <v>17234</v>
      </c>
      <c r="B18236" t="str">
        <f>"18340900325"</f>
        <v>18340900325</v>
      </c>
      <c r="C18236" t="str">
        <f>"211481199402184027"</f>
        <v>211481199402184027</v>
      </c>
      <c r="D18236" t="s">
        <v>1</v>
      </c>
      <c r="E18236" t="s">
        <v>1</v>
      </c>
      <c r="F18236" t="s">
        <v>0</v>
      </c>
      <c r="G18236" t="str">
        <f>"2018-10-11 12:23:33"</f>
        <v>2018-10-11 12:23:33</v>
      </c>
    </row>
    <row r="18237" spans="1:7" x14ac:dyDescent="0.2">
      <c r="A18237" t="s">
        <v>1</v>
      </c>
      <c r="B18237" t="str">
        <f>"17771224527"</f>
        <v>17771224527</v>
      </c>
      <c r="C18237" t="s">
        <v>1</v>
      </c>
      <c r="D18237" t="s">
        <v>1</v>
      </c>
      <c r="E18237" t="s">
        <v>1</v>
      </c>
      <c r="F18237" t="s">
        <v>0</v>
      </c>
      <c r="G18237" t="str">
        <f>"2018-10-11 12:15:18"</f>
        <v>2018-10-11 12:15:18</v>
      </c>
    </row>
    <row r="18238" spans="1:7" x14ac:dyDescent="0.2">
      <c r="A18238" t="s">
        <v>226</v>
      </c>
      <c r="B18238" t="str">
        <f>"18755088417"</f>
        <v>18755088417</v>
      </c>
      <c r="C18238" t="str">
        <f>"341125198703104016"</f>
        <v>341125198703104016</v>
      </c>
      <c r="D18238" t="s">
        <v>1</v>
      </c>
      <c r="E18238" t="s">
        <v>1</v>
      </c>
      <c r="F18238" t="s">
        <v>0</v>
      </c>
      <c r="G18238" t="str">
        <f>"2018-10-11 12:52:10"</f>
        <v>2018-10-11 12:52:10</v>
      </c>
    </row>
    <row r="18239" spans="1:7" x14ac:dyDescent="0.2">
      <c r="A18239" t="s">
        <v>17235</v>
      </c>
      <c r="B18239" t="str">
        <f>"13964132822"</f>
        <v>13964132822</v>
      </c>
      <c r="C18239" t="str">
        <f>"370123199705213810"</f>
        <v>370123199705213810</v>
      </c>
      <c r="D18239" t="s">
        <v>1</v>
      </c>
      <c r="E18239" t="s">
        <v>1</v>
      </c>
      <c r="F18239" t="s">
        <v>0</v>
      </c>
      <c r="G18239" t="str">
        <f>"2018-10-11 12:13:35"</f>
        <v>2018-10-11 12:13:35</v>
      </c>
    </row>
    <row r="18240" spans="1:7" x14ac:dyDescent="0.2">
      <c r="A18240" t="s">
        <v>1</v>
      </c>
      <c r="B18240" t="str">
        <f>"15056308542"</f>
        <v>15056308542</v>
      </c>
      <c r="C18240" t="s">
        <v>1</v>
      </c>
      <c r="D18240" t="s">
        <v>1</v>
      </c>
      <c r="E18240" t="s">
        <v>1</v>
      </c>
      <c r="F18240" t="s">
        <v>0</v>
      </c>
      <c r="G18240" t="str">
        <f>"2018-10-11 12:12:18"</f>
        <v>2018-10-11 12:12:18</v>
      </c>
    </row>
    <row r="18241" spans="1:7" x14ac:dyDescent="0.2">
      <c r="A18241" t="s">
        <v>154</v>
      </c>
      <c r="B18241" t="str">
        <f>"18631036877"</f>
        <v>18631036877</v>
      </c>
      <c r="C18241" t="str">
        <f>"130426198905220114"</f>
        <v>130426198905220114</v>
      </c>
      <c r="D18241" t="s">
        <v>1</v>
      </c>
      <c r="E18241" t="s">
        <v>1</v>
      </c>
      <c r="F18241" t="s">
        <v>0</v>
      </c>
      <c r="G18241" t="str">
        <f>"2018-10-11 12:17:10"</f>
        <v>2018-10-11 12:17:10</v>
      </c>
    </row>
    <row r="18242" spans="1:7" x14ac:dyDescent="0.2">
      <c r="A18242" t="s">
        <v>17236</v>
      </c>
      <c r="B18242" t="str">
        <f>"13660778320"</f>
        <v>13660778320</v>
      </c>
      <c r="C18242" t="str">
        <f>"441781198505166942"</f>
        <v>441781198505166942</v>
      </c>
      <c r="D18242" t="s">
        <v>17237</v>
      </c>
      <c r="E18242" t="s">
        <v>17238</v>
      </c>
      <c r="F18242" t="s">
        <v>0</v>
      </c>
      <c r="G18242" t="str">
        <f>"2018-10-11 12:13:29"</f>
        <v>2018-10-11 12:13:29</v>
      </c>
    </row>
    <row r="18243" spans="1:7" x14ac:dyDescent="0.2">
      <c r="A18243" t="s">
        <v>17239</v>
      </c>
      <c r="B18243" t="str">
        <f>"15889604372"</f>
        <v>15889604372</v>
      </c>
      <c r="C18243" t="str">
        <f>"513030199009011235"</f>
        <v>513030199009011235</v>
      </c>
      <c r="D18243" t="s">
        <v>1</v>
      </c>
      <c r="E18243" t="s">
        <v>1</v>
      </c>
      <c r="F18243" t="s">
        <v>0</v>
      </c>
      <c r="G18243" t="str">
        <f>"2018-10-11 12:12:30"</f>
        <v>2018-10-11 12:12:30</v>
      </c>
    </row>
    <row r="18244" spans="1:7" x14ac:dyDescent="0.2">
      <c r="A18244" t="s">
        <v>17240</v>
      </c>
      <c r="B18244" t="str">
        <f>"18908781232"</f>
        <v>18908781232</v>
      </c>
      <c r="C18244" t="str">
        <f>"532331199110150315"</f>
        <v>532331199110150315</v>
      </c>
      <c r="D18244" t="s">
        <v>1</v>
      </c>
      <c r="E18244" t="s">
        <v>1</v>
      </c>
      <c r="F18244" t="s">
        <v>0</v>
      </c>
      <c r="G18244" t="str">
        <f>"2018-10-11 12:13:09"</f>
        <v>2018-10-11 12:13:09</v>
      </c>
    </row>
    <row r="18245" spans="1:7" x14ac:dyDescent="0.2">
      <c r="A18245" t="s">
        <v>17241</v>
      </c>
      <c r="B18245" t="str">
        <f>"18687341779"</f>
        <v>18687341779</v>
      </c>
      <c r="C18245" t="str">
        <f>"532501197607133821"</f>
        <v>532501197607133821</v>
      </c>
      <c r="D18245" t="s">
        <v>1</v>
      </c>
      <c r="E18245" t="s">
        <v>1</v>
      </c>
      <c r="F18245" t="s">
        <v>0</v>
      </c>
      <c r="G18245" t="str">
        <f>"2018-10-11 12:12:05"</f>
        <v>2018-10-11 12:12:05</v>
      </c>
    </row>
    <row r="18246" spans="1:7" x14ac:dyDescent="0.2">
      <c r="A18246" t="s">
        <v>17242</v>
      </c>
      <c r="B18246" t="str">
        <f>"17723000324"</f>
        <v>17723000324</v>
      </c>
      <c r="C18246" t="str">
        <f>"500106199202152815"</f>
        <v>500106199202152815</v>
      </c>
      <c r="D18246" t="s">
        <v>1</v>
      </c>
      <c r="E18246" t="s">
        <v>1</v>
      </c>
      <c r="F18246" t="s">
        <v>0</v>
      </c>
      <c r="G18246" t="str">
        <f>"2018-10-11 12:11:33"</f>
        <v>2018-10-11 12:11:33</v>
      </c>
    </row>
    <row r="18247" spans="1:7" x14ac:dyDescent="0.2">
      <c r="A18247" t="s">
        <v>17243</v>
      </c>
      <c r="B18247" t="str">
        <f>"13171082618"</f>
        <v>13171082618</v>
      </c>
      <c r="C18247" t="str">
        <f>"150105197908260534"</f>
        <v>150105197908260534</v>
      </c>
      <c r="D18247" t="s">
        <v>1</v>
      </c>
      <c r="E18247" t="s">
        <v>1</v>
      </c>
      <c r="F18247" t="s">
        <v>0</v>
      </c>
      <c r="G18247" t="str">
        <f>"2018-10-26 12:30:13"</f>
        <v>2018-10-26 12:30:13</v>
      </c>
    </row>
    <row r="18248" spans="1:7" x14ac:dyDescent="0.2">
      <c r="A18248" t="s">
        <v>17244</v>
      </c>
      <c r="B18248" t="str">
        <f>"13658676098"</f>
        <v>13658676098</v>
      </c>
      <c r="C18248" t="str">
        <f>"370282198704275113"</f>
        <v>370282198704275113</v>
      </c>
      <c r="D18248" t="s">
        <v>1</v>
      </c>
      <c r="E18248" t="s">
        <v>1</v>
      </c>
      <c r="F18248" t="s">
        <v>0</v>
      </c>
      <c r="G18248" t="str">
        <f>"2018-10-11 12:09:08"</f>
        <v>2018-10-11 12:09:08</v>
      </c>
    </row>
    <row r="18249" spans="1:7" x14ac:dyDescent="0.2">
      <c r="A18249" t="s">
        <v>17245</v>
      </c>
      <c r="B18249" t="str">
        <f>"18866770992"</f>
        <v>18866770992</v>
      </c>
      <c r="C18249" t="str">
        <f>"370723198102064930"</f>
        <v>370723198102064930</v>
      </c>
      <c r="D18249" t="s">
        <v>1</v>
      </c>
      <c r="E18249" t="s">
        <v>1</v>
      </c>
      <c r="F18249" t="s">
        <v>0</v>
      </c>
      <c r="G18249" t="str">
        <f>"2018-10-11 12:10:29"</f>
        <v>2018-10-11 12:10:29</v>
      </c>
    </row>
    <row r="18250" spans="1:7" x14ac:dyDescent="0.2">
      <c r="A18250" t="s">
        <v>17246</v>
      </c>
      <c r="B18250" t="str">
        <f>"15085323744"</f>
        <v>15085323744</v>
      </c>
      <c r="C18250" t="str">
        <f>"522427197710086687"</f>
        <v>522427197710086687</v>
      </c>
      <c r="D18250" t="s">
        <v>17247</v>
      </c>
      <c r="E18250" t="s">
        <v>17248</v>
      </c>
      <c r="F18250" t="s">
        <v>0</v>
      </c>
      <c r="G18250" t="str">
        <f>"2018-10-11 14:51:21"</f>
        <v>2018-10-11 14:51:21</v>
      </c>
    </row>
    <row r="18251" spans="1:7" x14ac:dyDescent="0.2">
      <c r="A18251" t="s">
        <v>17249</v>
      </c>
      <c r="B18251" t="str">
        <f>"15963326998"</f>
        <v>15963326998</v>
      </c>
      <c r="C18251" t="str">
        <f>"371311198712014483"</f>
        <v>371311198712014483</v>
      </c>
      <c r="D18251" t="s">
        <v>1</v>
      </c>
      <c r="E18251" t="s">
        <v>1</v>
      </c>
      <c r="F18251" t="s">
        <v>0</v>
      </c>
      <c r="G18251" t="str">
        <f>"2018-10-11 16:53:07"</f>
        <v>2018-10-11 16:53:07</v>
      </c>
    </row>
    <row r="18252" spans="1:7" x14ac:dyDescent="0.2">
      <c r="A18252" t="s">
        <v>17250</v>
      </c>
      <c r="B18252" t="str">
        <f>"13884050441"</f>
        <v>13884050441</v>
      </c>
      <c r="C18252" t="str">
        <f>"623001199406171017"</f>
        <v>623001199406171017</v>
      </c>
      <c r="D18252" t="s">
        <v>1</v>
      </c>
      <c r="E18252" t="s">
        <v>1</v>
      </c>
      <c r="F18252" t="s">
        <v>0</v>
      </c>
      <c r="G18252" t="str">
        <f>"2018-10-11 12:01:25"</f>
        <v>2018-10-11 12:01:25</v>
      </c>
    </row>
    <row r="18253" spans="1:7" x14ac:dyDescent="0.2">
      <c r="A18253" t="s">
        <v>1</v>
      </c>
      <c r="B18253" t="str">
        <f>"13268576111"</f>
        <v>13268576111</v>
      </c>
      <c r="C18253" t="s">
        <v>1</v>
      </c>
      <c r="D18253" t="s">
        <v>1</v>
      </c>
      <c r="E18253" t="s">
        <v>1</v>
      </c>
      <c r="F18253" t="s">
        <v>0</v>
      </c>
      <c r="G18253" t="str">
        <f>"2018-10-11 12:00:29"</f>
        <v>2018-10-11 12:00:29</v>
      </c>
    </row>
    <row r="18254" spans="1:7" x14ac:dyDescent="0.2">
      <c r="A18254" t="s">
        <v>17251</v>
      </c>
      <c r="B18254" t="str">
        <f>"17600255779"</f>
        <v>17600255779</v>
      </c>
      <c r="C18254" t="str">
        <f>"622827199707170321"</f>
        <v>622827199707170321</v>
      </c>
      <c r="D18254" t="s">
        <v>1</v>
      </c>
      <c r="E18254" t="s">
        <v>1</v>
      </c>
      <c r="F18254" t="s">
        <v>0</v>
      </c>
      <c r="G18254" t="str">
        <f>"2018-10-11 11:59:53"</f>
        <v>2018-10-11 11:59:53</v>
      </c>
    </row>
    <row r="18255" spans="1:7" x14ac:dyDescent="0.2">
      <c r="A18255" t="s">
        <v>17252</v>
      </c>
      <c r="B18255" t="str">
        <f>"15840052430"</f>
        <v>15840052430</v>
      </c>
      <c r="C18255" t="str">
        <f>"210781199605154237"</f>
        <v>210781199605154237</v>
      </c>
      <c r="D18255" t="s">
        <v>1</v>
      </c>
      <c r="E18255" t="s">
        <v>1</v>
      </c>
      <c r="F18255" t="s">
        <v>0</v>
      </c>
      <c r="G18255" t="str">
        <f>"2018-10-11 12:04:57"</f>
        <v>2018-10-11 12:04:57</v>
      </c>
    </row>
    <row r="18256" spans="1:7" x14ac:dyDescent="0.2">
      <c r="A18256" t="s">
        <v>1</v>
      </c>
      <c r="B18256" t="str">
        <f>"13948359100"</f>
        <v>13948359100</v>
      </c>
      <c r="C18256" t="s">
        <v>1</v>
      </c>
      <c r="D18256" t="s">
        <v>1</v>
      </c>
      <c r="E18256" t="s">
        <v>1</v>
      </c>
      <c r="F18256" t="s">
        <v>0</v>
      </c>
      <c r="G18256" t="str">
        <f>"2018-10-11 12:07:17"</f>
        <v>2018-10-11 12:07:17</v>
      </c>
    </row>
    <row r="18257" spans="1:7" x14ac:dyDescent="0.2">
      <c r="A18257" t="s">
        <v>1</v>
      </c>
      <c r="B18257" t="str">
        <f>"13018300522"</f>
        <v>13018300522</v>
      </c>
      <c r="C18257" t="s">
        <v>1</v>
      </c>
      <c r="D18257" t="s">
        <v>1</v>
      </c>
      <c r="E18257" t="s">
        <v>1</v>
      </c>
      <c r="F18257" t="s">
        <v>0</v>
      </c>
      <c r="G18257" t="str">
        <f>"2018-10-11 14:00:30"</f>
        <v>2018-10-11 14:00:30</v>
      </c>
    </row>
    <row r="18258" spans="1:7" x14ac:dyDescent="0.2">
      <c r="A18258" t="s">
        <v>17253</v>
      </c>
      <c r="B18258" t="str">
        <f>"13115898085"</f>
        <v>13115898085</v>
      </c>
      <c r="C18258" t="str">
        <f>"330327198505132877"</f>
        <v>330327198505132877</v>
      </c>
      <c r="D18258" t="s">
        <v>1</v>
      </c>
      <c r="E18258" t="s">
        <v>1</v>
      </c>
      <c r="F18258" t="s">
        <v>0</v>
      </c>
      <c r="G18258" t="str">
        <f>"2018-10-11 12:00:24"</f>
        <v>2018-10-11 12:00:24</v>
      </c>
    </row>
    <row r="18259" spans="1:7" x14ac:dyDescent="0.2">
      <c r="A18259" t="s">
        <v>17254</v>
      </c>
      <c r="B18259" t="str">
        <f>"18006483367"</f>
        <v>18006483367</v>
      </c>
      <c r="C18259" t="str">
        <f>"370212199101012010"</f>
        <v>370212199101012010</v>
      </c>
      <c r="D18259" t="s">
        <v>1</v>
      </c>
      <c r="E18259" t="s">
        <v>1</v>
      </c>
      <c r="F18259" t="s">
        <v>0</v>
      </c>
      <c r="G18259" t="str">
        <f>"2018-10-11 12:23:21"</f>
        <v>2018-10-11 12:23:21</v>
      </c>
    </row>
    <row r="18260" spans="1:7" x14ac:dyDescent="0.2">
      <c r="A18260" t="s">
        <v>17255</v>
      </c>
      <c r="B18260" t="str">
        <f>"15908880350"</f>
        <v>15908880350</v>
      </c>
      <c r="C18260" t="str">
        <f>"533224199811260711"</f>
        <v>533224199811260711</v>
      </c>
      <c r="D18260" t="s">
        <v>1</v>
      </c>
      <c r="E18260" t="s">
        <v>1</v>
      </c>
      <c r="F18260" t="s">
        <v>0</v>
      </c>
      <c r="G18260" t="str">
        <f>"2018-10-11 11:57:39"</f>
        <v>2018-10-11 11:57:39</v>
      </c>
    </row>
    <row r="18261" spans="1:7" x14ac:dyDescent="0.2">
      <c r="A18261" t="s">
        <v>17256</v>
      </c>
      <c r="B18261" t="str">
        <f>"18249237755"</f>
        <v>18249237755</v>
      </c>
      <c r="C18261" t="str">
        <f>"230811196902020039"</f>
        <v>230811196902020039</v>
      </c>
      <c r="D18261" t="s">
        <v>1</v>
      </c>
      <c r="E18261" t="s">
        <v>1</v>
      </c>
      <c r="F18261" t="s">
        <v>0</v>
      </c>
      <c r="G18261" t="str">
        <f>"2018-10-11 11:57:21"</f>
        <v>2018-10-11 11:57:21</v>
      </c>
    </row>
    <row r="18262" spans="1:7" x14ac:dyDescent="0.2">
      <c r="A18262" t="s">
        <v>17257</v>
      </c>
      <c r="B18262" t="str">
        <f>"15961156370"</f>
        <v>15961156370</v>
      </c>
      <c r="C18262" t="str">
        <f>"321023199706072016"</f>
        <v>321023199706072016</v>
      </c>
      <c r="D18262" t="s">
        <v>1</v>
      </c>
      <c r="E18262" t="s">
        <v>1</v>
      </c>
      <c r="F18262" t="s">
        <v>0</v>
      </c>
      <c r="G18262" t="str">
        <f>"2018-10-11 11:55:19"</f>
        <v>2018-10-11 11:55:19</v>
      </c>
    </row>
    <row r="18263" spans="1:7" x14ac:dyDescent="0.2">
      <c r="A18263" t="s">
        <v>17258</v>
      </c>
      <c r="B18263" t="str">
        <f>"15526626556"</f>
        <v>15526626556</v>
      </c>
      <c r="C18263" t="str">
        <f>"220581199311091497"</f>
        <v>220581199311091497</v>
      </c>
      <c r="D18263" t="s">
        <v>1</v>
      </c>
      <c r="E18263" t="s">
        <v>1</v>
      </c>
      <c r="F18263" t="s">
        <v>0</v>
      </c>
      <c r="G18263" t="str">
        <f>"2018-10-11 11:56:56"</f>
        <v>2018-10-11 11:56:56</v>
      </c>
    </row>
    <row r="18264" spans="1:7" x14ac:dyDescent="0.2">
      <c r="A18264" t="s">
        <v>17259</v>
      </c>
      <c r="B18264" t="str">
        <f>"15177331343"</f>
        <v>15177331343</v>
      </c>
      <c r="C18264" t="str">
        <f>"45032419960127654X"</f>
        <v>45032419960127654X</v>
      </c>
      <c r="D18264" t="s">
        <v>1</v>
      </c>
      <c r="E18264" t="s">
        <v>1</v>
      </c>
      <c r="F18264" t="s">
        <v>0</v>
      </c>
      <c r="G18264" t="str">
        <f>"2018-10-11 11:58:27"</f>
        <v>2018-10-11 11:58:27</v>
      </c>
    </row>
    <row r="18265" spans="1:7" x14ac:dyDescent="0.2">
      <c r="A18265" t="s">
        <v>374</v>
      </c>
      <c r="B18265" t="str">
        <f>"15103295689"</f>
        <v>15103295689</v>
      </c>
      <c r="C18265" t="str">
        <f>"132201198204255211"</f>
        <v>132201198204255211</v>
      </c>
      <c r="D18265" t="s">
        <v>17260</v>
      </c>
      <c r="E18265" t="s">
        <v>17261</v>
      </c>
      <c r="F18265" t="s">
        <v>0</v>
      </c>
      <c r="G18265" t="str">
        <f>"2018-10-11 11:55:19"</f>
        <v>2018-10-11 11:55:19</v>
      </c>
    </row>
    <row r="18266" spans="1:7" x14ac:dyDescent="0.2">
      <c r="A18266" t="s">
        <v>1</v>
      </c>
      <c r="B18266" t="str">
        <f>"13277292727"</f>
        <v>13277292727</v>
      </c>
      <c r="C18266" t="s">
        <v>1</v>
      </c>
      <c r="D18266" t="s">
        <v>1</v>
      </c>
      <c r="E18266" t="s">
        <v>1</v>
      </c>
      <c r="F18266" t="s">
        <v>0</v>
      </c>
      <c r="G18266" t="str">
        <f>"2018-10-11 11:53:11"</f>
        <v>2018-10-11 11:53:11</v>
      </c>
    </row>
    <row r="18267" spans="1:7" x14ac:dyDescent="0.2">
      <c r="A18267" t="s">
        <v>17262</v>
      </c>
      <c r="B18267" t="str">
        <f>"18684203240"</f>
        <v>18684203240</v>
      </c>
      <c r="C18267" t="str">
        <f>"220881199710221320"</f>
        <v>220881199710221320</v>
      </c>
      <c r="D18267" t="s">
        <v>1</v>
      </c>
      <c r="E18267" t="s">
        <v>1</v>
      </c>
      <c r="F18267" t="s">
        <v>0</v>
      </c>
      <c r="G18267" t="str">
        <f>"2018-10-11 11:52:49"</f>
        <v>2018-10-11 11:52:49</v>
      </c>
    </row>
    <row r="18268" spans="1:7" x14ac:dyDescent="0.2">
      <c r="A18268" t="s">
        <v>17263</v>
      </c>
      <c r="B18268" t="str">
        <f>"17630188049"</f>
        <v>17630188049</v>
      </c>
      <c r="C18268" t="str">
        <f>"410726199810194214"</f>
        <v>410726199810194214</v>
      </c>
      <c r="D18268" t="s">
        <v>1</v>
      </c>
      <c r="E18268" t="s">
        <v>1</v>
      </c>
      <c r="F18268" t="s">
        <v>0</v>
      </c>
      <c r="G18268" t="str">
        <f>"2018-10-11 11:55:10"</f>
        <v>2018-10-11 11:55:10</v>
      </c>
    </row>
    <row r="18269" spans="1:7" x14ac:dyDescent="0.2">
      <c r="A18269" t="s">
        <v>17264</v>
      </c>
      <c r="B18269" t="str">
        <f>"17820095390"</f>
        <v>17820095390</v>
      </c>
      <c r="C18269" t="str">
        <f>"441781199506183538"</f>
        <v>441781199506183538</v>
      </c>
      <c r="D18269" t="s">
        <v>1</v>
      </c>
      <c r="E18269" t="s">
        <v>1</v>
      </c>
      <c r="F18269" t="s">
        <v>0</v>
      </c>
      <c r="G18269" t="str">
        <f>"2018-10-11 11:52:30"</f>
        <v>2018-10-11 11:52:30</v>
      </c>
    </row>
    <row r="18270" spans="1:7" x14ac:dyDescent="0.2">
      <c r="A18270" t="s">
        <v>17265</v>
      </c>
      <c r="B18270" t="str">
        <f>"13788172081"</f>
        <v>13788172081</v>
      </c>
      <c r="C18270" t="str">
        <f>"450521198207297825"</f>
        <v>450521198207297825</v>
      </c>
      <c r="D18270" t="s">
        <v>1</v>
      </c>
      <c r="E18270" t="s">
        <v>1</v>
      </c>
      <c r="F18270" t="s">
        <v>0</v>
      </c>
      <c r="G18270" t="str">
        <f>"2018-10-11 12:03:46"</f>
        <v>2018-10-11 12:03:46</v>
      </c>
    </row>
    <row r="18271" spans="1:7" x14ac:dyDescent="0.2">
      <c r="A18271" t="s">
        <v>17266</v>
      </c>
      <c r="B18271" t="str">
        <f>"13008884781"</f>
        <v>13008884781</v>
      </c>
      <c r="C18271" t="str">
        <f>"440982199103034534"</f>
        <v>440982199103034534</v>
      </c>
      <c r="D18271" t="s">
        <v>1</v>
      </c>
      <c r="E18271" t="s">
        <v>1</v>
      </c>
      <c r="F18271" t="s">
        <v>0</v>
      </c>
      <c r="G18271" t="str">
        <f>"2018-10-12 11:47:29"</f>
        <v>2018-10-12 11:47:29</v>
      </c>
    </row>
    <row r="18272" spans="1:7" x14ac:dyDescent="0.2">
      <c r="A18272" t="s">
        <v>1345</v>
      </c>
      <c r="B18272" t="str">
        <f>"17664395509"</f>
        <v>17664395509</v>
      </c>
      <c r="C18272" t="str">
        <f>"220283197607121517"</f>
        <v>220283197607121517</v>
      </c>
      <c r="D18272" t="s">
        <v>1</v>
      </c>
      <c r="E18272" t="s">
        <v>1</v>
      </c>
      <c r="F18272" t="s">
        <v>0</v>
      </c>
      <c r="G18272" t="str">
        <f>"2018-10-11 11:51:34"</f>
        <v>2018-10-11 11:51:34</v>
      </c>
    </row>
    <row r="18273" spans="1:7" x14ac:dyDescent="0.2">
      <c r="A18273" t="s">
        <v>17267</v>
      </c>
      <c r="B18273" t="str">
        <f>"13415004666"</f>
        <v>13415004666</v>
      </c>
      <c r="C18273" t="str">
        <f>"440582199004053981"</f>
        <v>440582199004053981</v>
      </c>
      <c r="D18273" t="s">
        <v>1</v>
      </c>
      <c r="E18273" t="s">
        <v>1</v>
      </c>
      <c r="F18273" t="s">
        <v>0</v>
      </c>
      <c r="G18273" t="str">
        <f>"2018-10-11 11:50:27"</f>
        <v>2018-10-11 11:50:27</v>
      </c>
    </row>
    <row r="18274" spans="1:7" x14ac:dyDescent="0.2">
      <c r="A18274" t="s">
        <v>17268</v>
      </c>
      <c r="B18274" t="str">
        <f>"15565261477"</f>
        <v>15565261477</v>
      </c>
      <c r="C18274" t="str">
        <f>"410782199412104990"</f>
        <v>410782199412104990</v>
      </c>
      <c r="D18274" t="s">
        <v>17269</v>
      </c>
      <c r="E18274" t="s">
        <v>17270</v>
      </c>
      <c r="F18274" t="s">
        <v>0</v>
      </c>
      <c r="G18274" t="str">
        <f>"2018-10-11 11:50:45"</f>
        <v>2018-10-11 11:50:45</v>
      </c>
    </row>
    <row r="18275" spans="1:7" x14ac:dyDescent="0.2">
      <c r="A18275" t="s">
        <v>1</v>
      </c>
      <c r="B18275" t="str">
        <f>"18203015234"</f>
        <v>18203015234</v>
      </c>
      <c r="C18275" t="s">
        <v>1</v>
      </c>
      <c r="D18275" t="s">
        <v>1</v>
      </c>
      <c r="E18275" t="s">
        <v>1</v>
      </c>
      <c r="F18275" t="s">
        <v>0</v>
      </c>
      <c r="G18275" t="str">
        <f>"2018-10-11 11:49:11"</f>
        <v>2018-10-11 11:49:11</v>
      </c>
    </row>
    <row r="18276" spans="1:7" x14ac:dyDescent="0.2">
      <c r="A18276" t="s">
        <v>1</v>
      </c>
      <c r="B18276" t="str">
        <f>"15215390915"</f>
        <v>15215390915</v>
      </c>
      <c r="C18276" t="s">
        <v>1</v>
      </c>
      <c r="D18276" t="s">
        <v>1</v>
      </c>
      <c r="E18276" t="s">
        <v>1</v>
      </c>
      <c r="F18276" t="s">
        <v>0</v>
      </c>
      <c r="G18276" t="str">
        <f>"2018-10-11 11:51:30"</f>
        <v>2018-10-11 11:51:30</v>
      </c>
    </row>
    <row r="18277" spans="1:7" x14ac:dyDescent="0.2">
      <c r="A18277" t="s">
        <v>287</v>
      </c>
      <c r="B18277" t="str">
        <f>"15234447925"</f>
        <v>15234447925</v>
      </c>
      <c r="C18277" t="str">
        <f>"142402199406191571"</f>
        <v>142402199406191571</v>
      </c>
      <c r="D18277" t="s">
        <v>1</v>
      </c>
      <c r="E18277" t="s">
        <v>1</v>
      </c>
      <c r="F18277" t="s">
        <v>0</v>
      </c>
      <c r="G18277" t="str">
        <f>"2018-10-11 11:50:28"</f>
        <v>2018-10-11 11:50:28</v>
      </c>
    </row>
    <row r="18278" spans="1:7" x14ac:dyDescent="0.2">
      <c r="A18278" t="s">
        <v>17271</v>
      </c>
      <c r="B18278" t="str">
        <f>"13699970487"</f>
        <v>13699970487</v>
      </c>
      <c r="C18278" t="str">
        <f>"652301199606163215"</f>
        <v>652301199606163215</v>
      </c>
      <c r="D18278" t="s">
        <v>17272</v>
      </c>
      <c r="E18278" t="s">
        <v>17273</v>
      </c>
      <c r="F18278" t="s">
        <v>0</v>
      </c>
      <c r="G18278" t="str">
        <f>"2018-10-11 11:49:18"</f>
        <v>2018-10-11 11:49:18</v>
      </c>
    </row>
    <row r="18279" spans="1:7" x14ac:dyDescent="0.2">
      <c r="A18279" t="s">
        <v>17274</v>
      </c>
      <c r="B18279" t="str">
        <f>"15297082006"</f>
        <v>15297082006</v>
      </c>
      <c r="C18279" t="str">
        <f>"62010219700331153X"</f>
        <v>62010219700331153X</v>
      </c>
      <c r="D18279" t="s">
        <v>17275</v>
      </c>
      <c r="E18279" t="s">
        <v>17276</v>
      </c>
      <c r="F18279" t="s">
        <v>0</v>
      </c>
      <c r="G18279" t="str">
        <f>"2018-10-21 14:39:09"</f>
        <v>2018-10-21 14:39:09</v>
      </c>
    </row>
    <row r="18280" spans="1:7" x14ac:dyDescent="0.2">
      <c r="A18280" t="s">
        <v>1524</v>
      </c>
      <c r="B18280" t="str">
        <f>"18701032975"</f>
        <v>18701032975</v>
      </c>
      <c r="C18280" t="str">
        <f>"130582199510121227"</f>
        <v>130582199510121227</v>
      </c>
      <c r="D18280" t="s">
        <v>1</v>
      </c>
      <c r="E18280" t="s">
        <v>1</v>
      </c>
      <c r="F18280" t="s">
        <v>0</v>
      </c>
      <c r="G18280" t="str">
        <f>"2018-10-11 11:48:19"</f>
        <v>2018-10-11 11:48:19</v>
      </c>
    </row>
    <row r="18281" spans="1:7" x14ac:dyDescent="0.2">
      <c r="A18281" t="s">
        <v>681</v>
      </c>
      <c r="B18281" t="str">
        <f>"18524091671"</f>
        <v>18524091671</v>
      </c>
      <c r="C18281" t="str">
        <f>"211481199201103518"</f>
        <v>211481199201103518</v>
      </c>
      <c r="D18281" t="s">
        <v>1</v>
      </c>
      <c r="E18281" t="s">
        <v>1</v>
      </c>
      <c r="F18281" t="s">
        <v>0</v>
      </c>
      <c r="G18281" t="str">
        <f>"2018-10-11 13:05:38"</f>
        <v>2018-10-11 13:05:38</v>
      </c>
    </row>
    <row r="18282" spans="1:7" x14ac:dyDescent="0.2">
      <c r="A18282" t="s">
        <v>17277</v>
      </c>
      <c r="B18282" t="str">
        <f>"15212066131"</f>
        <v>15212066131</v>
      </c>
      <c r="C18282" t="str">
        <f>"341126199710021519"</f>
        <v>341126199710021519</v>
      </c>
      <c r="D18282" t="s">
        <v>1</v>
      </c>
      <c r="E18282" t="s">
        <v>1</v>
      </c>
      <c r="F18282" t="s">
        <v>0</v>
      </c>
      <c r="G18282" t="str">
        <f>"2018-10-11 11:48:15"</f>
        <v>2018-10-11 11:48:15</v>
      </c>
    </row>
    <row r="18283" spans="1:7" x14ac:dyDescent="0.2">
      <c r="A18283" t="s">
        <v>17278</v>
      </c>
      <c r="B18283" t="str">
        <f>"15989162160"</f>
        <v>15989162160</v>
      </c>
      <c r="C18283" t="str">
        <f>"44098119900715111X"</f>
        <v>44098119900715111X</v>
      </c>
      <c r="D18283" t="s">
        <v>1</v>
      </c>
      <c r="E18283" t="s">
        <v>1</v>
      </c>
      <c r="F18283" t="s">
        <v>0</v>
      </c>
      <c r="G18283" t="str">
        <f>"2018-10-11 11:51:08"</f>
        <v>2018-10-11 11:51:08</v>
      </c>
    </row>
    <row r="18284" spans="1:7" x14ac:dyDescent="0.2">
      <c r="A18284" t="s">
        <v>1158</v>
      </c>
      <c r="B18284" t="str">
        <f>"17721277952"</f>
        <v>17721277952</v>
      </c>
      <c r="C18284" t="str">
        <f>"330182198210064428"</f>
        <v>330182198210064428</v>
      </c>
      <c r="D18284" t="s">
        <v>1</v>
      </c>
      <c r="E18284" t="s">
        <v>1</v>
      </c>
      <c r="F18284" t="s">
        <v>0</v>
      </c>
      <c r="G18284" t="str">
        <f>"2018-10-11 23:28:40"</f>
        <v>2018-10-11 23:28:40</v>
      </c>
    </row>
    <row r="18285" spans="1:7" x14ac:dyDescent="0.2">
      <c r="A18285" t="s">
        <v>17279</v>
      </c>
      <c r="B18285" t="str">
        <f>"15767107975"</f>
        <v>15767107975</v>
      </c>
      <c r="C18285" t="str">
        <f>"440882199401064007"</f>
        <v>440882199401064007</v>
      </c>
      <c r="D18285" t="s">
        <v>1</v>
      </c>
      <c r="E18285" t="s">
        <v>1</v>
      </c>
      <c r="F18285" t="s">
        <v>0</v>
      </c>
      <c r="G18285" t="str">
        <f>"2018-10-11 11:48:03"</f>
        <v>2018-10-11 11:48:03</v>
      </c>
    </row>
    <row r="18286" spans="1:7" x14ac:dyDescent="0.2">
      <c r="A18286" t="s">
        <v>282</v>
      </c>
      <c r="B18286" t="str">
        <f>"15288334207"</f>
        <v>15288334207</v>
      </c>
      <c r="C18286" t="str">
        <f>"530402199102170617"</f>
        <v>530402199102170617</v>
      </c>
      <c r="D18286" t="s">
        <v>1</v>
      </c>
      <c r="E18286" t="s">
        <v>1</v>
      </c>
      <c r="F18286" t="s">
        <v>0</v>
      </c>
      <c r="G18286" t="str">
        <f>"2018-10-18 10:13:25"</f>
        <v>2018-10-18 10:13:25</v>
      </c>
    </row>
    <row r="18287" spans="1:7" x14ac:dyDescent="0.2">
      <c r="A18287" t="s">
        <v>17280</v>
      </c>
      <c r="B18287" t="str">
        <f>"18874921547"</f>
        <v>18874921547</v>
      </c>
      <c r="C18287" t="str">
        <f>"430103197904201531"</f>
        <v>430103197904201531</v>
      </c>
      <c r="D18287" t="s">
        <v>1</v>
      </c>
      <c r="E18287" t="s">
        <v>1</v>
      </c>
      <c r="F18287" t="s">
        <v>0</v>
      </c>
      <c r="G18287" t="str">
        <f>"2018-10-12 22:51:17"</f>
        <v>2018-10-12 22:51:17</v>
      </c>
    </row>
    <row r="18288" spans="1:7" x14ac:dyDescent="0.2">
      <c r="A18288" t="s">
        <v>17281</v>
      </c>
      <c r="B18288" t="str">
        <f>"13875179451"</f>
        <v>13875179451</v>
      </c>
      <c r="C18288" t="str">
        <f>"430725198904117415"</f>
        <v>430725198904117415</v>
      </c>
      <c r="D18288" t="s">
        <v>17282</v>
      </c>
      <c r="E18288" t="s">
        <v>17283</v>
      </c>
      <c r="F18288" t="s">
        <v>0</v>
      </c>
      <c r="G18288" t="str">
        <f>"2018-10-11 13:08:07"</f>
        <v>2018-10-11 13:08:07</v>
      </c>
    </row>
    <row r="18289" spans="1:7" x14ac:dyDescent="0.2">
      <c r="A18289" t="s">
        <v>17284</v>
      </c>
      <c r="B18289" t="str">
        <f>"18875812923"</f>
        <v>18875812923</v>
      </c>
      <c r="C18289" t="str">
        <f>"332525198611246317"</f>
        <v>332525198611246317</v>
      </c>
      <c r="D18289" t="s">
        <v>1</v>
      </c>
      <c r="E18289" t="s">
        <v>1</v>
      </c>
      <c r="F18289" t="s">
        <v>0</v>
      </c>
      <c r="G18289" t="str">
        <f>"2018-10-11 16:07:53"</f>
        <v>2018-10-11 16:07:53</v>
      </c>
    </row>
    <row r="18290" spans="1:7" x14ac:dyDescent="0.2">
      <c r="A18290" t="s">
        <v>1</v>
      </c>
      <c r="B18290" t="str">
        <f>"18792200853"</f>
        <v>18792200853</v>
      </c>
      <c r="C18290" t="s">
        <v>1</v>
      </c>
      <c r="D18290" t="s">
        <v>1</v>
      </c>
      <c r="E18290" t="s">
        <v>1</v>
      </c>
      <c r="F18290" t="s">
        <v>0</v>
      </c>
      <c r="G18290" t="str">
        <f>"2018-10-11 11:41:54"</f>
        <v>2018-10-11 11:41:54</v>
      </c>
    </row>
    <row r="18291" spans="1:7" x14ac:dyDescent="0.2">
      <c r="A18291" t="s">
        <v>1845</v>
      </c>
      <c r="B18291" t="str">
        <f>"15573059502"</f>
        <v>15573059502</v>
      </c>
      <c r="C18291" t="str">
        <f>"430602197205145535"</f>
        <v>430602197205145535</v>
      </c>
      <c r="D18291" t="s">
        <v>1</v>
      </c>
      <c r="E18291" t="s">
        <v>1</v>
      </c>
      <c r="F18291" t="s">
        <v>0</v>
      </c>
      <c r="G18291" t="str">
        <f>"2018-10-11 11:44:43"</f>
        <v>2018-10-11 11:44:43</v>
      </c>
    </row>
    <row r="18292" spans="1:7" x14ac:dyDescent="0.2">
      <c r="A18292" t="s">
        <v>17285</v>
      </c>
      <c r="B18292" t="str">
        <f>"13829252672"</f>
        <v>13829252672</v>
      </c>
      <c r="C18292" t="str">
        <f>"412931197512242155"</f>
        <v>412931197512242155</v>
      </c>
      <c r="D18292" t="s">
        <v>1</v>
      </c>
      <c r="E18292" t="s">
        <v>1</v>
      </c>
      <c r="F18292" t="s">
        <v>0</v>
      </c>
      <c r="G18292" t="str">
        <f>"2018-10-11 11:44:52"</f>
        <v>2018-10-11 11:44:52</v>
      </c>
    </row>
    <row r="18293" spans="1:7" x14ac:dyDescent="0.2">
      <c r="A18293" t="s">
        <v>168</v>
      </c>
      <c r="B18293" t="str">
        <f>"15069176529"</f>
        <v>15069176529</v>
      </c>
      <c r="C18293" t="str">
        <f>"130682199403307072"</f>
        <v>130682199403307072</v>
      </c>
      <c r="D18293" t="s">
        <v>1</v>
      </c>
      <c r="E18293" t="s">
        <v>1</v>
      </c>
      <c r="F18293" t="s">
        <v>0</v>
      </c>
      <c r="G18293" t="str">
        <f>"2018-10-11 11:40:09"</f>
        <v>2018-10-11 11:40:09</v>
      </c>
    </row>
    <row r="18294" spans="1:7" x14ac:dyDescent="0.2">
      <c r="A18294" t="s">
        <v>17286</v>
      </c>
      <c r="B18294" t="str">
        <f>"17346936142"</f>
        <v>17346936142</v>
      </c>
      <c r="C18294" t="str">
        <f>"431122199402220010"</f>
        <v>431122199402220010</v>
      </c>
      <c r="D18294" t="s">
        <v>1</v>
      </c>
      <c r="E18294" t="s">
        <v>1</v>
      </c>
      <c r="F18294" t="s">
        <v>0</v>
      </c>
      <c r="G18294" t="str">
        <f>"2018-10-11 11:40:39"</f>
        <v>2018-10-11 11:40:39</v>
      </c>
    </row>
    <row r="18295" spans="1:7" x14ac:dyDescent="0.2">
      <c r="A18295" t="s">
        <v>17287</v>
      </c>
      <c r="B18295" t="str">
        <f>"17662514858"</f>
        <v>17662514858</v>
      </c>
      <c r="C18295" t="str">
        <f>"370982198905050437"</f>
        <v>370982198905050437</v>
      </c>
      <c r="D18295" t="s">
        <v>1</v>
      </c>
      <c r="E18295" t="s">
        <v>1</v>
      </c>
      <c r="F18295" t="s">
        <v>0</v>
      </c>
      <c r="G18295" t="str">
        <f>"2018-10-11 11:43:41"</f>
        <v>2018-10-11 11:43:41</v>
      </c>
    </row>
    <row r="18296" spans="1:7" x14ac:dyDescent="0.2">
      <c r="A18296" t="s">
        <v>17288</v>
      </c>
      <c r="B18296" t="str">
        <f>"17600584324"</f>
        <v>17600584324</v>
      </c>
      <c r="C18296" t="str">
        <f>"230227199606211318"</f>
        <v>230227199606211318</v>
      </c>
      <c r="D18296" t="s">
        <v>1</v>
      </c>
      <c r="E18296" t="s">
        <v>1</v>
      </c>
      <c r="F18296" t="s">
        <v>0</v>
      </c>
      <c r="G18296" t="str">
        <f>"2018-10-11 12:05:01"</f>
        <v>2018-10-11 12:05:01</v>
      </c>
    </row>
    <row r="18297" spans="1:7" x14ac:dyDescent="0.2">
      <c r="A18297" t="s">
        <v>17289</v>
      </c>
      <c r="B18297" t="str">
        <f>"15679176783"</f>
        <v>15679176783</v>
      </c>
      <c r="C18297" t="str">
        <f>"360103196302073437"</f>
        <v>360103196302073437</v>
      </c>
      <c r="D18297" t="s">
        <v>1</v>
      </c>
      <c r="E18297" t="s">
        <v>1</v>
      </c>
      <c r="F18297" t="s">
        <v>0</v>
      </c>
      <c r="G18297" t="str">
        <f>"2018-10-11 12:23:19"</f>
        <v>2018-10-11 12:23:19</v>
      </c>
    </row>
    <row r="18298" spans="1:7" x14ac:dyDescent="0.2">
      <c r="A18298" t="s">
        <v>17290</v>
      </c>
      <c r="B18298" t="str">
        <f>"15070310771"</f>
        <v>15070310771</v>
      </c>
      <c r="C18298" t="str">
        <f>"362321197611271330"</f>
        <v>362321197611271330</v>
      </c>
      <c r="D18298" t="s">
        <v>1</v>
      </c>
      <c r="E18298" t="s">
        <v>1</v>
      </c>
      <c r="F18298" t="s">
        <v>0</v>
      </c>
      <c r="G18298" t="str">
        <f>"2018-10-11 11:35:52"</f>
        <v>2018-10-11 11:35:52</v>
      </c>
    </row>
    <row r="18299" spans="1:7" x14ac:dyDescent="0.2">
      <c r="A18299" t="s">
        <v>17291</v>
      </c>
      <c r="B18299" t="str">
        <f>"18098557537"</f>
        <v>18098557537</v>
      </c>
      <c r="C18299" t="str">
        <f>"342523198907297614"</f>
        <v>342523198907297614</v>
      </c>
      <c r="D18299" t="s">
        <v>1</v>
      </c>
      <c r="E18299" t="s">
        <v>1</v>
      </c>
      <c r="F18299" t="s">
        <v>0</v>
      </c>
      <c r="G18299" t="str">
        <f>"2018-10-11 11:38:33"</f>
        <v>2018-10-11 11:38:33</v>
      </c>
    </row>
    <row r="18300" spans="1:7" x14ac:dyDescent="0.2">
      <c r="A18300" t="s">
        <v>17292</v>
      </c>
      <c r="B18300" t="str">
        <f>"18872550575"</f>
        <v>18872550575</v>
      </c>
      <c r="C18300" t="str">
        <f>"420626198911263014"</f>
        <v>420626198911263014</v>
      </c>
      <c r="D18300" t="s">
        <v>1</v>
      </c>
      <c r="E18300" t="s">
        <v>1</v>
      </c>
      <c r="F18300" t="s">
        <v>0</v>
      </c>
      <c r="G18300" t="str">
        <f>"2018-10-11 16:28:02"</f>
        <v>2018-10-11 16:28:02</v>
      </c>
    </row>
    <row r="18301" spans="1:7" x14ac:dyDescent="0.2">
      <c r="A18301" t="s">
        <v>17293</v>
      </c>
      <c r="B18301" t="str">
        <f>"18530817735"</f>
        <v>18530817735</v>
      </c>
      <c r="C18301" t="str">
        <f>"410727198604066555"</f>
        <v>410727198604066555</v>
      </c>
      <c r="D18301" t="s">
        <v>17294</v>
      </c>
      <c r="E18301" t="s">
        <v>17295</v>
      </c>
      <c r="F18301" t="s">
        <v>0</v>
      </c>
      <c r="G18301" t="str">
        <f>"2018-10-23 13:43:06"</f>
        <v>2018-10-23 13:43:06</v>
      </c>
    </row>
    <row r="18302" spans="1:7" x14ac:dyDescent="0.2">
      <c r="A18302" t="s">
        <v>322</v>
      </c>
      <c r="B18302" t="str">
        <f>"15699392225"</f>
        <v>15699392225</v>
      </c>
      <c r="C18302" t="str">
        <f>"654127198108013046"</f>
        <v>654127198108013046</v>
      </c>
      <c r="D18302" t="s">
        <v>1</v>
      </c>
      <c r="E18302" t="s">
        <v>1</v>
      </c>
      <c r="F18302" t="s">
        <v>0</v>
      </c>
      <c r="G18302" t="str">
        <f>"2018-10-11 11:42:19"</f>
        <v>2018-10-11 11:42:19</v>
      </c>
    </row>
    <row r="18303" spans="1:7" x14ac:dyDescent="0.2">
      <c r="A18303" t="s">
        <v>1</v>
      </c>
      <c r="B18303" t="str">
        <f>"15320156368"</f>
        <v>15320156368</v>
      </c>
      <c r="C18303" t="s">
        <v>1</v>
      </c>
      <c r="D18303" t="s">
        <v>1</v>
      </c>
      <c r="E18303" t="s">
        <v>1</v>
      </c>
      <c r="F18303" t="s">
        <v>0</v>
      </c>
      <c r="G18303" t="str">
        <f>"2018-10-11 11:32:39"</f>
        <v>2018-10-11 11:32:39</v>
      </c>
    </row>
    <row r="18304" spans="1:7" x14ac:dyDescent="0.2">
      <c r="A18304" t="s">
        <v>17296</v>
      </c>
      <c r="B18304" t="str">
        <f>"15535317205"</f>
        <v>15535317205</v>
      </c>
      <c r="C18304" t="str">
        <f>"140321198804044814"</f>
        <v>140321198804044814</v>
      </c>
      <c r="D18304" t="s">
        <v>1</v>
      </c>
      <c r="E18304" t="s">
        <v>1</v>
      </c>
      <c r="F18304" t="s">
        <v>0</v>
      </c>
      <c r="G18304" t="str">
        <f>"2018-10-11 12:27:39"</f>
        <v>2018-10-11 12:27:39</v>
      </c>
    </row>
    <row r="18305" spans="1:7" x14ac:dyDescent="0.2">
      <c r="A18305" t="s">
        <v>17297</v>
      </c>
      <c r="B18305" t="str">
        <f>"18375353996"</f>
        <v>18375353996</v>
      </c>
      <c r="C18305" t="str">
        <f>"340881199901015922"</f>
        <v>340881199901015922</v>
      </c>
      <c r="D18305" t="s">
        <v>1</v>
      </c>
      <c r="E18305" t="s">
        <v>1</v>
      </c>
      <c r="F18305" t="s">
        <v>0</v>
      </c>
      <c r="G18305" t="str">
        <f>"2018-10-11 11:36:38"</f>
        <v>2018-10-11 11:36:38</v>
      </c>
    </row>
    <row r="18306" spans="1:7" x14ac:dyDescent="0.2">
      <c r="A18306" t="s">
        <v>17298</v>
      </c>
      <c r="B18306" t="str">
        <f>"18676634174"</f>
        <v>18676634174</v>
      </c>
      <c r="C18306" t="str">
        <f>"622101198906091419"</f>
        <v>622101198906091419</v>
      </c>
      <c r="D18306" t="s">
        <v>1</v>
      </c>
      <c r="E18306" t="s">
        <v>1</v>
      </c>
      <c r="F18306" t="s">
        <v>0</v>
      </c>
      <c r="G18306" t="str">
        <f>"2018-10-11 11:41:53"</f>
        <v>2018-10-11 11:41:53</v>
      </c>
    </row>
    <row r="18307" spans="1:7" x14ac:dyDescent="0.2">
      <c r="A18307" t="s">
        <v>1667</v>
      </c>
      <c r="B18307" t="str">
        <f>"17696631824"</f>
        <v>17696631824</v>
      </c>
      <c r="C18307" t="str">
        <f>"211382199508241633"</f>
        <v>211382199508241633</v>
      </c>
      <c r="D18307" t="s">
        <v>1</v>
      </c>
      <c r="E18307" t="s">
        <v>1</v>
      </c>
      <c r="F18307" t="s">
        <v>0</v>
      </c>
      <c r="G18307" t="str">
        <f>"2018-10-11 12:01:45"</f>
        <v>2018-10-11 12:01:45</v>
      </c>
    </row>
    <row r="18308" spans="1:7" x14ac:dyDescent="0.2">
      <c r="A18308" t="s">
        <v>17299</v>
      </c>
      <c r="B18308" t="str">
        <f>"13485422693"</f>
        <v>13485422693</v>
      </c>
      <c r="C18308" t="str">
        <f>"141124199504130124"</f>
        <v>141124199504130124</v>
      </c>
      <c r="D18308" t="s">
        <v>1</v>
      </c>
      <c r="E18308" t="s">
        <v>1</v>
      </c>
      <c r="F18308" t="s">
        <v>0</v>
      </c>
      <c r="G18308" t="str">
        <f>"2018-10-18 12:02:27"</f>
        <v>2018-10-18 12:02:27</v>
      </c>
    </row>
    <row r="18309" spans="1:7" x14ac:dyDescent="0.2">
      <c r="A18309" t="s">
        <v>17300</v>
      </c>
      <c r="B18309" t="str">
        <f>"18021809788"</f>
        <v>18021809788</v>
      </c>
      <c r="C18309" t="str">
        <f>"320923199112103071"</f>
        <v>320923199112103071</v>
      </c>
      <c r="D18309" t="s">
        <v>17301</v>
      </c>
      <c r="E18309" t="s">
        <v>17302</v>
      </c>
      <c r="F18309" t="s">
        <v>0</v>
      </c>
      <c r="G18309" t="str">
        <f>"2018-10-26 13:44:24"</f>
        <v>2018-10-26 13:44:24</v>
      </c>
    </row>
    <row r="18310" spans="1:7" x14ac:dyDescent="0.2">
      <c r="A18310" t="s">
        <v>17303</v>
      </c>
      <c r="B18310" t="str">
        <f>"18819341447"</f>
        <v>18819341447</v>
      </c>
      <c r="C18310" t="str">
        <f>"511622198610296717"</f>
        <v>511622198610296717</v>
      </c>
      <c r="D18310" t="s">
        <v>1</v>
      </c>
      <c r="E18310" t="s">
        <v>1</v>
      </c>
      <c r="F18310" t="s">
        <v>0</v>
      </c>
      <c r="G18310" t="str">
        <f>"2018-10-18 10:42:14"</f>
        <v>2018-10-18 10:42:14</v>
      </c>
    </row>
    <row r="18311" spans="1:7" x14ac:dyDescent="0.2">
      <c r="A18311" t="s">
        <v>17304</v>
      </c>
      <c r="B18311" t="str">
        <f>"13281799079"</f>
        <v>13281799079</v>
      </c>
      <c r="C18311" t="str">
        <f>"510923199806296838"</f>
        <v>510923199806296838</v>
      </c>
      <c r="D18311" t="s">
        <v>1</v>
      </c>
      <c r="E18311" t="s">
        <v>1</v>
      </c>
      <c r="F18311" t="s">
        <v>0</v>
      </c>
      <c r="G18311" t="str">
        <f>"2018-10-17 09:58:10"</f>
        <v>2018-10-17 09:58:10</v>
      </c>
    </row>
    <row r="18312" spans="1:7" x14ac:dyDescent="0.2">
      <c r="A18312" t="s">
        <v>1</v>
      </c>
      <c r="B18312" t="str">
        <f>"17521207104"</f>
        <v>17521207104</v>
      </c>
      <c r="C18312" t="s">
        <v>1</v>
      </c>
      <c r="D18312" t="s">
        <v>1</v>
      </c>
      <c r="E18312" t="s">
        <v>1</v>
      </c>
      <c r="F18312" t="s">
        <v>0</v>
      </c>
      <c r="G18312" t="str">
        <f>"2018-10-11 11:28:00"</f>
        <v>2018-10-11 11:28:00</v>
      </c>
    </row>
    <row r="18313" spans="1:7" x14ac:dyDescent="0.2">
      <c r="A18313" t="s">
        <v>1</v>
      </c>
      <c r="B18313" t="str">
        <f>"17612108709"</f>
        <v>17612108709</v>
      </c>
      <c r="C18313" t="s">
        <v>1</v>
      </c>
      <c r="D18313" t="s">
        <v>1</v>
      </c>
      <c r="E18313" t="s">
        <v>1</v>
      </c>
      <c r="F18313" t="s">
        <v>0</v>
      </c>
      <c r="G18313" t="str">
        <f>"2018-10-11 11:26:48"</f>
        <v>2018-10-11 11:26:48</v>
      </c>
    </row>
    <row r="18314" spans="1:7" x14ac:dyDescent="0.2">
      <c r="A18314" t="s">
        <v>17305</v>
      </c>
      <c r="B18314" t="str">
        <f>"15103566337"</f>
        <v>15103566337</v>
      </c>
      <c r="C18314" t="str">
        <f>"410521198508074011"</f>
        <v>410521198508074011</v>
      </c>
      <c r="D18314" t="s">
        <v>17306</v>
      </c>
      <c r="E18314" t="s">
        <v>17307</v>
      </c>
      <c r="F18314" t="s">
        <v>0</v>
      </c>
      <c r="G18314" t="str">
        <f>"2018-10-11 11:26:45"</f>
        <v>2018-10-11 11:26:45</v>
      </c>
    </row>
    <row r="18315" spans="1:7" x14ac:dyDescent="0.2">
      <c r="A18315" t="s">
        <v>1</v>
      </c>
      <c r="B18315" t="str">
        <f>"13212171492"</f>
        <v>13212171492</v>
      </c>
      <c r="C18315" t="s">
        <v>1</v>
      </c>
      <c r="D18315" t="s">
        <v>1</v>
      </c>
      <c r="E18315" t="s">
        <v>1</v>
      </c>
      <c r="F18315" t="s">
        <v>0</v>
      </c>
      <c r="G18315" t="str">
        <f>"2018-10-12 10:58:36"</f>
        <v>2018-10-12 10:58:36</v>
      </c>
    </row>
    <row r="18316" spans="1:7" x14ac:dyDescent="0.2">
      <c r="A18316" t="s">
        <v>17308</v>
      </c>
      <c r="B18316" t="str">
        <f>"18515325388"</f>
        <v>18515325388</v>
      </c>
      <c r="C18316" t="str">
        <f>"110224198511011419"</f>
        <v>110224198511011419</v>
      </c>
      <c r="D18316" t="s">
        <v>1</v>
      </c>
      <c r="E18316" t="s">
        <v>1</v>
      </c>
      <c r="F18316" t="s">
        <v>0</v>
      </c>
      <c r="G18316" t="str">
        <f>"2018-10-11 11:38:59"</f>
        <v>2018-10-11 11:38:59</v>
      </c>
    </row>
    <row r="18317" spans="1:7" x14ac:dyDescent="0.2">
      <c r="A18317" t="s">
        <v>15084</v>
      </c>
      <c r="B18317" t="str">
        <f>"15525603111"</f>
        <v>15525603111</v>
      </c>
      <c r="C18317" t="str">
        <f>"140322199410181518"</f>
        <v>140322199410181518</v>
      </c>
      <c r="D18317" t="s">
        <v>17309</v>
      </c>
      <c r="E18317" t="s">
        <v>17310</v>
      </c>
      <c r="F18317" t="s">
        <v>0</v>
      </c>
      <c r="G18317" t="str">
        <f>"2018-10-11 11:33:40"</f>
        <v>2018-10-11 11:33:40</v>
      </c>
    </row>
    <row r="18318" spans="1:7" x14ac:dyDescent="0.2">
      <c r="A18318" t="s">
        <v>17311</v>
      </c>
      <c r="B18318" t="str">
        <f>"13678168768"</f>
        <v>13678168768</v>
      </c>
      <c r="C18318" t="str">
        <f>"513922199009285630"</f>
        <v>513922199009285630</v>
      </c>
      <c r="D18318" t="s">
        <v>1</v>
      </c>
      <c r="E18318" t="s">
        <v>1</v>
      </c>
      <c r="F18318" t="s">
        <v>0</v>
      </c>
      <c r="G18318" t="str">
        <f>"2018-10-11 11:24:31"</f>
        <v>2018-10-11 11:24:31</v>
      </c>
    </row>
    <row r="18319" spans="1:7" x14ac:dyDescent="0.2">
      <c r="A18319" t="s">
        <v>17312</v>
      </c>
      <c r="B18319" t="str">
        <f>"17732975979"</f>
        <v>17732975979</v>
      </c>
      <c r="C18319" t="str">
        <f>"130521198810010011"</f>
        <v>130521198810010011</v>
      </c>
      <c r="D18319" t="s">
        <v>1</v>
      </c>
      <c r="E18319" t="s">
        <v>1</v>
      </c>
      <c r="F18319" t="s">
        <v>0</v>
      </c>
      <c r="G18319" t="str">
        <f>"2018-10-11 11:31:06"</f>
        <v>2018-10-11 11:31:06</v>
      </c>
    </row>
    <row r="18320" spans="1:7" x14ac:dyDescent="0.2">
      <c r="A18320" t="s">
        <v>17313</v>
      </c>
      <c r="B18320" t="str">
        <f>"18310781290"</f>
        <v>18310781290</v>
      </c>
      <c r="C18320" t="str">
        <f>"220581199010154028"</f>
        <v>220581199010154028</v>
      </c>
      <c r="D18320" t="s">
        <v>1</v>
      </c>
      <c r="E18320" t="s">
        <v>1</v>
      </c>
      <c r="F18320" t="s">
        <v>0</v>
      </c>
      <c r="G18320" t="str">
        <f>"2018-10-11 11:24:23"</f>
        <v>2018-10-11 11:24:23</v>
      </c>
    </row>
    <row r="18321" spans="1:7" x14ac:dyDescent="0.2">
      <c r="A18321" t="s">
        <v>17314</v>
      </c>
      <c r="B18321" t="str">
        <f>"18215572229"</f>
        <v>18215572229</v>
      </c>
      <c r="C18321" t="str">
        <f>"511112199206142112"</f>
        <v>511112199206142112</v>
      </c>
      <c r="D18321" t="s">
        <v>1</v>
      </c>
      <c r="E18321" t="s">
        <v>1</v>
      </c>
      <c r="F18321" t="s">
        <v>0</v>
      </c>
      <c r="G18321" t="str">
        <f>"2018-10-11 11:24:33"</f>
        <v>2018-10-11 11:24:33</v>
      </c>
    </row>
    <row r="18322" spans="1:7" x14ac:dyDescent="0.2">
      <c r="A18322" t="s">
        <v>17315</v>
      </c>
      <c r="B18322" t="str">
        <f>"13828449519"</f>
        <v>13828449519</v>
      </c>
      <c r="C18322" t="str">
        <f>"610327198407161516"</f>
        <v>610327198407161516</v>
      </c>
      <c r="D18322" t="s">
        <v>1</v>
      </c>
      <c r="E18322" t="s">
        <v>1</v>
      </c>
      <c r="F18322" t="s">
        <v>0</v>
      </c>
      <c r="G18322" t="str">
        <f>"2018-10-11 11:27:40"</f>
        <v>2018-10-11 11:27:40</v>
      </c>
    </row>
    <row r="18323" spans="1:7" x14ac:dyDescent="0.2">
      <c r="A18323" t="s">
        <v>1</v>
      </c>
      <c r="B18323" t="str">
        <f>"18463317951"</f>
        <v>18463317951</v>
      </c>
      <c r="C18323" t="s">
        <v>1</v>
      </c>
      <c r="D18323" t="s">
        <v>1</v>
      </c>
      <c r="E18323" t="s">
        <v>1</v>
      </c>
      <c r="F18323" t="s">
        <v>0</v>
      </c>
      <c r="G18323" t="str">
        <f>"2018-10-11 11:23:07"</f>
        <v>2018-10-11 11:23:07</v>
      </c>
    </row>
    <row r="18324" spans="1:7" x14ac:dyDescent="0.2">
      <c r="A18324" t="s">
        <v>17316</v>
      </c>
      <c r="B18324" t="str">
        <f>"18582539909"</f>
        <v>18582539909</v>
      </c>
      <c r="C18324" t="str">
        <f>"420922198605084246"</f>
        <v>420922198605084246</v>
      </c>
      <c r="D18324" t="s">
        <v>1</v>
      </c>
      <c r="E18324" t="s">
        <v>1</v>
      </c>
      <c r="F18324" t="s">
        <v>0</v>
      </c>
      <c r="G18324" t="str">
        <f>"2018-10-11 11:24:07"</f>
        <v>2018-10-11 11:24:07</v>
      </c>
    </row>
    <row r="18325" spans="1:7" x14ac:dyDescent="0.2">
      <c r="A18325" t="s">
        <v>17317</v>
      </c>
      <c r="B18325" t="str">
        <f>"18074906616"</f>
        <v>18074906616</v>
      </c>
      <c r="C18325" t="str">
        <f>"450103197806160012"</f>
        <v>450103197806160012</v>
      </c>
      <c r="D18325" t="s">
        <v>1</v>
      </c>
      <c r="E18325" t="s">
        <v>1</v>
      </c>
      <c r="F18325" t="s">
        <v>0</v>
      </c>
      <c r="G18325" t="str">
        <f>"2018-10-11 11:24:08"</f>
        <v>2018-10-11 11:24:08</v>
      </c>
    </row>
    <row r="18326" spans="1:7" x14ac:dyDescent="0.2">
      <c r="A18326" t="s">
        <v>346</v>
      </c>
      <c r="B18326" t="str">
        <f>"15186122242"</f>
        <v>15186122242</v>
      </c>
      <c r="C18326" t="str">
        <f>"522427199108220416"</f>
        <v>522427199108220416</v>
      </c>
      <c r="D18326" t="s">
        <v>17318</v>
      </c>
      <c r="E18326" t="s">
        <v>17319</v>
      </c>
      <c r="F18326" t="s">
        <v>0</v>
      </c>
      <c r="G18326" t="str">
        <f>"2018-10-11 11:25:04"</f>
        <v>2018-10-11 11:25:04</v>
      </c>
    </row>
    <row r="18327" spans="1:7" x14ac:dyDescent="0.2">
      <c r="A18327" t="s">
        <v>17320</v>
      </c>
      <c r="B18327" t="str">
        <f>"13247560839"</f>
        <v>13247560839</v>
      </c>
      <c r="C18327" t="str">
        <f>"360724199701106513"</f>
        <v>360724199701106513</v>
      </c>
      <c r="D18327" t="s">
        <v>17321</v>
      </c>
      <c r="E18327" t="s">
        <v>17322</v>
      </c>
      <c r="F18327" t="s">
        <v>0</v>
      </c>
      <c r="G18327" t="str">
        <f>"2018-10-11 16:12:27"</f>
        <v>2018-10-11 16:12:27</v>
      </c>
    </row>
    <row r="18328" spans="1:7" x14ac:dyDescent="0.2">
      <c r="A18328" t="s">
        <v>17323</v>
      </c>
      <c r="B18328" t="str">
        <f>"15537438977"</f>
        <v>15537438977</v>
      </c>
      <c r="C18328" t="str">
        <f>"411023199206183520"</f>
        <v>411023199206183520</v>
      </c>
      <c r="D18328" t="s">
        <v>17324</v>
      </c>
      <c r="E18328" t="s">
        <v>17325</v>
      </c>
      <c r="F18328" t="s">
        <v>0</v>
      </c>
      <c r="G18328" t="str">
        <f>"2018-10-11 11:20:07"</f>
        <v>2018-10-11 11:20:07</v>
      </c>
    </row>
    <row r="18329" spans="1:7" x14ac:dyDescent="0.2">
      <c r="A18329" t="s">
        <v>282</v>
      </c>
      <c r="B18329" t="str">
        <f>"15996951600"</f>
        <v>15996951600</v>
      </c>
      <c r="C18329" t="str">
        <f>"320311199012014313"</f>
        <v>320311199012014313</v>
      </c>
      <c r="D18329" t="s">
        <v>1</v>
      </c>
      <c r="E18329" t="s">
        <v>1</v>
      </c>
      <c r="F18329" t="s">
        <v>0</v>
      </c>
      <c r="G18329" t="str">
        <f>"2018-10-11 11:26:47"</f>
        <v>2018-10-11 11:26:47</v>
      </c>
    </row>
    <row r="18330" spans="1:7" x14ac:dyDescent="0.2">
      <c r="A18330" t="s">
        <v>220</v>
      </c>
      <c r="B18330" t="str">
        <f>"18246291323"</f>
        <v>18246291323</v>
      </c>
      <c r="C18330" t="str">
        <f>"230224199409122616"</f>
        <v>230224199409122616</v>
      </c>
      <c r="D18330" t="s">
        <v>1</v>
      </c>
      <c r="E18330" t="s">
        <v>1</v>
      </c>
      <c r="F18330" t="s">
        <v>0</v>
      </c>
      <c r="G18330" t="str">
        <f>"2018-10-11 11:17:30"</f>
        <v>2018-10-11 11:17:30</v>
      </c>
    </row>
    <row r="18331" spans="1:7" x14ac:dyDescent="0.2">
      <c r="A18331" t="s">
        <v>370</v>
      </c>
      <c r="B18331" t="str">
        <f>"18735658154"</f>
        <v>18735658154</v>
      </c>
      <c r="C18331" t="str">
        <f>"429004198308195333"</f>
        <v>429004198308195333</v>
      </c>
      <c r="D18331" t="s">
        <v>1</v>
      </c>
      <c r="E18331" t="s">
        <v>1</v>
      </c>
      <c r="F18331" t="s">
        <v>0</v>
      </c>
      <c r="G18331" t="str">
        <f>"2018-10-11 11:40:12"</f>
        <v>2018-10-11 11:40:12</v>
      </c>
    </row>
    <row r="18332" spans="1:7" x14ac:dyDescent="0.2">
      <c r="A18332" t="s">
        <v>220</v>
      </c>
      <c r="B18332" t="str">
        <f>"13581516247"</f>
        <v>13581516247</v>
      </c>
      <c r="C18332" t="str">
        <f>"340881199705255013"</f>
        <v>340881199705255013</v>
      </c>
      <c r="D18332" t="s">
        <v>1</v>
      </c>
      <c r="E18332" t="s">
        <v>1</v>
      </c>
      <c r="F18332" t="s">
        <v>0</v>
      </c>
      <c r="G18332" t="str">
        <f>"2018-10-11 11:22:55"</f>
        <v>2018-10-11 11:22:55</v>
      </c>
    </row>
    <row r="18333" spans="1:7" x14ac:dyDescent="0.2">
      <c r="A18333" t="s">
        <v>1</v>
      </c>
      <c r="B18333" t="str">
        <f>"13880022456"</f>
        <v>13880022456</v>
      </c>
      <c r="C18333" t="s">
        <v>1</v>
      </c>
      <c r="D18333" t="s">
        <v>1</v>
      </c>
      <c r="E18333" t="s">
        <v>1</v>
      </c>
      <c r="F18333" t="s">
        <v>0</v>
      </c>
      <c r="G18333" t="str">
        <f>"2018-10-11 11:29:18"</f>
        <v>2018-10-11 11:29:18</v>
      </c>
    </row>
    <row r="18334" spans="1:7" x14ac:dyDescent="0.2">
      <c r="A18334" t="s">
        <v>17326</v>
      </c>
      <c r="B18334" t="str">
        <f>"15610537855"</f>
        <v>15610537855</v>
      </c>
      <c r="C18334" t="str">
        <f>"370283199305180011"</f>
        <v>370283199305180011</v>
      </c>
      <c r="D18334" t="s">
        <v>17327</v>
      </c>
      <c r="E18334" t="s">
        <v>17328</v>
      </c>
      <c r="F18334" t="s">
        <v>0</v>
      </c>
      <c r="G18334" t="str">
        <f>"2018-10-11 12:45:38"</f>
        <v>2018-10-11 12:45:38</v>
      </c>
    </row>
    <row r="18335" spans="1:7" x14ac:dyDescent="0.2">
      <c r="A18335" t="s">
        <v>1</v>
      </c>
      <c r="B18335" t="str">
        <f>"15731891777"</f>
        <v>15731891777</v>
      </c>
      <c r="C18335" t="s">
        <v>1</v>
      </c>
      <c r="D18335" t="s">
        <v>1</v>
      </c>
      <c r="E18335" t="s">
        <v>1</v>
      </c>
      <c r="F18335" t="s">
        <v>0</v>
      </c>
      <c r="G18335" t="str">
        <f>"2018-10-11 13:21:55"</f>
        <v>2018-10-11 13:21:55</v>
      </c>
    </row>
    <row r="18336" spans="1:7" x14ac:dyDescent="0.2">
      <c r="A18336" t="s">
        <v>1</v>
      </c>
      <c r="B18336" t="str">
        <f>"18271827113"</f>
        <v>18271827113</v>
      </c>
      <c r="C18336" t="s">
        <v>1</v>
      </c>
      <c r="D18336" t="s">
        <v>1</v>
      </c>
      <c r="E18336" t="s">
        <v>1</v>
      </c>
      <c r="F18336" t="s">
        <v>0</v>
      </c>
      <c r="G18336" t="str">
        <f>"2018-10-11 11:14:32"</f>
        <v>2018-10-11 11:14:32</v>
      </c>
    </row>
    <row r="18337" spans="1:7" x14ac:dyDescent="0.2">
      <c r="A18337" t="s">
        <v>17329</v>
      </c>
      <c r="B18337" t="str">
        <f>"13268208090"</f>
        <v>13268208090</v>
      </c>
      <c r="C18337" t="str">
        <f>"230182198204130077"</f>
        <v>230182198204130077</v>
      </c>
      <c r="D18337" t="s">
        <v>1</v>
      </c>
      <c r="E18337" t="s">
        <v>1</v>
      </c>
      <c r="F18337" t="s">
        <v>0</v>
      </c>
      <c r="G18337" t="str">
        <f>"2018-10-11 11:20:52"</f>
        <v>2018-10-11 11:20:52</v>
      </c>
    </row>
    <row r="18338" spans="1:7" x14ac:dyDescent="0.2">
      <c r="A18338" t="s">
        <v>1</v>
      </c>
      <c r="B18338" t="str">
        <f>"13034282837"</f>
        <v>13034282837</v>
      </c>
      <c r="C18338" t="s">
        <v>1</v>
      </c>
      <c r="D18338" t="s">
        <v>1</v>
      </c>
      <c r="E18338" t="s">
        <v>1</v>
      </c>
      <c r="F18338" t="s">
        <v>0</v>
      </c>
      <c r="G18338" t="str">
        <f>"2018-10-11 11:11:17"</f>
        <v>2018-10-11 11:11:17</v>
      </c>
    </row>
    <row r="18339" spans="1:7" x14ac:dyDescent="0.2">
      <c r="A18339" t="s">
        <v>17330</v>
      </c>
      <c r="B18339" t="str">
        <f>"18382237915"</f>
        <v>18382237915</v>
      </c>
      <c r="C18339" t="str">
        <f>"510822199403200692"</f>
        <v>510822199403200692</v>
      </c>
      <c r="D18339" t="s">
        <v>17331</v>
      </c>
      <c r="E18339" t="s">
        <v>17332</v>
      </c>
      <c r="F18339" t="s">
        <v>0</v>
      </c>
      <c r="G18339" t="str">
        <f>"2018-10-11 11:14:10"</f>
        <v>2018-10-11 11:14:10</v>
      </c>
    </row>
    <row r="18340" spans="1:7" x14ac:dyDescent="0.2">
      <c r="A18340" t="s">
        <v>17333</v>
      </c>
      <c r="B18340" t="str">
        <f>"15224771451"</f>
        <v>15224771451</v>
      </c>
      <c r="C18340" t="str">
        <f>"411402198909125891"</f>
        <v>411402198909125891</v>
      </c>
      <c r="D18340" t="s">
        <v>1</v>
      </c>
      <c r="E18340" t="s">
        <v>1</v>
      </c>
      <c r="F18340" t="s">
        <v>0</v>
      </c>
      <c r="G18340" t="str">
        <f>"2018-10-11 11:18:22"</f>
        <v>2018-10-11 11:18:22</v>
      </c>
    </row>
    <row r="18341" spans="1:7" x14ac:dyDescent="0.2">
      <c r="A18341" t="s">
        <v>17334</v>
      </c>
      <c r="B18341" t="str">
        <f>"17783377268"</f>
        <v>17783377268</v>
      </c>
      <c r="C18341" t="str">
        <f>"511028199509226327"</f>
        <v>511028199509226327</v>
      </c>
      <c r="D18341" t="s">
        <v>1</v>
      </c>
      <c r="E18341" t="s">
        <v>1</v>
      </c>
      <c r="F18341" t="s">
        <v>0</v>
      </c>
      <c r="G18341" t="str">
        <f>"2018-10-12 23:17:08"</f>
        <v>2018-10-12 23:17:08</v>
      </c>
    </row>
    <row r="18342" spans="1:7" x14ac:dyDescent="0.2">
      <c r="A18342" t="s">
        <v>7761</v>
      </c>
      <c r="B18342" t="str">
        <f>"15139079277"</f>
        <v>15139079277</v>
      </c>
      <c r="C18342" t="str">
        <f>"411322199702070613"</f>
        <v>411322199702070613</v>
      </c>
      <c r="D18342" t="s">
        <v>17335</v>
      </c>
      <c r="E18342" t="s">
        <v>17336</v>
      </c>
      <c r="F18342" t="s">
        <v>0</v>
      </c>
      <c r="G18342" t="str">
        <f>"2018-10-21 16:54:33"</f>
        <v>2018-10-21 16:54:33</v>
      </c>
    </row>
    <row r="18343" spans="1:7" x14ac:dyDescent="0.2">
      <c r="A18343" t="s">
        <v>1</v>
      </c>
      <c r="B18343" t="str">
        <f>"15185426677"</f>
        <v>15185426677</v>
      </c>
      <c r="C18343" t="s">
        <v>1</v>
      </c>
      <c r="D18343" t="s">
        <v>1</v>
      </c>
      <c r="E18343" t="s">
        <v>1</v>
      </c>
      <c r="F18343" t="s">
        <v>0</v>
      </c>
      <c r="G18343" t="str">
        <f>"2018-10-11 11:10:02"</f>
        <v>2018-10-11 11:10:02</v>
      </c>
    </row>
    <row r="18344" spans="1:7" x14ac:dyDescent="0.2">
      <c r="A18344" t="s">
        <v>1846</v>
      </c>
      <c r="B18344" t="str">
        <f>"18316356396"</f>
        <v>18316356396</v>
      </c>
      <c r="C18344" t="str">
        <f>"431025199603295610"</f>
        <v>431025199603295610</v>
      </c>
      <c r="D18344" t="s">
        <v>1</v>
      </c>
      <c r="E18344" t="s">
        <v>1</v>
      </c>
      <c r="F18344" t="s">
        <v>0</v>
      </c>
      <c r="G18344" t="str">
        <f>"2018-10-18 10:41:36"</f>
        <v>2018-10-18 10:41:36</v>
      </c>
    </row>
    <row r="18345" spans="1:7" x14ac:dyDescent="0.2">
      <c r="A18345" t="s">
        <v>17337</v>
      </c>
      <c r="B18345" t="str">
        <f>"13677788333"</f>
        <v>13677788333</v>
      </c>
      <c r="C18345" t="str">
        <f>"350128198301022915"</f>
        <v>350128198301022915</v>
      </c>
      <c r="D18345" t="s">
        <v>1</v>
      </c>
      <c r="E18345" t="s">
        <v>1</v>
      </c>
      <c r="F18345" t="s">
        <v>0</v>
      </c>
      <c r="G18345" t="str">
        <f>"2018-10-11 11:10:26"</f>
        <v>2018-10-11 11:10:26</v>
      </c>
    </row>
    <row r="18346" spans="1:7" x14ac:dyDescent="0.2">
      <c r="A18346" t="s">
        <v>17338</v>
      </c>
      <c r="B18346" t="str">
        <f>"18180889597"</f>
        <v>18180889597</v>
      </c>
      <c r="C18346" t="str">
        <f>"510183199702274311"</f>
        <v>510183199702274311</v>
      </c>
      <c r="D18346" t="s">
        <v>17339</v>
      </c>
      <c r="E18346" t="s">
        <v>17340</v>
      </c>
      <c r="F18346" t="s">
        <v>0</v>
      </c>
      <c r="G18346" t="str">
        <f>"2018-10-11 11:09:53"</f>
        <v>2018-10-11 11:09:53</v>
      </c>
    </row>
    <row r="18347" spans="1:7" x14ac:dyDescent="0.2">
      <c r="A18347" t="s">
        <v>17341</v>
      </c>
      <c r="B18347" t="str">
        <f>"15180342101"</f>
        <v>15180342101</v>
      </c>
      <c r="C18347" t="str">
        <f>"362330198509184215"</f>
        <v>362330198509184215</v>
      </c>
      <c r="D18347" t="s">
        <v>1</v>
      </c>
      <c r="E18347" t="s">
        <v>1</v>
      </c>
      <c r="F18347" t="s">
        <v>0</v>
      </c>
      <c r="G18347" t="str">
        <f>"2018-10-11 11:07:47"</f>
        <v>2018-10-11 11:07:47</v>
      </c>
    </row>
    <row r="18348" spans="1:7" x14ac:dyDescent="0.2">
      <c r="A18348" t="s">
        <v>17342</v>
      </c>
      <c r="B18348" t="str">
        <f>"18164616086"</f>
        <v>18164616086</v>
      </c>
      <c r="C18348" t="str">
        <f>"530302199403200335"</f>
        <v>530302199403200335</v>
      </c>
      <c r="D18348" t="s">
        <v>1</v>
      </c>
      <c r="E18348" t="s">
        <v>1</v>
      </c>
      <c r="F18348" t="s">
        <v>0</v>
      </c>
      <c r="G18348" t="str">
        <f>"2018-10-11 11:37:54"</f>
        <v>2018-10-11 11:37:54</v>
      </c>
    </row>
    <row r="18349" spans="1:7" x14ac:dyDescent="0.2">
      <c r="A18349" t="s">
        <v>1</v>
      </c>
      <c r="B18349" t="str">
        <f>"13562342209"</f>
        <v>13562342209</v>
      </c>
      <c r="C18349" t="s">
        <v>1</v>
      </c>
      <c r="D18349" t="s">
        <v>1</v>
      </c>
      <c r="E18349" t="s">
        <v>1</v>
      </c>
      <c r="F18349" t="s">
        <v>0</v>
      </c>
      <c r="G18349" t="str">
        <f>"2018-10-11 11:06:55"</f>
        <v>2018-10-11 11:06:55</v>
      </c>
    </row>
    <row r="18350" spans="1:7" x14ac:dyDescent="0.2">
      <c r="A18350" t="s">
        <v>1</v>
      </c>
      <c r="B18350" t="str">
        <f>"18817298217"</f>
        <v>18817298217</v>
      </c>
      <c r="C18350" t="s">
        <v>1</v>
      </c>
      <c r="D18350" t="s">
        <v>1</v>
      </c>
      <c r="E18350" t="s">
        <v>1</v>
      </c>
      <c r="F18350" t="s">
        <v>0</v>
      </c>
      <c r="G18350" t="str">
        <f>"2018-10-11 11:06:49"</f>
        <v>2018-10-11 11:06:49</v>
      </c>
    </row>
    <row r="18351" spans="1:7" x14ac:dyDescent="0.2">
      <c r="A18351" t="s">
        <v>17343</v>
      </c>
      <c r="B18351" t="str">
        <f>"18032321126"</f>
        <v>18032321126</v>
      </c>
      <c r="C18351" t="str">
        <f>"13072419880107032X"</f>
        <v>13072419880107032X</v>
      </c>
      <c r="D18351" t="s">
        <v>1</v>
      </c>
      <c r="E18351" t="s">
        <v>1</v>
      </c>
      <c r="F18351" t="s">
        <v>0</v>
      </c>
      <c r="G18351" t="str">
        <f>"2018-10-11 11:08:09"</f>
        <v>2018-10-11 11:08:09</v>
      </c>
    </row>
    <row r="18352" spans="1:7" x14ac:dyDescent="0.2">
      <c r="A18352" t="s">
        <v>17344</v>
      </c>
      <c r="B18352" t="str">
        <f>"15989860186"</f>
        <v>15989860186</v>
      </c>
      <c r="C18352" t="str">
        <f>"441781198610012355"</f>
        <v>441781198610012355</v>
      </c>
      <c r="D18352" t="s">
        <v>1</v>
      </c>
      <c r="E18352" t="s">
        <v>1</v>
      </c>
      <c r="F18352" t="s">
        <v>0</v>
      </c>
      <c r="G18352" t="str">
        <f>"2018-10-13 07:59:40"</f>
        <v>2018-10-13 07:59:40</v>
      </c>
    </row>
    <row r="18353" spans="1:7" x14ac:dyDescent="0.2">
      <c r="A18353" t="s">
        <v>1</v>
      </c>
      <c r="B18353" t="str">
        <f>"18769310290"</f>
        <v>18769310290</v>
      </c>
      <c r="C18353" t="s">
        <v>1</v>
      </c>
      <c r="D18353" t="s">
        <v>1</v>
      </c>
      <c r="E18353" t="s">
        <v>1</v>
      </c>
      <c r="F18353" t="s">
        <v>0</v>
      </c>
      <c r="G18353" t="str">
        <f>"2018-10-11 11:02:32"</f>
        <v>2018-10-11 11:02:32</v>
      </c>
    </row>
    <row r="18354" spans="1:7" x14ac:dyDescent="0.2">
      <c r="A18354" t="s">
        <v>17345</v>
      </c>
      <c r="B18354" t="str">
        <f>"13222578816"</f>
        <v>13222578816</v>
      </c>
      <c r="C18354" t="str">
        <f>"511324199107055052"</f>
        <v>511324199107055052</v>
      </c>
      <c r="D18354" t="s">
        <v>1</v>
      </c>
      <c r="E18354" t="s">
        <v>1</v>
      </c>
      <c r="F18354" t="s">
        <v>0</v>
      </c>
      <c r="G18354" t="str">
        <f>"2018-10-11 10:58:10"</f>
        <v>2018-10-11 10:58:10</v>
      </c>
    </row>
    <row r="18355" spans="1:7" x14ac:dyDescent="0.2">
      <c r="A18355" t="s">
        <v>17346</v>
      </c>
      <c r="B18355" t="str">
        <f>"13820178602"</f>
        <v>13820178602</v>
      </c>
      <c r="C18355" t="str">
        <f>"130429199108102426"</f>
        <v>130429199108102426</v>
      </c>
      <c r="D18355" t="s">
        <v>1</v>
      </c>
      <c r="E18355" t="s">
        <v>1</v>
      </c>
      <c r="F18355" t="s">
        <v>0</v>
      </c>
      <c r="G18355" t="str">
        <f>"2018-10-11 10:58:54"</f>
        <v>2018-10-11 10:58:54</v>
      </c>
    </row>
    <row r="18356" spans="1:7" x14ac:dyDescent="0.2">
      <c r="A18356" t="s">
        <v>17347</v>
      </c>
      <c r="B18356" t="str">
        <f>"18328628472"</f>
        <v>18328628472</v>
      </c>
      <c r="C18356" t="str">
        <f>"510722199801011381"</f>
        <v>510722199801011381</v>
      </c>
      <c r="D18356" t="s">
        <v>17348</v>
      </c>
      <c r="E18356" t="s">
        <v>17349</v>
      </c>
      <c r="F18356" t="s">
        <v>0</v>
      </c>
      <c r="G18356" t="str">
        <f>"2018-10-11 11:04:06"</f>
        <v>2018-10-11 11:04:06</v>
      </c>
    </row>
    <row r="18357" spans="1:7" x14ac:dyDescent="0.2">
      <c r="A18357" t="s">
        <v>17350</v>
      </c>
      <c r="B18357" t="str">
        <f>"13428775799"</f>
        <v>13428775799</v>
      </c>
      <c r="C18357" t="str">
        <f>"441423198608153319"</f>
        <v>441423198608153319</v>
      </c>
      <c r="D18357" t="s">
        <v>1</v>
      </c>
      <c r="E18357" t="s">
        <v>1</v>
      </c>
      <c r="F18357" t="s">
        <v>0</v>
      </c>
      <c r="G18357" t="str">
        <f>"2018-10-11 10:57:03"</f>
        <v>2018-10-11 10:57:03</v>
      </c>
    </row>
    <row r="18358" spans="1:7" x14ac:dyDescent="0.2">
      <c r="A18358" t="s">
        <v>17351</v>
      </c>
      <c r="B18358" t="str">
        <f>"13333773672"</f>
        <v>13333773672</v>
      </c>
      <c r="C18358" t="str">
        <f>"412921197805213347"</f>
        <v>412921197805213347</v>
      </c>
      <c r="D18358" t="s">
        <v>1</v>
      </c>
      <c r="E18358" t="s">
        <v>1</v>
      </c>
      <c r="F18358" t="s">
        <v>0</v>
      </c>
      <c r="G18358" t="str">
        <f>"2018-10-17 08:42:44"</f>
        <v>2018-10-17 08:42:44</v>
      </c>
    </row>
    <row r="18359" spans="1:7" x14ac:dyDescent="0.2">
      <c r="A18359" t="s">
        <v>1</v>
      </c>
      <c r="B18359" t="str">
        <f>"15712778855"</f>
        <v>15712778855</v>
      </c>
      <c r="C18359" t="s">
        <v>1</v>
      </c>
      <c r="D18359" t="s">
        <v>1</v>
      </c>
      <c r="E18359" t="s">
        <v>1</v>
      </c>
      <c r="F18359" t="s">
        <v>0</v>
      </c>
      <c r="G18359" t="str">
        <f>"2018-10-11 10:55:00"</f>
        <v>2018-10-11 10:55:00</v>
      </c>
    </row>
    <row r="18360" spans="1:7" x14ac:dyDescent="0.2">
      <c r="A18360" t="s">
        <v>17352</v>
      </c>
      <c r="B18360" t="str">
        <f>"15844485637"</f>
        <v>15844485637</v>
      </c>
      <c r="C18360" t="str">
        <f>"220324198909211024"</f>
        <v>220324198909211024</v>
      </c>
      <c r="D18360" t="s">
        <v>1</v>
      </c>
      <c r="E18360" t="s">
        <v>1</v>
      </c>
      <c r="F18360" t="s">
        <v>0</v>
      </c>
      <c r="G18360" t="str">
        <f>"2018-10-11 10:55:19"</f>
        <v>2018-10-11 10:55:19</v>
      </c>
    </row>
    <row r="18361" spans="1:7" x14ac:dyDescent="0.2">
      <c r="A18361" t="s">
        <v>17353</v>
      </c>
      <c r="B18361" t="str">
        <f>"13732925867"</f>
        <v>13732925867</v>
      </c>
      <c r="C18361" t="str">
        <f>"360104199709230422"</f>
        <v>360104199709230422</v>
      </c>
      <c r="D18361" t="s">
        <v>1</v>
      </c>
      <c r="E18361" t="s">
        <v>1</v>
      </c>
      <c r="F18361" t="s">
        <v>0</v>
      </c>
      <c r="G18361" t="str">
        <f>"2018-10-11 10:54:12"</f>
        <v>2018-10-11 10:54:12</v>
      </c>
    </row>
    <row r="18362" spans="1:7" x14ac:dyDescent="0.2">
      <c r="A18362" t="s">
        <v>1295</v>
      </c>
      <c r="B18362" t="str">
        <f>"13461969022"</f>
        <v>13461969022</v>
      </c>
      <c r="C18362" t="str">
        <f>"411381199306107138"</f>
        <v>411381199306107138</v>
      </c>
      <c r="D18362" t="s">
        <v>1</v>
      </c>
      <c r="E18362" t="s">
        <v>1</v>
      </c>
      <c r="F18362" t="s">
        <v>0</v>
      </c>
      <c r="G18362" t="str">
        <f>"2018-10-11 11:19:12"</f>
        <v>2018-10-11 11:19:12</v>
      </c>
    </row>
    <row r="18363" spans="1:7" x14ac:dyDescent="0.2">
      <c r="A18363" t="s">
        <v>17354</v>
      </c>
      <c r="B18363" t="str">
        <f>"18268603679"</f>
        <v>18268603679</v>
      </c>
      <c r="C18363" t="str">
        <f>"331023199601133419"</f>
        <v>331023199601133419</v>
      </c>
      <c r="D18363" t="s">
        <v>17355</v>
      </c>
      <c r="E18363" t="s">
        <v>17356</v>
      </c>
      <c r="F18363" t="s">
        <v>0</v>
      </c>
      <c r="G18363" t="str">
        <f>"2018-10-11 10:59:12"</f>
        <v>2018-10-11 10:59:12</v>
      </c>
    </row>
    <row r="18364" spans="1:7" x14ac:dyDescent="0.2">
      <c r="A18364" t="s">
        <v>1</v>
      </c>
      <c r="B18364" t="str">
        <f>"13798423735"</f>
        <v>13798423735</v>
      </c>
      <c r="C18364" t="s">
        <v>1</v>
      </c>
      <c r="D18364" t="s">
        <v>1</v>
      </c>
      <c r="E18364" t="s">
        <v>1</v>
      </c>
      <c r="F18364" t="s">
        <v>0</v>
      </c>
      <c r="G18364" t="str">
        <f>"2018-10-11 10:49:56"</f>
        <v>2018-10-11 10:49:56</v>
      </c>
    </row>
    <row r="18365" spans="1:7" x14ac:dyDescent="0.2">
      <c r="A18365" t="s">
        <v>17357</v>
      </c>
      <c r="B18365" t="str">
        <f>"18804151260"</f>
        <v>18804151260</v>
      </c>
      <c r="C18365" t="str">
        <f>"210623198606120932"</f>
        <v>210623198606120932</v>
      </c>
      <c r="D18365" t="s">
        <v>1</v>
      </c>
      <c r="E18365" t="s">
        <v>1</v>
      </c>
      <c r="F18365" t="s">
        <v>0</v>
      </c>
      <c r="G18365" t="str">
        <f>"2018-10-11 10:51:29"</f>
        <v>2018-10-11 10:51:29</v>
      </c>
    </row>
    <row r="18366" spans="1:7" x14ac:dyDescent="0.2">
      <c r="A18366" t="s">
        <v>17358</v>
      </c>
      <c r="B18366" t="str">
        <f>"13536668553"</f>
        <v>13536668553</v>
      </c>
      <c r="C18366" t="str">
        <f>"440184198412124220"</f>
        <v>440184198412124220</v>
      </c>
      <c r="D18366" t="s">
        <v>1</v>
      </c>
      <c r="E18366" t="s">
        <v>1</v>
      </c>
      <c r="F18366" t="s">
        <v>0</v>
      </c>
      <c r="G18366" t="str">
        <f>"2018-10-11 10:51:06"</f>
        <v>2018-10-11 10:51:06</v>
      </c>
    </row>
    <row r="18367" spans="1:7" x14ac:dyDescent="0.2">
      <c r="A18367" t="s">
        <v>17359</v>
      </c>
      <c r="B18367" t="str">
        <f>"13989698883"</f>
        <v>13989698883</v>
      </c>
      <c r="C18367" t="str">
        <f>"331082198403100013"</f>
        <v>331082198403100013</v>
      </c>
      <c r="D18367" t="s">
        <v>1</v>
      </c>
      <c r="E18367" t="s">
        <v>1</v>
      </c>
      <c r="F18367" t="s">
        <v>0</v>
      </c>
      <c r="G18367" t="str">
        <f>"2018-10-11 10:57:50"</f>
        <v>2018-10-11 10:57:50</v>
      </c>
    </row>
    <row r="18368" spans="1:7" x14ac:dyDescent="0.2">
      <c r="A18368" t="s">
        <v>1</v>
      </c>
      <c r="B18368" t="str">
        <f>"18205727207"</f>
        <v>18205727207</v>
      </c>
      <c r="C18368" t="s">
        <v>1</v>
      </c>
      <c r="D18368" t="s">
        <v>1</v>
      </c>
      <c r="E18368" t="s">
        <v>1</v>
      </c>
      <c r="F18368" t="s">
        <v>0</v>
      </c>
      <c r="G18368" t="str">
        <f>"2018-10-11 12:43:06"</f>
        <v>2018-10-11 12:43:06</v>
      </c>
    </row>
    <row r="18369" spans="1:7" x14ac:dyDescent="0.2">
      <c r="A18369" t="s">
        <v>17360</v>
      </c>
      <c r="B18369" t="str">
        <f>"15972225540"</f>
        <v>15972225540</v>
      </c>
      <c r="C18369" t="str">
        <f>"420124197801097532"</f>
        <v>420124197801097532</v>
      </c>
      <c r="D18369" t="s">
        <v>1</v>
      </c>
      <c r="E18369" t="s">
        <v>1</v>
      </c>
      <c r="F18369" t="s">
        <v>0</v>
      </c>
      <c r="G18369" t="str">
        <f>"2018-10-11 11:03:30"</f>
        <v>2018-10-11 11:03:30</v>
      </c>
    </row>
    <row r="18370" spans="1:7" x14ac:dyDescent="0.2">
      <c r="A18370" t="s">
        <v>1</v>
      </c>
      <c r="B18370" t="str">
        <f>"18463317290"</f>
        <v>18463317290</v>
      </c>
      <c r="C18370" t="s">
        <v>1</v>
      </c>
      <c r="D18370" t="s">
        <v>1</v>
      </c>
      <c r="E18370" t="s">
        <v>1</v>
      </c>
      <c r="F18370" t="s">
        <v>0</v>
      </c>
      <c r="G18370" t="str">
        <f>"2018-10-11 10:48:28"</f>
        <v>2018-10-11 10:48:28</v>
      </c>
    </row>
    <row r="18371" spans="1:7" x14ac:dyDescent="0.2">
      <c r="A18371" t="s">
        <v>1</v>
      </c>
      <c r="B18371" t="str">
        <f>"13678888717"</f>
        <v>13678888717</v>
      </c>
      <c r="C18371" t="s">
        <v>1</v>
      </c>
      <c r="D18371" t="s">
        <v>1</v>
      </c>
      <c r="E18371" t="s">
        <v>1</v>
      </c>
      <c r="F18371" t="s">
        <v>0</v>
      </c>
      <c r="G18371" t="str">
        <f>"2018-10-11 10:47:37"</f>
        <v>2018-10-11 10:47:37</v>
      </c>
    </row>
    <row r="18372" spans="1:7" x14ac:dyDescent="0.2">
      <c r="A18372" t="s">
        <v>1</v>
      </c>
      <c r="B18372" t="str">
        <f>"18745906827"</f>
        <v>18745906827</v>
      </c>
      <c r="C18372" t="s">
        <v>1</v>
      </c>
      <c r="D18372" t="s">
        <v>1</v>
      </c>
      <c r="E18372" t="s">
        <v>1</v>
      </c>
      <c r="F18372" t="s">
        <v>0</v>
      </c>
      <c r="G18372" t="str">
        <f>"2018-10-11 10:47:34"</f>
        <v>2018-10-11 10:47:34</v>
      </c>
    </row>
    <row r="18373" spans="1:7" x14ac:dyDescent="0.2">
      <c r="A18373" t="s">
        <v>1</v>
      </c>
      <c r="B18373" t="str">
        <f>"13655554396"</f>
        <v>13655554396</v>
      </c>
      <c r="C18373" t="s">
        <v>1</v>
      </c>
      <c r="D18373" t="s">
        <v>1</v>
      </c>
      <c r="E18373" t="s">
        <v>1</v>
      </c>
      <c r="F18373" t="s">
        <v>0</v>
      </c>
      <c r="G18373" t="str">
        <f>"2018-10-11 10:47:26"</f>
        <v>2018-10-11 10:47:26</v>
      </c>
    </row>
    <row r="18374" spans="1:7" x14ac:dyDescent="0.2">
      <c r="A18374" t="s">
        <v>1</v>
      </c>
      <c r="B18374" t="str">
        <f>"18607192831"</f>
        <v>18607192831</v>
      </c>
      <c r="C18374" t="s">
        <v>1</v>
      </c>
      <c r="D18374" t="s">
        <v>1</v>
      </c>
      <c r="E18374" t="s">
        <v>1</v>
      </c>
      <c r="F18374" t="s">
        <v>0</v>
      </c>
      <c r="G18374" t="str">
        <f>"2018-10-11 10:47:56"</f>
        <v>2018-10-11 10:47:56</v>
      </c>
    </row>
    <row r="18375" spans="1:7" x14ac:dyDescent="0.2">
      <c r="A18375" t="s">
        <v>17361</v>
      </c>
      <c r="B18375" t="str">
        <f>"13471714361"</f>
        <v>13471714361</v>
      </c>
      <c r="C18375" t="str">
        <f>"450703199109012446"</f>
        <v>450703199109012446</v>
      </c>
      <c r="D18375" t="s">
        <v>1</v>
      </c>
      <c r="E18375" t="s">
        <v>1</v>
      </c>
      <c r="F18375" t="s">
        <v>0</v>
      </c>
      <c r="G18375" t="str">
        <f>"2018-10-11 10:51:14"</f>
        <v>2018-10-11 10:51:14</v>
      </c>
    </row>
    <row r="18376" spans="1:7" x14ac:dyDescent="0.2">
      <c r="A18376" t="s">
        <v>17362</v>
      </c>
      <c r="B18376" t="str">
        <f>"15931395317"</f>
        <v>15931395317</v>
      </c>
      <c r="C18376" t="str">
        <f>"130130198212120645"</f>
        <v>130130198212120645</v>
      </c>
      <c r="D18376" t="s">
        <v>1</v>
      </c>
      <c r="E18376" t="s">
        <v>1</v>
      </c>
      <c r="F18376" t="s">
        <v>0</v>
      </c>
      <c r="G18376" t="str">
        <f>"2018-10-11 10:46:27"</f>
        <v>2018-10-11 10:46:27</v>
      </c>
    </row>
    <row r="18377" spans="1:7" x14ac:dyDescent="0.2">
      <c r="A18377" t="s">
        <v>17363</v>
      </c>
      <c r="B18377" t="str">
        <f>"18140346860"</f>
        <v>18140346860</v>
      </c>
      <c r="C18377" t="str">
        <f>"510723199505255054"</f>
        <v>510723199505255054</v>
      </c>
      <c r="D18377" t="s">
        <v>1</v>
      </c>
      <c r="E18377" t="s">
        <v>1</v>
      </c>
      <c r="F18377" t="s">
        <v>0</v>
      </c>
      <c r="G18377" t="str">
        <f>"2018-10-11 10:48:01"</f>
        <v>2018-10-11 10:48:01</v>
      </c>
    </row>
    <row r="18378" spans="1:7" x14ac:dyDescent="0.2">
      <c r="A18378" t="s">
        <v>17364</v>
      </c>
      <c r="B18378" t="str">
        <f>"13089798488"</f>
        <v>13089798488</v>
      </c>
      <c r="C18378" t="str">
        <f>"230321199111150418"</f>
        <v>230321199111150418</v>
      </c>
      <c r="D18378" t="s">
        <v>1</v>
      </c>
      <c r="E18378" t="s">
        <v>1</v>
      </c>
      <c r="F18378" t="s">
        <v>0</v>
      </c>
      <c r="G18378" t="str">
        <f>"2018-10-11 10:47:03"</f>
        <v>2018-10-11 10:47:03</v>
      </c>
    </row>
    <row r="18379" spans="1:7" x14ac:dyDescent="0.2">
      <c r="A18379" t="s">
        <v>17365</v>
      </c>
      <c r="B18379" t="str">
        <f>"18706226085"</f>
        <v>18706226085</v>
      </c>
      <c r="C18379" t="str">
        <f>"421181198706108451"</f>
        <v>421181198706108451</v>
      </c>
      <c r="D18379" t="s">
        <v>1</v>
      </c>
      <c r="E18379" t="s">
        <v>1</v>
      </c>
      <c r="F18379" t="s">
        <v>0</v>
      </c>
      <c r="G18379" t="str">
        <f>"2018-10-11 10:53:56"</f>
        <v>2018-10-11 10:53:56</v>
      </c>
    </row>
    <row r="18380" spans="1:7" x14ac:dyDescent="0.2">
      <c r="A18380" t="s">
        <v>1833</v>
      </c>
      <c r="B18380" t="str">
        <f>"18804455112"</f>
        <v>18804455112</v>
      </c>
      <c r="C18380" t="str">
        <f>"130223198503276617"</f>
        <v>130223198503276617</v>
      </c>
      <c r="D18380" t="s">
        <v>1</v>
      </c>
      <c r="E18380" t="s">
        <v>1</v>
      </c>
      <c r="F18380" t="s">
        <v>0</v>
      </c>
      <c r="G18380" t="str">
        <f>"2018-10-11 10:53:19"</f>
        <v>2018-10-11 10:53:19</v>
      </c>
    </row>
    <row r="18381" spans="1:7" x14ac:dyDescent="0.2">
      <c r="A18381" t="s">
        <v>17366</v>
      </c>
      <c r="B18381" t="str">
        <f>"15030945681"</f>
        <v>15030945681</v>
      </c>
      <c r="C18381" t="str">
        <f>"13052619920221464X"</f>
        <v>13052619920221464X</v>
      </c>
      <c r="D18381" t="s">
        <v>1</v>
      </c>
      <c r="E18381" t="s">
        <v>1</v>
      </c>
      <c r="F18381" t="s">
        <v>0</v>
      </c>
      <c r="G18381" t="str">
        <f>"2018-10-11 13:35:13"</f>
        <v>2018-10-11 13:35:13</v>
      </c>
    </row>
    <row r="18382" spans="1:7" x14ac:dyDescent="0.2">
      <c r="A18382" t="s">
        <v>17367</v>
      </c>
      <c r="B18382" t="str">
        <f>"17635686172"</f>
        <v>17635686172</v>
      </c>
      <c r="C18382" t="str">
        <f>"140429199704058451"</f>
        <v>140429199704058451</v>
      </c>
      <c r="D18382" t="s">
        <v>1</v>
      </c>
      <c r="E18382" t="s">
        <v>1</v>
      </c>
      <c r="F18382" t="s">
        <v>0</v>
      </c>
      <c r="G18382" t="str">
        <f>"2018-10-24 16:24:03"</f>
        <v>2018-10-24 16:24:03</v>
      </c>
    </row>
    <row r="18383" spans="1:7" x14ac:dyDescent="0.2">
      <c r="A18383" t="s">
        <v>17368</v>
      </c>
      <c r="B18383" t="str">
        <f>"18131271080"</f>
        <v>18131271080</v>
      </c>
      <c r="C18383" t="str">
        <f>"130623199604292110"</f>
        <v>130623199604292110</v>
      </c>
      <c r="D18383" t="s">
        <v>1</v>
      </c>
      <c r="E18383" t="s">
        <v>1</v>
      </c>
      <c r="F18383" t="s">
        <v>0</v>
      </c>
      <c r="G18383" t="str">
        <f>"2018-10-11 10:42:07"</f>
        <v>2018-10-11 10:42:07</v>
      </c>
    </row>
    <row r="18384" spans="1:7" x14ac:dyDescent="0.2">
      <c r="A18384" t="s">
        <v>1</v>
      </c>
      <c r="B18384" t="str">
        <f>"17645775796"</f>
        <v>17645775796</v>
      </c>
      <c r="C18384" t="s">
        <v>1</v>
      </c>
      <c r="D18384" t="s">
        <v>1</v>
      </c>
      <c r="E18384" t="s">
        <v>1</v>
      </c>
      <c r="F18384" t="s">
        <v>0</v>
      </c>
      <c r="G18384" t="str">
        <f>"2018-10-11 10:41:31"</f>
        <v>2018-10-11 10:41:31</v>
      </c>
    </row>
    <row r="18385" spans="1:7" x14ac:dyDescent="0.2">
      <c r="A18385" t="s">
        <v>17369</v>
      </c>
      <c r="B18385" t="str">
        <f>"15912336590"</f>
        <v>15912336590</v>
      </c>
      <c r="C18385" t="str">
        <f>"532626199501032530"</f>
        <v>532626199501032530</v>
      </c>
      <c r="D18385" t="s">
        <v>1</v>
      </c>
      <c r="E18385" t="s">
        <v>1</v>
      </c>
      <c r="F18385" t="s">
        <v>0</v>
      </c>
      <c r="G18385" t="str">
        <f>"2018-10-11 12:54:32"</f>
        <v>2018-10-11 12:54:32</v>
      </c>
    </row>
    <row r="18386" spans="1:7" x14ac:dyDescent="0.2">
      <c r="A18386" t="s">
        <v>17370</v>
      </c>
      <c r="B18386" t="str">
        <f>"13458553200"</f>
        <v>13458553200</v>
      </c>
      <c r="C18386" t="str">
        <f>"511022196810040036"</f>
        <v>511022196810040036</v>
      </c>
      <c r="D18386" t="s">
        <v>1</v>
      </c>
      <c r="E18386" t="s">
        <v>1</v>
      </c>
      <c r="F18386" t="s">
        <v>0</v>
      </c>
      <c r="G18386" t="str">
        <f>"2018-10-29 23:42:15"</f>
        <v>2018-10-29 23:42:15</v>
      </c>
    </row>
    <row r="18387" spans="1:7" x14ac:dyDescent="0.2">
      <c r="A18387" t="s">
        <v>17371</v>
      </c>
      <c r="B18387" t="str">
        <f>"15108962671"</f>
        <v>15108962671</v>
      </c>
      <c r="C18387" t="str">
        <f>"410702199108131511"</f>
        <v>410702199108131511</v>
      </c>
      <c r="D18387" t="s">
        <v>1</v>
      </c>
      <c r="E18387" t="s">
        <v>1</v>
      </c>
      <c r="F18387" t="s">
        <v>0</v>
      </c>
      <c r="G18387" t="str">
        <f>"2018-10-11 10:42:20"</f>
        <v>2018-10-11 10:42:20</v>
      </c>
    </row>
    <row r="18388" spans="1:7" x14ac:dyDescent="0.2">
      <c r="A18388" t="s">
        <v>17372</v>
      </c>
      <c r="B18388" t="str">
        <f>"15174691765"</f>
        <v>15174691765</v>
      </c>
      <c r="C18388" t="str">
        <f>"232331198909241810"</f>
        <v>232331198909241810</v>
      </c>
      <c r="D18388" t="s">
        <v>1</v>
      </c>
      <c r="E18388" t="s">
        <v>1</v>
      </c>
      <c r="F18388" t="s">
        <v>0</v>
      </c>
      <c r="G18388" t="str">
        <f>"2018-10-11 10:39:18"</f>
        <v>2018-10-11 10:39:18</v>
      </c>
    </row>
    <row r="18389" spans="1:7" x14ac:dyDescent="0.2">
      <c r="A18389" t="s">
        <v>17373</v>
      </c>
      <c r="B18389" t="str">
        <f>"15042171251"</f>
        <v>15042171251</v>
      </c>
      <c r="C18389" t="str">
        <f>"211321199811173861"</f>
        <v>211321199811173861</v>
      </c>
      <c r="D18389" t="s">
        <v>1</v>
      </c>
      <c r="E18389" t="s">
        <v>1</v>
      </c>
      <c r="F18389" t="s">
        <v>0</v>
      </c>
      <c r="G18389" t="str">
        <f>"2018-10-11 10:40:15"</f>
        <v>2018-10-11 10:40:15</v>
      </c>
    </row>
    <row r="18390" spans="1:7" x14ac:dyDescent="0.2">
      <c r="A18390" t="s">
        <v>1</v>
      </c>
      <c r="B18390" t="str">
        <f>"18769303892"</f>
        <v>18769303892</v>
      </c>
      <c r="C18390" t="s">
        <v>1</v>
      </c>
      <c r="D18390" t="s">
        <v>1</v>
      </c>
      <c r="E18390" t="s">
        <v>1</v>
      </c>
      <c r="F18390" t="s">
        <v>0</v>
      </c>
      <c r="G18390" t="str">
        <f>"2018-10-11 10:37:36"</f>
        <v>2018-10-11 10:37:36</v>
      </c>
    </row>
    <row r="18391" spans="1:7" x14ac:dyDescent="0.2">
      <c r="A18391" t="s">
        <v>17374</v>
      </c>
      <c r="B18391" t="str">
        <f>"15155118412"</f>
        <v>15155118412</v>
      </c>
      <c r="C18391" t="str">
        <f>"320882198201263827"</f>
        <v>320882198201263827</v>
      </c>
      <c r="D18391" t="s">
        <v>1</v>
      </c>
      <c r="E18391" t="s">
        <v>1</v>
      </c>
      <c r="F18391" t="s">
        <v>0</v>
      </c>
      <c r="G18391" t="str">
        <f>"2018-10-11 10:38:36"</f>
        <v>2018-10-11 10:38:36</v>
      </c>
    </row>
    <row r="18392" spans="1:7" x14ac:dyDescent="0.2">
      <c r="A18392" t="s">
        <v>17375</v>
      </c>
      <c r="B18392" t="str">
        <f>"13406350862"</f>
        <v>13406350862</v>
      </c>
      <c r="C18392" t="str">
        <f>"371524198602030215"</f>
        <v>371524198602030215</v>
      </c>
      <c r="D18392" t="s">
        <v>1</v>
      </c>
      <c r="E18392" t="s">
        <v>1</v>
      </c>
      <c r="F18392" t="s">
        <v>0</v>
      </c>
      <c r="G18392" t="str">
        <f>"2018-10-11 10:38:23"</f>
        <v>2018-10-11 10:38:23</v>
      </c>
    </row>
    <row r="18393" spans="1:7" x14ac:dyDescent="0.2">
      <c r="A18393" t="s">
        <v>48</v>
      </c>
      <c r="B18393" t="str">
        <f>"13093733090"</f>
        <v>13093733090</v>
      </c>
      <c r="C18393" t="str">
        <f>"522128199711081510"</f>
        <v>522128199711081510</v>
      </c>
      <c r="D18393" t="s">
        <v>1</v>
      </c>
      <c r="E18393" t="s">
        <v>1</v>
      </c>
      <c r="F18393" t="s">
        <v>0</v>
      </c>
      <c r="G18393" t="str">
        <f>"2018-10-11 10:38:38"</f>
        <v>2018-10-11 10:38:38</v>
      </c>
    </row>
    <row r="18394" spans="1:7" x14ac:dyDescent="0.2">
      <c r="A18394" t="s">
        <v>17376</v>
      </c>
      <c r="B18394" t="str">
        <f>"14760713997"</f>
        <v>14760713997</v>
      </c>
      <c r="C18394" t="str">
        <f>"431228198809100052"</f>
        <v>431228198809100052</v>
      </c>
      <c r="D18394" t="s">
        <v>17377</v>
      </c>
      <c r="E18394" t="s">
        <v>17378</v>
      </c>
      <c r="F18394" t="s">
        <v>0</v>
      </c>
      <c r="G18394" t="str">
        <f>"2018-10-16 15:33:53"</f>
        <v>2018-10-16 15:33:53</v>
      </c>
    </row>
    <row r="18395" spans="1:7" x14ac:dyDescent="0.2">
      <c r="A18395" t="s">
        <v>1</v>
      </c>
      <c r="B18395" t="str">
        <f>"13472646509"</f>
        <v>13472646509</v>
      </c>
      <c r="C18395" t="s">
        <v>1</v>
      </c>
      <c r="D18395" t="s">
        <v>1</v>
      </c>
      <c r="E18395" t="s">
        <v>1</v>
      </c>
      <c r="F18395" t="s">
        <v>0</v>
      </c>
      <c r="G18395" t="str">
        <f>"2018-10-11 10:34:47"</f>
        <v>2018-10-11 10:34:47</v>
      </c>
    </row>
    <row r="18396" spans="1:7" x14ac:dyDescent="0.2">
      <c r="A18396" t="s">
        <v>17379</v>
      </c>
      <c r="B18396" t="str">
        <f>"18870691577"</f>
        <v>18870691577</v>
      </c>
      <c r="C18396" t="str">
        <f>"350823198605041628"</f>
        <v>350823198605041628</v>
      </c>
      <c r="D18396" t="s">
        <v>1</v>
      </c>
      <c r="E18396" t="s">
        <v>1</v>
      </c>
      <c r="F18396" t="s">
        <v>0</v>
      </c>
      <c r="G18396" t="str">
        <f>"2018-10-11 10:35:55"</f>
        <v>2018-10-11 10:35:55</v>
      </c>
    </row>
    <row r="18397" spans="1:7" x14ac:dyDescent="0.2">
      <c r="A18397" t="s">
        <v>17380</v>
      </c>
      <c r="B18397" t="str">
        <f>"15163591488"</f>
        <v>15163591488</v>
      </c>
      <c r="C18397" t="str">
        <f>"372501197006287075"</f>
        <v>372501197006287075</v>
      </c>
      <c r="D18397" t="s">
        <v>1</v>
      </c>
      <c r="E18397" t="s">
        <v>1</v>
      </c>
      <c r="F18397" t="s">
        <v>0</v>
      </c>
      <c r="G18397" t="str">
        <f>"2018-10-12 17:20:53"</f>
        <v>2018-10-12 17:20:53</v>
      </c>
    </row>
    <row r="18398" spans="1:7" x14ac:dyDescent="0.2">
      <c r="A18398" t="s">
        <v>1</v>
      </c>
      <c r="B18398" t="str">
        <f>"18615168601"</f>
        <v>18615168601</v>
      </c>
      <c r="C18398" t="s">
        <v>1</v>
      </c>
      <c r="D18398" t="s">
        <v>1</v>
      </c>
      <c r="E18398" t="s">
        <v>1</v>
      </c>
      <c r="F18398" t="s">
        <v>0</v>
      </c>
      <c r="G18398" t="str">
        <f>"2018-10-11 10:32:34"</f>
        <v>2018-10-11 10:32:34</v>
      </c>
    </row>
    <row r="18399" spans="1:7" x14ac:dyDescent="0.2">
      <c r="A18399" t="s">
        <v>9419</v>
      </c>
      <c r="B18399" t="str">
        <f>"18363855466"</f>
        <v>18363855466</v>
      </c>
      <c r="C18399" t="str">
        <f>"310113198409241739"</f>
        <v>310113198409241739</v>
      </c>
      <c r="D18399" t="s">
        <v>1</v>
      </c>
      <c r="E18399" t="s">
        <v>1</v>
      </c>
      <c r="F18399" t="s">
        <v>0</v>
      </c>
      <c r="G18399" t="str">
        <f>"2018-10-11 10:34:47"</f>
        <v>2018-10-11 10:34:47</v>
      </c>
    </row>
    <row r="18400" spans="1:7" x14ac:dyDescent="0.2">
      <c r="A18400" t="s">
        <v>17381</v>
      </c>
      <c r="B18400" t="str">
        <f>"15728550241"</f>
        <v>15728550241</v>
      </c>
      <c r="C18400" t="str">
        <f>"445302199411112418"</f>
        <v>445302199411112418</v>
      </c>
      <c r="D18400" t="s">
        <v>1</v>
      </c>
      <c r="E18400" t="s">
        <v>1</v>
      </c>
      <c r="F18400" t="s">
        <v>0</v>
      </c>
      <c r="G18400" t="str">
        <f>"2018-10-11 10:35:35"</f>
        <v>2018-10-11 10:35:35</v>
      </c>
    </row>
    <row r="18401" spans="1:7" x14ac:dyDescent="0.2">
      <c r="A18401" t="s">
        <v>17382</v>
      </c>
      <c r="B18401" t="str">
        <f>"15185280529"</f>
        <v>15185280529</v>
      </c>
      <c r="C18401" t="str">
        <f>"522101199107225418"</f>
        <v>522101199107225418</v>
      </c>
      <c r="D18401" t="s">
        <v>1</v>
      </c>
      <c r="E18401" t="s">
        <v>1</v>
      </c>
      <c r="F18401" t="s">
        <v>0</v>
      </c>
      <c r="G18401" t="str">
        <f>"2018-10-11 10:33:44"</f>
        <v>2018-10-11 10:33:44</v>
      </c>
    </row>
    <row r="18402" spans="1:7" x14ac:dyDescent="0.2">
      <c r="A18402" t="s">
        <v>17383</v>
      </c>
      <c r="B18402" t="str">
        <f>"13906342494"</f>
        <v>13906342494</v>
      </c>
      <c r="C18402" t="str">
        <f>"371202199701134036"</f>
        <v>371202199701134036</v>
      </c>
      <c r="D18402" t="s">
        <v>1</v>
      </c>
      <c r="E18402" t="s">
        <v>1</v>
      </c>
      <c r="F18402" t="s">
        <v>0</v>
      </c>
      <c r="G18402" t="str">
        <f>"2018-10-11 11:38:34"</f>
        <v>2018-10-11 11:38:34</v>
      </c>
    </row>
    <row r="18403" spans="1:7" x14ac:dyDescent="0.2">
      <c r="A18403" t="s">
        <v>1</v>
      </c>
      <c r="B18403" t="str">
        <f>"13186854031"</f>
        <v>13186854031</v>
      </c>
      <c r="C18403" t="s">
        <v>1</v>
      </c>
      <c r="D18403" t="s">
        <v>1</v>
      </c>
      <c r="E18403" t="s">
        <v>1</v>
      </c>
      <c r="F18403" t="s">
        <v>0</v>
      </c>
      <c r="G18403" t="str">
        <f>"2018-10-11 10:32:48"</f>
        <v>2018-10-11 10:32:48</v>
      </c>
    </row>
    <row r="18404" spans="1:7" x14ac:dyDescent="0.2">
      <c r="A18404" t="s">
        <v>1</v>
      </c>
      <c r="B18404" t="str">
        <f>"13192828642"</f>
        <v>13192828642</v>
      </c>
      <c r="C18404" t="s">
        <v>1</v>
      </c>
      <c r="D18404" t="s">
        <v>1</v>
      </c>
      <c r="E18404" t="s">
        <v>1</v>
      </c>
      <c r="F18404" t="s">
        <v>0</v>
      </c>
      <c r="G18404" t="str">
        <f>"2018-10-11 10:31:11"</f>
        <v>2018-10-11 10:31:11</v>
      </c>
    </row>
    <row r="18405" spans="1:7" x14ac:dyDescent="0.2">
      <c r="A18405" t="s">
        <v>17384</v>
      </c>
      <c r="B18405" t="str">
        <f>"18722160628"</f>
        <v>18722160628</v>
      </c>
      <c r="C18405" t="str">
        <f>"340823199612081217"</f>
        <v>340823199612081217</v>
      </c>
      <c r="D18405" t="s">
        <v>1</v>
      </c>
      <c r="E18405" t="s">
        <v>1</v>
      </c>
      <c r="F18405" t="s">
        <v>0</v>
      </c>
      <c r="G18405" t="str">
        <f>"2018-10-11 16:43:01"</f>
        <v>2018-10-11 16:43:01</v>
      </c>
    </row>
    <row r="18406" spans="1:7" x14ac:dyDescent="0.2">
      <c r="A18406" t="s">
        <v>17385</v>
      </c>
      <c r="B18406" t="str">
        <f>"18724515421"</f>
        <v>18724515421</v>
      </c>
      <c r="C18406" t="str">
        <f>"230184199901034221"</f>
        <v>230184199901034221</v>
      </c>
      <c r="D18406" t="s">
        <v>1</v>
      </c>
      <c r="E18406" t="s">
        <v>1</v>
      </c>
      <c r="F18406" t="s">
        <v>0</v>
      </c>
      <c r="G18406" t="str">
        <f>"2018-10-11 11:04:40"</f>
        <v>2018-10-11 11:04:40</v>
      </c>
    </row>
    <row r="18407" spans="1:7" x14ac:dyDescent="0.2">
      <c r="A18407" t="s">
        <v>11</v>
      </c>
      <c r="B18407" t="str">
        <f>"15174454198"</f>
        <v>15174454198</v>
      </c>
      <c r="C18407" t="str">
        <f>"430822199510120014"</f>
        <v>430822199510120014</v>
      </c>
      <c r="D18407" t="s">
        <v>17386</v>
      </c>
      <c r="E18407" t="s">
        <v>17386</v>
      </c>
      <c r="F18407" t="s">
        <v>0</v>
      </c>
      <c r="G18407" t="str">
        <f>"2018-10-11 10:33:54"</f>
        <v>2018-10-11 10:33:54</v>
      </c>
    </row>
    <row r="18408" spans="1:7" x14ac:dyDescent="0.2">
      <c r="A18408" t="s">
        <v>1</v>
      </c>
      <c r="B18408" t="str">
        <f>"15090289192"</f>
        <v>15090289192</v>
      </c>
      <c r="C18408" t="s">
        <v>1</v>
      </c>
      <c r="D18408" t="s">
        <v>1</v>
      </c>
      <c r="E18408" t="s">
        <v>1</v>
      </c>
      <c r="F18408" t="s">
        <v>0</v>
      </c>
      <c r="G18408" t="str">
        <f>"2018-10-11 10:29:06"</f>
        <v>2018-10-11 10:29:06</v>
      </c>
    </row>
    <row r="18409" spans="1:7" x14ac:dyDescent="0.2">
      <c r="A18409" t="s">
        <v>1</v>
      </c>
      <c r="B18409" t="str">
        <f>"18769303179"</f>
        <v>18769303179</v>
      </c>
      <c r="C18409" t="s">
        <v>1</v>
      </c>
      <c r="D18409" t="s">
        <v>1</v>
      </c>
      <c r="E18409" t="s">
        <v>1</v>
      </c>
      <c r="F18409" t="s">
        <v>0</v>
      </c>
      <c r="G18409" t="str">
        <f>"2018-10-11 10:28:39"</f>
        <v>2018-10-11 10:28:39</v>
      </c>
    </row>
    <row r="18410" spans="1:7" x14ac:dyDescent="0.2">
      <c r="A18410" t="s">
        <v>17387</v>
      </c>
      <c r="B18410" t="str">
        <f>"13515359926"</f>
        <v>13515359926</v>
      </c>
      <c r="C18410" t="str">
        <f>"370687198304044766"</f>
        <v>370687198304044766</v>
      </c>
      <c r="D18410" t="s">
        <v>1</v>
      </c>
      <c r="E18410" t="s">
        <v>1</v>
      </c>
      <c r="F18410" t="s">
        <v>0</v>
      </c>
      <c r="G18410" t="str">
        <f>"2018-10-11 10:56:25"</f>
        <v>2018-10-11 10:56:25</v>
      </c>
    </row>
    <row r="18411" spans="1:7" x14ac:dyDescent="0.2">
      <c r="A18411" t="s">
        <v>1</v>
      </c>
      <c r="B18411" t="str">
        <f>"15845970776"</f>
        <v>15845970776</v>
      </c>
      <c r="C18411" t="s">
        <v>1</v>
      </c>
      <c r="D18411" t="s">
        <v>1</v>
      </c>
      <c r="E18411" t="s">
        <v>1</v>
      </c>
      <c r="F18411" t="s">
        <v>0</v>
      </c>
      <c r="G18411" t="str">
        <f>"2018-10-11 10:24:41"</f>
        <v>2018-10-11 10:24:41</v>
      </c>
    </row>
    <row r="18412" spans="1:7" x14ac:dyDescent="0.2">
      <c r="A18412" t="s">
        <v>1</v>
      </c>
      <c r="B18412" t="str">
        <f>"15522809394"</f>
        <v>15522809394</v>
      </c>
      <c r="C18412" t="s">
        <v>1</v>
      </c>
      <c r="D18412" t="s">
        <v>1</v>
      </c>
      <c r="E18412" t="s">
        <v>1</v>
      </c>
      <c r="F18412" t="s">
        <v>0</v>
      </c>
      <c r="G18412" t="str">
        <f>"2018-10-11 10:23:56"</f>
        <v>2018-10-11 10:23:56</v>
      </c>
    </row>
    <row r="18413" spans="1:7" x14ac:dyDescent="0.2">
      <c r="A18413" t="s">
        <v>12172</v>
      </c>
      <c r="B18413" t="str">
        <f>"15132224010"</f>
        <v>15132224010</v>
      </c>
      <c r="C18413" t="str">
        <f>"130622199505267634"</f>
        <v>130622199505267634</v>
      </c>
      <c r="D18413" t="s">
        <v>1</v>
      </c>
      <c r="E18413" t="s">
        <v>1</v>
      </c>
      <c r="F18413" t="s">
        <v>0</v>
      </c>
      <c r="G18413" t="str">
        <f>"2018-10-11 10:29:54"</f>
        <v>2018-10-11 10:29:54</v>
      </c>
    </row>
    <row r="18414" spans="1:7" x14ac:dyDescent="0.2">
      <c r="A18414" t="s">
        <v>17388</v>
      </c>
      <c r="B18414" t="str">
        <f>"18539829197"</f>
        <v>18539829197</v>
      </c>
      <c r="C18414" t="str">
        <f>"410325198606042528"</f>
        <v>410325198606042528</v>
      </c>
      <c r="D18414" t="s">
        <v>1</v>
      </c>
      <c r="E18414" t="s">
        <v>1</v>
      </c>
      <c r="F18414" t="s">
        <v>0</v>
      </c>
      <c r="G18414" t="str">
        <f>"2018-10-11 10:23:57"</f>
        <v>2018-10-11 10:23:57</v>
      </c>
    </row>
    <row r="18415" spans="1:7" x14ac:dyDescent="0.2">
      <c r="A18415" t="s">
        <v>17389</v>
      </c>
      <c r="B18415" t="str">
        <f>"13994562652"</f>
        <v>13994562652</v>
      </c>
      <c r="C18415" t="str">
        <f>"142431198610074230"</f>
        <v>142431198610074230</v>
      </c>
      <c r="D18415" t="s">
        <v>1</v>
      </c>
      <c r="E18415" t="s">
        <v>1</v>
      </c>
      <c r="F18415" t="s">
        <v>0</v>
      </c>
      <c r="G18415" t="str">
        <f>"2018-10-11 10:25:10"</f>
        <v>2018-10-11 10:25:10</v>
      </c>
    </row>
    <row r="18416" spans="1:7" x14ac:dyDescent="0.2">
      <c r="A18416" t="s">
        <v>1</v>
      </c>
      <c r="B18416" t="str">
        <f>"17628281285"</f>
        <v>17628281285</v>
      </c>
      <c r="C18416" t="s">
        <v>1</v>
      </c>
      <c r="D18416" t="s">
        <v>1</v>
      </c>
      <c r="E18416" t="s">
        <v>1</v>
      </c>
      <c r="F18416" t="s">
        <v>0</v>
      </c>
      <c r="G18416" t="str">
        <f>"2018-10-11 10:22:05"</f>
        <v>2018-10-11 10:22:05</v>
      </c>
    </row>
    <row r="18417" spans="1:7" x14ac:dyDescent="0.2">
      <c r="A18417" t="s">
        <v>17390</v>
      </c>
      <c r="B18417" t="str">
        <f>"13556772433"</f>
        <v>13556772433</v>
      </c>
      <c r="C18417" t="str">
        <f>"500230198807101333"</f>
        <v>500230198807101333</v>
      </c>
      <c r="D18417" t="s">
        <v>1</v>
      </c>
      <c r="E18417" t="s">
        <v>1</v>
      </c>
      <c r="F18417" t="s">
        <v>0</v>
      </c>
      <c r="G18417" t="str">
        <f>"2018-10-11 10:23:07"</f>
        <v>2018-10-11 10:23:07</v>
      </c>
    </row>
    <row r="18418" spans="1:7" x14ac:dyDescent="0.2">
      <c r="A18418" t="s">
        <v>1</v>
      </c>
      <c r="B18418" t="str">
        <f>"13562608603"</f>
        <v>13562608603</v>
      </c>
      <c r="C18418" t="s">
        <v>1</v>
      </c>
      <c r="D18418" t="s">
        <v>1</v>
      </c>
      <c r="E18418" t="s">
        <v>1</v>
      </c>
      <c r="F18418" t="s">
        <v>0</v>
      </c>
      <c r="G18418" t="str">
        <f>"2018-10-11 10:19:40"</f>
        <v>2018-10-11 10:19:40</v>
      </c>
    </row>
    <row r="18419" spans="1:7" x14ac:dyDescent="0.2">
      <c r="A18419" t="s">
        <v>17391</v>
      </c>
      <c r="B18419" t="str">
        <f>"15071479856"</f>
        <v>15071479856</v>
      </c>
      <c r="C18419" t="str">
        <f>"420107199210033716"</f>
        <v>420107199210033716</v>
      </c>
      <c r="D18419" t="s">
        <v>1</v>
      </c>
      <c r="E18419" t="s">
        <v>1</v>
      </c>
      <c r="F18419" t="s">
        <v>0</v>
      </c>
      <c r="G18419" t="str">
        <f>"2018-10-18 10:15:47"</f>
        <v>2018-10-18 10:15:47</v>
      </c>
    </row>
    <row r="18420" spans="1:7" x14ac:dyDescent="0.2">
      <c r="A18420" t="s">
        <v>17392</v>
      </c>
      <c r="B18420" t="str">
        <f>"18879566846"</f>
        <v>18879566846</v>
      </c>
      <c r="C18420" t="str">
        <f>"362227199708260322"</f>
        <v>362227199708260322</v>
      </c>
      <c r="D18420" t="s">
        <v>1</v>
      </c>
      <c r="E18420" t="s">
        <v>1</v>
      </c>
      <c r="F18420" t="s">
        <v>0</v>
      </c>
      <c r="G18420" t="str">
        <f>"2018-10-11 10:48:32"</f>
        <v>2018-10-11 10:48:32</v>
      </c>
    </row>
    <row r="18421" spans="1:7" x14ac:dyDescent="0.2">
      <c r="A18421" t="s">
        <v>1270</v>
      </c>
      <c r="B18421" t="str">
        <f>"13990464810"</f>
        <v>13990464810</v>
      </c>
      <c r="C18421" t="str">
        <f>"513326198601272028"</f>
        <v>513326198601272028</v>
      </c>
      <c r="D18421" t="s">
        <v>1</v>
      </c>
      <c r="E18421" t="s">
        <v>1</v>
      </c>
      <c r="F18421" t="s">
        <v>0</v>
      </c>
      <c r="G18421" t="str">
        <f>"2018-10-18 10:32:13"</f>
        <v>2018-10-18 10:32:13</v>
      </c>
    </row>
    <row r="18422" spans="1:7" x14ac:dyDescent="0.2">
      <c r="A18422" t="s">
        <v>17393</v>
      </c>
      <c r="B18422" t="str">
        <f>"15003893891"</f>
        <v>15003893891</v>
      </c>
      <c r="C18422" t="str">
        <f>"410182198906121451"</f>
        <v>410182198906121451</v>
      </c>
      <c r="D18422" t="s">
        <v>1</v>
      </c>
      <c r="E18422" t="s">
        <v>1</v>
      </c>
      <c r="F18422" t="s">
        <v>0</v>
      </c>
      <c r="G18422" t="str">
        <f>"2018-10-15 20:46:27"</f>
        <v>2018-10-15 20:46:27</v>
      </c>
    </row>
    <row r="18423" spans="1:7" x14ac:dyDescent="0.2">
      <c r="A18423" t="s">
        <v>17394</v>
      </c>
      <c r="B18423" t="str">
        <f>"17863333340"</f>
        <v>17863333340</v>
      </c>
      <c r="C18423" t="str">
        <f>"371122198709032259"</f>
        <v>371122198709032259</v>
      </c>
      <c r="D18423" t="s">
        <v>17395</v>
      </c>
      <c r="E18423" t="s">
        <v>17396</v>
      </c>
      <c r="F18423" t="s">
        <v>0</v>
      </c>
      <c r="G18423" t="str">
        <f>"2018-10-11 11:17:39"</f>
        <v>2018-10-11 11:17:39</v>
      </c>
    </row>
    <row r="18424" spans="1:7" x14ac:dyDescent="0.2">
      <c r="A18424" t="s">
        <v>17397</v>
      </c>
      <c r="B18424" t="str">
        <f>"18388968298"</f>
        <v>18388968298</v>
      </c>
      <c r="C18424" t="str">
        <f>"533528199609110025"</f>
        <v>533528199609110025</v>
      </c>
      <c r="D18424" t="s">
        <v>1</v>
      </c>
      <c r="E18424" t="s">
        <v>1</v>
      </c>
      <c r="F18424" t="s">
        <v>0</v>
      </c>
      <c r="G18424" t="str">
        <f>"2018-10-11 10:22:57"</f>
        <v>2018-10-11 10:22:57</v>
      </c>
    </row>
    <row r="18425" spans="1:7" x14ac:dyDescent="0.2">
      <c r="A18425" t="s">
        <v>17398</v>
      </c>
      <c r="B18425" t="str">
        <f>"17764808792"</f>
        <v>17764808792</v>
      </c>
      <c r="C18425" t="str">
        <f>"500235198709147655"</f>
        <v>500235198709147655</v>
      </c>
      <c r="D18425" t="s">
        <v>1</v>
      </c>
      <c r="E18425" t="s">
        <v>1</v>
      </c>
      <c r="F18425" t="s">
        <v>0</v>
      </c>
      <c r="G18425" t="str">
        <f>"2018-10-11 13:11:55"</f>
        <v>2018-10-11 13:11:55</v>
      </c>
    </row>
    <row r="18426" spans="1:7" x14ac:dyDescent="0.2">
      <c r="A18426" t="s">
        <v>78</v>
      </c>
      <c r="B18426" t="str">
        <f>"15547809016"</f>
        <v>15547809016</v>
      </c>
      <c r="C18426" t="str">
        <f>"152823199212102812"</f>
        <v>152823199212102812</v>
      </c>
      <c r="D18426" t="s">
        <v>1</v>
      </c>
      <c r="E18426" t="s">
        <v>1</v>
      </c>
      <c r="F18426" t="s">
        <v>0</v>
      </c>
      <c r="G18426" t="str">
        <f>"2018-10-11 10:21:38"</f>
        <v>2018-10-11 10:21:38</v>
      </c>
    </row>
    <row r="18427" spans="1:7" x14ac:dyDescent="0.2">
      <c r="A18427" t="s">
        <v>17399</v>
      </c>
      <c r="B18427" t="str">
        <f>"18345617866"</f>
        <v>18345617866</v>
      </c>
      <c r="C18427" t="str">
        <f>"220282198201306229"</f>
        <v>220282198201306229</v>
      </c>
      <c r="D18427" t="s">
        <v>1</v>
      </c>
      <c r="E18427" t="s">
        <v>1</v>
      </c>
      <c r="F18427" t="s">
        <v>0</v>
      </c>
      <c r="G18427" t="str">
        <f>"2018-10-11 10:21:20"</f>
        <v>2018-10-11 10:21:20</v>
      </c>
    </row>
    <row r="18428" spans="1:7" x14ac:dyDescent="0.2">
      <c r="A18428" t="s">
        <v>17400</v>
      </c>
      <c r="B18428" t="str">
        <f>"13256769444"</f>
        <v>13256769444</v>
      </c>
      <c r="C18428" t="str">
        <f>"372330198709206679"</f>
        <v>372330198709206679</v>
      </c>
      <c r="D18428" t="s">
        <v>1</v>
      </c>
      <c r="E18428" t="s">
        <v>1</v>
      </c>
      <c r="F18428" t="s">
        <v>0</v>
      </c>
      <c r="G18428" t="str">
        <f>"2018-10-11 10:30:58"</f>
        <v>2018-10-11 10:30:58</v>
      </c>
    </row>
    <row r="18429" spans="1:7" x14ac:dyDescent="0.2">
      <c r="A18429" t="s">
        <v>1</v>
      </c>
      <c r="B18429" t="str">
        <f>"15006446838"</f>
        <v>15006446838</v>
      </c>
      <c r="C18429" t="s">
        <v>1</v>
      </c>
      <c r="D18429" t="s">
        <v>1</v>
      </c>
      <c r="E18429" t="s">
        <v>1</v>
      </c>
      <c r="F18429" t="s">
        <v>0</v>
      </c>
      <c r="G18429" t="str">
        <f>"2018-10-11 10:15:13"</f>
        <v>2018-10-11 10:15:13</v>
      </c>
    </row>
    <row r="18430" spans="1:7" x14ac:dyDescent="0.2">
      <c r="A18430" t="s">
        <v>17401</v>
      </c>
      <c r="B18430" t="str">
        <f>"13070725601"</f>
        <v>13070725601</v>
      </c>
      <c r="C18430" t="str">
        <f>"370784198410123587"</f>
        <v>370784198410123587</v>
      </c>
      <c r="D18430" t="s">
        <v>1</v>
      </c>
      <c r="E18430" t="s">
        <v>1</v>
      </c>
      <c r="F18430" t="s">
        <v>0</v>
      </c>
      <c r="G18430" t="str">
        <f>"2018-10-11 10:16:10"</f>
        <v>2018-10-11 10:16:10</v>
      </c>
    </row>
    <row r="18431" spans="1:7" x14ac:dyDescent="0.2">
      <c r="A18431" t="s">
        <v>9435</v>
      </c>
      <c r="B18431" t="str">
        <f>"13070068550"</f>
        <v>13070068550</v>
      </c>
      <c r="C18431" t="str">
        <f>"653122199210094411"</f>
        <v>653122199210094411</v>
      </c>
      <c r="D18431" t="s">
        <v>1</v>
      </c>
      <c r="E18431" t="s">
        <v>1</v>
      </c>
      <c r="F18431" t="s">
        <v>0</v>
      </c>
      <c r="G18431" t="str">
        <f>"2018-10-11 10:15:30"</f>
        <v>2018-10-11 10:15:30</v>
      </c>
    </row>
    <row r="18432" spans="1:7" x14ac:dyDescent="0.2">
      <c r="A18432" t="s">
        <v>469</v>
      </c>
      <c r="B18432" t="str">
        <f>"18019717448"</f>
        <v>18019717448</v>
      </c>
      <c r="C18432" t="str">
        <f>"310113197904085716"</f>
        <v>310113197904085716</v>
      </c>
      <c r="D18432" t="s">
        <v>1</v>
      </c>
      <c r="E18432" t="s">
        <v>1</v>
      </c>
      <c r="F18432" t="s">
        <v>0</v>
      </c>
      <c r="G18432" t="str">
        <f>"2018-10-11 10:34:03"</f>
        <v>2018-10-11 10:34:03</v>
      </c>
    </row>
    <row r="18433" spans="1:7" x14ac:dyDescent="0.2">
      <c r="A18433" t="s">
        <v>17402</v>
      </c>
      <c r="B18433" t="str">
        <f>"17683968885"</f>
        <v>17683968885</v>
      </c>
      <c r="C18433" t="str">
        <f>"422828197712073913"</f>
        <v>422828197712073913</v>
      </c>
      <c r="D18433" t="s">
        <v>1</v>
      </c>
      <c r="E18433" t="s">
        <v>1</v>
      </c>
      <c r="F18433" t="s">
        <v>0</v>
      </c>
      <c r="G18433" t="str">
        <f>"2018-10-11 12:25:39"</f>
        <v>2018-10-11 12:25:39</v>
      </c>
    </row>
    <row r="18434" spans="1:7" x14ac:dyDescent="0.2">
      <c r="A18434" t="s">
        <v>17403</v>
      </c>
      <c r="B18434" t="str">
        <f>"15872140787"</f>
        <v>15872140787</v>
      </c>
      <c r="C18434" t="str">
        <f>"421083199706161211"</f>
        <v>421083199706161211</v>
      </c>
      <c r="D18434" t="s">
        <v>1</v>
      </c>
      <c r="E18434" t="s">
        <v>1</v>
      </c>
      <c r="F18434" t="s">
        <v>0</v>
      </c>
      <c r="G18434" t="str">
        <f>"2018-10-11 10:13:06"</f>
        <v>2018-10-11 10:13:06</v>
      </c>
    </row>
    <row r="18435" spans="1:7" x14ac:dyDescent="0.2">
      <c r="A18435" t="s">
        <v>17404</v>
      </c>
      <c r="B18435" t="str">
        <f>"15981810151"</f>
        <v>15981810151</v>
      </c>
      <c r="C18435" t="str">
        <f>"410823199901270186"</f>
        <v>410823199901270186</v>
      </c>
      <c r="D18435" t="s">
        <v>17405</v>
      </c>
      <c r="E18435" t="s">
        <v>17406</v>
      </c>
      <c r="F18435" t="s">
        <v>0</v>
      </c>
      <c r="G18435" t="str">
        <f>"2018-10-23 22:45:46"</f>
        <v>2018-10-23 22:45:46</v>
      </c>
    </row>
    <row r="18436" spans="1:7" x14ac:dyDescent="0.2">
      <c r="A18436" t="s">
        <v>17407</v>
      </c>
      <c r="B18436" t="str">
        <f>"17601447100"</f>
        <v>17601447100</v>
      </c>
      <c r="C18436" t="str">
        <f>"622826199401300414"</f>
        <v>622826199401300414</v>
      </c>
      <c r="D18436" t="s">
        <v>17408</v>
      </c>
      <c r="E18436" t="s">
        <v>17409</v>
      </c>
      <c r="F18436" t="s">
        <v>0</v>
      </c>
      <c r="G18436" t="str">
        <f>"2018-10-31 11:22:00"</f>
        <v>2018-10-31 11:22:00</v>
      </c>
    </row>
    <row r="18437" spans="1:7" x14ac:dyDescent="0.2">
      <c r="A18437" t="s">
        <v>17410</v>
      </c>
      <c r="B18437" t="str">
        <f>"18204632251"</f>
        <v>18204632251</v>
      </c>
      <c r="C18437" t="str">
        <f>"231085198911281426"</f>
        <v>231085198911281426</v>
      </c>
      <c r="D18437" t="s">
        <v>1</v>
      </c>
      <c r="E18437" t="s">
        <v>1</v>
      </c>
      <c r="F18437" t="s">
        <v>0</v>
      </c>
      <c r="G18437" t="str">
        <f>"2018-10-11 10:11:07"</f>
        <v>2018-10-11 10:11:07</v>
      </c>
    </row>
    <row r="18438" spans="1:7" x14ac:dyDescent="0.2">
      <c r="A18438" t="s">
        <v>1</v>
      </c>
      <c r="B18438" t="str">
        <f>"13072608789"</f>
        <v>13072608789</v>
      </c>
      <c r="C18438" t="s">
        <v>1</v>
      </c>
      <c r="D18438" t="s">
        <v>1</v>
      </c>
      <c r="E18438" t="s">
        <v>1</v>
      </c>
      <c r="F18438" t="s">
        <v>0</v>
      </c>
      <c r="G18438" t="str">
        <f>"2018-10-11 10:09:13"</f>
        <v>2018-10-11 10:09:13</v>
      </c>
    </row>
    <row r="18439" spans="1:7" x14ac:dyDescent="0.2">
      <c r="A18439" t="s">
        <v>17411</v>
      </c>
      <c r="B18439" t="str">
        <f>"18286458009"</f>
        <v>18286458009</v>
      </c>
      <c r="C18439" t="str">
        <f>"522729199509060619"</f>
        <v>522729199509060619</v>
      </c>
      <c r="D18439" t="s">
        <v>1</v>
      </c>
      <c r="E18439" t="s">
        <v>1</v>
      </c>
      <c r="F18439" t="s">
        <v>0</v>
      </c>
      <c r="G18439" t="str">
        <f>"2018-10-11 10:11:57"</f>
        <v>2018-10-11 10:11:57</v>
      </c>
    </row>
    <row r="18440" spans="1:7" x14ac:dyDescent="0.2">
      <c r="A18440" t="s">
        <v>17412</v>
      </c>
      <c r="B18440" t="str">
        <f>"15862735397"</f>
        <v>15862735397</v>
      </c>
      <c r="C18440" t="str">
        <f>"320621198709271082"</f>
        <v>320621198709271082</v>
      </c>
      <c r="D18440" t="s">
        <v>1</v>
      </c>
      <c r="E18440" t="s">
        <v>1</v>
      </c>
      <c r="F18440" t="s">
        <v>0</v>
      </c>
      <c r="G18440" t="str">
        <f>"2018-10-22 09:46:03"</f>
        <v>2018-10-22 09:46:03</v>
      </c>
    </row>
    <row r="18441" spans="1:7" x14ac:dyDescent="0.2">
      <c r="A18441" t="s">
        <v>17413</v>
      </c>
      <c r="B18441" t="str">
        <f>"15695670729"</f>
        <v>15695670729</v>
      </c>
      <c r="C18441" t="str">
        <f>"341281199208252530"</f>
        <v>341281199208252530</v>
      </c>
      <c r="D18441" t="s">
        <v>1</v>
      </c>
      <c r="E18441" t="s">
        <v>1</v>
      </c>
      <c r="F18441" t="s">
        <v>0</v>
      </c>
      <c r="G18441" t="str">
        <f>"2018-10-11 10:07:19"</f>
        <v>2018-10-11 10:07:19</v>
      </c>
    </row>
    <row r="18442" spans="1:7" x14ac:dyDescent="0.2">
      <c r="A18442" t="s">
        <v>17414</v>
      </c>
      <c r="B18442" t="str">
        <f>"18111899290"</f>
        <v>18111899290</v>
      </c>
      <c r="C18442" t="str">
        <f>"522125199510253719"</f>
        <v>522125199510253719</v>
      </c>
      <c r="D18442" t="s">
        <v>1</v>
      </c>
      <c r="E18442" t="s">
        <v>1</v>
      </c>
      <c r="F18442" t="s">
        <v>0</v>
      </c>
      <c r="G18442" t="str">
        <f>"2018-10-11 10:06:57"</f>
        <v>2018-10-11 10:06:57</v>
      </c>
    </row>
    <row r="18443" spans="1:7" x14ac:dyDescent="0.2">
      <c r="A18443" t="s">
        <v>1</v>
      </c>
      <c r="B18443" t="str">
        <f>"18505043888"</f>
        <v>18505043888</v>
      </c>
      <c r="C18443" t="s">
        <v>1</v>
      </c>
      <c r="D18443" t="s">
        <v>1</v>
      </c>
      <c r="E18443" t="s">
        <v>1</v>
      </c>
      <c r="F18443" t="s">
        <v>0</v>
      </c>
      <c r="G18443" t="str">
        <f>"2018-10-11 10:06:15"</f>
        <v>2018-10-11 10:06:15</v>
      </c>
    </row>
    <row r="18444" spans="1:7" x14ac:dyDescent="0.2">
      <c r="A18444" t="s">
        <v>1</v>
      </c>
      <c r="B18444" t="str">
        <f>"15880107553"</f>
        <v>15880107553</v>
      </c>
      <c r="C18444" t="s">
        <v>1</v>
      </c>
      <c r="D18444" t="s">
        <v>1</v>
      </c>
      <c r="E18444" t="s">
        <v>1</v>
      </c>
      <c r="F18444" t="s">
        <v>0</v>
      </c>
      <c r="G18444" t="str">
        <f>"2018-10-11 10:05:31"</f>
        <v>2018-10-11 10:05:31</v>
      </c>
    </row>
    <row r="18445" spans="1:7" x14ac:dyDescent="0.2">
      <c r="A18445" t="s">
        <v>1</v>
      </c>
      <c r="B18445" t="str">
        <f>"15816498607"</f>
        <v>15816498607</v>
      </c>
      <c r="C18445" t="s">
        <v>1</v>
      </c>
      <c r="D18445" t="s">
        <v>1</v>
      </c>
      <c r="E18445" t="s">
        <v>1</v>
      </c>
      <c r="F18445" t="s">
        <v>0</v>
      </c>
      <c r="G18445" t="str">
        <f>"2018-10-11 10:05:29"</f>
        <v>2018-10-11 10:05:29</v>
      </c>
    </row>
    <row r="18446" spans="1:7" x14ac:dyDescent="0.2">
      <c r="A18446" t="s">
        <v>17415</v>
      </c>
      <c r="B18446" t="str">
        <f>"15760177701"</f>
        <v>15760177701</v>
      </c>
      <c r="C18446" t="str">
        <f>"511902199704067312"</f>
        <v>511902199704067312</v>
      </c>
      <c r="D18446" t="s">
        <v>1</v>
      </c>
      <c r="E18446" t="s">
        <v>1</v>
      </c>
      <c r="F18446" t="s">
        <v>0</v>
      </c>
      <c r="G18446" t="str">
        <f>"2018-10-13 09:27:13"</f>
        <v>2018-10-13 09:27:13</v>
      </c>
    </row>
    <row r="18447" spans="1:7" x14ac:dyDescent="0.2">
      <c r="A18447" t="s">
        <v>17416</v>
      </c>
      <c r="B18447" t="str">
        <f>"15239287790"</f>
        <v>15239287790</v>
      </c>
      <c r="C18447" t="str">
        <f>"410622199508303028"</f>
        <v>410622199508303028</v>
      </c>
      <c r="D18447" t="s">
        <v>1</v>
      </c>
      <c r="E18447" t="s">
        <v>1</v>
      </c>
      <c r="F18447" t="s">
        <v>0</v>
      </c>
      <c r="G18447" t="str">
        <f>"2018-10-11 10:04:19"</f>
        <v>2018-10-11 10:04:19</v>
      </c>
    </row>
    <row r="18448" spans="1:7" x14ac:dyDescent="0.2">
      <c r="A18448" t="s">
        <v>1</v>
      </c>
      <c r="B18448" t="str">
        <f>"15763356819"</f>
        <v>15763356819</v>
      </c>
      <c r="C18448" t="s">
        <v>1</v>
      </c>
      <c r="D18448" t="s">
        <v>1</v>
      </c>
      <c r="E18448" t="s">
        <v>1</v>
      </c>
      <c r="F18448" t="s">
        <v>0</v>
      </c>
      <c r="G18448" t="str">
        <f>"2018-10-11 10:03:14"</f>
        <v>2018-10-11 10:03:14</v>
      </c>
    </row>
    <row r="18449" spans="1:7" x14ac:dyDescent="0.2">
      <c r="A18449" t="s">
        <v>17417</v>
      </c>
      <c r="B18449" t="str">
        <f>"15267366394"</f>
        <v>15267366394</v>
      </c>
      <c r="C18449" t="str">
        <f>"362326199209303913"</f>
        <v>362326199209303913</v>
      </c>
      <c r="D18449" t="s">
        <v>1</v>
      </c>
      <c r="E18449" t="s">
        <v>1</v>
      </c>
      <c r="F18449" t="s">
        <v>0</v>
      </c>
      <c r="G18449" t="str">
        <f>"2018-10-11 10:06:11"</f>
        <v>2018-10-11 10:06:11</v>
      </c>
    </row>
    <row r="18450" spans="1:7" x14ac:dyDescent="0.2">
      <c r="A18450" t="s">
        <v>17418</v>
      </c>
      <c r="B18450" t="str">
        <f>"13512017477"</f>
        <v>13512017477</v>
      </c>
      <c r="C18450" t="str">
        <f>"120225199711204066"</f>
        <v>120225199711204066</v>
      </c>
      <c r="D18450" t="s">
        <v>1</v>
      </c>
      <c r="E18450" t="s">
        <v>1</v>
      </c>
      <c r="F18450" t="s">
        <v>0</v>
      </c>
      <c r="G18450" t="str">
        <f>"2018-10-11 10:12:35"</f>
        <v>2018-10-11 10:12:35</v>
      </c>
    </row>
    <row r="18451" spans="1:7" x14ac:dyDescent="0.2">
      <c r="A18451" t="s">
        <v>1</v>
      </c>
      <c r="B18451" t="str">
        <f>"15246443706"</f>
        <v>15246443706</v>
      </c>
      <c r="C18451" t="s">
        <v>1</v>
      </c>
      <c r="D18451" t="s">
        <v>1</v>
      </c>
      <c r="E18451" t="s">
        <v>1</v>
      </c>
      <c r="F18451" t="s">
        <v>0</v>
      </c>
      <c r="G18451" t="str">
        <f>"2018-10-11 10:02:30"</f>
        <v>2018-10-11 10:02:30</v>
      </c>
    </row>
    <row r="18452" spans="1:7" x14ac:dyDescent="0.2">
      <c r="A18452" t="s">
        <v>1</v>
      </c>
      <c r="B18452" t="str">
        <f>"18684858663"</f>
        <v>18684858663</v>
      </c>
      <c r="C18452" t="s">
        <v>1</v>
      </c>
      <c r="D18452" t="s">
        <v>1</v>
      </c>
      <c r="E18452" t="s">
        <v>1</v>
      </c>
      <c r="F18452" t="s">
        <v>0</v>
      </c>
      <c r="G18452" t="str">
        <f>"2018-10-11 10:01:32"</f>
        <v>2018-10-11 10:01:32</v>
      </c>
    </row>
    <row r="18453" spans="1:7" x14ac:dyDescent="0.2">
      <c r="A18453" t="s">
        <v>17419</v>
      </c>
      <c r="B18453" t="str">
        <f>"13149075512"</f>
        <v>13149075512</v>
      </c>
      <c r="C18453" t="str">
        <f>"440232199611216041"</f>
        <v>440232199611216041</v>
      </c>
      <c r="D18453" t="s">
        <v>1</v>
      </c>
      <c r="E18453" t="s">
        <v>1</v>
      </c>
      <c r="F18453" t="s">
        <v>0</v>
      </c>
      <c r="G18453" t="str">
        <f>"2018-10-13 13:44:45"</f>
        <v>2018-10-13 13:44:45</v>
      </c>
    </row>
    <row r="18454" spans="1:7" x14ac:dyDescent="0.2">
      <c r="A18454" t="s">
        <v>17420</v>
      </c>
      <c r="B18454" t="str">
        <f>"18438036676"</f>
        <v>18438036676</v>
      </c>
      <c r="C18454" t="str">
        <f>"41270219811110057X"</f>
        <v>41270219811110057X</v>
      </c>
      <c r="D18454" t="s">
        <v>1</v>
      </c>
      <c r="E18454" t="s">
        <v>1</v>
      </c>
      <c r="F18454" t="s">
        <v>0</v>
      </c>
      <c r="G18454" t="str">
        <f>"2018-10-11 10:04:14"</f>
        <v>2018-10-11 10:04:14</v>
      </c>
    </row>
    <row r="18455" spans="1:7" x14ac:dyDescent="0.2">
      <c r="A18455" t="s">
        <v>1</v>
      </c>
      <c r="B18455" t="str">
        <f>"18476978181"</f>
        <v>18476978181</v>
      </c>
      <c r="C18455" t="s">
        <v>1</v>
      </c>
      <c r="D18455" t="s">
        <v>1</v>
      </c>
      <c r="E18455" t="s">
        <v>1</v>
      </c>
      <c r="F18455" t="s">
        <v>0</v>
      </c>
      <c r="G18455" t="str">
        <f>"2018-10-11 10:00:37"</f>
        <v>2018-10-11 10:00:37</v>
      </c>
    </row>
    <row r="18456" spans="1:7" x14ac:dyDescent="0.2">
      <c r="A18456" t="s">
        <v>1</v>
      </c>
      <c r="B18456" t="str">
        <f>"15941843131"</f>
        <v>15941843131</v>
      </c>
      <c r="C18456" t="s">
        <v>1</v>
      </c>
      <c r="D18456" t="s">
        <v>1</v>
      </c>
      <c r="E18456" t="s">
        <v>1</v>
      </c>
      <c r="F18456" t="s">
        <v>0</v>
      </c>
      <c r="G18456" t="str">
        <f>"2018-10-11 09:58:04"</f>
        <v>2018-10-11 09:58:04</v>
      </c>
    </row>
    <row r="18457" spans="1:7" x14ac:dyDescent="0.2">
      <c r="A18457" t="s">
        <v>328</v>
      </c>
      <c r="B18457" t="str">
        <f>"13293994755"</f>
        <v>13293994755</v>
      </c>
      <c r="C18457" t="str">
        <f>"140821199201240033"</f>
        <v>140821199201240033</v>
      </c>
      <c r="D18457" t="s">
        <v>1</v>
      </c>
      <c r="E18457" t="s">
        <v>1</v>
      </c>
      <c r="F18457" t="s">
        <v>0</v>
      </c>
      <c r="G18457" t="str">
        <f>"2018-10-11 09:59:35"</f>
        <v>2018-10-11 09:59:35</v>
      </c>
    </row>
    <row r="18458" spans="1:7" x14ac:dyDescent="0.2">
      <c r="A18458" t="s">
        <v>1582</v>
      </c>
      <c r="B18458" t="str">
        <f>"18789238852"</f>
        <v>18789238852</v>
      </c>
      <c r="C18458" t="str">
        <f>"460036198907082429"</f>
        <v>460036198907082429</v>
      </c>
      <c r="D18458" t="s">
        <v>1</v>
      </c>
      <c r="E18458" t="s">
        <v>1</v>
      </c>
      <c r="F18458" t="s">
        <v>0</v>
      </c>
      <c r="G18458" t="str">
        <f>"2018-10-11 09:57:17"</f>
        <v>2018-10-11 09:57:17</v>
      </c>
    </row>
    <row r="18459" spans="1:7" x14ac:dyDescent="0.2">
      <c r="A18459" t="s">
        <v>17421</v>
      </c>
      <c r="B18459" t="str">
        <f>"18822459558"</f>
        <v>18822459558</v>
      </c>
      <c r="C18459" t="str">
        <f>"13108119860519232X"</f>
        <v>13108119860519232X</v>
      </c>
      <c r="D18459" t="s">
        <v>17422</v>
      </c>
      <c r="E18459" t="s">
        <v>17423</v>
      </c>
      <c r="F18459" t="s">
        <v>0</v>
      </c>
      <c r="G18459" t="str">
        <f>"2018-10-25 18:26:47"</f>
        <v>2018-10-25 18:26:47</v>
      </c>
    </row>
    <row r="18460" spans="1:7" x14ac:dyDescent="0.2">
      <c r="A18460" t="s">
        <v>17424</v>
      </c>
      <c r="B18460" t="str">
        <f>"13946777361"</f>
        <v>13946777361</v>
      </c>
      <c r="C18460" t="str">
        <f>"230402199103250351"</f>
        <v>230402199103250351</v>
      </c>
      <c r="D18460" t="s">
        <v>17425</v>
      </c>
      <c r="E18460" t="s">
        <v>17426</v>
      </c>
      <c r="F18460" t="s">
        <v>0</v>
      </c>
      <c r="G18460" t="str">
        <f>"2018-10-11 11:37:04"</f>
        <v>2018-10-11 11:37:04</v>
      </c>
    </row>
    <row r="18461" spans="1:7" x14ac:dyDescent="0.2">
      <c r="A18461" t="s">
        <v>1</v>
      </c>
      <c r="B18461" t="str">
        <f>"15673201186"</f>
        <v>15673201186</v>
      </c>
      <c r="C18461" t="s">
        <v>1</v>
      </c>
      <c r="D18461" t="s">
        <v>1</v>
      </c>
      <c r="E18461" t="s">
        <v>1</v>
      </c>
      <c r="F18461" t="s">
        <v>0</v>
      </c>
      <c r="G18461" t="str">
        <f>"2018-10-11 09:55:35"</f>
        <v>2018-10-11 09:55:35</v>
      </c>
    </row>
    <row r="18462" spans="1:7" x14ac:dyDescent="0.2">
      <c r="A18462" t="s">
        <v>17427</v>
      </c>
      <c r="B18462" t="str">
        <f>"18265195033"</f>
        <v>18265195033</v>
      </c>
      <c r="C18462" t="str">
        <f>"320123198709070817"</f>
        <v>320123198709070817</v>
      </c>
      <c r="D18462" t="s">
        <v>1</v>
      </c>
      <c r="E18462" t="s">
        <v>1</v>
      </c>
      <c r="F18462" t="s">
        <v>0</v>
      </c>
      <c r="G18462" t="str">
        <f>"2018-10-11 09:59:23"</f>
        <v>2018-10-11 09:59:23</v>
      </c>
    </row>
    <row r="18463" spans="1:7" x14ac:dyDescent="0.2">
      <c r="A18463" t="s">
        <v>17428</v>
      </c>
      <c r="B18463" t="str">
        <f>"15884469163"</f>
        <v>15884469163</v>
      </c>
      <c r="C18463" t="str">
        <f>"513822198701219058"</f>
        <v>513822198701219058</v>
      </c>
      <c r="D18463" t="s">
        <v>1</v>
      </c>
      <c r="E18463" t="s">
        <v>1</v>
      </c>
      <c r="F18463" t="s">
        <v>0</v>
      </c>
      <c r="G18463" t="str">
        <f>"2018-10-20 15:48:38"</f>
        <v>2018-10-20 15:48:38</v>
      </c>
    </row>
    <row r="18464" spans="1:7" x14ac:dyDescent="0.2">
      <c r="A18464" t="s">
        <v>1498</v>
      </c>
      <c r="B18464" t="str">
        <f>"15990358052"</f>
        <v>15990358052</v>
      </c>
      <c r="C18464" t="str">
        <f>"330483198809100045"</f>
        <v>330483198809100045</v>
      </c>
      <c r="D18464" t="s">
        <v>1</v>
      </c>
      <c r="E18464" t="s">
        <v>1</v>
      </c>
      <c r="F18464" t="s">
        <v>0</v>
      </c>
      <c r="G18464" t="str">
        <f>"2018-10-11 09:58:27"</f>
        <v>2018-10-11 09:58:27</v>
      </c>
    </row>
    <row r="18465" spans="1:7" x14ac:dyDescent="0.2">
      <c r="A18465" t="s">
        <v>17429</v>
      </c>
      <c r="B18465" t="str">
        <f>"15153523685"</f>
        <v>15153523685</v>
      </c>
      <c r="C18465" t="str">
        <f>"34122519850320208X"</f>
        <v>34122519850320208X</v>
      </c>
      <c r="D18465" t="s">
        <v>17430</v>
      </c>
      <c r="E18465" t="s">
        <v>17431</v>
      </c>
      <c r="F18465" t="s">
        <v>0</v>
      </c>
      <c r="G18465" t="str">
        <f>"2018-10-11 09:53:47"</f>
        <v>2018-10-11 09:53:47</v>
      </c>
    </row>
    <row r="18466" spans="1:7" x14ac:dyDescent="0.2">
      <c r="A18466" t="s">
        <v>1</v>
      </c>
      <c r="B18466" t="str">
        <f>"13668388655"</f>
        <v>13668388655</v>
      </c>
      <c r="C18466" t="s">
        <v>1</v>
      </c>
      <c r="D18466" t="s">
        <v>1</v>
      </c>
      <c r="E18466" t="s">
        <v>1</v>
      </c>
      <c r="F18466" t="s">
        <v>0</v>
      </c>
      <c r="G18466" t="str">
        <f>"2018-10-11 09:51:36"</f>
        <v>2018-10-11 09:51:36</v>
      </c>
    </row>
    <row r="18467" spans="1:7" x14ac:dyDescent="0.2">
      <c r="A18467" t="s">
        <v>1</v>
      </c>
      <c r="B18467" t="str">
        <f>"18972413377"</f>
        <v>18972413377</v>
      </c>
      <c r="C18467" t="s">
        <v>1</v>
      </c>
      <c r="D18467" t="s">
        <v>1</v>
      </c>
      <c r="E18467" t="s">
        <v>1</v>
      </c>
      <c r="F18467" t="s">
        <v>0</v>
      </c>
      <c r="G18467" t="str">
        <f>"2018-10-11 09:51:29"</f>
        <v>2018-10-11 09:51:29</v>
      </c>
    </row>
    <row r="18468" spans="1:7" x14ac:dyDescent="0.2">
      <c r="A18468" t="s">
        <v>1</v>
      </c>
      <c r="B18468" t="str">
        <f>"15953094210"</f>
        <v>15953094210</v>
      </c>
      <c r="C18468" t="s">
        <v>1</v>
      </c>
      <c r="D18468" t="s">
        <v>1</v>
      </c>
      <c r="E18468" t="s">
        <v>1</v>
      </c>
      <c r="F18468" t="s">
        <v>0</v>
      </c>
      <c r="G18468" t="str">
        <f>"2018-10-11 09:51:25"</f>
        <v>2018-10-11 09:51:25</v>
      </c>
    </row>
    <row r="18469" spans="1:7" x14ac:dyDescent="0.2">
      <c r="A18469" t="s">
        <v>17432</v>
      </c>
      <c r="B18469" t="str">
        <f>"15237803357"</f>
        <v>15237803357</v>
      </c>
      <c r="C18469" t="str">
        <f>"410223199510207021"</f>
        <v>410223199510207021</v>
      </c>
      <c r="D18469" t="s">
        <v>1</v>
      </c>
      <c r="E18469" t="s">
        <v>1</v>
      </c>
      <c r="F18469" t="s">
        <v>0</v>
      </c>
      <c r="G18469" t="str">
        <f>"2018-10-11 09:52:24"</f>
        <v>2018-10-11 09:52:24</v>
      </c>
    </row>
    <row r="18470" spans="1:7" x14ac:dyDescent="0.2">
      <c r="A18470" t="s">
        <v>17433</v>
      </c>
      <c r="B18470" t="str">
        <f>"15288848562"</f>
        <v>15288848562</v>
      </c>
      <c r="C18470" t="str">
        <f>"370911198801101687"</f>
        <v>370911198801101687</v>
      </c>
      <c r="D18470" t="s">
        <v>1</v>
      </c>
      <c r="E18470" t="s">
        <v>1</v>
      </c>
      <c r="F18470" t="s">
        <v>0</v>
      </c>
      <c r="G18470" t="str">
        <f>"2018-10-11 10:03:59"</f>
        <v>2018-10-11 10:03:59</v>
      </c>
    </row>
    <row r="18471" spans="1:7" x14ac:dyDescent="0.2">
      <c r="A18471" t="s">
        <v>1</v>
      </c>
      <c r="B18471" t="str">
        <f>"15068508083"</f>
        <v>15068508083</v>
      </c>
      <c r="C18471" t="s">
        <v>1</v>
      </c>
      <c r="D18471" t="s">
        <v>1</v>
      </c>
      <c r="E18471" t="s">
        <v>1</v>
      </c>
      <c r="F18471" t="s">
        <v>0</v>
      </c>
      <c r="G18471" t="str">
        <f>"2018-10-11 09:49:05"</f>
        <v>2018-10-11 09:49:05</v>
      </c>
    </row>
    <row r="18472" spans="1:7" x14ac:dyDescent="0.2">
      <c r="A18472" t="s">
        <v>889</v>
      </c>
      <c r="B18472" t="str">
        <f>"15941464988"</f>
        <v>15941464988</v>
      </c>
      <c r="C18472" t="str">
        <f>"210522198603242617"</f>
        <v>210522198603242617</v>
      </c>
      <c r="D18472" t="s">
        <v>1</v>
      </c>
      <c r="E18472" t="s">
        <v>1</v>
      </c>
      <c r="F18472" t="s">
        <v>0</v>
      </c>
      <c r="G18472" t="str">
        <f>"2018-10-11 13:02:01"</f>
        <v>2018-10-11 13:02:01</v>
      </c>
    </row>
    <row r="18473" spans="1:7" x14ac:dyDescent="0.2">
      <c r="A18473" t="s">
        <v>1</v>
      </c>
      <c r="B18473" t="str">
        <f>"15558542350"</f>
        <v>15558542350</v>
      </c>
      <c r="C18473" t="s">
        <v>1</v>
      </c>
      <c r="D18473" t="s">
        <v>1</v>
      </c>
      <c r="E18473" t="s">
        <v>1</v>
      </c>
      <c r="F18473" t="s">
        <v>0</v>
      </c>
      <c r="G18473" t="str">
        <f>"2018-10-11 09:48:53"</f>
        <v>2018-10-11 09:48:53</v>
      </c>
    </row>
    <row r="18474" spans="1:7" x14ac:dyDescent="0.2">
      <c r="A18474" t="s">
        <v>17434</v>
      </c>
      <c r="B18474" t="str">
        <f>"15193720234"</f>
        <v>15193720234</v>
      </c>
      <c r="C18474" t="str">
        <f>"622102198610144725"</f>
        <v>622102198610144725</v>
      </c>
      <c r="D18474" t="s">
        <v>1</v>
      </c>
      <c r="E18474" t="s">
        <v>1</v>
      </c>
      <c r="F18474" t="s">
        <v>0</v>
      </c>
      <c r="G18474" t="str">
        <f>"2018-10-11 10:11:36"</f>
        <v>2018-10-11 10:11:36</v>
      </c>
    </row>
    <row r="18475" spans="1:7" x14ac:dyDescent="0.2">
      <c r="A18475" t="s">
        <v>1</v>
      </c>
      <c r="B18475" t="str">
        <f>"18269120135"</f>
        <v>18269120135</v>
      </c>
      <c r="C18475" t="s">
        <v>1</v>
      </c>
      <c r="D18475" t="s">
        <v>1</v>
      </c>
      <c r="E18475" t="s">
        <v>1</v>
      </c>
      <c r="F18475" t="s">
        <v>0</v>
      </c>
      <c r="G18475" t="str">
        <f>"2018-10-11 09:46:52"</f>
        <v>2018-10-11 09:46:52</v>
      </c>
    </row>
    <row r="18476" spans="1:7" x14ac:dyDescent="0.2">
      <c r="A18476" t="s">
        <v>1</v>
      </c>
      <c r="B18476" t="str">
        <f>"18316628732"</f>
        <v>18316628732</v>
      </c>
      <c r="C18476" t="s">
        <v>1</v>
      </c>
      <c r="D18476" t="s">
        <v>1</v>
      </c>
      <c r="E18476" t="s">
        <v>1</v>
      </c>
      <c r="F18476" t="s">
        <v>0</v>
      </c>
      <c r="G18476" t="str">
        <f>"2018-10-11 09:46:36"</f>
        <v>2018-10-11 09:46:36</v>
      </c>
    </row>
    <row r="18477" spans="1:7" x14ac:dyDescent="0.2">
      <c r="A18477" t="s">
        <v>1</v>
      </c>
      <c r="B18477" t="str">
        <f>"13641461934"</f>
        <v>13641461934</v>
      </c>
      <c r="C18477" t="s">
        <v>1</v>
      </c>
      <c r="D18477" t="s">
        <v>1</v>
      </c>
      <c r="E18477" t="s">
        <v>1</v>
      </c>
      <c r="F18477" t="s">
        <v>0</v>
      </c>
      <c r="G18477" t="str">
        <f>"2018-10-11 09:45:17"</f>
        <v>2018-10-11 09:45:17</v>
      </c>
    </row>
    <row r="18478" spans="1:7" x14ac:dyDescent="0.2">
      <c r="A18478" t="s">
        <v>17435</v>
      </c>
      <c r="B18478" t="str">
        <f>"18752067258"</f>
        <v>18752067258</v>
      </c>
      <c r="C18478" t="str">
        <f>"320831199403042015"</f>
        <v>320831199403042015</v>
      </c>
      <c r="D18478" t="s">
        <v>1</v>
      </c>
      <c r="E18478" t="s">
        <v>1</v>
      </c>
      <c r="F18478" t="s">
        <v>0</v>
      </c>
      <c r="G18478" t="str">
        <f>"2018-10-11 09:45:06"</f>
        <v>2018-10-11 09:45:06</v>
      </c>
    </row>
    <row r="18479" spans="1:7" x14ac:dyDescent="0.2">
      <c r="A18479" t="s">
        <v>52</v>
      </c>
      <c r="B18479" t="str">
        <f>"15211136643"</f>
        <v>15211136643</v>
      </c>
      <c r="C18479" t="str">
        <f>"430181199006017810"</f>
        <v>430181199006017810</v>
      </c>
      <c r="D18479" t="s">
        <v>1</v>
      </c>
      <c r="E18479" t="s">
        <v>1</v>
      </c>
      <c r="F18479" t="s">
        <v>0</v>
      </c>
      <c r="G18479" t="str">
        <f>"2018-10-11 09:44:10"</f>
        <v>2018-10-11 09:44:10</v>
      </c>
    </row>
    <row r="18480" spans="1:7" x14ac:dyDescent="0.2">
      <c r="A18480" t="s">
        <v>17436</v>
      </c>
      <c r="B18480" t="str">
        <f>"13823939004"</f>
        <v>13823939004</v>
      </c>
      <c r="C18480" t="str">
        <f>"440883199609030611"</f>
        <v>440883199609030611</v>
      </c>
      <c r="D18480" t="s">
        <v>17437</v>
      </c>
      <c r="E18480" t="s">
        <v>17438</v>
      </c>
      <c r="F18480" t="s">
        <v>0</v>
      </c>
      <c r="G18480" t="str">
        <f>"2018-10-20 10:38:48"</f>
        <v>2018-10-20 10:38:48</v>
      </c>
    </row>
    <row r="18481" spans="1:7" x14ac:dyDescent="0.2">
      <c r="A18481" t="s">
        <v>17439</v>
      </c>
      <c r="B18481" t="str">
        <f>"17313652767"</f>
        <v>17313652767</v>
      </c>
      <c r="C18481" t="str">
        <f>"510722199712162444"</f>
        <v>510722199712162444</v>
      </c>
      <c r="D18481" t="s">
        <v>1</v>
      </c>
      <c r="E18481" t="s">
        <v>1</v>
      </c>
      <c r="F18481" t="s">
        <v>0</v>
      </c>
      <c r="G18481" t="str">
        <f>"2018-10-11 09:51:11"</f>
        <v>2018-10-11 09:51:11</v>
      </c>
    </row>
    <row r="18482" spans="1:7" x14ac:dyDescent="0.2">
      <c r="A18482" t="s">
        <v>17440</v>
      </c>
      <c r="B18482" t="str">
        <f>"18682812124"</f>
        <v>18682812124</v>
      </c>
      <c r="C18482" t="str">
        <f>"513002199406127877"</f>
        <v>513002199406127877</v>
      </c>
      <c r="D18482" t="s">
        <v>1</v>
      </c>
      <c r="E18482" t="s">
        <v>1</v>
      </c>
      <c r="F18482" t="s">
        <v>0</v>
      </c>
      <c r="G18482" t="str">
        <f>"2018-10-11 09:43:00"</f>
        <v>2018-10-11 09:43:00</v>
      </c>
    </row>
    <row r="18483" spans="1:7" x14ac:dyDescent="0.2">
      <c r="A18483" t="s">
        <v>17441</v>
      </c>
      <c r="B18483" t="str">
        <f>"18120112525"</f>
        <v>18120112525</v>
      </c>
      <c r="C18483" t="str">
        <f>"340223198804252810"</f>
        <v>340223198804252810</v>
      </c>
      <c r="D18483" t="s">
        <v>1</v>
      </c>
      <c r="E18483" t="s">
        <v>1</v>
      </c>
      <c r="F18483" t="s">
        <v>0</v>
      </c>
      <c r="G18483" t="str">
        <f>"2018-10-11 10:06:18"</f>
        <v>2018-10-11 10:06:18</v>
      </c>
    </row>
    <row r="18484" spans="1:7" x14ac:dyDescent="0.2">
      <c r="A18484" t="s">
        <v>17442</v>
      </c>
      <c r="B18484" t="str">
        <f>"17671775413"</f>
        <v>17671775413</v>
      </c>
      <c r="C18484" t="str">
        <f>"440223199711262719"</f>
        <v>440223199711262719</v>
      </c>
      <c r="D18484" t="s">
        <v>1</v>
      </c>
      <c r="E18484" t="s">
        <v>1</v>
      </c>
      <c r="F18484" t="s">
        <v>0</v>
      </c>
      <c r="G18484" t="str">
        <f>"2018-10-11 09:41:37"</f>
        <v>2018-10-11 09:41:37</v>
      </c>
    </row>
    <row r="18485" spans="1:7" x14ac:dyDescent="0.2">
      <c r="A18485" t="s">
        <v>1</v>
      </c>
      <c r="B18485" t="str">
        <f>"15811520336"</f>
        <v>15811520336</v>
      </c>
      <c r="C18485" t="s">
        <v>1</v>
      </c>
      <c r="D18485" t="s">
        <v>1</v>
      </c>
      <c r="E18485" t="s">
        <v>1</v>
      </c>
      <c r="F18485" t="s">
        <v>0</v>
      </c>
      <c r="G18485" t="str">
        <f>"2018-10-11 09:38:56"</f>
        <v>2018-10-11 09:38:56</v>
      </c>
    </row>
    <row r="18486" spans="1:7" x14ac:dyDescent="0.2">
      <c r="A18486" t="s">
        <v>17443</v>
      </c>
      <c r="B18486" t="str">
        <f>"13764699391"</f>
        <v>13764699391</v>
      </c>
      <c r="C18486" t="str">
        <f>"342423199605118165"</f>
        <v>342423199605118165</v>
      </c>
      <c r="D18486" t="s">
        <v>17444</v>
      </c>
      <c r="E18486" t="s">
        <v>17445</v>
      </c>
      <c r="F18486" t="s">
        <v>0</v>
      </c>
      <c r="G18486" t="str">
        <f>"2018-10-11 09:51:53"</f>
        <v>2018-10-11 09:51:53</v>
      </c>
    </row>
    <row r="18487" spans="1:7" x14ac:dyDescent="0.2">
      <c r="A18487" t="s">
        <v>264</v>
      </c>
      <c r="B18487" t="str">
        <f>"18360800175"</f>
        <v>18360800175</v>
      </c>
      <c r="C18487" t="str">
        <f>"321283199605081412"</f>
        <v>321283199605081412</v>
      </c>
      <c r="D18487" t="s">
        <v>1</v>
      </c>
      <c r="E18487" t="s">
        <v>1</v>
      </c>
      <c r="F18487" t="s">
        <v>0</v>
      </c>
      <c r="G18487" t="str">
        <f>"2018-10-11 11:33:38"</f>
        <v>2018-10-11 11:33:38</v>
      </c>
    </row>
    <row r="18488" spans="1:7" x14ac:dyDescent="0.2">
      <c r="A18488" t="s">
        <v>17446</v>
      </c>
      <c r="B18488" t="str">
        <f>"15937673288"</f>
        <v>15937673288</v>
      </c>
      <c r="C18488" t="str">
        <f>"411528196810016521"</f>
        <v>411528196810016521</v>
      </c>
      <c r="D18488" t="s">
        <v>1</v>
      </c>
      <c r="E18488" t="s">
        <v>1</v>
      </c>
      <c r="F18488" t="s">
        <v>0</v>
      </c>
      <c r="G18488" t="str">
        <f>"2018-10-19 22:03:05"</f>
        <v>2018-10-19 22:03:05</v>
      </c>
    </row>
    <row r="18489" spans="1:7" x14ac:dyDescent="0.2">
      <c r="A18489" t="s">
        <v>17447</v>
      </c>
      <c r="B18489" t="str">
        <f>"15666174199"</f>
        <v>15666174199</v>
      </c>
      <c r="C18489" t="str">
        <f>"370826199507087419"</f>
        <v>370826199507087419</v>
      </c>
      <c r="D18489" t="s">
        <v>1</v>
      </c>
      <c r="E18489" t="s">
        <v>1</v>
      </c>
      <c r="F18489" t="s">
        <v>0</v>
      </c>
      <c r="G18489" t="str">
        <f>"2018-10-11 09:34:44"</f>
        <v>2018-10-11 09:34:44</v>
      </c>
    </row>
    <row r="18490" spans="1:7" x14ac:dyDescent="0.2">
      <c r="A18490" t="s">
        <v>17448</v>
      </c>
      <c r="B18490" t="str">
        <f>"15953522602"</f>
        <v>15953522602</v>
      </c>
      <c r="C18490" t="str">
        <f>"37068319911201852X"</f>
        <v>37068319911201852X</v>
      </c>
      <c r="D18490" t="s">
        <v>1</v>
      </c>
      <c r="E18490" t="s">
        <v>1</v>
      </c>
      <c r="F18490" t="s">
        <v>0</v>
      </c>
      <c r="G18490" t="str">
        <f>"2018-10-11 09:32:46"</f>
        <v>2018-10-11 09:32:46</v>
      </c>
    </row>
    <row r="18491" spans="1:7" x14ac:dyDescent="0.2">
      <c r="A18491" t="s">
        <v>1</v>
      </c>
      <c r="B18491" t="str">
        <f>"13529303441"</f>
        <v>13529303441</v>
      </c>
      <c r="C18491" t="s">
        <v>1</v>
      </c>
      <c r="D18491" t="s">
        <v>1</v>
      </c>
      <c r="E18491" t="s">
        <v>1</v>
      </c>
      <c r="F18491" t="s">
        <v>0</v>
      </c>
      <c r="G18491" t="str">
        <f>"2018-10-11 09:33:01"</f>
        <v>2018-10-11 09:33:01</v>
      </c>
    </row>
    <row r="18492" spans="1:7" x14ac:dyDescent="0.2">
      <c r="A18492" t="s">
        <v>1</v>
      </c>
      <c r="B18492" t="str">
        <f>"15568363985"</f>
        <v>15568363985</v>
      </c>
      <c r="C18492" t="s">
        <v>1</v>
      </c>
      <c r="D18492" t="s">
        <v>1</v>
      </c>
      <c r="E18492" t="s">
        <v>1</v>
      </c>
      <c r="F18492" t="s">
        <v>0</v>
      </c>
      <c r="G18492" t="str">
        <f>"2018-10-11 09:31:32"</f>
        <v>2018-10-11 09:31:32</v>
      </c>
    </row>
    <row r="18493" spans="1:7" x14ac:dyDescent="0.2">
      <c r="A18493" t="s">
        <v>1</v>
      </c>
      <c r="B18493" t="str">
        <f>"18291878899"</f>
        <v>18291878899</v>
      </c>
      <c r="C18493" t="s">
        <v>1</v>
      </c>
      <c r="D18493" t="s">
        <v>1</v>
      </c>
      <c r="E18493" t="s">
        <v>1</v>
      </c>
      <c r="F18493" t="s">
        <v>0</v>
      </c>
      <c r="G18493" t="str">
        <f>"2018-10-11 09:33:22"</f>
        <v>2018-10-11 09:33:22</v>
      </c>
    </row>
    <row r="18494" spans="1:7" x14ac:dyDescent="0.2">
      <c r="A18494" t="s">
        <v>1</v>
      </c>
      <c r="B18494" t="str">
        <f>"17678043238"</f>
        <v>17678043238</v>
      </c>
      <c r="C18494" t="s">
        <v>1</v>
      </c>
      <c r="D18494" t="s">
        <v>1</v>
      </c>
      <c r="E18494" t="s">
        <v>1</v>
      </c>
      <c r="F18494" t="s">
        <v>0</v>
      </c>
      <c r="G18494" t="str">
        <f>"2018-10-11 09:30:33"</f>
        <v>2018-10-11 09:30:33</v>
      </c>
    </row>
    <row r="18495" spans="1:7" x14ac:dyDescent="0.2">
      <c r="A18495" t="s">
        <v>17449</v>
      </c>
      <c r="B18495" t="str">
        <f>"13921617816"</f>
        <v>13921617816</v>
      </c>
      <c r="C18495" t="str">
        <f>"320683198604025175"</f>
        <v>320683198604025175</v>
      </c>
      <c r="D18495" t="s">
        <v>1</v>
      </c>
      <c r="E18495" t="s">
        <v>1</v>
      </c>
      <c r="F18495" t="s">
        <v>0</v>
      </c>
      <c r="G18495" t="str">
        <f>"2018-10-11 09:30:12"</f>
        <v>2018-10-11 09:30:12</v>
      </c>
    </row>
    <row r="18496" spans="1:7" x14ac:dyDescent="0.2">
      <c r="A18496" t="s">
        <v>1</v>
      </c>
      <c r="B18496" t="str">
        <f>"17606419356"</f>
        <v>17606419356</v>
      </c>
      <c r="C18496" t="s">
        <v>1</v>
      </c>
      <c r="D18496" t="s">
        <v>1</v>
      </c>
      <c r="E18496" t="s">
        <v>1</v>
      </c>
      <c r="F18496" t="s">
        <v>0</v>
      </c>
      <c r="G18496" t="str">
        <f>"2018-10-11 09:27:40"</f>
        <v>2018-10-11 09:27:40</v>
      </c>
    </row>
    <row r="18497" spans="1:7" x14ac:dyDescent="0.2">
      <c r="A18497" t="s">
        <v>17450</v>
      </c>
      <c r="B18497" t="str">
        <f>"18739106707"</f>
        <v>18739106707</v>
      </c>
      <c r="C18497" t="str">
        <f>"410804199303120111"</f>
        <v>410804199303120111</v>
      </c>
      <c r="D18497" t="s">
        <v>1</v>
      </c>
      <c r="E18497" t="s">
        <v>1</v>
      </c>
      <c r="F18497" t="s">
        <v>0</v>
      </c>
      <c r="G18497" t="str">
        <f>"2018-10-11 09:27:29"</f>
        <v>2018-10-11 09:27:29</v>
      </c>
    </row>
    <row r="18498" spans="1:7" x14ac:dyDescent="0.2">
      <c r="A18498" t="s">
        <v>17451</v>
      </c>
      <c r="B18498" t="str">
        <f>"13486164836"</f>
        <v>13486164836</v>
      </c>
      <c r="C18498" t="str">
        <f>"330182197610281427"</f>
        <v>330182197610281427</v>
      </c>
      <c r="D18498" t="s">
        <v>1</v>
      </c>
      <c r="E18498" t="s">
        <v>1</v>
      </c>
      <c r="F18498" t="s">
        <v>0</v>
      </c>
      <c r="G18498" t="str">
        <f>"2018-10-11 09:27:15"</f>
        <v>2018-10-11 09:27:15</v>
      </c>
    </row>
    <row r="18499" spans="1:7" x14ac:dyDescent="0.2">
      <c r="A18499" t="s">
        <v>191</v>
      </c>
      <c r="B18499" t="str">
        <f>"13852608335"</f>
        <v>13852608335</v>
      </c>
      <c r="C18499" t="str">
        <f>"321281198902046659"</f>
        <v>321281198902046659</v>
      </c>
      <c r="D18499" t="s">
        <v>17452</v>
      </c>
      <c r="E18499" t="s">
        <v>17453</v>
      </c>
      <c r="F18499" t="s">
        <v>0</v>
      </c>
      <c r="G18499" t="str">
        <f>"2018-10-11 09:42:20"</f>
        <v>2018-10-11 09:42:20</v>
      </c>
    </row>
    <row r="18500" spans="1:7" x14ac:dyDescent="0.2">
      <c r="A18500" t="s">
        <v>1</v>
      </c>
      <c r="B18500" t="str">
        <f>"15627927686"</f>
        <v>15627927686</v>
      </c>
      <c r="C18500" t="s">
        <v>1</v>
      </c>
      <c r="D18500" t="s">
        <v>1</v>
      </c>
      <c r="E18500" t="s">
        <v>1</v>
      </c>
      <c r="F18500" t="s">
        <v>0</v>
      </c>
      <c r="G18500" t="str">
        <f>"2018-10-31 18:27:41"</f>
        <v>2018-10-31 18:27:41</v>
      </c>
    </row>
    <row r="18501" spans="1:7" x14ac:dyDescent="0.2">
      <c r="A18501" t="s">
        <v>17454</v>
      </c>
      <c r="B18501" t="str">
        <f>"15143766992"</f>
        <v>15143766992</v>
      </c>
      <c r="C18501" t="str">
        <f>"22042219940808321X"</f>
        <v>22042219940808321X</v>
      </c>
      <c r="D18501" t="s">
        <v>1</v>
      </c>
      <c r="E18501" t="s">
        <v>1</v>
      </c>
      <c r="F18501" t="s">
        <v>0</v>
      </c>
      <c r="G18501" t="str">
        <f>"2018-10-11 09:21:22"</f>
        <v>2018-10-11 09:21:22</v>
      </c>
    </row>
    <row r="18502" spans="1:7" x14ac:dyDescent="0.2">
      <c r="A18502" t="s">
        <v>17455</v>
      </c>
      <c r="B18502" t="str">
        <f>"15555226818"</f>
        <v>15555226818</v>
      </c>
      <c r="C18502" t="str">
        <f>"522132198807012237"</f>
        <v>522132198807012237</v>
      </c>
      <c r="D18502" t="s">
        <v>1</v>
      </c>
      <c r="E18502" t="s">
        <v>1</v>
      </c>
      <c r="F18502" t="s">
        <v>0</v>
      </c>
      <c r="G18502" t="str">
        <f>"2018-10-11 09:19:45"</f>
        <v>2018-10-11 09:19:45</v>
      </c>
    </row>
    <row r="18503" spans="1:7" x14ac:dyDescent="0.2">
      <c r="A18503" t="s">
        <v>17456</v>
      </c>
      <c r="B18503" t="str">
        <f>"18214377828"</f>
        <v>18214377828</v>
      </c>
      <c r="C18503" t="str">
        <f>"532526199708261749"</f>
        <v>532526199708261749</v>
      </c>
      <c r="D18503" t="s">
        <v>1</v>
      </c>
      <c r="E18503" t="s">
        <v>1</v>
      </c>
      <c r="F18503" t="s">
        <v>0</v>
      </c>
      <c r="G18503" t="str">
        <f>"2018-10-21 22:34:49"</f>
        <v>2018-10-21 22:34:49</v>
      </c>
    </row>
    <row r="18504" spans="1:7" x14ac:dyDescent="0.2">
      <c r="A18504" t="s">
        <v>17457</v>
      </c>
      <c r="B18504" t="str">
        <f>"15763483737"</f>
        <v>15763483737</v>
      </c>
      <c r="C18504" t="str">
        <f>"371202199604175717"</f>
        <v>371202199604175717</v>
      </c>
      <c r="D18504" t="s">
        <v>17458</v>
      </c>
      <c r="E18504" t="s">
        <v>17459</v>
      </c>
      <c r="F18504" t="s">
        <v>0</v>
      </c>
      <c r="G18504" t="str">
        <f>"2018-10-11 10:06:55"</f>
        <v>2018-10-11 10:06:55</v>
      </c>
    </row>
    <row r="18505" spans="1:7" x14ac:dyDescent="0.2">
      <c r="A18505" t="s">
        <v>1</v>
      </c>
      <c r="B18505" t="str">
        <f>"15860366776"</f>
        <v>15860366776</v>
      </c>
      <c r="C18505" t="s">
        <v>1</v>
      </c>
      <c r="D18505" t="s">
        <v>1</v>
      </c>
      <c r="E18505" t="s">
        <v>1</v>
      </c>
      <c r="F18505" t="s">
        <v>0</v>
      </c>
      <c r="G18505" t="str">
        <f>"2018-10-11 09:15:54"</f>
        <v>2018-10-11 09:15:54</v>
      </c>
    </row>
    <row r="18506" spans="1:7" x14ac:dyDescent="0.2">
      <c r="A18506" t="s">
        <v>17460</v>
      </c>
      <c r="B18506" t="str">
        <f>"13667976045"</f>
        <v>13667976045</v>
      </c>
      <c r="C18506" t="str">
        <f>"360724199312267524"</f>
        <v>360724199312267524</v>
      </c>
      <c r="D18506" t="s">
        <v>1</v>
      </c>
      <c r="E18506" t="s">
        <v>1</v>
      </c>
      <c r="F18506" t="s">
        <v>0</v>
      </c>
      <c r="G18506" t="str">
        <f>"2018-10-11 09:18:11"</f>
        <v>2018-10-11 09:18:11</v>
      </c>
    </row>
    <row r="18507" spans="1:7" x14ac:dyDescent="0.2">
      <c r="A18507" t="s">
        <v>12338</v>
      </c>
      <c r="B18507" t="str">
        <f>"15182752067"</f>
        <v>15182752067</v>
      </c>
      <c r="C18507" t="str">
        <f>"513722199911176032"</f>
        <v>513722199911176032</v>
      </c>
      <c r="D18507" t="s">
        <v>1</v>
      </c>
      <c r="E18507" t="s">
        <v>1</v>
      </c>
      <c r="F18507" t="s">
        <v>0</v>
      </c>
      <c r="G18507" t="str">
        <f>"2018-10-11 09:15:30"</f>
        <v>2018-10-11 09:15:30</v>
      </c>
    </row>
    <row r="18508" spans="1:7" x14ac:dyDescent="0.2">
      <c r="A18508" t="s">
        <v>1</v>
      </c>
      <c r="B18508" t="str">
        <f>"15167579375"</f>
        <v>15167579375</v>
      </c>
      <c r="C18508" t="s">
        <v>1</v>
      </c>
      <c r="D18508" t="s">
        <v>1</v>
      </c>
      <c r="E18508" t="s">
        <v>1</v>
      </c>
      <c r="F18508" t="s">
        <v>0</v>
      </c>
      <c r="G18508" t="str">
        <f>"2018-10-11 09:12:35"</f>
        <v>2018-10-11 09:12:35</v>
      </c>
    </row>
    <row r="18509" spans="1:7" x14ac:dyDescent="0.2">
      <c r="A18509" t="s">
        <v>17461</v>
      </c>
      <c r="B18509" t="str">
        <f>"13545350129"</f>
        <v>13545350129</v>
      </c>
      <c r="C18509" t="str">
        <f>"420106198301291234"</f>
        <v>420106198301291234</v>
      </c>
      <c r="D18509" t="s">
        <v>17462</v>
      </c>
      <c r="E18509" t="s">
        <v>17463</v>
      </c>
      <c r="F18509" t="s">
        <v>0</v>
      </c>
      <c r="G18509" t="str">
        <f>"2018-10-11 09:55:22"</f>
        <v>2018-10-11 09:55:22</v>
      </c>
    </row>
    <row r="18510" spans="1:7" x14ac:dyDescent="0.2">
      <c r="A18510" t="s">
        <v>769</v>
      </c>
      <c r="B18510" t="str">
        <f>"15616262701"</f>
        <v>15616262701</v>
      </c>
      <c r="C18510" t="str">
        <f>"432522198704290020"</f>
        <v>432522198704290020</v>
      </c>
      <c r="D18510" t="s">
        <v>1</v>
      </c>
      <c r="E18510" t="s">
        <v>1</v>
      </c>
      <c r="F18510" t="s">
        <v>0</v>
      </c>
      <c r="G18510" t="str">
        <f>"2018-10-11 09:14:13"</f>
        <v>2018-10-11 09:14:13</v>
      </c>
    </row>
    <row r="18511" spans="1:7" x14ac:dyDescent="0.2">
      <c r="A18511" t="s">
        <v>728</v>
      </c>
      <c r="B18511" t="str">
        <f>"18708175458"</f>
        <v>18708175458</v>
      </c>
      <c r="C18511" t="str">
        <f>"510182199005191215"</f>
        <v>510182199005191215</v>
      </c>
      <c r="D18511" t="s">
        <v>17464</v>
      </c>
      <c r="E18511" t="s">
        <v>17465</v>
      </c>
      <c r="F18511" t="s">
        <v>0</v>
      </c>
      <c r="G18511" t="str">
        <f>"2018-10-11 09:41:23"</f>
        <v>2018-10-11 09:41:23</v>
      </c>
    </row>
    <row r="18512" spans="1:7" x14ac:dyDescent="0.2">
      <c r="A18512" t="s">
        <v>17466</v>
      </c>
      <c r="B18512" t="str">
        <f>"18241968366"</f>
        <v>18241968366</v>
      </c>
      <c r="C18512" t="str">
        <f>"211021198904152233"</f>
        <v>211021198904152233</v>
      </c>
      <c r="D18512" t="s">
        <v>1</v>
      </c>
      <c r="E18512" t="s">
        <v>1</v>
      </c>
      <c r="F18512" t="s">
        <v>0</v>
      </c>
      <c r="G18512" t="str">
        <f>"2018-10-11 09:15:25"</f>
        <v>2018-10-11 09:15:25</v>
      </c>
    </row>
    <row r="18513" spans="1:7" x14ac:dyDescent="0.2">
      <c r="A18513" t="s">
        <v>17467</v>
      </c>
      <c r="B18513" t="str">
        <f>"13484233495"</f>
        <v>13484233495</v>
      </c>
      <c r="C18513" t="str">
        <f>"362322199301293919"</f>
        <v>362322199301293919</v>
      </c>
      <c r="D18513" t="s">
        <v>1</v>
      </c>
      <c r="E18513" t="s">
        <v>1</v>
      </c>
      <c r="F18513" t="s">
        <v>0</v>
      </c>
      <c r="G18513" t="str">
        <f>"2018-10-11 09:10:32"</f>
        <v>2018-10-11 09:10:32</v>
      </c>
    </row>
    <row r="18514" spans="1:7" x14ac:dyDescent="0.2">
      <c r="A18514" t="s">
        <v>17468</v>
      </c>
      <c r="B18514" t="str">
        <f>"18313181203"</f>
        <v>18313181203</v>
      </c>
      <c r="C18514" t="str">
        <f>"532926199111280017"</f>
        <v>532926199111280017</v>
      </c>
      <c r="D18514" t="s">
        <v>1</v>
      </c>
      <c r="E18514" t="s">
        <v>1</v>
      </c>
      <c r="F18514" t="s">
        <v>0</v>
      </c>
      <c r="G18514" t="str">
        <f>"2018-10-11 09:12:21"</f>
        <v>2018-10-11 09:12:21</v>
      </c>
    </row>
    <row r="18515" spans="1:7" x14ac:dyDescent="0.2">
      <c r="A18515" t="s">
        <v>17469</v>
      </c>
      <c r="B18515" t="str">
        <f>"13703219533"</f>
        <v>13703219533</v>
      </c>
      <c r="C18515" t="str">
        <f>"130823198412104572"</f>
        <v>130823198412104572</v>
      </c>
      <c r="D18515" t="s">
        <v>1</v>
      </c>
      <c r="E18515" t="s">
        <v>1</v>
      </c>
      <c r="F18515" t="s">
        <v>0</v>
      </c>
      <c r="G18515" t="str">
        <f>"2018-10-14 11:18:38"</f>
        <v>2018-10-14 11:18:38</v>
      </c>
    </row>
    <row r="18516" spans="1:7" x14ac:dyDescent="0.2">
      <c r="A18516" t="s">
        <v>1</v>
      </c>
      <c r="B18516" t="str">
        <f>"13033729336"</f>
        <v>13033729336</v>
      </c>
      <c r="C18516" t="s">
        <v>1</v>
      </c>
      <c r="D18516" t="s">
        <v>1</v>
      </c>
      <c r="E18516" t="s">
        <v>1</v>
      </c>
      <c r="F18516" t="s">
        <v>0</v>
      </c>
      <c r="G18516" t="str">
        <f>"2018-10-11 09:08:43"</f>
        <v>2018-10-11 09:08:43</v>
      </c>
    </row>
    <row r="18517" spans="1:7" x14ac:dyDescent="0.2">
      <c r="A18517" t="s">
        <v>17470</v>
      </c>
      <c r="B18517" t="str">
        <f>"15136383525"</f>
        <v>15136383525</v>
      </c>
      <c r="C18517" t="str">
        <f>"410381199303109671"</f>
        <v>410381199303109671</v>
      </c>
      <c r="D18517" t="s">
        <v>1</v>
      </c>
      <c r="E18517" t="s">
        <v>1</v>
      </c>
      <c r="F18517" t="s">
        <v>0</v>
      </c>
      <c r="G18517" t="str">
        <f>"2018-10-21 13:15:34"</f>
        <v>2018-10-21 13:15:34</v>
      </c>
    </row>
    <row r="18518" spans="1:7" x14ac:dyDescent="0.2">
      <c r="A18518" t="s">
        <v>17471</v>
      </c>
      <c r="B18518" t="str">
        <f>"15963725672"</f>
        <v>15963725672</v>
      </c>
      <c r="C18518" t="str">
        <f>"370830199507250516"</f>
        <v>370830199507250516</v>
      </c>
      <c r="D18518" t="s">
        <v>1</v>
      </c>
      <c r="E18518" t="s">
        <v>1</v>
      </c>
      <c r="F18518" t="s">
        <v>0</v>
      </c>
      <c r="G18518" t="str">
        <f>"2018-10-12 16:09:37"</f>
        <v>2018-10-12 16:09:37</v>
      </c>
    </row>
    <row r="18519" spans="1:7" x14ac:dyDescent="0.2">
      <c r="A18519" t="s">
        <v>1</v>
      </c>
      <c r="B18519" t="str">
        <f>"15192791851"</f>
        <v>15192791851</v>
      </c>
      <c r="C18519" t="s">
        <v>1</v>
      </c>
      <c r="D18519" t="s">
        <v>1</v>
      </c>
      <c r="E18519" t="s">
        <v>1</v>
      </c>
      <c r="F18519" t="s">
        <v>0</v>
      </c>
      <c r="G18519" t="str">
        <f>"2018-10-11 09:04:10"</f>
        <v>2018-10-11 09:04:10</v>
      </c>
    </row>
    <row r="18520" spans="1:7" x14ac:dyDescent="0.2">
      <c r="A18520" t="s">
        <v>1</v>
      </c>
      <c r="B18520" t="str">
        <f>"15398825253"</f>
        <v>15398825253</v>
      </c>
      <c r="C18520" t="s">
        <v>1</v>
      </c>
      <c r="D18520" t="s">
        <v>1</v>
      </c>
      <c r="E18520" t="s">
        <v>1</v>
      </c>
      <c r="F18520" t="s">
        <v>0</v>
      </c>
      <c r="G18520" t="str">
        <f>"2018-10-11 09:03:32"</f>
        <v>2018-10-11 09:03:32</v>
      </c>
    </row>
    <row r="18521" spans="1:7" x14ac:dyDescent="0.2">
      <c r="A18521" t="s">
        <v>17472</v>
      </c>
      <c r="B18521" t="str">
        <f>"18626371715"</f>
        <v>18626371715</v>
      </c>
      <c r="C18521" t="str">
        <f>"41142219911205001X"</f>
        <v>41142219911205001X</v>
      </c>
      <c r="D18521" t="s">
        <v>17473</v>
      </c>
      <c r="E18521" t="s">
        <v>17474</v>
      </c>
      <c r="F18521" t="s">
        <v>0</v>
      </c>
      <c r="G18521" t="str">
        <f>"2018-10-12 09:49:04"</f>
        <v>2018-10-12 09:49:04</v>
      </c>
    </row>
    <row r="18522" spans="1:7" x14ac:dyDescent="0.2">
      <c r="A18522" t="s">
        <v>17475</v>
      </c>
      <c r="B18522" t="str">
        <f>"18132358668"</f>
        <v>18132358668</v>
      </c>
      <c r="C18522" t="str">
        <f>"130206199101250914"</f>
        <v>130206199101250914</v>
      </c>
      <c r="D18522" t="s">
        <v>1</v>
      </c>
      <c r="E18522" t="s">
        <v>1</v>
      </c>
      <c r="F18522" t="s">
        <v>0</v>
      </c>
      <c r="G18522" t="str">
        <f>"2018-10-11 09:01:39"</f>
        <v>2018-10-11 09:01:39</v>
      </c>
    </row>
    <row r="18523" spans="1:7" x14ac:dyDescent="0.2">
      <c r="A18523" t="s">
        <v>17476</v>
      </c>
      <c r="B18523" t="str">
        <f>"13420717419"</f>
        <v>13420717419</v>
      </c>
      <c r="C18523" t="str">
        <f>"44188219880416691X"</f>
        <v>44188219880416691X</v>
      </c>
      <c r="D18523" t="s">
        <v>1</v>
      </c>
      <c r="E18523" t="s">
        <v>1</v>
      </c>
      <c r="F18523" t="s">
        <v>0</v>
      </c>
      <c r="G18523" t="str">
        <f>"2018-10-11 09:02:36"</f>
        <v>2018-10-11 09:02:36</v>
      </c>
    </row>
    <row r="18524" spans="1:7" x14ac:dyDescent="0.2">
      <c r="A18524" t="s">
        <v>17477</v>
      </c>
      <c r="B18524" t="str">
        <f>"18206083383"</f>
        <v>18206083383</v>
      </c>
      <c r="C18524" t="str">
        <f>"350426199003204014"</f>
        <v>350426199003204014</v>
      </c>
      <c r="D18524" t="s">
        <v>1</v>
      </c>
      <c r="E18524" t="s">
        <v>1</v>
      </c>
      <c r="F18524" t="s">
        <v>0</v>
      </c>
      <c r="G18524" t="str">
        <f>"2018-11-02 10:28:58"</f>
        <v>2018-11-02 10:28:58</v>
      </c>
    </row>
    <row r="18525" spans="1:7" x14ac:dyDescent="0.2">
      <c r="A18525" t="s">
        <v>1</v>
      </c>
      <c r="B18525" t="str">
        <f>"15677384863"</f>
        <v>15677384863</v>
      </c>
      <c r="C18525" t="s">
        <v>1</v>
      </c>
      <c r="D18525" t="s">
        <v>1</v>
      </c>
      <c r="E18525" t="s">
        <v>1</v>
      </c>
      <c r="F18525" t="s">
        <v>0</v>
      </c>
      <c r="G18525" t="str">
        <f>"2018-10-11 08:57:46"</f>
        <v>2018-10-11 08:57:46</v>
      </c>
    </row>
    <row r="18526" spans="1:7" x14ac:dyDescent="0.2">
      <c r="A18526" t="s">
        <v>944</v>
      </c>
      <c r="B18526" t="str">
        <f>"13789149590"</f>
        <v>13789149590</v>
      </c>
      <c r="C18526" t="str">
        <f>"430523199601086632"</f>
        <v>430523199601086632</v>
      </c>
      <c r="D18526" t="s">
        <v>1</v>
      </c>
      <c r="E18526" t="s">
        <v>1</v>
      </c>
      <c r="F18526" t="s">
        <v>0</v>
      </c>
      <c r="G18526" t="str">
        <f>"2018-10-11 09:00:58"</f>
        <v>2018-10-11 09:00:58</v>
      </c>
    </row>
    <row r="18527" spans="1:7" x14ac:dyDescent="0.2">
      <c r="A18527" t="s">
        <v>17478</v>
      </c>
      <c r="B18527" t="str">
        <f>"18194929772"</f>
        <v>18194929772</v>
      </c>
      <c r="C18527" t="str">
        <f>"654101198710052669"</f>
        <v>654101198710052669</v>
      </c>
      <c r="D18527" t="s">
        <v>1</v>
      </c>
      <c r="E18527" t="s">
        <v>1</v>
      </c>
      <c r="F18527" t="s">
        <v>0</v>
      </c>
      <c r="G18527" t="str">
        <f>"2018-10-11 08:58:20"</f>
        <v>2018-10-11 08:58:20</v>
      </c>
    </row>
    <row r="18528" spans="1:7" x14ac:dyDescent="0.2">
      <c r="A18528" t="s">
        <v>17479</v>
      </c>
      <c r="B18528" t="str">
        <f>"13844663337"</f>
        <v>13844663337</v>
      </c>
      <c r="C18528" t="str">
        <f>"220283198102159231"</f>
        <v>220283198102159231</v>
      </c>
      <c r="D18528" t="s">
        <v>1</v>
      </c>
      <c r="E18528" t="s">
        <v>1</v>
      </c>
      <c r="F18528" t="s">
        <v>0</v>
      </c>
      <c r="G18528" t="str">
        <f>"2018-10-11 11:12:28"</f>
        <v>2018-10-11 11:12:28</v>
      </c>
    </row>
    <row r="18529" spans="1:7" x14ac:dyDescent="0.2">
      <c r="A18529" t="s">
        <v>17480</v>
      </c>
      <c r="B18529" t="str">
        <f>"18961923726"</f>
        <v>18961923726</v>
      </c>
      <c r="C18529" t="str">
        <f>"320923198311045113"</f>
        <v>320923198311045113</v>
      </c>
      <c r="D18529" t="s">
        <v>1</v>
      </c>
      <c r="E18529" t="s">
        <v>1</v>
      </c>
      <c r="F18529" t="s">
        <v>0</v>
      </c>
      <c r="G18529" t="str">
        <f>"2018-10-16 13:32:12"</f>
        <v>2018-10-16 13:32:12</v>
      </c>
    </row>
    <row r="18530" spans="1:7" x14ac:dyDescent="0.2">
      <c r="A18530" t="s">
        <v>1</v>
      </c>
      <c r="B18530" t="str">
        <f>"18827246459"</f>
        <v>18827246459</v>
      </c>
      <c r="C18530" t="s">
        <v>1</v>
      </c>
      <c r="D18530" t="s">
        <v>1</v>
      </c>
      <c r="E18530" t="s">
        <v>1</v>
      </c>
      <c r="F18530" t="s">
        <v>0</v>
      </c>
      <c r="G18530" t="str">
        <f>"2018-10-11 08:54:31"</f>
        <v>2018-10-11 08:54:31</v>
      </c>
    </row>
    <row r="18531" spans="1:7" x14ac:dyDescent="0.2">
      <c r="A18531" t="s">
        <v>17481</v>
      </c>
      <c r="B18531" t="str">
        <f>"18226871586"</f>
        <v>18226871586</v>
      </c>
      <c r="C18531" t="str">
        <f>"341204198702182438"</f>
        <v>341204198702182438</v>
      </c>
      <c r="D18531" t="s">
        <v>1</v>
      </c>
      <c r="E18531" t="s">
        <v>1</v>
      </c>
      <c r="F18531" t="s">
        <v>0</v>
      </c>
      <c r="G18531" t="str">
        <f>"2018-10-31 17:06:53"</f>
        <v>2018-10-31 17:06:53</v>
      </c>
    </row>
    <row r="18532" spans="1:7" x14ac:dyDescent="0.2">
      <c r="A18532" t="s">
        <v>17482</v>
      </c>
      <c r="B18532" t="str">
        <f>"13193777534"</f>
        <v>13193777534</v>
      </c>
      <c r="C18532" t="str">
        <f>"410221198909148812"</f>
        <v>410221198909148812</v>
      </c>
      <c r="D18532" t="s">
        <v>1</v>
      </c>
      <c r="E18532" t="s">
        <v>1</v>
      </c>
      <c r="F18532" t="s">
        <v>0</v>
      </c>
      <c r="G18532" t="str">
        <f>"2018-10-11 08:58:06"</f>
        <v>2018-10-11 08:58:06</v>
      </c>
    </row>
    <row r="18533" spans="1:7" x14ac:dyDescent="0.2">
      <c r="A18533" t="s">
        <v>17483</v>
      </c>
      <c r="B18533" t="str">
        <f>"18106366826"</f>
        <v>18106366826</v>
      </c>
      <c r="C18533" t="str">
        <f>"370784198704197258"</f>
        <v>370784198704197258</v>
      </c>
      <c r="D18533" t="s">
        <v>1</v>
      </c>
      <c r="E18533" t="s">
        <v>1</v>
      </c>
      <c r="F18533" t="s">
        <v>0</v>
      </c>
      <c r="G18533" t="str">
        <f>"2018-10-11 08:55:38"</f>
        <v>2018-10-11 08:55:38</v>
      </c>
    </row>
    <row r="18534" spans="1:7" x14ac:dyDescent="0.2">
      <c r="A18534" t="s">
        <v>17484</v>
      </c>
      <c r="B18534" t="str">
        <f>"13870928885"</f>
        <v>13870928885</v>
      </c>
      <c r="C18534" t="str">
        <f>"230303199207146621"</f>
        <v>230303199207146621</v>
      </c>
      <c r="D18534" t="s">
        <v>1</v>
      </c>
      <c r="E18534" t="s">
        <v>1</v>
      </c>
      <c r="F18534" t="s">
        <v>0</v>
      </c>
      <c r="G18534" t="str">
        <f>"2018-10-11 09:00:30"</f>
        <v>2018-10-11 09:00:30</v>
      </c>
    </row>
    <row r="18535" spans="1:7" x14ac:dyDescent="0.2">
      <c r="A18535" t="s">
        <v>17485</v>
      </c>
      <c r="B18535" t="str">
        <f>"13540915292"</f>
        <v>13540915292</v>
      </c>
      <c r="C18535" t="str">
        <f>"511102198507143429"</f>
        <v>511102198507143429</v>
      </c>
      <c r="D18535" t="s">
        <v>1</v>
      </c>
      <c r="E18535" t="s">
        <v>1</v>
      </c>
      <c r="F18535" t="s">
        <v>0</v>
      </c>
      <c r="G18535" t="str">
        <f>"2018-10-11 08:49:13"</f>
        <v>2018-10-11 08:49:13</v>
      </c>
    </row>
    <row r="18536" spans="1:7" x14ac:dyDescent="0.2">
      <c r="A18536" t="s">
        <v>17486</v>
      </c>
      <c r="B18536" t="str">
        <f>"15288897353"</f>
        <v>15288897353</v>
      </c>
      <c r="C18536" t="str">
        <f>"371426198502283634"</f>
        <v>371426198502283634</v>
      </c>
      <c r="D18536" t="s">
        <v>1</v>
      </c>
      <c r="E18536" t="s">
        <v>1</v>
      </c>
      <c r="F18536" t="s">
        <v>0</v>
      </c>
      <c r="G18536" t="str">
        <f>"2018-10-11 08:49:25"</f>
        <v>2018-10-11 08:49:25</v>
      </c>
    </row>
    <row r="18537" spans="1:7" x14ac:dyDescent="0.2">
      <c r="A18537" t="s">
        <v>17487</v>
      </c>
      <c r="B18537" t="str">
        <f>"18608790011"</f>
        <v>18608790011</v>
      </c>
      <c r="C18537" t="str">
        <f>"532726197508103035"</f>
        <v>532726197508103035</v>
      </c>
      <c r="D18537" t="s">
        <v>17488</v>
      </c>
      <c r="E18537" t="s">
        <v>17489</v>
      </c>
      <c r="F18537" t="s">
        <v>0</v>
      </c>
      <c r="G18537" t="str">
        <f>"2018-10-11 08:53:03"</f>
        <v>2018-10-11 08:53:03</v>
      </c>
    </row>
    <row r="18538" spans="1:7" x14ac:dyDescent="0.2">
      <c r="A18538" t="s">
        <v>17490</v>
      </c>
      <c r="B18538" t="str">
        <f>"15550856206"</f>
        <v>15550856206</v>
      </c>
      <c r="C18538" t="str">
        <f>"370921199211165733"</f>
        <v>370921199211165733</v>
      </c>
      <c r="D18538" t="s">
        <v>1</v>
      </c>
      <c r="E18538" t="s">
        <v>1</v>
      </c>
      <c r="F18538" t="s">
        <v>0</v>
      </c>
      <c r="G18538" t="str">
        <f>"2018-10-11 08:46:43"</f>
        <v>2018-10-11 08:46:43</v>
      </c>
    </row>
    <row r="18539" spans="1:7" x14ac:dyDescent="0.2">
      <c r="A18539" t="s">
        <v>17491</v>
      </c>
      <c r="B18539" t="str">
        <f>"13075559368"</f>
        <v>13075559368</v>
      </c>
      <c r="C18539" t="str">
        <f>"340123199611221670"</f>
        <v>340123199611221670</v>
      </c>
      <c r="D18539" t="s">
        <v>17492</v>
      </c>
      <c r="E18539" t="s">
        <v>17493</v>
      </c>
      <c r="F18539" t="s">
        <v>0</v>
      </c>
      <c r="G18539" t="str">
        <f>"2018-10-11 08:48:41"</f>
        <v>2018-10-11 08:48:41</v>
      </c>
    </row>
    <row r="18540" spans="1:7" x14ac:dyDescent="0.2">
      <c r="A18540" t="s">
        <v>1</v>
      </c>
      <c r="B18540" t="str">
        <f>"13679639868"</f>
        <v>13679639868</v>
      </c>
      <c r="C18540" t="s">
        <v>1</v>
      </c>
      <c r="D18540" t="s">
        <v>1</v>
      </c>
      <c r="E18540" t="s">
        <v>1</v>
      </c>
      <c r="F18540" t="s">
        <v>0</v>
      </c>
      <c r="G18540" t="str">
        <f>"2018-10-11 08:58:44"</f>
        <v>2018-10-11 08:58:44</v>
      </c>
    </row>
    <row r="18541" spans="1:7" x14ac:dyDescent="0.2">
      <c r="A18541" t="s">
        <v>17494</v>
      </c>
      <c r="B18541" t="str">
        <f>"17854061333"</f>
        <v>17854061333</v>
      </c>
      <c r="C18541" t="str">
        <f>"372923199304205313"</f>
        <v>372923199304205313</v>
      </c>
      <c r="D18541" t="s">
        <v>17495</v>
      </c>
      <c r="E18541" t="s">
        <v>17496</v>
      </c>
      <c r="F18541" t="s">
        <v>0</v>
      </c>
      <c r="G18541" t="str">
        <f>"2018-10-11 08:42:22"</f>
        <v>2018-10-11 08:42:22</v>
      </c>
    </row>
    <row r="18542" spans="1:7" x14ac:dyDescent="0.2">
      <c r="A18542" t="s">
        <v>17497</v>
      </c>
      <c r="B18542" t="str">
        <f>"15845618129"</f>
        <v>15845618129</v>
      </c>
      <c r="C18542" t="str">
        <f>"230207196810070429"</f>
        <v>230207196810070429</v>
      </c>
      <c r="D18542" t="s">
        <v>1</v>
      </c>
      <c r="E18542" t="s">
        <v>1</v>
      </c>
      <c r="F18542" t="s">
        <v>0</v>
      </c>
      <c r="G18542" t="str">
        <f>"2018-10-29 21:27:25"</f>
        <v>2018-10-29 21:27:25</v>
      </c>
    </row>
    <row r="18543" spans="1:7" x14ac:dyDescent="0.2">
      <c r="A18543" t="s">
        <v>505</v>
      </c>
      <c r="B18543" t="str">
        <f>"13919504914"</f>
        <v>13919504914</v>
      </c>
      <c r="C18543" t="str">
        <f>"622725199103241717"</f>
        <v>622725199103241717</v>
      </c>
      <c r="D18543" t="s">
        <v>1</v>
      </c>
      <c r="E18543" t="s">
        <v>1</v>
      </c>
      <c r="F18543" t="s">
        <v>0</v>
      </c>
      <c r="G18543" t="str">
        <f>"2018-10-26 10:05:43"</f>
        <v>2018-10-26 10:05:43</v>
      </c>
    </row>
    <row r="18544" spans="1:7" x14ac:dyDescent="0.2">
      <c r="A18544" t="s">
        <v>1</v>
      </c>
      <c r="B18544" t="str">
        <f>"13135335835"</f>
        <v>13135335835</v>
      </c>
      <c r="C18544" t="s">
        <v>1</v>
      </c>
      <c r="D18544" t="s">
        <v>1</v>
      </c>
      <c r="E18544" t="s">
        <v>1</v>
      </c>
      <c r="F18544" t="s">
        <v>0</v>
      </c>
      <c r="G18544" t="str">
        <f>"2018-10-11 08:39:17"</f>
        <v>2018-10-11 08:39:17</v>
      </c>
    </row>
    <row r="18545" spans="1:7" x14ac:dyDescent="0.2">
      <c r="A18545" t="s">
        <v>17498</v>
      </c>
      <c r="B18545" t="str">
        <f>"15777279418"</f>
        <v>15777279418</v>
      </c>
      <c r="C18545" t="str">
        <f>"430623198303164525"</f>
        <v>430623198303164525</v>
      </c>
      <c r="D18545" t="s">
        <v>1</v>
      </c>
      <c r="E18545" t="s">
        <v>1</v>
      </c>
      <c r="F18545" t="s">
        <v>0</v>
      </c>
      <c r="G18545" t="str">
        <f>"2018-10-11 08:48:30"</f>
        <v>2018-10-11 08:48:30</v>
      </c>
    </row>
    <row r="18546" spans="1:7" x14ac:dyDescent="0.2">
      <c r="A18546" t="s">
        <v>17499</v>
      </c>
      <c r="B18546" t="str">
        <f>"13751393374"</f>
        <v>13751393374</v>
      </c>
      <c r="C18546" t="str">
        <f>"362429198308080014"</f>
        <v>362429198308080014</v>
      </c>
      <c r="D18546" t="s">
        <v>1</v>
      </c>
      <c r="E18546" t="s">
        <v>1</v>
      </c>
      <c r="F18546" t="s">
        <v>0</v>
      </c>
      <c r="G18546" t="str">
        <f>"2018-10-11 08:39:31"</f>
        <v>2018-10-11 08:39:31</v>
      </c>
    </row>
    <row r="18547" spans="1:7" x14ac:dyDescent="0.2">
      <c r="A18547" t="s">
        <v>17500</v>
      </c>
      <c r="B18547" t="str">
        <f>"13811800769"</f>
        <v>13811800769</v>
      </c>
      <c r="C18547" t="str">
        <f>"230714198908080211"</f>
        <v>230714198908080211</v>
      </c>
      <c r="D18547" t="s">
        <v>1</v>
      </c>
      <c r="E18547" t="s">
        <v>1</v>
      </c>
      <c r="F18547" t="s">
        <v>0</v>
      </c>
      <c r="G18547" t="str">
        <f>"2018-10-11 08:44:46"</f>
        <v>2018-10-11 08:44:46</v>
      </c>
    </row>
    <row r="18548" spans="1:7" x14ac:dyDescent="0.2">
      <c r="A18548" t="s">
        <v>17501</v>
      </c>
      <c r="B18548" t="str">
        <f>"13563353450"</f>
        <v>13563353450</v>
      </c>
      <c r="C18548" t="str">
        <f>"370522198509130824"</f>
        <v>370522198509130824</v>
      </c>
      <c r="D18548" t="s">
        <v>1</v>
      </c>
      <c r="E18548" t="s">
        <v>1</v>
      </c>
      <c r="F18548" t="s">
        <v>0</v>
      </c>
      <c r="G18548" t="str">
        <f>"2018-10-11 11:11:38"</f>
        <v>2018-10-11 11:11:38</v>
      </c>
    </row>
    <row r="18549" spans="1:7" x14ac:dyDescent="0.2">
      <c r="A18549" t="s">
        <v>1</v>
      </c>
      <c r="B18549" t="str">
        <f>"13420427891"</f>
        <v>13420427891</v>
      </c>
      <c r="C18549" t="s">
        <v>1</v>
      </c>
      <c r="D18549" t="s">
        <v>1</v>
      </c>
      <c r="E18549" t="s">
        <v>1</v>
      </c>
      <c r="F18549" t="s">
        <v>0</v>
      </c>
      <c r="G18549" t="str">
        <f>"2018-10-11 08:35:04"</f>
        <v>2018-10-11 08:35:04</v>
      </c>
    </row>
    <row r="18550" spans="1:7" x14ac:dyDescent="0.2">
      <c r="A18550" t="s">
        <v>1094</v>
      </c>
      <c r="B18550" t="str">
        <f>"15953892715"</f>
        <v>15953892715</v>
      </c>
      <c r="C18550" t="str">
        <f>"37108119940614501X"</f>
        <v>37108119940614501X</v>
      </c>
      <c r="D18550" t="s">
        <v>1</v>
      </c>
      <c r="E18550" t="s">
        <v>1</v>
      </c>
      <c r="F18550" t="s">
        <v>0</v>
      </c>
      <c r="G18550" t="str">
        <f>"2018-10-11 08:33:33"</f>
        <v>2018-10-11 08:33:33</v>
      </c>
    </row>
    <row r="18551" spans="1:7" x14ac:dyDescent="0.2">
      <c r="A18551" t="s">
        <v>17502</v>
      </c>
      <c r="B18551" t="str">
        <f>"18931467195"</f>
        <v>18931467195</v>
      </c>
      <c r="C18551" t="str">
        <f>"130229198409281012"</f>
        <v>130229198409281012</v>
      </c>
      <c r="D18551" t="s">
        <v>1</v>
      </c>
      <c r="E18551" t="s">
        <v>1</v>
      </c>
      <c r="F18551" t="s">
        <v>0</v>
      </c>
      <c r="G18551" t="str">
        <f>"2018-10-11 08:31:18"</f>
        <v>2018-10-11 08:31:18</v>
      </c>
    </row>
    <row r="18552" spans="1:7" x14ac:dyDescent="0.2">
      <c r="A18552" t="s">
        <v>1</v>
      </c>
      <c r="B18552" t="str">
        <f>"15554371596"</f>
        <v>15554371596</v>
      </c>
      <c r="C18552" t="s">
        <v>1</v>
      </c>
      <c r="D18552" t="s">
        <v>1</v>
      </c>
      <c r="E18552" t="s">
        <v>1</v>
      </c>
      <c r="F18552" t="s">
        <v>0</v>
      </c>
      <c r="G18552" t="str">
        <f>"2018-10-11 08:29:33"</f>
        <v>2018-10-11 08:29:33</v>
      </c>
    </row>
    <row r="18553" spans="1:7" x14ac:dyDescent="0.2">
      <c r="A18553" t="s">
        <v>692</v>
      </c>
      <c r="B18553" t="str">
        <f>"15642143323"</f>
        <v>15642143323</v>
      </c>
      <c r="C18553" t="str">
        <f>"211302198707020431"</f>
        <v>211302198707020431</v>
      </c>
      <c r="D18553" t="s">
        <v>17503</v>
      </c>
      <c r="E18553" t="s">
        <v>17504</v>
      </c>
      <c r="F18553" t="s">
        <v>0</v>
      </c>
      <c r="G18553" t="str">
        <f>"2018-10-11 08:28:00"</f>
        <v>2018-10-11 08:28:00</v>
      </c>
    </row>
    <row r="18554" spans="1:7" x14ac:dyDescent="0.2">
      <c r="A18554" t="s">
        <v>17505</v>
      </c>
      <c r="B18554" t="str">
        <f>"15268212075"</f>
        <v>15268212075</v>
      </c>
      <c r="C18554" t="str">
        <f>"330521197608255616"</f>
        <v>330521197608255616</v>
      </c>
      <c r="D18554" t="s">
        <v>17506</v>
      </c>
      <c r="E18554" t="s">
        <v>17507</v>
      </c>
      <c r="F18554" t="s">
        <v>0</v>
      </c>
      <c r="G18554" t="str">
        <f>"2018-10-11 08:30:01"</f>
        <v>2018-10-11 08:30:01</v>
      </c>
    </row>
    <row r="18555" spans="1:7" x14ac:dyDescent="0.2">
      <c r="A18555" t="s">
        <v>17508</v>
      </c>
      <c r="B18555" t="str">
        <f>"18727214321"</f>
        <v>18727214321</v>
      </c>
      <c r="C18555" t="str">
        <f>"421302199502256479"</f>
        <v>421302199502256479</v>
      </c>
      <c r="D18555" t="s">
        <v>1</v>
      </c>
      <c r="E18555" t="s">
        <v>1</v>
      </c>
      <c r="F18555" t="s">
        <v>0</v>
      </c>
      <c r="G18555" t="str">
        <f>"2018-10-11 10:45:07"</f>
        <v>2018-10-11 10:45:07</v>
      </c>
    </row>
    <row r="18556" spans="1:7" x14ac:dyDescent="0.2">
      <c r="A18556" t="s">
        <v>17509</v>
      </c>
      <c r="B18556" t="str">
        <f>"13475694199"</f>
        <v>13475694199</v>
      </c>
      <c r="C18556" t="str">
        <f>"370704198702161858"</f>
        <v>370704198702161858</v>
      </c>
      <c r="D18556" t="s">
        <v>17510</v>
      </c>
      <c r="E18556" t="s">
        <v>17511</v>
      </c>
      <c r="F18556" t="s">
        <v>0</v>
      </c>
      <c r="G18556" t="str">
        <f>"2018-10-14 15:20:33"</f>
        <v>2018-10-14 15:20:33</v>
      </c>
    </row>
    <row r="18557" spans="1:7" x14ac:dyDescent="0.2">
      <c r="A18557" t="s">
        <v>1</v>
      </c>
      <c r="B18557" t="str">
        <f>"13076726978"</f>
        <v>13076726978</v>
      </c>
      <c r="C18557" t="s">
        <v>1</v>
      </c>
      <c r="D18557" t="s">
        <v>1</v>
      </c>
      <c r="E18557" t="s">
        <v>1</v>
      </c>
      <c r="F18557" t="s">
        <v>0</v>
      </c>
      <c r="G18557" t="str">
        <f>"2018-10-11 10:12:21"</f>
        <v>2018-10-11 10:12:21</v>
      </c>
    </row>
    <row r="18558" spans="1:7" x14ac:dyDescent="0.2">
      <c r="A18558" t="s">
        <v>17512</v>
      </c>
      <c r="B18558" t="str">
        <f>"15759239428"</f>
        <v>15759239428</v>
      </c>
      <c r="C18558" t="str">
        <f>"350822199110192211"</f>
        <v>350822199110192211</v>
      </c>
      <c r="D18558" t="s">
        <v>1</v>
      </c>
      <c r="E18558" t="s">
        <v>1</v>
      </c>
      <c r="F18558" t="s">
        <v>0</v>
      </c>
      <c r="G18558" t="str">
        <f>"2018-10-11 08:24:56"</f>
        <v>2018-10-11 08:24:56</v>
      </c>
    </row>
    <row r="18559" spans="1:7" x14ac:dyDescent="0.2">
      <c r="A18559" t="s">
        <v>17513</v>
      </c>
      <c r="B18559" t="str">
        <f>"18300233938"</f>
        <v>18300233938</v>
      </c>
      <c r="C18559" t="str">
        <f>"370983198011026987"</f>
        <v>370983198011026987</v>
      </c>
      <c r="D18559" t="s">
        <v>1</v>
      </c>
      <c r="E18559" t="s">
        <v>1</v>
      </c>
      <c r="F18559" t="s">
        <v>0</v>
      </c>
      <c r="G18559" t="str">
        <f>"2018-10-17 21:49:32"</f>
        <v>2018-10-17 21:49:32</v>
      </c>
    </row>
    <row r="18560" spans="1:7" x14ac:dyDescent="0.2">
      <c r="A18560" t="s">
        <v>17514</v>
      </c>
      <c r="B18560" t="str">
        <f>"15720029099"</f>
        <v>15720029099</v>
      </c>
      <c r="C18560" t="str">
        <f>"220112198706154238"</f>
        <v>220112198706154238</v>
      </c>
      <c r="D18560" t="s">
        <v>1</v>
      </c>
      <c r="E18560" t="s">
        <v>1</v>
      </c>
      <c r="F18560" t="s">
        <v>0</v>
      </c>
      <c r="G18560" t="str">
        <f>"2018-10-23 14:27:42"</f>
        <v>2018-10-23 14:27:42</v>
      </c>
    </row>
    <row r="18561" spans="1:7" x14ac:dyDescent="0.2">
      <c r="A18561" t="s">
        <v>17515</v>
      </c>
      <c r="B18561" t="str">
        <f>"13134510185"</f>
        <v>13134510185</v>
      </c>
      <c r="C18561" t="str">
        <f>"230703196810040037"</f>
        <v>230703196810040037</v>
      </c>
      <c r="D18561" t="s">
        <v>1</v>
      </c>
      <c r="E18561" t="s">
        <v>1</v>
      </c>
      <c r="F18561" t="s">
        <v>0</v>
      </c>
      <c r="G18561" t="str">
        <f>"2018-10-11 09:22:59"</f>
        <v>2018-10-11 09:22:59</v>
      </c>
    </row>
    <row r="18562" spans="1:7" x14ac:dyDescent="0.2">
      <c r="A18562" t="s">
        <v>723</v>
      </c>
      <c r="B18562" t="str">
        <f>"18816527579"</f>
        <v>18816527579</v>
      </c>
      <c r="C18562" t="str">
        <f>"320925198902072036"</f>
        <v>320925198902072036</v>
      </c>
      <c r="D18562" t="s">
        <v>1</v>
      </c>
      <c r="E18562" t="s">
        <v>1</v>
      </c>
      <c r="F18562" t="s">
        <v>0</v>
      </c>
      <c r="G18562" t="str">
        <f>"2018-10-11 08:17:11"</f>
        <v>2018-10-11 08:17:11</v>
      </c>
    </row>
    <row r="18563" spans="1:7" x14ac:dyDescent="0.2">
      <c r="A18563" t="s">
        <v>1</v>
      </c>
      <c r="B18563" t="str">
        <f>"13872106287"</f>
        <v>13872106287</v>
      </c>
      <c r="C18563" t="s">
        <v>1</v>
      </c>
      <c r="D18563" t="s">
        <v>1</v>
      </c>
      <c r="E18563" t="s">
        <v>1</v>
      </c>
      <c r="F18563" t="s">
        <v>0</v>
      </c>
      <c r="G18563" t="str">
        <f>"2018-10-11 08:12:12"</f>
        <v>2018-10-11 08:12:12</v>
      </c>
    </row>
    <row r="18564" spans="1:7" x14ac:dyDescent="0.2">
      <c r="A18564" t="s">
        <v>17516</v>
      </c>
      <c r="B18564" t="str">
        <f>"15094049448"</f>
        <v>15094049448</v>
      </c>
      <c r="C18564" t="str">
        <f>"610524198703014010"</f>
        <v>610524198703014010</v>
      </c>
      <c r="D18564" t="s">
        <v>17517</v>
      </c>
      <c r="E18564" t="s">
        <v>17518</v>
      </c>
      <c r="F18564" t="s">
        <v>0</v>
      </c>
      <c r="G18564" t="str">
        <f>"2018-10-11 08:12:48"</f>
        <v>2018-10-11 08:12:48</v>
      </c>
    </row>
    <row r="18565" spans="1:7" x14ac:dyDescent="0.2">
      <c r="A18565" t="s">
        <v>17519</v>
      </c>
      <c r="B18565" t="str">
        <f>"18370753093"</f>
        <v>18370753093</v>
      </c>
      <c r="C18565" t="str">
        <f>"360782198504286817"</f>
        <v>360782198504286817</v>
      </c>
      <c r="D18565" t="s">
        <v>1</v>
      </c>
      <c r="E18565" t="s">
        <v>1</v>
      </c>
      <c r="F18565" t="s">
        <v>0</v>
      </c>
      <c r="G18565" t="str">
        <f>"2018-10-11 08:12:17"</f>
        <v>2018-10-11 08:12:17</v>
      </c>
    </row>
    <row r="18566" spans="1:7" x14ac:dyDescent="0.2">
      <c r="A18566" t="s">
        <v>17520</v>
      </c>
      <c r="B18566" t="str">
        <f>"13736387706"</f>
        <v>13736387706</v>
      </c>
      <c r="C18566" t="str">
        <f>"330322198910133636"</f>
        <v>330322198910133636</v>
      </c>
      <c r="D18566" t="s">
        <v>1</v>
      </c>
      <c r="E18566" t="s">
        <v>1</v>
      </c>
      <c r="F18566" t="s">
        <v>0</v>
      </c>
      <c r="G18566" t="str">
        <f>"2018-10-11 08:14:21"</f>
        <v>2018-10-11 08:14:21</v>
      </c>
    </row>
    <row r="18567" spans="1:7" x14ac:dyDescent="0.2">
      <c r="A18567" t="s">
        <v>17521</v>
      </c>
      <c r="B18567" t="str">
        <f>"18245316648"</f>
        <v>18245316648</v>
      </c>
      <c r="C18567" t="str">
        <f>"231024196007157361"</f>
        <v>231024196007157361</v>
      </c>
      <c r="D18567" t="s">
        <v>1</v>
      </c>
      <c r="E18567" t="s">
        <v>1</v>
      </c>
      <c r="F18567" t="s">
        <v>0</v>
      </c>
      <c r="G18567" t="str">
        <f>"2018-10-11 08:08:12"</f>
        <v>2018-10-11 08:08:12</v>
      </c>
    </row>
    <row r="18568" spans="1:7" x14ac:dyDescent="0.2">
      <c r="A18568" t="s">
        <v>17522</v>
      </c>
      <c r="B18568" t="str">
        <f>"15086334112"</f>
        <v>15086334112</v>
      </c>
      <c r="C18568" t="str">
        <f>"522401199602221226"</f>
        <v>522401199602221226</v>
      </c>
      <c r="D18568" t="s">
        <v>1</v>
      </c>
      <c r="E18568" t="s">
        <v>1</v>
      </c>
      <c r="F18568" t="s">
        <v>0</v>
      </c>
      <c r="G18568" t="str">
        <f>"2018-10-11 08:06:10"</f>
        <v>2018-10-11 08:06:10</v>
      </c>
    </row>
    <row r="18569" spans="1:7" x14ac:dyDescent="0.2">
      <c r="A18569" t="s">
        <v>17523</v>
      </c>
      <c r="B18569" t="str">
        <f>"13667056779"</f>
        <v>13667056779</v>
      </c>
      <c r="C18569" t="str">
        <f>"362202199510026699"</f>
        <v>362202199510026699</v>
      </c>
      <c r="D18569" t="s">
        <v>1</v>
      </c>
      <c r="E18569" t="s">
        <v>1</v>
      </c>
      <c r="F18569" t="s">
        <v>0</v>
      </c>
      <c r="G18569" t="str">
        <f>"2018-10-11 08:07:08"</f>
        <v>2018-10-11 08:07:08</v>
      </c>
    </row>
    <row r="18570" spans="1:7" x14ac:dyDescent="0.2">
      <c r="A18570" t="s">
        <v>17524</v>
      </c>
      <c r="B18570" t="str">
        <f>"15959573054"</f>
        <v>15959573054</v>
      </c>
      <c r="C18570" t="str">
        <f>"350521198910267835"</f>
        <v>350521198910267835</v>
      </c>
      <c r="D18570" t="s">
        <v>17525</v>
      </c>
      <c r="E18570" t="s">
        <v>17526</v>
      </c>
      <c r="F18570" t="s">
        <v>0</v>
      </c>
      <c r="G18570" t="str">
        <f>"2018-10-13 10:09:24"</f>
        <v>2018-10-13 10:09:24</v>
      </c>
    </row>
    <row r="18571" spans="1:7" x14ac:dyDescent="0.2">
      <c r="A18571" t="s">
        <v>669</v>
      </c>
      <c r="B18571" t="str">
        <f>"18754504170"</f>
        <v>18754504170</v>
      </c>
      <c r="C18571" t="str">
        <f>"370683198505083926"</f>
        <v>370683198505083926</v>
      </c>
      <c r="D18571" t="s">
        <v>1</v>
      </c>
      <c r="E18571" t="s">
        <v>1</v>
      </c>
      <c r="F18571" t="s">
        <v>0</v>
      </c>
      <c r="G18571" t="str">
        <f>"2018-10-11 08:07:51"</f>
        <v>2018-10-11 08:07:51</v>
      </c>
    </row>
    <row r="18572" spans="1:7" x14ac:dyDescent="0.2">
      <c r="A18572" t="s">
        <v>17527</v>
      </c>
      <c r="B18572" t="str">
        <f>"15555616466"</f>
        <v>15555616466</v>
      </c>
      <c r="C18572" t="str">
        <f>"341227199110186127"</f>
        <v>341227199110186127</v>
      </c>
      <c r="D18572" t="s">
        <v>1</v>
      </c>
      <c r="E18572" t="s">
        <v>1</v>
      </c>
      <c r="F18572" t="s">
        <v>0</v>
      </c>
      <c r="G18572" t="str">
        <f>"2018-10-11 08:06:09"</f>
        <v>2018-10-11 08:06:09</v>
      </c>
    </row>
    <row r="18573" spans="1:7" x14ac:dyDescent="0.2">
      <c r="A18573" t="s">
        <v>17528</v>
      </c>
      <c r="B18573" t="str">
        <f>"18104046888"</f>
        <v>18104046888</v>
      </c>
      <c r="C18573" t="str">
        <f>"152301198409021514"</f>
        <v>152301198409021514</v>
      </c>
      <c r="D18573" t="s">
        <v>1</v>
      </c>
      <c r="E18573" t="s">
        <v>1</v>
      </c>
      <c r="F18573" t="s">
        <v>0</v>
      </c>
      <c r="G18573" t="str">
        <f>"2018-10-12 20:39:56"</f>
        <v>2018-10-12 20:39:56</v>
      </c>
    </row>
    <row r="18574" spans="1:7" x14ac:dyDescent="0.2">
      <c r="A18574" t="s">
        <v>17529</v>
      </c>
      <c r="B18574" t="str">
        <f>"13644285263"</f>
        <v>13644285263</v>
      </c>
      <c r="C18574" t="str">
        <f>"210281198511063420"</f>
        <v>210281198511063420</v>
      </c>
      <c r="D18574" t="s">
        <v>1</v>
      </c>
      <c r="E18574" t="s">
        <v>1</v>
      </c>
      <c r="F18574" t="s">
        <v>0</v>
      </c>
      <c r="G18574" t="str">
        <f>"2018-10-11 08:00:29"</f>
        <v>2018-10-11 08:00:29</v>
      </c>
    </row>
    <row r="18575" spans="1:7" x14ac:dyDescent="0.2">
      <c r="A18575" t="s">
        <v>17530</v>
      </c>
      <c r="B18575" t="str">
        <f>"18149292923"</f>
        <v>18149292923</v>
      </c>
      <c r="C18575" t="str">
        <f>"411322198907212078"</f>
        <v>411322198907212078</v>
      </c>
      <c r="D18575" t="s">
        <v>1</v>
      </c>
      <c r="E18575" t="s">
        <v>1</v>
      </c>
      <c r="F18575" t="s">
        <v>0</v>
      </c>
      <c r="G18575" t="str">
        <f>"2018-10-11 08:02:13"</f>
        <v>2018-10-11 08:02:13</v>
      </c>
    </row>
    <row r="18576" spans="1:7" x14ac:dyDescent="0.2">
      <c r="A18576" t="s">
        <v>17531</v>
      </c>
      <c r="B18576" t="str">
        <f>"13406394496"</f>
        <v>13406394496</v>
      </c>
      <c r="C18576" t="str">
        <f>"371526198411225231"</f>
        <v>371526198411225231</v>
      </c>
      <c r="D18576" t="s">
        <v>1</v>
      </c>
      <c r="E18576" t="s">
        <v>1</v>
      </c>
      <c r="F18576" t="s">
        <v>0</v>
      </c>
      <c r="G18576" t="str">
        <f>"2018-10-11 11:23:57"</f>
        <v>2018-10-11 11:23:57</v>
      </c>
    </row>
    <row r="18577" spans="1:7" x14ac:dyDescent="0.2">
      <c r="A18577" t="s">
        <v>17532</v>
      </c>
      <c r="B18577" t="str">
        <f>"18700178575"</f>
        <v>18700178575</v>
      </c>
      <c r="C18577" t="str">
        <f>"61062819870920115X"</f>
        <v>61062819870920115X</v>
      </c>
      <c r="D18577" t="s">
        <v>1</v>
      </c>
      <c r="E18577" t="s">
        <v>1</v>
      </c>
      <c r="F18577" t="s">
        <v>0</v>
      </c>
      <c r="G18577" t="str">
        <f>"2018-10-11 08:00:43"</f>
        <v>2018-10-11 08:00:43</v>
      </c>
    </row>
    <row r="18578" spans="1:7" x14ac:dyDescent="0.2">
      <c r="A18578" t="s">
        <v>17533</v>
      </c>
      <c r="B18578" t="str">
        <f>"18148418911"</f>
        <v>18148418911</v>
      </c>
      <c r="C18578" t="str">
        <f>"510623199311010010"</f>
        <v>510623199311010010</v>
      </c>
      <c r="D18578" t="s">
        <v>1</v>
      </c>
      <c r="E18578" t="s">
        <v>1</v>
      </c>
      <c r="F18578" t="s">
        <v>0</v>
      </c>
      <c r="G18578" t="str">
        <f>"2018-10-11 07:55:14"</f>
        <v>2018-10-11 07:55:14</v>
      </c>
    </row>
    <row r="18579" spans="1:7" x14ac:dyDescent="0.2">
      <c r="A18579" t="s">
        <v>17534</v>
      </c>
      <c r="B18579" t="str">
        <f>"13681934584"</f>
        <v>13681934584</v>
      </c>
      <c r="C18579" t="str">
        <f>"310108199012011015"</f>
        <v>310108199012011015</v>
      </c>
      <c r="D18579" t="s">
        <v>1</v>
      </c>
      <c r="E18579" t="s">
        <v>1</v>
      </c>
      <c r="F18579" t="s">
        <v>0</v>
      </c>
      <c r="G18579" t="str">
        <f>"2018-10-11 09:05:04"</f>
        <v>2018-10-11 09:05:04</v>
      </c>
    </row>
    <row r="18580" spans="1:7" x14ac:dyDescent="0.2">
      <c r="A18580" t="s">
        <v>24</v>
      </c>
      <c r="B18580" t="str">
        <f>"13389449501"</f>
        <v>13389449501</v>
      </c>
      <c r="C18580" t="str">
        <f>"620102198512183315"</f>
        <v>620102198512183315</v>
      </c>
      <c r="D18580" t="s">
        <v>1</v>
      </c>
      <c r="E18580" t="s">
        <v>1</v>
      </c>
      <c r="F18580" t="s">
        <v>0</v>
      </c>
      <c r="G18580" t="str">
        <f>"2018-10-11 08:49:30"</f>
        <v>2018-10-11 08:49:30</v>
      </c>
    </row>
    <row r="18581" spans="1:7" x14ac:dyDescent="0.2">
      <c r="A18581" t="s">
        <v>17535</v>
      </c>
      <c r="B18581" t="str">
        <f>"13728903230"</f>
        <v>13728903230</v>
      </c>
      <c r="C18581" t="str">
        <f>"341282199504244013"</f>
        <v>341282199504244013</v>
      </c>
      <c r="D18581" t="s">
        <v>1</v>
      </c>
      <c r="E18581" t="s">
        <v>1</v>
      </c>
      <c r="F18581" t="s">
        <v>0</v>
      </c>
      <c r="G18581" t="str">
        <f>"2018-10-11 07:55:59"</f>
        <v>2018-10-11 07:55:59</v>
      </c>
    </row>
    <row r="18582" spans="1:7" x14ac:dyDescent="0.2">
      <c r="A18582" t="s">
        <v>1</v>
      </c>
      <c r="B18582" t="str">
        <f>"13215191867"</f>
        <v>13215191867</v>
      </c>
      <c r="C18582" t="s">
        <v>1</v>
      </c>
      <c r="D18582" t="s">
        <v>1</v>
      </c>
      <c r="E18582" t="s">
        <v>1</v>
      </c>
      <c r="F18582" t="s">
        <v>0</v>
      </c>
      <c r="G18582" t="str">
        <f>"2018-10-11 07:47:38"</f>
        <v>2018-10-11 07:47:38</v>
      </c>
    </row>
    <row r="18583" spans="1:7" x14ac:dyDescent="0.2">
      <c r="A18583" t="s">
        <v>17536</v>
      </c>
      <c r="B18583" t="str">
        <f>"18623319796"</f>
        <v>18623319796</v>
      </c>
      <c r="C18583" t="str">
        <f>"500104198612151623"</f>
        <v>500104198612151623</v>
      </c>
      <c r="D18583" t="s">
        <v>1</v>
      </c>
      <c r="E18583" t="s">
        <v>1</v>
      </c>
      <c r="F18583" t="s">
        <v>0</v>
      </c>
      <c r="G18583" t="str">
        <f>"2018-10-11 07:49:30"</f>
        <v>2018-10-11 07:49:30</v>
      </c>
    </row>
    <row r="18584" spans="1:7" x14ac:dyDescent="0.2">
      <c r="A18584" t="s">
        <v>1131</v>
      </c>
      <c r="B18584" t="str">
        <f>"15874254516"</f>
        <v>15874254516</v>
      </c>
      <c r="C18584" t="str">
        <f>"430124198511141247"</f>
        <v>430124198511141247</v>
      </c>
      <c r="D18584" t="s">
        <v>1</v>
      </c>
      <c r="E18584" t="s">
        <v>1</v>
      </c>
      <c r="F18584" t="s">
        <v>0</v>
      </c>
      <c r="G18584" t="str">
        <f>"2018-10-11 07:45:05"</f>
        <v>2018-10-11 07:45:05</v>
      </c>
    </row>
    <row r="18585" spans="1:7" x14ac:dyDescent="0.2">
      <c r="A18585" t="s">
        <v>17537</v>
      </c>
      <c r="B18585" t="str">
        <f>"18229002775"</f>
        <v>18229002775</v>
      </c>
      <c r="C18585" t="str">
        <f>"610121199003281875"</f>
        <v>610121199003281875</v>
      </c>
      <c r="D18585" t="s">
        <v>17538</v>
      </c>
      <c r="E18585" t="s">
        <v>17539</v>
      </c>
      <c r="F18585" t="s">
        <v>0</v>
      </c>
      <c r="G18585" t="str">
        <f>"2018-11-03 10:37:27"</f>
        <v>2018-11-03 10:37:27</v>
      </c>
    </row>
    <row r="18586" spans="1:7" x14ac:dyDescent="0.2">
      <c r="A18586" t="s">
        <v>17540</v>
      </c>
      <c r="B18586" t="str">
        <f>"13301572200"</f>
        <v>13301572200</v>
      </c>
      <c r="C18586" t="str">
        <f>"320520197610180416"</f>
        <v>320520197610180416</v>
      </c>
      <c r="D18586" t="s">
        <v>1</v>
      </c>
      <c r="E18586" t="s">
        <v>1</v>
      </c>
      <c r="F18586" t="s">
        <v>0</v>
      </c>
      <c r="G18586" t="str">
        <f>"2018-10-11 07:42:54"</f>
        <v>2018-10-11 07:42:54</v>
      </c>
    </row>
    <row r="18587" spans="1:7" x14ac:dyDescent="0.2">
      <c r="A18587" t="s">
        <v>17541</v>
      </c>
      <c r="B18587" t="str">
        <f>"18809203979"</f>
        <v>18809203979</v>
      </c>
      <c r="C18587" t="str">
        <f>"320981199010211999"</f>
        <v>320981199010211999</v>
      </c>
      <c r="D18587" t="s">
        <v>1</v>
      </c>
      <c r="E18587" t="s">
        <v>1</v>
      </c>
      <c r="F18587" t="s">
        <v>0</v>
      </c>
      <c r="G18587" t="str">
        <f>"2018-10-11 07:41:59"</f>
        <v>2018-10-11 07:41:59</v>
      </c>
    </row>
    <row r="18588" spans="1:7" x14ac:dyDescent="0.2">
      <c r="A18588" t="s">
        <v>1</v>
      </c>
      <c r="B18588" t="str">
        <f>"13604483943"</f>
        <v>13604483943</v>
      </c>
      <c r="C18588" t="s">
        <v>1</v>
      </c>
      <c r="D18588" t="s">
        <v>1</v>
      </c>
      <c r="E18588" t="s">
        <v>1</v>
      </c>
      <c r="F18588" t="s">
        <v>0</v>
      </c>
      <c r="G18588" t="str">
        <f>"2018-10-11 07:38:30"</f>
        <v>2018-10-11 07:38:30</v>
      </c>
    </row>
    <row r="18589" spans="1:7" x14ac:dyDescent="0.2">
      <c r="A18589" t="s">
        <v>17542</v>
      </c>
      <c r="B18589" t="str">
        <f>"18600200329"</f>
        <v>18600200329</v>
      </c>
      <c r="C18589" t="str">
        <f>"231083199001140415"</f>
        <v>231083199001140415</v>
      </c>
      <c r="D18589" t="s">
        <v>1</v>
      </c>
      <c r="E18589" t="s">
        <v>1</v>
      </c>
      <c r="F18589" t="s">
        <v>0</v>
      </c>
      <c r="G18589" t="str">
        <f>"2018-10-11 08:54:27"</f>
        <v>2018-10-11 08:54:27</v>
      </c>
    </row>
    <row r="18590" spans="1:7" x14ac:dyDescent="0.2">
      <c r="A18590" t="s">
        <v>17543</v>
      </c>
      <c r="B18590" t="str">
        <f>"15563842589"</f>
        <v>15563842589</v>
      </c>
      <c r="C18590" t="str">
        <f>"370684198511256121"</f>
        <v>370684198511256121</v>
      </c>
      <c r="D18590" t="s">
        <v>17544</v>
      </c>
      <c r="E18590" t="s">
        <v>17545</v>
      </c>
      <c r="F18590" t="s">
        <v>0</v>
      </c>
      <c r="G18590" t="str">
        <f>"2018-10-11 07:33:38"</f>
        <v>2018-10-11 07:33:38</v>
      </c>
    </row>
    <row r="18591" spans="1:7" x14ac:dyDescent="0.2">
      <c r="A18591" t="s">
        <v>1</v>
      </c>
      <c r="B18591" t="str">
        <f>"15262492053"</f>
        <v>15262492053</v>
      </c>
      <c r="C18591" t="s">
        <v>1</v>
      </c>
      <c r="D18591" t="s">
        <v>1</v>
      </c>
      <c r="E18591" t="s">
        <v>1</v>
      </c>
      <c r="F18591" t="s">
        <v>0</v>
      </c>
      <c r="G18591" t="str">
        <f>"2018-10-11 07:28:13"</f>
        <v>2018-10-11 07:28:13</v>
      </c>
    </row>
    <row r="18592" spans="1:7" x14ac:dyDescent="0.2">
      <c r="A18592" t="s">
        <v>1145</v>
      </c>
      <c r="B18592" t="str">
        <f>"13480408933"</f>
        <v>13480408933</v>
      </c>
      <c r="C18592" t="str">
        <f>"452122199303035113"</f>
        <v>452122199303035113</v>
      </c>
      <c r="D18592" t="s">
        <v>1</v>
      </c>
      <c r="E18592" t="s">
        <v>1</v>
      </c>
      <c r="F18592" t="s">
        <v>0</v>
      </c>
      <c r="G18592" t="str">
        <f>"2018-10-11 07:29:22"</f>
        <v>2018-10-11 07:29:22</v>
      </c>
    </row>
    <row r="18593" spans="1:7" x14ac:dyDescent="0.2">
      <c r="A18593" t="s">
        <v>17546</v>
      </c>
      <c r="B18593" t="str">
        <f>"15988283733"</f>
        <v>15988283733</v>
      </c>
      <c r="C18593" t="str">
        <f>"330681198106268050"</f>
        <v>330681198106268050</v>
      </c>
      <c r="D18593" t="s">
        <v>17547</v>
      </c>
      <c r="E18593" t="s">
        <v>17548</v>
      </c>
      <c r="F18593" t="s">
        <v>0</v>
      </c>
      <c r="G18593" t="str">
        <f>"2018-10-11 07:23:26"</f>
        <v>2018-10-11 07:23:26</v>
      </c>
    </row>
    <row r="18594" spans="1:7" x14ac:dyDescent="0.2">
      <c r="A18594" t="s">
        <v>1</v>
      </c>
      <c r="B18594" t="str">
        <f>"15922944271"</f>
        <v>15922944271</v>
      </c>
      <c r="C18594" t="s">
        <v>1</v>
      </c>
      <c r="D18594" t="s">
        <v>1</v>
      </c>
      <c r="E18594" t="s">
        <v>1</v>
      </c>
      <c r="F18594" t="s">
        <v>0</v>
      </c>
      <c r="G18594" t="str">
        <f>"2018-10-11 07:23:42"</f>
        <v>2018-10-11 07:23:42</v>
      </c>
    </row>
    <row r="18595" spans="1:7" x14ac:dyDescent="0.2">
      <c r="A18595" t="s">
        <v>17549</v>
      </c>
      <c r="B18595" t="str">
        <f>"18789015303"</f>
        <v>18789015303</v>
      </c>
      <c r="C18595" t="str">
        <f>"460004199506125815"</f>
        <v>460004199506125815</v>
      </c>
      <c r="D18595" t="s">
        <v>1</v>
      </c>
      <c r="E18595" t="s">
        <v>1</v>
      </c>
      <c r="F18595" t="s">
        <v>0</v>
      </c>
      <c r="G18595" t="str">
        <f>"2018-10-11 07:19:10"</f>
        <v>2018-10-11 07:19:10</v>
      </c>
    </row>
    <row r="18596" spans="1:7" x14ac:dyDescent="0.2">
      <c r="A18596" t="s">
        <v>17550</v>
      </c>
      <c r="B18596" t="str">
        <f>"15246454178"</f>
        <v>15246454178</v>
      </c>
      <c r="C18596" t="str">
        <f>"230881197210080229"</f>
        <v>230881197210080229</v>
      </c>
      <c r="D18596" t="s">
        <v>17551</v>
      </c>
      <c r="E18596" t="s">
        <v>17552</v>
      </c>
      <c r="F18596" t="s">
        <v>0</v>
      </c>
      <c r="G18596" t="str">
        <f>"2018-10-11 07:18:26"</f>
        <v>2018-10-11 07:18:26</v>
      </c>
    </row>
    <row r="18597" spans="1:7" x14ac:dyDescent="0.2">
      <c r="A18597" t="s">
        <v>17553</v>
      </c>
      <c r="B18597" t="str">
        <f>"18277509707"</f>
        <v>18277509707</v>
      </c>
      <c r="C18597" t="str">
        <f>"450924198901183917"</f>
        <v>450924198901183917</v>
      </c>
      <c r="D18597" t="s">
        <v>1</v>
      </c>
      <c r="E18597" t="s">
        <v>1</v>
      </c>
      <c r="F18597" t="s">
        <v>0</v>
      </c>
      <c r="G18597" t="str">
        <f>"2018-10-11 07:11:50"</f>
        <v>2018-10-11 07:11:50</v>
      </c>
    </row>
    <row r="18598" spans="1:7" x14ac:dyDescent="0.2">
      <c r="A18598" t="s">
        <v>1</v>
      </c>
      <c r="B18598" t="str">
        <f>"13675771622"</f>
        <v>13675771622</v>
      </c>
      <c r="C18598" t="s">
        <v>1</v>
      </c>
      <c r="D18598" t="s">
        <v>1</v>
      </c>
      <c r="E18598" t="s">
        <v>1</v>
      </c>
      <c r="F18598" t="s">
        <v>0</v>
      </c>
      <c r="G18598" t="str">
        <f>"2018-10-11 07:08:49"</f>
        <v>2018-10-11 07:08:49</v>
      </c>
    </row>
    <row r="18599" spans="1:7" x14ac:dyDescent="0.2">
      <c r="A18599" t="s">
        <v>17554</v>
      </c>
      <c r="B18599" t="str">
        <f>"13680049073"</f>
        <v>13680049073</v>
      </c>
      <c r="C18599" t="str">
        <f>"44188119940612144X"</f>
        <v>44188119940612144X</v>
      </c>
      <c r="D18599" t="s">
        <v>17555</v>
      </c>
      <c r="E18599" t="s">
        <v>17556</v>
      </c>
      <c r="F18599" t="s">
        <v>0</v>
      </c>
      <c r="G18599" t="str">
        <f>"2018-10-11 07:22:02"</f>
        <v>2018-10-11 07:22:02</v>
      </c>
    </row>
    <row r="18600" spans="1:7" x14ac:dyDescent="0.2">
      <c r="A18600" t="s">
        <v>1063</v>
      </c>
      <c r="B18600" t="str">
        <f>"15839568889"</f>
        <v>15839568889</v>
      </c>
      <c r="C18600" t="str">
        <f>"411123199211196014"</f>
        <v>411123199211196014</v>
      </c>
      <c r="D18600" t="s">
        <v>1</v>
      </c>
      <c r="E18600" t="s">
        <v>1</v>
      </c>
      <c r="F18600" t="s">
        <v>0</v>
      </c>
      <c r="G18600" t="str">
        <f>"2018-10-11 09:32:59"</f>
        <v>2018-10-11 09:32:59</v>
      </c>
    </row>
    <row r="18601" spans="1:7" x14ac:dyDescent="0.2">
      <c r="A18601" t="s">
        <v>17557</v>
      </c>
      <c r="B18601" t="str">
        <f>"18767554999"</f>
        <v>18767554999</v>
      </c>
      <c r="C18601" t="str">
        <f>"360123199111241935"</f>
        <v>360123199111241935</v>
      </c>
      <c r="D18601" t="s">
        <v>1</v>
      </c>
      <c r="E18601" t="s">
        <v>1</v>
      </c>
      <c r="F18601" t="s">
        <v>0</v>
      </c>
      <c r="G18601" t="str">
        <f>"2018-10-11 07:03:12"</f>
        <v>2018-10-11 07:03:12</v>
      </c>
    </row>
    <row r="18602" spans="1:7" x14ac:dyDescent="0.2">
      <c r="A18602" t="s">
        <v>17558</v>
      </c>
      <c r="B18602" t="str">
        <f>"13715766867"</f>
        <v>13715766867</v>
      </c>
      <c r="C18602" t="str">
        <f>"445102198603110024"</f>
        <v>445102198603110024</v>
      </c>
      <c r="D18602" t="s">
        <v>17559</v>
      </c>
      <c r="E18602" t="s">
        <v>17560</v>
      </c>
      <c r="F18602" t="s">
        <v>0</v>
      </c>
      <c r="G18602" t="str">
        <f>"2018-10-11 06:59:03"</f>
        <v>2018-10-11 06:59:03</v>
      </c>
    </row>
    <row r="18603" spans="1:7" x14ac:dyDescent="0.2">
      <c r="A18603" t="s">
        <v>17561</v>
      </c>
      <c r="B18603" t="str">
        <f>"15093556607"</f>
        <v>15093556607</v>
      </c>
      <c r="C18603" t="str">
        <f>"41282119870729201X"</f>
        <v>41282119870729201X</v>
      </c>
      <c r="D18603" t="s">
        <v>1</v>
      </c>
      <c r="E18603" t="s">
        <v>1</v>
      </c>
      <c r="F18603" t="s">
        <v>0</v>
      </c>
      <c r="G18603" t="str">
        <f>"2018-10-14 14:55:10"</f>
        <v>2018-10-14 14:55:10</v>
      </c>
    </row>
    <row r="18604" spans="1:7" x14ac:dyDescent="0.2">
      <c r="A18604" t="s">
        <v>17562</v>
      </c>
      <c r="B18604" t="str">
        <f>"13048068227"</f>
        <v>13048068227</v>
      </c>
      <c r="C18604" t="str">
        <f>"450324199502174628"</f>
        <v>450324199502174628</v>
      </c>
      <c r="D18604" t="s">
        <v>17563</v>
      </c>
      <c r="E18604" t="s">
        <v>17564</v>
      </c>
      <c r="F18604" t="s">
        <v>0</v>
      </c>
      <c r="G18604" t="str">
        <f>"2018-10-11 06:54:00"</f>
        <v>2018-10-11 06:54:00</v>
      </c>
    </row>
    <row r="18605" spans="1:7" x14ac:dyDescent="0.2">
      <c r="A18605" t="s">
        <v>17565</v>
      </c>
      <c r="B18605" t="str">
        <f>"18451273312"</f>
        <v>18451273312</v>
      </c>
      <c r="C18605" t="str">
        <f>"320882198806024677"</f>
        <v>320882198806024677</v>
      </c>
      <c r="D18605" t="s">
        <v>1</v>
      </c>
      <c r="E18605" t="s">
        <v>1</v>
      </c>
      <c r="F18605" t="s">
        <v>0</v>
      </c>
      <c r="G18605" t="str">
        <f>"2018-10-11 06:52:46"</f>
        <v>2018-10-11 06:52:46</v>
      </c>
    </row>
    <row r="18606" spans="1:7" x14ac:dyDescent="0.2">
      <c r="A18606" t="s">
        <v>17566</v>
      </c>
      <c r="B18606" t="str">
        <f>"18741243177"</f>
        <v>18741243177</v>
      </c>
      <c r="C18606" t="str">
        <f>"210311198910242414"</f>
        <v>210311198910242414</v>
      </c>
      <c r="D18606" t="s">
        <v>1</v>
      </c>
      <c r="E18606" t="s">
        <v>1</v>
      </c>
      <c r="F18606" t="s">
        <v>0</v>
      </c>
      <c r="G18606" t="str">
        <f>"2018-10-11 06:51:49"</f>
        <v>2018-10-11 06:51:49</v>
      </c>
    </row>
    <row r="18607" spans="1:7" x14ac:dyDescent="0.2">
      <c r="A18607" t="s">
        <v>17567</v>
      </c>
      <c r="B18607" t="str">
        <f>"15863247705"</f>
        <v>15863247705</v>
      </c>
      <c r="C18607" t="str">
        <f>"372925198706305112"</f>
        <v>372925198706305112</v>
      </c>
      <c r="D18607" t="s">
        <v>1</v>
      </c>
      <c r="E18607" t="s">
        <v>1</v>
      </c>
      <c r="F18607" t="s">
        <v>0</v>
      </c>
      <c r="G18607" t="str">
        <f>"2018-10-30 10:15:39"</f>
        <v>2018-10-30 10:15:39</v>
      </c>
    </row>
    <row r="18608" spans="1:7" x14ac:dyDescent="0.2">
      <c r="A18608" t="s">
        <v>716</v>
      </c>
      <c r="B18608" t="str">
        <f>"15544359594"</f>
        <v>15544359594</v>
      </c>
      <c r="C18608" t="str">
        <f>"411521198803180563"</f>
        <v>411521198803180563</v>
      </c>
      <c r="D18608" t="s">
        <v>1</v>
      </c>
      <c r="E18608" t="s">
        <v>1</v>
      </c>
      <c r="F18608" t="s">
        <v>0</v>
      </c>
      <c r="G18608" t="str">
        <f>"2018-10-11 06:44:10"</f>
        <v>2018-10-11 06:44:10</v>
      </c>
    </row>
    <row r="18609" spans="1:7" x14ac:dyDescent="0.2">
      <c r="A18609" t="s">
        <v>17568</v>
      </c>
      <c r="B18609" t="str">
        <f>"18210219909"</f>
        <v>18210219909</v>
      </c>
      <c r="C18609" t="str">
        <f>"412721198805172622"</f>
        <v>412721198805172622</v>
      </c>
      <c r="D18609" t="s">
        <v>1</v>
      </c>
      <c r="E18609" t="s">
        <v>1</v>
      </c>
      <c r="F18609" t="s">
        <v>0</v>
      </c>
      <c r="G18609" t="str">
        <f>"2018-11-03 14:37:38"</f>
        <v>2018-11-03 14:37:38</v>
      </c>
    </row>
    <row r="18610" spans="1:7" x14ac:dyDescent="0.2">
      <c r="A18610" t="s">
        <v>1</v>
      </c>
      <c r="B18610" t="str">
        <f>"15954935506"</f>
        <v>15954935506</v>
      </c>
      <c r="C18610" t="s">
        <v>1</v>
      </c>
      <c r="D18610" t="s">
        <v>1</v>
      </c>
      <c r="E18610" t="s">
        <v>1</v>
      </c>
      <c r="F18610" t="s">
        <v>0</v>
      </c>
      <c r="G18610" t="str">
        <f>"2018-10-11 06:38:29"</f>
        <v>2018-10-11 06:38:29</v>
      </c>
    </row>
    <row r="18611" spans="1:7" x14ac:dyDescent="0.2">
      <c r="A18611" t="s">
        <v>17569</v>
      </c>
      <c r="B18611" t="str">
        <f>"15228840345"</f>
        <v>15228840345</v>
      </c>
      <c r="C18611" t="str">
        <f>"510623198701164117"</f>
        <v>510623198701164117</v>
      </c>
      <c r="D18611" t="s">
        <v>17570</v>
      </c>
      <c r="E18611" t="s">
        <v>17571</v>
      </c>
      <c r="F18611" t="s">
        <v>0</v>
      </c>
      <c r="G18611" t="str">
        <f>"2018-10-11 06:48:47"</f>
        <v>2018-10-11 06:48:47</v>
      </c>
    </row>
    <row r="18612" spans="1:7" x14ac:dyDescent="0.2">
      <c r="A18612" t="s">
        <v>17572</v>
      </c>
      <c r="B18612" t="str">
        <f>"13465540925"</f>
        <v>13465540925</v>
      </c>
      <c r="C18612" t="str">
        <f>"370683199204236428"</f>
        <v>370683199204236428</v>
      </c>
      <c r="D18612" t="s">
        <v>1</v>
      </c>
      <c r="E18612" t="s">
        <v>1</v>
      </c>
      <c r="F18612" t="s">
        <v>0</v>
      </c>
      <c r="G18612" t="str">
        <f>"2018-10-11 06:32:29"</f>
        <v>2018-10-11 06:32:29</v>
      </c>
    </row>
    <row r="18613" spans="1:7" x14ac:dyDescent="0.2">
      <c r="A18613" t="s">
        <v>523</v>
      </c>
      <c r="B18613" t="str">
        <f>"18254341987"</f>
        <v>18254341987</v>
      </c>
      <c r="C18613" t="str">
        <f>"372325198907235218"</f>
        <v>372325198907235218</v>
      </c>
      <c r="D18613" t="s">
        <v>1</v>
      </c>
      <c r="E18613" t="s">
        <v>1</v>
      </c>
      <c r="F18613" t="s">
        <v>0</v>
      </c>
      <c r="G18613" t="str">
        <f>"2018-10-11 06:30:23"</f>
        <v>2018-10-11 06:30:23</v>
      </c>
    </row>
    <row r="18614" spans="1:7" x14ac:dyDescent="0.2">
      <c r="A18614" t="s">
        <v>17573</v>
      </c>
      <c r="B18614" t="str">
        <f>"18661239907"</f>
        <v>18661239907</v>
      </c>
      <c r="C18614" t="str">
        <f>"320411198312234044"</f>
        <v>320411198312234044</v>
      </c>
      <c r="D18614" t="s">
        <v>1</v>
      </c>
      <c r="E18614" t="s">
        <v>1</v>
      </c>
      <c r="F18614" t="s">
        <v>0</v>
      </c>
      <c r="G18614" t="str">
        <f>"2018-10-23 16:26:59"</f>
        <v>2018-10-23 16:26:59</v>
      </c>
    </row>
    <row r="18615" spans="1:7" x14ac:dyDescent="0.2">
      <c r="A18615" t="s">
        <v>1</v>
      </c>
      <c r="B18615" t="str">
        <f>"18868606453"</f>
        <v>18868606453</v>
      </c>
      <c r="C18615" t="s">
        <v>1</v>
      </c>
      <c r="D18615" t="s">
        <v>1</v>
      </c>
      <c r="E18615" t="s">
        <v>1</v>
      </c>
      <c r="F18615" t="s">
        <v>0</v>
      </c>
      <c r="G18615" t="str">
        <f>"2018-10-11 06:16:11"</f>
        <v>2018-10-11 06:16:11</v>
      </c>
    </row>
    <row r="18616" spans="1:7" x14ac:dyDescent="0.2">
      <c r="A18616" t="s">
        <v>1324</v>
      </c>
      <c r="B18616" t="str">
        <f>"13403380719"</f>
        <v>13403380719</v>
      </c>
      <c r="C18616" t="str">
        <f>"131124198512113248"</f>
        <v>131124198512113248</v>
      </c>
      <c r="D18616" t="s">
        <v>1</v>
      </c>
      <c r="E18616" t="s">
        <v>1</v>
      </c>
      <c r="F18616" t="s">
        <v>0</v>
      </c>
      <c r="G18616" t="str">
        <f>"2018-10-11 06:17:28"</f>
        <v>2018-10-11 06:17:28</v>
      </c>
    </row>
    <row r="18617" spans="1:7" x14ac:dyDescent="0.2">
      <c r="A18617" t="s">
        <v>1</v>
      </c>
      <c r="B18617" t="str">
        <f>"15915500795"</f>
        <v>15915500795</v>
      </c>
      <c r="C18617" t="s">
        <v>1</v>
      </c>
      <c r="D18617" t="s">
        <v>1</v>
      </c>
      <c r="E18617" t="s">
        <v>1</v>
      </c>
      <c r="F18617" t="s">
        <v>0</v>
      </c>
      <c r="G18617" t="str">
        <f>"2018-10-11 06:12:30"</f>
        <v>2018-10-11 06:12:30</v>
      </c>
    </row>
    <row r="18618" spans="1:7" x14ac:dyDescent="0.2">
      <c r="A18618" t="s">
        <v>17574</v>
      </c>
      <c r="B18618" t="str">
        <f>"13617611708"</f>
        <v>13617611708</v>
      </c>
      <c r="C18618" t="str">
        <f>"421182198412182556"</f>
        <v>421182198412182556</v>
      </c>
      <c r="D18618" t="s">
        <v>1</v>
      </c>
      <c r="E18618" t="s">
        <v>1</v>
      </c>
      <c r="F18618" t="s">
        <v>0</v>
      </c>
      <c r="G18618" t="str">
        <f>"2018-10-11 06:05:00"</f>
        <v>2018-10-11 06:05:00</v>
      </c>
    </row>
    <row r="18619" spans="1:7" x14ac:dyDescent="0.2">
      <c r="A18619" t="s">
        <v>1</v>
      </c>
      <c r="B18619" t="str">
        <f>"13646281515"</f>
        <v>13646281515</v>
      </c>
      <c r="C18619" t="s">
        <v>1</v>
      </c>
      <c r="D18619" t="s">
        <v>1</v>
      </c>
      <c r="E18619" t="s">
        <v>1</v>
      </c>
      <c r="F18619" t="s">
        <v>0</v>
      </c>
      <c r="G18619" t="str">
        <f>"2018-10-11 06:02:05"</f>
        <v>2018-10-11 06:02:05</v>
      </c>
    </row>
    <row r="18620" spans="1:7" x14ac:dyDescent="0.2">
      <c r="A18620" t="s">
        <v>17575</v>
      </c>
      <c r="B18620" t="str">
        <f>"13587802420"</f>
        <v>13587802420</v>
      </c>
      <c r="C18620" t="str">
        <f>"422825197304151418"</f>
        <v>422825197304151418</v>
      </c>
      <c r="D18620" t="s">
        <v>1</v>
      </c>
      <c r="E18620" t="s">
        <v>1</v>
      </c>
      <c r="F18620" t="s">
        <v>0</v>
      </c>
      <c r="G18620" t="str">
        <f>"2018-10-11 06:01:25"</f>
        <v>2018-10-11 06:01:25</v>
      </c>
    </row>
    <row r="18621" spans="1:7" x14ac:dyDescent="0.2">
      <c r="A18621" t="s">
        <v>17576</v>
      </c>
      <c r="B18621" t="str">
        <f>"18904690085"</f>
        <v>18904690085</v>
      </c>
      <c r="C18621" t="str">
        <f>"230521197302201742"</f>
        <v>230521197302201742</v>
      </c>
      <c r="D18621" t="s">
        <v>1</v>
      </c>
      <c r="E18621" t="s">
        <v>1</v>
      </c>
      <c r="F18621" t="s">
        <v>0</v>
      </c>
      <c r="G18621" t="str">
        <f>"2018-10-11 05:58:10"</f>
        <v>2018-10-11 05:58:10</v>
      </c>
    </row>
    <row r="18622" spans="1:7" x14ac:dyDescent="0.2">
      <c r="A18622" t="s">
        <v>17577</v>
      </c>
      <c r="B18622" t="str">
        <f>"13421808989"</f>
        <v>13421808989</v>
      </c>
      <c r="C18622" t="str">
        <f>"440509197711031216"</f>
        <v>440509197711031216</v>
      </c>
      <c r="D18622" t="s">
        <v>1</v>
      </c>
      <c r="E18622" t="s">
        <v>1</v>
      </c>
      <c r="F18622" t="s">
        <v>0</v>
      </c>
      <c r="G18622" t="str">
        <f>"2018-10-11 05:29:20"</f>
        <v>2018-10-11 05:29:20</v>
      </c>
    </row>
    <row r="18623" spans="1:7" x14ac:dyDescent="0.2">
      <c r="A18623" t="s">
        <v>31</v>
      </c>
      <c r="B18623" t="str">
        <f>"13986974201"</f>
        <v>13986974201</v>
      </c>
      <c r="C18623" t="str">
        <f>"211282199604171617"</f>
        <v>211282199604171617</v>
      </c>
      <c r="D18623" t="s">
        <v>1</v>
      </c>
      <c r="E18623" t="s">
        <v>1</v>
      </c>
      <c r="F18623" t="s">
        <v>0</v>
      </c>
      <c r="G18623" t="str">
        <f>"2018-10-11 05:25:00"</f>
        <v>2018-10-11 05:25:00</v>
      </c>
    </row>
    <row r="18624" spans="1:7" x14ac:dyDescent="0.2">
      <c r="A18624" t="s">
        <v>17578</v>
      </c>
      <c r="B18624" t="str">
        <f>"18771003185"</f>
        <v>18771003185</v>
      </c>
      <c r="C18624" t="str">
        <f>"421281199510104934"</f>
        <v>421281199510104934</v>
      </c>
      <c r="D18624" t="s">
        <v>1</v>
      </c>
      <c r="E18624" t="s">
        <v>1</v>
      </c>
      <c r="F18624" t="s">
        <v>0</v>
      </c>
      <c r="G18624" t="str">
        <f>"2018-10-11 10:58:50"</f>
        <v>2018-10-11 10:58:50</v>
      </c>
    </row>
    <row r="18625" spans="1:7" x14ac:dyDescent="0.2">
      <c r="A18625" t="s">
        <v>1</v>
      </c>
      <c r="B18625" t="str">
        <f>"15852789045"</f>
        <v>15852789045</v>
      </c>
      <c r="C18625" t="s">
        <v>1</v>
      </c>
      <c r="D18625" t="s">
        <v>1</v>
      </c>
      <c r="E18625" t="s">
        <v>1</v>
      </c>
      <c r="F18625" t="s">
        <v>0</v>
      </c>
      <c r="G18625" t="str">
        <f>"2018-10-11 04:59:03"</f>
        <v>2018-10-11 04:59:03</v>
      </c>
    </row>
    <row r="18626" spans="1:7" x14ac:dyDescent="0.2">
      <c r="A18626" t="s">
        <v>17579</v>
      </c>
      <c r="B18626" t="str">
        <f>"13711661604"</f>
        <v>13711661604</v>
      </c>
      <c r="C18626" t="str">
        <f>"421127200006153712"</f>
        <v>421127200006153712</v>
      </c>
      <c r="D18626" t="s">
        <v>1</v>
      </c>
      <c r="E18626" t="s">
        <v>1</v>
      </c>
      <c r="F18626" t="s">
        <v>0</v>
      </c>
      <c r="G18626" t="str">
        <f>"2018-10-11 04:57:45"</f>
        <v>2018-10-11 04:57:45</v>
      </c>
    </row>
    <row r="18627" spans="1:7" x14ac:dyDescent="0.2">
      <c r="A18627" t="s">
        <v>17580</v>
      </c>
      <c r="B18627" t="str">
        <f>"18078317437"</f>
        <v>18078317437</v>
      </c>
      <c r="C18627" t="str">
        <f>"450303199808291534"</f>
        <v>450303199808291534</v>
      </c>
      <c r="D18627" t="s">
        <v>1</v>
      </c>
      <c r="E18627" t="s">
        <v>1</v>
      </c>
      <c r="F18627" t="s">
        <v>0</v>
      </c>
      <c r="G18627" t="str">
        <f>"2018-10-11 04:57:56"</f>
        <v>2018-10-11 04:57:56</v>
      </c>
    </row>
    <row r="18628" spans="1:7" x14ac:dyDescent="0.2">
      <c r="A18628" t="s">
        <v>17581</v>
      </c>
      <c r="B18628" t="str">
        <f>"17364568683"</f>
        <v>17364568683</v>
      </c>
      <c r="C18628" t="str">
        <f>"330125197612116313"</f>
        <v>330125197612116313</v>
      </c>
      <c r="D18628" t="s">
        <v>1</v>
      </c>
      <c r="E18628" t="s">
        <v>1</v>
      </c>
      <c r="F18628" t="s">
        <v>0</v>
      </c>
      <c r="G18628" t="str">
        <f>"2018-10-11 04:54:10"</f>
        <v>2018-10-11 04:54:10</v>
      </c>
    </row>
    <row r="18629" spans="1:7" x14ac:dyDescent="0.2">
      <c r="A18629" t="s">
        <v>17582</v>
      </c>
      <c r="B18629" t="str">
        <f>"17798382153"</f>
        <v>17798382153</v>
      </c>
      <c r="C18629" t="str">
        <f>"421127198809183798"</f>
        <v>421127198809183798</v>
      </c>
      <c r="D18629" t="s">
        <v>1</v>
      </c>
      <c r="E18629" t="s">
        <v>1</v>
      </c>
      <c r="F18629" t="s">
        <v>0</v>
      </c>
      <c r="G18629" t="str">
        <f>"2018-10-11 04:46:53"</f>
        <v>2018-10-11 04:46:53</v>
      </c>
    </row>
    <row r="18630" spans="1:7" x14ac:dyDescent="0.2">
      <c r="A18630" t="s">
        <v>17583</v>
      </c>
      <c r="B18630" t="str">
        <f>"18190932127"</f>
        <v>18190932127</v>
      </c>
      <c r="C18630" t="str">
        <f>"510105197807280015"</f>
        <v>510105197807280015</v>
      </c>
      <c r="D18630" t="s">
        <v>1</v>
      </c>
      <c r="E18630" t="s">
        <v>1</v>
      </c>
      <c r="F18630" t="s">
        <v>0</v>
      </c>
      <c r="G18630" t="str">
        <f>"2018-10-11 04:40:43"</f>
        <v>2018-10-11 04:40:43</v>
      </c>
    </row>
    <row r="18631" spans="1:7" x14ac:dyDescent="0.2">
      <c r="A18631" t="s">
        <v>17584</v>
      </c>
      <c r="B18631" t="str">
        <f>"18289592127"</f>
        <v>18289592127</v>
      </c>
      <c r="C18631" t="str">
        <f>"460034199309030014"</f>
        <v>460034199309030014</v>
      </c>
      <c r="D18631" t="s">
        <v>1</v>
      </c>
      <c r="E18631" t="s">
        <v>1</v>
      </c>
      <c r="F18631" t="s">
        <v>0</v>
      </c>
      <c r="G18631" t="str">
        <f>"2018-10-11 04:40:57"</f>
        <v>2018-10-11 04:40:57</v>
      </c>
    </row>
    <row r="18632" spans="1:7" x14ac:dyDescent="0.2">
      <c r="A18632" t="s">
        <v>1</v>
      </c>
      <c r="B18632" t="str">
        <f>"13249998849"</f>
        <v>13249998849</v>
      </c>
      <c r="C18632" t="s">
        <v>1</v>
      </c>
      <c r="D18632" t="s">
        <v>1</v>
      </c>
      <c r="E18632" t="s">
        <v>1</v>
      </c>
      <c r="F18632" t="s">
        <v>0</v>
      </c>
      <c r="G18632" t="str">
        <f>"2018-10-11 04:34:30"</f>
        <v>2018-10-11 04:34:30</v>
      </c>
    </row>
    <row r="18633" spans="1:7" x14ac:dyDescent="0.2">
      <c r="A18633" t="s">
        <v>17585</v>
      </c>
      <c r="B18633" t="str">
        <f>"15308833277"</f>
        <v>15308833277</v>
      </c>
      <c r="C18633" t="str">
        <f>"533522199008021037"</f>
        <v>533522199008021037</v>
      </c>
      <c r="D18633" t="s">
        <v>1</v>
      </c>
      <c r="E18633" t="s">
        <v>1</v>
      </c>
      <c r="F18633" t="s">
        <v>0</v>
      </c>
      <c r="G18633" t="str">
        <f>"2018-10-11 04:18:58"</f>
        <v>2018-10-11 04:18:58</v>
      </c>
    </row>
    <row r="18634" spans="1:7" x14ac:dyDescent="0.2">
      <c r="A18634" t="s">
        <v>1</v>
      </c>
      <c r="B18634" t="str">
        <f>"18091638835"</f>
        <v>18091638835</v>
      </c>
      <c r="C18634" t="s">
        <v>1</v>
      </c>
      <c r="D18634" t="s">
        <v>1</v>
      </c>
      <c r="E18634" t="s">
        <v>1</v>
      </c>
      <c r="F18634" t="s">
        <v>0</v>
      </c>
      <c r="G18634" t="str">
        <f>"2018-10-11 04:16:48"</f>
        <v>2018-10-11 04:16:48</v>
      </c>
    </row>
    <row r="18635" spans="1:7" x14ac:dyDescent="0.2">
      <c r="A18635" t="s">
        <v>17586</v>
      </c>
      <c r="B18635" t="str">
        <f>"13928742861"</f>
        <v>13928742861</v>
      </c>
      <c r="C18635" t="str">
        <f>"445122198706021716"</f>
        <v>445122198706021716</v>
      </c>
      <c r="D18635" t="s">
        <v>17587</v>
      </c>
      <c r="E18635" t="s">
        <v>17588</v>
      </c>
      <c r="F18635" t="s">
        <v>0</v>
      </c>
      <c r="G18635" t="str">
        <f>"2018-10-11 04:15:28"</f>
        <v>2018-10-11 04:15:28</v>
      </c>
    </row>
    <row r="18636" spans="1:7" x14ac:dyDescent="0.2">
      <c r="A18636" t="s">
        <v>375</v>
      </c>
      <c r="B18636" t="str">
        <f>"15217613781"</f>
        <v>15217613781</v>
      </c>
      <c r="C18636" t="str">
        <f>"500241198808171412"</f>
        <v>500241198808171412</v>
      </c>
      <c r="D18636" t="s">
        <v>1</v>
      </c>
      <c r="E18636" t="s">
        <v>1</v>
      </c>
      <c r="F18636" t="s">
        <v>0</v>
      </c>
      <c r="G18636" t="str">
        <f>"2018-10-11 04:27:15"</f>
        <v>2018-10-11 04:27:15</v>
      </c>
    </row>
    <row r="18637" spans="1:7" x14ac:dyDescent="0.2">
      <c r="A18637" t="s">
        <v>1615</v>
      </c>
      <c r="B18637" t="str">
        <f>"17666533773"</f>
        <v>17666533773</v>
      </c>
      <c r="C18637" t="str">
        <f>"440981199503082838"</f>
        <v>440981199503082838</v>
      </c>
      <c r="D18637" t="s">
        <v>1</v>
      </c>
      <c r="E18637" t="s">
        <v>1</v>
      </c>
      <c r="F18637" t="s">
        <v>0</v>
      </c>
      <c r="G18637" t="str">
        <f>"2018-10-11 04:03:28"</f>
        <v>2018-10-11 04:03:28</v>
      </c>
    </row>
    <row r="18638" spans="1:7" x14ac:dyDescent="0.2">
      <c r="A18638" t="s">
        <v>17589</v>
      </c>
      <c r="B18638" t="str">
        <f>"18185072171"</f>
        <v>18185072171</v>
      </c>
      <c r="C18638" t="str">
        <f>"520102199208304013"</f>
        <v>520102199208304013</v>
      </c>
      <c r="D18638" t="s">
        <v>17590</v>
      </c>
      <c r="E18638" t="s">
        <v>17591</v>
      </c>
      <c r="F18638" t="s">
        <v>0</v>
      </c>
      <c r="G18638" t="str">
        <f>"2018-10-11 04:02:49"</f>
        <v>2018-10-11 04:02:49</v>
      </c>
    </row>
    <row r="18639" spans="1:7" x14ac:dyDescent="0.2">
      <c r="A18639" t="s">
        <v>1</v>
      </c>
      <c r="B18639" t="str">
        <f>"13724322020"</f>
        <v>13724322020</v>
      </c>
      <c r="C18639" t="s">
        <v>1</v>
      </c>
      <c r="D18639" t="s">
        <v>1</v>
      </c>
      <c r="E18639" t="s">
        <v>1</v>
      </c>
      <c r="F18639" t="s">
        <v>0</v>
      </c>
      <c r="G18639" t="str">
        <f>"2018-10-11 04:01:17"</f>
        <v>2018-10-11 04:01:17</v>
      </c>
    </row>
    <row r="18640" spans="1:7" x14ac:dyDescent="0.2">
      <c r="A18640" t="s">
        <v>1</v>
      </c>
      <c r="B18640" t="str">
        <f>"15504169196"</f>
        <v>15504169196</v>
      </c>
      <c r="C18640" t="s">
        <v>1</v>
      </c>
      <c r="D18640" t="s">
        <v>1</v>
      </c>
      <c r="E18640" t="s">
        <v>1</v>
      </c>
      <c r="F18640" t="s">
        <v>0</v>
      </c>
      <c r="G18640" t="str">
        <f>"2018-10-11 04:30:25"</f>
        <v>2018-10-11 04:30:25</v>
      </c>
    </row>
    <row r="18641" spans="1:7" x14ac:dyDescent="0.2">
      <c r="A18641" t="s">
        <v>17592</v>
      </c>
      <c r="B18641" t="str">
        <f>"17602017660"</f>
        <v>17602017660</v>
      </c>
      <c r="C18641" t="str">
        <f>"532130199602041513"</f>
        <v>532130199602041513</v>
      </c>
      <c r="D18641" t="s">
        <v>1</v>
      </c>
      <c r="E18641" t="s">
        <v>1</v>
      </c>
      <c r="F18641" t="s">
        <v>0</v>
      </c>
      <c r="G18641" t="str">
        <f>"2018-10-11 08:23:21"</f>
        <v>2018-10-11 08:23:21</v>
      </c>
    </row>
    <row r="18642" spans="1:7" x14ac:dyDescent="0.2">
      <c r="A18642" t="s">
        <v>17593</v>
      </c>
      <c r="B18642" t="str">
        <f>"13789745555"</f>
        <v>13789745555</v>
      </c>
      <c r="C18642" t="str">
        <f>"211003199409242217"</f>
        <v>211003199409242217</v>
      </c>
      <c r="D18642" t="s">
        <v>1</v>
      </c>
      <c r="E18642" t="s">
        <v>1</v>
      </c>
      <c r="F18642" t="s">
        <v>0</v>
      </c>
      <c r="G18642" t="str">
        <f>"2018-10-11 04:01:02"</f>
        <v>2018-10-11 04:01:02</v>
      </c>
    </row>
    <row r="18643" spans="1:7" x14ac:dyDescent="0.2">
      <c r="A18643" t="s">
        <v>17594</v>
      </c>
      <c r="B18643" t="str">
        <f>"13540266330"</f>
        <v>13540266330</v>
      </c>
      <c r="C18643" t="str">
        <f>"500223199310070018"</f>
        <v>500223199310070018</v>
      </c>
      <c r="D18643" t="s">
        <v>1</v>
      </c>
      <c r="E18643" t="s">
        <v>1</v>
      </c>
      <c r="F18643" t="s">
        <v>0</v>
      </c>
      <c r="G18643" t="str">
        <f>"2018-10-11 03:57:48"</f>
        <v>2018-10-11 03:57:48</v>
      </c>
    </row>
    <row r="18644" spans="1:7" x14ac:dyDescent="0.2">
      <c r="A18644" t="s">
        <v>297</v>
      </c>
      <c r="B18644" t="str">
        <f>"13822319004"</f>
        <v>13822319004</v>
      </c>
      <c r="C18644" t="str">
        <f>"511381199608312990"</f>
        <v>511381199608312990</v>
      </c>
      <c r="D18644" t="s">
        <v>1</v>
      </c>
      <c r="E18644" t="s">
        <v>1</v>
      </c>
      <c r="F18644" t="s">
        <v>0</v>
      </c>
      <c r="G18644" t="str">
        <f>"2018-10-11 04:03:53"</f>
        <v>2018-10-11 04:03:53</v>
      </c>
    </row>
    <row r="18645" spans="1:7" x14ac:dyDescent="0.2">
      <c r="A18645" t="s">
        <v>17595</v>
      </c>
      <c r="B18645" t="str">
        <f>"18876093172"</f>
        <v>18876093172</v>
      </c>
      <c r="C18645" t="str">
        <f>"460028199311020934"</f>
        <v>460028199311020934</v>
      </c>
      <c r="D18645" t="s">
        <v>17596</v>
      </c>
      <c r="E18645" t="s">
        <v>17597</v>
      </c>
      <c r="F18645" t="s">
        <v>0</v>
      </c>
      <c r="G18645" t="str">
        <f>"2018-10-11 03:57:15"</f>
        <v>2018-10-11 03:57:15</v>
      </c>
    </row>
    <row r="18646" spans="1:7" x14ac:dyDescent="0.2">
      <c r="A18646" t="s">
        <v>873</v>
      </c>
      <c r="B18646" t="str">
        <f>"18580455576"</f>
        <v>18580455576</v>
      </c>
      <c r="C18646" t="str">
        <f>"500227199007063929"</f>
        <v>500227199007063929</v>
      </c>
      <c r="D18646" t="s">
        <v>1</v>
      </c>
      <c r="E18646" t="s">
        <v>1</v>
      </c>
      <c r="F18646" t="s">
        <v>0</v>
      </c>
      <c r="G18646" t="str">
        <f>"2018-11-05 11:58:11"</f>
        <v>2018-11-05 11:58:11</v>
      </c>
    </row>
    <row r="18647" spans="1:7" x14ac:dyDescent="0.2">
      <c r="A18647" t="s">
        <v>1</v>
      </c>
      <c r="B18647" t="str">
        <f>"13990030137"</f>
        <v>13990030137</v>
      </c>
      <c r="C18647" t="s">
        <v>1</v>
      </c>
      <c r="D18647" t="s">
        <v>1</v>
      </c>
      <c r="E18647" t="s">
        <v>1</v>
      </c>
      <c r="F18647" t="s">
        <v>0</v>
      </c>
      <c r="G18647" t="str">
        <f>"2018-10-11 04:26:30"</f>
        <v>2018-10-11 04:26:30</v>
      </c>
    </row>
    <row r="18648" spans="1:7" x14ac:dyDescent="0.2">
      <c r="A18648" t="s">
        <v>17598</v>
      </c>
      <c r="B18648" t="str">
        <f>"18367556433"</f>
        <v>18367556433</v>
      </c>
      <c r="C18648" t="str">
        <f>"330329199607022465"</f>
        <v>330329199607022465</v>
      </c>
      <c r="D18648" t="s">
        <v>1</v>
      </c>
      <c r="E18648" t="s">
        <v>1</v>
      </c>
      <c r="F18648" t="s">
        <v>0</v>
      </c>
      <c r="G18648" t="str">
        <f>"2018-10-11 03:47:55"</f>
        <v>2018-10-11 03:47:55</v>
      </c>
    </row>
    <row r="18649" spans="1:7" x14ac:dyDescent="0.2">
      <c r="A18649" t="s">
        <v>1</v>
      </c>
      <c r="B18649" t="str">
        <f>"17691237421"</f>
        <v>17691237421</v>
      </c>
      <c r="C18649" t="s">
        <v>1</v>
      </c>
      <c r="D18649" t="s">
        <v>1</v>
      </c>
      <c r="E18649" t="s">
        <v>1</v>
      </c>
      <c r="F18649" t="s">
        <v>0</v>
      </c>
      <c r="G18649" t="str">
        <f>"2018-10-11 03:38:53"</f>
        <v>2018-10-11 03:38:53</v>
      </c>
    </row>
    <row r="18650" spans="1:7" x14ac:dyDescent="0.2">
      <c r="A18650" t="s">
        <v>1</v>
      </c>
      <c r="B18650" t="str">
        <f>"13546886911"</f>
        <v>13546886911</v>
      </c>
      <c r="C18650" t="s">
        <v>1</v>
      </c>
      <c r="D18650" t="s">
        <v>1</v>
      </c>
      <c r="E18650" t="s">
        <v>1</v>
      </c>
      <c r="F18650" t="s">
        <v>0</v>
      </c>
      <c r="G18650" t="str">
        <f>"2018-10-11 03:17:52"</f>
        <v>2018-10-11 03:17:52</v>
      </c>
    </row>
    <row r="18651" spans="1:7" x14ac:dyDescent="0.2">
      <c r="A18651" t="s">
        <v>17599</v>
      </c>
      <c r="B18651" t="str">
        <f>"13386775437"</f>
        <v>13386775437</v>
      </c>
      <c r="C18651" t="str">
        <f>"210381199110301416"</f>
        <v>210381199110301416</v>
      </c>
      <c r="D18651" t="s">
        <v>17600</v>
      </c>
      <c r="E18651" t="s">
        <v>17601</v>
      </c>
      <c r="F18651" t="s">
        <v>0</v>
      </c>
      <c r="G18651" t="str">
        <f>"2018-10-11 03:04:31"</f>
        <v>2018-10-11 03:04:31</v>
      </c>
    </row>
    <row r="18652" spans="1:7" x14ac:dyDescent="0.2">
      <c r="A18652" t="s">
        <v>1</v>
      </c>
      <c r="B18652" t="str">
        <f>"15803908622"</f>
        <v>15803908622</v>
      </c>
      <c r="C18652" t="s">
        <v>1</v>
      </c>
      <c r="D18652" t="s">
        <v>1</v>
      </c>
      <c r="E18652" t="s">
        <v>1</v>
      </c>
      <c r="F18652" t="s">
        <v>0</v>
      </c>
      <c r="G18652" t="str">
        <f>"2018-10-11 03:04:54"</f>
        <v>2018-10-11 03:04:54</v>
      </c>
    </row>
    <row r="18653" spans="1:7" x14ac:dyDescent="0.2">
      <c r="A18653" t="s">
        <v>17602</v>
      </c>
      <c r="B18653" t="str">
        <f>"18176315173"</f>
        <v>18176315173</v>
      </c>
      <c r="C18653" t="str">
        <f>"450331198804111816"</f>
        <v>450331198804111816</v>
      </c>
      <c r="D18653" t="s">
        <v>1</v>
      </c>
      <c r="E18653" t="s">
        <v>1</v>
      </c>
      <c r="F18653" t="s">
        <v>0</v>
      </c>
      <c r="G18653" t="str">
        <f>"2018-10-11 05:13:10"</f>
        <v>2018-10-11 05:13:10</v>
      </c>
    </row>
    <row r="18654" spans="1:7" x14ac:dyDescent="0.2">
      <c r="A18654" t="s">
        <v>1</v>
      </c>
      <c r="B18654" t="str">
        <f>"18871165546"</f>
        <v>18871165546</v>
      </c>
      <c r="C18654" t="s">
        <v>1</v>
      </c>
      <c r="D18654" t="s">
        <v>1</v>
      </c>
      <c r="E18654" t="s">
        <v>1</v>
      </c>
      <c r="F18654" t="s">
        <v>0</v>
      </c>
      <c r="G18654" t="str">
        <f>"2018-10-11 02:57:45"</f>
        <v>2018-10-11 02:57:45</v>
      </c>
    </row>
    <row r="18655" spans="1:7" x14ac:dyDescent="0.2">
      <c r="A18655" t="s">
        <v>17603</v>
      </c>
      <c r="B18655" t="str">
        <f>"15208149499"</f>
        <v>15208149499</v>
      </c>
      <c r="C18655" t="str">
        <f>"510184199111073178"</f>
        <v>510184199111073178</v>
      </c>
      <c r="D18655" t="s">
        <v>17604</v>
      </c>
      <c r="E18655" t="s">
        <v>17605</v>
      </c>
      <c r="F18655" t="s">
        <v>0</v>
      </c>
      <c r="G18655" t="str">
        <f>"2018-10-11 03:20:56"</f>
        <v>2018-10-11 03:20:56</v>
      </c>
    </row>
    <row r="18656" spans="1:7" x14ac:dyDescent="0.2">
      <c r="A18656" t="s">
        <v>1</v>
      </c>
      <c r="B18656" t="str">
        <f>"15760179307"</f>
        <v>15760179307</v>
      </c>
      <c r="C18656" t="s">
        <v>1</v>
      </c>
      <c r="D18656" t="s">
        <v>1</v>
      </c>
      <c r="E18656" t="s">
        <v>1</v>
      </c>
      <c r="F18656" t="s">
        <v>0</v>
      </c>
      <c r="G18656" t="str">
        <f>"2018-10-11 02:48:54"</f>
        <v>2018-10-11 02:48:54</v>
      </c>
    </row>
    <row r="18657" spans="1:7" x14ac:dyDescent="0.2">
      <c r="A18657" t="s">
        <v>17606</v>
      </c>
      <c r="B18657" t="str">
        <f>"15916672341"</f>
        <v>15916672341</v>
      </c>
      <c r="C18657" t="str">
        <f>"445122198002193210"</f>
        <v>445122198002193210</v>
      </c>
      <c r="D18657" t="s">
        <v>1</v>
      </c>
      <c r="E18657" t="s">
        <v>1</v>
      </c>
      <c r="F18657" t="s">
        <v>0</v>
      </c>
      <c r="G18657" t="str">
        <f>"2018-10-20 16:09:03"</f>
        <v>2018-10-20 16:09:03</v>
      </c>
    </row>
    <row r="18658" spans="1:7" x14ac:dyDescent="0.2">
      <c r="A18658" t="s">
        <v>17607</v>
      </c>
      <c r="B18658" t="str">
        <f>"18609397149"</f>
        <v>18609397149</v>
      </c>
      <c r="C18658" t="str">
        <f>"622630199010020013"</f>
        <v>622630199010020013</v>
      </c>
      <c r="D18658" t="s">
        <v>1</v>
      </c>
      <c r="E18658" t="s">
        <v>1</v>
      </c>
      <c r="F18658" t="s">
        <v>0</v>
      </c>
      <c r="G18658" t="str">
        <f>"2018-10-11 02:41:47"</f>
        <v>2018-10-11 02:41:47</v>
      </c>
    </row>
    <row r="18659" spans="1:7" x14ac:dyDescent="0.2">
      <c r="A18659" t="s">
        <v>17608</v>
      </c>
      <c r="B18659" t="str">
        <f>"13866718775"</f>
        <v>13866718775</v>
      </c>
      <c r="C18659" t="str">
        <f>"340304197511240818"</f>
        <v>340304197511240818</v>
      </c>
      <c r="D18659" t="s">
        <v>1</v>
      </c>
      <c r="E18659" t="s">
        <v>1</v>
      </c>
      <c r="F18659" t="s">
        <v>0</v>
      </c>
      <c r="G18659" t="str">
        <f>"2018-10-11 02:34:46"</f>
        <v>2018-10-11 02:34:46</v>
      </c>
    </row>
    <row r="18660" spans="1:7" x14ac:dyDescent="0.2">
      <c r="A18660" t="s">
        <v>1</v>
      </c>
      <c r="B18660" t="str">
        <f>"13432552535"</f>
        <v>13432552535</v>
      </c>
      <c r="C18660" t="s">
        <v>1</v>
      </c>
      <c r="D18660" t="s">
        <v>1</v>
      </c>
      <c r="E18660" t="s">
        <v>1</v>
      </c>
      <c r="F18660" t="s">
        <v>0</v>
      </c>
      <c r="G18660" t="str">
        <f>"2018-10-11 02:25:23"</f>
        <v>2018-10-11 02:25:23</v>
      </c>
    </row>
    <row r="18661" spans="1:7" x14ac:dyDescent="0.2">
      <c r="A18661" t="s">
        <v>17609</v>
      </c>
      <c r="B18661" t="str">
        <f>"17756541098"</f>
        <v>17756541098</v>
      </c>
      <c r="C18661" t="str">
        <f>"34022319830506353X"</f>
        <v>34022319830506353X</v>
      </c>
      <c r="D18661" t="s">
        <v>17610</v>
      </c>
      <c r="E18661" t="s">
        <v>17611</v>
      </c>
      <c r="F18661" t="s">
        <v>0</v>
      </c>
      <c r="G18661" t="str">
        <f>"2018-10-23 18:34:07"</f>
        <v>2018-10-23 18:34:07</v>
      </c>
    </row>
    <row r="18662" spans="1:7" x14ac:dyDescent="0.2">
      <c r="A18662" t="s">
        <v>17612</v>
      </c>
      <c r="B18662" t="str">
        <f>"17505743915"</f>
        <v>17505743915</v>
      </c>
      <c r="C18662" t="str">
        <f>"330227198704237334"</f>
        <v>330227198704237334</v>
      </c>
      <c r="D18662" t="s">
        <v>17613</v>
      </c>
      <c r="E18662" t="s">
        <v>17614</v>
      </c>
      <c r="F18662" t="s">
        <v>0</v>
      </c>
      <c r="G18662" t="str">
        <f>"2018-10-11 02:43:07"</f>
        <v>2018-10-11 02:43:07</v>
      </c>
    </row>
    <row r="18663" spans="1:7" x14ac:dyDescent="0.2">
      <c r="A18663" t="s">
        <v>17615</v>
      </c>
      <c r="B18663" t="str">
        <f>"17629170872"</f>
        <v>17629170872</v>
      </c>
      <c r="C18663" t="str">
        <f>"610330199906180618"</f>
        <v>610330199906180618</v>
      </c>
      <c r="D18663" t="s">
        <v>1</v>
      </c>
      <c r="E18663" t="s">
        <v>1</v>
      </c>
      <c r="F18663" t="s">
        <v>0</v>
      </c>
      <c r="G18663" t="str">
        <f>"2018-10-11 02:20:02"</f>
        <v>2018-10-11 02:20:02</v>
      </c>
    </row>
    <row r="18664" spans="1:7" x14ac:dyDescent="0.2">
      <c r="A18664" t="s">
        <v>17616</v>
      </c>
      <c r="B18664" t="str">
        <f>"15852782366"</f>
        <v>15852782366</v>
      </c>
      <c r="C18664" t="str">
        <f>"360430199210022519"</f>
        <v>360430199210022519</v>
      </c>
      <c r="D18664" t="s">
        <v>1</v>
      </c>
      <c r="E18664" t="s">
        <v>1</v>
      </c>
      <c r="F18664" t="s">
        <v>0</v>
      </c>
      <c r="G18664" t="str">
        <f>"2018-10-16 20:40:43"</f>
        <v>2018-10-16 20:40:43</v>
      </c>
    </row>
    <row r="18665" spans="1:7" x14ac:dyDescent="0.2">
      <c r="A18665" t="s">
        <v>17617</v>
      </c>
      <c r="B18665" t="str">
        <f>"13739213123"</f>
        <v>13739213123</v>
      </c>
      <c r="C18665" t="str">
        <f>"341125199809200422"</f>
        <v>341125199809200422</v>
      </c>
      <c r="D18665" t="s">
        <v>1</v>
      </c>
      <c r="E18665" t="s">
        <v>1</v>
      </c>
      <c r="F18665" t="s">
        <v>0</v>
      </c>
      <c r="G18665" t="str">
        <f>"2018-10-11 02:41:37"</f>
        <v>2018-10-11 02:41:37</v>
      </c>
    </row>
    <row r="18666" spans="1:7" x14ac:dyDescent="0.2">
      <c r="A18666" t="s">
        <v>17618</v>
      </c>
      <c r="B18666" t="str">
        <f>"18295257700"</f>
        <v>18295257700</v>
      </c>
      <c r="C18666" t="str">
        <f>"642123197907101719"</f>
        <v>642123197907101719</v>
      </c>
      <c r="D18666" t="s">
        <v>1</v>
      </c>
      <c r="E18666" t="s">
        <v>1</v>
      </c>
      <c r="F18666" t="s">
        <v>0</v>
      </c>
      <c r="G18666" t="str">
        <f>"2018-10-11 18:08:39"</f>
        <v>2018-10-11 18:08:39</v>
      </c>
    </row>
    <row r="18667" spans="1:7" x14ac:dyDescent="0.2">
      <c r="A18667" t="s">
        <v>17619</v>
      </c>
      <c r="B18667" t="str">
        <f>"13639391587"</f>
        <v>13639391587</v>
      </c>
      <c r="C18667" t="str">
        <f>"62010319880401232X"</f>
        <v>62010319880401232X</v>
      </c>
      <c r="D18667" t="s">
        <v>1</v>
      </c>
      <c r="E18667" t="s">
        <v>1</v>
      </c>
      <c r="F18667" t="s">
        <v>0</v>
      </c>
      <c r="G18667" t="str">
        <f>"2018-10-15 01:09:30"</f>
        <v>2018-10-15 01:09:30</v>
      </c>
    </row>
    <row r="18668" spans="1:7" x14ac:dyDescent="0.2">
      <c r="A18668" t="s">
        <v>1</v>
      </c>
      <c r="B18668" t="str">
        <f>"13935651191"</f>
        <v>13935651191</v>
      </c>
      <c r="C18668" t="s">
        <v>1</v>
      </c>
      <c r="D18668" t="s">
        <v>1</v>
      </c>
      <c r="E18668" t="s">
        <v>1</v>
      </c>
      <c r="F18668" t="s">
        <v>0</v>
      </c>
      <c r="G18668" t="str">
        <f>"2018-10-26 17:14:53"</f>
        <v>2018-10-26 17:14:53</v>
      </c>
    </row>
    <row r="18669" spans="1:7" x14ac:dyDescent="0.2">
      <c r="A18669" t="s">
        <v>17620</v>
      </c>
      <c r="B18669" t="str">
        <f>"15983286266"</f>
        <v>15983286266</v>
      </c>
      <c r="C18669" t="str">
        <f>"511011199103143591"</f>
        <v>511011199103143591</v>
      </c>
      <c r="D18669" t="s">
        <v>17621</v>
      </c>
      <c r="E18669" t="s">
        <v>17622</v>
      </c>
      <c r="F18669" t="s">
        <v>0</v>
      </c>
      <c r="G18669" t="str">
        <f>"2018-10-11 01:43:59"</f>
        <v>2018-10-11 01:43:59</v>
      </c>
    </row>
    <row r="18670" spans="1:7" x14ac:dyDescent="0.2">
      <c r="A18670" t="s">
        <v>2276</v>
      </c>
      <c r="B18670" t="str">
        <f>"13434524972"</f>
        <v>13434524972</v>
      </c>
      <c r="C18670" t="str">
        <f>"441424199909051595"</f>
        <v>441424199909051595</v>
      </c>
      <c r="D18670" t="s">
        <v>1</v>
      </c>
      <c r="E18670" t="s">
        <v>1</v>
      </c>
      <c r="F18670" t="s">
        <v>0</v>
      </c>
      <c r="G18670" t="str">
        <f>"2018-10-11 06:42:17"</f>
        <v>2018-10-11 06:42:17</v>
      </c>
    </row>
    <row r="18671" spans="1:7" x14ac:dyDescent="0.2">
      <c r="A18671" t="s">
        <v>17623</v>
      </c>
      <c r="B18671" t="str">
        <f>"18862209654"</f>
        <v>18862209654</v>
      </c>
      <c r="C18671" t="str">
        <f>"320583199004183814"</f>
        <v>320583199004183814</v>
      </c>
      <c r="D18671" t="s">
        <v>17624</v>
      </c>
      <c r="E18671" t="s">
        <v>17625</v>
      </c>
      <c r="F18671" t="s">
        <v>0</v>
      </c>
      <c r="G18671" t="str">
        <f>"2018-10-11 01:35:51"</f>
        <v>2018-10-11 01:35:51</v>
      </c>
    </row>
    <row r="18672" spans="1:7" x14ac:dyDescent="0.2">
      <c r="A18672" t="s">
        <v>1</v>
      </c>
      <c r="B18672" t="str">
        <f>"15578340674"</f>
        <v>15578340674</v>
      </c>
      <c r="C18672" t="s">
        <v>1</v>
      </c>
      <c r="D18672" t="s">
        <v>1</v>
      </c>
      <c r="E18672" t="s">
        <v>1</v>
      </c>
      <c r="F18672" t="s">
        <v>0</v>
      </c>
      <c r="G18672" t="str">
        <f>"2018-10-11 01:28:16"</f>
        <v>2018-10-11 01:28:16</v>
      </c>
    </row>
    <row r="18673" spans="1:7" x14ac:dyDescent="0.2">
      <c r="A18673" t="s">
        <v>1</v>
      </c>
      <c r="B18673" t="str">
        <f>"13070956353"</f>
        <v>13070956353</v>
      </c>
      <c r="C18673" t="s">
        <v>1</v>
      </c>
      <c r="D18673" t="s">
        <v>1</v>
      </c>
      <c r="E18673" t="s">
        <v>1</v>
      </c>
      <c r="F18673" t="s">
        <v>0</v>
      </c>
      <c r="G18673" t="str">
        <f>"2018-10-11 01:16:15"</f>
        <v>2018-10-11 01:16:15</v>
      </c>
    </row>
    <row r="18674" spans="1:7" x14ac:dyDescent="0.2">
      <c r="A18674" t="s">
        <v>1</v>
      </c>
      <c r="B18674" t="str">
        <f>"13006939048"</f>
        <v>13006939048</v>
      </c>
      <c r="C18674" t="s">
        <v>1</v>
      </c>
      <c r="D18674" t="s">
        <v>1</v>
      </c>
      <c r="E18674" t="s">
        <v>1</v>
      </c>
      <c r="F18674" t="s">
        <v>0</v>
      </c>
      <c r="G18674" t="str">
        <f>"2018-10-11 01:12:23"</f>
        <v>2018-10-11 01:12:23</v>
      </c>
    </row>
    <row r="18675" spans="1:7" x14ac:dyDescent="0.2">
      <c r="A18675" t="s">
        <v>17626</v>
      </c>
      <c r="B18675" t="str">
        <f>"13552279744"</f>
        <v>13552279744</v>
      </c>
      <c r="C18675" t="str">
        <f>"42020319950919432X"</f>
        <v>42020319950919432X</v>
      </c>
      <c r="D18675" t="s">
        <v>1</v>
      </c>
      <c r="E18675" t="s">
        <v>1</v>
      </c>
      <c r="F18675" t="s">
        <v>0</v>
      </c>
      <c r="G18675" t="str">
        <f>"2018-10-11 06:49:11"</f>
        <v>2018-10-11 06:49:11</v>
      </c>
    </row>
    <row r="18676" spans="1:7" x14ac:dyDescent="0.2">
      <c r="A18676" t="s">
        <v>17627</v>
      </c>
      <c r="B18676" t="str">
        <f>"15750992453"</f>
        <v>15750992453</v>
      </c>
      <c r="C18676" t="str">
        <f>"350526199008118516"</f>
        <v>350526199008118516</v>
      </c>
      <c r="D18676" t="s">
        <v>1</v>
      </c>
      <c r="E18676" t="s">
        <v>1</v>
      </c>
      <c r="F18676" t="s">
        <v>0</v>
      </c>
      <c r="G18676" t="str">
        <f>"2018-10-12 18:17:43"</f>
        <v>2018-10-12 18:17:43</v>
      </c>
    </row>
    <row r="18677" spans="1:7" x14ac:dyDescent="0.2">
      <c r="A18677" t="s">
        <v>17628</v>
      </c>
      <c r="B18677" t="str">
        <f>"18201162804"</f>
        <v>18201162804</v>
      </c>
      <c r="C18677" t="str">
        <f>"131024198802125081"</f>
        <v>131024198802125081</v>
      </c>
      <c r="D18677" t="s">
        <v>17629</v>
      </c>
      <c r="E18677" t="s">
        <v>17629</v>
      </c>
      <c r="F18677" t="s">
        <v>0</v>
      </c>
      <c r="G18677" t="str">
        <f>"2018-10-11 00:55:46"</f>
        <v>2018-10-11 00:55:46</v>
      </c>
    </row>
    <row r="18678" spans="1:7" x14ac:dyDescent="0.2">
      <c r="A18678" t="s">
        <v>17630</v>
      </c>
      <c r="B18678" t="str">
        <f>"18583859293"</f>
        <v>18583859293</v>
      </c>
      <c r="C18678" t="str">
        <f>"511128197511200050"</f>
        <v>511128197511200050</v>
      </c>
      <c r="D18678" t="s">
        <v>17631</v>
      </c>
      <c r="E18678" t="s">
        <v>17632</v>
      </c>
      <c r="F18678" t="s">
        <v>0</v>
      </c>
      <c r="G18678" t="str">
        <f>"2018-10-31 16:12:13"</f>
        <v>2018-10-31 16:12:13</v>
      </c>
    </row>
    <row r="18679" spans="1:7" x14ac:dyDescent="0.2">
      <c r="A18679" t="s">
        <v>17633</v>
      </c>
      <c r="B18679" t="str">
        <f>"18261188882"</f>
        <v>18261188882</v>
      </c>
      <c r="C18679" t="str">
        <f>"342423199007083070"</f>
        <v>342423199007083070</v>
      </c>
      <c r="D18679" t="s">
        <v>1</v>
      </c>
      <c r="E18679" t="s">
        <v>1</v>
      </c>
      <c r="F18679" t="s">
        <v>0</v>
      </c>
      <c r="G18679" t="str">
        <f>"2018-10-22 23:07:15"</f>
        <v>2018-10-22 23:07:15</v>
      </c>
    </row>
    <row r="18680" spans="1:7" x14ac:dyDescent="0.2">
      <c r="A18680" t="s">
        <v>17634</v>
      </c>
      <c r="B18680" t="str">
        <f>"18825049527"</f>
        <v>18825049527</v>
      </c>
      <c r="C18680" t="str">
        <f>"51132219950517859X"</f>
        <v>51132219950517859X</v>
      </c>
      <c r="D18680" t="s">
        <v>1</v>
      </c>
      <c r="E18680" t="s">
        <v>1</v>
      </c>
      <c r="F18680" t="s">
        <v>0</v>
      </c>
      <c r="G18680" t="str">
        <f>"2018-10-11 00:50:36"</f>
        <v>2018-10-11 00:50:36</v>
      </c>
    </row>
    <row r="18681" spans="1:7" x14ac:dyDescent="0.2">
      <c r="A18681" t="s">
        <v>17635</v>
      </c>
      <c r="B18681" t="str">
        <f>"17604830186"</f>
        <v>17604830186</v>
      </c>
      <c r="C18681" t="str">
        <f>"152921199204270026"</f>
        <v>152921199204270026</v>
      </c>
      <c r="D18681" t="s">
        <v>1</v>
      </c>
      <c r="E18681" t="s">
        <v>1</v>
      </c>
      <c r="F18681" t="s">
        <v>0</v>
      </c>
      <c r="G18681" t="str">
        <f>"2018-10-11 15:08:19"</f>
        <v>2018-10-11 15:08:19</v>
      </c>
    </row>
    <row r="18682" spans="1:7" x14ac:dyDescent="0.2">
      <c r="A18682" t="s">
        <v>1</v>
      </c>
      <c r="B18682" t="str">
        <f>"18663606184"</f>
        <v>18663606184</v>
      </c>
      <c r="C18682" t="s">
        <v>1</v>
      </c>
      <c r="D18682" t="s">
        <v>1</v>
      </c>
      <c r="E18682" t="s">
        <v>1</v>
      </c>
      <c r="F18682" t="s">
        <v>0</v>
      </c>
      <c r="G18682" t="str">
        <f>"2018-10-11 00:46:27"</f>
        <v>2018-10-11 00:46:27</v>
      </c>
    </row>
    <row r="18683" spans="1:7" x14ac:dyDescent="0.2">
      <c r="A18683" t="s">
        <v>17636</v>
      </c>
      <c r="B18683" t="str">
        <f>"15257969751"</f>
        <v>15257969751</v>
      </c>
      <c r="C18683" t="str">
        <f>"330725198207244116"</f>
        <v>330725198207244116</v>
      </c>
      <c r="D18683" t="s">
        <v>1</v>
      </c>
      <c r="E18683" t="s">
        <v>1</v>
      </c>
      <c r="F18683" t="s">
        <v>0</v>
      </c>
      <c r="G18683" t="str">
        <f>"2018-10-11 00:44:45"</f>
        <v>2018-10-11 00:44:45</v>
      </c>
    </row>
    <row r="18684" spans="1:7" x14ac:dyDescent="0.2">
      <c r="A18684" t="s">
        <v>1</v>
      </c>
      <c r="B18684" t="str">
        <f>"15555108208"</f>
        <v>15555108208</v>
      </c>
      <c r="C18684" t="s">
        <v>1</v>
      </c>
      <c r="D18684" t="s">
        <v>1</v>
      </c>
      <c r="E18684" t="s">
        <v>1</v>
      </c>
      <c r="F18684" t="s">
        <v>0</v>
      </c>
      <c r="G18684" t="str">
        <f>"2018-10-11 00:41:32"</f>
        <v>2018-10-11 00:41:32</v>
      </c>
    </row>
    <row r="18685" spans="1:7" x14ac:dyDescent="0.2">
      <c r="A18685" t="s">
        <v>1</v>
      </c>
      <c r="B18685" t="str">
        <f>"15950597656"</f>
        <v>15950597656</v>
      </c>
      <c r="C18685" t="s">
        <v>1</v>
      </c>
      <c r="D18685" t="s">
        <v>1</v>
      </c>
      <c r="E18685" t="s">
        <v>1</v>
      </c>
      <c r="F18685" t="s">
        <v>0</v>
      </c>
      <c r="G18685" t="str">
        <f>"2018-10-11 00:39:46"</f>
        <v>2018-10-11 00:39:46</v>
      </c>
    </row>
    <row r="18686" spans="1:7" x14ac:dyDescent="0.2">
      <c r="A18686" t="s">
        <v>17637</v>
      </c>
      <c r="B18686" t="str">
        <f>"18627942086"</f>
        <v>18627942086</v>
      </c>
      <c r="C18686" t="str">
        <f>"420103199201230413"</f>
        <v>420103199201230413</v>
      </c>
      <c r="D18686" t="s">
        <v>1</v>
      </c>
      <c r="E18686" t="s">
        <v>1</v>
      </c>
      <c r="F18686" t="s">
        <v>0</v>
      </c>
      <c r="G18686" t="str">
        <f>"2018-10-11 01:01:13"</f>
        <v>2018-10-11 01:01:13</v>
      </c>
    </row>
    <row r="18687" spans="1:7" x14ac:dyDescent="0.2">
      <c r="A18687" t="s">
        <v>17638</v>
      </c>
      <c r="B18687" t="str">
        <f>"17757842596"</f>
        <v>17757842596</v>
      </c>
      <c r="C18687" t="str">
        <f>"33028119950131251X"</f>
        <v>33028119950131251X</v>
      </c>
      <c r="D18687" t="s">
        <v>1</v>
      </c>
      <c r="E18687" t="s">
        <v>1</v>
      </c>
      <c r="F18687" t="s">
        <v>0</v>
      </c>
      <c r="G18687" t="str">
        <f>"2018-10-11 08:18:43"</f>
        <v>2018-10-11 08:18:43</v>
      </c>
    </row>
    <row r="18688" spans="1:7" x14ac:dyDescent="0.2">
      <c r="A18688" t="s">
        <v>1</v>
      </c>
      <c r="B18688" t="str">
        <f>"13132773154"</f>
        <v>13132773154</v>
      </c>
      <c r="C18688" t="s">
        <v>1</v>
      </c>
      <c r="D18688" t="s">
        <v>1</v>
      </c>
      <c r="E18688" t="s">
        <v>1</v>
      </c>
      <c r="F18688" t="s">
        <v>0</v>
      </c>
      <c r="G18688" t="str">
        <f>"2018-10-11 00:31:29"</f>
        <v>2018-10-11 00:31:29</v>
      </c>
    </row>
    <row r="18689" spans="1:7" x14ac:dyDescent="0.2">
      <c r="A18689" t="s">
        <v>17639</v>
      </c>
      <c r="B18689" t="str">
        <f>"13723490576"</f>
        <v>13723490576</v>
      </c>
      <c r="C18689" t="str">
        <f>"371521198506202217"</f>
        <v>371521198506202217</v>
      </c>
      <c r="D18689" t="s">
        <v>1</v>
      </c>
      <c r="E18689" t="s">
        <v>1</v>
      </c>
      <c r="F18689" t="s">
        <v>0</v>
      </c>
      <c r="G18689" t="str">
        <f>"2018-10-11 00:30:10"</f>
        <v>2018-10-11 00:30:10</v>
      </c>
    </row>
    <row r="18690" spans="1:7" x14ac:dyDescent="0.2">
      <c r="A18690" t="s">
        <v>17640</v>
      </c>
      <c r="B18690" t="str">
        <f>"18209140187"</f>
        <v>18209140187</v>
      </c>
      <c r="C18690" t="str">
        <f>"612524199903090014"</f>
        <v>612524199903090014</v>
      </c>
      <c r="D18690" t="s">
        <v>1</v>
      </c>
      <c r="E18690" t="s">
        <v>1</v>
      </c>
      <c r="F18690" t="s">
        <v>0</v>
      </c>
      <c r="G18690" t="str">
        <f>"2018-10-11 00:28:55"</f>
        <v>2018-10-11 00:28:55</v>
      </c>
    </row>
    <row r="18691" spans="1:7" x14ac:dyDescent="0.2">
      <c r="A18691" t="s">
        <v>17641</v>
      </c>
      <c r="B18691" t="str">
        <f>"13826546272"</f>
        <v>13826546272</v>
      </c>
      <c r="C18691" t="str">
        <f>"44138119920206241X"</f>
        <v>44138119920206241X</v>
      </c>
      <c r="D18691" t="s">
        <v>1</v>
      </c>
      <c r="E18691" t="s">
        <v>1</v>
      </c>
      <c r="F18691" t="s">
        <v>0</v>
      </c>
      <c r="G18691" t="str">
        <f>"2018-10-11 00:28:57"</f>
        <v>2018-10-11 00:28:57</v>
      </c>
    </row>
    <row r="18692" spans="1:7" x14ac:dyDescent="0.2">
      <c r="A18692" t="s">
        <v>17642</v>
      </c>
      <c r="B18692" t="str">
        <f>"18220477948"</f>
        <v>18220477948</v>
      </c>
      <c r="C18692" t="str">
        <f>"610327199107101874"</f>
        <v>610327199107101874</v>
      </c>
      <c r="D18692" t="s">
        <v>1</v>
      </c>
      <c r="E18692" t="s">
        <v>1</v>
      </c>
      <c r="F18692" t="s">
        <v>0</v>
      </c>
      <c r="G18692" t="str">
        <f>"2018-10-11 00:40:11"</f>
        <v>2018-10-11 00:40:11</v>
      </c>
    </row>
    <row r="18693" spans="1:7" x14ac:dyDescent="0.2">
      <c r="A18693" t="s">
        <v>856</v>
      </c>
      <c r="B18693" t="str">
        <f>"15505999090"</f>
        <v>15505999090</v>
      </c>
      <c r="C18693" t="str">
        <f>"350783199302220923"</f>
        <v>350783199302220923</v>
      </c>
      <c r="D18693" t="s">
        <v>1</v>
      </c>
      <c r="E18693" t="s">
        <v>1</v>
      </c>
      <c r="F18693" t="s">
        <v>0</v>
      </c>
      <c r="G18693" t="str">
        <f>"2018-10-11 01:39:40"</f>
        <v>2018-10-11 01:39:40</v>
      </c>
    </row>
    <row r="18694" spans="1:7" x14ac:dyDescent="0.2">
      <c r="A18694" t="s">
        <v>1</v>
      </c>
      <c r="B18694" t="str">
        <f>"13073889342"</f>
        <v>13073889342</v>
      </c>
      <c r="C18694" t="s">
        <v>1</v>
      </c>
      <c r="D18694" t="s">
        <v>1</v>
      </c>
      <c r="E18694" t="s">
        <v>1</v>
      </c>
      <c r="F18694" t="s">
        <v>0</v>
      </c>
      <c r="G18694" t="str">
        <f>"2018-10-11 00:15:55"</f>
        <v>2018-10-11 00:15:55</v>
      </c>
    </row>
    <row r="18695" spans="1:7" x14ac:dyDescent="0.2">
      <c r="A18695" t="s">
        <v>17643</v>
      </c>
      <c r="B18695" t="str">
        <f>"18310345196"</f>
        <v>18310345196</v>
      </c>
      <c r="C18695" t="str">
        <f>"110222199909294828"</f>
        <v>110222199909294828</v>
      </c>
      <c r="D18695" t="s">
        <v>1</v>
      </c>
      <c r="E18695" t="s">
        <v>1</v>
      </c>
      <c r="F18695" t="s">
        <v>0</v>
      </c>
      <c r="G18695" t="str">
        <f>"2018-10-11 00:16:28"</f>
        <v>2018-10-11 00:16:28</v>
      </c>
    </row>
    <row r="18696" spans="1:7" x14ac:dyDescent="0.2">
      <c r="A18696" t="s">
        <v>17644</v>
      </c>
      <c r="B18696" t="str">
        <f>"18889959185"</f>
        <v>18889959185</v>
      </c>
      <c r="C18696" t="str">
        <f>"460027199111224418"</f>
        <v>460027199111224418</v>
      </c>
      <c r="D18696" t="s">
        <v>1</v>
      </c>
      <c r="E18696" t="s">
        <v>1</v>
      </c>
      <c r="F18696" t="s">
        <v>0</v>
      </c>
      <c r="G18696" t="str">
        <f>"2018-10-12 12:28:23"</f>
        <v>2018-10-12 12:28:23</v>
      </c>
    </row>
    <row r="18697" spans="1:7" x14ac:dyDescent="0.2">
      <c r="A18697" t="s">
        <v>17645</v>
      </c>
      <c r="B18697" t="str">
        <f>"13554422670"</f>
        <v>13554422670</v>
      </c>
      <c r="C18697" t="str">
        <f>"445224198911221213"</f>
        <v>445224198911221213</v>
      </c>
      <c r="D18697" t="s">
        <v>1</v>
      </c>
      <c r="E18697" t="s">
        <v>1</v>
      </c>
      <c r="F18697" t="s">
        <v>0</v>
      </c>
      <c r="G18697" t="str">
        <f>"2018-10-25 12:53:45"</f>
        <v>2018-10-25 12:53:45</v>
      </c>
    </row>
    <row r="18698" spans="1:7" x14ac:dyDescent="0.2">
      <c r="A18698" t="s">
        <v>1</v>
      </c>
      <c r="B18698" t="str">
        <f>"13119124026"</f>
        <v>13119124026</v>
      </c>
      <c r="C18698" t="s">
        <v>1</v>
      </c>
      <c r="D18698" t="s">
        <v>1</v>
      </c>
      <c r="E18698" t="s">
        <v>1</v>
      </c>
      <c r="F18698" t="s">
        <v>0</v>
      </c>
      <c r="G18698" t="str">
        <f>"2018-10-11 00:08:47"</f>
        <v>2018-10-11 00:08:47</v>
      </c>
    </row>
    <row r="18699" spans="1:7" x14ac:dyDescent="0.2">
      <c r="A18699" t="s">
        <v>17646</v>
      </c>
      <c r="B18699" t="str">
        <f>"15591133383"</f>
        <v>15591133383</v>
      </c>
      <c r="C18699" t="str">
        <f>"612601198212200014"</f>
        <v>612601198212200014</v>
      </c>
      <c r="D18699" t="s">
        <v>17647</v>
      </c>
      <c r="E18699" t="s">
        <v>17647</v>
      </c>
      <c r="F18699" t="s">
        <v>0</v>
      </c>
      <c r="G18699" t="str">
        <f>"2018-10-11 00:10:37"</f>
        <v>2018-10-11 00:10:37</v>
      </c>
    </row>
    <row r="18700" spans="1:7" x14ac:dyDescent="0.2">
      <c r="A18700" t="s">
        <v>623</v>
      </c>
      <c r="B18700" t="str">
        <f>"13786584475"</f>
        <v>13786584475</v>
      </c>
      <c r="C18700" t="str">
        <f>"431022198809105209"</f>
        <v>431022198809105209</v>
      </c>
      <c r="D18700" t="s">
        <v>1</v>
      </c>
      <c r="E18700" t="s">
        <v>1</v>
      </c>
      <c r="F18700" t="s">
        <v>0</v>
      </c>
      <c r="G18700" t="str">
        <f>"2018-10-11 00:07:29"</f>
        <v>2018-10-11 00:07:29</v>
      </c>
    </row>
    <row r="18701" spans="1:7" x14ac:dyDescent="0.2">
      <c r="A18701" t="s">
        <v>227</v>
      </c>
      <c r="B18701" t="str">
        <f>"15162440616"</f>
        <v>15162440616</v>
      </c>
      <c r="C18701" t="str">
        <f>"350821199611181573"</f>
        <v>350821199611181573</v>
      </c>
      <c r="D18701" t="s">
        <v>1</v>
      </c>
      <c r="E18701" t="s">
        <v>1</v>
      </c>
      <c r="F18701" t="s">
        <v>0</v>
      </c>
      <c r="G18701" t="str">
        <f>"2018-10-11 00:07:45"</f>
        <v>2018-10-11 00:07:45</v>
      </c>
    </row>
    <row r="18702" spans="1:7" x14ac:dyDescent="0.2">
      <c r="A18702" t="s">
        <v>17648</v>
      </c>
      <c r="B18702" t="str">
        <f>"15516566310"</f>
        <v>15516566310</v>
      </c>
      <c r="C18702" t="str">
        <f>"410711198805252011"</f>
        <v>410711198805252011</v>
      </c>
      <c r="D18702" t="s">
        <v>17649</v>
      </c>
      <c r="E18702" t="s">
        <v>17650</v>
      </c>
      <c r="F18702" t="s">
        <v>0</v>
      </c>
      <c r="G18702" t="str">
        <f>"2018-10-11 00:05:45"</f>
        <v>2018-10-11 00:05:45</v>
      </c>
    </row>
    <row r="18703" spans="1:7" x14ac:dyDescent="0.2">
      <c r="A18703" t="s">
        <v>17651</v>
      </c>
      <c r="B18703" t="str">
        <f>"13735489090"</f>
        <v>13735489090</v>
      </c>
      <c r="C18703" t="str">
        <f>"330124198907260337"</f>
        <v>330124198907260337</v>
      </c>
      <c r="D18703" t="s">
        <v>1</v>
      </c>
      <c r="E18703" t="s">
        <v>1</v>
      </c>
      <c r="F18703" t="s">
        <v>0</v>
      </c>
      <c r="G18703" t="str">
        <f>"2018-10-11 13:10:26"</f>
        <v>2018-10-11 13:10:26</v>
      </c>
    </row>
    <row r="18704" spans="1:7" x14ac:dyDescent="0.2">
      <c r="A18704" t="s">
        <v>1409</v>
      </c>
      <c r="B18704" t="str">
        <f>"13932512860"</f>
        <v>13932512860</v>
      </c>
      <c r="C18704" t="str">
        <f>"130229198702155015"</f>
        <v>130229198702155015</v>
      </c>
      <c r="D18704" t="s">
        <v>1</v>
      </c>
      <c r="E18704" t="s">
        <v>1</v>
      </c>
      <c r="F18704" t="s">
        <v>0</v>
      </c>
      <c r="G18704" t="str">
        <f>"2018-10-15 19:19:35"</f>
        <v>2018-10-15 19:19:35</v>
      </c>
    </row>
    <row r="18705" spans="1:7" x14ac:dyDescent="0.2">
      <c r="A18705" t="s">
        <v>17652</v>
      </c>
      <c r="B18705" t="str">
        <f>"13615433050"</f>
        <v>13615433050</v>
      </c>
      <c r="C18705" t="str">
        <f>"372324199412060012"</f>
        <v>372324199412060012</v>
      </c>
      <c r="D18705" t="s">
        <v>17653</v>
      </c>
      <c r="E18705" t="s">
        <v>17654</v>
      </c>
      <c r="F18705" t="s">
        <v>0</v>
      </c>
      <c r="G18705" t="str">
        <f>"2018-10-10 23:54:41"</f>
        <v>2018-10-10 23:54:41</v>
      </c>
    </row>
    <row r="18706" spans="1:7" x14ac:dyDescent="0.2">
      <c r="A18706" t="s">
        <v>1</v>
      </c>
      <c r="B18706" t="str">
        <f>"13737457659"</f>
        <v>13737457659</v>
      </c>
      <c r="C18706" t="s">
        <v>1</v>
      </c>
      <c r="D18706" t="s">
        <v>1</v>
      </c>
      <c r="E18706" t="s">
        <v>1</v>
      </c>
      <c r="F18706" t="s">
        <v>0</v>
      </c>
      <c r="G18706" t="str">
        <f>"2018-10-11 02:15:49"</f>
        <v>2018-10-11 02:15:49</v>
      </c>
    </row>
    <row r="18707" spans="1:7" x14ac:dyDescent="0.2">
      <c r="A18707" t="s">
        <v>17655</v>
      </c>
      <c r="B18707" t="str">
        <f>"18667422878"</f>
        <v>18667422878</v>
      </c>
      <c r="C18707" t="str">
        <f>"411323199510082114"</f>
        <v>411323199510082114</v>
      </c>
      <c r="D18707" t="s">
        <v>1</v>
      </c>
      <c r="E18707" t="s">
        <v>1</v>
      </c>
      <c r="F18707" t="s">
        <v>0</v>
      </c>
      <c r="G18707" t="str">
        <f>"2018-10-11 10:12:11"</f>
        <v>2018-10-11 10:12:11</v>
      </c>
    </row>
    <row r="18708" spans="1:7" x14ac:dyDescent="0.2">
      <c r="A18708" t="s">
        <v>1</v>
      </c>
      <c r="B18708" t="str">
        <f>"18088926597"</f>
        <v>18088926597</v>
      </c>
      <c r="C18708" t="s">
        <v>1</v>
      </c>
      <c r="D18708" t="s">
        <v>1</v>
      </c>
      <c r="E18708" t="s">
        <v>1</v>
      </c>
      <c r="F18708" t="s">
        <v>0</v>
      </c>
      <c r="G18708" t="str">
        <f>"2018-10-10 23:44:34"</f>
        <v>2018-10-10 23:44:34</v>
      </c>
    </row>
    <row r="18709" spans="1:7" x14ac:dyDescent="0.2">
      <c r="A18709" t="s">
        <v>17656</v>
      </c>
      <c r="B18709" t="str">
        <f>"13656997765"</f>
        <v>13656997765</v>
      </c>
      <c r="C18709" t="str">
        <f>"350322198201051017"</f>
        <v>350322198201051017</v>
      </c>
      <c r="D18709" t="s">
        <v>1</v>
      </c>
      <c r="E18709" t="s">
        <v>1</v>
      </c>
      <c r="F18709" t="s">
        <v>0</v>
      </c>
      <c r="G18709" t="str">
        <f>"2018-10-10 23:45:58"</f>
        <v>2018-10-10 23:45:58</v>
      </c>
    </row>
    <row r="18710" spans="1:7" x14ac:dyDescent="0.2">
      <c r="A18710" t="s">
        <v>17657</v>
      </c>
      <c r="B18710" t="str">
        <f>"17307897804"</f>
        <v>17307897804</v>
      </c>
      <c r="C18710" t="str">
        <f>"450722200109281536"</f>
        <v>450722200109281536</v>
      </c>
      <c r="D18710" t="s">
        <v>1</v>
      </c>
      <c r="E18710" t="s">
        <v>1</v>
      </c>
      <c r="F18710" t="s">
        <v>0</v>
      </c>
      <c r="G18710" t="str">
        <f>"2018-10-10 23:49:06"</f>
        <v>2018-10-10 23:49:06</v>
      </c>
    </row>
    <row r="18711" spans="1:7" x14ac:dyDescent="0.2">
      <c r="A18711" t="s">
        <v>17658</v>
      </c>
      <c r="B18711" t="str">
        <f>"13413056188"</f>
        <v>13413056188</v>
      </c>
      <c r="C18711" t="str">
        <f>"441322198006115559"</f>
        <v>441322198006115559</v>
      </c>
      <c r="D18711" t="s">
        <v>17659</v>
      </c>
      <c r="E18711" t="s">
        <v>17660</v>
      </c>
      <c r="F18711" t="s">
        <v>0</v>
      </c>
      <c r="G18711" t="str">
        <f>"2018-10-10 23:42:06"</f>
        <v>2018-10-10 23:42:06</v>
      </c>
    </row>
    <row r="18712" spans="1:7" x14ac:dyDescent="0.2">
      <c r="A18712" t="s">
        <v>17661</v>
      </c>
      <c r="B18712" t="str">
        <f>"15538500579"</f>
        <v>15538500579</v>
      </c>
      <c r="C18712" t="str">
        <f>"410323198407181514"</f>
        <v>410323198407181514</v>
      </c>
      <c r="D18712" t="s">
        <v>1</v>
      </c>
      <c r="E18712" t="s">
        <v>1</v>
      </c>
      <c r="F18712" t="s">
        <v>0</v>
      </c>
      <c r="G18712" t="str">
        <f>"2018-10-11 16:30:17"</f>
        <v>2018-10-11 16:30:17</v>
      </c>
    </row>
    <row r="18713" spans="1:7" x14ac:dyDescent="0.2">
      <c r="A18713" t="s">
        <v>17662</v>
      </c>
      <c r="B18713" t="str">
        <f>"15253376985"</f>
        <v>15253376985</v>
      </c>
      <c r="C18713" t="str">
        <f>"370982199106258017"</f>
        <v>370982199106258017</v>
      </c>
      <c r="D18713" t="s">
        <v>17663</v>
      </c>
      <c r="E18713" t="s">
        <v>17664</v>
      </c>
      <c r="F18713" t="s">
        <v>0</v>
      </c>
      <c r="G18713" t="str">
        <f>"2018-10-10 23:43:05"</f>
        <v>2018-10-10 23:43:05</v>
      </c>
    </row>
    <row r="18714" spans="1:7" x14ac:dyDescent="0.2">
      <c r="A18714" t="s">
        <v>17665</v>
      </c>
      <c r="B18714" t="str">
        <f>"13639157310"</f>
        <v>13639157310</v>
      </c>
      <c r="C18714" t="str">
        <f>"52020319891003644X"</f>
        <v>52020319891003644X</v>
      </c>
      <c r="D18714" t="s">
        <v>1</v>
      </c>
      <c r="E18714" t="s">
        <v>1</v>
      </c>
      <c r="F18714" t="s">
        <v>0</v>
      </c>
      <c r="G18714" t="str">
        <f>"2018-10-24 12:01:50"</f>
        <v>2018-10-24 12:01:50</v>
      </c>
    </row>
    <row r="18715" spans="1:7" x14ac:dyDescent="0.2">
      <c r="A18715" t="s">
        <v>1</v>
      </c>
      <c r="B18715" t="str">
        <f>"18994339643"</f>
        <v>18994339643</v>
      </c>
      <c r="C18715" t="s">
        <v>1</v>
      </c>
      <c r="D18715" t="s">
        <v>1</v>
      </c>
      <c r="E18715" t="s">
        <v>1</v>
      </c>
      <c r="F18715" t="s">
        <v>0</v>
      </c>
      <c r="G18715" t="str">
        <f>"2018-10-10 23:39:21"</f>
        <v>2018-10-10 23:39:21</v>
      </c>
    </row>
    <row r="18716" spans="1:7" x14ac:dyDescent="0.2">
      <c r="A18716" t="s">
        <v>17666</v>
      </c>
      <c r="B18716" t="str">
        <f>"17610758706"</f>
        <v>17610758706</v>
      </c>
      <c r="C18716" t="str">
        <f>"500234199504276654"</f>
        <v>500234199504276654</v>
      </c>
      <c r="D18716" t="s">
        <v>1</v>
      </c>
      <c r="E18716" t="s">
        <v>1</v>
      </c>
      <c r="F18716" t="s">
        <v>0</v>
      </c>
      <c r="G18716" t="str">
        <f>"2018-10-10 23:40:28"</f>
        <v>2018-10-10 23:40:28</v>
      </c>
    </row>
    <row r="18717" spans="1:7" x14ac:dyDescent="0.2">
      <c r="A18717" t="s">
        <v>1</v>
      </c>
      <c r="B18717" t="str">
        <f>"15577420542"</f>
        <v>15577420542</v>
      </c>
      <c r="C18717" t="s">
        <v>1</v>
      </c>
      <c r="D18717" t="s">
        <v>1</v>
      </c>
      <c r="E18717" t="s">
        <v>1</v>
      </c>
      <c r="F18717" t="s">
        <v>0</v>
      </c>
      <c r="G18717" t="str">
        <f>"2018-10-10 23:35:10"</f>
        <v>2018-10-10 23:35:10</v>
      </c>
    </row>
    <row r="18718" spans="1:7" x14ac:dyDescent="0.2">
      <c r="A18718" t="s">
        <v>1</v>
      </c>
      <c r="B18718" t="str">
        <f>"13004265059"</f>
        <v>13004265059</v>
      </c>
      <c r="C18718" t="s">
        <v>1</v>
      </c>
      <c r="D18718" t="s">
        <v>1</v>
      </c>
      <c r="E18718" t="s">
        <v>1</v>
      </c>
      <c r="F18718" t="s">
        <v>0</v>
      </c>
      <c r="G18718" t="str">
        <f>"2018-10-10 23:29:37"</f>
        <v>2018-10-10 23:29:37</v>
      </c>
    </row>
    <row r="18719" spans="1:7" x14ac:dyDescent="0.2">
      <c r="A18719" t="s">
        <v>17667</v>
      </c>
      <c r="B18719" t="str">
        <f>"13673530917"</f>
        <v>13673530917</v>
      </c>
      <c r="C18719" t="str">
        <f>"410724199907316510"</f>
        <v>410724199907316510</v>
      </c>
      <c r="D18719" t="s">
        <v>1</v>
      </c>
      <c r="E18719" t="s">
        <v>1</v>
      </c>
      <c r="F18719" t="s">
        <v>0</v>
      </c>
      <c r="G18719" t="str">
        <f>"2018-10-10 23:31:14"</f>
        <v>2018-10-10 23:31:14</v>
      </c>
    </row>
    <row r="18720" spans="1:7" x14ac:dyDescent="0.2">
      <c r="A18720" t="s">
        <v>17668</v>
      </c>
      <c r="B18720" t="str">
        <f>"15655206285"</f>
        <v>15655206285</v>
      </c>
      <c r="C18720" t="str">
        <f>"340321199909260179"</f>
        <v>340321199909260179</v>
      </c>
      <c r="D18720" t="s">
        <v>17669</v>
      </c>
      <c r="E18720" t="s">
        <v>17670</v>
      </c>
      <c r="F18720" t="s">
        <v>0</v>
      </c>
      <c r="G18720" t="str">
        <f>"2018-10-11 08:20:55"</f>
        <v>2018-10-11 08:20:55</v>
      </c>
    </row>
    <row r="18721" spans="1:7" x14ac:dyDescent="0.2">
      <c r="A18721" t="s">
        <v>17671</v>
      </c>
      <c r="B18721" t="str">
        <f>"18322800316"</f>
        <v>18322800316</v>
      </c>
      <c r="C18721" t="str">
        <f>"360281199303305437"</f>
        <v>360281199303305437</v>
      </c>
      <c r="D18721" t="s">
        <v>1</v>
      </c>
      <c r="E18721" t="s">
        <v>1</v>
      </c>
      <c r="F18721" t="s">
        <v>0</v>
      </c>
      <c r="G18721" t="str">
        <f>"2018-10-10 23:33:39"</f>
        <v>2018-10-10 23:33:39</v>
      </c>
    </row>
    <row r="18722" spans="1:7" x14ac:dyDescent="0.2">
      <c r="A18722" t="s">
        <v>17672</v>
      </c>
      <c r="B18722" t="str">
        <f>"18577379437"</f>
        <v>18577379437</v>
      </c>
      <c r="C18722" t="str">
        <f>"452323199006261613"</f>
        <v>452323199006261613</v>
      </c>
      <c r="D18722" t="s">
        <v>1</v>
      </c>
      <c r="E18722" t="s">
        <v>1</v>
      </c>
      <c r="F18722" t="s">
        <v>0</v>
      </c>
      <c r="G18722" t="str">
        <f>"2018-10-11 00:13:17"</f>
        <v>2018-10-11 00:13:17</v>
      </c>
    </row>
    <row r="18723" spans="1:7" x14ac:dyDescent="0.2">
      <c r="A18723" t="s">
        <v>970</v>
      </c>
      <c r="B18723" t="str">
        <f>"18765921456"</f>
        <v>18765921456</v>
      </c>
      <c r="C18723" t="str">
        <f>"230422198803170919"</f>
        <v>230422198803170919</v>
      </c>
      <c r="D18723" t="s">
        <v>1</v>
      </c>
      <c r="E18723" t="s">
        <v>1</v>
      </c>
      <c r="F18723" t="s">
        <v>0</v>
      </c>
      <c r="G18723" t="str">
        <f>"2018-10-11 19:10:04"</f>
        <v>2018-10-11 19:10:04</v>
      </c>
    </row>
    <row r="18724" spans="1:7" x14ac:dyDescent="0.2">
      <c r="A18724" t="s">
        <v>578</v>
      </c>
      <c r="B18724" t="str">
        <f>"13719504485"</f>
        <v>13719504485</v>
      </c>
      <c r="C18724" t="str">
        <f>"430902198707039012"</f>
        <v>430902198707039012</v>
      </c>
      <c r="D18724" t="s">
        <v>1</v>
      </c>
      <c r="E18724" t="s">
        <v>1</v>
      </c>
      <c r="F18724" t="s">
        <v>0</v>
      </c>
      <c r="G18724" t="str">
        <f>"2018-10-10 23:27:35"</f>
        <v>2018-10-10 23:27:35</v>
      </c>
    </row>
    <row r="18725" spans="1:7" x14ac:dyDescent="0.2">
      <c r="A18725" t="s">
        <v>1</v>
      </c>
      <c r="B18725" t="str">
        <f>"13586549241"</f>
        <v>13586549241</v>
      </c>
      <c r="C18725" t="s">
        <v>1</v>
      </c>
      <c r="D18725" t="s">
        <v>1</v>
      </c>
      <c r="E18725" t="s">
        <v>1</v>
      </c>
      <c r="F18725" t="s">
        <v>0</v>
      </c>
      <c r="G18725" t="str">
        <f>"2018-10-10 23:27:12"</f>
        <v>2018-10-10 23:27:12</v>
      </c>
    </row>
    <row r="18726" spans="1:7" x14ac:dyDescent="0.2">
      <c r="A18726" t="s">
        <v>17673</v>
      </c>
      <c r="B18726" t="str">
        <f>"13154246921"</f>
        <v>13154246921</v>
      </c>
      <c r="C18726" t="str">
        <f>"210727199511112150"</f>
        <v>210727199511112150</v>
      </c>
      <c r="D18726" t="s">
        <v>17674</v>
      </c>
      <c r="E18726" t="s">
        <v>17675</v>
      </c>
      <c r="F18726" t="s">
        <v>0</v>
      </c>
      <c r="G18726" t="str">
        <f>"2018-10-12 01:28:56"</f>
        <v>2018-10-12 01:28:56</v>
      </c>
    </row>
    <row r="18727" spans="1:7" x14ac:dyDescent="0.2">
      <c r="A18727" t="s">
        <v>17676</v>
      </c>
      <c r="B18727" t="str">
        <f>"15927118739"</f>
        <v>15927118739</v>
      </c>
      <c r="C18727" t="str">
        <f>"420303199602252016"</f>
        <v>420303199602252016</v>
      </c>
      <c r="D18727" t="s">
        <v>1</v>
      </c>
      <c r="E18727" t="s">
        <v>1</v>
      </c>
      <c r="F18727" t="s">
        <v>0</v>
      </c>
      <c r="G18727" t="str">
        <f>"2018-10-11 10:37:51"</f>
        <v>2018-10-11 10:37:51</v>
      </c>
    </row>
    <row r="18728" spans="1:7" x14ac:dyDescent="0.2">
      <c r="A18728" t="s">
        <v>17677</v>
      </c>
      <c r="B18728" t="str">
        <f>"15612063510"</f>
        <v>15612063510</v>
      </c>
      <c r="C18728" t="str">
        <f>"130402199107210927"</f>
        <v>130402199107210927</v>
      </c>
      <c r="D18728" t="s">
        <v>1</v>
      </c>
      <c r="E18728" t="s">
        <v>1</v>
      </c>
      <c r="F18728" t="s">
        <v>0</v>
      </c>
      <c r="G18728" t="str">
        <f>"2018-10-10 23:19:35"</f>
        <v>2018-10-10 23:19:35</v>
      </c>
    </row>
    <row r="18729" spans="1:7" x14ac:dyDescent="0.2">
      <c r="A18729" t="s">
        <v>1</v>
      </c>
      <c r="B18729" t="str">
        <f>"18665766014"</f>
        <v>18665766014</v>
      </c>
      <c r="C18729" t="s">
        <v>1</v>
      </c>
      <c r="D18729" t="s">
        <v>1</v>
      </c>
      <c r="E18729" t="s">
        <v>1</v>
      </c>
      <c r="F18729" t="s">
        <v>0</v>
      </c>
      <c r="G18729" t="str">
        <f>"2018-10-10 23:18:14"</f>
        <v>2018-10-10 23:18:14</v>
      </c>
    </row>
    <row r="18730" spans="1:7" x14ac:dyDescent="0.2">
      <c r="A18730" t="s">
        <v>17678</v>
      </c>
      <c r="B18730" t="str">
        <f>"13138057267"</f>
        <v>13138057267</v>
      </c>
      <c r="C18730" t="str">
        <f>"441481199505104846"</f>
        <v>441481199505104846</v>
      </c>
      <c r="D18730" t="s">
        <v>1</v>
      </c>
      <c r="E18730" t="s">
        <v>1</v>
      </c>
      <c r="F18730" t="s">
        <v>0</v>
      </c>
      <c r="G18730" t="str">
        <f>"2018-10-10 23:19:38"</f>
        <v>2018-10-10 23:19:38</v>
      </c>
    </row>
    <row r="18731" spans="1:7" x14ac:dyDescent="0.2">
      <c r="A18731" t="s">
        <v>1</v>
      </c>
      <c r="B18731" t="str">
        <f>"15012766271"</f>
        <v>15012766271</v>
      </c>
      <c r="C18731" t="s">
        <v>1</v>
      </c>
      <c r="D18731" t="s">
        <v>1</v>
      </c>
      <c r="E18731" t="s">
        <v>1</v>
      </c>
      <c r="F18731" t="s">
        <v>0</v>
      </c>
      <c r="G18731" t="str">
        <f>"2018-10-10 23:17:56"</f>
        <v>2018-10-10 23:17:56</v>
      </c>
    </row>
    <row r="18732" spans="1:7" x14ac:dyDescent="0.2">
      <c r="A18732" t="s">
        <v>17679</v>
      </c>
      <c r="B18732" t="str">
        <f>"15872714303"</f>
        <v>15872714303</v>
      </c>
      <c r="C18732" t="str">
        <f>"420325198705251140"</f>
        <v>420325198705251140</v>
      </c>
      <c r="D18732" t="s">
        <v>1</v>
      </c>
      <c r="E18732" t="s">
        <v>1</v>
      </c>
      <c r="F18732" t="s">
        <v>0</v>
      </c>
      <c r="G18732" t="str">
        <f>"2018-10-11 11:33:40"</f>
        <v>2018-10-11 11:33:40</v>
      </c>
    </row>
    <row r="18733" spans="1:7" x14ac:dyDescent="0.2">
      <c r="A18733" t="s">
        <v>17680</v>
      </c>
      <c r="B18733" t="str">
        <f>"13321406920"</f>
        <v>13321406920</v>
      </c>
      <c r="C18733" t="str">
        <f>"220204197806044221"</f>
        <v>220204197806044221</v>
      </c>
      <c r="D18733" t="s">
        <v>1</v>
      </c>
      <c r="E18733" t="s">
        <v>1</v>
      </c>
      <c r="F18733" t="s">
        <v>0</v>
      </c>
      <c r="G18733" t="str">
        <f>"2018-10-11 08:41:13"</f>
        <v>2018-10-11 08:41:13</v>
      </c>
    </row>
    <row r="18734" spans="1:7" x14ac:dyDescent="0.2">
      <c r="A18734" t="s">
        <v>1</v>
      </c>
      <c r="B18734" t="str">
        <f>"15958260484"</f>
        <v>15958260484</v>
      </c>
      <c r="C18734" t="s">
        <v>1</v>
      </c>
      <c r="D18734" t="s">
        <v>1</v>
      </c>
      <c r="E18734" t="s">
        <v>1</v>
      </c>
      <c r="F18734" t="s">
        <v>0</v>
      </c>
      <c r="G18734" t="str">
        <f>"2018-10-10 23:25:53"</f>
        <v>2018-10-10 23:25:53</v>
      </c>
    </row>
    <row r="18735" spans="1:7" x14ac:dyDescent="0.2">
      <c r="A18735" t="s">
        <v>615</v>
      </c>
      <c r="B18735" t="str">
        <f>"18035105188"</f>
        <v>18035105188</v>
      </c>
      <c r="C18735" t="str">
        <f>"142725198410226016"</f>
        <v>142725198410226016</v>
      </c>
      <c r="D18735" t="s">
        <v>1</v>
      </c>
      <c r="E18735" t="s">
        <v>1</v>
      </c>
      <c r="F18735" t="s">
        <v>0</v>
      </c>
      <c r="G18735" t="str">
        <f>"2018-10-10 23:17:20"</f>
        <v>2018-10-10 23:17:20</v>
      </c>
    </row>
    <row r="18736" spans="1:7" x14ac:dyDescent="0.2">
      <c r="A18736" t="s">
        <v>1281</v>
      </c>
      <c r="B18736" t="str">
        <f>"13559194306"</f>
        <v>13559194306</v>
      </c>
      <c r="C18736" t="str">
        <f>"350102197707160842"</f>
        <v>350102197707160842</v>
      </c>
      <c r="D18736" t="s">
        <v>1</v>
      </c>
      <c r="E18736" t="s">
        <v>1</v>
      </c>
      <c r="F18736" t="s">
        <v>0</v>
      </c>
      <c r="G18736" t="str">
        <f>"2018-10-10 23:15:27"</f>
        <v>2018-10-10 23:15:27</v>
      </c>
    </row>
    <row r="18737" spans="1:7" x14ac:dyDescent="0.2">
      <c r="A18737" t="s">
        <v>17681</v>
      </c>
      <c r="B18737" t="str">
        <f>"18951458568"</f>
        <v>18951458568</v>
      </c>
      <c r="C18737" t="str">
        <f>"32032419950720062X"</f>
        <v>32032419950720062X</v>
      </c>
      <c r="D18737" t="s">
        <v>1</v>
      </c>
      <c r="E18737" t="s">
        <v>1</v>
      </c>
      <c r="F18737" t="s">
        <v>0</v>
      </c>
      <c r="G18737" t="str">
        <f>"2018-10-10 23:13:51"</f>
        <v>2018-10-10 23:13:51</v>
      </c>
    </row>
    <row r="18738" spans="1:7" x14ac:dyDescent="0.2">
      <c r="A18738" t="s">
        <v>17682</v>
      </c>
      <c r="B18738" t="str">
        <f>"15194468983"</f>
        <v>15194468983</v>
      </c>
      <c r="C18738" t="str">
        <f>"411526199311300035"</f>
        <v>411526199311300035</v>
      </c>
      <c r="D18738" t="s">
        <v>1</v>
      </c>
      <c r="E18738" t="s">
        <v>1</v>
      </c>
      <c r="F18738" t="s">
        <v>0</v>
      </c>
      <c r="G18738" t="str">
        <f>"2018-10-10 23:19:00"</f>
        <v>2018-10-10 23:19:00</v>
      </c>
    </row>
    <row r="18739" spans="1:7" x14ac:dyDescent="0.2">
      <c r="A18739" t="s">
        <v>1</v>
      </c>
      <c r="B18739" t="str">
        <f>"13289327462"</f>
        <v>13289327462</v>
      </c>
      <c r="C18739" t="s">
        <v>1</v>
      </c>
      <c r="D18739" t="s">
        <v>1</v>
      </c>
      <c r="E18739" t="s">
        <v>1</v>
      </c>
      <c r="F18739" t="s">
        <v>0</v>
      </c>
      <c r="G18739" t="str">
        <f>"2018-10-10 23:09:20"</f>
        <v>2018-10-10 23:09:20</v>
      </c>
    </row>
    <row r="18740" spans="1:7" x14ac:dyDescent="0.2">
      <c r="A18740" t="s">
        <v>17683</v>
      </c>
      <c r="B18740" t="str">
        <f>"13261880269"</f>
        <v>13261880269</v>
      </c>
      <c r="C18740" t="str">
        <f>"130821199703256025"</f>
        <v>130821199703256025</v>
      </c>
      <c r="D18740" t="s">
        <v>1</v>
      </c>
      <c r="E18740" t="s">
        <v>1</v>
      </c>
      <c r="F18740" t="s">
        <v>0</v>
      </c>
      <c r="G18740" t="str">
        <f>"2018-10-10 23:09:59"</f>
        <v>2018-10-10 23:09:59</v>
      </c>
    </row>
    <row r="18741" spans="1:7" x14ac:dyDescent="0.2">
      <c r="A18741" t="s">
        <v>178</v>
      </c>
      <c r="B18741" t="str">
        <f>"15017775224"</f>
        <v>15017775224</v>
      </c>
      <c r="C18741" t="str">
        <f>"430623199710028357"</f>
        <v>430623199710028357</v>
      </c>
      <c r="D18741" t="s">
        <v>1</v>
      </c>
      <c r="E18741" t="s">
        <v>1</v>
      </c>
      <c r="F18741" t="s">
        <v>0</v>
      </c>
      <c r="G18741" t="str">
        <f>"2018-10-10 23:15:11"</f>
        <v>2018-10-10 23:15:11</v>
      </c>
    </row>
    <row r="18742" spans="1:7" x14ac:dyDescent="0.2">
      <c r="A18742" t="s">
        <v>1</v>
      </c>
      <c r="B18742" t="str">
        <f>"18781690512"</f>
        <v>18781690512</v>
      </c>
      <c r="C18742" t="s">
        <v>1</v>
      </c>
      <c r="D18742" t="s">
        <v>1</v>
      </c>
      <c r="E18742" t="s">
        <v>1</v>
      </c>
      <c r="F18742" t="s">
        <v>0</v>
      </c>
      <c r="G18742" t="str">
        <f>"2018-10-10 23:07:03"</f>
        <v>2018-10-10 23:07:03</v>
      </c>
    </row>
    <row r="18743" spans="1:7" x14ac:dyDescent="0.2">
      <c r="A18743" t="s">
        <v>17684</v>
      </c>
      <c r="B18743" t="str">
        <f>"18034068710"</f>
        <v>18034068710</v>
      </c>
      <c r="C18743" t="str">
        <f>"131081198511052529"</f>
        <v>131081198511052529</v>
      </c>
      <c r="D18743" t="s">
        <v>1</v>
      </c>
      <c r="E18743" t="s">
        <v>1</v>
      </c>
      <c r="F18743" t="s">
        <v>0</v>
      </c>
      <c r="G18743" t="str">
        <f>"2018-10-10 23:08:33"</f>
        <v>2018-10-10 23:08:33</v>
      </c>
    </row>
    <row r="18744" spans="1:7" x14ac:dyDescent="0.2">
      <c r="A18744" t="s">
        <v>17685</v>
      </c>
      <c r="B18744" t="str">
        <f>"17696513813"</f>
        <v>17696513813</v>
      </c>
      <c r="C18744" t="str">
        <f>"320324199409281593"</f>
        <v>320324199409281593</v>
      </c>
      <c r="D18744" t="s">
        <v>1</v>
      </c>
      <c r="E18744" t="s">
        <v>1</v>
      </c>
      <c r="F18744" t="s">
        <v>0</v>
      </c>
      <c r="G18744" t="str">
        <f>"2018-10-10 23:07:10"</f>
        <v>2018-10-10 23:07:10</v>
      </c>
    </row>
    <row r="18745" spans="1:7" x14ac:dyDescent="0.2">
      <c r="A18745" t="s">
        <v>17686</v>
      </c>
      <c r="B18745" t="str">
        <f>"13049076766"</f>
        <v>13049076766</v>
      </c>
      <c r="C18745" t="str">
        <f>"440508198704222012"</f>
        <v>440508198704222012</v>
      </c>
      <c r="D18745" t="s">
        <v>1</v>
      </c>
      <c r="E18745" t="s">
        <v>1</v>
      </c>
      <c r="F18745" t="s">
        <v>0</v>
      </c>
      <c r="G18745" t="str">
        <f>"2018-11-02 03:04:57"</f>
        <v>2018-11-02 03:04:57</v>
      </c>
    </row>
    <row r="18746" spans="1:7" x14ac:dyDescent="0.2">
      <c r="A18746" t="s">
        <v>17687</v>
      </c>
      <c r="B18746" t="str">
        <f>"13834061182"</f>
        <v>13834061182</v>
      </c>
      <c r="C18746" t="str">
        <f>"410882198007023063"</f>
        <v>410882198007023063</v>
      </c>
      <c r="D18746" t="s">
        <v>17688</v>
      </c>
      <c r="E18746" t="s">
        <v>17689</v>
      </c>
      <c r="F18746" t="s">
        <v>0</v>
      </c>
      <c r="G18746" t="str">
        <f>"2018-10-10 23:07:01"</f>
        <v>2018-10-10 23:07:01</v>
      </c>
    </row>
    <row r="18747" spans="1:7" x14ac:dyDescent="0.2">
      <c r="A18747" t="s">
        <v>17690</v>
      </c>
      <c r="B18747" t="str">
        <f>"15013086140"</f>
        <v>15013086140</v>
      </c>
      <c r="C18747" t="str">
        <f>"430481199802082185"</f>
        <v>430481199802082185</v>
      </c>
      <c r="D18747" t="s">
        <v>1</v>
      </c>
      <c r="E18747" t="s">
        <v>1</v>
      </c>
      <c r="F18747" t="s">
        <v>0</v>
      </c>
      <c r="G18747" t="str">
        <f>"2018-10-10 23:07:13"</f>
        <v>2018-10-10 23:07:13</v>
      </c>
    </row>
    <row r="18748" spans="1:7" x14ac:dyDescent="0.2">
      <c r="A18748" t="s">
        <v>17691</v>
      </c>
      <c r="B18748" t="str">
        <f>"15983494222"</f>
        <v>15983494222</v>
      </c>
      <c r="C18748" t="str">
        <f>"511621199308113113"</f>
        <v>511621199308113113</v>
      </c>
      <c r="D18748" t="s">
        <v>1</v>
      </c>
      <c r="E18748" t="s">
        <v>1</v>
      </c>
      <c r="F18748" t="s">
        <v>0</v>
      </c>
      <c r="G18748" t="str">
        <f>"2018-10-10 23:06:14"</f>
        <v>2018-10-10 23:06:14</v>
      </c>
    </row>
    <row r="18749" spans="1:7" x14ac:dyDescent="0.2">
      <c r="A18749" t="s">
        <v>17692</v>
      </c>
      <c r="B18749" t="str">
        <f>"15874423232"</f>
        <v>15874423232</v>
      </c>
      <c r="C18749" t="str">
        <f>"430802199304260045"</f>
        <v>430802199304260045</v>
      </c>
      <c r="D18749" t="s">
        <v>9246</v>
      </c>
      <c r="E18749" t="s">
        <v>17693</v>
      </c>
      <c r="F18749" t="s">
        <v>0</v>
      </c>
      <c r="G18749" t="str">
        <f>"2018-10-10 23:15:38"</f>
        <v>2018-10-10 23:15:38</v>
      </c>
    </row>
    <row r="18750" spans="1:7" x14ac:dyDescent="0.2">
      <c r="A18750" t="s">
        <v>17694</v>
      </c>
      <c r="B18750" t="str">
        <f>"15111011522"</f>
        <v>15111011522</v>
      </c>
      <c r="C18750" t="str">
        <f>"430821199111183812"</f>
        <v>430821199111183812</v>
      </c>
      <c r="D18750" t="s">
        <v>1</v>
      </c>
      <c r="E18750" t="s">
        <v>1</v>
      </c>
      <c r="F18750" t="s">
        <v>0</v>
      </c>
      <c r="G18750" t="str">
        <f>"2018-10-19 00:08:26"</f>
        <v>2018-10-19 00:08:26</v>
      </c>
    </row>
    <row r="18751" spans="1:7" x14ac:dyDescent="0.2">
      <c r="A18751" t="s">
        <v>17695</v>
      </c>
      <c r="B18751" t="str">
        <f>"18899771577"</f>
        <v>18899771577</v>
      </c>
      <c r="C18751" t="str">
        <f>"430124198111121431"</f>
        <v>430124198111121431</v>
      </c>
      <c r="D18751" t="s">
        <v>17696</v>
      </c>
      <c r="E18751" t="s">
        <v>17697</v>
      </c>
      <c r="F18751" t="s">
        <v>0</v>
      </c>
      <c r="G18751" t="str">
        <f>"2018-10-10 23:04:21"</f>
        <v>2018-10-10 23:04:21</v>
      </c>
    </row>
    <row r="18752" spans="1:7" x14ac:dyDescent="0.2">
      <c r="A18752" t="s">
        <v>17698</v>
      </c>
      <c r="B18752" t="str">
        <f>"18476088874"</f>
        <v>18476088874</v>
      </c>
      <c r="C18752" t="str">
        <f>"440782199805262119"</f>
        <v>440782199805262119</v>
      </c>
      <c r="D18752" t="s">
        <v>1</v>
      </c>
      <c r="E18752" t="s">
        <v>1</v>
      </c>
      <c r="F18752" t="s">
        <v>0</v>
      </c>
      <c r="G18752" t="str">
        <f>"2018-10-10 23:06:24"</f>
        <v>2018-10-10 23:06:24</v>
      </c>
    </row>
    <row r="18753" spans="1:7" x14ac:dyDescent="0.2">
      <c r="A18753" t="s">
        <v>17699</v>
      </c>
      <c r="B18753" t="str">
        <f>"13414849747"</f>
        <v>13414849747</v>
      </c>
      <c r="C18753" t="str">
        <f>"440582200008116957"</f>
        <v>440582200008116957</v>
      </c>
      <c r="D18753" t="s">
        <v>1</v>
      </c>
      <c r="E18753" t="s">
        <v>1</v>
      </c>
      <c r="F18753" t="s">
        <v>0</v>
      </c>
      <c r="G18753" t="str">
        <f>"2018-10-10 22:58:44"</f>
        <v>2018-10-10 22:58:44</v>
      </c>
    </row>
    <row r="18754" spans="1:7" x14ac:dyDescent="0.2">
      <c r="A18754" t="s">
        <v>12172</v>
      </c>
      <c r="B18754" t="str">
        <f>"18581592347"</f>
        <v>18581592347</v>
      </c>
      <c r="C18754" t="str">
        <f>"511028199908306711"</f>
        <v>511028199908306711</v>
      </c>
      <c r="D18754" t="s">
        <v>1</v>
      </c>
      <c r="E18754" t="s">
        <v>1</v>
      </c>
      <c r="F18754" t="s">
        <v>0</v>
      </c>
      <c r="G18754" t="str">
        <f>"2018-10-10 22:58:49"</f>
        <v>2018-10-10 22:58:49</v>
      </c>
    </row>
    <row r="18755" spans="1:7" x14ac:dyDescent="0.2">
      <c r="A18755" t="s">
        <v>1</v>
      </c>
      <c r="B18755" t="str">
        <f>"15266954837"</f>
        <v>15266954837</v>
      </c>
      <c r="C18755" t="s">
        <v>1</v>
      </c>
      <c r="D18755" t="s">
        <v>1</v>
      </c>
      <c r="E18755" t="s">
        <v>1</v>
      </c>
      <c r="F18755" t="s">
        <v>0</v>
      </c>
      <c r="G18755" t="str">
        <f>"2018-10-28 20:28:44"</f>
        <v>2018-10-28 20:28:44</v>
      </c>
    </row>
    <row r="18756" spans="1:7" x14ac:dyDescent="0.2">
      <c r="A18756" t="s">
        <v>1</v>
      </c>
      <c r="B18756" t="str">
        <f>"15677898498"</f>
        <v>15677898498</v>
      </c>
      <c r="C18756" t="s">
        <v>1</v>
      </c>
      <c r="D18756" t="s">
        <v>1</v>
      </c>
      <c r="E18756" t="s">
        <v>1</v>
      </c>
      <c r="F18756" t="s">
        <v>0</v>
      </c>
      <c r="G18756" t="str">
        <f>"2018-10-10 22:55:08"</f>
        <v>2018-10-10 22:55:08</v>
      </c>
    </row>
    <row r="18757" spans="1:7" x14ac:dyDescent="0.2">
      <c r="A18757" t="s">
        <v>17700</v>
      </c>
      <c r="B18757" t="str">
        <f>"13828851031"</f>
        <v>13828851031</v>
      </c>
      <c r="C18757" t="str">
        <f>"440921198809252034"</f>
        <v>440921198809252034</v>
      </c>
      <c r="D18757" t="s">
        <v>1</v>
      </c>
      <c r="E18757" t="s">
        <v>1</v>
      </c>
      <c r="F18757" t="s">
        <v>0</v>
      </c>
      <c r="G18757" t="str">
        <f>"2018-10-10 22:55:21"</f>
        <v>2018-10-10 22:55:21</v>
      </c>
    </row>
    <row r="18758" spans="1:7" x14ac:dyDescent="0.2">
      <c r="A18758" t="s">
        <v>1611</v>
      </c>
      <c r="B18758" t="str">
        <f>"13734794853"</f>
        <v>13734794853</v>
      </c>
      <c r="C18758" t="str">
        <f>"211223199111276015"</f>
        <v>211223199111276015</v>
      </c>
      <c r="D18758" t="s">
        <v>1</v>
      </c>
      <c r="E18758" t="s">
        <v>1</v>
      </c>
      <c r="F18758" t="s">
        <v>0</v>
      </c>
      <c r="G18758" t="str">
        <f>"2018-10-10 22:51:46"</f>
        <v>2018-10-10 22:51:46</v>
      </c>
    </row>
    <row r="18759" spans="1:7" x14ac:dyDescent="0.2">
      <c r="A18759" t="s">
        <v>17701</v>
      </c>
      <c r="B18759" t="str">
        <f>"18396972530"</f>
        <v>18396972530</v>
      </c>
      <c r="C18759" t="str">
        <f>"511528199510062435"</f>
        <v>511528199510062435</v>
      </c>
      <c r="D18759" t="s">
        <v>1</v>
      </c>
      <c r="E18759" t="s">
        <v>1</v>
      </c>
      <c r="F18759" t="s">
        <v>0</v>
      </c>
      <c r="G18759" t="str">
        <f>"2018-10-10 22:48:08"</f>
        <v>2018-10-10 22:48:08</v>
      </c>
    </row>
    <row r="18760" spans="1:7" x14ac:dyDescent="0.2">
      <c r="A18760" t="s">
        <v>17702</v>
      </c>
      <c r="B18760" t="str">
        <f>"18733083928"</f>
        <v>18733083928</v>
      </c>
      <c r="C18760" t="str">
        <f>"130925198711135422"</f>
        <v>130925198711135422</v>
      </c>
      <c r="D18760" t="s">
        <v>1</v>
      </c>
      <c r="E18760" t="s">
        <v>1</v>
      </c>
      <c r="F18760" t="s">
        <v>0</v>
      </c>
      <c r="G18760" t="str">
        <f>"2018-10-10 22:46:20"</f>
        <v>2018-10-10 22:46:20</v>
      </c>
    </row>
    <row r="18761" spans="1:7" x14ac:dyDescent="0.2">
      <c r="A18761" t="s">
        <v>10330</v>
      </c>
      <c r="B18761" t="str">
        <f>"18121695728"</f>
        <v>18121695728</v>
      </c>
      <c r="C18761" t="str">
        <f>"32082619920324384X"</f>
        <v>32082619920324384X</v>
      </c>
      <c r="D18761" t="s">
        <v>1</v>
      </c>
      <c r="E18761" t="s">
        <v>1</v>
      </c>
      <c r="F18761" t="s">
        <v>0</v>
      </c>
      <c r="G18761" t="str">
        <f>"2018-10-10 22:45:46"</f>
        <v>2018-10-10 22:45:46</v>
      </c>
    </row>
    <row r="18762" spans="1:7" x14ac:dyDescent="0.2">
      <c r="A18762" t="s">
        <v>1326</v>
      </c>
      <c r="B18762" t="str">
        <f>"18882043587"</f>
        <v>18882043587</v>
      </c>
      <c r="C18762" t="str">
        <f>"510322199008054317"</f>
        <v>510322199008054317</v>
      </c>
      <c r="D18762" t="s">
        <v>1</v>
      </c>
      <c r="E18762" t="s">
        <v>1</v>
      </c>
      <c r="F18762" t="s">
        <v>0</v>
      </c>
      <c r="G18762" t="str">
        <f>"2018-10-10 22:46:25"</f>
        <v>2018-10-10 22:46:25</v>
      </c>
    </row>
    <row r="18763" spans="1:7" x14ac:dyDescent="0.2">
      <c r="A18763" t="s">
        <v>17703</v>
      </c>
      <c r="B18763" t="str">
        <f>"18876027871"</f>
        <v>18876027871</v>
      </c>
      <c r="C18763" t="str">
        <f>"350721198704080827"</f>
        <v>350721198704080827</v>
      </c>
      <c r="D18763" t="s">
        <v>1</v>
      </c>
      <c r="E18763" t="s">
        <v>1</v>
      </c>
      <c r="F18763" t="s">
        <v>0</v>
      </c>
      <c r="G18763" t="str">
        <f>"2018-10-10 22:44:40"</f>
        <v>2018-10-10 22:44:40</v>
      </c>
    </row>
    <row r="18764" spans="1:7" x14ac:dyDescent="0.2">
      <c r="A18764" t="s">
        <v>17704</v>
      </c>
      <c r="B18764" t="str">
        <f>"13631677364"</f>
        <v>13631677364</v>
      </c>
      <c r="C18764" t="str">
        <f>"441422199207120039"</f>
        <v>441422199207120039</v>
      </c>
      <c r="D18764" t="s">
        <v>1</v>
      </c>
      <c r="E18764" t="s">
        <v>1</v>
      </c>
      <c r="F18764" t="s">
        <v>0</v>
      </c>
      <c r="G18764" t="str">
        <f>"2018-10-10 22:40:56"</f>
        <v>2018-10-10 22:40:56</v>
      </c>
    </row>
    <row r="18765" spans="1:7" x14ac:dyDescent="0.2">
      <c r="A18765" t="s">
        <v>8265</v>
      </c>
      <c r="B18765" t="str">
        <f>"18694908734"</f>
        <v>18694908734</v>
      </c>
      <c r="C18765" t="str">
        <f>"320924198907066894"</f>
        <v>320924198907066894</v>
      </c>
      <c r="D18765" t="s">
        <v>1</v>
      </c>
      <c r="E18765" t="s">
        <v>1</v>
      </c>
      <c r="F18765" t="s">
        <v>0</v>
      </c>
      <c r="G18765" t="str">
        <f>"2018-10-12 10:46:19"</f>
        <v>2018-10-12 10:46:19</v>
      </c>
    </row>
    <row r="18766" spans="1:7" x14ac:dyDescent="0.2">
      <c r="A18766" t="s">
        <v>17705</v>
      </c>
      <c r="B18766" t="str">
        <f>"15919118960"</f>
        <v>15919118960</v>
      </c>
      <c r="C18766" t="str">
        <f>"412726197512155471"</f>
        <v>412726197512155471</v>
      </c>
      <c r="D18766" t="s">
        <v>1</v>
      </c>
      <c r="E18766" t="s">
        <v>1</v>
      </c>
      <c r="F18766" t="s">
        <v>0</v>
      </c>
      <c r="G18766" t="str">
        <f>"2018-10-10 22:38:08"</f>
        <v>2018-10-10 22:38:08</v>
      </c>
    </row>
    <row r="18767" spans="1:7" x14ac:dyDescent="0.2">
      <c r="A18767" t="s">
        <v>17706</v>
      </c>
      <c r="B18767" t="str">
        <f>"18577394791"</f>
        <v>18577394791</v>
      </c>
      <c r="C18767" t="str">
        <f>"450331200003202718"</f>
        <v>450331200003202718</v>
      </c>
      <c r="D18767" t="s">
        <v>1</v>
      </c>
      <c r="E18767" t="s">
        <v>1</v>
      </c>
      <c r="F18767" t="s">
        <v>0</v>
      </c>
      <c r="G18767" t="str">
        <f>"2018-10-10 22:36:45"</f>
        <v>2018-10-10 22:36:45</v>
      </c>
    </row>
    <row r="18768" spans="1:7" x14ac:dyDescent="0.2">
      <c r="A18768" t="s">
        <v>17707</v>
      </c>
      <c r="B18768" t="str">
        <f>"13826385222"</f>
        <v>13826385222</v>
      </c>
      <c r="C18768" t="str">
        <f>"440202197305070016"</f>
        <v>440202197305070016</v>
      </c>
      <c r="D18768" t="s">
        <v>1</v>
      </c>
      <c r="E18768" t="s">
        <v>1</v>
      </c>
      <c r="F18768" t="s">
        <v>0</v>
      </c>
      <c r="G18768" t="str">
        <f>"2018-10-10 22:36:02"</f>
        <v>2018-10-10 22:36:02</v>
      </c>
    </row>
    <row r="18769" spans="1:7" x14ac:dyDescent="0.2">
      <c r="A18769" t="s">
        <v>17708</v>
      </c>
      <c r="B18769" t="str">
        <f>"13676726659"</f>
        <v>13676726659</v>
      </c>
      <c r="C18769" t="str">
        <f>"422101198404167615"</f>
        <v>422101198404167615</v>
      </c>
      <c r="D18769" t="s">
        <v>17709</v>
      </c>
      <c r="E18769" t="s">
        <v>17710</v>
      </c>
      <c r="F18769" t="s">
        <v>0</v>
      </c>
      <c r="G18769" t="str">
        <f>"2018-10-10 22:34:46"</f>
        <v>2018-10-10 22:34:46</v>
      </c>
    </row>
    <row r="18770" spans="1:7" x14ac:dyDescent="0.2">
      <c r="A18770" t="s">
        <v>17711</v>
      </c>
      <c r="B18770" t="str">
        <f>"18352041381"</f>
        <v>18352041381</v>
      </c>
      <c r="C18770" t="str">
        <f>"320982199705300871"</f>
        <v>320982199705300871</v>
      </c>
      <c r="D18770" t="s">
        <v>1</v>
      </c>
      <c r="E18770" t="s">
        <v>1</v>
      </c>
      <c r="F18770" t="s">
        <v>0</v>
      </c>
      <c r="G18770" t="str">
        <f>"2018-10-10 22:32:54"</f>
        <v>2018-10-10 22:32:54</v>
      </c>
    </row>
    <row r="18771" spans="1:7" x14ac:dyDescent="0.2">
      <c r="A18771" t="s">
        <v>1</v>
      </c>
      <c r="B18771" t="str">
        <f>"17351512929"</f>
        <v>17351512929</v>
      </c>
      <c r="C18771" t="s">
        <v>1</v>
      </c>
      <c r="D18771" t="s">
        <v>1</v>
      </c>
      <c r="E18771" t="s">
        <v>1</v>
      </c>
      <c r="F18771" t="s">
        <v>0</v>
      </c>
      <c r="G18771" t="str">
        <f>"2018-10-10 22:31:10"</f>
        <v>2018-10-10 22:31:10</v>
      </c>
    </row>
    <row r="18772" spans="1:7" x14ac:dyDescent="0.2">
      <c r="A18772" t="s">
        <v>14737</v>
      </c>
      <c r="B18772" t="str">
        <f>"18587331931"</f>
        <v>18587331931</v>
      </c>
      <c r="C18772" t="str">
        <f>"530322199309051914"</f>
        <v>530322199309051914</v>
      </c>
      <c r="D18772" t="s">
        <v>1</v>
      </c>
      <c r="E18772" t="s">
        <v>1</v>
      </c>
      <c r="F18772" t="s">
        <v>0</v>
      </c>
      <c r="G18772" t="str">
        <f>"2018-10-10 22:33:40"</f>
        <v>2018-10-10 22:33:40</v>
      </c>
    </row>
    <row r="18773" spans="1:7" x14ac:dyDescent="0.2">
      <c r="A18773" t="s">
        <v>1</v>
      </c>
      <c r="B18773" t="str">
        <f>"15768706912"</f>
        <v>15768706912</v>
      </c>
      <c r="C18773" t="s">
        <v>1</v>
      </c>
      <c r="D18773" t="s">
        <v>1</v>
      </c>
      <c r="E18773" t="s">
        <v>1</v>
      </c>
      <c r="F18773" t="s">
        <v>0</v>
      </c>
      <c r="G18773" t="str">
        <f>"2018-10-30 22:04:19"</f>
        <v>2018-10-30 22:04:19</v>
      </c>
    </row>
    <row r="18774" spans="1:7" x14ac:dyDescent="0.2">
      <c r="A18774" t="s">
        <v>17712</v>
      </c>
      <c r="B18774" t="str">
        <f>"15222262065"</f>
        <v>15222262065</v>
      </c>
      <c r="C18774" t="str">
        <f>"120103198908104511"</f>
        <v>120103198908104511</v>
      </c>
      <c r="D18774" t="s">
        <v>17713</v>
      </c>
      <c r="E18774" t="s">
        <v>17714</v>
      </c>
      <c r="F18774" t="s">
        <v>0</v>
      </c>
      <c r="G18774" t="str">
        <f>"2018-10-30 17:04:56"</f>
        <v>2018-10-30 17:04:56</v>
      </c>
    </row>
    <row r="18775" spans="1:7" x14ac:dyDescent="0.2">
      <c r="A18775" t="s">
        <v>17715</v>
      </c>
      <c r="B18775" t="str">
        <f>"15928014842"</f>
        <v>15928014842</v>
      </c>
      <c r="C18775" t="str">
        <f>"511322198810187711"</f>
        <v>511322198810187711</v>
      </c>
      <c r="D18775" t="s">
        <v>17716</v>
      </c>
      <c r="E18775" t="s">
        <v>17717</v>
      </c>
      <c r="F18775" t="s">
        <v>0</v>
      </c>
      <c r="G18775" t="str">
        <f>"2018-10-13 12:37:42"</f>
        <v>2018-10-13 12:37:42</v>
      </c>
    </row>
    <row r="18776" spans="1:7" x14ac:dyDescent="0.2">
      <c r="A18776" t="s">
        <v>17718</v>
      </c>
      <c r="B18776" t="str">
        <f>"15907161387"</f>
        <v>15907161387</v>
      </c>
      <c r="C18776" t="str">
        <f>"420922195807130075"</f>
        <v>420922195807130075</v>
      </c>
      <c r="D18776" t="s">
        <v>17719</v>
      </c>
      <c r="E18776" t="s">
        <v>17720</v>
      </c>
      <c r="F18776" t="s">
        <v>0</v>
      </c>
      <c r="G18776" t="str">
        <f>"2018-10-28 00:22:45"</f>
        <v>2018-10-28 00:22:45</v>
      </c>
    </row>
    <row r="18777" spans="1:7" x14ac:dyDescent="0.2">
      <c r="A18777" t="s">
        <v>1</v>
      </c>
      <c r="B18777" t="str">
        <f>"13207774200"</f>
        <v>13207774200</v>
      </c>
      <c r="C18777" t="s">
        <v>1</v>
      </c>
      <c r="D18777" t="s">
        <v>1</v>
      </c>
      <c r="E18777" t="s">
        <v>1</v>
      </c>
      <c r="F18777" t="s">
        <v>0</v>
      </c>
      <c r="G18777" t="str">
        <f>"2018-10-10 22:28:10"</f>
        <v>2018-10-10 22:28:10</v>
      </c>
    </row>
    <row r="18778" spans="1:7" x14ac:dyDescent="0.2">
      <c r="A18778" t="s">
        <v>17721</v>
      </c>
      <c r="B18778" t="str">
        <f>"13913904983"</f>
        <v>13913904983</v>
      </c>
      <c r="C18778" t="str">
        <f>"320113198304093612"</f>
        <v>320113198304093612</v>
      </c>
      <c r="D18778" t="s">
        <v>17722</v>
      </c>
      <c r="E18778" t="s">
        <v>17723</v>
      </c>
      <c r="F18778" t="s">
        <v>0</v>
      </c>
      <c r="G18778" t="str">
        <f>"2018-10-10 22:29:29"</f>
        <v>2018-10-10 22:29:29</v>
      </c>
    </row>
    <row r="18779" spans="1:7" x14ac:dyDescent="0.2">
      <c r="A18779" t="s">
        <v>1</v>
      </c>
      <c r="B18779" t="str">
        <f>"15013513214"</f>
        <v>15013513214</v>
      </c>
      <c r="C18779" t="s">
        <v>1</v>
      </c>
      <c r="D18779" t="s">
        <v>1</v>
      </c>
      <c r="E18779" t="s">
        <v>1</v>
      </c>
      <c r="F18779" t="s">
        <v>0</v>
      </c>
      <c r="G18779" t="str">
        <f>"2018-10-10 22:27:34"</f>
        <v>2018-10-10 22:27:34</v>
      </c>
    </row>
    <row r="18780" spans="1:7" x14ac:dyDescent="0.2">
      <c r="A18780" t="s">
        <v>1</v>
      </c>
      <c r="B18780" t="str">
        <f>"18219470588"</f>
        <v>18219470588</v>
      </c>
      <c r="C18780" t="s">
        <v>1</v>
      </c>
      <c r="D18780" t="s">
        <v>1</v>
      </c>
      <c r="E18780" t="s">
        <v>1</v>
      </c>
      <c r="F18780" t="s">
        <v>0</v>
      </c>
      <c r="G18780" t="str">
        <f>"2018-10-11 12:01:59"</f>
        <v>2018-10-11 12:01:59</v>
      </c>
    </row>
    <row r="18781" spans="1:7" x14ac:dyDescent="0.2">
      <c r="A18781" t="s">
        <v>1</v>
      </c>
      <c r="B18781" t="str">
        <f>"15676664987"</f>
        <v>15676664987</v>
      </c>
      <c r="C18781" t="s">
        <v>1</v>
      </c>
      <c r="D18781" t="s">
        <v>1</v>
      </c>
      <c r="E18781" t="s">
        <v>1</v>
      </c>
      <c r="F18781" t="s">
        <v>0</v>
      </c>
      <c r="G18781" t="str">
        <f>"2018-10-10 22:26:34"</f>
        <v>2018-10-10 22:26:34</v>
      </c>
    </row>
    <row r="18782" spans="1:7" x14ac:dyDescent="0.2">
      <c r="A18782" t="s">
        <v>1</v>
      </c>
      <c r="B18782" t="str">
        <f>"15677073134"</f>
        <v>15677073134</v>
      </c>
      <c r="C18782" t="s">
        <v>1</v>
      </c>
      <c r="D18782" t="s">
        <v>1</v>
      </c>
      <c r="E18782" t="s">
        <v>1</v>
      </c>
      <c r="F18782" t="s">
        <v>0</v>
      </c>
      <c r="G18782" t="str">
        <f>"2018-10-10 22:25:54"</f>
        <v>2018-10-10 22:25:54</v>
      </c>
    </row>
    <row r="18783" spans="1:7" x14ac:dyDescent="0.2">
      <c r="A18783" t="s">
        <v>17724</v>
      </c>
      <c r="B18783" t="str">
        <f>"15726066426"</f>
        <v>15726066426</v>
      </c>
      <c r="C18783" t="str">
        <f>"37028119971103421X"</f>
        <v>37028119971103421X</v>
      </c>
      <c r="D18783" t="s">
        <v>17725</v>
      </c>
      <c r="E18783" t="s">
        <v>17726</v>
      </c>
      <c r="F18783" t="s">
        <v>0</v>
      </c>
      <c r="G18783" t="str">
        <f>"2018-10-10 22:23:27"</f>
        <v>2018-10-10 22:23:27</v>
      </c>
    </row>
    <row r="18784" spans="1:7" x14ac:dyDescent="0.2">
      <c r="A18784" t="s">
        <v>17727</v>
      </c>
      <c r="B18784" t="str">
        <f>"15752251866"</f>
        <v>15752251866</v>
      </c>
      <c r="C18784" t="str">
        <f>"53032819931216212X"</f>
        <v>53032819931216212X</v>
      </c>
      <c r="D18784" t="s">
        <v>1</v>
      </c>
      <c r="E18784" t="s">
        <v>1</v>
      </c>
      <c r="F18784" t="s">
        <v>0</v>
      </c>
      <c r="G18784" t="str">
        <f>"2018-10-10 22:36:24"</f>
        <v>2018-10-10 22:36:24</v>
      </c>
    </row>
    <row r="18785" spans="1:7" x14ac:dyDescent="0.2">
      <c r="A18785" t="s">
        <v>913</v>
      </c>
      <c r="B18785" t="str">
        <f>"13988059327"</f>
        <v>13988059327</v>
      </c>
      <c r="C18785" t="str">
        <f>"532524198611090026"</f>
        <v>532524198611090026</v>
      </c>
      <c r="D18785" t="s">
        <v>17728</v>
      </c>
      <c r="E18785" t="s">
        <v>17729</v>
      </c>
      <c r="F18785" t="s">
        <v>0</v>
      </c>
      <c r="G18785" t="str">
        <f>"2018-10-11 14:30:26"</f>
        <v>2018-10-11 14:30:26</v>
      </c>
    </row>
    <row r="18786" spans="1:7" x14ac:dyDescent="0.2">
      <c r="A18786" t="s">
        <v>452</v>
      </c>
      <c r="B18786" t="str">
        <f>"17876516956"</f>
        <v>17876516956</v>
      </c>
      <c r="C18786" t="str">
        <f>"440921199810100454"</f>
        <v>440921199810100454</v>
      </c>
      <c r="D18786" t="s">
        <v>17730</v>
      </c>
      <c r="E18786" t="s">
        <v>17731</v>
      </c>
      <c r="F18786" t="s">
        <v>0</v>
      </c>
      <c r="G18786" t="str">
        <f>"2018-10-10 22:20:37"</f>
        <v>2018-10-10 22:20:37</v>
      </c>
    </row>
    <row r="18787" spans="1:7" x14ac:dyDescent="0.2">
      <c r="A18787" t="s">
        <v>1</v>
      </c>
      <c r="B18787" t="str">
        <f>"13289264890"</f>
        <v>13289264890</v>
      </c>
      <c r="C18787" t="s">
        <v>1</v>
      </c>
      <c r="D18787" t="s">
        <v>1</v>
      </c>
      <c r="E18787" t="s">
        <v>1</v>
      </c>
      <c r="F18787" t="s">
        <v>0</v>
      </c>
      <c r="G18787" t="str">
        <f>"2018-10-10 22:18:16"</f>
        <v>2018-10-10 22:18:16</v>
      </c>
    </row>
    <row r="18788" spans="1:7" x14ac:dyDescent="0.2">
      <c r="A18788" t="s">
        <v>17732</v>
      </c>
      <c r="B18788" t="str">
        <f>"13540960685"</f>
        <v>13540960685</v>
      </c>
      <c r="C18788" t="str">
        <f>"513821198801208333"</f>
        <v>513821198801208333</v>
      </c>
      <c r="D18788" t="s">
        <v>1</v>
      </c>
      <c r="E18788" t="s">
        <v>1</v>
      </c>
      <c r="F18788" t="s">
        <v>0</v>
      </c>
      <c r="G18788" t="str">
        <f>"2018-10-10 22:19:04"</f>
        <v>2018-10-10 22:19:04</v>
      </c>
    </row>
    <row r="18789" spans="1:7" x14ac:dyDescent="0.2">
      <c r="A18789" t="s">
        <v>1</v>
      </c>
      <c r="B18789" t="str">
        <f>"18502027669"</f>
        <v>18502027669</v>
      </c>
      <c r="C18789" t="s">
        <v>1</v>
      </c>
      <c r="D18789" t="s">
        <v>1</v>
      </c>
      <c r="E18789" t="s">
        <v>1</v>
      </c>
      <c r="F18789" t="s">
        <v>0</v>
      </c>
      <c r="G18789" t="str">
        <f>"2018-10-10 22:17:43"</f>
        <v>2018-10-10 22:17:43</v>
      </c>
    </row>
    <row r="18790" spans="1:7" x14ac:dyDescent="0.2">
      <c r="A18790" t="s">
        <v>17733</v>
      </c>
      <c r="B18790" t="str">
        <f>"18207896660"</f>
        <v>18207896660</v>
      </c>
      <c r="C18790" t="str">
        <f>"450521199102230346"</f>
        <v>450521199102230346</v>
      </c>
      <c r="D18790" t="s">
        <v>1</v>
      </c>
      <c r="E18790" t="s">
        <v>1</v>
      </c>
      <c r="F18790" t="s">
        <v>0</v>
      </c>
      <c r="G18790" t="str">
        <f>"2018-10-10 22:16:41"</f>
        <v>2018-10-10 22:16:41</v>
      </c>
    </row>
    <row r="18791" spans="1:7" x14ac:dyDescent="0.2">
      <c r="A18791" t="s">
        <v>1</v>
      </c>
      <c r="B18791" t="str">
        <f>"18515966160"</f>
        <v>18515966160</v>
      </c>
      <c r="C18791" t="s">
        <v>1</v>
      </c>
      <c r="D18791" t="s">
        <v>1</v>
      </c>
      <c r="E18791" t="s">
        <v>1</v>
      </c>
      <c r="F18791" t="s">
        <v>0</v>
      </c>
      <c r="G18791" t="str">
        <f>"2018-10-10 22:13:00"</f>
        <v>2018-10-10 22:13:00</v>
      </c>
    </row>
    <row r="18792" spans="1:7" x14ac:dyDescent="0.2">
      <c r="A18792" t="s">
        <v>17734</v>
      </c>
      <c r="B18792" t="str">
        <f>"18366397150"</f>
        <v>18366397150</v>
      </c>
      <c r="C18792" t="str">
        <f>"370724198501233646"</f>
        <v>370724198501233646</v>
      </c>
      <c r="D18792" t="s">
        <v>1</v>
      </c>
      <c r="E18792" t="s">
        <v>1</v>
      </c>
      <c r="F18792" t="s">
        <v>0</v>
      </c>
      <c r="G18792" t="str">
        <f>"2018-10-10 22:14:30"</f>
        <v>2018-10-10 22:14:30</v>
      </c>
    </row>
    <row r="18793" spans="1:7" x14ac:dyDescent="0.2">
      <c r="A18793" t="s">
        <v>17735</v>
      </c>
      <c r="B18793" t="str">
        <f>"15975622920"</f>
        <v>15975622920</v>
      </c>
      <c r="C18793" t="str">
        <f>"445281199603136668"</f>
        <v>445281199603136668</v>
      </c>
      <c r="D18793" t="s">
        <v>1</v>
      </c>
      <c r="E18793" t="s">
        <v>1</v>
      </c>
      <c r="F18793" t="s">
        <v>0</v>
      </c>
      <c r="G18793" t="str">
        <f>"2018-10-10 22:12:44"</f>
        <v>2018-10-10 22:12:44</v>
      </c>
    </row>
    <row r="18794" spans="1:7" x14ac:dyDescent="0.2">
      <c r="A18794" t="s">
        <v>17736</v>
      </c>
      <c r="B18794" t="str">
        <f>"13765220575"</f>
        <v>13765220575</v>
      </c>
      <c r="C18794" t="str">
        <f>"430481198505061287"</f>
        <v>430481198505061287</v>
      </c>
      <c r="D18794" t="s">
        <v>1</v>
      </c>
      <c r="E18794" t="s">
        <v>1</v>
      </c>
      <c r="F18794" t="s">
        <v>0</v>
      </c>
      <c r="G18794" t="str">
        <f>"2018-10-11 14:34:25"</f>
        <v>2018-10-11 14:34:25</v>
      </c>
    </row>
    <row r="18795" spans="1:7" x14ac:dyDescent="0.2">
      <c r="A18795" t="s">
        <v>1</v>
      </c>
      <c r="B18795" t="str">
        <f>"13110117356"</f>
        <v>13110117356</v>
      </c>
      <c r="C18795" t="s">
        <v>1</v>
      </c>
      <c r="D18795" t="s">
        <v>1</v>
      </c>
      <c r="E18795" t="s">
        <v>1</v>
      </c>
      <c r="F18795" t="s">
        <v>0</v>
      </c>
      <c r="G18795" t="str">
        <f>"2018-10-10 22:11:47"</f>
        <v>2018-10-10 22:11:47</v>
      </c>
    </row>
    <row r="18796" spans="1:7" x14ac:dyDescent="0.2">
      <c r="A18796" t="s">
        <v>17737</v>
      </c>
      <c r="B18796" t="str">
        <f>"18915169494"</f>
        <v>18915169494</v>
      </c>
      <c r="C18796" t="str">
        <f>"320830199003094215"</f>
        <v>320830199003094215</v>
      </c>
      <c r="D18796" t="s">
        <v>1</v>
      </c>
      <c r="E18796" t="s">
        <v>1</v>
      </c>
      <c r="F18796" t="s">
        <v>0</v>
      </c>
      <c r="G18796" t="str">
        <f>"2018-10-12 13:36:21"</f>
        <v>2018-10-12 13:36:21</v>
      </c>
    </row>
    <row r="18797" spans="1:7" x14ac:dyDescent="0.2">
      <c r="A18797" t="s">
        <v>17738</v>
      </c>
      <c r="B18797" t="str">
        <f>"15689949083"</f>
        <v>15689949083</v>
      </c>
      <c r="C18797" t="str">
        <f>"371122199401227425"</f>
        <v>371122199401227425</v>
      </c>
      <c r="D18797" t="s">
        <v>17739</v>
      </c>
      <c r="E18797" t="s">
        <v>17740</v>
      </c>
      <c r="F18797" t="s">
        <v>0</v>
      </c>
      <c r="G18797" t="str">
        <f>"2018-10-10 22:10:25"</f>
        <v>2018-10-10 22:10:25</v>
      </c>
    </row>
    <row r="18798" spans="1:7" x14ac:dyDescent="0.2">
      <c r="A18798" t="s">
        <v>17741</v>
      </c>
      <c r="B18798" t="str">
        <f>"15920934691"</f>
        <v>15920934691</v>
      </c>
      <c r="C18798" t="str">
        <f>"440183199409146128"</f>
        <v>440183199409146128</v>
      </c>
      <c r="D18798" t="s">
        <v>17742</v>
      </c>
      <c r="E18798" t="s">
        <v>17743</v>
      </c>
      <c r="F18798" t="s">
        <v>0</v>
      </c>
      <c r="G18798" t="str">
        <f>"2018-10-10 22:13:55"</f>
        <v>2018-10-10 22:13:55</v>
      </c>
    </row>
    <row r="18799" spans="1:7" x14ac:dyDescent="0.2">
      <c r="A18799" t="s">
        <v>17744</v>
      </c>
      <c r="B18799" t="str">
        <f>"15821481558"</f>
        <v>15821481558</v>
      </c>
      <c r="C18799" t="str">
        <f>"513722199403124279"</f>
        <v>513722199403124279</v>
      </c>
      <c r="D18799" t="s">
        <v>1</v>
      </c>
      <c r="E18799" t="s">
        <v>1</v>
      </c>
      <c r="F18799" t="s">
        <v>0</v>
      </c>
      <c r="G18799" t="str">
        <f>"2018-10-10 22:09:07"</f>
        <v>2018-10-10 22:09:07</v>
      </c>
    </row>
    <row r="18800" spans="1:7" x14ac:dyDescent="0.2">
      <c r="A18800" t="s">
        <v>17745</v>
      </c>
      <c r="B18800" t="str">
        <f>"13588903173"</f>
        <v>13588903173</v>
      </c>
      <c r="C18800" t="str">
        <f>"330326198810033617"</f>
        <v>330326198810033617</v>
      </c>
      <c r="D18800" t="s">
        <v>1</v>
      </c>
      <c r="E18800" t="s">
        <v>1</v>
      </c>
      <c r="F18800" t="s">
        <v>0</v>
      </c>
      <c r="G18800" t="str">
        <f>"2018-10-11 01:24:39"</f>
        <v>2018-10-11 01:24:39</v>
      </c>
    </row>
    <row r="18801" spans="1:7" x14ac:dyDescent="0.2">
      <c r="A18801" t="s">
        <v>1</v>
      </c>
      <c r="B18801" t="str">
        <f>"15285422852"</f>
        <v>15285422852</v>
      </c>
      <c r="C18801" t="s">
        <v>1</v>
      </c>
      <c r="D18801" t="s">
        <v>1</v>
      </c>
      <c r="E18801" t="s">
        <v>1</v>
      </c>
      <c r="F18801" t="s">
        <v>0</v>
      </c>
      <c r="G18801" t="str">
        <f>"2018-10-10 22:05:14"</f>
        <v>2018-10-10 22:05:14</v>
      </c>
    </row>
    <row r="18802" spans="1:7" x14ac:dyDescent="0.2">
      <c r="A18802" t="s">
        <v>17746</v>
      </c>
      <c r="B18802" t="str">
        <f>"13717258194"</f>
        <v>13717258194</v>
      </c>
      <c r="C18802" t="str">
        <f>"440785198701061325"</f>
        <v>440785198701061325</v>
      </c>
      <c r="D18802" t="s">
        <v>1</v>
      </c>
      <c r="E18802" t="s">
        <v>1</v>
      </c>
      <c r="F18802" t="s">
        <v>0</v>
      </c>
      <c r="G18802" t="str">
        <f>"2018-10-10 22:08:34"</f>
        <v>2018-10-10 22:08:34</v>
      </c>
    </row>
    <row r="18803" spans="1:7" x14ac:dyDescent="0.2">
      <c r="A18803" t="s">
        <v>17747</v>
      </c>
      <c r="B18803" t="str">
        <f>"13608494297"</f>
        <v>13608494297</v>
      </c>
      <c r="C18803" t="str">
        <f>"612525197502063418"</f>
        <v>612525197502063418</v>
      </c>
      <c r="D18803" t="s">
        <v>1</v>
      </c>
      <c r="E18803" t="s">
        <v>1</v>
      </c>
      <c r="F18803" t="s">
        <v>0</v>
      </c>
      <c r="G18803" t="str">
        <f>"2018-10-10 22:05:23"</f>
        <v>2018-10-10 22:05:23</v>
      </c>
    </row>
    <row r="18804" spans="1:7" x14ac:dyDescent="0.2">
      <c r="A18804" t="s">
        <v>1</v>
      </c>
      <c r="B18804" t="str">
        <f>"15677072734"</f>
        <v>15677072734</v>
      </c>
      <c r="C18804" t="s">
        <v>1</v>
      </c>
      <c r="D18804" t="s">
        <v>1</v>
      </c>
      <c r="E18804" t="s">
        <v>1</v>
      </c>
      <c r="F18804" t="s">
        <v>0</v>
      </c>
      <c r="G18804" t="str">
        <f>"2018-10-10 22:03:59"</f>
        <v>2018-10-10 22:03:59</v>
      </c>
    </row>
    <row r="18805" spans="1:7" x14ac:dyDescent="0.2">
      <c r="A18805" t="s">
        <v>17748</v>
      </c>
      <c r="B18805" t="str">
        <f>"13265629625"</f>
        <v>13265629625</v>
      </c>
      <c r="C18805" t="str">
        <f>"42102319871012229X"</f>
        <v>42102319871012229X</v>
      </c>
      <c r="D18805" t="s">
        <v>1</v>
      </c>
      <c r="E18805" t="s">
        <v>1</v>
      </c>
      <c r="F18805" t="s">
        <v>0</v>
      </c>
      <c r="G18805" t="str">
        <f>"2018-10-10 22:04:22"</f>
        <v>2018-10-10 22:04:22</v>
      </c>
    </row>
    <row r="18806" spans="1:7" x14ac:dyDescent="0.2">
      <c r="A18806" t="s">
        <v>1033</v>
      </c>
      <c r="B18806" t="str">
        <f>"18160158197"</f>
        <v>18160158197</v>
      </c>
      <c r="C18806" t="str">
        <f>"511025198506027468"</f>
        <v>511025198506027468</v>
      </c>
      <c r="D18806" t="s">
        <v>1</v>
      </c>
      <c r="E18806" t="s">
        <v>1</v>
      </c>
      <c r="F18806" t="s">
        <v>0</v>
      </c>
      <c r="G18806" t="str">
        <f>"2018-10-10 22:06:58"</f>
        <v>2018-10-10 22:06:58</v>
      </c>
    </row>
    <row r="18807" spans="1:7" x14ac:dyDescent="0.2">
      <c r="A18807" t="s">
        <v>17749</v>
      </c>
      <c r="B18807" t="str">
        <f>"15986799729"</f>
        <v>15986799729</v>
      </c>
      <c r="C18807" t="str">
        <f>"430521199102032418"</f>
        <v>430521199102032418</v>
      </c>
      <c r="D18807" t="s">
        <v>17750</v>
      </c>
      <c r="E18807" t="s">
        <v>17751</v>
      </c>
      <c r="F18807" t="s">
        <v>0</v>
      </c>
      <c r="G18807" t="str">
        <f>"2018-10-10 22:01:57"</f>
        <v>2018-10-10 22:01:57</v>
      </c>
    </row>
    <row r="18808" spans="1:7" x14ac:dyDescent="0.2">
      <c r="A18808" t="s">
        <v>1</v>
      </c>
      <c r="B18808" t="str">
        <f>"18986732595"</f>
        <v>18986732595</v>
      </c>
      <c r="C18808" t="s">
        <v>1</v>
      </c>
      <c r="D18808" t="s">
        <v>1</v>
      </c>
      <c r="E18808" t="s">
        <v>1</v>
      </c>
      <c r="F18808" t="s">
        <v>0</v>
      </c>
      <c r="G18808" t="str">
        <f>"2018-10-10 22:02:50"</f>
        <v>2018-10-10 22:02:50</v>
      </c>
    </row>
    <row r="18809" spans="1:7" x14ac:dyDescent="0.2">
      <c r="A18809" t="s">
        <v>84</v>
      </c>
      <c r="B18809" t="str">
        <f>"18323869933"</f>
        <v>18323869933</v>
      </c>
      <c r="C18809" t="str">
        <f>"500382198912163394"</f>
        <v>500382198912163394</v>
      </c>
      <c r="D18809" t="s">
        <v>17752</v>
      </c>
      <c r="E18809" t="s">
        <v>17753</v>
      </c>
      <c r="F18809" t="s">
        <v>0</v>
      </c>
      <c r="G18809" t="str">
        <f>"2018-10-10 22:01:15"</f>
        <v>2018-10-10 22:01:15</v>
      </c>
    </row>
    <row r="18810" spans="1:7" x14ac:dyDescent="0.2">
      <c r="A18810" t="s">
        <v>1</v>
      </c>
      <c r="B18810" t="str">
        <f>"15989224035"</f>
        <v>15989224035</v>
      </c>
      <c r="C18810" t="s">
        <v>1</v>
      </c>
      <c r="D18810" t="s">
        <v>1</v>
      </c>
      <c r="E18810" t="s">
        <v>1</v>
      </c>
      <c r="F18810" t="s">
        <v>0</v>
      </c>
      <c r="G18810" t="str">
        <f>"2018-10-10 21:59:56"</f>
        <v>2018-10-10 21:59:56</v>
      </c>
    </row>
    <row r="18811" spans="1:7" x14ac:dyDescent="0.2">
      <c r="A18811" t="s">
        <v>1</v>
      </c>
      <c r="B18811" t="str">
        <f>"18879564669"</f>
        <v>18879564669</v>
      </c>
      <c r="C18811" t="s">
        <v>1</v>
      </c>
      <c r="D18811" t="s">
        <v>1</v>
      </c>
      <c r="E18811" t="s">
        <v>1</v>
      </c>
      <c r="F18811" t="s">
        <v>0</v>
      </c>
      <c r="G18811" t="str">
        <f>"2018-10-10 21:59:10"</f>
        <v>2018-10-10 21:59:10</v>
      </c>
    </row>
    <row r="18812" spans="1:7" x14ac:dyDescent="0.2">
      <c r="A18812" t="s">
        <v>17754</v>
      </c>
      <c r="B18812" t="str">
        <f>"13784050358"</f>
        <v>13784050358</v>
      </c>
      <c r="C18812" t="str">
        <f>"130627199101095620"</f>
        <v>130627199101095620</v>
      </c>
      <c r="D18812" t="s">
        <v>1</v>
      </c>
      <c r="E18812" t="s">
        <v>1</v>
      </c>
      <c r="F18812" t="s">
        <v>0</v>
      </c>
      <c r="G18812" t="str">
        <f>"2018-10-10 22:00:41"</f>
        <v>2018-10-10 22:00:41</v>
      </c>
    </row>
    <row r="18813" spans="1:7" x14ac:dyDescent="0.2">
      <c r="A18813" t="s">
        <v>17755</v>
      </c>
      <c r="B18813" t="str">
        <f>"15181899679"</f>
        <v>15181899679</v>
      </c>
      <c r="C18813" t="str">
        <f>"513029197205272198"</f>
        <v>513029197205272198</v>
      </c>
      <c r="D18813" t="s">
        <v>1</v>
      </c>
      <c r="E18813" t="s">
        <v>1</v>
      </c>
      <c r="F18813" t="s">
        <v>0</v>
      </c>
      <c r="G18813" t="str">
        <f>"2018-10-10 22:01:21"</f>
        <v>2018-10-10 22:01:21</v>
      </c>
    </row>
    <row r="18814" spans="1:7" x14ac:dyDescent="0.2">
      <c r="A18814" t="s">
        <v>17756</v>
      </c>
      <c r="B18814" t="str">
        <f>"13728016824"</f>
        <v>13728016824</v>
      </c>
      <c r="C18814" t="str">
        <f>"440921199405250811"</f>
        <v>440921199405250811</v>
      </c>
      <c r="D18814" t="s">
        <v>1</v>
      </c>
      <c r="E18814" t="s">
        <v>1</v>
      </c>
      <c r="F18814" t="s">
        <v>0</v>
      </c>
      <c r="G18814" t="str">
        <f>"2018-10-10 21:58:22"</f>
        <v>2018-10-10 21:58:22</v>
      </c>
    </row>
    <row r="18815" spans="1:7" x14ac:dyDescent="0.2">
      <c r="A18815" t="s">
        <v>1</v>
      </c>
      <c r="B18815" t="str">
        <f>"18781982547"</f>
        <v>18781982547</v>
      </c>
      <c r="C18815" t="s">
        <v>1</v>
      </c>
      <c r="D18815" t="s">
        <v>1</v>
      </c>
      <c r="E18815" t="s">
        <v>1</v>
      </c>
      <c r="F18815" t="s">
        <v>0</v>
      </c>
      <c r="G18815" t="str">
        <f>"2018-10-10 22:00:16"</f>
        <v>2018-10-10 22:00:16</v>
      </c>
    </row>
    <row r="18816" spans="1:7" x14ac:dyDescent="0.2">
      <c r="A18816" t="s">
        <v>17757</v>
      </c>
      <c r="B18816" t="str">
        <f>"17679994491"</f>
        <v>17679994491</v>
      </c>
      <c r="C18816" t="str">
        <f>"350581199804141519"</f>
        <v>350581199804141519</v>
      </c>
      <c r="D18816" t="s">
        <v>1</v>
      </c>
      <c r="E18816" t="s">
        <v>1</v>
      </c>
      <c r="F18816" t="s">
        <v>0</v>
      </c>
      <c r="G18816" t="str">
        <f>"2018-10-10 21:56:38"</f>
        <v>2018-10-10 21:56:38</v>
      </c>
    </row>
    <row r="18817" spans="1:7" x14ac:dyDescent="0.2">
      <c r="A18817" t="s">
        <v>17758</v>
      </c>
      <c r="B18817" t="str">
        <f>"18250550565"</f>
        <v>18250550565</v>
      </c>
      <c r="C18817" t="str">
        <f>"350425199102062633"</f>
        <v>350425199102062633</v>
      </c>
      <c r="D18817" t="s">
        <v>17759</v>
      </c>
      <c r="E18817" t="s">
        <v>17760</v>
      </c>
      <c r="F18817" t="s">
        <v>0</v>
      </c>
      <c r="G18817" t="str">
        <f>"2018-10-10 21:55:25"</f>
        <v>2018-10-10 21:55:25</v>
      </c>
    </row>
    <row r="18818" spans="1:7" x14ac:dyDescent="0.2">
      <c r="A18818" t="s">
        <v>17761</v>
      </c>
      <c r="B18818" t="str">
        <f>"17778721462"</f>
        <v>17778721462</v>
      </c>
      <c r="C18818" t="str">
        <f>"320682199506268956"</f>
        <v>320682199506268956</v>
      </c>
      <c r="D18818" t="s">
        <v>1</v>
      </c>
      <c r="E18818" t="s">
        <v>1</v>
      </c>
      <c r="F18818" t="s">
        <v>0</v>
      </c>
      <c r="G18818" t="str">
        <f>"2018-10-17 18:04:18"</f>
        <v>2018-10-17 18:04:18</v>
      </c>
    </row>
    <row r="18819" spans="1:7" x14ac:dyDescent="0.2">
      <c r="A18819" t="s">
        <v>17762</v>
      </c>
      <c r="B18819" t="str">
        <f>"13877886814"</f>
        <v>13877886814</v>
      </c>
      <c r="C18819" t="str">
        <f>"452724197901181045"</f>
        <v>452724197901181045</v>
      </c>
      <c r="D18819" t="s">
        <v>1</v>
      </c>
      <c r="E18819" t="s">
        <v>1</v>
      </c>
      <c r="F18819" t="s">
        <v>0</v>
      </c>
      <c r="G18819" t="str">
        <f>"2018-10-10 21:55:27"</f>
        <v>2018-10-10 21:55:27</v>
      </c>
    </row>
    <row r="18820" spans="1:7" x14ac:dyDescent="0.2">
      <c r="A18820" t="s">
        <v>1</v>
      </c>
      <c r="B18820" t="str">
        <f>"18560465831"</f>
        <v>18560465831</v>
      </c>
      <c r="C18820" t="s">
        <v>1</v>
      </c>
      <c r="D18820" t="s">
        <v>1</v>
      </c>
      <c r="E18820" t="s">
        <v>1</v>
      </c>
      <c r="F18820" t="s">
        <v>0</v>
      </c>
      <c r="G18820" t="str">
        <f>"2018-10-10 21:49:10"</f>
        <v>2018-10-10 21:49:10</v>
      </c>
    </row>
    <row r="18821" spans="1:7" x14ac:dyDescent="0.2">
      <c r="A18821" t="s">
        <v>17763</v>
      </c>
      <c r="B18821" t="str">
        <f>"13647731315"</f>
        <v>13647731315</v>
      </c>
      <c r="C18821" t="str">
        <f>"450311198410282035"</f>
        <v>450311198410282035</v>
      </c>
      <c r="D18821" t="s">
        <v>17764</v>
      </c>
      <c r="E18821" t="s">
        <v>17765</v>
      </c>
      <c r="F18821" t="s">
        <v>0</v>
      </c>
      <c r="G18821" t="str">
        <f>"2018-10-12 00:49:46"</f>
        <v>2018-10-12 00:49:46</v>
      </c>
    </row>
    <row r="18822" spans="1:7" x14ac:dyDescent="0.2">
      <c r="A18822" t="s">
        <v>17766</v>
      </c>
      <c r="B18822" t="str">
        <f>"13925595091"</f>
        <v>13925595091</v>
      </c>
      <c r="C18822" t="str">
        <f>"441522199102191776"</f>
        <v>441522199102191776</v>
      </c>
      <c r="D18822" t="s">
        <v>17767</v>
      </c>
      <c r="E18822" t="s">
        <v>17768</v>
      </c>
      <c r="F18822" t="s">
        <v>0</v>
      </c>
      <c r="G18822" t="str">
        <f>"2018-10-10 21:54:02"</f>
        <v>2018-10-10 21:54:02</v>
      </c>
    </row>
    <row r="18823" spans="1:7" x14ac:dyDescent="0.2">
      <c r="A18823" t="s">
        <v>21</v>
      </c>
      <c r="B18823" t="str">
        <f>"15187052349"</f>
        <v>15187052349</v>
      </c>
      <c r="C18823" t="str">
        <f>"532101199111182221"</f>
        <v>532101199111182221</v>
      </c>
      <c r="D18823" t="s">
        <v>1</v>
      </c>
      <c r="E18823" t="s">
        <v>1</v>
      </c>
      <c r="F18823" t="s">
        <v>0</v>
      </c>
      <c r="G18823" t="str">
        <f>"2018-10-10 21:49:16"</f>
        <v>2018-10-10 21:49:16</v>
      </c>
    </row>
    <row r="18824" spans="1:7" x14ac:dyDescent="0.2">
      <c r="A18824" t="s">
        <v>17769</v>
      </c>
      <c r="B18824" t="str">
        <f>"13682131109"</f>
        <v>13682131109</v>
      </c>
      <c r="C18824" t="str">
        <f>"120103198210032624"</f>
        <v>120103198210032624</v>
      </c>
      <c r="D18824" t="s">
        <v>1</v>
      </c>
      <c r="E18824" t="s">
        <v>1</v>
      </c>
      <c r="F18824" t="s">
        <v>0</v>
      </c>
      <c r="G18824" t="str">
        <f>"2018-10-10 21:48:26"</f>
        <v>2018-10-10 21:48:26</v>
      </c>
    </row>
    <row r="18825" spans="1:7" x14ac:dyDescent="0.2">
      <c r="A18825" t="s">
        <v>17770</v>
      </c>
      <c r="B18825" t="str">
        <f>"15060101088"</f>
        <v>15060101088</v>
      </c>
      <c r="C18825" t="str">
        <f>"350125199005034116"</f>
        <v>350125199005034116</v>
      </c>
      <c r="D18825" t="s">
        <v>1</v>
      </c>
      <c r="E18825" t="s">
        <v>1</v>
      </c>
      <c r="F18825" t="s">
        <v>0</v>
      </c>
      <c r="G18825" t="str">
        <f>"2018-10-10 21:46:08"</f>
        <v>2018-10-10 21:46:08</v>
      </c>
    </row>
    <row r="18826" spans="1:7" x14ac:dyDescent="0.2">
      <c r="A18826" t="s">
        <v>17771</v>
      </c>
      <c r="B18826" t="str">
        <f>"13454771323"</f>
        <v>13454771323</v>
      </c>
      <c r="C18826" t="str">
        <f>"330282199303085017"</f>
        <v>330282199303085017</v>
      </c>
      <c r="D18826" t="s">
        <v>17772</v>
      </c>
      <c r="E18826" t="s">
        <v>17773</v>
      </c>
      <c r="F18826" t="s">
        <v>0</v>
      </c>
      <c r="G18826" t="str">
        <f>"2018-10-10 21:58:08"</f>
        <v>2018-10-10 21:58:08</v>
      </c>
    </row>
    <row r="18827" spans="1:7" x14ac:dyDescent="0.2">
      <c r="A18827" t="s">
        <v>17774</v>
      </c>
      <c r="B18827" t="str">
        <f>"18487608473"</f>
        <v>18487608473</v>
      </c>
      <c r="C18827" t="str">
        <f>"532128199909140071"</f>
        <v>532128199909140071</v>
      </c>
      <c r="D18827" t="s">
        <v>17775</v>
      </c>
      <c r="E18827" t="s">
        <v>17776</v>
      </c>
      <c r="F18827" t="s">
        <v>0</v>
      </c>
      <c r="G18827" t="str">
        <f>"2018-10-10 21:46:02"</f>
        <v>2018-10-10 21:46:02</v>
      </c>
    </row>
    <row r="18828" spans="1:7" x14ac:dyDescent="0.2">
      <c r="A18828" t="s">
        <v>17777</v>
      </c>
      <c r="B18828" t="str">
        <f>"15218304844"</f>
        <v>15218304844</v>
      </c>
      <c r="C18828" t="str">
        <f>"440902199106043231"</f>
        <v>440902199106043231</v>
      </c>
      <c r="D18828" t="s">
        <v>1</v>
      </c>
      <c r="E18828" t="s">
        <v>1</v>
      </c>
      <c r="F18828" t="s">
        <v>0</v>
      </c>
      <c r="G18828" t="str">
        <f>"2018-10-10 22:17:37"</f>
        <v>2018-10-10 22:17:37</v>
      </c>
    </row>
    <row r="18829" spans="1:7" x14ac:dyDescent="0.2">
      <c r="A18829" t="s">
        <v>16461</v>
      </c>
      <c r="B18829" t="str">
        <f>"17694917833"</f>
        <v>17694917833</v>
      </c>
      <c r="C18829" t="str">
        <f>"15210419950607221X"</f>
        <v>15210419950607221X</v>
      </c>
      <c r="D18829" t="s">
        <v>1</v>
      </c>
      <c r="E18829" t="s">
        <v>1</v>
      </c>
      <c r="F18829" t="s">
        <v>0</v>
      </c>
      <c r="G18829" t="str">
        <f>"2018-10-10 21:46:50"</f>
        <v>2018-10-10 21:46:50</v>
      </c>
    </row>
    <row r="18830" spans="1:7" x14ac:dyDescent="0.2">
      <c r="A18830" t="s">
        <v>106</v>
      </c>
      <c r="B18830" t="str">
        <f>"15836161223"</f>
        <v>15836161223</v>
      </c>
      <c r="C18830" t="str">
        <f>"410782199008150418"</f>
        <v>410782199008150418</v>
      </c>
      <c r="D18830" t="s">
        <v>1</v>
      </c>
      <c r="E18830" t="s">
        <v>1</v>
      </c>
      <c r="F18830" t="s">
        <v>0</v>
      </c>
      <c r="G18830" t="str">
        <f>"2018-10-10 21:43:54"</f>
        <v>2018-10-10 21:43:54</v>
      </c>
    </row>
    <row r="18831" spans="1:7" x14ac:dyDescent="0.2">
      <c r="A18831" t="s">
        <v>17778</v>
      </c>
      <c r="B18831" t="str">
        <f>"18397012151"</f>
        <v>18397012151</v>
      </c>
      <c r="C18831" t="str">
        <f>"632124199109281712"</f>
        <v>632124199109281712</v>
      </c>
      <c r="D18831" t="s">
        <v>1</v>
      </c>
      <c r="E18831" t="s">
        <v>1</v>
      </c>
      <c r="F18831" t="s">
        <v>0</v>
      </c>
      <c r="G18831" t="str">
        <f>"2018-10-28 14:25:12"</f>
        <v>2018-10-28 14:25:12</v>
      </c>
    </row>
    <row r="18832" spans="1:7" x14ac:dyDescent="0.2">
      <c r="A18832" t="s">
        <v>17779</v>
      </c>
      <c r="B18832" t="str">
        <f>"15730565335"</f>
        <v>15730565335</v>
      </c>
      <c r="C18832" t="str">
        <f>"420583198908151080"</f>
        <v>420583198908151080</v>
      </c>
      <c r="D18832" t="s">
        <v>1</v>
      </c>
      <c r="E18832" t="s">
        <v>1</v>
      </c>
      <c r="F18832" t="s">
        <v>0</v>
      </c>
      <c r="G18832" t="str">
        <f>"2018-10-10 21:43:21"</f>
        <v>2018-10-10 21:43:21</v>
      </c>
    </row>
    <row r="18833" spans="1:7" x14ac:dyDescent="0.2">
      <c r="A18833" t="s">
        <v>1183</v>
      </c>
      <c r="B18833" t="str">
        <f>"13489596312"</f>
        <v>13489596312</v>
      </c>
      <c r="C18833" t="str">
        <f>"420704199509085290"</f>
        <v>420704199509085290</v>
      </c>
      <c r="D18833" t="s">
        <v>1</v>
      </c>
      <c r="E18833" t="s">
        <v>1</v>
      </c>
      <c r="F18833" t="s">
        <v>0</v>
      </c>
      <c r="G18833" t="str">
        <f>"2018-10-10 21:52:57"</f>
        <v>2018-10-10 21:52:57</v>
      </c>
    </row>
    <row r="18834" spans="1:7" x14ac:dyDescent="0.2">
      <c r="A18834" t="s">
        <v>17780</v>
      </c>
      <c r="B18834" t="str">
        <f>"15351218088"</f>
        <v>15351218088</v>
      </c>
      <c r="C18834" t="str">
        <f>"513030199109136334"</f>
        <v>513030199109136334</v>
      </c>
      <c r="D18834" t="s">
        <v>17781</v>
      </c>
      <c r="E18834" t="s">
        <v>17782</v>
      </c>
      <c r="F18834" t="s">
        <v>0</v>
      </c>
      <c r="G18834" t="str">
        <f>"2018-10-10 21:48:55"</f>
        <v>2018-10-10 21:48:55</v>
      </c>
    </row>
    <row r="18835" spans="1:7" x14ac:dyDescent="0.2">
      <c r="A18835" t="s">
        <v>17783</v>
      </c>
      <c r="B18835" t="str">
        <f>"18316196364"</f>
        <v>18316196364</v>
      </c>
      <c r="C18835" t="str">
        <f>"441284199602165219"</f>
        <v>441284199602165219</v>
      </c>
      <c r="D18835" t="s">
        <v>1</v>
      </c>
      <c r="E18835" t="s">
        <v>1</v>
      </c>
      <c r="F18835" t="s">
        <v>0</v>
      </c>
      <c r="G18835" t="str">
        <f>"2018-10-10 22:26:15"</f>
        <v>2018-10-10 22:26:15</v>
      </c>
    </row>
    <row r="18836" spans="1:7" x14ac:dyDescent="0.2">
      <c r="A18836" t="s">
        <v>17784</v>
      </c>
      <c r="B18836" t="str">
        <f>"13914329700"</f>
        <v>13914329700</v>
      </c>
      <c r="C18836" t="str">
        <f>"320483198207023431"</f>
        <v>320483198207023431</v>
      </c>
      <c r="D18836" t="s">
        <v>17785</v>
      </c>
      <c r="E18836" t="s">
        <v>17786</v>
      </c>
      <c r="F18836" t="s">
        <v>0</v>
      </c>
      <c r="G18836" t="str">
        <f>"2018-10-10 21:40:25"</f>
        <v>2018-10-10 21:40:25</v>
      </c>
    </row>
    <row r="18837" spans="1:7" x14ac:dyDescent="0.2">
      <c r="A18837" t="s">
        <v>17787</v>
      </c>
      <c r="B18837" t="str">
        <f>"18193666229"</f>
        <v>18193666229</v>
      </c>
      <c r="C18837" t="str">
        <f>"622226199501222019"</f>
        <v>622226199501222019</v>
      </c>
      <c r="D18837" t="s">
        <v>1</v>
      </c>
      <c r="E18837" t="s">
        <v>1</v>
      </c>
      <c r="F18837" t="s">
        <v>0</v>
      </c>
      <c r="G18837" t="str">
        <f>"2018-11-03 00:41:22"</f>
        <v>2018-11-03 00:41:22</v>
      </c>
    </row>
    <row r="18838" spans="1:7" x14ac:dyDescent="0.2">
      <c r="A18838" t="s">
        <v>1</v>
      </c>
      <c r="B18838" t="str">
        <f>"18576847439"</f>
        <v>18576847439</v>
      </c>
      <c r="C18838" t="s">
        <v>1</v>
      </c>
      <c r="D18838" t="s">
        <v>1</v>
      </c>
      <c r="E18838" t="s">
        <v>1</v>
      </c>
      <c r="F18838" t="s">
        <v>0</v>
      </c>
      <c r="G18838" t="str">
        <f>"2018-10-10 21:40:39"</f>
        <v>2018-10-10 21:40:39</v>
      </c>
    </row>
    <row r="18839" spans="1:7" x14ac:dyDescent="0.2">
      <c r="A18839" t="s">
        <v>17788</v>
      </c>
      <c r="B18839" t="str">
        <f>"18202802575"</f>
        <v>18202802575</v>
      </c>
      <c r="C18839" t="str">
        <f>"513902199209095211"</f>
        <v>513902199209095211</v>
      </c>
      <c r="D18839" t="s">
        <v>1</v>
      </c>
      <c r="E18839" t="s">
        <v>1</v>
      </c>
      <c r="F18839" t="s">
        <v>0</v>
      </c>
      <c r="G18839" t="str">
        <f>"2018-10-20 22:14:48"</f>
        <v>2018-10-20 22:14:48</v>
      </c>
    </row>
    <row r="18840" spans="1:7" x14ac:dyDescent="0.2">
      <c r="A18840" t="s">
        <v>1</v>
      </c>
      <c r="B18840" t="str">
        <f>"15158315166"</f>
        <v>15158315166</v>
      </c>
      <c r="C18840" t="s">
        <v>1</v>
      </c>
      <c r="D18840" t="s">
        <v>1</v>
      </c>
      <c r="E18840" t="s">
        <v>1</v>
      </c>
      <c r="F18840" t="s">
        <v>0</v>
      </c>
      <c r="G18840" t="str">
        <f>"2018-10-10 21:39:46"</f>
        <v>2018-10-10 21:39:46</v>
      </c>
    </row>
    <row r="18841" spans="1:7" x14ac:dyDescent="0.2">
      <c r="A18841" t="s">
        <v>1</v>
      </c>
      <c r="B18841" t="str">
        <f>"13277743264"</f>
        <v>13277743264</v>
      </c>
      <c r="C18841" t="s">
        <v>1</v>
      </c>
      <c r="D18841" t="s">
        <v>1</v>
      </c>
      <c r="E18841" t="s">
        <v>1</v>
      </c>
      <c r="F18841" t="s">
        <v>0</v>
      </c>
      <c r="G18841" t="str">
        <f>"2018-10-10 21:37:04"</f>
        <v>2018-10-10 21:37:04</v>
      </c>
    </row>
    <row r="18842" spans="1:7" x14ac:dyDescent="0.2">
      <c r="A18842" t="s">
        <v>17789</v>
      </c>
      <c r="B18842" t="str">
        <f>"13532195780"</f>
        <v>13532195780</v>
      </c>
      <c r="C18842" t="str">
        <f>"441424197504285124"</f>
        <v>441424197504285124</v>
      </c>
      <c r="D18842" t="s">
        <v>1</v>
      </c>
      <c r="E18842" t="s">
        <v>1</v>
      </c>
      <c r="F18842" t="s">
        <v>0</v>
      </c>
      <c r="G18842" t="str">
        <f>"2018-10-10 23:39:39"</f>
        <v>2018-10-10 23:39:39</v>
      </c>
    </row>
    <row r="18843" spans="1:7" x14ac:dyDescent="0.2">
      <c r="A18843" t="s">
        <v>1</v>
      </c>
      <c r="B18843" t="str">
        <f>"17156996144"</f>
        <v>17156996144</v>
      </c>
      <c r="C18843" t="s">
        <v>1</v>
      </c>
      <c r="D18843" t="s">
        <v>1</v>
      </c>
      <c r="E18843" t="s">
        <v>1</v>
      </c>
      <c r="F18843" t="s">
        <v>0</v>
      </c>
      <c r="G18843" t="str">
        <f>"2018-10-10 21:35:45"</f>
        <v>2018-10-10 21:35:45</v>
      </c>
    </row>
    <row r="18844" spans="1:7" x14ac:dyDescent="0.2">
      <c r="A18844" t="s">
        <v>17790</v>
      </c>
      <c r="B18844" t="str">
        <f>"18319252394"</f>
        <v>18319252394</v>
      </c>
      <c r="C18844" t="str">
        <f>"441424199404105535"</f>
        <v>441424199404105535</v>
      </c>
      <c r="D18844" t="s">
        <v>1</v>
      </c>
      <c r="E18844" t="s">
        <v>1</v>
      </c>
      <c r="F18844" t="s">
        <v>0</v>
      </c>
      <c r="G18844" t="str">
        <f>"2018-10-30 10:26:59"</f>
        <v>2018-10-30 10:26:59</v>
      </c>
    </row>
    <row r="18845" spans="1:7" x14ac:dyDescent="0.2">
      <c r="A18845" t="s">
        <v>1</v>
      </c>
      <c r="B18845" t="str">
        <f>"18041972790"</f>
        <v>18041972790</v>
      </c>
      <c r="C18845" t="s">
        <v>1</v>
      </c>
      <c r="D18845" t="s">
        <v>1</v>
      </c>
      <c r="E18845" t="s">
        <v>1</v>
      </c>
      <c r="F18845" t="s">
        <v>0</v>
      </c>
      <c r="G18845" t="str">
        <f>"2018-10-10 21:35:28"</f>
        <v>2018-10-10 21:35:28</v>
      </c>
    </row>
    <row r="18846" spans="1:7" x14ac:dyDescent="0.2">
      <c r="A18846" t="s">
        <v>17791</v>
      </c>
      <c r="B18846" t="str">
        <f>"15200937885"</f>
        <v>15200937885</v>
      </c>
      <c r="C18846" t="str">
        <f>"430921198601083233"</f>
        <v>430921198601083233</v>
      </c>
      <c r="D18846" t="s">
        <v>1</v>
      </c>
      <c r="E18846" t="s">
        <v>1</v>
      </c>
      <c r="F18846" t="s">
        <v>0</v>
      </c>
      <c r="G18846" t="str">
        <f>"2018-10-10 21:34:04"</f>
        <v>2018-10-10 21:34:04</v>
      </c>
    </row>
    <row r="18847" spans="1:7" x14ac:dyDescent="0.2">
      <c r="A18847" t="s">
        <v>130</v>
      </c>
      <c r="B18847" t="str">
        <f>"18279273517"</f>
        <v>18279273517</v>
      </c>
      <c r="C18847" t="str">
        <f>"360427198709060570"</f>
        <v>360427198709060570</v>
      </c>
      <c r="D18847" t="s">
        <v>1</v>
      </c>
      <c r="E18847" t="s">
        <v>1</v>
      </c>
      <c r="F18847" t="s">
        <v>0</v>
      </c>
      <c r="G18847" t="str">
        <f>"2018-10-11 11:00:01"</f>
        <v>2018-10-11 11:00:01</v>
      </c>
    </row>
    <row r="18848" spans="1:7" x14ac:dyDescent="0.2">
      <c r="A18848" t="s">
        <v>17792</v>
      </c>
      <c r="B18848" t="str">
        <f>"13998978672"</f>
        <v>13998978672</v>
      </c>
      <c r="C18848" t="str">
        <f>"21140219770607501X"</f>
        <v>21140219770607501X</v>
      </c>
      <c r="D18848" t="s">
        <v>17793</v>
      </c>
      <c r="E18848" t="s">
        <v>17794</v>
      </c>
      <c r="F18848" t="s">
        <v>0</v>
      </c>
      <c r="G18848" t="str">
        <f>"2018-10-10 21:35:04"</f>
        <v>2018-10-10 21:35:04</v>
      </c>
    </row>
    <row r="18849" spans="1:7" x14ac:dyDescent="0.2">
      <c r="A18849" t="s">
        <v>17795</v>
      </c>
      <c r="B18849" t="str">
        <f>"13810313326"</f>
        <v>13810313326</v>
      </c>
      <c r="C18849" t="str">
        <f>"110105198110029541"</f>
        <v>110105198110029541</v>
      </c>
      <c r="D18849" t="s">
        <v>1</v>
      </c>
      <c r="E18849" t="s">
        <v>1</v>
      </c>
      <c r="F18849" t="s">
        <v>0</v>
      </c>
      <c r="G18849" t="str">
        <f>"2018-10-26 15:55:07"</f>
        <v>2018-10-26 15:55:07</v>
      </c>
    </row>
    <row r="18850" spans="1:7" x14ac:dyDescent="0.2">
      <c r="A18850" t="s">
        <v>1</v>
      </c>
      <c r="B18850" t="str">
        <f>"13486976834"</f>
        <v>13486976834</v>
      </c>
      <c r="C18850" t="s">
        <v>1</v>
      </c>
      <c r="D18850" t="s">
        <v>1</v>
      </c>
      <c r="E18850" t="s">
        <v>1</v>
      </c>
      <c r="F18850" t="s">
        <v>0</v>
      </c>
      <c r="G18850" t="str">
        <f>"2018-10-10 21:31:59"</f>
        <v>2018-10-10 21:31:59</v>
      </c>
    </row>
    <row r="18851" spans="1:7" x14ac:dyDescent="0.2">
      <c r="A18851" t="s">
        <v>6567</v>
      </c>
      <c r="B18851" t="str">
        <f>"18702107175"</f>
        <v>18702107175</v>
      </c>
      <c r="C18851" t="str">
        <f>"511381199508043789"</f>
        <v>511381199508043789</v>
      </c>
      <c r="D18851" t="s">
        <v>1</v>
      </c>
      <c r="E18851" t="s">
        <v>1</v>
      </c>
      <c r="F18851" t="s">
        <v>0</v>
      </c>
      <c r="G18851" t="str">
        <f>"2018-10-10 21:33:38"</f>
        <v>2018-10-10 21:33:38</v>
      </c>
    </row>
    <row r="18852" spans="1:7" x14ac:dyDescent="0.2">
      <c r="A18852" t="s">
        <v>1484</v>
      </c>
      <c r="B18852" t="str">
        <f>"13787418219"</f>
        <v>13787418219</v>
      </c>
      <c r="C18852" t="str">
        <f>"430223198403203219"</f>
        <v>430223198403203219</v>
      </c>
      <c r="D18852" t="s">
        <v>1</v>
      </c>
      <c r="E18852" t="s">
        <v>1</v>
      </c>
      <c r="F18852" t="s">
        <v>0</v>
      </c>
      <c r="G18852" t="str">
        <f>"2018-10-11 11:13:26"</f>
        <v>2018-10-11 11:13:26</v>
      </c>
    </row>
    <row r="18853" spans="1:7" x14ac:dyDescent="0.2">
      <c r="A18853" t="s">
        <v>17796</v>
      </c>
      <c r="B18853" t="str">
        <f>"15058659124"</f>
        <v>15058659124</v>
      </c>
      <c r="C18853" t="str">
        <f>"532128199409020380"</f>
        <v>532128199409020380</v>
      </c>
      <c r="D18853" t="s">
        <v>1</v>
      </c>
      <c r="E18853" t="s">
        <v>1</v>
      </c>
      <c r="F18853" t="s">
        <v>0</v>
      </c>
      <c r="G18853" t="str">
        <f>"2018-10-10 21:35:25"</f>
        <v>2018-10-10 21:35:25</v>
      </c>
    </row>
    <row r="18854" spans="1:7" x14ac:dyDescent="0.2">
      <c r="A18854" t="s">
        <v>17797</v>
      </c>
      <c r="B18854" t="str">
        <f>"13836669091"</f>
        <v>13836669091</v>
      </c>
      <c r="C18854" t="str">
        <f>"230828197006203947"</f>
        <v>230828197006203947</v>
      </c>
      <c r="D18854" t="s">
        <v>1</v>
      </c>
      <c r="E18854" t="s">
        <v>1</v>
      </c>
      <c r="F18854" t="s">
        <v>0</v>
      </c>
      <c r="G18854" t="str">
        <f>"2018-10-10 21:32:01"</f>
        <v>2018-10-10 21:32:01</v>
      </c>
    </row>
    <row r="18855" spans="1:7" x14ac:dyDescent="0.2">
      <c r="A18855" t="s">
        <v>17798</v>
      </c>
      <c r="B18855" t="str">
        <f>"18676612717"</f>
        <v>18676612717</v>
      </c>
      <c r="C18855" t="str">
        <f>"513002198601156134"</f>
        <v>513002198601156134</v>
      </c>
      <c r="D18855" t="s">
        <v>1</v>
      </c>
      <c r="E18855" t="s">
        <v>1</v>
      </c>
      <c r="F18855" t="s">
        <v>0</v>
      </c>
      <c r="G18855" t="str">
        <f>"2018-10-10 21:41:31"</f>
        <v>2018-10-10 21:41:31</v>
      </c>
    </row>
    <row r="18856" spans="1:7" x14ac:dyDescent="0.2">
      <c r="A18856" t="s">
        <v>1</v>
      </c>
      <c r="B18856" t="str">
        <f>"15165009904"</f>
        <v>15165009904</v>
      </c>
      <c r="C18856" t="s">
        <v>1</v>
      </c>
      <c r="D18856" t="s">
        <v>1</v>
      </c>
      <c r="E18856" t="s">
        <v>1</v>
      </c>
      <c r="F18856" t="s">
        <v>0</v>
      </c>
      <c r="G18856" t="str">
        <f>"2018-10-10 21:29:51"</f>
        <v>2018-10-10 21:29:51</v>
      </c>
    </row>
    <row r="18857" spans="1:7" x14ac:dyDescent="0.2">
      <c r="A18857" t="s">
        <v>1</v>
      </c>
      <c r="B18857" t="str">
        <f>"18145639042"</f>
        <v>18145639042</v>
      </c>
      <c r="C18857" t="s">
        <v>1</v>
      </c>
      <c r="D18857" t="s">
        <v>1</v>
      </c>
      <c r="E18857" t="s">
        <v>1</v>
      </c>
      <c r="F18857" t="s">
        <v>0</v>
      </c>
      <c r="G18857" t="str">
        <f>"2018-10-10 21:29:50"</f>
        <v>2018-10-10 21:29:50</v>
      </c>
    </row>
    <row r="18858" spans="1:7" x14ac:dyDescent="0.2">
      <c r="A18858" t="s">
        <v>282</v>
      </c>
      <c r="B18858" t="str">
        <f>"13639611231"</f>
        <v>13639611231</v>
      </c>
      <c r="C18858" t="str">
        <f>"410527199709298014"</f>
        <v>410527199709298014</v>
      </c>
      <c r="D18858" t="s">
        <v>17799</v>
      </c>
      <c r="E18858" t="s">
        <v>17800</v>
      </c>
      <c r="F18858" t="s">
        <v>0</v>
      </c>
      <c r="G18858" t="str">
        <f>"2018-11-01 08:06:01"</f>
        <v>2018-11-01 08:06:01</v>
      </c>
    </row>
    <row r="18859" spans="1:7" x14ac:dyDescent="0.2">
      <c r="A18859" t="s">
        <v>1</v>
      </c>
      <c r="B18859" t="str">
        <f>"13793431852"</f>
        <v>13793431852</v>
      </c>
      <c r="C18859" t="s">
        <v>1</v>
      </c>
      <c r="D18859" t="s">
        <v>1</v>
      </c>
      <c r="E18859" t="s">
        <v>1</v>
      </c>
      <c r="F18859" t="s">
        <v>0</v>
      </c>
      <c r="G18859" t="str">
        <f>"2018-10-10 21:27:47"</f>
        <v>2018-10-10 21:27:47</v>
      </c>
    </row>
    <row r="18860" spans="1:7" x14ac:dyDescent="0.2">
      <c r="A18860" t="s">
        <v>1</v>
      </c>
      <c r="B18860" t="str">
        <f>"18938812503"</f>
        <v>18938812503</v>
      </c>
      <c r="C18860" t="s">
        <v>1</v>
      </c>
      <c r="D18860" t="s">
        <v>1</v>
      </c>
      <c r="E18860" t="s">
        <v>1</v>
      </c>
      <c r="F18860" t="s">
        <v>0</v>
      </c>
      <c r="G18860" t="str">
        <f>"2018-10-10 21:25:40"</f>
        <v>2018-10-10 21:25:40</v>
      </c>
    </row>
    <row r="18861" spans="1:7" x14ac:dyDescent="0.2">
      <c r="A18861" t="s">
        <v>1642</v>
      </c>
      <c r="B18861" t="str">
        <f>"18907012982"</f>
        <v>18907012982</v>
      </c>
      <c r="C18861" t="str">
        <f>"360681198403110810"</f>
        <v>360681198403110810</v>
      </c>
      <c r="D18861" t="s">
        <v>1</v>
      </c>
      <c r="E18861" t="s">
        <v>1</v>
      </c>
      <c r="F18861" t="s">
        <v>0</v>
      </c>
      <c r="G18861" t="str">
        <f>"2018-10-14 23:26:11"</f>
        <v>2018-10-14 23:26:11</v>
      </c>
    </row>
    <row r="18862" spans="1:7" x14ac:dyDescent="0.2">
      <c r="A18862" t="s">
        <v>17801</v>
      </c>
      <c r="B18862" t="str">
        <f>"15177664418"</f>
        <v>15177664418</v>
      </c>
      <c r="C18862" t="str">
        <f>"452402199204062125"</f>
        <v>452402199204062125</v>
      </c>
      <c r="D18862" t="s">
        <v>17802</v>
      </c>
      <c r="E18862" t="s">
        <v>17803</v>
      </c>
      <c r="F18862" t="s">
        <v>0</v>
      </c>
      <c r="G18862" t="str">
        <f>"2018-10-10 21:25:55"</f>
        <v>2018-10-10 21:25:55</v>
      </c>
    </row>
    <row r="18863" spans="1:7" x14ac:dyDescent="0.2">
      <c r="A18863" t="s">
        <v>17804</v>
      </c>
      <c r="B18863" t="str">
        <f>"18171890860"</f>
        <v>18171890860</v>
      </c>
      <c r="C18863" t="str">
        <f>"420322199611137211"</f>
        <v>420322199611137211</v>
      </c>
      <c r="D18863" t="s">
        <v>1</v>
      </c>
      <c r="E18863" t="s">
        <v>1</v>
      </c>
      <c r="F18863" t="s">
        <v>0</v>
      </c>
      <c r="G18863" t="str">
        <f>"2018-10-10 21:52:42"</f>
        <v>2018-10-10 21:52:42</v>
      </c>
    </row>
    <row r="18864" spans="1:7" x14ac:dyDescent="0.2">
      <c r="A18864" t="s">
        <v>1</v>
      </c>
      <c r="B18864" t="str">
        <f>"18584902154"</f>
        <v>18584902154</v>
      </c>
      <c r="C18864" t="s">
        <v>1</v>
      </c>
      <c r="D18864" t="s">
        <v>1</v>
      </c>
      <c r="E18864" t="s">
        <v>1</v>
      </c>
      <c r="F18864" t="s">
        <v>0</v>
      </c>
      <c r="G18864" t="str">
        <f>"2018-10-10 21:24:22"</f>
        <v>2018-10-10 21:24:22</v>
      </c>
    </row>
    <row r="18865" spans="1:7" x14ac:dyDescent="0.2">
      <c r="A18865" t="s">
        <v>1</v>
      </c>
      <c r="B18865" t="str">
        <f>"13056878613"</f>
        <v>13056878613</v>
      </c>
      <c r="C18865" t="s">
        <v>1</v>
      </c>
      <c r="D18865" t="s">
        <v>1</v>
      </c>
      <c r="E18865" t="s">
        <v>1</v>
      </c>
      <c r="F18865" t="s">
        <v>0</v>
      </c>
      <c r="G18865" t="str">
        <f>"2018-10-10 21:23:29"</f>
        <v>2018-10-10 21:23:29</v>
      </c>
    </row>
    <row r="18866" spans="1:7" x14ac:dyDescent="0.2">
      <c r="A18866" t="s">
        <v>17805</v>
      </c>
      <c r="B18866" t="str">
        <f>"15194013297"</f>
        <v>15194013297</v>
      </c>
      <c r="C18866" t="str">
        <f>"372524197812122712"</f>
        <v>372524197812122712</v>
      </c>
      <c r="D18866" t="s">
        <v>1</v>
      </c>
      <c r="E18866" t="s">
        <v>1</v>
      </c>
      <c r="F18866" t="s">
        <v>0</v>
      </c>
      <c r="G18866" t="str">
        <f>"2018-10-10 21:23:15"</f>
        <v>2018-10-10 21:23:15</v>
      </c>
    </row>
    <row r="18867" spans="1:7" x14ac:dyDescent="0.2">
      <c r="A18867" t="s">
        <v>17806</v>
      </c>
      <c r="B18867" t="str">
        <f>"15093026181"</f>
        <v>15093026181</v>
      </c>
      <c r="C18867" t="str">
        <f>"411330199909060842"</f>
        <v>411330199909060842</v>
      </c>
      <c r="D18867" t="s">
        <v>1</v>
      </c>
      <c r="E18867" t="s">
        <v>1</v>
      </c>
      <c r="F18867" t="s">
        <v>0</v>
      </c>
      <c r="G18867" t="str">
        <f>"2018-10-10 21:23:04"</f>
        <v>2018-10-10 21:23:04</v>
      </c>
    </row>
    <row r="18868" spans="1:7" x14ac:dyDescent="0.2">
      <c r="A18868" t="s">
        <v>1</v>
      </c>
      <c r="B18868" t="str">
        <f>"18390940645"</f>
        <v>18390940645</v>
      </c>
      <c r="C18868" t="s">
        <v>1</v>
      </c>
      <c r="D18868" t="s">
        <v>1</v>
      </c>
      <c r="E18868" t="s">
        <v>1</v>
      </c>
      <c r="F18868" t="s">
        <v>0</v>
      </c>
      <c r="G18868" t="str">
        <f>"2018-10-10 21:21:52"</f>
        <v>2018-10-10 21:21:52</v>
      </c>
    </row>
    <row r="18869" spans="1:7" x14ac:dyDescent="0.2">
      <c r="A18869" t="s">
        <v>1717</v>
      </c>
      <c r="B18869" t="str">
        <f>"13466365140"</f>
        <v>13466365140</v>
      </c>
      <c r="C18869" t="str">
        <f>"140302198709032824"</f>
        <v>140302198709032824</v>
      </c>
      <c r="D18869" t="s">
        <v>1</v>
      </c>
      <c r="E18869" t="s">
        <v>1</v>
      </c>
      <c r="F18869" t="s">
        <v>0</v>
      </c>
      <c r="G18869" t="str">
        <f>"2018-10-10 21:23:18"</f>
        <v>2018-10-10 21:23:18</v>
      </c>
    </row>
    <row r="18870" spans="1:7" x14ac:dyDescent="0.2">
      <c r="A18870" t="s">
        <v>17807</v>
      </c>
      <c r="B18870" t="str">
        <f>"13776085821"</f>
        <v>13776085821</v>
      </c>
      <c r="C18870" t="str">
        <f>"320511199011120756"</f>
        <v>320511199011120756</v>
      </c>
      <c r="D18870" t="s">
        <v>1</v>
      </c>
      <c r="E18870" t="s">
        <v>1</v>
      </c>
      <c r="F18870" t="s">
        <v>0</v>
      </c>
      <c r="G18870" t="str">
        <f>"2018-10-10 23:00:24"</f>
        <v>2018-10-10 23:00:24</v>
      </c>
    </row>
    <row r="18871" spans="1:7" x14ac:dyDescent="0.2">
      <c r="A18871" t="s">
        <v>1</v>
      </c>
      <c r="B18871" t="str">
        <f>"15210899429"</f>
        <v>15210899429</v>
      </c>
      <c r="C18871" t="s">
        <v>1</v>
      </c>
      <c r="D18871" t="s">
        <v>1</v>
      </c>
      <c r="E18871" t="s">
        <v>1</v>
      </c>
      <c r="F18871" t="s">
        <v>0</v>
      </c>
      <c r="G18871" t="str">
        <f>"2018-10-10 21:20:57"</f>
        <v>2018-10-10 21:20:57</v>
      </c>
    </row>
    <row r="18872" spans="1:7" x14ac:dyDescent="0.2">
      <c r="A18872" t="s">
        <v>17808</v>
      </c>
      <c r="B18872" t="str">
        <f>"13739945554"</f>
        <v>13739945554</v>
      </c>
      <c r="C18872" t="str">
        <f>"152322199010060016"</f>
        <v>152322199010060016</v>
      </c>
      <c r="D18872" t="s">
        <v>1</v>
      </c>
      <c r="E18872" t="s">
        <v>1</v>
      </c>
      <c r="F18872" t="s">
        <v>0</v>
      </c>
      <c r="G18872" t="str">
        <f>"2018-10-10 21:22:11"</f>
        <v>2018-10-10 21:22:11</v>
      </c>
    </row>
    <row r="18873" spans="1:7" x14ac:dyDescent="0.2">
      <c r="A18873" t="s">
        <v>1</v>
      </c>
      <c r="B18873" t="str">
        <f>"15098525444"</f>
        <v>15098525444</v>
      </c>
      <c r="C18873" t="s">
        <v>1</v>
      </c>
      <c r="D18873" t="s">
        <v>1</v>
      </c>
      <c r="E18873" t="s">
        <v>1</v>
      </c>
      <c r="F18873" t="s">
        <v>0</v>
      </c>
      <c r="G18873" t="str">
        <f>"2018-10-10 21:19:17"</f>
        <v>2018-10-10 21:19:17</v>
      </c>
    </row>
    <row r="18874" spans="1:7" x14ac:dyDescent="0.2">
      <c r="A18874" t="s">
        <v>17809</v>
      </c>
      <c r="B18874" t="str">
        <f>"18872943455"</f>
        <v>18872943455</v>
      </c>
      <c r="C18874" t="str">
        <f>"421023199509080416"</f>
        <v>421023199509080416</v>
      </c>
      <c r="D18874" t="s">
        <v>17810</v>
      </c>
      <c r="E18874" t="s">
        <v>17811</v>
      </c>
      <c r="F18874" t="s">
        <v>0</v>
      </c>
      <c r="G18874" t="str">
        <f>"2018-10-10 21:25:20"</f>
        <v>2018-10-10 21:25:20</v>
      </c>
    </row>
    <row r="18875" spans="1:7" x14ac:dyDescent="0.2">
      <c r="A18875" t="s">
        <v>17812</v>
      </c>
      <c r="B18875" t="str">
        <f>"18320183533"</f>
        <v>18320183533</v>
      </c>
      <c r="C18875" t="str">
        <f>"452224199102014525"</f>
        <v>452224199102014525</v>
      </c>
      <c r="D18875" t="s">
        <v>1</v>
      </c>
      <c r="E18875" t="s">
        <v>1</v>
      </c>
      <c r="F18875" t="s">
        <v>0</v>
      </c>
      <c r="G18875" t="str">
        <f>"2018-10-10 21:20:08"</f>
        <v>2018-10-10 21:20:08</v>
      </c>
    </row>
    <row r="18876" spans="1:7" x14ac:dyDescent="0.2">
      <c r="A18876" t="s">
        <v>17813</v>
      </c>
      <c r="B18876" t="str">
        <f>"15162377185"</f>
        <v>15162377185</v>
      </c>
      <c r="C18876" t="str">
        <f>"320525199207238332"</f>
        <v>320525199207238332</v>
      </c>
      <c r="D18876" t="s">
        <v>1</v>
      </c>
      <c r="E18876" t="s">
        <v>1</v>
      </c>
      <c r="F18876" t="s">
        <v>0</v>
      </c>
      <c r="G18876" t="str">
        <f>"2018-10-22 21:43:56"</f>
        <v>2018-10-22 21:43:56</v>
      </c>
    </row>
    <row r="18877" spans="1:7" x14ac:dyDescent="0.2">
      <c r="A18877" t="s">
        <v>17814</v>
      </c>
      <c r="B18877" t="str">
        <f>"17852621316"</f>
        <v>17852621316</v>
      </c>
      <c r="C18877" t="str">
        <f>"411528200002123731"</f>
        <v>411528200002123731</v>
      </c>
      <c r="D18877" t="s">
        <v>1</v>
      </c>
      <c r="E18877" t="s">
        <v>1</v>
      </c>
      <c r="F18877" t="s">
        <v>0</v>
      </c>
      <c r="G18877" t="str">
        <f>"2018-10-10 21:20:25"</f>
        <v>2018-10-10 21:20:25</v>
      </c>
    </row>
    <row r="18878" spans="1:7" x14ac:dyDescent="0.2">
      <c r="A18878" t="s">
        <v>1275</v>
      </c>
      <c r="B18878" t="str">
        <f>"18865221336"</f>
        <v>18865221336</v>
      </c>
      <c r="C18878" t="str">
        <f>"371581198510076061"</f>
        <v>371581198510076061</v>
      </c>
      <c r="D18878" t="s">
        <v>1</v>
      </c>
      <c r="E18878" t="s">
        <v>1</v>
      </c>
      <c r="F18878" t="s">
        <v>0</v>
      </c>
      <c r="G18878" t="str">
        <f>"2018-10-10 21:20:38"</f>
        <v>2018-10-10 21:20:38</v>
      </c>
    </row>
    <row r="18879" spans="1:7" x14ac:dyDescent="0.2">
      <c r="A18879" t="s">
        <v>17815</v>
      </c>
      <c r="B18879" t="str">
        <f>"18677572347"</f>
        <v>18677572347</v>
      </c>
      <c r="C18879" t="str">
        <f>"450981199311262561"</f>
        <v>450981199311262561</v>
      </c>
      <c r="D18879" t="s">
        <v>1</v>
      </c>
      <c r="E18879" t="s">
        <v>1</v>
      </c>
      <c r="F18879" t="s">
        <v>0</v>
      </c>
      <c r="G18879" t="str">
        <f>"2018-10-10 21:19:23"</f>
        <v>2018-10-10 21:19:23</v>
      </c>
    </row>
    <row r="18880" spans="1:7" x14ac:dyDescent="0.2">
      <c r="A18880" t="s">
        <v>1</v>
      </c>
      <c r="B18880" t="str">
        <f>"18209232433"</f>
        <v>18209232433</v>
      </c>
      <c r="C18880" t="s">
        <v>1</v>
      </c>
      <c r="D18880" t="s">
        <v>1</v>
      </c>
      <c r="E18880" t="s">
        <v>1</v>
      </c>
      <c r="F18880" t="s">
        <v>0</v>
      </c>
      <c r="G18880" t="str">
        <f>"2018-10-10 21:17:39"</f>
        <v>2018-10-10 21:17:39</v>
      </c>
    </row>
    <row r="18881" spans="1:7" x14ac:dyDescent="0.2">
      <c r="A18881" t="s">
        <v>1</v>
      </c>
      <c r="B18881" t="str">
        <f>"13268223358"</f>
        <v>13268223358</v>
      </c>
      <c r="C18881" t="s">
        <v>1</v>
      </c>
      <c r="D18881" t="s">
        <v>1</v>
      </c>
      <c r="E18881" t="s">
        <v>1</v>
      </c>
      <c r="F18881" t="s">
        <v>0</v>
      </c>
      <c r="G18881" t="str">
        <f>"2018-10-10 21:21:57"</f>
        <v>2018-10-10 21:21:57</v>
      </c>
    </row>
    <row r="18882" spans="1:7" x14ac:dyDescent="0.2">
      <c r="A18882" t="s">
        <v>1632</v>
      </c>
      <c r="B18882" t="str">
        <f>"13231582682"</f>
        <v>13231582682</v>
      </c>
      <c r="C18882" t="str">
        <f>"130204198810221238"</f>
        <v>130204198810221238</v>
      </c>
      <c r="D18882" t="s">
        <v>1</v>
      </c>
      <c r="E18882" t="s">
        <v>1</v>
      </c>
      <c r="F18882" t="s">
        <v>0</v>
      </c>
      <c r="G18882" t="str">
        <f>"2018-10-10 21:17:44"</f>
        <v>2018-10-10 21:17:44</v>
      </c>
    </row>
    <row r="18883" spans="1:7" x14ac:dyDescent="0.2">
      <c r="A18883" t="s">
        <v>17816</v>
      </c>
      <c r="B18883" t="str">
        <f>"18880960521"</f>
        <v>18880960521</v>
      </c>
      <c r="C18883" t="str">
        <f>"513022199607185454"</f>
        <v>513022199607185454</v>
      </c>
      <c r="D18883" t="s">
        <v>1</v>
      </c>
      <c r="E18883" t="s">
        <v>1</v>
      </c>
      <c r="F18883" t="s">
        <v>0</v>
      </c>
      <c r="G18883" t="str">
        <f>"2018-10-10 21:32:44"</f>
        <v>2018-10-10 21:32:44</v>
      </c>
    </row>
    <row r="18884" spans="1:7" x14ac:dyDescent="0.2">
      <c r="A18884" t="s">
        <v>1</v>
      </c>
      <c r="B18884" t="str">
        <f>"17691254375"</f>
        <v>17691254375</v>
      </c>
      <c r="C18884" t="s">
        <v>1</v>
      </c>
      <c r="D18884" t="s">
        <v>1</v>
      </c>
      <c r="E18884" t="s">
        <v>1</v>
      </c>
      <c r="F18884" t="s">
        <v>0</v>
      </c>
      <c r="G18884" t="str">
        <f>"2018-10-10 21:16:12"</f>
        <v>2018-10-10 21:16:12</v>
      </c>
    </row>
    <row r="18885" spans="1:7" x14ac:dyDescent="0.2">
      <c r="A18885" t="s">
        <v>17817</v>
      </c>
      <c r="B18885" t="str">
        <f>"18716471649"</f>
        <v>18716471649</v>
      </c>
      <c r="C18885" t="str">
        <f>"50023319941010218X"</f>
        <v>50023319941010218X</v>
      </c>
      <c r="D18885" t="s">
        <v>1</v>
      </c>
      <c r="E18885" t="s">
        <v>1</v>
      </c>
      <c r="F18885" t="s">
        <v>0</v>
      </c>
      <c r="G18885" t="str">
        <f>"2018-10-10 21:17:42"</f>
        <v>2018-10-10 21:17:42</v>
      </c>
    </row>
    <row r="18886" spans="1:7" x14ac:dyDescent="0.2">
      <c r="A18886" t="s">
        <v>1</v>
      </c>
      <c r="B18886" t="str">
        <f>"15676452843"</f>
        <v>15676452843</v>
      </c>
      <c r="C18886" t="s">
        <v>1</v>
      </c>
      <c r="D18886" t="s">
        <v>1</v>
      </c>
      <c r="E18886" t="s">
        <v>1</v>
      </c>
      <c r="F18886" t="s">
        <v>0</v>
      </c>
      <c r="G18886" t="str">
        <f>"2018-10-10 21:15:04"</f>
        <v>2018-10-10 21:15:04</v>
      </c>
    </row>
    <row r="18887" spans="1:7" x14ac:dyDescent="0.2">
      <c r="A18887" t="s">
        <v>17818</v>
      </c>
      <c r="B18887" t="str">
        <f>"15988548181"</f>
        <v>15988548181</v>
      </c>
      <c r="C18887" t="str">
        <f>"33072319891025329X"</f>
        <v>33072319891025329X</v>
      </c>
      <c r="D18887" t="s">
        <v>17819</v>
      </c>
      <c r="E18887" t="s">
        <v>17820</v>
      </c>
      <c r="F18887" t="s">
        <v>0</v>
      </c>
      <c r="G18887" t="str">
        <f>"2018-10-10 21:47:13"</f>
        <v>2018-10-10 21:47:13</v>
      </c>
    </row>
    <row r="18888" spans="1:7" x14ac:dyDescent="0.2">
      <c r="A18888" t="s">
        <v>17821</v>
      </c>
      <c r="B18888" t="str">
        <f>"15811947361"</f>
        <v>15811947361</v>
      </c>
      <c r="C18888" t="str">
        <f>"522530198910011362"</f>
        <v>522530198910011362</v>
      </c>
      <c r="D18888" t="s">
        <v>1</v>
      </c>
      <c r="E18888" t="s">
        <v>1</v>
      </c>
      <c r="F18888" t="s">
        <v>0</v>
      </c>
      <c r="G18888" t="str">
        <f>"2018-10-10 21:14:40"</f>
        <v>2018-10-10 21:14:40</v>
      </c>
    </row>
    <row r="18889" spans="1:7" x14ac:dyDescent="0.2">
      <c r="A18889" t="s">
        <v>529</v>
      </c>
      <c r="B18889" t="str">
        <f>"18796890495"</f>
        <v>18796890495</v>
      </c>
      <c r="C18889" t="str">
        <f>"340827199409265235"</f>
        <v>340827199409265235</v>
      </c>
      <c r="D18889" t="s">
        <v>1</v>
      </c>
      <c r="E18889" t="s">
        <v>1</v>
      </c>
      <c r="F18889" t="s">
        <v>0</v>
      </c>
      <c r="G18889" t="str">
        <f>"2018-10-21 23:38:44"</f>
        <v>2018-10-21 23:38:44</v>
      </c>
    </row>
    <row r="18890" spans="1:7" x14ac:dyDescent="0.2">
      <c r="A18890" t="s">
        <v>17822</v>
      </c>
      <c r="B18890" t="str">
        <f>"17505182304"</f>
        <v>17505182304</v>
      </c>
      <c r="C18890" t="str">
        <f>"321322199811255228"</f>
        <v>321322199811255228</v>
      </c>
      <c r="D18890" t="s">
        <v>17823</v>
      </c>
      <c r="E18890" t="s">
        <v>17824</v>
      </c>
      <c r="F18890" t="s">
        <v>0</v>
      </c>
      <c r="G18890" t="str">
        <f>"2018-10-10 21:13:02"</f>
        <v>2018-10-10 21:13:02</v>
      </c>
    </row>
    <row r="18891" spans="1:7" x14ac:dyDescent="0.2">
      <c r="A18891" t="s">
        <v>17825</v>
      </c>
      <c r="B18891" t="str">
        <f>"15054354038"</f>
        <v>15054354038</v>
      </c>
      <c r="C18891" t="str">
        <f>"372301198603181061"</f>
        <v>372301198603181061</v>
      </c>
      <c r="D18891" t="s">
        <v>1</v>
      </c>
      <c r="E18891" t="s">
        <v>1</v>
      </c>
      <c r="F18891" t="s">
        <v>0</v>
      </c>
      <c r="G18891" t="str">
        <f>"2018-10-10 21:14:18"</f>
        <v>2018-10-10 21:14:18</v>
      </c>
    </row>
    <row r="18892" spans="1:7" x14ac:dyDescent="0.2">
      <c r="A18892" t="s">
        <v>17826</v>
      </c>
      <c r="B18892" t="str">
        <f>"13633223198"</f>
        <v>13633223198</v>
      </c>
      <c r="C18892" t="str">
        <f>"130682197810076954"</f>
        <v>130682197810076954</v>
      </c>
      <c r="D18892" t="s">
        <v>1</v>
      </c>
      <c r="E18892" t="s">
        <v>1</v>
      </c>
      <c r="F18892" t="s">
        <v>0</v>
      </c>
      <c r="G18892" t="str">
        <f>"2018-11-01 06:17:31"</f>
        <v>2018-11-01 06:17:31</v>
      </c>
    </row>
    <row r="18893" spans="1:7" x14ac:dyDescent="0.2">
      <c r="A18893" t="s">
        <v>17827</v>
      </c>
      <c r="B18893" t="str">
        <f>"13023808639"</f>
        <v>13023808639</v>
      </c>
      <c r="C18893" t="str">
        <f>"45212719880101032X"</f>
        <v>45212719880101032X</v>
      </c>
      <c r="D18893" t="s">
        <v>1</v>
      </c>
      <c r="E18893" t="s">
        <v>1</v>
      </c>
      <c r="F18893" t="s">
        <v>0</v>
      </c>
      <c r="G18893" t="str">
        <f>"2018-10-16 07:34:56"</f>
        <v>2018-10-16 07:34:56</v>
      </c>
    </row>
    <row r="18894" spans="1:7" x14ac:dyDescent="0.2">
      <c r="A18894" t="s">
        <v>17828</v>
      </c>
      <c r="B18894" t="str">
        <f>"13753979367"</f>
        <v>13753979367</v>
      </c>
      <c r="C18894" t="str">
        <f>"142703199209221834"</f>
        <v>142703199209221834</v>
      </c>
      <c r="D18894" t="s">
        <v>1</v>
      </c>
      <c r="E18894" t="s">
        <v>1</v>
      </c>
      <c r="F18894" t="s">
        <v>0</v>
      </c>
      <c r="G18894" t="str">
        <f>"2018-10-11 16:32:16"</f>
        <v>2018-10-11 16:32:16</v>
      </c>
    </row>
    <row r="18895" spans="1:7" x14ac:dyDescent="0.2">
      <c r="A18895" t="s">
        <v>17829</v>
      </c>
      <c r="B18895" t="str">
        <f>"13384189632"</f>
        <v>13384189632</v>
      </c>
      <c r="C18895" t="str">
        <f>"210904196712120520"</f>
        <v>210904196712120520</v>
      </c>
      <c r="D18895" t="s">
        <v>1</v>
      </c>
      <c r="E18895" t="s">
        <v>1</v>
      </c>
      <c r="F18895" t="s">
        <v>0</v>
      </c>
      <c r="G18895" t="str">
        <f>"2018-10-10 21:12:58"</f>
        <v>2018-10-10 21:12:58</v>
      </c>
    </row>
    <row r="18896" spans="1:7" x14ac:dyDescent="0.2">
      <c r="A18896" t="s">
        <v>17830</v>
      </c>
      <c r="B18896" t="str">
        <f>"18817118689"</f>
        <v>18817118689</v>
      </c>
      <c r="C18896" t="str">
        <f>"430902199206256515"</f>
        <v>430902199206256515</v>
      </c>
      <c r="D18896" t="s">
        <v>1</v>
      </c>
      <c r="E18896" t="s">
        <v>1</v>
      </c>
      <c r="F18896" t="s">
        <v>0</v>
      </c>
      <c r="G18896" t="str">
        <f>"2018-10-10 21:16:43"</f>
        <v>2018-10-10 21:16:43</v>
      </c>
    </row>
    <row r="18897" spans="1:7" x14ac:dyDescent="0.2">
      <c r="A18897" t="s">
        <v>17831</v>
      </c>
      <c r="B18897" t="str">
        <f>"13456385237"</f>
        <v>13456385237</v>
      </c>
      <c r="C18897" t="str">
        <f>"360281198606203070"</f>
        <v>360281198606203070</v>
      </c>
      <c r="D18897" t="s">
        <v>1</v>
      </c>
      <c r="E18897" t="s">
        <v>1</v>
      </c>
      <c r="F18897" t="s">
        <v>0</v>
      </c>
      <c r="G18897" t="str">
        <f>"2018-10-10 21:13:18"</f>
        <v>2018-10-10 21:13:18</v>
      </c>
    </row>
    <row r="18898" spans="1:7" x14ac:dyDescent="0.2">
      <c r="A18898" t="s">
        <v>17832</v>
      </c>
      <c r="B18898" t="str">
        <f>"18877774137"</f>
        <v>18877774137</v>
      </c>
      <c r="C18898" t="str">
        <f>"450702199101234822"</f>
        <v>450702199101234822</v>
      </c>
      <c r="D18898" t="s">
        <v>1</v>
      </c>
      <c r="E18898" t="s">
        <v>1</v>
      </c>
      <c r="F18898" t="s">
        <v>0</v>
      </c>
      <c r="G18898" t="str">
        <f>"2018-10-10 21:13:54"</f>
        <v>2018-10-10 21:13:54</v>
      </c>
    </row>
    <row r="18899" spans="1:7" x14ac:dyDescent="0.2">
      <c r="A18899" t="s">
        <v>1404</v>
      </c>
      <c r="B18899" t="str">
        <f>"15198060670"</f>
        <v>15198060670</v>
      </c>
      <c r="C18899" t="str">
        <f>"510183199601021438"</f>
        <v>510183199601021438</v>
      </c>
      <c r="D18899" t="s">
        <v>17833</v>
      </c>
      <c r="E18899" t="s">
        <v>17834</v>
      </c>
      <c r="F18899" t="s">
        <v>0</v>
      </c>
      <c r="G18899" t="str">
        <f>"2018-10-12 10:06:20"</f>
        <v>2018-10-12 10:06:20</v>
      </c>
    </row>
    <row r="18900" spans="1:7" x14ac:dyDescent="0.2">
      <c r="A18900" t="s">
        <v>843</v>
      </c>
      <c r="B18900" t="str">
        <f>"18063318293"</f>
        <v>18063318293</v>
      </c>
      <c r="C18900" t="str">
        <f>"371326199011053112"</f>
        <v>371326199011053112</v>
      </c>
      <c r="D18900" t="s">
        <v>1</v>
      </c>
      <c r="E18900" t="s">
        <v>1</v>
      </c>
      <c r="F18900" t="s">
        <v>0</v>
      </c>
      <c r="G18900" t="str">
        <f>"2018-10-10 21:11:02"</f>
        <v>2018-10-10 21:11:02</v>
      </c>
    </row>
    <row r="18901" spans="1:7" x14ac:dyDescent="0.2">
      <c r="A18901" t="s">
        <v>1</v>
      </c>
      <c r="B18901" t="str">
        <f>"13793429314"</f>
        <v>13793429314</v>
      </c>
      <c r="C18901" t="s">
        <v>1</v>
      </c>
      <c r="D18901" t="s">
        <v>1</v>
      </c>
      <c r="E18901" t="s">
        <v>1</v>
      </c>
      <c r="F18901" t="s">
        <v>0</v>
      </c>
      <c r="G18901" t="str">
        <f>"2018-10-10 21:07:49"</f>
        <v>2018-10-10 21:07:49</v>
      </c>
    </row>
    <row r="18902" spans="1:7" x14ac:dyDescent="0.2">
      <c r="A18902" t="s">
        <v>1</v>
      </c>
      <c r="B18902" t="str">
        <f>"13091900219"</f>
        <v>13091900219</v>
      </c>
      <c r="C18902" t="s">
        <v>1</v>
      </c>
      <c r="D18902" t="s">
        <v>1</v>
      </c>
      <c r="E18902" t="s">
        <v>1</v>
      </c>
      <c r="F18902" t="s">
        <v>0</v>
      </c>
      <c r="G18902" t="str">
        <f>"2018-10-10 21:10:13"</f>
        <v>2018-10-10 21:10:13</v>
      </c>
    </row>
    <row r="18903" spans="1:7" x14ac:dyDescent="0.2">
      <c r="A18903" t="s">
        <v>17835</v>
      </c>
      <c r="B18903" t="str">
        <f>"18137192497"</f>
        <v>18137192497</v>
      </c>
      <c r="C18903" t="str">
        <f>"410823200002060287"</f>
        <v>410823200002060287</v>
      </c>
      <c r="D18903" t="s">
        <v>1</v>
      </c>
      <c r="E18903" t="s">
        <v>1</v>
      </c>
      <c r="F18903" t="s">
        <v>0</v>
      </c>
      <c r="G18903" t="str">
        <f>"2018-10-10 21:07:28"</f>
        <v>2018-10-10 21:07:28</v>
      </c>
    </row>
    <row r="18904" spans="1:7" x14ac:dyDescent="0.2">
      <c r="A18904" t="s">
        <v>17836</v>
      </c>
      <c r="B18904" t="str">
        <f>"15079741405"</f>
        <v>15079741405</v>
      </c>
      <c r="C18904" t="str">
        <f>"360782198310200026"</f>
        <v>360782198310200026</v>
      </c>
      <c r="D18904" t="s">
        <v>1</v>
      </c>
      <c r="E18904" t="s">
        <v>1</v>
      </c>
      <c r="F18904" t="s">
        <v>0</v>
      </c>
      <c r="G18904" t="str">
        <f>"2018-10-10 21:08:01"</f>
        <v>2018-10-10 21:08:01</v>
      </c>
    </row>
    <row r="18905" spans="1:7" x14ac:dyDescent="0.2">
      <c r="A18905" t="s">
        <v>17837</v>
      </c>
      <c r="B18905" t="str">
        <f>"15859667738"</f>
        <v>15859667738</v>
      </c>
      <c r="C18905" t="str">
        <f>"360731199403266520"</f>
        <v>360731199403266520</v>
      </c>
      <c r="D18905" t="s">
        <v>1</v>
      </c>
      <c r="E18905" t="s">
        <v>1</v>
      </c>
      <c r="F18905" t="s">
        <v>0</v>
      </c>
      <c r="G18905" t="str">
        <f>"2018-10-10 21:11:37"</f>
        <v>2018-10-10 21:11:37</v>
      </c>
    </row>
    <row r="18906" spans="1:7" x14ac:dyDescent="0.2">
      <c r="A18906" t="s">
        <v>1</v>
      </c>
      <c r="B18906" t="str">
        <f>"15803117892"</f>
        <v>15803117892</v>
      </c>
      <c r="C18906" t="s">
        <v>1</v>
      </c>
      <c r="D18906" t="s">
        <v>1</v>
      </c>
      <c r="E18906" t="s">
        <v>1</v>
      </c>
      <c r="F18906" t="s">
        <v>0</v>
      </c>
      <c r="G18906" t="str">
        <f>"2018-10-10 21:04:57"</f>
        <v>2018-10-10 21:04:57</v>
      </c>
    </row>
    <row r="18907" spans="1:7" x14ac:dyDescent="0.2">
      <c r="A18907" t="s">
        <v>17838</v>
      </c>
      <c r="B18907" t="str">
        <f>"15085165718"</f>
        <v>15085165718</v>
      </c>
      <c r="C18907" t="str">
        <f>"522425199101216104"</f>
        <v>522425199101216104</v>
      </c>
      <c r="D18907" t="s">
        <v>1</v>
      </c>
      <c r="E18907" t="s">
        <v>1</v>
      </c>
      <c r="F18907" t="s">
        <v>0</v>
      </c>
      <c r="G18907" t="str">
        <f>"2018-10-10 21:06:11"</f>
        <v>2018-10-10 21:06:11</v>
      </c>
    </row>
    <row r="18908" spans="1:7" x14ac:dyDescent="0.2">
      <c r="A18908" t="s">
        <v>17839</v>
      </c>
      <c r="B18908" t="str">
        <f>"18389713209"</f>
        <v>18389713209</v>
      </c>
      <c r="C18908" t="str">
        <f>"46003620000101522X"</f>
        <v>46003620000101522X</v>
      </c>
      <c r="D18908" t="s">
        <v>1</v>
      </c>
      <c r="E18908" t="s">
        <v>1</v>
      </c>
      <c r="F18908" t="s">
        <v>0</v>
      </c>
      <c r="G18908" t="str">
        <f>"2018-10-10 21:05:35"</f>
        <v>2018-10-10 21:05:35</v>
      </c>
    </row>
    <row r="18909" spans="1:7" x14ac:dyDescent="0.2">
      <c r="A18909" t="s">
        <v>17840</v>
      </c>
      <c r="B18909" t="str">
        <f>"15320906996"</f>
        <v>15320906996</v>
      </c>
      <c r="C18909" t="str">
        <f>"500240198703161422"</f>
        <v>500240198703161422</v>
      </c>
      <c r="D18909" t="s">
        <v>1</v>
      </c>
      <c r="E18909" t="s">
        <v>1</v>
      </c>
      <c r="F18909" t="s">
        <v>0</v>
      </c>
      <c r="G18909" t="str">
        <f>"2018-10-10 21:06:19"</f>
        <v>2018-10-10 21:06:19</v>
      </c>
    </row>
    <row r="18910" spans="1:7" x14ac:dyDescent="0.2">
      <c r="A18910" t="s">
        <v>1</v>
      </c>
      <c r="B18910" t="str">
        <f>"13017857912"</f>
        <v>13017857912</v>
      </c>
      <c r="C18910" t="s">
        <v>1</v>
      </c>
      <c r="D18910" t="s">
        <v>1</v>
      </c>
      <c r="E18910" t="s">
        <v>1</v>
      </c>
      <c r="F18910" t="s">
        <v>0</v>
      </c>
      <c r="G18910" t="str">
        <f>"2018-10-10 21:05:24"</f>
        <v>2018-10-10 21:05:24</v>
      </c>
    </row>
    <row r="18911" spans="1:7" x14ac:dyDescent="0.2">
      <c r="A18911" t="s">
        <v>17841</v>
      </c>
      <c r="B18911" t="str">
        <f>"13058950300"</f>
        <v>13058950300</v>
      </c>
      <c r="C18911" t="str">
        <f>"330722197510300033"</f>
        <v>330722197510300033</v>
      </c>
      <c r="D18911" t="s">
        <v>1</v>
      </c>
      <c r="E18911" t="s">
        <v>1</v>
      </c>
      <c r="F18911" t="s">
        <v>0</v>
      </c>
      <c r="G18911" t="str">
        <f>"2018-10-10 21:05:48"</f>
        <v>2018-10-10 21:05:48</v>
      </c>
    </row>
    <row r="18912" spans="1:7" x14ac:dyDescent="0.2">
      <c r="A18912" t="s">
        <v>17842</v>
      </c>
      <c r="B18912" t="str">
        <f>"13420976986"</f>
        <v>13420976986</v>
      </c>
      <c r="C18912" t="str">
        <f>"445202199902042789"</f>
        <v>445202199902042789</v>
      </c>
      <c r="D18912" t="s">
        <v>1</v>
      </c>
      <c r="E18912" t="s">
        <v>1</v>
      </c>
      <c r="F18912" t="s">
        <v>0</v>
      </c>
      <c r="G18912" t="str">
        <f>"2018-10-20 21:11:43"</f>
        <v>2018-10-20 21:11:43</v>
      </c>
    </row>
    <row r="18913" spans="1:7" x14ac:dyDescent="0.2">
      <c r="A18913" t="s">
        <v>17843</v>
      </c>
      <c r="B18913" t="str">
        <f>"18808695645"</f>
        <v>18808695645</v>
      </c>
      <c r="C18913" t="str">
        <f>"420821199807204085"</f>
        <v>420821199807204085</v>
      </c>
      <c r="D18913" t="s">
        <v>1</v>
      </c>
      <c r="E18913" t="s">
        <v>1</v>
      </c>
      <c r="F18913" t="s">
        <v>0</v>
      </c>
      <c r="G18913" t="str">
        <f>"2018-10-10 21:03:53"</f>
        <v>2018-10-10 21:03:53</v>
      </c>
    </row>
    <row r="18914" spans="1:7" x14ac:dyDescent="0.2">
      <c r="A18914" t="s">
        <v>1</v>
      </c>
      <c r="B18914" t="str">
        <f>"17859102224"</f>
        <v>17859102224</v>
      </c>
      <c r="C18914" t="s">
        <v>1</v>
      </c>
      <c r="D18914" t="s">
        <v>1</v>
      </c>
      <c r="E18914" t="s">
        <v>1</v>
      </c>
      <c r="F18914" t="s">
        <v>0</v>
      </c>
      <c r="G18914" t="str">
        <f>"2018-10-10 21:02:23"</f>
        <v>2018-10-10 21:02:23</v>
      </c>
    </row>
    <row r="18915" spans="1:7" x14ac:dyDescent="0.2">
      <c r="A18915" t="s">
        <v>17844</v>
      </c>
      <c r="B18915" t="str">
        <f>"17685155429"</f>
        <v>17685155429</v>
      </c>
      <c r="C18915" t="str">
        <f>"522634199105023227"</f>
        <v>522634199105023227</v>
      </c>
      <c r="D18915" t="s">
        <v>17845</v>
      </c>
      <c r="E18915" t="s">
        <v>17846</v>
      </c>
      <c r="F18915" t="s">
        <v>0</v>
      </c>
      <c r="G18915" t="str">
        <f>"2018-10-10 21:02:55"</f>
        <v>2018-10-10 21:02:55</v>
      </c>
    </row>
    <row r="18916" spans="1:7" x14ac:dyDescent="0.2">
      <c r="A18916" t="s">
        <v>17847</v>
      </c>
      <c r="B18916" t="str">
        <f>"13433870458"</f>
        <v>13433870458</v>
      </c>
      <c r="C18916" t="str">
        <f>"440582199506101541"</f>
        <v>440582199506101541</v>
      </c>
      <c r="D18916" t="s">
        <v>1</v>
      </c>
      <c r="E18916" t="s">
        <v>1</v>
      </c>
      <c r="F18916" t="s">
        <v>0</v>
      </c>
      <c r="G18916" t="str">
        <f>"2018-10-10 21:02:57"</f>
        <v>2018-10-10 21:02:57</v>
      </c>
    </row>
    <row r="18917" spans="1:7" x14ac:dyDescent="0.2">
      <c r="A18917" t="s">
        <v>17848</v>
      </c>
      <c r="B18917" t="str">
        <f>"15119618419"</f>
        <v>15119618419</v>
      </c>
      <c r="C18917" t="str">
        <f>"440921199803037725"</f>
        <v>440921199803037725</v>
      </c>
      <c r="D18917" t="s">
        <v>1</v>
      </c>
      <c r="E18917" t="s">
        <v>1</v>
      </c>
      <c r="F18917" t="s">
        <v>0</v>
      </c>
      <c r="G18917" t="str">
        <f>"2018-10-10 21:02:58"</f>
        <v>2018-10-10 21:02:58</v>
      </c>
    </row>
    <row r="18918" spans="1:7" x14ac:dyDescent="0.2">
      <c r="A18918" t="s">
        <v>17849</v>
      </c>
      <c r="B18918" t="str">
        <f>"15285924500"</f>
        <v>15285924500</v>
      </c>
      <c r="C18918" t="str">
        <f>"52242319911209041X"</f>
        <v>52242319911209041X</v>
      </c>
      <c r="D18918" t="s">
        <v>1</v>
      </c>
      <c r="E18918" t="s">
        <v>1</v>
      </c>
      <c r="F18918" t="s">
        <v>0</v>
      </c>
      <c r="G18918" t="str">
        <f>"2018-10-22 00:24:47"</f>
        <v>2018-10-22 00:24:47</v>
      </c>
    </row>
    <row r="18919" spans="1:7" x14ac:dyDescent="0.2">
      <c r="A18919" t="s">
        <v>17850</v>
      </c>
      <c r="B18919" t="str">
        <f>"15844182558"</f>
        <v>15844182558</v>
      </c>
      <c r="C18919" t="str">
        <f>"220181199009134634"</f>
        <v>220181199009134634</v>
      </c>
      <c r="D18919" t="s">
        <v>1</v>
      </c>
      <c r="E18919" t="s">
        <v>1</v>
      </c>
      <c r="F18919" t="s">
        <v>0</v>
      </c>
      <c r="G18919" t="str">
        <f>"2018-10-10 21:10:12"</f>
        <v>2018-10-10 21:10:12</v>
      </c>
    </row>
    <row r="18920" spans="1:7" x14ac:dyDescent="0.2">
      <c r="A18920" t="s">
        <v>1</v>
      </c>
      <c r="B18920" t="str">
        <f>"18683447970"</f>
        <v>18683447970</v>
      </c>
      <c r="C18920" t="s">
        <v>1</v>
      </c>
      <c r="D18920" t="s">
        <v>1</v>
      </c>
      <c r="E18920" t="s">
        <v>1</v>
      </c>
      <c r="F18920" t="s">
        <v>0</v>
      </c>
      <c r="G18920" t="str">
        <f>"2018-10-10 21:00:52"</f>
        <v>2018-10-10 21:00:52</v>
      </c>
    </row>
    <row r="18921" spans="1:7" x14ac:dyDescent="0.2">
      <c r="A18921" t="s">
        <v>17851</v>
      </c>
      <c r="B18921" t="str">
        <f>"13517640394"</f>
        <v>13517640394</v>
      </c>
      <c r="C18921" t="str">
        <f>"522222198309093225"</f>
        <v>522222198309093225</v>
      </c>
      <c r="D18921" t="s">
        <v>17852</v>
      </c>
      <c r="E18921" t="s">
        <v>17853</v>
      </c>
      <c r="F18921" t="s">
        <v>0</v>
      </c>
      <c r="G18921" t="str">
        <f>"2018-10-21 13:42:01"</f>
        <v>2018-10-21 13:42:01</v>
      </c>
    </row>
    <row r="18922" spans="1:7" x14ac:dyDescent="0.2">
      <c r="A18922" t="s">
        <v>17854</v>
      </c>
      <c r="B18922" t="str">
        <f>"15208177959"</f>
        <v>15208177959</v>
      </c>
      <c r="C18922" t="str">
        <f>"51162219971004006X"</f>
        <v>51162219971004006X</v>
      </c>
      <c r="D18922" t="s">
        <v>1</v>
      </c>
      <c r="E18922" t="s">
        <v>1</v>
      </c>
      <c r="F18922" t="s">
        <v>0</v>
      </c>
      <c r="G18922" t="str">
        <f>"2018-10-10 21:15:41"</f>
        <v>2018-10-10 21:15:41</v>
      </c>
    </row>
    <row r="18923" spans="1:7" x14ac:dyDescent="0.2">
      <c r="A18923" t="s">
        <v>83</v>
      </c>
      <c r="B18923" t="str">
        <f>"18018375791"</f>
        <v>18018375791</v>
      </c>
      <c r="C18923" t="str">
        <f>"320282198901112875"</f>
        <v>320282198901112875</v>
      </c>
      <c r="D18923" t="s">
        <v>1</v>
      </c>
      <c r="E18923" t="s">
        <v>1</v>
      </c>
      <c r="F18923" t="s">
        <v>0</v>
      </c>
      <c r="G18923" t="str">
        <f>"2018-10-10 21:10:54"</f>
        <v>2018-10-10 21:10:54</v>
      </c>
    </row>
    <row r="18924" spans="1:7" x14ac:dyDescent="0.2">
      <c r="A18924" t="s">
        <v>1</v>
      </c>
      <c r="B18924" t="str">
        <f>"17693553224"</f>
        <v>17693553224</v>
      </c>
      <c r="C18924" t="s">
        <v>1</v>
      </c>
      <c r="D18924" t="s">
        <v>1</v>
      </c>
      <c r="E18924" t="s">
        <v>1</v>
      </c>
      <c r="F18924" t="s">
        <v>0</v>
      </c>
      <c r="G18924" t="str">
        <f>"2018-10-10 20:59:29"</f>
        <v>2018-10-10 20:59:29</v>
      </c>
    </row>
    <row r="18925" spans="1:7" x14ac:dyDescent="0.2">
      <c r="A18925" t="s">
        <v>17855</v>
      </c>
      <c r="B18925" t="str">
        <f>"15007663555"</f>
        <v>15007663555</v>
      </c>
      <c r="C18925" t="str">
        <f>"441228198303231647"</f>
        <v>441228198303231647</v>
      </c>
      <c r="D18925" t="s">
        <v>1</v>
      </c>
      <c r="E18925" t="s">
        <v>1</v>
      </c>
      <c r="F18925" t="s">
        <v>0</v>
      </c>
      <c r="G18925" t="str">
        <f>"2018-10-10 21:00:52"</f>
        <v>2018-10-10 21:00:52</v>
      </c>
    </row>
    <row r="18926" spans="1:7" x14ac:dyDescent="0.2">
      <c r="A18926" t="s">
        <v>17856</v>
      </c>
      <c r="B18926" t="str">
        <f>"18759718682"</f>
        <v>18759718682</v>
      </c>
      <c r="C18926" t="str">
        <f>"350426199710166547"</f>
        <v>350426199710166547</v>
      </c>
      <c r="D18926" t="s">
        <v>1</v>
      </c>
      <c r="E18926" t="s">
        <v>1</v>
      </c>
      <c r="F18926" t="s">
        <v>0</v>
      </c>
      <c r="G18926" t="str">
        <f>"2018-10-10 21:06:42"</f>
        <v>2018-10-10 21:06:42</v>
      </c>
    </row>
    <row r="18927" spans="1:7" x14ac:dyDescent="0.2">
      <c r="A18927" t="s">
        <v>17857</v>
      </c>
      <c r="B18927" t="str">
        <f>"17649823834"</f>
        <v>17649823834</v>
      </c>
      <c r="C18927" t="str">
        <f>"22018119900306353X"</f>
        <v>22018119900306353X</v>
      </c>
      <c r="D18927" t="s">
        <v>1</v>
      </c>
      <c r="E18927" t="s">
        <v>1</v>
      </c>
      <c r="F18927" t="s">
        <v>0</v>
      </c>
      <c r="G18927" t="str">
        <f>"2018-10-10 21:08:10"</f>
        <v>2018-10-10 21:08:10</v>
      </c>
    </row>
    <row r="18928" spans="1:7" x14ac:dyDescent="0.2">
      <c r="A18928" t="s">
        <v>17858</v>
      </c>
      <c r="B18928" t="str">
        <f>"15938652073"</f>
        <v>15938652073</v>
      </c>
      <c r="C18928" t="str">
        <f>"412726199512242849"</f>
        <v>412726199512242849</v>
      </c>
      <c r="D18928" t="s">
        <v>1</v>
      </c>
      <c r="E18928" t="s">
        <v>1</v>
      </c>
      <c r="F18928" t="s">
        <v>0</v>
      </c>
      <c r="G18928" t="str">
        <f>"2018-10-10 21:02:22"</f>
        <v>2018-10-10 21:02:22</v>
      </c>
    </row>
    <row r="18929" spans="1:7" x14ac:dyDescent="0.2">
      <c r="A18929" t="s">
        <v>1</v>
      </c>
      <c r="B18929" t="str">
        <f>"13799837273"</f>
        <v>13799837273</v>
      </c>
      <c r="C18929" t="s">
        <v>1</v>
      </c>
      <c r="D18929" t="s">
        <v>1</v>
      </c>
      <c r="E18929" t="s">
        <v>1</v>
      </c>
      <c r="F18929" t="s">
        <v>0</v>
      </c>
      <c r="G18929" t="str">
        <f>"2018-10-10 20:58:24"</f>
        <v>2018-10-10 20:58:24</v>
      </c>
    </row>
    <row r="18930" spans="1:7" x14ac:dyDescent="0.2">
      <c r="A18930" t="s">
        <v>17859</v>
      </c>
      <c r="B18930" t="str">
        <f>"18377739454"</f>
        <v>18377739454</v>
      </c>
      <c r="C18930" t="str">
        <f>"450721199409116346"</f>
        <v>450721199409116346</v>
      </c>
      <c r="D18930" t="s">
        <v>1</v>
      </c>
      <c r="E18930" t="s">
        <v>1</v>
      </c>
      <c r="F18930" t="s">
        <v>0</v>
      </c>
      <c r="G18930" t="str">
        <f>"2018-10-10 21:00:20"</f>
        <v>2018-10-10 21:00:20</v>
      </c>
    </row>
    <row r="18931" spans="1:7" x14ac:dyDescent="0.2">
      <c r="A18931" t="s">
        <v>17860</v>
      </c>
      <c r="B18931" t="str">
        <f>"15878096446"</f>
        <v>15878096446</v>
      </c>
      <c r="C18931" t="str">
        <f>"452124199012100328"</f>
        <v>452124199012100328</v>
      </c>
      <c r="D18931" t="s">
        <v>1</v>
      </c>
      <c r="E18931" t="s">
        <v>1</v>
      </c>
      <c r="F18931" t="s">
        <v>0</v>
      </c>
      <c r="G18931" t="str">
        <f>"2018-10-10 20:59:02"</f>
        <v>2018-10-10 20:59:02</v>
      </c>
    </row>
    <row r="18932" spans="1:7" x14ac:dyDescent="0.2">
      <c r="A18932" t="s">
        <v>17861</v>
      </c>
      <c r="B18932" t="str">
        <f>"15226754957"</f>
        <v>15226754957</v>
      </c>
      <c r="C18932" t="str">
        <f>"130981198811022442"</f>
        <v>130981198811022442</v>
      </c>
      <c r="D18932" t="s">
        <v>1</v>
      </c>
      <c r="E18932" t="s">
        <v>1</v>
      </c>
      <c r="F18932" t="s">
        <v>0</v>
      </c>
      <c r="G18932" t="str">
        <f>"2018-10-10 20:58:26"</f>
        <v>2018-10-10 20:58:26</v>
      </c>
    </row>
    <row r="18933" spans="1:7" x14ac:dyDescent="0.2">
      <c r="A18933" t="s">
        <v>17862</v>
      </c>
      <c r="B18933" t="str">
        <f>"17610962203"</f>
        <v>17610962203</v>
      </c>
      <c r="C18933" t="str">
        <f>"341225199804081562"</f>
        <v>341225199804081562</v>
      </c>
      <c r="D18933" t="s">
        <v>1</v>
      </c>
      <c r="E18933" t="s">
        <v>1</v>
      </c>
      <c r="F18933" t="s">
        <v>0</v>
      </c>
      <c r="G18933" t="str">
        <f>"2018-10-10 20:58:37"</f>
        <v>2018-10-10 20:58:37</v>
      </c>
    </row>
    <row r="18934" spans="1:7" x14ac:dyDescent="0.2">
      <c r="A18934" t="s">
        <v>17863</v>
      </c>
      <c r="B18934" t="str">
        <f>"13941856717"</f>
        <v>13941856717</v>
      </c>
      <c r="C18934" t="str">
        <f>"210921198303162821"</f>
        <v>210921198303162821</v>
      </c>
      <c r="D18934" t="s">
        <v>1</v>
      </c>
      <c r="E18934" t="s">
        <v>1</v>
      </c>
      <c r="F18934" t="s">
        <v>0</v>
      </c>
      <c r="G18934" t="str">
        <f>"2018-10-10 20:58:25"</f>
        <v>2018-10-10 20:58:25</v>
      </c>
    </row>
    <row r="18935" spans="1:7" x14ac:dyDescent="0.2">
      <c r="A18935" t="s">
        <v>14473</v>
      </c>
      <c r="B18935" t="str">
        <f>"13595363029"</f>
        <v>13595363029</v>
      </c>
      <c r="C18935" t="str">
        <f>"522527199007181169"</f>
        <v>522527199007181169</v>
      </c>
      <c r="D18935" t="s">
        <v>1</v>
      </c>
      <c r="E18935" t="s">
        <v>1</v>
      </c>
      <c r="F18935" t="s">
        <v>0</v>
      </c>
      <c r="G18935" t="str">
        <f>"2018-10-10 20:58:32"</f>
        <v>2018-10-10 20:58:32</v>
      </c>
    </row>
    <row r="18936" spans="1:7" x14ac:dyDescent="0.2">
      <c r="A18936" t="s">
        <v>1617</v>
      </c>
      <c r="B18936" t="str">
        <f>"15128040021"</f>
        <v>15128040021</v>
      </c>
      <c r="C18936" t="str">
        <f>"13043319870812192X"</f>
        <v>13043319870812192X</v>
      </c>
      <c r="D18936" t="s">
        <v>1</v>
      </c>
      <c r="E18936" t="s">
        <v>1</v>
      </c>
      <c r="F18936" t="s">
        <v>0</v>
      </c>
      <c r="G18936" t="str">
        <f>"2018-10-10 20:59:27"</f>
        <v>2018-10-10 20:59:27</v>
      </c>
    </row>
    <row r="18937" spans="1:7" x14ac:dyDescent="0.2">
      <c r="A18937" t="s">
        <v>17864</v>
      </c>
      <c r="B18937" t="str">
        <f>"15517661911"</f>
        <v>15517661911</v>
      </c>
      <c r="C18937" t="str">
        <f>"411123196611203064"</f>
        <v>411123196611203064</v>
      </c>
      <c r="D18937" t="s">
        <v>1</v>
      </c>
      <c r="E18937" t="s">
        <v>1</v>
      </c>
      <c r="F18937" t="s">
        <v>0</v>
      </c>
      <c r="G18937" t="str">
        <f>"2018-10-10 20:59:06"</f>
        <v>2018-10-10 20:59:06</v>
      </c>
    </row>
    <row r="18938" spans="1:7" x14ac:dyDescent="0.2">
      <c r="A18938" t="s">
        <v>17865</v>
      </c>
      <c r="B18938" t="str">
        <f>"15028878673"</f>
        <v>15028878673</v>
      </c>
      <c r="C18938" t="str">
        <f>"130526198704134960"</f>
        <v>130526198704134960</v>
      </c>
      <c r="D18938" t="s">
        <v>1</v>
      </c>
      <c r="E18938" t="s">
        <v>1</v>
      </c>
      <c r="F18938" t="s">
        <v>0</v>
      </c>
      <c r="G18938" t="str">
        <f>"2018-10-10 20:58:55"</f>
        <v>2018-10-10 20:58:55</v>
      </c>
    </row>
    <row r="18939" spans="1:7" x14ac:dyDescent="0.2">
      <c r="A18939" t="s">
        <v>17866</v>
      </c>
      <c r="B18939" t="str">
        <f>"15131966135"</f>
        <v>15131966135</v>
      </c>
      <c r="C18939" t="str">
        <f>"130531199412112925"</f>
        <v>130531199412112925</v>
      </c>
      <c r="D18939" t="s">
        <v>1</v>
      </c>
      <c r="E18939" t="s">
        <v>1</v>
      </c>
      <c r="F18939" t="s">
        <v>0</v>
      </c>
      <c r="G18939" t="str">
        <f>"2018-10-10 20:58:02"</f>
        <v>2018-10-10 20:58:02</v>
      </c>
    </row>
    <row r="18940" spans="1:7" x14ac:dyDescent="0.2">
      <c r="A18940" t="s">
        <v>17867</v>
      </c>
      <c r="B18940" t="str">
        <f>"15172603868"</f>
        <v>15172603868</v>
      </c>
      <c r="C18940" t="str">
        <f>"420626198004196014"</f>
        <v>420626198004196014</v>
      </c>
      <c r="D18940" t="s">
        <v>1</v>
      </c>
      <c r="E18940" t="s">
        <v>1</v>
      </c>
      <c r="F18940" t="s">
        <v>0</v>
      </c>
      <c r="G18940" t="str">
        <f>"2018-10-10 20:59:03"</f>
        <v>2018-10-10 20:59:03</v>
      </c>
    </row>
    <row r="18941" spans="1:7" x14ac:dyDescent="0.2">
      <c r="A18941" t="s">
        <v>17868</v>
      </c>
      <c r="B18941" t="str">
        <f>"15324089854"</f>
        <v>15324089854</v>
      </c>
      <c r="C18941" t="str">
        <f>"13300119730120004X"</f>
        <v>13300119730120004X</v>
      </c>
      <c r="D18941" t="s">
        <v>1</v>
      </c>
      <c r="E18941" t="s">
        <v>1</v>
      </c>
      <c r="F18941" t="s">
        <v>0</v>
      </c>
      <c r="G18941" t="str">
        <f>"2018-10-10 20:58:01"</f>
        <v>2018-10-10 20:58:01</v>
      </c>
    </row>
    <row r="18942" spans="1:7" x14ac:dyDescent="0.2">
      <c r="A18942" t="s">
        <v>17869</v>
      </c>
      <c r="B18942" t="str">
        <f>"15685402353"</f>
        <v>15685402353</v>
      </c>
      <c r="C18942" t="str">
        <f>"522723200010124123"</f>
        <v>522723200010124123</v>
      </c>
      <c r="D18942" t="s">
        <v>1</v>
      </c>
      <c r="E18942" t="s">
        <v>1</v>
      </c>
      <c r="F18942" t="s">
        <v>0</v>
      </c>
      <c r="G18942" t="str">
        <f>"2018-10-10 20:58:24"</f>
        <v>2018-10-10 20:58:24</v>
      </c>
    </row>
    <row r="18943" spans="1:7" x14ac:dyDescent="0.2">
      <c r="A18943" t="s">
        <v>17870</v>
      </c>
      <c r="B18943" t="str">
        <f>"13694914160"</f>
        <v>13694914160</v>
      </c>
      <c r="C18943" t="str">
        <f>"431129198712250063"</f>
        <v>431129198712250063</v>
      </c>
      <c r="D18943" t="s">
        <v>1</v>
      </c>
      <c r="E18943" t="s">
        <v>1</v>
      </c>
      <c r="F18943" t="s">
        <v>0</v>
      </c>
      <c r="G18943" t="str">
        <f>"2018-10-10 20:58:08"</f>
        <v>2018-10-10 20:58:08</v>
      </c>
    </row>
    <row r="18944" spans="1:7" x14ac:dyDescent="0.2">
      <c r="A18944" t="s">
        <v>17871</v>
      </c>
      <c r="B18944" t="str">
        <f>"13006120073"</f>
        <v>13006120073</v>
      </c>
      <c r="C18944" t="str">
        <f>"420105198607030823"</f>
        <v>420105198607030823</v>
      </c>
      <c r="D18944" t="s">
        <v>1</v>
      </c>
      <c r="E18944" t="s">
        <v>1</v>
      </c>
      <c r="F18944" t="s">
        <v>0</v>
      </c>
      <c r="G18944" t="str">
        <f>"2018-10-10 20:58:18"</f>
        <v>2018-10-10 20:58:18</v>
      </c>
    </row>
    <row r="18945" spans="1:7" x14ac:dyDescent="0.2">
      <c r="A18945" t="s">
        <v>17872</v>
      </c>
      <c r="B18945" t="str">
        <f>"13692357191"</f>
        <v>13692357191</v>
      </c>
      <c r="C18945" t="str">
        <f>"440811198607232387"</f>
        <v>440811198607232387</v>
      </c>
      <c r="D18945" t="s">
        <v>1</v>
      </c>
      <c r="E18945" t="s">
        <v>1</v>
      </c>
      <c r="F18945" t="s">
        <v>0</v>
      </c>
      <c r="G18945" t="str">
        <f>"2018-10-10 20:58:09"</f>
        <v>2018-10-10 20:58:09</v>
      </c>
    </row>
    <row r="18946" spans="1:7" x14ac:dyDescent="0.2">
      <c r="A18946" t="s">
        <v>1</v>
      </c>
      <c r="B18946" t="str">
        <f>"15582372766"</f>
        <v>15582372766</v>
      </c>
      <c r="C18946" t="s">
        <v>1</v>
      </c>
      <c r="D18946" t="s">
        <v>1</v>
      </c>
      <c r="E18946" t="s">
        <v>1</v>
      </c>
      <c r="F18946" t="s">
        <v>0</v>
      </c>
      <c r="G18946" t="str">
        <f>"2018-10-10 20:57:08"</f>
        <v>2018-10-10 20:57:08</v>
      </c>
    </row>
    <row r="18947" spans="1:7" x14ac:dyDescent="0.2">
      <c r="A18947" t="s">
        <v>17873</v>
      </c>
      <c r="B18947" t="str">
        <f>"13460572058"</f>
        <v>13460572058</v>
      </c>
      <c r="C18947" t="str">
        <f>"620422199205115124"</f>
        <v>620422199205115124</v>
      </c>
      <c r="D18947" t="s">
        <v>1</v>
      </c>
      <c r="E18947" t="s">
        <v>1</v>
      </c>
      <c r="F18947" t="s">
        <v>0</v>
      </c>
      <c r="G18947" t="str">
        <f>"2018-10-10 20:59:59"</f>
        <v>2018-10-10 20:59:59</v>
      </c>
    </row>
    <row r="18948" spans="1:7" x14ac:dyDescent="0.2">
      <c r="A18948" t="s">
        <v>159</v>
      </c>
      <c r="B18948" t="str">
        <f>"18560321267"</f>
        <v>18560321267</v>
      </c>
      <c r="C18948" t="str">
        <f>"140724199403220165"</f>
        <v>140724199403220165</v>
      </c>
      <c r="D18948" t="s">
        <v>1</v>
      </c>
      <c r="E18948" t="s">
        <v>1</v>
      </c>
      <c r="F18948" t="s">
        <v>0</v>
      </c>
      <c r="G18948" t="str">
        <f>"2018-10-10 20:58:19"</f>
        <v>2018-10-10 20:58:19</v>
      </c>
    </row>
    <row r="18949" spans="1:7" x14ac:dyDescent="0.2">
      <c r="A18949" t="s">
        <v>334</v>
      </c>
      <c r="B18949" t="str">
        <f>"13626734424"</f>
        <v>13626734424</v>
      </c>
      <c r="C18949" t="str">
        <f>"330421198907134418"</f>
        <v>330421198907134418</v>
      </c>
      <c r="D18949" t="s">
        <v>1</v>
      </c>
      <c r="E18949" t="s">
        <v>1</v>
      </c>
      <c r="F18949" t="s">
        <v>0</v>
      </c>
      <c r="G18949" t="str">
        <f>"2018-10-10 22:50:47"</f>
        <v>2018-10-10 22:50:47</v>
      </c>
    </row>
    <row r="18950" spans="1:7" x14ac:dyDescent="0.2">
      <c r="A18950" t="s">
        <v>17874</v>
      </c>
      <c r="B18950" t="str">
        <f>"13921227183"</f>
        <v>13921227183</v>
      </c>
      <c r="C18950" t="str">
        <f>"320219198009245277"</f>
        <v>320219198009245277</v>
      </c>
      <c r="D18950" t="s">
        <v>1</v>
      </c>
      <c r="E18950" t="s">
        <v>1</v>
      </c>
      <c r="F18950" t="s">
        <v>0</v>
      </c>
      <c r="G18950" t="str">
        <f>"2018-10-10 20:58:50"</f>
        <v>2018-10-10 20:58:50</v>
      </c>
    </row>
    <row r="18951" spans="1:7" x14ac:dyDescent="0.2">
      <c r="A18951" t="s">
        <v>17875</v>
      </c>
      <c r="B18951" t="str">
        <f>"17607146596"</f>
        <v>17607146596</v>
      </c>
      <c r="C18951" t="str">
        <f>"420984199403203319"</f>
        <v>420984199403203319</v>
      </c>
      <c r="D18951" t="s">
        <v>1</v>
      </c>
      <c r="E18951" t="s">
        <v>1</v>
      </c>
      <c r="F18951" t="s">
        <v>0</v>
      </c>
      <c r="G18951" t="str">
        <f>"2018-10-10 22:23:52"</f>
        <v>2018-10-10 22:23:52</v>
      </c>
    </row>
    <row r="18952" spans="1:7" x14ac:dyDescent="0.2">
      <c r="A18952" t="s">
        <v>17876</v>
      </c>
      <c r="B18952" t="str">
        <f>"13178962960"</f>
        <v>13178962960</v>
      </c>
      <c r="C18952" t="str">
        <f>"46002619880522151X"</f>
        <v>46002619880522151X</v>
      </c>
      <c r="D18952" t="s">
        <v>1</v>
      </c>
      <c r="E18952" t="s">
        <v>1</v>
      </c>
      <c r="F18952" t="s">
        <v>0</v>
      </c>
      <c r="G18952" t="str">
        <f>"2018-10-10 20:56:04"</f>
        <v>2018-10-10 20:56:04</v>
      </c>
    </row>
    <row r="18953" spans="1:7" x14ac:dyDescent="0.2">
      <c r="A18953" t="s">
        <v>17877</v>
      </c>
      <c r="B18953" t="str">
        <f>"18750986508"</f>
        <v>18750986508</v>
      </c>
      <c r="C18953" t="str">
        <f>"350702199201118219"</f>
        <v>350702199201118219</v>
      </c>
      <c r="D18953" t="s">
        <v>1</v>
      </c>
      <c r="E18953" t="s">
        <v>1</v>
      </c>
      <c r="F18953" t="s">
        <v>0</v>
      </c>
      <c r="G18953" t="str">
        <f>"2018-10-10 20:55:02"</f>
        <v>2018-10-10 20:55:02</v>
      </c>
    </row>
    <row r="18954" spans="1:7" x14ac:dyDescent="0.2">
      <c r="A18954" t="s">
        <v>17878</v>
      </c>
      <c r="B18954" t="str">
        <f>"13786156755"</f>
        <v>13786156755</v>
      </c>
      <c r="C18954" t="str">
        <f>"430104198103262511"</f>
        <v>430104198103262511</v>
      </c>
      <c r="D18954" t="s">
        <v>1</v>
      </c>
      <c r="E18954" t="s">
        <v>1</v>
      </c>
      <c r="F18954" t="s">
        <v>0</v>
      </c>
      <c r="G18954" t="str">
        <f>"2018-10-18 10:37:50"</f>
        <v>2018-10-18 10:37:50</v>
      </c>
    </row>
    <row r="18955" spans="1:7" x14ac:dyDescent="0.2">
      <c r="A18955" t="s">
        <v>17879</v>
      </c>
      <c r="B18955" t="str">
        <f>"18268351746"</f>
        <v>18268351746</v>
      </c>
      <c r="C18955" t="str">
        <f>"330421199412093815"</f>
        <v>330421199412093815</v>
      </c>
      <c r="D18955" t="s">
        <v>1</v>
      </c>
      <c r="E18955" t="s">
        <v>1</v>
      </c>
      <c r="F18955" t="s">
        <v>0</v>
      </c>
      <c r="G18955" t="str">
        <f>"2018-10-10 20:52:57"</f>
        <v>2018-10-10 20:52:57</v>
      </c>
    </row>
    <row r="18956" spans="1:7" x14ac:dyDescent="0.2">
      <c r="A18956" t="s">
        <v>17880</v>
      </c>
      <c r="B18956" t="str">
        <f>"15978269316"</f>
        <v>15978269316</v>
      </c>
      <c r="C18956" t="str">
        <f>"452228197709130019"</f>
        <v>452228197709130019</v>
      </c>
      <c r="D18956" t="s">
        <v>1</v>
      </c>
      <c r="E18956" t="s">
        <v>1</v>
      </c>
      <c r="F18956" t="s">
        <v>0</v>
      </c>
      <c r="G18956" t="str">
        <f>"2018-10-25 23:00:37"</f>
        <v>2018-10-25 23:00:37</v>
      </c>
    </row>
    <row r="18957" spans="1:7" x14ac:dyDescent="0.2">
      <c r="A18957" t="s">
        <v>17881</v>
      </c>
      <c r="B18957" t="str">
        <f>"15040525025"</f>
        <v>15040525025</v>
      </c>
      <c r="C18957" t="str">
        <f>"210213198304035615"</f>
        <v>210213198304035615</v>
      </c>
      <c r="D18957" t="s">
        <v>1</v>
      </c>
      <c r="E18957" t="s">
        <v>1</v>
      </c>
      <c r="F18957" t="s">
        <v>0</v>
      </c>
      <c r="G18957" t="str">
        <f>"2018-10-10 20:52:01"</f>
        <v>2018-10-10 20:52:01</v>
      </c>
    </row>
    <row r="18958" spans="1:7" x14ac:dyDescent="0.2">
      <c r="A18958" t="s">
        <v>440</v>
      </c>
      <c r="B18958" t="str">
        <f>"18669994455"</f>
        <v>18669994455</v>
      </c>
      <c r="C18958" t="str">
        <f>"371322199206198818"</f>
        <v>371322199206198818</v>
      </c>
      <c r="D18958" t="s">
        <v>1</v>
      </c>
      <c r="E18958" t="s">
        <v>1</v>
      </c>
      <c r="F18958" t="s">
        <v>0</v>
      </c>
      <c r="G18958" t="str">
        <f>"2018-10-10 21:00:34"</f>
        <v>2018-10-10 21:00:34</v>
      </c>
    </row>
    <row r="18959" spans="1:7" x14ac:dyDescent="0.2">
      <c r="A18959" t="s">
        <v>1</v>
      </c>
      <c r="B18959" t="str">
        <f>"13601575278"</f>
        <v>13601575278</v>
      </c>
      <c r="C18959" t="s">
        <v>1</v>
      </c>
      <c r="D18959" t="s">
        <v>1</v>
      </c>
      <c r="E18959" t="s">
        <v>1</v>
      </c>
      <c r="F18959" t="s">
        <v>0</v>
      </c>
      <c r="G18959" t="str">
        <f>"2018-10-10 20:48:20"</f>
        <v>2018-10-10 20:48:20</v>
      </c>
    </row>
    <row r="18960" spans="1:7" x14ac:dyDescent="0.2">
      <c r="A18960" t="s">
        <v>981</v>
      </c>
      <c r="B18960" t="str">
        <f>"18236015210"</f>
        <v>18236015210</v>
      </c>
      <c r="C18960" t="str">
        <f>"371521199610067523"</f>
        <v>371521199610067523</v>
      </c>
      <c r="D18960" t="s">
        <v>1</v>
      </c>
      <c r="E18960" t="s">
        <v>1</v>
      </c>
      <c r="F18960" t="s">
        <v>0</v>
      </c>
      <c r="G18960" t="str">
        <f>"2018-10-10 20:48:26"</f>
        <v>2018-10-10 20:48:26</v>
      </c>
    </row>
    <row r="18961" spans="1:7" x14ac:dyDescent="0.2">
      <c r="A18961" t="s">
        <v>1</v>
      </c>
      <c r="B18961" t="str">
        <f>"18605576303"</f>
        <v>18605576303</v>
      </c>
      <c r="C18961" t="s">
        <v>1</v>
      </c>
      <c r="D18961" t="s">
        <v>1</v>
      </c>
      <c r="E18961" t="s">
        <v>1</v>
      </c>
      <c r="F18961" t="s">
        <v>0</v>
      </c>
      <c r="G18961" t="str">
        <f>"2018-10-10 20:49:46"</f>
        <v>2018-10-10 20:49:46</v>
      </c>
    </row>
    <row r="18962" spans="1:7" x14ac:dyDescent="0.2">
      <c r="A18962" t="s">
        <v>17882</v>
      </c>
      <c r="B18962" t="str">
        <f>"13386187225"</f>
        <v>13386187225</v>
      </c>
      <c r="C18962" t="str">
        <f>"440921199802121220"</f>
        <v>440921199802121220</v>
      </c>
      <c r="D18962" t="s">
        <v>17883</v>
      </c>
      <c r="E18962" t="s">
        <v>17884</v>
      </c>
      <c r="F18962" t="s">
        <v>0</v>
      </c>
      <c r="G18962" t="str">
        <f>"2018-10-11 04:19:37"</f>
        <v>2018-10-11 04:19:37</v>
      </c>
    </row>
    <row r="18963" spans="1:7" x14ac:dyDescent="0.2">
      <c r="A18963" t="s">
        <v>17885</v>
      </c>
      <c r="B18963" t="str">
        <f>"15512612375"</f>
        <v>15512612375</v>
      </c>
      <c r="C18963" t="str">
        <f>"131081197406132514"</f>
        <v>131081197406132514</v>
      </c>
      <c r="D18963" t="s">
        <v>1</v>
      </c>
      <c r="E18963" t="s">
        <v>1</v>
      </c>
      <c r="F18963" t="s">
        <v>0</v>
      </c>
      <c r="G18963" t="str">
        <f>"2018-10-24 19:44:55"</f>
        <v>2018-10-24 19:44:55</v>
      </c>
    </row>
    <row r="18964" spans="1:7" x14ac:dyDescent="0.2">
      <c r="A18964" t="s">
        <v>17886</v>
      </c>
      <c r="B18964" t="str">
        <f>"13587078949"</f>
        <v>13587078949</v>
      </c>
      <c r="C18964" t="str">
        <f>"330902197802123812"</f>
        <v>330902197802123812</v>
      </c>
      <c r="D18964" t="s">
        <v>17887</v>
      </c>
      <c r="E18964" t="s">
        <v>17888</v>
      </c>
      <c r="F18964" t="s">
        <v>0</v>
      </c>
      <c r="G18964" t="str">
        <f>"2018-10-10 20:48:13"</f>
        <v>2018-10-10 20:48:13</v>
      </c>
    </row>
    <row r="18965" spans="1:7" x14ac:dyDescent="0.2">
      <c r="A18965" t="s">
        <v>1</v>
      </c>
      <c r="B18965" t="str">
        <f>"13793426256"</f>
        <v>13793426256</v>
      </c>
      <c r="C18965" t="s">
        <v>1</v>
      </c>
      <c r="D18965" t="s">
        <v>1</v>
      </c>
      <c r="E18965" t="s">
        <v>1</v>
      </c>
      <c r="F18965" t="s">
        <v>0</v>
      </c>
      <c r="G18965" t="str">
        <f>"2018-10-10 20:44:34"</f>
        <v>2018-10-10 20:44:34</v>
      </c>
    </row>
    <row r="18966" spans="1:7" x14ac:dyDescent="0.2">
      <c r="A18966" t="s">
        <v>17889</v>
      </c>
      <c r="B18966" t="str">
        <f>"15840075989"</f>
        <v>15840075989</v>
      </c>
      <c r="C18966" t="str">
        <f>"210922199311264511"</f>
        <v>210922199311264511</v>
      </c>
      <c r="D18966" t="s">
        <v>1</v>
      </c>
      <c r="E18966" t="s">
        <v>1</v>
      </c>
      <c r="F18966" t="s">
        <v>0</v>
      </c>
      <c r="G18966" t="str">
        <f>"2018-10-31 20:49:44"</f>
        <v>2018-10-31 20:49:44</v>
      </c>
    </row>
    <row r="18967" spans="1:7" x14ac:dyDescent="0.2">
      <c r="A18967" t="s">
        <v>17890</v>
      </c>
      <c r="B18967" t="str">
        <f>"13845861553"</f>
        <v>13845861553</v>
      </c>
      <c r="C18967" t="str">
        <f>"230722198304051022"</f>
        <v>230722198304051022</v>
      </c>
      <c r="D18967" t="s">
        <v>1</v>
      </c>
      <c r="E18967" t="s">
        <v>1</v>
      </c>
      <c r="F18967" t="s">
        <v>0</v>
      </c>
      <c r="G18967" t="str">
        <f>"2018-10-11 10:58:27"</f>
        <v>2018-10-11 10:58:27</v>
      </c>
    </row>
    <row r="18968" spans="1:7" x14ac:dyDescent="0.2">
      <c r="A18968" t="s">
        <v>17891</v>
      </c>
      <c r="B18968" t="str">
        <f>"18185994869"</f>
        <v>18185994869</v>
      </c>
      <c r="C18968" t="str">
        <f>"522321199404301911"</f>
        <v>522321199404301911</v>
      </c>
      <c r="D18968" t="s">
        <v>1</v>
      </c>
      <c r="E18968" t="s">
        <v>1</v>
      </c>
      <c r="F18968" t="s">
        <v>0</v>
      </c>
      <c r="G18968" t="str">
        <f>"2018-10-10 20:54:00"</f>
        <v>2018-10-10 20:54:00</v>
      </c>
    </row>
    <row r="18969" spans="1:7" x14ac:dyDescent="0.2">
      <c r="A18969" t="s">
        <v>1123</v>
      </c>
      <c r="B18969" t="str">
        <f>"18671077120"</f>
        <v>18671077120</v>
      </c>
      <c r="C18969" t="str">
        <f>"420621198811022756"</f>
        <v>420621198811022756</v>
      </c>
      <c r="D18969" t="s">
        <v>1</v>
      </c>
      <c r="E18969" t="s">
        <v>1</v>
      </c>
      <c r="F18969" t="s">
        <v>0</v>
      </c>
      <c r="G18969" t="str">
        <f>"2018-10-16 16:49:26"</f>
        <v>2018-10-16 16:49:26</v>
      </c>
    </row>
    <row r="18970" spans="1:7" x14ac:dyDescent="0.2">
      <c r="A18970" t="s">
        <v>17892</v>
      </c>
      <c r="B18970" t="str">
        <f>"13192096029"</f>
        <v>13192096029</v>
      </c>
      <c r="C18970" t="str">
        <f>"360726198903214713"</f>
        <v>360726198903214713</v>
      </c>
      <c r="D18970" t="s">
        <v>1</v>
      </c>
      <c r="E18970" t="s">
        <v>1</v>
      </c>
      <c r="F18970" t="s">
        <v>0</v>
      </c>
      <c r="G18970" t="str">
        <f>"2018-10-10 20:44:53"</f>
        <v>2018-10-10 20:44:53</v>
      </c>
    </row>
    <row r="18971" spans="1:7" x14ac:dyDescent="0.2">
      <c r="A18971" t="s">
        <v>17893</v>
      </c>
      <c r="B18971" t="str">
        <f>"13431085404"</f>
        <v>13431085404</v>
      </c>
      <c r="C18971" t="str">
        <f>"440183199204187719"</f>
        <v>440183199204187719</v>
      </c>
      <c r="D18971" t="s">
        <v>1</v>
      </c>
      <c r="E18971" t="s">
        <v>1</v>
      </c>
      <c r="F18971" t="s">
        <v>0</v>
      </c>
      <c r="G18971" t="str">
        <f>"2018-10-10 20:43:03"</f>
        <v>2018-10-10 20:43:03</v>
      </c>
    </row>
    <row r="18972" spans="1:7" x14ac:dyDescent="0.2">
      <c r="A18972" t="s">
        <v>17894</v>
      </c>
      <c r="B18972" t="str">
        <f>"15768841679"</f>
        <v>15768841679</v>
      </c>
      <c r="C18972" t="str">
        <f>"440823199711123615"</f>
        <v>440823199711123615</v>
      </c>
      <c r="D18972" t="s">
        <v>1</v>
      </c>
      <c r="E18972" t="s">
        <v>1</v>
      </c>
      <c r="F18972" t="s">
        <v>0</v>
      </c>
      <c r="G18972" t="str">
        <f>"2018-10-10 20:42:17"</f>
        <v>2018-10-10 20:42:17</v>
      </c>
    </row>
    <row r="18973" spans="1:7" x14ac:dyDescent="0.2">
      <c r="A18973" t="s">
        <v>1</v>
      </c>
      <c r="B18973" t="str">
        <f>"15193582221"</f>
        <v>15193582221</v>
      </c>
      <c r="C18973" t="s">
        <v>1</v>
      </c>
      <c r="D18973" t="s">
        <v>1</v>
      </c>
      <c r="E18973" t="s">
        <v>1</v>
      </c>
      <c r="F18973" t="s">
        <v>0</v>
      </c>
      <c r="G18973" t="str">
        <f>"2018-10-10 20:41:35"</f>
        <v>2018-10-10 20:41:35</v>
      </c>
    </row>
    <row r="18974" spans="1:7" x14ac:dyDescent="0.2">
      <c r="A18974" t="s">
        <v>17895</v>
      </c>
      <c r="B18974" t="str">
        <f>"15135598625"</f>
        <v>15135598625</v>
      </c>
      <c r="C18974" t="str">
        <f>"140423199506274032"</f>
        <v>140423199506274032</v>
      </c>
      <c r="D18974" t="s">
        <v>17896</v>
      </c>
      <c r="E18974" t="s">
        <v>17897</v>
      </c>
      <c r="F18974" t="s">
        <v>0</v>
      </c>
      <c r="G18974" t="str">
        <f>"2018-10-15 16:35:53"</f>
        <v>2018-10-15 16:35:53</v>
      </c>
    </row>
    <row r="18975" spans="1:7" x14ac:dyDescent="0.2">
      <c r="A18975" t="s">
        <v>1</v>
      </c>
      <c r="B18975" t="str">
        <f>"13036935346"</f>
        <v>13036935346</v>
      </c>
      <c r="C18975" t="s">
        <v>1</v>
      </c>
      <c r="D18975" t="s">
        <v>1</v>
      </c>
      <c r="E18975" t="s">
        <v>1</v>
      </c>
      <c r="F18975" t="s">
        <v>0</v>
      </c>
      <c r="G18975" t="str">
        <f>"2018-10-10 20:39:38"</f>
        <v>2018-10-10 20:39:38</v>
      </c>
    </row>
    <row r="18976" spans="1:7" x14ac:dyDescent="0.2">
      <c r="A18976" t="s">
        <v>1</v>
      </c>
      <c r="B18976" t="str">
        <f>"15979719535"</f>
        <v>15979719535</v>
      </c>
      <c r="C18976" t="s">
        <v>1</v>
      </c>
      <c r="D18976" t="s">
        <v>1</v>
      </c>
      <c r="E18976" t="s">
        <v>1</v>
      </c>
      <c r="F18976" t="s">
        <v>0</v>
      </c>
      <c r="G18976" t="str">
        <f>"2018-10-10 20:39:25"</f>
        <v>2018-10-10 20:39:25</v>
      </c>
    </row>
    <row r="18977" spans="1:7" x14ac:dyDescent="0.2">
      <c r="A18977" t="s">
        <v>1</v>
      </c>
      <c r="B18977" t="str">
        <f>"13174569539"</f>
        <v>13174569539</v>
      </c>
      <c r="C18977" t="s">
        <v>1</v>
      </c>
      <c r="D18977" t="s">
        <v>1</v>
      </c>
      <c r="E18977" t="s">
        <v>1</v>
      </c>
      <c r="F18977" t="s">
        <v>0</v>
      </c>
      <c r="G18977" t="str">
        <f>"2018-10-10 23:40:55"</f>
        <v>2018-10-10 23:40:55</v>
      </c>
    </row>
    <row r="18978" spans="1:7" x14ac:dyDescent="0.2">
      <c r="A18978" t="s">
        <v>17898</v>
      </c>
      <c r="B18978" t="str">
        <f>"18599968666"</f>
        <v>18599968666</v>
      </c>
      <c r="C18978" t="str">
        <f>"513123199004053817"</f>
        <v>513123199004053817</v>
      </c>
      <c r="D18978" t="s">
        <v>17899</v>
      </c>
      <c r="E18978" t="s">
        <v>17900</v>
      </c>
      <c r="F18978" t="s">
        <v>0</v>
      </c>
      <c r="G18978" t="str">
        <f>"2018-10-24 13:40:17"</f>
        <v>2018-10-24 13:40:17</v>
      </c>
    </row>
    <row r="18979" spans="1:7" x14ac:dyDescent="0.2">
      <c r="A18979" t="s">
        <v>1738</v>
      </c>
      <c r="B18979" t="str">
        <f>"17765154212"</f>
        <v>17765154212</v>
      </c>
      <c r="C18979" t="str">
        <f>"360722199209174212"</f>
        <v>360722199209174212</v>
      </c>
      <c r="D18979" t="s">
        <v>1</v>
      </c>
      <c r="E18979" t="s">
        <v>1</v>
      </c>
      <c r="F18979" t="s">
        <v>0</v>
      </c>
      <c r="G18979" t="str">
        <f>"2018-10-10 20:40:23"</f>
        <v>2018-10-10 20:40:23</v>
      </c>
    </row>
    <row r="18980" spans="1:7" x14ac:dyDescent="0.2">
      <c r="A18980" t="s">
        <v>17901</v>
      </c>
      <c r="B18980" t="str">
        <f>"17583112295"</f>
        <v>17583112295</v>
      </c>
      <c r="C18980" t="str">
        <f>"511524199508164672"</f>
        <v>511524199508164672</v>
      </c>
      <c r="D18980" t="s">
        <v>1</v>
      </c>
      <c r="E18980" t="s">
        <v>1</v>
      </c>
      <c r="F18980" t="s">
        <v>0</v>
      </c>
      <c r="G18980" t="str">
        <f>"2018-10-10 20:38:14"</f>
        <v>2018-10-10 20:38:14</v>
      </c>
    </row>
    <row r="18981" spans="1:7" x14ac:dyDescent="0.2">
      <c r="A18981" t="s">
        <v>17902</v>
      </c>
      <c r="B18981" t="str">
        <f>"18101754716"</f>
        <v>18101754716</v>
      </c>
      <c r="C18981" t="str">
        <f>"340826199509285819"</f>
        <v>340826199509285819</v>
      </c>
      <c r="D18981" t="s">
        <v>1</v>
      </c>
      <c r="E18981" t="s">
        <v>1</v>
      </c>
      <c r="F18981" t="s">
        <v>0</v>
      </c>
      <c r="G18981" t="str">
        <f>"2018-10-10 20:38:50"</f>
        <v>2018-10-10 20:38:50</v>
      </c>
    </row>
    <row r="18982" spans="1:7" x14ac:dyDescent="0.2">
      <c r="A18982" t="s">
        <v>17903</v>
      </c>
      <c r="B18982" t="str">
        <f>"18715064189"</f>
        <v>18715064189</v>
      </c>
      <c r="C18982" t="str">
        <f>"34120319951003253X"</f>
        <v>34120319951003253X</v>
      </c>
      <c r="D18982" t="s">
        <v>1</v>
      </c>
      <c r="E18982" t="s">
        <v>1</v>
      </c>
      <c r="F18982" t="s">
        <v>0</v>
      </c>
      <c r="G18982" t="str">
        <f>"2018-10-10 21:07:39"</f>
        <v>2018-10-10 21:07:39</v>
      </c>
    </row>
    <row r="18983" spans="1:7" x14ac:dyDescent="0.2">
      <c r="A18983" t="s">
        <v>1</v>
      </c>
      <c r="B18983" t="str">
        <f>"13600004234"</f>
        <v>13600004234</v>
      </c>
      <c r="C18983" t="s">
        <v>1</v>
      </c>
      <c r="D18983" t="s">
        <v>1</v>
      </c>
      <c r="E18983" t="s">
        <v>1</v>
      </c>
      <c r="F18983" t="s">
        <v>0</v>
      </c>
      <c r="G18983" t="str">
        <f>"2018-10-10 20:34:55"</f>
        <v>2018-10-10 20:34:55</v>
      </c>
    </row>
    <row r="18984" spans="1:7" x14ac:dyDescent="0.2">
      <c r="A18984" t="s">
        <v>17904</v>
      </c>
      <c r="B18984" t="str">
        <f>"18368510719"</f>
        <v>18368510719</v>
      </c>
      <c r="C18984" t="str">
        <f>"330681199606302061"</f>
        <v>330681199606302061</v>
      </c>
      <c r="D18984" t="s">
        <v>17905</v>
      </c>
      <c r="E18984" t="s">
        <v>17906</v>
      </c>
      <c r="F18984" t="s">
        <v>0</v>
      </c>
      <c r="G18984" t="str">
        <f>"2018-10-10 20:44:15"</f>
        <v>2018-10-10 20:44:15</v>
      </c>
    </row>
    <row r="18985" spans="1:7" x14ac:dyDescent="0.2">
      <c r="A18985" t="s">
        <v>17907</v>
      </c>
      <c r="B18985" t="str">
        <f>"13266306822"</f>
        <v>13266306822</v>
      </c>
      <c r="C18985" t="str">
        <f>"500228198804105054"</f>
        <v>500228198804105054</v>
      </c>
      <c r="D18985" t="s">
        <v>17908</v>
      </c>
      <c r="E18985" t="s">
        <v>17909</v>
      </c>
      <c r="F18985" t="s">
        <v>0</v>
      </c>
      <c r="G18985" t="str">
        <f>"2018-10-10 20:34:14"</f>
        <v>2018-10-10 20:34:14</v>
      </c>
    </row>
    <row r="18986" spans="1:7" x14ac:dyDescent="0.2">
      <c r="A18986" t="s">
        <v>17910</v>
      </c>
      <c r="B18986" t="str">
        <f>"18970096552"</f>
        <v>18970096552</v>
      </c>
      <c r="C18986" t="str">
        <f>"360104198802071513"</f>
        <v>360104198802071513</v>
      </c>
      <c r="D18986" t="s">
        <v>17911</v>
      </c>
      <c r="E18986" t="s">
        <v>17912</v>
      </c>
      <c r="F18986" t="s">
        <v>0</v>
      </c>
      <c r="G18986" t="str">
        <f>"2018-10-20 12:07:45"</f>
        <v>2018-10-20 12:07:45</v>
      </c>
    </row>
    <row r="18987" spans="1:7" x14ac:dyDescent="0.2">
      <c r="A18987" t="s">
        <v>17913</v>
      </c>
      <c r="B18987" t="str">
        <f>"13600389296"</f>
        <v>13600389296</v>
      </c>
      <c r="C18987" t="str">
        <f>"440801199011020019"</f>
        <v>440801199011020019</v>
      </c>
      <c r="D18987" t="s">
        <v>17914</v>
      </c>
      <c r="E18987" t="s">
        <v>17915</v>
      </c>
      <c r="F18987" t="s">
        <v>0</v>
      </c>
      <c r="G18987" t="str">
        <f>"2018-10-10 21:29:22"</f>
        <v>2018-10-10 21:29:22</v>
      </c>
    </row>
    <row r="18988" spans="1:7" x14ac:dyDescent="0.2">
      <c r="A18988" t="s">
        <v>17916</v>
      </c>
      <c r="B18988" t="str">
        <f>"13421158581"</f>
        <v>13421158581</v>
      </c>
      <c r="C18988" t="str">
        <f>"445281198809257030"</f>
        <v>445281198809257030</v>
      </c>
      <c r="D18988" t="s">
        <v>17917</v>
      </c>
      <c r="E18988" t="s">
        <v>17918</v>
      </c>
      <c r="F18988" t="s">
        <v>0</v>
      </c>
      <c r="G18988" t="str">
        <f>"2018-10-29 17:18:21"</f>
        <v>2018-10-29 17:18:21</v>
      </c>
    </row>
    <row r="18989" spans="1:7" x14ac:dyDescent="0.2">
      <c r="A18989" t="s">
        <v>1</v>
      </c>
      <c r="B18989" t="str">
        <f>"13941200548"</f>
        <v>13941200548</v>
      </c>
      <c r="C18989" t="s">
        <v>1</v>
      </c>
      <c r="D18989" t="s">
        <v>1</v>
      </c>
      <c r="E18989" t="s">
        <v>1</v>
      </c>
      <c r="F18989" t="s">
        <v>0</v>
      </c>
      <c r="G18989" t="str">
        <f>"2018-10-10 20:34:09"</f>
        <v>2018-10-10 20:34:09</v>
      </c>
    </row>
    <row r="18990" spans="1:7" x14ac:dyDescent="0.2">
      <c r="A18990" t="s">
        <v>17919</v>
      </c>
      <c r="B18990" t="str">
        <f>"15911449930"</f>
        <v>15911449930</v>
      </c>
      <c r="C18990" t="str">
        <f>"530328199003010958"</f>
        <v>530328199003010958</v>
      </c>
      <c r="D18990" t="s">
        <v>1</v>
      </c>
      <c r="E18990" t="s">
        <v>1</v>
      </c>
      <c r="F18990" t="s">
        <v>0</v>
      </c>
      <c r="G18990" t="str">
        <f>"2018-10-11 08:31:02"</f>
        <v>2018-10-11 08:31:02</v>
      </c>
    </row>
    <row r="18991" spans="1:7" x14ac:dyDescent="0.2">
      <c r="A18991" t="s">
        <v>17920</v>
      </c>
      <c r="B18991" t="str">
        <f>"13632293228"</f>
        <v>13632293228</v>
      </c>
      <c r="C18991" t="str">
        <f>"445222199107020017"</f>
        <v>445222199107020017</v>
      </c>
      <c r="D18991" t="s">
        <v>1</v>
      </c>
      <c r="E18991" t="s">
        <v>1</v>
      </c>
      <c r="F18991" t="s">
        <v>0</v>
      </c>
      <c r="G18991" t="str">
        <f>"2018-10-10 20:32:07"</f>
        <v>2018-10-10 20:32:07</v>
      </c>
    </row>
    <row r="18992" spans="1:7" x14ac:dyDescent="0.2">
      <c r="A18992" t="s">
        <v>17921</v>
      </c>
      <c r="B18992" t="str">
        <f>"15810296841"</f>
        <v>15810296841</v>
      </c>
      <c r="C18992" t="str">
        <f>"610114198003191011"</f>
        <v>610114198003191011</v>
      </c>
      <c r="D18992" t="s">
        <v>1</v>
      </c>
      <c r="E18992" t="s">
        <v>1</v>
      </c>
      <c r="F18992" t="s">
        <v>0</v>
      </c>
      <c r="G18992" t="str">
        <f>"2018-11-01 09:12:02"</f>
        <v>2018-11-01 09:12:02</v>
      </c>
    </row>
    <row r="18993" spans="1:7" x14ac:dyDescent="0.2">
      <c r="A18993" t="s">
        <v>17922</v>
      </c>
      <c r="B18993" t="str">
        <f>"13558829452"</f>
        <v>13558829452</v>
      </c>
      <c r="C18993" t="str">
        <f>"510322199301098749"</f>
        <v>510322199301098749</v>
      </c>
      <c r="D18993" t="s">
        <v>1</v>
      </c>
      <c r="E18993" t="s">
        <v>1</v>
      </c>
      <c r="F18993" t="s">
        <v>0</v>
      </c>
      <c r="G18993" t="str">
        <f>"2018-10-10 20:29:33"</f>
        <v>2018-10-10 20:29:33</v>
      </c>
    </row>
    <row r="18994" spans="1:7" x14ac:dyDescent="0.2">
      <c r="A18994" t="s">
        <v>1</v>
      </c>
      <c r="B18994" t="str">
        <f>"15706578717"</f>
        <v>15706578717</v>
      </c>
      <c r="C18994" t="s">
        <v>1</v>
      </c>
      <c r="D18994" t="s">
        <v>1</v>
      </c>
      <c r="E18994" t="s">
        <v>1</v>
      </c>
      <c r="F18994" t="s">
        <v>0</v>
      </c>
      <c r="G18994" t="str">
        <f>"2018-10-10 20:29:28"</f>
        <v>2018-10-10 20:29:28</v>
      </c>
    </row>
    <row r="18995" spans="1:7" x14ac:dyDescent="0.2">
      <c r="A18995" t="s">
        <v>17923</v>
      </c>
      <c r="B18995" t="str">
        <f>"17720999888"</f>
        <v>17720999888</v>
      </c>
      <c r="C18995" t="str">
        <f>"352123197608180112"</f>
        <v>352123197608180112</v>
      </c>
      <c r="D18995" t="s">
        <v>17924</v>
      </c>
      <c r="E18995" t="s">
        <v>17925</v>
      </c>
      <c r="F18995" t="s">
        <v>0</v>
      </c>
      <c r="G18995" t="str">
        <f>"2018-10-10 20:29:25"</f>
        <v>2018-10-10 20:29:25</v>
      </c>
    </row>
    <row r="18996" spans="1:7" x14ac:dyDescent="0.2">
      <c r="A18996" t="s">
        <v>17926</v>
      </c>
      <c r="B18996" t="str">
        <f>"15887055121"</f>
        <v>15887055121</v>
      </c>
      <c r="C18996" t="str">
        <f>"533325198711081617"</f>
        <v>533325198711081617</v>
      </c>
      <c r="D18996" t="s">
        <v>1</v>
      </c>
      <c r="E18996" t="s">
        <v>1</v>
      </c>
      <c r="F18996" t="s">
        <v>0</v>
      </c>
      <c r="G18996" t="str">
        <f>"2018-10-10 20:30:21"</f>
        <v>2018-10-10 20:30:21</v>
      </c>
    </row>
    <row r="18997" spans="1:7" x14ac:dyDescent="0.2">
      <c r="A18997" t="s">
        <v>17927</v>
      </c>
      <c r="B18997" t="str">
        <f>"18270267879"</f>
        <v>18270267879</v>
      </c>
      <c r="C18997" t="str">
        <f>"362330199803062854"</f>
        <v>362330199803062854</v>
      </c>
      <c r="D18997" t="s">
        <v>1</v>
      </c>
      <c r="E18997" t="s">
        <v>1</v>
      </c>
      <c r="F18997" t="s">
        <v>0</v>
      </c>
      <c r="G18997" t="str">
        <f>"2018-10-10 20:32:08"</f>
        <v>2018-10-10 20:32:08</v>
      </c>
    </row>
    <row r="18998" spans="1:7" x14ac:dyDescent="0.2">
      <c r="A18998" t="s">
        <v>17928</v>
      </c>
      <c r="B18998" t="str">
        <f>"18380249802"</f>
        <v>18380249802</v>
      </c>
      <c r="C18998" t="str">
        <f>"510113199004052018"</f>
        <v>510113199004052018</v>
      </c>
      <c r="D18998" t="s">
        <v>17929</v>
      </c>
      <c r="E18998" t="s">
        <v>17930</v>
      </c>
      <c r="F18998" t="s">
        <v>0</v>
      </c>
      <c r="G18998" t="str">
        <f>"2018-10-15 18:25:28"</f>
        <v>2018-10-15 18:25:28</v>
      </c>
    </row>
    <row r="18999" spans="1:7" x14ac:dyDescent="0.2">
      <c r="A18999" t="s">
        <v>17931</v>
      </c>
      <c r="B18999" t="str">
        <f>"17688645438"</f>
        <v>17688645438</v>
      </c>
      <c r="C18999" t="str">
        <f>"430223199608178314"</f>
        <v>430223199608178314</v>
      </c>
      <c r="D18999" t="s">
        <v>1</v>
      </c>
      <c r="E18999" t="s">
        <v>1</v>
      </c>
      <c r="F18999" t="s">
        <v>0</v>
      </c>
      <c r="G18999" t="str">
        <f>"2018-10-10 20:27:38"</f>
        <v>2018-10-10 20:27:38</v>
      </c>
    </row>
    <row r="19000" spans="1:7" x14ac:dyDescent="0.2">
      <c r="A19000" t="s">
        <v>17932</v>
      </c>
      <c r="B19000" t="str">
        <f>"18863286279"</f>
        <v>18863286279</v>
      </c>
      <c r="C19000" t="str">
        <f>"370404198506106900"</f>
        <v>370404198506106900</v>
      </c>
      <c r="D19000" t="s">
        <v>1</v>
      </c>
      <c r="E19000" t="s">
        <v>1</v>
      </c>
      <c r="F19000" t="s">
        <v>0</v>
      </c>
      <c r="G19000" t="str">
        <f>"2018-10-10 20:28:30"</f>
        <v>2018-10-10 20:28:30</v>
      </c>
    </row>
    <row r="19001" spans="1:7" x14ac:dyDescent="0.2">
      <c r="A19001" t="s">
        <v>1</v>
      </c>
      <c r="B19001" t="str">
        <f>"13005997844"</f>
        <v>13005997844</v>
      </c>
      <c r="C19001" t="s">
        <v>1</v>
      </c>
      <c r="D19001" t="s">
        <v>1</v>
      </c>
      <c r="E19001" t="s">
        <v>1</v>
      </c>
      <c r="F19001" t="s">
        <v>0</v>
      </c>
      <c r="G19001" t="str">
        <f>"2018-10-10 20:27:01"</f>
        <v>2018-10-10 20:27:01</v>
      </c>
    </row>
    <row r="19002" spans="1:7" x14ac:dyDescent="0.2">
      <c r="A19002" t="s">
        <v>17933</v>
      </c>
      <c r="B19002" t="str">
        <f>"13019745515"</f>
        <v>13019745515</v>
      </c>
      <c r="C19002" t="str">
        <f>"230302198001106519"</f>
        <v>230302198001106519</v>
      </c>
      <c r="D19002" t="s">
        <v>17934</v>
      </c>
      <c r="E19002" t="s">
        <v>17935</v>
      </c>
      <c r="F19002" t="s">
        <v>0</v>
      </c>
      <c r="G19002" t="str">
        <f>"2018-10-19 17:34:37"</f>
        <v>2018-10-19 17:34:37</v>
      </c>
    </row>
    <row r="19003" spans="1:7" x14ac:dyDescent="0.2">
      <c r="A19003" t="s">
        <v>1871</v>
      </c>
      <c r="B19003" t="str">
        <f>"13477975227"</f>
        <v>13477975227</v>
      </c>
      <c r="C19003" t="str">
        <f>"420322199107080025"</f>
        <v>420322199107080025</v>
      </c>
      <c r="D19003" t="s">
        <v>17936</v>
      </c>
      <c r="E19003" t="s">
        <v>17937</v>
      </c>
      <c r="F19003" t="s">
        <v>0</v>
      </c>
      <c r="G19003" t="str">
        <f>"2018-10-10 20:30:53"</f>
        <v>2018-10-10 20:30:53</v>
      </c>
    </row>
    <row r="19004" spans="1:7" x14ac:dyDescent="0.2">
      <c r="A19004" t="s">
        <v>17938</v>
      </c>
      <c r="B19004" t="str">
        <f>"15222529589"</f>
        <v>15222529589</v>
      </c>
      <c r="C19004" t="str">
        <f>"231004199503111416"</f>
        <v>231004199503111416</v>
      </c>
      <c r="D19004" t="s">
        <v>17939</v>
      </c>
      <c r="E19004" t="s">
        <v>17940</v>
      </c>
      <c r="F19004" t="s">
        <v>0</v>
      </c>
      <c r="G19004" t="str">
        <f>"2018-10-18 00:12:40"</f>
        <v>2018-10-18 00:12:40</v>
      </c>
    </row>
    <row r="19005" spans="1:7" x14ac:dyDescent="0.2">
      <c r="A19005" t="s">
        <v>1</v>
      </c>
      <c r="B19005" t="str">
        <f>"17778159419"</f>
        <v>17778159419</v>
      </c>
      <c r="C19005" t="s">
        <v>1</v>
      </c>
      <c r="D19005" t="s">
        <v>1</v>
      </c>
      <c r="E19005" t="s">
        <v>1</v>
      </c>
      <c r="F19005" t="s">
        <v>0</v>
      </c>
      <c r="G19005" t="str">
        <f>"2018-10-10 20:25:14"</f>
        <v>2018-10-10 20:25:14</v>
      </c>
    </row>
    <row r="19006" spans="1:7" x14ac:dyDescent="0.2">
      <c r="A19006" t="s">
        <v>1</v>
      </c>
      <c r="B19006" t="str">
        <f>"13056837464"</f>
        <v>13056837464</v>
      </c>
      <c r="C19006" t="s">
        <v>1</v>
      </c>
      <c r="D19006" t="s">
        <v>1</v>
      </c>
      <c r="E19006" t="s">
        <v>1</v>
      </c>
      <c r="F19006" t="s">
        <v>0</v>
      </c>
      <c r="G19006" t="str">
        <f>"2018-10-10 20:25:06"</f>
        <v>2018-10-10 20:25:06</v>
      </c>
    </row>
    <row r="19007" spans="1:7" x14ac:dyDescent="0.2">
      <c r="A19007" t="s">
        <v>17941</v>
      </c>
      <c r="B19007" t="str">
        <f>"13578194402"</f>
        <v>13578194402</v>
      </c>
      <c r="C19007" t="str">
        <f>"532726197309090024"</f>
        <v>532726197309090024</v>
      </c>
      <c r="D19007" t="s">
        <v>1</v>
      </c>
      <c r="E19007" t="s">
        <v>1</v>
      </c>
      <c r="F19007" t="s">
        <v>0</v>
      </c>
      <c r="G19007" t="str">
        <f>"2018-10-25 11:30:08"</f>
        <v>2018-10-25 11:30:08</v>
      </c>
    </row>
    <row r="19008" spans="1:7" x14ac:dyDescent="0.2">
      <c r="A19008" t="s">
        <v>17942</v>
      </c>
      <c r="B19008" t="str">
        <f>"18319901942"</f>
        <v>18319901942</v>
      </c>
      <c r="C19008" t="str">
        <f>"522127199008143031"</f>
        <v>522127199008143031</v>
      </c>
      <c r="D19008" t="s">
        <v>1</v>
      </c>
      <c r="E19008" t="s">
        <v>1</v>
      </c>
      <c r="F19008" t="s">
        <v>0</v>
      </c>
      <c r="G19008" t="str">
        <f>"2018-10-10 20:23:25"</f>
        <v>2018-10-10 20:23:25</v>
      </c>
    </row>
    <row r="19009" spans="1:7" x14ac:dyDescent="0.2">
      <c r="A19009" t="s">
        <v>1</v>
      </c>
      <c r="B19009" t="str">
        <f>"13299602504"</f>
        <v>13299602504</v>
      </c>
      <c r="C19009" t="s">
        <v>1</v>
      </c>
      <c r="D19009" t="s">
        <v>1</v>
      </c>
      <c r="E19009" t="s">
        <v>1</v>
      </c>
      <c r="F19009" t="s">
        <v>0</v>
      </c>
      <c r="G19009" t="str">
        <f>"2018-10-10 20:21:56"</f>
        <v>2018-10-10 20:21:56</v>
      </c>
    </row>
    <row r="19010" spans="1:7" x14ac:dyDescent="0.2">
      <c r="A19010" t="s">
        <v>431</v>
      </c>
      <c r="B19010" t="str">
        <f>"15103564984"</f>
        <v>15103564984</v>
      </c>
      <c r="C19010" t="str">
        <f>"140522199507202347"</f>
        <v>140522199507202347</v>
      </c>
      <c r="D19010" t="s">
        <v>1</v>
      </c>
      <c r="E19010" t="s">
        <v>1</v>
      </c>
      <c r="F19010" t="s">
        <v>0</v>
      </c>
      <c r="G19010" t="str">
        <f>"2018-10-10 20:22:46"</f>
        <v>2018-10-10 20:22:46</v>
      </c>
    </row>
    <row r="19011" spans="1:7" x14ac:dyDescent="0.2">
      <c r="A19011" t="s">
        <v>17943</v>
      </c>
      <c r="B19011" t="str">
        <f>"13283971766"</f>
        <v>13283971766</v>
      </c>
      <c r="C19011" t="str">
        <f>"411527199508010572"</f>
        <v>411527199508010572</v>
      </c>
      <c r="D19011" t="s">
        <v>17944</v>
      </c>
      <c r="E19011" t="s">
        <v>17945</v>
      </c>
      <c r="F19011" t="s">
        <v>0</v>
      </c>
      <c r="G19011" t="str">
        <f>"2018-10-10 22:12:11"</f>
        <v>2018-10-10 22:12:11</v>
      </c>
    </row>
    <row r="19012" spans="1:7" x14ac:dyDescent="0.2">
      <c r="A19012" t="s">
        <v>17946</v>
      </c>
      <c r="B19012" t="str">
        <f>"15962787658"</f>
        <v>15962787658</v>
      </c>
      <c r="C19012" t="str">
        <f>"32062119811117574X"</f>
        <v>32062119811117574X</v>
      </c>
      <c r="D19012" t="s">
        <v>1</v>
      </c>
      <c r="E19012" t="s">
        <v>1</v>
      </c>
      <c r="F19012" t="s">
        <v>0</v>
      </c>
      <c r="G19012" t="str">
        <f>"2018-10-10 20:23:06"</f>
        <v>2018-10-10 20:23:06</v>
      </c>
    </row>
    <row r="19013" spans="1:7" x14ac:dyDescent="0.2">
      <c r="A19013" t="s">
        <v>17947</v>
      </c>
      <c r="B19013" t="str">
        <f>"13872069190"</f>
        <v>13872069190</v>
      </c>
      <c r="C19013" t="str">
        <f>"420203198507182910"</f>
        <v>420203198507182910</v>
      </c>
      <c r="D19013" t="s">
        <v>1</v>
      </c>
      <c r="E19013" t="s">
        <v>1</v>
      </c>
      <c r="F19013" t="s">
        <v>0</v>
      </c>
      <c r="G19013" t="str">
        <f>"2018-10-10 20:23:44"</f>
        <v>2018-10-10 20:23:44</v>
      </c>
    </row>
    <row r="19014" spans="1:7" x14ac:dyDescent="0.2">
      <c r="A19014" t="s">
        <v>17948</v>
      </c>
      <c r="B19014" t="str">
        <f>"18279504479"</f>
        <v>18279504479</v>
      </c>
      <c r="C19014" t="str">
        <f>"362204199901191432"</f>
        <v>362204199901191432</v>
      </c>
      <c r="D19014" t="s">
        <v>17949</v>
      </c>
      <c r="E19014" t="s">
        <v>17950</v>
      </c>
      <c r="F19014" t="s">
        <v>0</v>
      </c>
      <c r="G19014" t="str">
        <f>"2018-10-10 20:25:58"</f>
        <v>2018-10-10 20:25:58</v>
      </c>
    </row>
    <row r="19015" spans="1:7" x14ac:dyDescent="0.2">
      <c r="A19015" t="s">
        <v>1</v>
      </c>
      <c r="B19015" t="str">
        <f>"13277037769"</f>
        <v>13277037769</v>
      </c>
      <c r="C19015" t="s">
        <v>1</v>
      </c>
      <c r="D19015" t="s">
        <v>1</v>
      </c>
      <c r="E19015" t="s">
        <v>1</v>
      </c>
      <c r="F19015" t="s">
        <v>0</v>
      </c>
      <c r="G19015" t="str">
        <f>"2018-10-10 20:20:45"</f>
        <v>2018-10-10 20:20:45</v>
      </c>
    </row>
    <row r="19016" spans="1:7" x14ac:dyDescent="0.2">
      <c r="A19016" t="s">
        <v>17951</v>
      </c>
      <c r="B19016" t="str">
        <f>"17688121231"</f>
        <v>17688121231</v>
      </c>
      <c r="C19016" t="str">
        <f>"520203199801230029"</f>
        <v>520203199801230029</v>
      </c>
      <c r="D19016" t="s">
        <v>1</v>
      </c>
      <c r="E19016" t="s">
        <v>1</v>
      </c>
      <c r="F19016" t="s">
        <v>0</v>
      </c>
      <c r="G19016" t="str">
        <f>"2018-10-16 13:54:40"</f>
        <v>2018-10-16 13:54:40</v>
      </c>
    </row>
    <row r="19017" spans="1:7" x14ac:dyDescent="0.2">
      <c r="A19017" t="s">
        <v>17952</v>
      </c>
      <c r="B19017" t="str">
        <f>"15158968356"</f>
        <v>15158968356</v>
      </c>
      <c r="C19017" t="str">
        <f>"330782199112261716"</f>
        <v>330782199112261716</v>
      </c>
      <c r="D19017" t="s">
        <v>1</v>
      </c>
      <c r="E19017" t="s">
        <v>1</v>
      </c>
      <c r="F19017" t="s">
        <v>0</v>
      </c>
      <c r="G19017" t="str">
        <f>"2018-10-10 20:19:55"</f>
        <v>2018-10-10 20:19:55</v>
      </c>
    </row>
    <row r="19018" spans="1:7" x14ac:dyDescent="0.2">
      <c r="A19018" t="s">
        <v>17953</v>
      </c>
      <c r="B19018" t="str">
        <f>"17796870570"</f>
        <v>17796870570</v>
      </c>
      <c r="C19018" t="str">
        <f>"410822199511032055"</f>
        <v>410822199511032055</v>
      </c>
      <c r="D19018" t="s">
        <v>1</v>
      </c>
      <c r="E19018" t="s">
        <v>1</v>
      </c>
      <c r="F19018" t="s">
        <v>0</v>
      </c>
      <c r="G19018" t="str">
        <f>"2018-10-10 20:23:13"</f>
        <v>2018-10-10 20:23:13</v>
      </c>
    </row>
    <row r="19019" spans="1:7" x14ac:dyDescent="0.2">
      <c r="A19019" t="s">
        <v>655</v>
      </c>
      <c r="B19019" t="str">
        <f>"13055023623"</f>
        <v>13055023623</v>
      </c>
      <c r="C19019" t="str">
        <f>"430702199006123514"</f>
        <v>430702199006123514</v>
      </c>
      <c r="D19019" t="s">
        <v>7937</v>
      </c>
      <c r="E19019" t="s">
        <v>17954</v>
      </c>
      <c r="F19019" t="s">
        <v>0</v>
      </c>
      <c r="G19019" t="str">
        <f>"2018-10-10 20:20:31"</f>
        <v>2018-10-10 20:20:31</v>
      </c>
    </row>
    <row r="19020" spans="1:7" x14ac:dyDescent="0.2">
      <c r="A19020" t="s">
        <v>17955</v>
      </c>
      <c r="B19020" t="str">
        <f>"13483884445"</f>
        <v>13483884445</v>
      </c>
      <c r="C19020" t="str">
        <f>"130826198505106015"</f>
        <v>130826198505106015</v>
      </c>
      <c r="D19020" t="s">
        <v>1</v>
      </c>
      <c r="E19020" t="s">
        <v>1</v>
      </c>
      <c r="F19020" t="s">
        <v>0</v>
      </c>
      <c r="G19020" t="str">
        <f>"2018-10-10 20:22:15"</f>
        <v>2018-10-10 20:22:15</v>
      </c>
    </row>
    <row r="19021" spans="1:7" x14ac:dyDescent="0.2">
      <c r="A19021" t="s">
        <v>17956</v>
      </c>
      <c r="B19021" t="str">
        <f>"15357003296"</f>
        <v>15357003296</v>
      </c>
      <c r="C19021" t="str">
        <f>"340521199610164247"</f>
        <v>340521199610164247</v>
      </c>
      <c r="D19021" t="s">
        <v>1</v>
      </c>
      <c r="E19021" t="s">
        <v>1</v>
      </c>
      <c r="F19021" t="s">
        <v>0</v>
      </c>
      <c r="G19021" t="str">
        <f>"2018-10-10 20:19:04"</f>
        <v>2018-10-10 20:19:04</v>
      </c>
    </row>
    <row r="19022" spans="1:7" x14ac:dyDescent="0.2">
      <c r="A19022" t="s">
        <v>12059</v>
      </c>
      <c r="B19022" t="str">
        <f>"13668935800"</f>
        <v>13668935800</v>
      </c>
      <c r="C19022" t="str">
        <f>"360731199509056310"</f>
        <v>360731199509056310</v>
      </c>
      <c r="D19022" t="s">
        <v>1</v>
      </c>
      <c r="E19022" t="s">
        <v>1</v>
      </c>
      <c r="F19022" t="s">
        <v>0</v>
      </c>
      <c r="G19022" t="str">
        <f>"2018-10-10 20:20:44"</f>
        <v>2018-10-10 20:20:44</v>
      </c>
    </row>
    <row r="19023" spans="1:7" x14ac:dyDescent="0.2">
      <c r="A19023" t="s">
        <v>17957</v>
      </c>
      <c r="B19023" t="str">
        <f>"13247210112"</f>
        <v>13247210112</v>
      </c>
      <c r="C19023" t="str">
        <f>"420921199901235510"</f>
        <v>420921199901235510</v>
      </c>
      <c r="D19023" t="s">
        <v>1</v>
      </c>
      <c r="E19023" t="s">
        <v>1</v>
      </c>
      <c r="F19023" t="s">
        <v>0</v>
      </c>
      <c r="G19023" t="str">
        <f>"2018-10-10 20:52:41"</f>
        <v>2018-10-10 20:52:41</v>
      </c>
    </row>
    <row r="19024" spans="1:7" x14ac:dyDescent="0.2">
      <c r="A19024" t="s">
        <v>17958</v>
      </c>
      <c r="B19024" t="str">
        <f>"15056855005"</f>
        <v>15056855005</v>
      </c>
      <c r="C19024" t="str">
        <f>"341222199405125039"</f>
        <v>341222199405125039</v>
      </c>
      <c r="D19024" t="s">
        <v>1</v>
      </c>
      <c r="E19024" t="s">
        <v>1</v>
      </c>
      <c r="F19024" t="s">
        <v>0</v>
      </c>
      <c r="G19024" t="str">
        <f>"2018-10-10 20:18:56"</f>
        <v>2018-10-10 20:18:56</v>
      </c>
    </row>
    <row r="19025" spans="1:7" x14ac:dyDescent="0.2">
      <c r="A19025" t="s">
        <v>1</v>
      </c>
      <c r="B19025" t="str">
        <f>"13664399892"</f>
        <v>13664399892</v>
      </c>
      <c r="C19025" t="s">
        <v>1</v>
      </c>
      <c r="D19025" t="s">
        <v>1</v>
      </c>
      <c r="E19025" t="s">
        <v>1</v>
      </c>
      <c r="F19025" t="s">
        <v>0</v>
      </c>
      <c r="G19025" t="str">
        <f>"2018-10-10 20:18:04"</f>
        <v>2018-10-10 20:18:04</v>
      </c>
    </row>
    <row r="19026" spans="1:7" x14ac:dyDescent="0.2">
      <c r="A19026" t="s">
        <v>1</v>
      </c>
      <c r="B19026" t="str">
        <f>"13662004311"</f>
        <v>13662004311</v>
      </c>
      <c r="C19026" t="s">
        <v>1</v>
      </c>
      <c r="D19026" t="s">
        <v>1</v>
      </c>
      <c r="E19026" t="s">
        <v>1</v>
      </c>
      <c r="F19026" t="s">
        <v>0</v>
      </c>
      <c r="G19026" t="str">
        <f>"2018-10-10 20:22:20"</f>
        <v>2018-10-10 20:22:20</v>
      </c>
    </row>
    <row r="19027" spans="1:7" x14ac:dyDescent="0.2">
      <c r="A19027" t="s">
        <v>17959</v>
      </c>
      <c r="B19027" t="str">
        <f>"18722498003"</f>
        <v>18722498003</v>
      </c>
      <c r="C19027" t="str">
        <f>"211004199208181813"</f>
        <v>211004199208181813</v>
      </c>
      <c r="D19027" t="s">
        <v>1</v>
      </c>
      <c r="E19027" t="s">
        <v>1</v>
      </c>
      <c r="F19027" t="s">
        <v>0</v>
      </c>
      <c r="G19027" t="str">
        <f>"2018-10-10 20:33:06"</f>
        <v>2018-10-10 20:33:06</v>
      </c>
    </row>
    <row r="19028" spans="1:7" x14ac:dyDescent="0.2">
      <c r="A19028" t="s">
        <v>17960</v>
      </c>
      <c r="B19028" t="str">
        <f>"18706219432"</f>
        <v>18706219432</v>
      </c>
      <c r="C19028" t="str">
        <f>"320586199710278019"</f>
        <v>320586199710278019</v>
      </c>
      <c r="D19028" t="s">
        <v>1</v>
      </c>
      <c r="E19028" t="s">
        <v>1</v>
      </c>
      <c r="F19028" t="s">
        <v>0</v>
      </c>
      <c r="G19028" t="str">
        <f>"2018-10-10 20:19:11"</f>
        <v>2018-10-10 20:19:11</v>
      </c>
    </row>
    <row r="19029" spans="1:7" x14ac:dyDescent="0.2">
      <c r="A19029" t="s">
        <v>17961</v>
      </c>
      <c r="B19029" t="str">
        <f>"13584733283"</f>
        <v>13584733283</v>
      </c>
      <c r="C19029" t="str">
        <f>"320681198804280012"</f>
        <v>320681198804280012</v>
      </c>
      <c r="D19029" t="s">
        <v>1</v>
      </c>
      <c r="E19029" t="s">
        <v>1</v>
      </c>
      <c r="F19029" t="s">
        <v>0</v>
      </c>
      <c r="G19029" t="str">
        <f>"2018-10-10 20:19:37"</f>
        <v>2018-10-10 20:19:37</v>
      </c>
    </row>
    <row r="19030" spans="1:7" x14ac:dyDescent="0.2">
      <c r="A19030" t="s">
        <v>937</v>
      </c>
      <c r="B19030" t="str">
        <f>"13832288053"</f>
        <v>13832288053</v>
      </c>
      <c r="C19030" t="str">
        <f>"130635198802031211"</f>
        <v>130635198802031211</v>
      </c>
      <c r="D19030" t="s">
        <v>1</v>
      </c>
      <c r="E19030" t="s">
        <v>1</v>
      </c>
      <c r="F19030" t="s">
        <v>0</v>
      </c>
      <c r="G19030" t="str">
        <f>"2018-10-10 20:19:43"</f>
        <v>2018-10-10 20:19:43</v>
      </c>
    </row>
    <row r="19031" spans="1:7" x14ac:dyDescent="0.2">
      <c r="A19031" t="s">
        <v>1792</v>
      </c>
      <c r="B19031" t="str">
        <f>"15058917031"</f>
        <v>15058917031</v>
      </c>
      <c r="C19031" t="str">
        <f>"500231199703198514"</f>
        <v>500231199703198514</v>
      </c>
      <c r="D19031" t="s">
        <v>1</v>
      </c>
      <c r="E19031" t="s">
        <v>1</v>
      </c>
      <c r="F19031" t="s">
        <v>0</v>
      </c>
      <c r="G19031" t="str">
        <f>"2018-10-10 20:18:11"</f>
        <v>2018-10-10 20:18:11</v>
      </c>
    </row>
    <row r="19032" spans="1:7" x14ac:dyDescent="0.2">
      <c r="A19032" t="s">
        <v>1</v>
      </c>
      <c r="B19032" t="str">
        <f>"13877966992"</f>
        <v>13877966992</v>
      </c>
      <c r="C19032" t="s">
        <v>1</v>
      </c>
      <c r="D19032" t="s">
        <v>1</v>
      </c>
      <c r="E19032" t="s">
        <v>1</v>
      </c>
      <c r="F19032" t="s">
        <v>0</v>
      </c>
      <c r="G19032" t="str">
        <f>"2018-10-10 20:13:30"</f>
        <v>2018-10-10 20:13:30</v>
      </c>
    </row>
    <row r="19033" spans="1:7" x14ac:dyDescent="0.2">
      <c r="A19033" t="s">
        <v>17962</v>
      </c>
      <c r="B19033" t="str">
        <f>"13288513385"</f>
        <v>13288513385</v>
      </c>
      <c r="C19033" t="str">
        <f>"445221199502185034"</f>
        <v>445221199502185034</v>
      </c>
      <c r="D19033" t="s">
        <v>17963</v>
      </c>
      <c r="E19033" t="s">
        <v>17964</v>
      </c>
      <c r="F19033" t="s">
        <v>0</v>
      </c>
      <c r="G19033" t="str">
        <f>"2018-10-10 20:14:15"</f>
        <v>2018-10-10 20:14:15</v>
      </c>
    </row>
    <row r="19034" spans="1:7" x14ac:dyDescent="0.2">
      <c r="A19034" t="s">
        <v>17965</v>
      </c>
      <c r="B19034" t="str">
        <f>"18082817533"</f>
        <v>18082817533</v>
      </c>
      <c r="C19034" t="str">
        <f>"654201198410201824"</f>
        <v>654201198410201824</v>
      </c>
      <c r="D19034" t="s">
        <v>1</v>
      </c>
      <c r="E19034" t="s">
        <v>1</v>
      </c>
      <c r="F19034" t="s">
        <v>0</v>
      </c>
      <c r="G19034" t="str">
        <f>"2018-10-10 20:17:43"</f>
        <v>2018-10-10 20:17:43</v>
      </c>
    </row>
    <row r="19035" spans="1:7" x14ac:dyDescent="0.2">
      <c r="A19035" t="s">
        <v>17966</v>
      </c>
      <c r="B19035" t="str">
        <f>"15878285583"</f>
        <v>15878285583</v>
      </c>
      <c r="C19035" t="str">
        <f>"452226199305034529"</f>
        <v>452226199305034529</v>
      </c>
      <c r="D19035" t="s">
        <v>1</v>
      </c>
      <c r="E19035" t="s">
        <v>1</v>
      </c>
      <c r="F19035" t="s">
        <v>0</v>
      </c>
      <c r="G19035" t="str">
        <f>"2018-10-22 15:41:11"</f>
        <v>2018-10-22 15:41:11</v>
      </c>
    </row>
    <row r="19036" spans="1:7" x14ac:dyDescent="0.2">
      <c r="A19036" t="s">
        <v>17967</v>
      </c>
      <c r="B19036" t="str">
        <f>"15255692916"</f>
        <v>15255692916</v>
      </c>
      <c r="C19036" t="str">
        <f>"340881199008195617"</f>
        <v>340881199008195617</v>
      </c>
      <c r="D19036" t="s">
        <v>1</v>
      </c>
      <c r="E19036" t="s">
        <v>1</v>
      </c>
      <c r="F19036" t="s">
        <v>0</v>
      </c>
      <c r="G19036" t="str">
        <f>"2018-10-10 20:10:48"</f>
        <v>2018-10-10 20:10:48</v>
      </c>
    </row>
    <row r="19037" spans="1:7" x14ac:dyDescent="0.2">
      <c r="A19037" t="s">
        <v>726</v>
      </c>
      <c r="B19037" t="str">
        <f>"15211539350"</f>
        <v>15211539350</v>
      </c>
      <c r="C19037" t="str">
        <f>"431221199803104212"</f>
        <v>431221199803104212</v>
      </c>
      <c r="D19037" t="s">
        <v>17968</v>
      </c>
      <c r="E19037" t="s">
        <v>17969</v>
      </c>
      <c r="F19037" t="s">
        <v>0</v>
      </c>
      <c r="G19037" t="str">
        <f>"2018-10-10 20:10:57"</f>
        <v>2018-10-10 20:10:57</v>
      </c>
    </row>
    <row r="19038" spans="1:7" x14ac:dyDescent="0.2">
      <c r="A19038" t="s">
        <v>247</v>
      </c>
      <c r="B19038" t="str">
        <f>"13050668886"</f>
        <v>13050668886</v>
      </c>
      <c r="C19038" t="str">
        <f>"210881198710130414"</f>
        <v>210881198710130414</v>
      </c>
      <c r="D19038" t="s">
        <v>1</v>
      </c>
      <c r="E19038" t="s">
        <v>1</v>
      </c>
      <c r="F19038" t="s">
        <v>0</v>
      </c>
      <c r="G19038" t="str">
        <f>"2018-10-12 08:36:37"</f>
        <v>2018-10-12 08:36:37</v>
      </c>
    </row>
    <row r="19039" spans="1:7" x14ac:dyDescent="0.2">
      <c r="A19039" t="s">
        <v>1</v>
      </c>
      <c r="B19039" t="str">
        <f>"13471190896"</f>
        <v>13471190896</v>
      </c>
      <c r="C19039" t="s">
        <v>1</v>
      </c>
      <c r="D19039" t="s">
        <v>1</v>
      </c>
      <c r="E19039" t="s">
        <v>1</v>
      </c>
      <c r="F19039" t="s">
        <v>0</v>
      </c>
      <c r="G19039" t="str">
        <f>"2018-10-10 20:08:36"</f>
        <v>2018-10-10 20:08:36</v>
      </c>
    </row>
    <row r="19040" spans="1:7" x14ac:dyDescent="0.2">
      <c r="A19040" t="s">
        <v>1</v>
      </c>
      <c r="B19040" t="str">
        <f>"13960725511"</f>
        <v>13960725511</v>
      </c>
      <c r="C19040" t="s">
        <v>1</v>
      </c>
      <c r="D19040" t="s">
        <v>1</v>
      </c>
      <c r="E19040" t="s">
        <v>1</v>
      </c>
      <c r="F19040" t="s">
        <v>0</v>
      </c>
      <c r="G19040" t="str">
        <f>"2018-10-10 20:08:30"</f>
        <v>2018-10-10 20:08:30</v>
      </c>
    </row>
    <row r="19041" spans="1:7" x14ac:dyDescent="0.2">
      <c r="A19041" t="s">
        <v>9362</v>
      </c>
      <c r="B19041" t="str">
        <f>"17677219482"</f>
        <v>17677219482</v>
      </c>
      <c r="C19041" t="str">
        <f>"452625200003054699"</f>
        <v>452625200003054699</v>
      </c>
      <c r="D19041" t="s">
        <v>1</v>
      </c>
      <c r="E19041" t="s">
        <v>1</v>
      </c>
      <c r="F19041" t="s">
        <v>0</v>
      </c>
      <c r="G19041" t="str">
        <f>"2018-10-10 20:08:02"</f>
        <v>2018-10-10 20:08:02</v>
      </c>
    </row>
    <row r="19042" spans="1:7" x14ac:dyDescent="0.2">
      <c r="A19042" t="s">
        <v>1</v>
      </c>
      <c r="B19042" t="str">
        <f>"17551931130"</f>
        <v>17551931130</v>
      </c>
      <c r="C19042" t="s">
        <v>1</v>
      </c>
      <c r="D19042" t="s">
        <v>1</v>
      </c>
      <c r="E19042" t="s">
        <v>1</v>
      </c>
      <c r="F19042" t="s">
        <v>0</v>
      </c>
      <c r="G19042" t="str">
        <f>"2018-10-10 20:06:41"</f>
        <v>2018-10-10 20:06:41</v>
      </c>
    </row>
    <row r="19043" spans="1:7" x14ac:dyDescent="0.2">
      <c r="A19043" t="s">
        <v>1</v>
      </c>
      <c r="B19043" t="str">
        <f>"13595513495"</f>
        <v>13595513495</v>
      </c>
      <c r="C19043" t="s">
        <v>1</v>
      </c>
      <c r="D19043" t="s">
        <v>1</v>
      </c>
      <c r="E19043" t="s">
        <v>1</v>
      </c>
      <c r="F19043" t="s">
        <v>0</v>
      </c>
      <c r="G19043" t="str">
        <f>"2018-10-10 20:06:37"</f>
        <v>2018-10-10 20:06:37</v>
      </c>
    </row>
    <row r="19044" spans="1:7" x14ac:dyDescent="0.2">
      <c r="A19044" t="s">
        <v>17970</v>
      </c>
      <c r="B19044" t="str">
        <f>"15080293659"</f>
        <v>15080293659</v>
      </c>
      <c r="C19044" t="str">
        <f>"350802199809195525"</f>
        <v>350802199809195525</v>
      </c>
      <c r="D19044" t="s">
        <v>1</v>
      </c>
      <c r="E19044" t="s">
        <v>1</v>
      </c>
      <c r="F19044" t="s">
        <v>0</v>
      </c>
      <c r="G19044" t="str">
        <f>"2018-10-10 20:06:16"</f>
        <v>2018-10-10 20:06:16</v>
      </c>
    </row>
    <row r="19045" spans="1:7" x14ac:dyDescent="0.2">
      <c r="A19045" t="s">
        <v>17971</v>
      </c>
      <c r="B19045" t="str">
        <f>"15653112868"</f>
        <v>15653112868</v>
      </c>
      <c r="C19045" t="str">
        <f>"371581198901124454"</f>
        <v>371581198901124454</v>
      </c>
      <c r="D19045" t="s">
        <v>1</v>
      </c>
      <c r="E19045" t="s">
        <v>1</v>
      </c>
      <c r="F19045" t="s">
        <v>0</v>
      </c>
      <c r="G19045" t="str">
        <f>"2018-10-10 20:06:31"</f>
        <v>2018-10-10 20:06:31</v>
      </c>
    </row>
    <row r="19046" spans="1:7" x14ac:dyDescent="0.2">
      <c r="A19046" t="s">
        <v>1</v>
      </c>
      <c r="B19046" t="str">
        <f>"18255918533"</f>
        <v>18255918533</v>
      </c>
      <c r="C19046" t="s">
        <v>1</v>
      </c>
      <c r="D19046" t="s">
        <v>1</v>
      </c>
      <c r="E19046" t="s">
        <v>1</v>
      </c>
      <c r="F19046" t="s">
        <v>0</v>
      </c>
      <c r="G19046" t="str">
        <f>"2018-10-10 20:04:15"</f>
        <v>2018-10-10 20:04:15</v>
      </c>
    </row>
    <row r="19047" spans="1:7" x14ac:dyDescent="0.2">
      <c r="A19047" t="s">
        <v>1335</v>
      </c>
      <c r="B19047" t="str">
        <f>"13608788659"</f>
        <v>13608788659</v>
      </c>
      <c r="C19047" t="str">
        <f>"532128199010200056"</f>
        <v>532128199010200056</v>
      </c>
      <c r="D19047" t="s">
        <v>1</v>
      </c>
      <c r="E19047" t="s">
        <v>1</v>
      </c>
      <c r="F19047" t="s">
        <v>0</v>
      </c>
      <c r="G19047" t="str">
        <f>"2018-10-10 20:44:40"</f>
        <v>2018-10-10 20:44:40</v>
      </c>
    </row>
    <row r="19048" spans="1:7" x14ac:dyDescent="0.2">
      <c r="A19048" t="s">
        <v>1</v>
      </c>
      <c r="B19048" t="str">
        <f>"18361994572"</f>
        <v>18361994572</v>
      </c>
      <c r="C19048" t="s">
        <v>1</v>
      </c>
      <c r="D19048" t="s">
        <v>1</v>
      </c>
      <c r="E19048" t="s">
        <v>1</v>
      </c>
      <c r="F19048" t="s">
        <v>0</v>
      </c>
      <c r="G19048" t="str">
        <f>"2018-10-10 20:07:54"</f>
        <v>2018-10-10 20:07:54</v>
      </c>
    </row>
    <row r="19049" spans="1:7" x14ac:dyDescent="0.2">
      <c r="A19049" t="s">
        <v>17972</v>
      </c>
      <c r="B19049" t="str">
        <f>"17612151533"</f>
        <v>17612151533</v>
      </c>
      <c r="C19049" t="str">
        <f>"310114198908262610"</f>
        <v>310114198908262610</v>
      </c>
      <c r="D19049" t="s">
        <v>17973</v>
      </c>
      <c r="E19049" t="s">
        <v>17974</v>
      </c>
      <c r="F19049" t="s">
        <v>0</v>
      </c>
      <c r="G19049" t="str">
        <f>"2018-10-10 20:05:46"</f>
        <v>2018-10-10 20:05:46</v>
      </c>
    </row>
    <row r="19050" spans="1:7" x14ac:dyDescent="0.2">
      <c r="A19050" t="s">
        <v>17975</v>
      </c>
      <c r="B19050" t="str">
        <f>"18176906712"</f>
        <v>18176906712</v>
      </c>
      <c r="C19050" t="str">
        <f>"45092119950507241X"</f>
        <v>45092119950507241X</v>
      </c>
      <c r="D19050" t="s">
        <v>1</v>
      </c>
      <c r="E19050" t="s">
        <v>1</v>
      </c>
      <c r="F19050" t="s">
        <v>0</v>
      </c>
      <c r="G19050" t="str">
        <f>"2018-10-20 23:23:07"</f>
        <v>2018-10-20 23:23:07</v>
      </c>
    </row>
    <row r="19051" spans="1:7" x14ac:dyDescent="0.2">
      <c r="A19051" t="s">
        <v>1</v>
      </c>
      <c r="B19051" t="str">
        <f>"13510570568"</f>
        <v>13510570568</v>
      </c>
      <c r="C19051" t="s">
        <v>1</v>
      </c>
      <c r="D19051" t="s">
        <v>1</v>
      </c>
      <c r="E19051" t="s">
        <v>1</v>
      </c>
      <c r="F19051" t="s">
        <v>0</v>
      </c>
      <c r="G19051" t="str">
        <f>"2018-10-10 20:08:31"</f>
        <v>2018-10-10 20:08:31</v>
      </c>
    </row>
    <row r="19052" spans="1:7" x14ac:dyDescent="0.2">
      <c r="A19052" t="s">
        <v>17976</v>
      </c>
      <c r="B19052" t="str">
        <f>"18723208668"</f>
        <v>18723208668</v>
      </c>
      <c r="C19052" t="str">
        <f>"500381198602268610"</f>
        <v>500381198602268610</v>
      </c>
      <c r="D19052" t="s">
        <v>1</v>
      </c>
      <c r="E19052" t="s">
        <v>1</v>
      </c>
      <c r="F19052" t="s">
        <v>0</v>
      </c>
      <c r="G19052" t="str">
        <f>"2018-10-10 20:05:28"</f>
        <v>2018-10-10 20:05:28</v>
      </c>
    </row>
    <row r="19053" spans="1:7" x14ac:dyDescent="0.2">
      <c r="A19053" t="s">
        <v>17977</v>
      </c>
      <c r="B19053" t="str">
        <f>"13849057919"</f>
        <v>13849057919</v>
      </c>
      <c r="C19053" t="str">
        <f>"412823198408111613"</f>
        <v>412823198408111613</v>
      </c>
      <c r="D19053" t="s">
        <v>1</v>
      </c>
      <c r="E19053" t="s">
        <v>1</v>
      </c>
      <c r="F19053" t="s">
        <v>0</v>
      </c>
      <c r="G19053" t="str">
        <f>"2018-10-10 20:03:28"</f>
        <v>2018-10-10 20:03:28</v>
      </c>
    </row>
    <row r="19054" spans="1:7" x14ac:dyDescent="0.2">
      <c r="A19054" t="s">
        <v>17978</v>
      </c>
      <c r="B19054" t="str">
        <f>"13397287746"</f>
        <v>13397287746</v>
      </c>
      <c r="C19054" t="str">
        <f>"320683199612282897"</f>
        <v>320683199612282897</v>
      </c>
      <c r="D19054" t="s">
        <v>1</v>
      </c>
      <c r="E19054" t="s">
        <v>1</v>
      </c>
      <c r="F19054" t="s">
        <v>0</v>
      </c>
      <c r="G19054" t="str">
        <f>"2018-10-11 12:40:59"</f>
        <v>2018-10-11 12:40:59</v>
      </c>
    </row>
    <row r="19055" spans="1:7" x14ac:dyDescent="0.2">
      <c r="A19055" t="s">
        <v>772</v>
      </c>
      <c r="B19055" t="str">
        <f>"13320346201"</f>
        <v>13320346201</v>
      </c>
      <c r="C19055" t="str">
        <f>"500227199604187719"</f>
        <v>500227199604187719</v>
      </c>
      <c r="D19055" t="s">
        <v>1</v>
      </c>
      <c r="E19055" t="s">
        <v>1</v>
      </c>
      <c r="F19055" t="s">
        <v>0</v>
      </c>
      <c r="G19055" t="str">
        <f>"2018-10-10 20:08:55"</f>
        <v>2018-10-10 20:08:55</v>
      </c>
    </row>
    <row r="19056" spans="1:7" x14ac:dyDescent="0.2">
      <c r="A19056" t="s">
        <v>17979</v>
      </c>
      <c r="B19056" t="str">
        <f>"17521159265"</f>
        <v>17521159265</v>
      </c>
      <c r="C19056" t="str">
        <f>"32132319881029063X"</f>
        <v>32132319881029063X</v>
      </c>
      <c r="D19056" t="s">
        <v>1</v>
      </c>
      <c r="E19056" t="s">
        <v>1</v>
      </c>
      <c r="F19056" t="s">
        <v>0</v>
      </c>
      <c r="G19056" t="str">
        <f>"2018-10-12 19:55:34"</f>
        <v>2018-10-12 19:55:34</v>
      </c>
    </row>
    <row r="19057" spans="1:7" x14ac:dyDescent="0.2">
      <c r="A19057" t="s">
        <v>17980</v>
      </c>
      <c r="B19057" t="str">
        <f>"17607399278"</f>
        <v>17607399278</v>
      </c>
      <c r="C19057" t="str">
        <f>"430581199803084292"</f>
        <v>430581199803084292</v>
      </c>
      <c r="D19057" t="s">
        <v>1</v>
      </c>
      <c r="E19057" t="s">
        <v>1</v>
      </c>
      <c r="F19057" t="s">
        <v>0</v>
      </c>
      <c r="G19057" t="str">
        <f>"2018-10-10 20:00:53"</f>
        <v>2018-10-10 20:00:53</v>
      </c>
    </row>
    <row r="19058" spans="1:7" x14ac:dyDescent="0.2">
      <c r="A19058" t="s">
        <v>17981</v>
      </c>
      <c r="B19058" t="str">
        <f>"15562558183"</f>
        <v>15562558183</v>
      </c>
      <c r="C19058" t="str">
        <f>"371423199304052830"</f>
        <v>371423199304052830</v>
      </c>
      <c r="D19058" t="s">
        <v>1</v>
      </c>
      <c r="E19058" t="s">
        <v>1</v>
      </c>
      <c r="F19058" t="s">
        <v>0</v>
      </c>
      <c r="G19058" t="str">
        <f>"2018-10-22 15:23:33"</f>
        <v>2018-10-22 15:23:33</v>
      </c>
    </row>
    <row r="19059" spans="1:7" x14ac:dyDescent="0.2">
      <c r="A19059" t="s">
        <v>17982</v>
      </c>
      <c r="B19059" t="str">
        <f>"18894033009"</f>
        <v>18894033009</v>
      </c>
      <c r="C19059" t="str">
        <f>"62232619960721002X"</f>
        <v>62232619960721002X</v>
      </c>
      <c r="D19059" t="s">
        <v>1</v>
      </c>
      <c r="E19059" t="s">
        <v>1</v>
      </c>
      <c r="F19059" t="s">
        <v>0</v>
      </c>
      <c r="G19059" t="str">
        <f>"2018-10-10 19:57:38"</f>
        <v>2018-10-10 19:57:38</v>
      </c>
    </row>
    <row r="19060" spans="1:7" x14ac:dyDescent="0.2">
      <c r="A19060" t="s">
        <v>697</v>
      </c>
      <c r="B19060" t="str">
        <f>"15112161906"</f>
        <v>15112161906</v>
      </c>
      <c r="C19060" t="str">
        <f>"445381198702284122"</f>
        <v>445381198702284122</v>
      </c>
      <c r="D19060" t="s">
        <v>1</v>
      </c>
      <c r="E19060" t="s">
        <v>1</v>
      </c>
      <c r="F19060" t="s">
        <v>0</v>
      </c>
      <c r="G19060" t="str">
        <f>"2018-10-10 20:00:49"</f>
        <v>2018-10-10 20:00:49</v>
      </c>
    </row>
    <row r="19061" spans="1:7" x14ac:dyDescent="0.2">
      <c r="A19061" t="s">
        <v>17983</v>
      </c>
      <c r="B19061" t="str">
        <f>"18062786971"</f>
        <v>18062786971</v>
      </c>
      <c r="C19061" t="str">
        <f>"420102198912170639"</f>
        <v>420102198912170639</v>
      </c>
      <c r="D19061" t="s">
        <v>1</v>
      </c>
      <c r="E19061" t="s">
        <v>1</v>
      </c>
      <c r="F19061" t="s">
        <v>0</v>
      </c>
      <c r="G19061" t="str">
        <f>"2018-10-10 20:00:14"</f>
        <v>2018-10-10 20:00:14</v>
      </c>
    </row>
    <row r="19062" spans="1:7" x14ac:dyDescent="0.2">
      <c r="A19062" t="s">
        <v>21</v>
      </c>
      <c r="B19062" t="str">
        <f>"18839740364"</f>
        <v>18839740364</v>
      </c>
      <c r="C19062" t="str">
        <f>"410522199112014734"</f>
        <v>410522199112014734</v>
      </c>
      <c r="D19062" t="s">
        <v>17984</v>
      </c>
      <c r="E19062" t="s">
        <v>17985</v>
      </c>
      <c r="F19062" t="s">
        <v>0</v>
      </c>
      <c r="G19062" t="str">
        <f>"2018-10-10 19:55:58"</f>
        <v>2018-10-10 19:55:58</v>
      </c>
    </row>
    <row r="19063" spans="1:7" x14ac:dyDescent="0.2">
      <c r="A19063" t="s">
        <v>1</v>
      </c>
      <c r="B19063" t="str">
        <f>"15161610514"</f>
        <v>15161610514</v>
      </c>
      <c r="C19063" t="s">
        <v>1</v>
      </c>
      <c r="D19063" t="s">
        <v>1</v>
      </c>
      <c r="E19063" t="s">
        <v>1</v>
      </c>
      <c r="F19063" t="s">
        <v>0</v>
      </c>
      <c r="G19063" t="str">
        <f>"2018-10-10 19:55:48"</f>
        <v>2018-10-10 19:55:48</v>
      </c>
    </row>
    <row r="19064" spans="1:7" x14ac:dyDescent="0.2">
      <c r="A19064" t="s">
        <v>17986</v>
      </c>
      <c r="B19064" t="str">
        <f>"18508277336"</f>
        <v>18508277336</v>
      </c>
      <c r="C19064" t="str">
        <f>"430522199306228312"</f>
        <v>430522199306228312</v>
      </c>
      <c r="D19064" t="s">
        <v>1</v>
      </c>
      <c r="E19064" t="s">
        <v>1</v>
      </c>
      <c r="F19064" t="s">
        <v>0</v>
      </c>
      <c r="G19064" t="str">
        <f>"2018-10-11 07:52:50"</f>
        <v>2018-10-11 07:52:50</v>
      </c>
    </row>
    <row r="19065" spans="1:7" x14ac:dyDescent="0.2">
      <c r="A19065" t="s">
        <v>17987</v>
      </c>
      <c r="B19065" t="str">
        <f>"15250598828"</f>
        <v>15250598828</v>
      </c>
      <c r="C19065" t="str">
        <f>"341221198906145790"</f>
        <v>341221198906145790</v>
      </c>
      <c r="D19065" t="s">
        <v>17988</v>
      </c>
      <c r="E19065" t="s">
        <v>17989</v>
      </c>
      <c r="F19065" t="s">
        <v>0</v>
      </c>
      <c r="G19065" t="str">
        <f>"2018-10-16 09:51:00"</f>
        <v>2018-10-16 09:51:00</v>
      </c>
    </row>
    <row r="19066" spans="1:7" x14ac:dyDescent="0.2">
      <c r="A19066" t="s">
        <v>17990</v>
      </c>
      <c r="B19066" t="str">
        <f>"13632641645"</f>
        <v>13632641645</v>
      </c>
      <c r="C19066" t="str">
        <f>"360722199303031517"</f>
        <v>360722199303031517</v>
      </c>
      <c r="D19066" t="s">
        <v>1</v>
      </c>
      <c r="E19066" t="s">
        <v>1</v>
      </c>
      <c r="F19066" t="s">
        <v>0</v>
      </c>
      <c r="G19066" t="str">
        <f>"2018-10-10 19:54:19"</f>
        <v>2018-10-10 19:54:19</v>
      </c>
    </row>
    <row r="19067" spans="1:7" x14ac:dyDescent="0.2">
      <c r="A19067" t="s">
        <v>17991</v>
      </c>
      <c r="B19067" t="str">
        <f>"17850008205"</f>
        <v>17850008205</v>
      </c>
      <c r="C19067" t="str">
        <f>"350124199908304635"</f>
        <v>350124199908304635</v>
      </c>
      <c r="D19067" t="s">
        <v>1</v>
      </c>
      <c r="E19067" t="s">
        <v>1</v>
      </c>
      <c r="F19067" t="s">
        <v>0</v>
      </c>
      <c r="G19067" t="str">
        <f>"2018-10-10 19:55:37"</f>
        <v>2018-10-10 19:55:37</v>
      </c>
    </row>
    <row r="19068" spans="1:7" x14ac:dyDescent="0.2">
      <c r="A19068" t="s">
        <v>17992</v>
      </c>
      <c r="B19068" t="str">
        <f>"18633853356"</f>
        <v>18633853356</v>
      </c>
      <c r="C19068" t="str">
        <f>"130123199307286913"</f>
        <v>130123199307286913</v>
      </c>
      <c r="D19068" t="s">
        <v>1</v>
      </c>
      <c r="E19068" t="s">
        <v>1</v>
      </c>
      <c r="F19068" t="s">
        <v>0</v>
      </c>
      <c r="G19068" t="str">
        <f>"2018-10-10 19:55:02"</f>
        <v>2018-10-10 19:55:02</v>
      </c>
    </row>
    <row r="19069" spans="1:7" x14ac:dyDescent="0.2">
      <c r="A19069" t="s">
        <v>1612</v>
      </c>
      <c r="B19069" t="str">
        <f>"13974693076"</f>
        <v>13974693076</v>
      </c>
      <c r="C19069" t="str">
        <f>"432926199406187027"</f>
        <v>432926199406187027</v>
      </c>
      <c r="D19069" t="s">
        <v>1</v>
      </c>
      <c r="E19069" t="s">
        <v>1</v>
      </c>
      <c r="F19069" t="s">
        <v>0</v>
      </c>
      <c r="G19069" t="str">
        <f>"2018-10-10 19:53:57"</f>
        <v>2018-10-10 19:53:57</v>
      </c>
    </row>
    <row r="19070" spans="1:7" x14ac:dyDescent="0.2">
      <c r="A19070" t="s">
        <v>10284</v>
      </c>
      <c r="B19070" t="str">
        <f>"18685744159"</f>
        <v>18685744159</v>
      </c>
      <c r="C19070" t="str">
        <f>"522425199905295418"</f>
        <v>522425199905295418</v>
      </c>
      <c r="D19070" t="s">
        <v>1</v>
      </c>
      <c r="E19070" t="s">
        <v>1</v>
      </c>
      <c r="F19070" t="s">
        <v>0</v>
      </c>
      <c r="G19070" t="str">
        <f>"2018-10-10 19:52:20"</f>
        <v>2018-10-10 19:52:20</v>
      </c>
    </row>
    <row r="19071" spans="1:7" x14ac:dyDescent="0.2">
      <c r="A19071" t="s">
        <v>1</v>
      </c>
      <c r="B19071" t="str">
        <f>"13430171440"</f>
        <v>13430171440</v>
      </c>
      <c r="C19071" t="s">
        <v>1</v>
      </c>
      <c r="D19071" t="s">
        <v>1</v>
      </c>
      <c r="E19071" t="s">
        <v>1</v>
      </c>
      <c r="F19071" t="s">
        <v>0</v>
      </c>
      <c r="G19071" t="str">
        <f>"2018-10-10 19:51:03"</f>
        <v>2018-10-10 19:51:03</v>
      </c>
    </row>
    <row r="19072" spans="1:7" x14ac:dyDescent="0.2">
      <c r="A19072" t="s">
        <v>17347</v>
      </c>
      <c r="B19072" t="str">
        <f>"15063824690"</f>
        <v>15063824690</v>
      </c>
      <c r="C19072" t="str">
        <f>"370721197312134362"</f>
        <v>370721197312134362</v>
      </c>
      <c r="D19072" t="s">
        <v>1</v>
      </c>
      <c r="E19072" t="s">
        <v>1</v>
      </c>
      <c r="F19072" t="s">
        <v>0</v>
      </c>
      <c r="G19072" t="str">
        <f>"2018-10-10 19:52:37"</f>
        <v>2018-10-10 19:52:37</v>
      </c>
    </row>
    <row r="19073" spans="1:7" x14ac:dyDescent="0.2">
      <c r="A19073" t="s">
        <v>1</v>
      </c>
      <c r="B19073" t="str">
        <f>"18687323298"</f>
        <v>18687323298</v>
      </c>
      <c r="C19073" t="s">
        <v>1</v>
      </c>
      <c r="D19073" t="s">
        <v>1</v>
      </c>
      <c r="E19073" t="s">
        <v>1</v>
      </c>
      <c r="F19073" t="s">
        <v>0</v>
      </c>
      <c r="G19073" t="str">
        <f>"2018-11-03 19:37:08"</f>
        <v>2018-11-03 19:37:08</v>
      </c>
    </row>
    <row r="19074" spans="1:7" x14ac:dyDescent="0.2">
      <c r="A19074" t="s">
        <v>1</v>
      </c>
      <c r="B19074" t="str">
        <f>"15869618035"</f>
        <v>15869618035</v>
      </c>
      <c r="C19074" t="s">
        <v>1</v>
      </c>
      <c r="D19074" t="s">
        <v>1</v>
      </c>
      <c r="E19074" t="s">
        <v>1</v>
      </c>
      <c r="F19074" t="s">
        <v>0</v>
      </c>
      <c r="G19074" t="str">
        <f>"2018-10-10 19:52:41"</f>
        <v>2018-10-10 19:52:41</v>
      </c>
    </row>
    <row r="19075" spans="1:7" x14ac:dyDescent="0.2">
      <c r="A19075" t="s">
        <v>17993</v>
      </c>
      <c r="B19075" t="str">
        <f>"13437517030"</f>
        <v>13437517030</v>
      </c>
      <c r="C19075" t="str">
        <f>"441502199503295036"</f>
        <v>441502199503295036</v>
      </c>
      <c r="D19075" t="s">
        <v>1</v>
      </c>
      <c r="E19075" t="s">
        <v>1</v>
      </c>
      <c r="F19075" t="s">
        <v>0</v>
      </c>
      <c r="G19075" t="str">
        <f>"2018-10-10 19:48:11"</f>
        <v>2018-10-10 19:48:11</v>
      </c>
    </row>
    <row r="19076" spans="1:7" x14ac:dyDescent="0.2">
      <c r="A19076" t="s">
        <v>17994</v>
      </c>
      <c r="B19076" t="str">
        <f>"18651993661"</f>
        <v>18651993661</v>
      </c>
      <c r="C19076" t="str">
        <f>"320281199205150024"</f>
        <v>320281199205150024</v>
      </c>
      <c r="D19076" t="s">
        <v>1</v>
      </c>
      <c r="E19076" t="s">
        <v>1</v>
      </c>
      <c r="F19076" t="s">
        <v>0</v>
      </c>
      <c r="G19076" t="str">
        <f>"2018-10-10 19:54:55"</f>
        <v>2018-10-10 19:54:55</v>
      </c>
    </row>
    <row r="19077" spans="1:7" x14ac:dyDescent="0.2">
      <c r="A19077" t="s">
        <v>17995</v>
      </c>
      <c r="B19077" t="str">
        <f>"13854212136"</f>
        <v>13854212136</v>
      </c>
      <c r="C19077" t="str">
        <f>"370281199903154937"</f>
        <v>370281199903154937</v>
      </c>
      <c r="D19077" t="s">
        <v>1</v>
      </c>
      <c r="E19077" t="s">
        <v>1</v>
      </c>
      <c r="F19077" t="s">
        <v>0</v>
      </c>
      <c r="G19077" t="str">
        <f>"2018-10-10 20:01:16"</f>
        <v>2018-10-10 20:01:16</v>
      </c>
    </row>
    <row r="19078" spans="1:7" x14ac:dyDescent="0.2">
      <c r="A19078" t="s">
        <v>17996</v>
      </c>
      <c r="B19078" t="str">
        <f>"15042468959"</f>
        <v>15042468959</v>
      </c>
      <c r="C19078" t="str">
        <f>"210402197901290216"</f>
        <v>210402197901290216</v>
      </c>
      <c r="D19078" t="s">
        <v>17997</v>
      </c>
      <c r="E19078" t="s">
        <v>17998</v>
      </c>
      <c r="F19078" t="s">
        <v>0</v>
      </c>
      <c r="G19078" t="str">
        <f>"2018-10-10 20:07:37"</f>
        <v>2018-10-10 20:07:37</v>
      </c>
    </row>
    <row r="19079" spans="1:7" x14ac:dyDescent="0.2">
      <c r="A19079" t="s">
        <v>17999</v>
      </c>
      <c r="B19079" t="str">
        <f>"15004126570"</f>
        <v>15004126570</v>
      </c>
      <c r="C19079" t="str">
        <f>"211422199106172021"</f>
        <v>211422199106172021</v>
      </c>
      <c r="D19079" t="s">
        <v>1</v>
      </c>
      <c r="E19079" t="s">
        <v>1</v>
      </c>
      <c r="F19079" t="s">
        <v>0</v>
      </c>
      <c r="G19079" t="str">
        <f>"2018-10-10 19:48:10"</f>
        <v>2018-10-10 19:48:10</v>
      </c>
    </row>
    <row r="19080" spans="1:7" x14ac:dyDescent="0.2">
      <c r="A19080" t="s">
        <v>18000</v>
      </c>
      <c r="B19080" t="str">
        <f>"13885359661"</f>
        <v>13885359661</v>
      </c>
      <c r="C19080" t="str">
        <f>"522528198808071615"</f>
        <v>522528198808071615</v>
      </c>
      <c r="D19080" t="s">
        <v>18001</v>
      </c>
      <c r="E19080" t="s">
        <v>18002</v>
      </c>
      <c r="F19080" t="s">
        <v>0</v>
      </c>
      <c r="G19080" t="str">
        <f>"2018-10-11 12:23:23"</f>
        <v>2018-10-11 12:23:23</v>
      </c>
    </row>
    <row r="19081" spans="1:7" x14ac:dyDescent="0.2">
      <c r="A19081" t="s">
        <v>18003</v>
      </c>
      <c r="B19081" t="str">
        <f>"18675182680"</f>
        <v>18675182680</v>
      </c>
      <c r="C19081" t="str">
        <f>"452625199706031201"</f>
        <v>452625199706031201</v>
      </c>
      <c r="D19081" t="s">
        <v>1</v>
      </c>
      <c r="E19081" t="s">
        <v>1</v>
      </c>
      <c r="F19081" t="s">
        <v>0</v>
      </c>
      <c r="G19081" t="str">
        <f>"2018-10-10 19:49:04"</f>
        <v>2018-10-10 19:49:04</v>
      </c>
    </row>
    <row r="19082" spans="1:7" x14ac:dyDescent="0.2">
      <c r="A19082" t="s">
        <v>18004</v>
      </c>
      <c r="B19082" t="str">
        <f>"13898575940"</f>
        <v>13898575940</v>
      </c>
      <c r="C19082" t="str">
        <f>"211224198805276919"</f>
        <v>211224198805276919</v>
      </c>
      <c r="D19082" t="s">
        <v>18005</v>
      </c>
      <c r="E19082" t="s">
        <v>18006</v>
      </c>
      <c r="F19082" t="s">
        <v>0</v>
      </c>
      <c r="G19082" t="str">
        <f>"2018-11-01 11:03:20"</f>
        <v>2018-11-01 11:03:20</v>
      </c>
    </row>
    <row r="19083" spans="1:7" x14ac:dyDescent="0.2">
      <c r="A19083" t="s">
        <v>18007</v>
      </c>
      <c r="B19083" t="str">
        <f>"18116794294"</f>
        <v>18116794294</v>
      </c>
      <c r="C19083" t="str">
        <f>"513002198903158151"</f>
        <v>513002198903158151</v>
      </c>
      <c r="D19083" t="s">
        <v>18008</v>
      </c>
      <c r="E19083" t="s">
        <v>18009</v>
      </c>
      <c r="F19083" t="s">
        <v>0</v>
      </c>
      <c r="G19083" t="str">
        <f>"2018-10-10 19:44:52"</f>
        <v>2018-10-10 19:44:52</v>
      </c>
    </row>
    <row r="19084" spans="1:7" x14ac:dyDescent="0.2">
      <c r="A19084" t="s">
        <v>18010</v>
      </c>
      <c r="B19084" t="str">
        <f>"15851720429"</f>
        <v>15851720429</v>
      </c>
      <c r="C19084" t="str">
        <f>"320811199212210551"</f>
        <v>320811199212210551</v>
      </c>
      <c r="D19084" t="s">
        <v>1</v>
      </c>
      <c r="E19084" t="s">
        <v>1</v>
      </c>
      <c r="F19084" t="s">
        <v>0</v>
      </c>
      <c r="G19084" t="str">
        <f>"2018-10-11 01:35:51"</f>
        <v>2018-10-11 01:35:51</v>
      </c>
    </row>
    <row r="19085" spans="1:7" x14ac:dyDescent="0.2">
      <c r="A19085" t="s">
        <v>18011</v>
      </c>
      <c r="B19085" t="str">
        <f>"18613974271"</f>
        <v>18613974271</v>
      </c>
      <c r="C19085" t="str">
        <f>"430124198609031791"</f>
        <v>430124198609031791</v>
      </c>
      <c r="D19085" t="s">
        <v>1</v>
      </c>
      <c r="E19085" t="s">
        <v>1</v>
      </c>
      <c r="F19085" t="s">
        <v>0</v>
      </c>
      <c r="G19085" t="str">
        <f>"2018-10-10 19:45:05"</f>
        <v>2018-10-10 19:45:05</v>
      </c>
    </row>
    <row r="19086" spans="1:7" x14ac:dyDescent="0.2">
      <c r="A19086" t="s">
        <v>1</v>
      </c>
      <c r="B19086" t="str">
        <f>"18640282725"</f>
        <v>18640282725</v>
      </c>
      <c r="C19086" t="s">
        <v>1</v>
      </c>
      <c r="D19086" t="s">
        <v>1</v>
      </c>
      <c r="E19086" t="s">
        <v>1</v>
      </c>
      <c r="F19086" t="s">
        <v>0</v>
      </c>
      <c r="G19086" t="str">
        <f>"2018-10-10 19:43:02"</f>
        <v>2018-10-10 19:43:02</v>
      </c>
    </row>
    <row r="19087" spans="1:7" x14ac:dyDescent="0.2">
      <c r="A19087" t="s">
        <v>18012</v>
      </c>
      <c r="B19087" t="str">
        <f>"13551008382"</f>
        <v>13551008382</v>
      </c>
      <c r="C19087" t="str">
        <f>"510108198708113012"</f>
        <v>510108198708113012</v>
      </c>
      <c r="D19087" t="s">
        <v>1</v>
      </c>
      <c r="E19087" t="s">
        <v>1</v>
      </c>
      <c r="F19087" t="s">
        <v>0</v>
      </c>
      <c r="G19087" t="str">
        <f>"2018-10-10 19:52:41"</f>
        <v>2018-10-10 19:52:41</v>
      </c>
    </row>
    <row r="19088" spans="1:7" x14ac:dyDescent="0.2">
      <c r="A19088" t="s">
        <v>18013</v>
      </c>
      <c r="B19088" t="str">
        <f>"15007087776"</f>
        <v>15007087776</v>
      </c>
      <c r="C19088" t="str">
        <f>"360734198810302415"</f>
        <v>360734198810302415</v>
      </c>
      <c r="D19088" t="s">
        <v>1</v>
      </c>
      <c r="E19088" t="s">
        <v>1</v>
      </c>
      <c r="F19088" t="s">
        <v>0</v>
      </c>
      <c r="G19088" t="str">
        <f>"2018-10-10 19:46:18"</f>
        <v>2018-10-10 19:46:18</v>
      </c>
    </row>
    <row r="19089" spans="1:7" x14ac:dyDescent="0.2">
      <c r="A19089" t="s">
        <v>18014</v>
      </c>
      <c r="B19089" t="str">
        <f>"15658658827"</f>
        <v>15658658827</v>
      </c>
      <c r="C19089" t="str">
        <f>"52212419821123121X"</f>
        <v>52212419821123121X</v>
      </c>
      <c r="D19089" t="s">
        <v>1</v>
      </c>
      <c r="E19089" t="s">
        <v>1</v>
      </c>
      <c r="F19089" t="s">
        <v>0</v>
      </c>
      <c r="G19089" t="str">
        <f>"2018-10-10 19:42:58"</f>
        <v>2018-10-10 19:42:58</v>
      </c>
    </row>
    <row r="19090" spans="1:7" x14ac:dyDescent="0.2">
      <c r="A19090" t="s">
        <v>1</v>
      </c>
      <c r="B19090" t="str">
        <f>"18314214629"</f>
        <v>18314214629</v>
      </c>
      <c r="C19090" t="s">
        <v>1</v>
      </c>
      <c r="D19090" t="s">
        <v>1</v>
      </c>
      <c r="E19090" t="s">
        <v>1</v>
      </c>
      <c r="F19090" t="s">
        <v>0</v>
      </c>
      <c r="G19090" t="str">
        <f>"2018-10-10 19:41:20"</f>
        <v>2018-10-10 19:41:20</v>
      </c>
    </row>
    <row r="19091" spans="1:7" x14ac:dyDescent="0.2">
      <c r="A19091" t="s">
        <v>1</v>
      </c>
      <c r="B19091" t="str">
        <f>"18780637585"</f>
        <v>18780637585</v>
      </c>
      <c r="C19091" t="s">
        <v>1</v>
      </c>
      <c r="D19091" t="s">
        <v>1</v>
      </c>
      <c r="E19091" t="s">
        <v>1</v>
      </c>
      <c r="F19091" t="s">
        <v>0</v>
      </c>
      <c r="G19091" t="str">
        <f>"2018-10-10 19:42:04"</f>
        <v>2018-10-10 19:42:04</v>
      </c>
    </row>
    <row r="19092" spans="1:7" x14ac:dyDescent="0.2">
      <c r="A19092" t="s">
        <v>18015</v>
      </c>
      <c r="B19092" t="str">
        <f>"13876703099"</f>
        <v>13876703099</v>
      </c>
      <c r="C19092" t="str">
        <f>"441522198801200075"</f>
        <v>441522198801200075</v>
      </c>
      <c r="D19092" t="s">
        <v>1</v>
      </c>
      <c r="E19092" t="s">
        <v>1</v>
      </c>
      <c r="F19092" t="s">
        <v>0</v>
      </c>
      <c r="G19092" t="str">
        <f>"2018-10-10 19:53:45"</f>
        <v>2018-10-10 19:53:45</v>
      </c>
    </row>
    <row r="19093" spans="1:7" x14ac:dyDescent="0.2">
      <c r="A19093" t="s">
        <v>575</v>
      </c>
      <c r="B19093" t="str">
        <f>"13928705882"</f>
        <v>13928705882</v>
      </c>
      <c r="C19093" t="str">
        <f>"36042519950108521X"</f>
        <v>36042519950108521X</v>
      </c>
      <c r="D19093" t="s">
        <v>1</v>
      </c>
      <c r="E19093" t="s">
        <v>1</v>
      </c>
      <c r="F19093" t="s">
        <v>0</v>
      </c>
      <c r="G19093" t="str">
        <f>"2018-10-17 19:59:59"</f>
        <v>2018-10-17 19:59:59</v>
      </c>
    </row>
    <row r="19094" spans="1:7" x14ac:dyDescent="0.2">
      <c r="A19094" t="s">
        <v>18016</v>
      </c>
      <c r="B19094" t="str">
        <f>"13854568875"</f>
        <v>13854568875</v>
      </c>
      <c r="C19094" t="str">
        <f>"370683199001105022"</f>
        <v>370683199001105022</v>
      </c>
      <c r="D19094" t="s">
        <v>1</v>
      </c>
      <c r="E19094" t="s">
        <v>1</v>
      </c>
      <c r="F19094" t="s">
        <v>0</v>
      </c>
      <c r="G19094" t="str">
        <f>"2018-10-23 11:30:24"</f>
        <v>2018-10-23 11:30:24</v>
      </c>
    </row>
    <row r="19095" spans="1:7" x14ac:dyDescent="0.2">
      <c r="A19095" t="s">
        <v>18017</v>
      </c>
      <c r="B19095" t="str">
        <f>"15140905083"</f>
        <v>15140905083</v>
      </c>
      <c r="C19095" t="str">
        <f>"210904196205291026"</f>
        <v>210904196205291026</v>
      </c>
      <c r="D19095" t="s">
        <v>1</v>
      </c>
      <c r="E19095" t="s">
        <v>1</v>
      </c>
      <c r="F19095" t="s">
        <v>0</v>
      </c>
      <c r="G19095" t="str">
        <f>"2018-10-25 15:38:26"</f>
        <v>2018-10-25 15:38:26</v>
      </c>
    </row>
    <row r="19096" spans="1:7" x14ac:dyDescent="0.2">
      <c r="A19096" t="s">
        <v>18018</v>
      </c>
      <c r="B19096" t="str">
        <f>"17629743893"</f>
        <v>17629743893</v>
      </c>
      <c r="C19096" t="str">
        <f>"410311199311281018"</f>
        <v>410311199311281018</v>
      </c>
      <c r="D19096" t="s">
        <v>1</v>
      </c>
      <c r="E19096" t="s">
        <v>1</v>
      </c>
      <c r="F19096" t="s">
        <v>0</v>
      </c>
      <c r="G19096" t="str">
        <f>"2018-10-10 19:37:38"</f>
        <v>2018-10-10 19:37:38</v>
      </c>
    </row>
    <row r="19097" spans="1:7" x14ac:dyDescent="0.2">
      <c r="A19097" t="s">
        <v>208</v>
      </c>
      <c r="B19097" t="str">
        <f>"18018125125"</f>
        <v>18018125125</v>
      </c>
      <c r="C19097" t="str">
        <f>"320504197906042290"</f>
        <v>320504197906042290</v>
      </c>
      <c r="D19097" t="s">
        <v>1</v>
      </c>
      <c r="E19097" t="s">
        <v>1</v>
      </c>
      <c r="F19097" t="s">
        <v>0</v>
      </c>
      <c r="G19097" t="str">
        <f>"2018-10-11 01:25:50"</f>
        <v>2018-10-11 01:25:50</v>
      </c>
    </row>
    <row r="19098" spans="1:7" x14ac:dyDescent="0.2">
      <c r="A19098" t="s">
        <v>18019</v>
      </c>
      <c r="B19098" t="str">
        <f>"15946590201"</f>
        <v>15946590201</v>
      </c>
      <c r="C19098" t="str">
        <f>"230833198607080239"</f>
        <v>230833198607080239</v>
      </c>
      <c r="D19098" t="s">
        <v>1</v>
      </c>
      <c r="E19098" t="s">
        <v>1</v>
      </c>
      <c r="F19098" t="s">
        <v>0</v>
      </c>
      <c r="G19098" t="str">
        <f>"2018-10-10 19:42:26"</f>
        <v>2018-10-10 19:42:26</v>
      </c>
    </row>
    <row r="19099" spans="1:7" x14ac:dyDescent="0.2">
      <c r="A19099" t="s">
        <v>18020</v>
      </c>
      <c r="B19099" t="str">
        <f>"15675376500"</f>
        <v>15675376500</v>
      </c>
      <c r="C19099" t="str">
        <f>"430281197905062021"</f>
        <v>430281197905062021</v>
      </c>
      <c r="D19099" t="s">
        <v>18021</v>
      </c>
      <c r="E19099" t="s">
        <v>18022</v>
      </c>
      <c r="F19099" t="s">
        <v>0</v>
      </c>
      <c r="G19099" t="str">
        <f>"2018-10-10 22:10:51"</f>
        <v>2018-10-10 22:10:51</v>
      </c>
    </row>
    <row r="19100" spans="1:7" x14ac:dyDescent="0.2">
      <c r="A19100" t="s">
        <v>1</v>
      </c>
      <c r="B19100" t="str">
        <f>"17542783542"</f>
        <v>17542783542</v>
      </c>
      <c r="C19100" t="s">
        <v>1</v>
      </c>
      <c r="D19100" t="s">
        <v>1</v>
      </c>
      <c r="E19100" t="s">
        <v>1</v>
      </c>
      <c r="F19100" t="s">
        <v>0</v>
      </c>
      <c r="G19100" t="str">
        <f>"2018-10-10 19:36:04"</f>
        <v>2018-10-10 19:36:04</v>
      </c>
    </row>
    <row r="19101" spans="1:7" x14ac:dyDescent="0.2">
      <c r="A19101" t="s">
        <v>1607</v>
      </c>
      <c r="B19101" t="str">
        <f>"18752440116"</f>
        <v>18752440116</v>
      </c>
      <c r="C19101" t="str">
        <f>"321322199305110827"</f>
        <v>321322199305110827</v>
      </c>
      <c r="D19101" t="s">
        <v>1</v>
      </c>
      <c r="E19101" t="s">
        <v>1</v>
      </c>
      <c r="F19101" t="s">
        <v>0</v>
      </c>
      <c r="G19101" t="str">
        <f>"2018-10-11 17:54:55"</f>
        <v>2018-10-11 17:54:55</v>
      </c>
    </row>
    <row r="19102" spans="1:7" x14ac:dyDescent="0.2">
      <c r="A19102" t="s">
        <v>18023</v>
      </c>
      <c r="B19102" t="str">
        <f>"15683658013"</f>
        <v>15683658013</v>
      </c>
      <c r="C19102" t="str">
        <f>"51392219991212629X"</f>
        <v>51392219991212629X</v>
      </c>
      <c r="D19102" t="s">
        <v>1</v>
      </c>
      <c r="E19102" t="s">
        <v>1</v>
      </c>
      <c r="F19102" t="s">
        <v>0</v>
      </c>
      <c r="G19102" t="str">
        <f>"2018-10-10 19:36:49"</f>
        <v>2018-10-10 19:36:49</v>
      </c>
    </row>
    <row r="19103" spans="1:7" x14ac:dyDescent="0.2">
      <c r="A19103" t="s">
        <v>18024</v>
      </c>
      <c r="B19103" t="str">
        <f>"18922096967"</f>
        <v>18922096967</v>
      </c>
      <c r="C19103" t="str">
        <f>"440825199506120012"</f>
        <v>440825199506120012</v>
      </c>
      <c r="D19103" t="s">
        <v>1</v>
      </c>
      <c r="E19103" t="s">
        <v>1</v>
      </c>
      <c r="F19103" t="s">
        <v>0</v>
      </c>
      <c r="G19103" t="str">
        <f>"2018-10-30 14:45:16"</f>
        <v>2018-10-30 14:45:16</v>
      </c>
    </row>
    <row r="19104" spans="1:7" x14ac:dyDescent="0.2">
      <c r="A19104" t="s">
        <v>1</v>
      </c>
      <c r="B19104" t="str">
        <f>"13788909692"</f>
        <v>13788909692</v>
      </c>
      <c r="C19104" t="s">
        <v>1</v>
      </c>
      <c r="D19104" t="s">
        <v>1</v>
      </c>
      <c r="E19104" t="s">
        <v>1</v>
      </c>
      <c r="F19104" t="s">
        <v>0</v>
      </c>
      <c r="G19104" t="str">
        <f>"2018-10-10 19:36:21"</f>
        <v>2018-10-10 19:36:21</v>
      </c>
    </row>
    <row r="19105" spans="1:7" x14ac:dyDescent="0.2">
      <c r="A19105" t="s">
        <v>18025</v>
      </c>
      <c r="B19105" t="str">
        <f>"15255626828"</f>
        <v>15255626828</v>
      </c>
      <c r="C19105" t="str">
        <f>"340123199508188470"</f>
        <v>340123199508188470</v>
      </c>
      <c r="D19105" t="s">
        <v>1</v>
      </c>
      <c r="E19105" t="s">
        <v>1</v>
      </c>
      <c r="F19105" t="s">
        <v>0</v>
      </c>
      <c r="G19105" t="str">
        <f>"2018-10-10 19:54:51"</f>
        <v>2018-10-10 19:54:51</v>
      </c>
    </row>
    <row r="19106" spans="1:7" x14ac:dyDescent="0.2">
      <c r="A19106" t="s">
        <v>1</v>
      </c>
      <c r="B19106" t="str">
        <f>"13277744773"</f>
        <v>13277744773</v>
      </c>
      <c r="C19106" t="s">
        <v>1</v>
      </c>
      <c r="D19106" t="s">
        <v>1</v>
      </c>
      <c r="E19106" t="s">
        <v>1</v>
      </c>
      <c r="F19106" t="s">
        <v>0</v>
      </c>
      <c r="G19106" t="str">
        <f>"2018-10-10 19:32:19"</f>
        <v>2018-10-10 19:32:19</v>
      </c>
    </row>
    <row r="19107" spans="1:7" x14ac:dyDescent="0.2">
      <c r="A19107" t="s">
        <v>18026</v>
      </c>
      <c r="B19107" t="str">
        <f>"15057895103"</f>
        <v>15057895103</v>
      </c>
      <c r="C19107" t="str">
        <f>"332526199407095137"</f>
        <v>332526199407095137</v>
      </c>
      <c r="D19107" t="s">
        <v>1</v>
      </c>
      <c r="E19107" t="s">
        <v>1</v>
      </c>
      <c r="F19107" t="s">
        <v>0</v>
      </c>
      <c r="G19107" t="str">
        <f>"2018-10-10 19:33:31"</f>
        <v>2018-10-10 19:33:31</v>
      </c>
    </row>
    <row r="19108" spans="1:7" x14ac:dyDescent="0.2">
      <c r="A19108" t="s">
        <v>18027</v>
      </c>
      <c r="B19108" t="str">
        <f>"15703426925"</f>
        <v>15703426925</v>
      </c>
      <c r="C19108" t="str">
        <f>"140212199207251818"</f>
        <v>140212199207251818</v>
      </c>
      <c r="D19108" t="s">
        <v>1</v>
      </c>
      <c r="E19108" t="s">
        <v>1</v>
      </c>
      <c r="F19108" t="s">
        <v>0</v>
      </c>
      <c r="G19108" t="str">
        <f>"2018-10-10 19:34:07"</f>
        <v>2018-10-10 19:34:07</v>
      </c>
    </row>
    <row r="19109" spans="1:7" x14ac:dyDescent="0.2">
      <c r="A19109" t="s">
        <v>18028</v>
      </c>
      <c r="B19109" t="str">
        <f>"18616989489"</f>
        <v>18616989489</v>
      </c>
      <c r="C19109" t="str">
        <f>"310226199501104528"</f>
        <v>310226199501104528</v>
      </c>
      <c r="D19109" t="s">
        <v>1</v>
      </c>
      <c r="E19109" t="s">
        <v>1</v>
      </c>
      <c r="F19109" t="s">
        <v>0</v>
      </c>
      <c r="G19109" t="str">
        <f>"2018-10-10 19:33:32"</f>
        <v>2018-10-10 19:33:32</v>
      </c>
    </row>
    <row r="19110" spans="1:7" x14ac:dyDescent="0.2">
      <c r="A19110" t="s">
        <v>1</v>
      </c>
      <c r="B19110" t="str">
        <f>"13049309096"</f>
        <v>13049309096</v>
      </c>
      <c r="C19110" t="s">
        <v>1</v>
      </c>
      <c r="D19110" t="s">
        <v>1</v>
      </c>
      <c r="E19110" t="s">
        <v>1</v>
      </c>
      <c r="F19110" t="s">
        <v>0</v>
      </c>
      <c r="G19110" t="str">
        <f>"2018-10-10 19:34:22"</f>
        <v>2018-10-10 19:34:22</v>
      </c>
    </row>
    <row r="19111" spans="1:7" x14ac:dyDescent="0.2">
      <c r="A19111" t="s">
        <v>18029</v>
      </c>
      <c r="B19111" t="str">
        <f>"18927657635"</f>
        <v>18927657635</v>
      </c>
      <c r="C19111" t="str">
        <f>"440823199007290014"</f>
        <v>440823199007290014</v>
      </c>
      <c r="D19111" t="s">
        <v>1</v>
      </c>
      <c r="E19111" t="s">
        <v>1</v>
      </c>
      <c r="F19111" t="s">
        <v>0</v>
      </c>
      <c r="G19111" t="str">
        <f>"2018-10-11 10:34:04"</f>
        <v>2018-10-11 10:34:04</v>
      </c>
    </row>
    <row r="19112" spans="1:7" x14ac:dyDescent="0.2">
      <c r="A19112" t="s">
        <v>18030</v>
      </c>
      <c r="B19112" t="str">
        <f>"18557510424"</f>
        <v>18557510424</v>
      </c>
      <c r="C19112" t="str">
        <f>"362330199505100525"</f>
        <v>362330199505100525</v>
      </c>
      <c r="D19112" t="s">
        <v>1</v>
      </c>
      <c r="E19112" t="s">
        <v>1</v>
      </c>
      <c r="F19112" t="s">
        <v>0</v>
      </c>
      <c r="G19112" t="str">
        <f>"2018-10-10 19:38:05"</f>
        <v>2018-10-10 19:38:05</v>
      </c>
    </row>
    <row r="19113" spans="1:7" x14ac:dyDescent="0.2">
      <c r="A19113" t="s">
        <v>18031</v>
      </c>
      <c r="B19113" t="str">
        <f>"15157565908"</f>
        <v>15157565908</v>
      </c>
      <c r="C19113" t="str">
        <f>"330682199910143014"</f>
        <v>330682199910143014</v>
      </c>
      <c r="D19113" t="s">
        <v>18032</v>
      </c>
      <c r="E19113" t="s">
        <v>18033</v>
      </c>
      <c r="F19113" t="s">
        <v>0</v>
      </c>
      <c r="G19113" t="str">
        <f>"2018-10-10 19:32:35"</f>
        <v>2018-10-10 19:32:35</v>
      </c>
    </row>
    <row r="19114" spans="1:7" x14ac:dyDescent="0.2">
      <c r="A19114" t="s">
        <v>12025</v>
      </c>
      <c r="B19114" t="str">
        <f>"18947281682"</f>
        <v>18947281682</v>
      </c>
      <c r="C19114" t="str">
        <f>"150203198912170168"</f>
        <v>150203198912170168</v>
      </c>
      <c r="D19114" t="s">
        <v>1</v>
      </c>
      <c r="E19114" t="s">
        <v>1</v>
      </c>
      <c r="F19114" t="s">
        <v>0</v>
      </c>
      <c r="G19114" t="str">
        <f>"2018-10-10 19:31:06"</f>
        <v>2018-10-10 19:31:06</v>
      </c>
    </row>
    <row r="19115" spans="1:7" x14ac:dyDescent="0.2">
      <c r="A19115" t="s">
        <v>1</v>
      </c>
      <c r="B19115" t="str">
        <f>"15849589299"</f>
        <v>15849589299</v>
      </c>
      <c r="C19115" t="s">
        <v>1</v>
      </c>
      <c r="D19115" t="s">
        <v>1</v>
      </c>
      <c r="E19115" t="s">
        <v>1</v>
      </c>
      <c r="F19115" t="s">
        <v>0</v>
      </c>
      <c r="G19115" t="str">
        <f>"2018-10-10 19:29:52"</f>
        <v>2018-10-10 19:29:52</v>
      </c>
    </row>
    <row r="19116" spans="1:7" x14ac:dyDescent="0.2">
      <c r="A19116" t="s">
        <v>18034</v>
      </c>
      <c r="B19116" t="str">
        <f>"17787273914"</f>
        <v>17787273914</v>
      </c>
      <c r="C19116" t="str">
        <f>"532923200006231113"</f>
        <v>532923200006231113</v>
      </c>
      <c r="D19116" t="s">
        <v>1</v>
      </c>
      <c r="E19116" t="s">
        <v>1</v>
      </c>
      <c r="F19116" t="s">
        <v>0</v>
      </c>
      <c r="G19116" t="str">
        <f>"2018-10-18 15:18:14"</f>
        <v>2018-10-18 15:18:14</v>
      </c>
    </row>
    <row r="19117" spans="1:7" x14ac:dyDescent="0.2">
      <c r="A19117" t="s">
        <v>18035</v>
      </c>
      <c r="B19117" t="str">
        <f>"13144058002"</f>
        <v>13144058002</v>
      </c>
      <c r="C19117" t="str">
        <f>"445121199601174212"</f>
        <v>445121199601174212</v>
      </c>
      <c r="D19117" t="s">
        <v>18036</v>
      </c>
      <c r="E19117" t="s">
        <v>18037</v>
      </c>
      <c r="F19117" t="s">
        <v>0</v>
      </c>
      <c r="G19117" t="str">
        <f>"2018-10-10 19:29:32"</f>
        <v>2018-10-10 19:29:32</v>
      </c>
    </row>
    <row r="19118" spans="1:7" x14ac:dyDescent="0.2">
      <c r="A19118" t="s">
        <v>18038</v>
      </c>
      <c r="B19118" t="str">
        <f>"13956140191"</f>
        <v>13956140191</v>
      </c>
      <c r="C19118" t="str">
        <f>"342401199010169678"</f>
        <v>342401199010169678</v>
      </c>
      <c r="D19118" t="s">
        <v>1</v>
      </c>
      <c r="E19118" t="s">
        <v>1</v>
      </c>
      <c r="F19118" t="s">
        <v>0</v>
      </c>
      <c r="G19118" t="str">
        <f>"2018-10-11 11:44:35"</f>
        <v>2018-10-11 11:44:35</v>
      </c>
    </row>
    <row r="19119" spans="1:7" x14ac:dyDescent="0.2">
      <c r="A19119" t="s">
        <v>18039</v>
      </c>
      <c r="B19119" t="str">
        <f>"18627241942"</f>
        <v>18627241942</v>
      </c>
      <c r="C19119" t="str">
        <f>"43112119941126553X"</f>
        <v>43112119941126553X</v>
      </c>
      <c r="D19119" t="s">
        <v>1</v>
      </c>
      <c r="E19119" t="s">
        <v>1</v>
      </c>
      <c r="F19119" t="s">
        <v>0</v>
      </c>
      <c r="G19119" t="str">
        <f>"2018-10-10 19:30:37"</f>
        <v>2018-10-10 19:30:37</v>
      </c>
    </row>
    <row r="19120" spans="1:7" x14ac:dyDescent="0.2">
      <c r="A19120" t="s">
        <v>18040</v>
      </c>
      <c r="B19120" t="str">
        <f>"13738400400"</f>
        <v>13738400400</v>
      </c>
      <c r="C19120" t="str">
        <f>"330219198109274376"</f>
        <v>330219198109274376</v>
      </c>
      <c r="D19120" t="s">
        <v>1</v>
      </c>
      <c r="E19120" t="s">
        <v>1</v>
      </c>
      <c r="F19120" t="s">
        <v>0</v>
      </c>
      <c r="G19120" t="str">
        <f>"2018-10-10 19:42:52"</f>
        <v>2018-10-10 19:42:52</v>
      </c>
    </row>
    <row r="19121" spans="1:7" x14ac:dyDescent="0.2">
      <c r="A19121" t="s">
        <v>18041</v>
      </c>
      <c r="B19121" t="str">
        <f>"13773082649"</f>
        <v>13773082649</v>
      </c>
      <c r="C19121" t="str">
        <f>"320826198411202431"</f>
        <v>320826198411202431</v>
      </c>
      <c r="D19121" t="s">
        <v>1</v>
      </c>
      <c r="E19121" t="s">
        <v>1</v>
      </c>
      <c r="F19121" t="s">
        <v>0</v>
      </c>
      <c r="G19121" t="str">
        <f>"2018-10-10 19:28:34"</f>
        <v>2018-10-10 19:28:34</v>
      </c>
    </row>
    <row r="19122" spans="1:7" x14ac:dyDescent="0.2">
      <c r="A19122" t="s">
        <v>18042</v>
      </c>
      <c r="B19122" t="str">
        <f>"13049369826"</f>
        <v>13049369826</v>
      </c>
      <c r="C19122" t="str">
        <f>"450121198207256933"</f>
        <v>450121198207256933</v>
      </c>
      <c r="D19122" t="s">
        <v>1</v>
      </c>
      <c r="E19122" t="s">
        <v>1</v>
      </c>
      <c r="F19122" t="s">
        <v>0</v>
      </c>
      <c r="G19122" t="str">
        <f>"2018-10-10 19:30:15"</f>
        <v>2018-10-10 19:30:15</v>
      </c>
    </row>
    <row r="19123" spans="1:7" x14ac:dyDescent="0.2">
      <c r="A19123" t="s">
        <v>18043</v>
      </c>
      <c r="B19123" t="str">
        <f>"15010006588"</f>
        <v>15010006588</v>
      </c>
      <c r="C19123" t="str">
        <f>"110111198101030038"</f>
        <v>110111198101030038</v>
      </c>
      <c r="D19123" t="s">
        <v>1</v>
      </c>
      <c r="E19123" t="s">
        <v>1</v>
      </c>
      <c r="F19123" t="s">
        <v>0</v>
      </c>
      <c r="G19123" t="str">
        <f>"2018-10-12 08:23:54"</f>
        <v>2018-10-12 08:23:54</v>
      </c>
    </row>
    <row r="19124" spans="1:7" x14ac:dyDescent="0.2">
      <c r="A19124" t="s">
        <v>18044</v>
      </c>
      <c r="B19124" t="str">
        <f>"18213935640"</f>
        <v>18213935640</v>
      </c>
      <c r="C19124" t="str">
        <f>"53292319950806003X"</f>
        <v>53292319950806003X</v>
      </c>
      <c r="D19124" t="s">
        <v>1</v>
      </c>
      <c r="E19124" t="s">
        <v>1</v>
      </c>
      <c r="F19124" t="s">
        <v>0</v>
      </c>
      <c r="G19124" t="str">
        <f>"2018-10-10 19:29:32"</f>
        <v>2018-10-10 19:29:32</v>
      </c>
    </row>
    <row r="19125" spans="1:7" x14ac:dyDescent="0.2">
      <c r="A19125" t="s">
        <v>18045</v>
      </c>
      <c r="B19125" t="str">
        <f>"18747847479"</f>
        <v>18747847479</v>
      </c>
      <c r="C19125" t="str">
        <f>"152301199310112031"</f>
        <v>152301199310112031</v>
      </c>
      <c r="D19125" t="s">
        <v>18046</v>
      </c>
      <c r="E19125" t="s">
        <v>18047</v>
      </c>
      <c r="F19125" t="s">
        <v>0</v>
      </c>
      <c r="G19125" t="str">
        <f>"2018-10-14 16:58:48"</f>
        <v>2018-10-14 16:58:48</v>
      </c>
    </row>
    <row r="19126" spans="1:7" x14ac:dyDescent="0.2">
      <c r="A19126" t="s">
        <v>18048</v>
      </c>
      <c r="B19126" t="str">
        <f>"18805025221"</f>
        <v>18805025221</v>
      </c>
      <c r="C19126" t="str">
        <f>"350121199408280404"</f>
        <v>350121199408280404</v>
      </c>
      <c r="D19126" t="s">
        <v>1</v>
      </c>
      <c r="E19126" t="s">
        <v>1</v>
      </c>
      <c r="F19126" t="s">
        <v>0</v>
      </c>
      <c r="G19126" t="str">
        <f>"2018-10-10 19:25:57"</f>
        <v>2018-10-10 19:25:57</v>
      </c>
    </row>
    <row r="19127" spans="1:7" x14ac:dyDescent="0.2">
      <c r="A19127" t="s">
        <v>18049</v>
      </c>
      <c r="B19127" t="str">
        <f>"15037482991"</f>
        <v>15037482991</v>
      </c>
      <c r="C19127" t="str">
        <f>"411023198002165545"</f>
        <v>411023198002165545</v>
      </c>
      <c r="D19127" t="s">
        <v>1</v>
      </c>
      <c r="E19127" t="s">
        <v>1</v>
      </c>
      <c r="F19127" t="s">
        <v>0</v>
      </c>
      <c r="G19127" t="str">
        <f>"2018-10-10 19:26:02"</f>
        <v>2018-10-10 19:26:02</v>
      </c>
    </row>
    <row r="19128" spans="1:7" x14ac:dyDescent="0.2">
      <c r="A19128" t="s">
        <v>1</v>
      </c>
      <c r="B19128" t="str">
        <f>"17719956092"</f>
        <v>17719956092</v>
      </c>
      <c r="C19128" t="s">
        <v>1</v>
      </c>
      <c r="D19128" t="s">
        <v>1</v>
      </c>
      <c r="E19128" t="s">
        <v>1</v>
      </c>
      <c r="F19128" t="s">
        <v>0</v>
      </c>
      <c r="G19128" t="str">
        <f>"2018-10-10 19:33:39"</f>
        <v>2018-10-10 19:33:39</v>
      </c>
    </row>
    <row r="19129" spans="1:7" x14ac:dyDescent="0.2">
      <c r="A19129" t="s">
        <v>18050</v>
      </c>
      <c r="B19129" t="str">
        <f>"13684813365"</f>
        <v>13684813365</v>
      </c>
      <c r="C19129" t="str">
        <f>"362401198610090014"</f>
        <v>362401198610090014</v>
      </c>
      <c r="D19129" t="s">
        <v>18051</v>
      </c>
      <c r="E19129" t="s">
        <v>18052</v>
      </c>
      <c r="F19129" t="s">
        <v>0</v>
      </c>
      <c r="G19129" t="str">
        <f>"2018-11-04 08:41:59"</f>
        <v>2018-11-04 08:41:59</v>
      </c>
    </row>
    <row r="19130" spans="1:7" x14ac:dyDescent="0.2">
      <c r="A19130" t="s">
        <v>18053</v>
      </c>
      <c r="B19130" t="str">
        <f>"15212001470"</f>
        <v>15212001470</v>
      </c>
      <c r="C19130" t="str">
        <f>"34112519931118199X"</f>
        <v>34112519931118199X</v>
      </c>
      <c r="D19130" t="s">
        <v>1</v>
      </c>
      <c r="E19130" t="s">
        <v>1</v>
      </c>
      <c r="F19130" t="s">
        <v>0</v>
      </c>
      <c r="G19130" t="str">
        <f>"2018-10-10 19:25:11"</f>
        <v>2018-10-10 19:25:11</v>
      </c>
    </row>
    <row r="19131" spans="1:7" x14ac:dyDescent="0.2">
      <c r="A19131" t="s">
        <v>18054</v>
      </c>
      <c r="B19131" t="str">
        <f>"13400406516"</f>
        <v>13400406516</v>
      </c>
      <c r="C19131" t="str">
        <f>"130433199906023145"</f>
        <v>130433199906023145</v>
      </c>
      <c r="D19131" t="s">
        <v>1</v>
      </c>
      <c r="E19131" t="s">
        <v>1</v>
      </c>
      <c r="F19131" t="s">
        <v>0</v>
      </c>
      <c r="G19131" t="str">
        <f>"2018-10-10 19:24:42"</f>
        <v>2018-10-10 19:24:42</v>
      </c>
    </row>
    <row r="19132" spans="1:7" x14ac:dyDescent="0.2">
      <c r="A19132" t="s">
        <v>18055</v>
      </c>
      <c r="B19132" t="str">
        <f>"18238579530"</f>
        <v>18238579530</v>
      </c>
      <c r="C19132" t="str">
        <f>"411023199004207053"</f>
        <v>411023199004207053</v>
      </c>
      <c r="D19132" t="s">
        <v>18056</v>
      </c>
      <c r="E19132" t="s">
        <v>18057</v>
      </c>
      <c r="F19132" t="s">
        <v>0</v>
      </c>
      <c r="G19132" t="str">
        <f>"2018-10-10 20:16:31"</f>
        <v>2018-10-10 20:16:31</v>
      </c>
    </row>
    <row r="19133" spans="1:7" x14ac:dyDescent="0.2">
      <c r="A19133" t="s">
        <v>1390</v>
      </c>
      <c r="B19133" t="str">
        <f>"13634983992"</f>
        <v>13634983992</v>
      </c>
      <c r="C19133" t="str">
        <f>"210702198606130421"</f>
        <v>210702198606130421</v>
      </c>
      <c r="D19133" t="s">
        <v>1</v>
      </c>
      <c r="E19133" t="s">
        <v>1</v>
      </c>
      <c r="F19133" t="s">
        <v>0</v>
      </c>
      <c r="G19133" t="str">
        <f>"2018-10-10 19:35:09"</f>
        <v>2018-10-10 19:35:09</v>
      </c>
    </row>
    <row r="19134" spans="1:7" x14ac:dyDescent="0.2">
      <c r="A19134" t="s">
        <v>18058</v>
      </c>
      <c r="B19134" t="str">
        <f>"13682391424"</f>
        <v>13682391424</v>
      </c>
      <c r="C19134" t="str">
        <f>"441502199109153072"</f>
        <v>441502199109153072</v>
      </c>
      <c r="D19134" t="s">
        <v>1</v>
      </c>
      <c r="E19134" t="s">
        <v>1</v>
      </c>
      <c r="F19134" t="s">
        <v>0</v>
      </c>
      <c r="G19134" t="str">
        <f>"2018-10-10 19:26:49"</f>
        <v>2018-10-10 19:26:49</v>
      </c>
    </row>
    <row r="19135" spans="1:7" x14ac:dyDescent="0.2">
      <c r="A19135" t="s">
        <v>18059</v>
      </c>
      <c r="B19135" t="str">
        <f>"18645552634"</f>
        <v>18645552634</v>
      </c>
      <c r="C19135" t="str">
        <f>"23233119950118081X"</f>
        <v>23233119950118081X</v>
      </c>
      <c r="D19135" t="s">
        <v>1</v>
      </c>
      <c r="E19135" t="s">
        <v>1</v>
      </c>
      <c r="F19135" t="s">
        <v>0</v>
      </c>
      <c r="G19135" t="str">
        <f>"2018-10-10 19:22:55"</f>
        <v>2018-10-10 19:22:55</v>
      </c>
    </row>
    <row r="19136" spans="1:7" x14ac:dyDescent="0.2">
      <c r="A19136" t="s">
        <v>1</v>
      </c>
      <c r="B19136" t="str">
        <f>"13516763386"</f>
        <v>13516763386</v>
      </c>
      <c r="C19136" t="s">
        <v>1</v>
      </c>
      <c r="D19136" t="s">
        <v>1</v>
      </c>
      <c r="E19136" t="s">
        <v>1</v>
      </c>
      <c r="F19136" t="s">
        <v>0</v>
      </c>
      <c r="G19136" t="str">
        <f>"2018-10-10 19:21:13"</f>
        <v>2018-10-10 19:21:13</v>
      </c>
    </row>
    <row r="19137" spans="1:7" x14ac:dyDescent="0.2">
      <c r="A19137" t="s">
        <v>18060</v>
      </c>
      <c r="B19137" t="str">
        <f>"15145688735"</f>
        <v>15145688735</v>
      </c>
      <c r="C19137" t="str">
        <f>"231121198106171236"</f>
        <v>231121198106171236</v>
      </c>
      <c r="D19137" t="s">
        <v>1</v>
      </c>
      <c r="E19137" t="s">
        <v>1</v>
      </c>
      <c r="F19137" t="s">
        <v>0</v>
      </c>
      <c r="G19137" t="str">
        <f>"2018-10-10 19:24:28"</f>
        <v>2018-10-10 19:24:28</v>
      </c>
    </row>
    <row r="19138" spans="1:7" x14ac:dyDescent="0.2">
      <c r="A19138" t="s">
        <v>1390</v>
      </c>
      <c r="B19138" t="str">
        <f>"15571722988"</f>
        <v>15571722988</v>
      </c>
      <c r="C19138" t="str">
        <f>"422802198206130015"</f>
        <v>422802198206130015</v>
      </c>
      <c r="D19138" t="s">
        <v>1</v>
      </c>
      <c r="E19138" t="s">
        <v>1</v>
      </c>
      <c r="F19138" t="s">
        <v>0</v>
      </c>
      <c r="G19138" t="str">
        <f>"2018-10-10 19:21:41"</f>
        <v>2018-10-10 19:21:41</v>
      </c>
    </row>
    <row r="19139" spans="1:7" x14ac:dyDescent="0.2">
      <c r="A19139" t="s">
        <v>1</v>
      </c>
      <c r="B19139" t="str">
        <f>"18006192228"</f>
        <v>18006192228</v>
      </c>
      <c r="C19139" t="s">
        <v>1</v>
      </c>
      <c r="D19139" t="s">
        <v>1</v>
      </c>
      <c r="E19139" t="s">
        <v>1</v>
      </c>
      <c r="F19139" t="s">
        <v>0</v>
      </c>
      <c r="G19139" t="str">
        <f>"2018-10-10 19:22:49"</f>
        <v>2018-10-10 19:22:49</v>
      </c>
    </row>
    <row r="19140" spans="1:7" x14ac:dyDescent="0.2">
      <c r="A19140" t="s">
        <v>18061</v>
      </c>
      <c r="B19140" t="str">
        <f>"15198796447"</f>
        <v>15198796447</v>
      </c>
      <c r="C19140" t="str">
        <f>"532925198909100731"</f>
        <v>532925198909100731</v>
      </c>
      <c r="D19140" t="s">
        <v>1</v>
      </c>
      <c r="E19140" t="s">
        <v>1</v>
      </c>
      <c r="F19140" t="s">
        <v>0</v>
      </c>
      <c r="G19140" t="str">
        <f>"2018-10-10 19:23:40"</f>
        <v>2018-10-10 19:23:40</v>
      </c>
    </row>
    <row r="19141" spans="1:7" x14ac:dyDescent="0.2">
      <c r="A19141" t="s">
        <v>1</v>
      </c>
      <c r="B19141" t="str">
        <f>"15182397636"</f>
        <v>15182397636</v>
      </c>
      <c r="C19141" t="s">
        <v>1</v>
      </c>
      <c r="D19141" t="s">
        <v>1</v>
      </c>
      <c r="E19141" t="s">
        <v>1</v>
      </c>
      <c r="F19141" t="s">
        <v>0</v>
      </c>
      <c r="G19141" t="str">
        <f>"2018-10-10 19:20:02"</f>
        <v>2018-10-10 19:20:02</v>
      </c>
    </row>
    <row r="19142" spans="1:7" x14ac:dyDescent="0.2">
      <c r="A19142" t="s">
        <v>1</v>
      </c>
      <c r="B19142" t="str">
        <f>"18829898537"</f>
        <v>18829898537</v>
      </c>
      <c r="C19142" t="s">
        <v>1</v>
      </c>
      <c r="D19142" t="s">
        <v>1</v>
      </c>
      <c r="E19142" t="s">
        <v>1</v>
      </c>
      <c r="F19142" t="s">
        <v>0</v>
      </c>
      <c r="G19142" t="str">
        <f>"2018-10-10 19:19:57"</f>
        <v>2018-10-10 19:19:57</v>
      </c>
    </row>
    <row r="19143" spans="1:7" x14ac:dyDescent="0.2">
      <c r="A19143" t="s">
        <v>18062</v>
      </c>
      <c r="B19143" t="str">
        <f>"18576743154"</f>
        <v>18576743154</v>
      </c>
      <c r="C19143" t="str">
        <f>"450603199611146014"</f>
        <v>450603199611146014</v>
      </c>
      <c r="D19143" t="s">
        <v>1</v>
      </c>
      <c r="E19143" t="s">
        <v>1</v>
      </c>
      <c r="F19143" t="s">
        <v>0</v>
      </c>
      <c r="G19143" t="str">
        <f>"2018-10-10 19:35:07"</f>
        <v>2018-10-10 19:35:07</v>
      </c>
    </row>
    <row r="19144" spans="1:7" x14ac:dyDescent="0.2">
      <c r="A19144" t="s">
        <v>18063</v>
      </c>
      <c r="B19144" t="str">
        <f>"18236288998"</f>
        <v>18236288998</v>
      </c>
      <c r="C19144" t="str">
        <f>"411522198605280041"</f>
        <v>411522198605280041</v>
      </c>
      <c r="D19144" t="s">
        <v>1</v>
      </c>
      <c r="E19144" t="s">
        <v>1</v>
      </c>
      <c r="F19144" t="s">
        <v>0</v>
      </c>
      <c r="G19144" t="str">
        <f>"2018-10-10 19:19:56"</f>
        <v>2018-10-10 19:19:56</v>
      </c>
    </row>
    <row r="19145" spans="1:7" x14ac:dyDescent="0.2">
      <c r="A19145" t="s">
        <v>18064</v>
      </c>
      <c r="B19145" t="str">
        <f>"18390895808"</f>
        <v>18390895808</v>
      </c>
      <c r="C19145" t="str">
        <f>"432524198909121717"</f>
        <v>432524198909121717</v>
      </c>
      <c r="D19145" t="s">
        <v>1</v>
      </c>
      <c r="E19145" t="s">
        <v>1</v>
      </c>
      <c r="F19145" t="s">
        <v>0</v>
      </c>
      <c r="G19145" t="str">
        <f>"2018-10-10 19:21:38"</f>
        <v>2018-10-10 19:21:38</v>
      </c>
    </row>
    <row r="19146" spans="1:7" x14ac:dyDescent="0.2">
      <c r="A19146" t="s">
        <v>18065</v>
      </c>
      <c r="B19146" t="str">
        <f>"15041733199"</f>
        <v>15041733199</v>
      </c>
      <c r="C19146" t="str">
        <f>"21080419900309353X"</f>
        <v>21080419900309353X</v>
      </c>
      <c r="D19146" t="s">
        <v>1</v>
      </c>
      <c r="E19146" t="s">
        <v>1</v>
      </c>
      <c r="F19146" t="s">
        <v>0</v>
      </c>
      <c r="G19146" t="str">
        <f>"2018-10-10 19:21:22"</f>
        <v>2018-10-10 19:21:22</v>
      </c>
    </row>
    <row r="19147" spans="1:7" x14ac:dyDescent="0.2">
      <c r="A19147" t="s">
        <v>18066</v>
      </c>
      <c r="B19147" t="str">
        <f>"17679001658"</f>
        <v>17679001658</v>
      </c>
      <c r="C19147" t="str">
        <f>"36012419900626391X"</f>
        <v>36012419900626391X</v>
      </c>
      <c r="D19147" t="s">
        <v>1</v>
      </c>
      <c r="E19147" t="s">
        <v>1</v>
      </c>
      <c r="F19147" t="s">
        <v>0</v>
      </c>
      <c r="G19147" t="str">
        <f>"2018-10-10 19:18:55"</f>
        <v>2018-10-10 19:18:55</v>
      </c>
    </row>
    <row r="19148" spans="1:7" x14ac:dyDescent="0.2">
      <c r="A19148" t="s">
        <v>18067</v>
      </c>
      <c r="B19148" t="str">
        <f>"13075582050"</f>
        <v>13075582050</v>
      </c>
      <c r="C19148" t="str">
        <f>"340822199108072032"</f>
        <v>340822199108072032</v>
      </c>
      <c r="D19148" t="s">
        <v>18068</v>
      </c>
      <c r="E19148" t="s">
        <v>18069</v>
      </c>
      <c r="F19148" t="s">
        <v>0</v>
      </c>
      <c r="G19148" t="str">
        <f>"2018-10-10 19:23:13"</f>
        <v>2018-10-10 19:23:13</v>
      </c>
    </row>
    <row r="19149" spans="1:7" x14ac:dyDescent="0.2">
      <c r="A19149" t="s">
        <v>18070</v>
      </c>
      <c r="B19149" t="str">
        <f>"15581452085"</f>
        <v>15581452085</v>
      </c>
      <c r="C19149" t="str">
        <f>"431127199603020017"</f>
        <v>431127199603020017</v>
      </c>
      <c r="D19149" t="s">
        <v>1</v>
      </c>
      <c r="E19149" t="s">
        <v>1</v>
      </c>
      <c r="F19149" t="s">
        <v>0</v>
      </c>
      <c r="G19149" t="str">
        <f>"2018-10-10 19:19:31"</f>
        <v>2018-10-10 19:19:31</v>
      </c>
    </row>
    <row r="19150" spans="1:7" x14ac:dyDescent="0.2">
      <c r="A19150" t="s">
        <v>18071</v>
      </c>
      <c r="B19150" t="str">
        <f>"15290902692"</f>
        <v>15290902692</v>
      </c>
      <c r="C19150" t="str">
        <f>"411081199410286870"</f>
        <v>411081199410286870</v>
      </c>
      <c r="D19150" t="s">
        <v>18072</v>
      </c>
      <c r="E19150" t="s">
        <v>18073</v>
      </c>
      <c r="F19150" t="s">
        <v>0</v>
      </c>
      <c r="G19150" t="str">
        <f>"2018-10-11 14:46:37"</f>
        <v>2018-10-11 14:46:37</v>
      </c>
    </row>
    <row r="19151" spans="1:7" x14ac:dyDescent="0.2">
      <c r="A19151" t="s">
        <v>10044</v>
      </c>
      <c r="B19151" t="str">
        <f>"15803424093"</f>
        <v>15803424093</v>
      </c>
      <c r="C19151" t="str">
        <f>"150923199302285716"</f>
        <v>150923199302285716</v>
      </c>
      <c r="D19151" t="s">
        <v>1</v>
      </c>
      <c r="E19151" t="s">
        <v>1</v>
      </c>
      <c r="F19151" t="s">
        <v>0</v>
      </c>
      <c r="G19151" t="str">
        <f>"2018-10-10 19:15:44"</f>
        <v>2018-10-10 19:15:44</v>
      </c>
    </row>
    <row r="19152" spans="1:7" x14ac:dyDescent="0.2">
      <c r="A19152" t="s">
        <v>18074</v>
      </c>
      <c r="B19152" t="str">
        <f>"13079296277"</f>
        <v>13079296277</v>
      </c>
      <c r="C19152" t="str">
        <f>"210114199511303016"</f>
        <v>210114199511303016</v>
      </c>
      <c r="D19152" t="s">
        <v>1</v>
      </c>
      <c r="E19152" t="s">
        <v>1</v>
      </c>
      <c r="F19152" t="s">
        <v>0</v>
      </c>
      <c r="G19152" t="str">
        <f>"2018-10-25 17:52:11"</f>
        <v>2018-10-25 17:52:11</v>
      </c>
    </row>
    <row r="19153" spans="1:7" x14ac:dyDescent="0.2">
      <c r="A19153" t="s">
        <v>1</v>
      </c>
      <c r="B19153" t="str">
        <f>"13728649024"</f>
        <v>13728649024</v>
      </c>
      <c r="C19153" t="s">
        <v>1</v>
      </c>
      <c r="D19153" t="s">
        <v>1</v>
      </c>
      <c r="E19153" t="s">
        <v>1</v>
      </c>
      <c r="F19153" t="s">
        <v>0</v>
      </c>
      <c r="G19153" t="str">
        <f>"2018-10-10 19:12:07"</f>
        <v>2018-10-10 19:12:07</v>
      </c>
    </row>
    <row r="19154" spans="1:7" x14ac:dyDescent="0.2">
      <c r="A19154" t="s">
        <v>18075</v>
      </c>
      <c r="B19154" t="str">
        <f>"13466937838"</f>
        <v>13466937838</v>
      </c>
      <c r="C19154" t="str">
        <f>"140829199904300048"</f>
        <v>140829199904300048</v>
      </c>
      <c r="D19154" t="s">
        <v>1</v>
      </c>
      <c r="E19154" t="s">
        <v>1</v>
      </c>
      <c r="F19154" t="s">
        <v>0</v>
      </c>
      <c r="G19154" t="str">
        <f>"2018-10-10 19:13:37"</f>
        <v>2018-10-10 19:13:37</v>
      </c>
    </row>
    <row r="19155" spans="1:7" x14ac:dyDescent="0.2">
      <c r="A19155" t="s">
        <v>1</v>
      </c>
      <c r="B19155" t="str">
        <f>"13228260550"</f>
        <v>13228260550</v>
      </c>
      <c r="C19155" t="s">
        <v>1</v>
      </c>
      <c r="D19155" t="s">
        <v>1</v>
      </c>
      <c r="E19155" t="s">
        <v>1</v>
      </c>
      <c r="F19155" t="s">
        <v>0</v>
      </c>
      <c r="G19155" t="str">
        <f>"2018-10-10 19:11:41"</f>
        <v>2018-10-10 19:11:41</v>
      </c>
    </row>
    <row r="19156" spans="1:7" x14ac:dyDescent="0.2">
      <c r="A19156" t="s">
        <v>18076</v>
      </c>
      <c r="B19156" t="str">
        <f>"15044261688"</f>
        <v>15044261688</v>
      </c>
      <c r="C19156" t="str">
        <f>"220222195907010622"</f>
        <v>220222195907010622</v>
      </c>
      <c r="D19156" t="s">
        <v>1</v>
      </c>
      <c r="E19156" t="s">
        <v>1</v>
      </c>
      <c r="F19156" t="s">
        <v>0</v>
      </c>
      <c r="G19156" t="str">
        <f>"2018-10-10 19:11:12"</f>
        <v>2018-10-10 19:11:12</v>
      </c>
    </row>
    <row r="19157" spans="1:7" x14ac:dyDescent="0.2">
      <c r="A19157" t="s">
        <v>18077</v>
      </c>
      <c r="B19157" t="str">
        <f>"13781108138"</f>
        <v>13781108138</v>
      </c>
      <c r="C19157" t="str">
        <f>"410225199205076611"</f>
        <v>410225199205076611</v>
      </c>
      <c r="D19157" t="s">
        <v>1</v>
      </c>
      <c r="E19157" t="s">
        <v>1</v>
      </c>
      <c r="F19157" t="s">
        <v>0</v>
      </c>
      <c r="G19157" t="str">
        <f>"2018-10-23 15:04:54"</f>
        <v>2018-10-23 15:04:54</v>
      </c>
    </row>
    <row r="19158" spans="1:7" x14ac:dyDescent="0.2">
      <c r="A19158" t="s">
        <v>18078</v>
      </c>
      <c r="B19158" t="str">
        <f>"15956928193"</f>
        <v>15956928193</v>
      </c>
      <c r="C19158" t="str">
        <f>"411526198607141649"</f>
        <v>411526198607141649</v>
      </c>
      <c r="D19158" t="s">
        <v>1</v>
      </c>
      <c r="E19158" t="s">
        <v>1</v>
      </c>
      <c r="F19158" t="s">
        <v>0</v>
      </c>
      <c r="G19158" t="str">
        <f>"2018-11-05 12:57:05"</f>
        <v>2018-11-05 12:57:05</v>
      </c>
    </row>
    <row r="19159" spans="1:7" x14ac:dyDescent="0.2">
      <c r="A19159" t="s">
        <v>1</v>
      </c>
      <c r="B19159" t="str">
        <f>"13178861555"</f>
        <v>13178861555</v>
      </c>
      <c r="C19159" t="s">
        <v>1</v>
      </c>
      <c r="D19159" t="s">
        <v>1</v>
      </c>
      <c r="E19159" t="s">
        <v>1</v>
      </c>
      <c r="F19159" t="s">
        <v>0</v>
      </c>
      <c r="G19159" t="str">
        <f>"2018-10-10 19:06:50"</f>
        <v>2018-10-10 19:06:50</v>
      </c>
    </row>
    <row r="19160" spans="1:7" x14ac:dyDescent="0.2">
      <c r="A19160" t="s">
        <v>690</v>
      </c>
      <c r="B19160" t="str">
        <f>"17521335843"</f>
        <v>17521335843</v>
      </c>
      <c r="C19160" t="str">
        <f>"522121198609114612"</f>
        <v>522121198609114612</v>
      </c>
      <c r="D19160" t="s">
        <v>1</v>
      </c>
      <c r="E19160" t="s">
        <v>1</v>
      </c>
      <c r="F19160" t="s">
        <v>0</v>
      </c>
      <c r="G19160" t="str">
        <f>"2018-10-10 19:08:25"</f>
        <v>2018-10-10 19:08:25</v>
      </c>
    </row>
    <row r="19161" spans="1:7" x14ac:dyDescent="0.2">
      <c r="A19161" t="s">
        <v>18079</v>
      </c>
      <c r="B19161" t="str">
        <f>"15968885461"</f>
        <v>15968885461</v>
      </c>
      <c r="C19161" t="str">
        <f>"341223199109031114"</f>
        <v>341223199109031114</v>
      </c>
      <c r="D19161" t="s">
        <v>1</v>
      </c>
      <c r="E19161" t="s">
        <v>1</v>
      </c>
      <c r="F19161" t="s">
        <v>0</v>
      </c>
      <c r="G19161" t="str">
        <f>"2018-10-10 19:17:51"</f>
        <v>2018-10-10 19:17:51</v>
      </c>
    </row>
    <row r="19162" spans="1:7" x14ac:dyDescent="0.2">
      <c r="A19162" t="s">
        <v>18080</v>
      </c>
      <c r="B19162" t="str">
        <f>"15576532535"</f>
        <v>15576532535</v>
      </c>
      <c r="C19162" t="str">
        <f>"431226199012155429"</f>
        <v>431226199012155429</v>
      </c>
      <c r="D19162" t="s">
        <v>18081</v>
      </c>
      <c r="E19162" t="s">
        <v>18082</v>
      </c>
      <c r="F19162" t="s">
        <v>0</v>
      </c>
      <c r="G19162" t="str">
        <f>"2018-10-12 21:40:28"</f>
        <v>2018-10-12 21:40:28</v>
      </c>
    </row>
    <row r="19163" spans="1:7" x14ac:dyDescent="0.2">
      <c r="A19163" t="s">
        <v>817</v>
      </c>
      <c r="B19163" t="str">
        <f>"18072889104"</f>
        <v>18072889104</v>
      </c>
      <c r="C19163" t="str">
        <f>"230129199901153322"</f>
        <v>230129199901153322</v>
      </c>
      <c r="D19163" t="s">
        <v>1</v>
      </c>
      <c r="E19163" t="s">
        <v>1</v>
      </c>
      <c r="F19163" t="s">
        <v>0</v>
      </c>
      <c r="G19163" t="str">
        <f>"2018-10-10 19:08:34"</f>
        <v>2018-10-10 19:08:34</v>
      </c>
    </row>
    <row r="19164" spans="1:7" x14ac:dyDescent="0.2">
      <c r="A19164" t="s">
        <v>18083</v>
      </c>
      <c r="B19164" t="str">
        <f>"18661385805"</f>
        <v>18661385805</v>
      </c>
      <c r="C19164" t="str">
        <f>"371323199210255850"</f>
        <v>371323199210255850</v>
      </c>
      <c r="D19164" t="s">
        <v>1</v>
      </c>
      <c r="E19164" t="s">
        <v>1</v>
      </c>
      <c r="F19164" t="s">
        <v>0</v>
      </c>
      <c r="G19164" t="str">
        <f>"2018-10-20 15:18:25"</f>
        <v>2018-10-20 15:18:25</v>
      </c>
    </row>
    <row r="19165" spans="1:7" x14ac:dyDescent="0.2">
      <c r="A19165" t="s">
        <v>18084</v>
      </c>
      <c r="B19165" t="str">
        <f>"13950692837"</f>
        <v>13950692837</v>
      </c>
      <c r="C19165" t="str">
        <f>"350725199610204016"</f>
        <v>350725199610204016</v>
      </c>
      <c r="D19165" t="s">
        <v>18085</v>
      </c>
      <c r="E19165" t="s">
        <v>18086</v>
      </c>
      <c r="F19165" t="s">
        <v>0</v>
      </c>
      <c r="G19165" t="str">
        <f>"2018-10-10 19:05:48"</f>
        <v>2018-10-10 19:05:48</v>
      </c>
    </row>
    <row r="19166" spans="1:7" x14ac:dyDescent="0.2">
      <c r="A19166" t="s">
        <v>1</v>
      </c>
      <c r="B19166" t="str">
        <f>"13123474199"</f>
        <v>13123474199</v>
      </c>
      <c r="C19166" t="s">
        <v>1</v>
      </c>
      <c r="D19166" t="s">
        <v>1</v>
      </c>
      <c r="E19166" t="s">
        <v>1</v>
      </c>
      <c r="F19166" t="s">
        <v>0</v>
      </c>
      <c r="G19166" t="str">
        <f>"2018-10-10 19:05:40"</f>
        <v>2018-10-10 19:05:40</v>
      </c>
    </row>
    <row r="19167" spans="1:7" x14ac:dyDescent="0.2">
      <c r="A19167" t="s">
        <v>1</v>
      </c>
      <c r="B19167" t="str">
        <f>"13994264758"</f>
        <v>13994264758</v>
      </c>
      <c r="C19167" t="s">
        <v>1</v>
      </c>
      <c r="D19167" t="s">
        <v>1</v>
      </c>
      <c r="E19167" t="s">
        <v>1</v>
      </c>
      <c r="F19167" t="s">
        <v>0</v>
      </c>
      <c r="G19167" t="str">
        <f>"2018-10-10 19:05:15"</f>
        <v>2018-10-10 19:05:15</v>
      </c>
    </row>
    <row r="19168" spans="1:7" x14ac:dyDescent="0.2">
      <c r="A19168" t="s">
        <v>18087</v>
      </c>
      <c r="B19168" t="str">
        <f>"18800480799"</f>
        <v>18800480799</v>
      </c>
      <c r="C19168" t="str">
        <f>"23092119960105048X"</f>
        <v>23092119960105048X</v>
      </c>
      <c r="D19168" t="s">
        <v>1</v>
      </c>
      <c r="E19168" t="s">
        <v>1</v>
      </c>
      <c r="F19168" t="s">
        <v>0</v>
      </c>
      <c r="G19168" t="str">
        <f>"2018-10-10 19:04:32"</f>
        <v>2018-10-10 19:04:32</v>
      </c>
    </row>
    <row r="19169" spans="1:7" x14ac:dyDescent="0.2">
      <c r="A19169" t="s">
        <v>18088</v>
      </c>
      <c r="B19169" t="str">
        <f>"18559783227"</f>
        <v>18559783227</v>
      </c>
      <c r="C19169" t="str">
        <f>"350525199612305610"</f>
        <v>350525199612305610</v>
      </c>
      <c r="D19169" t="s">
        <v>1</v>
      </c>
      <c r="E19169" t="s">
        <v>1</v>
      </c>
      <c r="F19169" t="s">
        <v>0</v>
      </c>
      <c r="G19169" t="str">
        <f>"2018-10-10 19:29:54"</f>
        <v>2018-10-10 19:29:54</v>
      </c>
    </row>
    <row r="19170" spans="1:7" x14ac:dyDescent="0.2">
      <c r="A19170" t="s">
        <v>1441</v>
      </c>
      <c r="B19170" t="str">
        <f>"13855965500"</f>
        <v>13855965500</v>
      </c>
      <c r="C19170" t="str">
        <f>"340403199008050628"</f>
        <v>340403199008050628</v>
      </c>
      <c r="D19170" t="s">
        <v>18089</v>
      </c>
      <c r="E19170" t="s">
        <v>18090</v>
      </c>
      <c r="F19170" t="s">
        <v>0</v>
      </c>
      <c r="G19170" t="str">
        <f>"2018-10-10 22:43:06"</f>
        <v>2018-10-10 22:43:06</v>
      </c>
    </row>
    <row r="19171" spans="1:7" x14ac:dyDescent="0.2">
      <c r="A19171" t="s">
        <v>1</v>
      </c>
      <c r="B19171" t="str">
        <f>"17724400047"</f>
        <v>17724400047</v>
      </c>
      <c r="C19171" t="s">
        <v>1</v>
      </c>
      <c r="D19171" t="s">
        <v>1</v>
      </c>
      <c r="E19171" t="s">
        <v>1</v>
      </c>
      <c r="F19171" t="s">
        <v>0</v>
      </c>
      <c r="G19171" t="str">
        <f>"2018-10-10 19:04:24"</f>
        <v>2018-10-10 19:04:24</v>
      </c>
    </row>
    <row r="19172" spans="1:7" x14ac:dyDescent="0.2">
      <c r="A19172" t="s">
        <v>1</v>
      </c>
      <c r="B19172" t="str">
        <f>"15887331729"</f>
        <v>15887331729</v>
      </c>
      <c r="C19172" t="s">
        <v>1</v>
      </c>
      <c r="D19172" t="s">
        <v>1</v>
      </c>
      <c r="E19172" t="s">
        <v>1</v>
      </c>
      <c r="F19172" t="s">
        <v>0</v>
      </c>
      <c r="G19172" t="str">
        <f>"2018-10-10 19:04:10"</f>
        <v>2018-10-10 19:04:10</v>
      </c>
    </row>
    <row r="19173" spans="1:7" x14ac:dyDescent="0.2">
      <c r="A19173" t="s">
        <v>1276</v>
      </c>
      <c r="B19173" t="str">
        <f>"15029809244"</f>
        <v>15029809244</v>
      </c>
      <c r="C19173" t="str">
        <f>"350784198810010035"</f>
        <v>350784198810010035</v>
      </c>
      <c r="D19173" t="s">
        <v>1</v>
      </c>
      <c r="E19173" t="s">
        <v>1</v>
      </c>
      <c r="F19173" t="s">
        <v>0</v>
      </c>
      <c r="G19173" t="str">
        <f>"2018-10-29 17:26:04"</f>
        <v>2018-10-29 17:26:04</v>
      </c>
    </row>
    <row r="19174" spans="1:7" x14ac:dyDescent="0.2">
      <c r="A19174" t="s">
        <v>18091</v>
      </c>
      <c r="B19174" t="str">
        <f>"13781630197"</f>
        <v>13781630197</v>
      </c>
      <c r="C19174" t="str">
        <f>"411481198602080655"</f>
        <v>411481198602080655</v>
      </c>
      <c r="D19174" t="s">
        <v>18092</v>
      </c>
      <c r="E19174" t="s">
        <v>18093</v>
      </c>
      <c r="F19174" t="s">
        <v>0</v>
      </c>
      <c r="G19174" t="str">
        <f>"2018-10-10 19:07:20"</f>
        <v>2018-10-10 19:07:20</v>
      </c>
    </row>
    <row r="19175" spans="1:7" x14ac:dyDescent="0.2">
      <c r="A19175" t="s">
        <v>18094</v>
      </c>
      <c r="B19175" t="str">
        <f>"13665353310"</f>
        <v>13665353310</v>
      </c>
      <c r="C19175" t="str">
        <f>"370625197110295010"</f>
        <v>370625197110295010</v>
      </c>
      <c r="D19175" t="s">
        <v>1</v>
      </c>
      <c r="E19175" t="s">
        <v>1</v>
      </c>
      <c r="F19175" t="s">
        <v>0</v>
      </c>
      <c r="G19175" t="str">
        <f>"2018-10-10 19:01:18"</f>
        <v>2018-10-10 19:01:18</v>
      </c>
    </row>
    <row r="19176" spans="1:7" x14ac:dyDescent="0.2">
      <c r="A19176" t="s">
        <v>1</v>
      </c>
      <c r="B19176" t="str">
        <f>"13793428281"</f>
        <v>13793428281</v>
      </c>
      <c r="C19176" t="s">
        <v>1</v>
      </c>
      <c r="D19176" t="s">
        <v>1</v>
      </c>
      <c r="E19176" t="s">
        <v>1</v>
      </c>
      <c r="F19176" t="s">
        <v>0</v>
      </c>
      <c r="G19176" t="str">
        <f>"2018-10-10 18:59:47"</f>
        <v>2018-10-10 18:59:47</v>
      </c>
    </row>
    <row r="19177" spans="1:7" x14ac:dyDescent="0.2">
      <c r="A19177" t="s">
        <v>1</v>
      </c>
      <c r="B19177" t="str">
        <f>"18377993809"</f>
        <v>18377993809</v>
      </c>
      <c r="C19177" t="s">
        <v>1</v>
      </c>
      <c r="D19177" t="s">
        <v>1</v>
      </c>
      <c r="E19177" t="s">
        <v>1</v>
      </c>
      <c r="F19177" t="s">
        <v>0</v>
      </c>
      <c r="G19177" t="str">
        <f>"2018-10-10 19:00:47"</f>
        <v>2018-10-10 19:00:47</v>
      </c>
    </row>
    <row r="19178" spans="1:7" x14ac:dyDescent="0.2">
      <c r="A19178" t="s">
        <v>18095</v>
      </c>
      <c r="B19178" t="str">
        <f>"15965784792"</f>
        <v>15965784792</v>
      </c>
      <c r="C19178" t="str">
        <f>"370704197403071428"</f>
        <v>370704197403071428</v>
      </c>
      <c r="D19178" t="s">
        <v>1</v>
      </c>
      <c r="E19178" t="s">
        <v>1</v>
      </c>
      <c r="F19178" t="s">
        <v>0</v>
      </c>
      <c r="G19178" t="str">
        <f>"2018-10-10 19:01:54"</f>
        <v>2018-10-10 19:01:54</v>
      </c>
    </row>
    <row r="19179" spans="1:7" x14ac:dyDescent="0.2">
      <c r="A19179" t="s">
        <v>18096</v>
      </c>
      <c r="B19179" t="str">
        <f>"17323263662"</f>
        <v>17323263662</v>
      </c>
      <c r="C19179" t="str">
        <f>"510121199809237896"</f>
        <v>510121199809237896</v>
      </c>
      <c r="D19179" t="s">
        <v>1</v>
      </c>
      <c r="E19179" t="s">
        <v>1</v>
      </c>
      <c r="F19179" t="s">
        <v>0</v>
      </c>
      <c r="G19179" t="str">
        <f>"2018-10-10 18:59:53"</f>
        <v>2018-10-10 18:59:53</v>
      </c>
    </row>
    <row r="19180" spans="1:7" x14ac:dyDescent="0.2">
      <c r="A19180" t="s">
        <v>8773</v>
      </c>
      <c r="B19180" t="str">
        <f>"15521308330"</f>
        <v>15521308330</v>
      </c>
      <c r="C19180" t="str">
        <f>"440204199801116425"</f>
        <v>440204199801116425</v>
      </c>
      <c r="D19180" t="s">
        <v>1</v>
      </c>
      <c r="E19180" t="s">
        <v>1</v>
      </c>
      <c r="F19180" t="s">
        <v>0</v>
      </c>
      <c r="G19180" t="str">
        <f>"2018-10-11 18:19:25"</f>
        <v>2018-10-11 18:19:25</v>
      </c>
    </row>
    <row r="19181" spans="1:7" x14ac:dyDescent="0.2">
      <c r="A19181" t="s">
        <v>18097</v>
      </c>
      <c r="B19181" t="str">
        <f>"15606985568"</f>
        <v>15606985568</v>
      </c>
      <c r="C19181" t="str">
        <f>"352231198708071239"</f>
        <v>352231198708071239</v>
      </c>
      <c r="D19181" t="s">
        <v>18098</v>
      </c>
      <c r="E19181" t="s">
        <v>18099</v>
      </c>
      <c r="F19181" t="s">
        <v>0</v>
      </c>
      <c r="G19181" t="str">
        <f>"2018-10-10 18:57:40"</f>
        <v>2018-10-10 18:57:40</v>
      </c>
    </row>
    <row r="19182" spans="1:7" x14ac:dyDescent="0.2">
      <c r="A19182" t="s">
        <v>18100</v>
      </c>
      <c r="B19182" t="str">
        <f>"18891620388"</f>
        <v>18891620388</v>
      </c>
      <c r="C19182" t="str">
        <f>"612328198808244644"</f>
        <v>612328198808244644</v>
      </c>
      <c r="D19182" t="s">
        <v>18101</v>
      </c>
      <c r="E19182" t="s">
        <v>18102</v>
      </c>
      <c r="F19182" t="s">
        <v>0</v>
      </c>
      <c r="G19182" t="str">
        <f>"2018-10-10 18:57:25"</f>
        <v>2018-10-10 18:57:25</v>
      </c>
    </row>
    <row r="19183" spans="1:7" x14ac:dyDescent="0.2">
      <c r="A19183" t="s">
        <v>18103</v>
      </c>
      <c r="B19183" t="str">
        <f>"13486331373"</f>
        <v>13486331373</v>
      </c>
      <c r="C19183" t="str">
        <f>"330421198011090811"</f>
        <v>330421198011090811</v>
      </c>
      <c r="D19183" t="s">
        <v>1</v>
      </c>
      <c r="E19183" t="s">
        <v>1</v>
      </c>
      <c r="F19183" t="s">
        <v>0</v>
      </c>
      <c r="G19183" t="str">
        <f>"2018-10-10 18:57:33"</f>
        <v>2018-10-10 18:57:33</v>
      </c>
    </row>
    <row r="19184" spans="1:7" x14ac:dyDescent="0.2">
      <c r="A19184" t="s">
        <v>18104</v>
      </c>
      <c r="B19184" t="str">
        <f>"13616705577"</f>
        <v>13616705577</v>
      </c>
      <c r="C19184" t="str">
        <f>"330824198310054248"</f>
        <v>330824198310054248</v>
      </c>
      <c r="D19184" t="s">
        <v>1</v>
      </c>
      <c r="E19184" t="s">
        <v>1</v>
      </c>
      <c r="F19184" t="s">
        <v>0</v>
      </c>
      <c r="G19184" t="str">
        <f>"2018-10-10 18:57:23"</f>
        <v>2018-10-10 18:57:23</v>
      </c>
    </row>
    <row r="19185" spans="1:7" x14ac:dyDescent="0.2">
      <c r="A19185" t="s">
        <v>18105</v>
      </c>
      <c r="B19185" t="str">
        <f>"13771525539"</f>
        <v>13771525539</v>
      </c>
      <c r="C19185" t="str">
        <f>"320283198704022279"</f>
        <v>320283198704022279</v>
      </c>
      <c r="D19185" t="s">
        <v>1</v>
      </c>
      <c r="E19185" t="s">
        <v>1</v>
      </c>
      <c r="F19185" t="s">
        <v>0</v>
      </c>
      <c r="G19185" t="str">
        <f>"2018-11-03 20:07:01"</f>
        <v>2018-11-03 20:07:01</v>
      </c>
    </row>
    <row r="19186" spans="1:7" x14ac:dyDescent="0.2">
      <c r="A19186" t="s">
        <v>1153</v>
      </c>
      <c r="B19186" t="str">
        <f>"13978218356"</f>
        <v>13978218356</v>
      </c>
      <c r="C19186" t="str">
        <f>"452201197901011255"</f>
        <v>452201197901011255</v>
      </c>
      <c r="D19186" t="s">
        <v>1</v>
      </c>
      <c r="E19186" t="s">
        <v>1</v>
      </c>
      <c r="F19186" t="s">
        <v>0</v>
      </c>
      <c r="G19186" t="str">
        <f>"2018-10-18 18:38:23"</f>
        <v>2018-10-18 18:38:23</v>
      </c>
    </row>
    <row r="19187" spans="1:7" x14ac:dyDescent="0.2">
      <c r="A19187" t="s">
        <v>1</v>
      </c>
      <c r="B19187" t="str">
        <f>"13921158159"</f>
        <v>13921158159</v>
      </c>
      <c r="C19187" t="s">
        <v>1</v>
      </c>
      <c r="D19187" t="s">
        <v>1</v>
      </c>
      <c r="E19187" t="s">
        <v>1</v>
      </c>
      <c r="F19187" t="s">
        <v>0</v>
      </c>
      <c r="G19187" t="str">
        <f>"2018-10-10 18:57:08"</f>
        <v>2018-10-10 18:57:08</v>
      </c>
    </row>
    <row r="19188" spans="1:7" x14ac:dyDescent="0.2">
      <c r="A19188" t="s">
        <v>1</v>
      </c>
      <c r="B19188" t="str">
        <f>"15057830342"</f>
        <v>15057830342</v>
      </c>
      <c r="C19188" t="s">
        <v>1</v>
      </c>
      <c r="D19188" t="s">
        <v>1</v>
      </c>
      <c r="E19188" t="s">
        <v>1</v>
      </c>
      <c r="F19188" t="s">
        <v>0</v>
      </c>
      <c r="G19188" t="str">
        <f>"2018-10-10 18:53:18"</f>
        <v>2018-10-10 18:53:18</v>
      </c>
    </row>
    <row r="19189" spans="1:7" x14ac:dyDescent="0.2">
      <c r="A19189" t="s">
        <v>18106</v>
      </c>
      <c r="B19189" t="str">
        <f>"18307939115"</f>
        <v>18307939115</v>
      </c>
      <c r="C19189" t="str">
        <f>"362321199603261916"</f>
        <v>362321199603261916</v>
      </c>
      <c r="D19189" t="s">
        <v>18107</v>
      </c>
      <c r="E19189" t="s">
        <v>18108</v>
      </c>
      <c r="F19189" t="s">
        <v>0</v>
      </c>
      <c r="G19189" t="str">
        <f>"2018-10-10 18:52:15"</f>
        <v>2018-10-10 18:52:15</v>
      </c>
    </row>
    <row r="19190" spans="1:7" x14ac:dyDescent="0.2">
      <c r="A19190" t="s">
        <v>18109</v>
      </c>
      <c r="B19190" t="str">
        <f>"17673463321"</f>
        <v>17673463321</v>
      </c>
      <c r="C19190" t="str">
        <f>"430626200003212416"</f>
        <v>430626200003212416</v>
      </c>
      <c r="D19190" t="s">
        <v>1</v>
      </c>
      <c r="E19190" t="s">
        <v>1</v>
      </c>
      <c r="F19190" t="s">
        <v>0</v>
      </c>
      <c r="G19190" t="str">
        <f>"2018-10-10 18:52:57"</f>
        <v>2018-10-10 18:52:57</v>
      </c>
    </row>
    <row r="19191" spans="1:7" x14ac:dyDescent="0.2">
      <c r="A19191" t="s">
        <v>18110</v>
      </c>
      <c r="B19191" t="str">
        <f>"13314674117"</f>
        <v>13314674117</v>
      </c>
      <c r="C19191" t="str">
        <f>"230822197109120871"</f>
        <v>230822197109120871</v>
      </c>
      <c r="D19191" t="s">
        <v>1</v>
      </c>
      <c r="E19191" t="s">
        <v>1</v>
      </c>
      <c r="F19191" t="s">
        <v>0</v>
      </c>
      <c r="G19191" t="str">
        <f>"2018-10-10 18:52:55"</f>
        <v>2018-10-10 18:52:55</v>
      </c>
    </row>
    <row r="19192" spans="1:7" x14ac:dyDescent="0.2">
      <c r="A19192" t="s">
        <v>18111</v>
      </c>
      <c r="B19192" t="str">
        <f>"15376962896"</f>
        <v>15376962896</v>
      </c>
      <c r="C19192" t="str">
        <f>"370686199003087445"</f>
        <v>370686199003087445</v>
      </c>
      <c r="D19192" t="s">
        <v>1</v>
      </c>
      <c r="E19192" t="s">
        <v>1</v>
      </c>
      <c r="F19192" t="s">
        <v>0</v>
      </c>
      <c r="G19192" t="str">
        <f>"2018-10-10 18:52:37"</f>
        <v>2018-10-10 18:52:37</v>
      </c>
    </row>
    <row r="19193" spans="1:7" x14ac:dyDescent="0.2">
      <c r="A19193" t="s">
        <v>1</v>
      </c>
      <c r="B19193" t="str">
        <f>"15818323907"</f>
        <v>15818323907</v>
      </c>
      <c r="C19193" t="s">
        <v>1</v>
      </c>
      <c r="D19193" t="s">
        <v>1</v>
      </c>
      <c r="E19193" t="s">
        <v>1</v>
      </c>
      <c r="F19193" t="s">
        <v>0</v>
      </c>
      <c r="G19193" t="str">
        <f>"2018-10-10 18:51:24"</f>
        <v>2018-10-10 18:51:24</v>
      </c>
    </row>
    <row r="19194" spans="1:7" x14ac:dyDescent="0.2">
      <c r="A19194" t="s">
        <v>18112</v>
      </c>
      <c r="B19194" t="str">
        <f>"18859067619"</f>
        <v>18859067619</v>
      </c>
      <c r="C19194" t="str">
        <f>"35260219790911187X"</f>
        <v>35260219790911187X</v>
      </c>
      <c r="D19194" t="s">
        <v>1</v>
      </c>
      <c r="E19194" t="s">
        <v>1</v>
      </c>
      <c r="F19194" t="s">
        <v>0</v>
      </c>
      <c r="G19194" t="str">
        <f>"2018-10-10 18:53:40"</f>
        <v>2018-10-10 18:53:40</v>
      </c>
    </row>
    <row r="19195" spans="1:7" x14ac:dyDescent="0.2">
      <c r="A19195" t="s">
        <v>18113</v>
      </c>
      <c r="B19195" t="str">
        <f>"18150258611"</f>
        <v>18150258611</v>
      </c>
      <c r="C19195" t="str">
        <f>"352202197811065754"</f>
        <v>352202197811065754</v>
      </c>
      <c r="D19195" t="s">
        <v>1</v>
      </c>
      <c r="E19195" t="s">
        <v>1</v>
      </c>
      <c r="F19195" t="s">
        <v>0</v>
      </c>
      <c r="G19195" t="str">
        <f>"2018-10-10 18:53:24"</f>
        <v>2018-10-10 18:53:24</v>
      </c>
    </row>
    <row r="19196" spans="1:7" x14ac:dyDescent="0.2">
      <c r="A19196" t="s">
        <v>18114</v>
      </c>
      <c r="B19196" t="str">
        <f>"13889348120"</f>
        <v>13889348120</v>
      </c>
      <c r="C19196" t="str">
        <f>"140226199010054042"</f>
        <v>140226199010054042</v>
      </c>
      <c r="D19196" t="s">
        <v>1</v>
      </c>
      <c r="E19196" t="s">
        <v>1</v>
      </c>
      <c r="F19196" t="s">
        <v>0</v>
      </c>
      <c r="G19196" t="str">
        <f>"2018-10-10 18:50:56"</f>
        <v>2018-10-10 18:50:56</v>
      </c>
    </row>
    <row r="19197" spans="1:7" x14ac:dyDescent="0.2">
      <c r="A19197" t="s">
        <v>18115</v>
      </c>
      <c r="B19197" t="str">
        <f>"13807420442"</f>
        <v>13807420442</v>
      </c>
      <c r="C19197" t="str">
        <f>"430724198712243218"</f>
        <v>430724198712243218</v>
      </c>
      <c r="D19197" t="s">
        <v>1</v>
      </c>
      <c r="E19197" t="s">
        <v>1</v>
      </c>
      <c r="F19197" t="s">
        <v>0</v>
      </c>
      <c r="G19197" t="str">
        <f>"2018-10-11 09:12:01"</f>
        <v>2018-10-11 09:12:01</v>
      </c>
    </row>
    <row r="19198" spans="1:7" x14ac:dyDescent="0.2">
      <c r="A19198" t="s">
        <v>1</v>
      </c>
      <c r="B19198" t="str">
        <f>"13844795957"</f>
        <v>13844795957</v>
      </c>
      <c r="C19198" t="s">
        <v>1</v>
      </c>
      <c r="D19198" t="s">
        <v>1</v>
      </c>
      <c r="E19198" t="s">
        <v>1</v>
      </c>
      <c r="F19198" t="s">
        <v>0</v>
      </c>
      <c r="G19198" t="str">
        <f>"2018-10-10 18:50:34"</f>
        <v>2018-10-10 18:50:34</v>
      </c>
    </row>
    <row r="19199" spans="1:7" x14ac:dyDescent="0.2">
      <c r="A19199" t="s">
        <v>18116</v>
      </c>
      <c r="B19199" t="str">
        <f>"17857198098"</f>
        <v>17857198098</v>
      </c>
      <c r="C19199" t="str">
        <f>"33900519970825344X"</f>
        <v>33900519970825344X</v>
      </c>
      <c r="D19199" t="s">
        <v>1</v>
      </c>
      <c r="E19199" t="s">
        <v>1</v>
      </c>
      <c r="F19199" t="s">
        <v>0</v>
      </c>
      <c r="G19199" t="str">
        <f>"2018-10-10 18:52:42"</f>
        <v>2018-10-10 18:52:42</v>
      </c>
    </row>
    <row r="19200" spans="1:7" x14ac:dyDescent="0.2">
      <c r="A19200" t="s">
        <v>18117</v>
      </c>
      <c r="B19200" t="str">
        <f>"13714770159"</f>
        <v>13714770159</v>
      </c>
      <c r="C19200" t="str">
        <f>"452625198407141473"</f>
        <v>452625198407141473</v>
      </c>
      <c r="D19200" t="s">
        <v>1</v>
      </c>
      <c r="E19200" t="s">
        <v>1</v>
      </c>
      <c r="F19200" t="s">
        <v>0</v>
      </c>
      <c r="G19200" t="str">
        <f>"2018-10-21 16:20:36"</f>
        <v>2018-10-21 16:20:36</v>
      </c>
    </row>
    <row r="19201" spans="1:7" x14ac:dyDescent="0.2">
      <c r="A19201" t="s">
        <v>18118</v>
      </c>
      <c r="B19201" t="str">
        <f>"18720884089"</f>
        <v>18720884089</v>
      </c>
      <c r="C19201" t="str">
        <f>"360782198807024611"</f>
        <v>360782198807024611</v>
      </c>
      <c r="D19201" t="s">
        <v>1</v>
      </c>
      <c r="E19201" t="s">
        <v>1</v>
      </c>
      <c r="F19201" t="s">
        <v>0</v>
      </c>
      <c r="G19201" t="str">
        <f>"2018-10-10 18:54:11"</f>
        <v>2018-10-10 18:54:11</v>
      </c>
    </row>
    <row r="19202" spans="1:7" x14ac:dyDescent="0.2">
      <c r="A19202" t="s">
        <v>1</v>
      </c>
      <c r="B19202" t="str">
        <f>"18855305852"</f>
        <v>18855305852</v>
      </c>
      <c r="C19202" t="s">
        <v>1</v>
      </c>
      <c r="D19202" t="s">
        <v>1</v>
      </c>
      <c r="E19202" t="s">
        <v>1</v>
      </c>
      <c r="F19202" t="s">
        <v>0</v>
      </c>
      <c r="G19202" t="str">
        <f>"2018-10-10 19:49:25"</f>
        <v>2018-10-10 19:49:25</v>
      </c>
    </row>
    <row r="19203" spans="1:7" x14ac:dyDescent="0.2">
      <c r="A19203" t="s">
        <v>18119</v>
      </c>
      <c r="B19203" t="str">
        <f>"17843041648"</f>
        <v>17843041648</v>
      </c>
      <c r="C19203" t="str">
        <f>"341125199808168117"</f>
        <v>341125199808168117</v>
      </c>
      <c r="D19203" t="s">
        <v>1</v>
      </c>
      <c r="E19203" t="s">
        <v>1</v>
      </c>
      <c r="F19203" t="s">
        <v>0</v>
      </c>
      <c r="G19203" t="str">
        <f>"2018-10-10 18:52:03"</f>
        <v>2018-10-10 18:52:03</v>
      </c>
    </row>
    <row r="19204" spans="1:7" x14ac:dyDescent="0.2">
      <c r="A19204" t="s">
        <v>1</v>
      </c>
      <c r="B19204" t="str">
        <f>"15678736943"</f>
        <v>15678736943</v>
      </c>
      <c r="C19204" t="s">
        <v>1</v>
      </c>
      <c r="D19204" t="s">
        <v>1</v>
      </c>
      <c r="E19204" t="s">
        <v>1</v>
      </c>
      <c r="F19204" t="s">
        <v>0</v>
      </c>
      <c r="G19204" t="str">
        <f>"2018-10-10 18:48:18"</f>
        <v>2018-10-10 18:48:18</v>
      </c>
    </row>
    <row r="19205" spans="1:7" x14ac:dyDescent="0.2">
      <c r="A19205" t="s">
        <v>18120</v>
      </c>
      <c r="B19205" t="str">
        <f>"13754921424"</f>
        <v>13754921424</v>
      </c>
      <c r="C19205" t="str">
        <f>"140221199610170512"</f>
        <v>140221199610170512</v>
      </c>
      <c r="D19205" t="s">
        <v>1</v>
      </c>
      <c r="E19205" t="s">
        <v>1</v>
      </c>
      <c r="F19205" t="s">
        <v>0</v>
      </c>
      <c r="G19205" t="str">
        <f>"2018-10-10 18:49:04"</f>
        <v>2018-10-10 18:49:04</v>
      </c>
    </row>
    <row r="19206" spans="1:7" x14ac:dyDescent="0.2">
      <c r="A19206" t="s">
        <v>1</v>
      </c>
      <c r="B19206" t="str">
        <f>"13229161669"</f>
        <v>13229161669</v>
      </c>
      <c r="C19206" t="s">
        <v>1</v>
      </c>
      <c r="D19206" t="s">
        <v>1</v>
      </c>
      <c r="E19206" t="s">
        <v>1</v>
      </c>
      <c r="F19206" t="s">
        <v>0</v>
      </c>
      <c r="G19206" t="str">
        <f>"2018-10-10 18:47:22"</f>
        <v>2018-10-10 18:47:22</v>
      </c>
    </row>
    <row r="19207" spans="1:7" x14ac:dyDescent="0.2">
      <c r="A19207" t="s">
        <v>18121</v>
      </c>
      <c r="B19207" t="str">
        <f>"15986900989"</f>
        <v>15986900989</v>
      </c>
      <c r="C19207" t="str">
        <f>"445224198311213930"</f>
        <v>445224198311213930</v>
      </c>
      <c r="D19207" t="s">
        <v>1</v>
      </c>
      <c r="E19207" t="s">
        <v>1</v>
      </c>
      <c r="F19207" t="s">
        <v>0</v>
      </c>
      <c r="G19207" t="str">
        <f>"2018-10-10 18:47:04"</f>
        <v>2018-10-10 18:47:04</v>
      </c>
    </row>
    <row r="19208" spans="1:7" x14ac:dyDescent="0.2">
      <c r="A19208" t="s">
        <v>18122</v>
      </c>
      <c r="B19208" t="str">
        <f>"18778353802"</f>
        <v>18778353802</v>
      </c>
      <c r="C19208" t="str">
        <f>"452324198209161235"</f>
        <v>452324198209161235</v>
      </c>
      <c r="D19208" t="s">
        <v>1</v>
      </c>
      <c r="E19208" t="s">
        <v>1</v>
      </c>
      <c r="F19208" t="s">
        <v>0</v>
      </c>
      <c r="G19208" t="str">
        <f>"2018-10-22 21:42:04"</f>
        <v>2018-10-22 21:42:04</v>
      </c>
    </row>
    <row r="19209" spans="1:7" x14ac:dyDescent="0.2">
      <c r="A19209" t="s">
        <v>1</v>
      </c>
      <c r="B19209" t="str">
        <f>"13295979747"</f>
        <v>13295979747</v>
      </c>
      <c r="C19209" t="s">
        <v>1</v>
      </c>
      <c r="D19209" t="s">
        <v>1</v>
      </c>
      <c r="E19209" t="s">
        <v>1</v>
      </c>
      <c r="F19209" t="s">
        <v>0</v>
      </c>
      <c r="G19209" t="str">
        <f>"2018-10-10 18:50:57"</f>
        <v>2018-10-10 18:50:57</v>
      </c>
    </row>
    <row r="19210" spans="1:7" x14ac:dyDescent="0.2">
      <c r="A19210" t="s">
        <v>18123</v>
      </c>
      <c r="B19210" t="str">
        <f>"13227727630"</f>
        <v>13227727630</v>
      </c>
      <c r="C19210" t="str">
        <f>"610114198612051057"</f>
        <v>610114198612051057</v>
      </c>
      <c r="D19210" t="s">
        <v>1</v>
      </c>
      <c r="E19210" t="s">
        <v>1</v>
      </c>
      <c r="F19210" t="s">
        <v>0</v>
      </c>
      <c r="G19210" t="str">
        <f>"2018-10-10 18:45:09"</f>
        <v>2018-10-10 18:45:09</v>
      </c>
    </row>
    <row r="19211" spans="1:7" x14ac:dyDescent="0.2">
      <c r="A19211" t="s">
        <v>1</v>
      </c>
      <c r="B19211" t="str">
        <f>"18382988444"</f>
        <v>18382988444</v>
      </c>
      <c r="C19211" t="s">
        <v>1</v>
      </c>
      <c r="D19211" t="s">
        <v>1</v>
      </c>
      <c r="E19211" t="s">
        <v>1</v>
      </c>
      <c r="F19211" t="s">
        <v>0</v>
      </c>
      <c r="G19211" t="str">
        <f>"2018-10-10 18:43:09"</f>
        <v>2018-10-10 18:43:09</v>
      </c>
    </row>
    <row r="19212" spans="1:7" x14ac:dyDescent="0.2">
      <c r="A19212" t="s">
        <v>1</v>
      </c>
      <c r="B19212" t="str">
        <f>"13837125555"</f>
        <v>13837125555</v>
      </c>
      <c r="C19212" t="s">
        <v>1</v>
      </c>
      <c r="D19212" t="s">
        <v>1</v>
      </c>
      <c r="E19212" t="s">
        <v>1</v>
      </c>
      <c r="F19212" t="s">
        <v>0</v>
      </c>
      <c r="G19212" t="str">
        <f>"2018-10-10 18:42:50"</f>
        <v>2018-10-10 18:42:50</v>
      </c>
    </row>
    <row r="19213" spans="1:7" x14ac:dyDescent="0.2">
      <c r="A19213" t="s">
        <v>170</v>
      </c>
      <c r="B19213" t="str">
        <f>"17755661777"</f>
        <v>17755661777</v>
      </c>
      <c r="C19213" t="str">
        <f>"340881198911185218"</f>
        <v>340881198911185218</v>
      </c>
      <c r="D19213" t="s">
        <v>1</v>
      </c>
      <c r="E19213" t="s">
        <v>1</v>
      </c>
      <c r="F19213" t="s">
        <v>0</v>
      </c>
      <c r="G19213" t="str">
        <f>"2018-10-10 18:44:39"</f>
        <v>2018-10-10 18:44:39</v>
      </c>
    </row>
    <row r="19214" spans="1:7" x14ac:dyDescent="0.2">
      <c r="A19214" t="s">
        <v>1044</v>
      </c>
      <c r="B19214" t="str">
        <f>"15196522117"</f>
        <v>15196522117</v>
      </c>
      <c r="C19214" t="str">
        <f>"511622199407129424"</f>
        <v>511622199407129424</v>
      </c>
      <c r="D19214" t="s">
        <v>1</v>
      </c>
      <c r="E19214" t="s">
        <v>1</v>
      </c>
      <c r="F19214" t="s">
        <v>0</v>
      </c>
      <c r="G19214" t="str">
        <f>"2018-10-10 18:44:26"</f>
        <v>2018-10-10 18:44:26</v>
      </c>
    </row>
    <row r="19215" spans="1:7" x14ac:dyDescent="0.2">
      <c r="A19215" t="s">
        <v>1</v>
      </c>
      <c r="B19215" t="str">
        <f>"17600134969"</f>
        <v>17600134969</v>
      </c>
      <c r="C19215" t="s">
        <v>1</v>
      </c>
      <c r="D19215" t="s">
        <v>1</v>
      </c>
      <c r="E19215" t="s">
        <v>1</v>
      </c>
      <c r="F19215" t="s">
        <v>0</v>
      </c>
      <c r="G19215" t="str">
        <f>"2018-10-10 18:41:55"</f>
        <v>2018-10-10 18:41:55</v>
      </c>
    </row>
    <row r="19216" spans="1:7" x14ac:dyDescent="0.2">
      <c r="A19216" t="s">
        <v>1</v>
      </c>
      <c r="B19216" t="str">
        <f>"13228397251"</f>
        <v>13228397251</v>
      </c>
      <c r="C19216" t="s">
        <v>1</v>
      </c>
      <c r="D19216" t="s">
        <v>1</v>
      </c>
      <c r="E19216" t="s">
        <v>1</v>
      </c>
      <c r="F19216" t="s">
        <v>0</v>
      </c>
      <c r="G19216" t="str">
        <f>"2018-10-10 18:44:05"</f>
        <v>2018-10-10 18:44:05</v>
      </c>
    </row>
    <row r="19217" spans="1:7" x14ac:dyDescent="0.2">
      <c r="A19217" t="s">
        <v>18124</v>
      </c>
      <c r="B19217" t="str">
        <f>"13750938131"</f>
        <v>13750938131</v>
      </c>
      <c r="C19217" t="str">
        <f>"522324199810131259"</f>
        <v>522324199810131259</v>
      </c>
      <c r="D19217" t="s">
        <v>1</v>
      </c>
      <c r="E19217" t="s">
        <v>1</v>
      </c>
      <c r="F19217" t="s">
        <v>0</v>
      </c>
      <c r="G19217" t="str">
        <f>"2018-10-10 18:41:11"</f>
        <v>2018-10-10 18:41:11</v>
      </c>
    </row>
    <row r="19218" spans="1:7" x14ac:dyDescent="0.2">
      <c r="A19218" t="s">
        <v>1</v>
      </c>
      <c r="B19218" t="str">
        <f>"18764867299"</f>
        <v>18764867299</v>
      </c>
      <c r="C19218" t="s">
        <v>1</v>
      </c>
      <c r="D19218" t="s">
        <v>1</v>
      </c>
      <c r="E19218" t="s">
        <v>1</v>
      </c>
      <c r="F19218" t="s">
        <v>0</v>
      </c>
      <c r="G19218" t="str">
        <f>"2018-10-10 18:41:02"</f>
        <v>2018-10-10 18:41:02</v>
      </c>
    </row>
    <row r="19219" spans="1:7" x14ac:dyDescent="0.2">
      <c r="A19219" t="s">
        <v>18125</v>
      </c>
      <c r="B19219" t="str">
        <f>"15125037326"</f>
        <v>15125037326</v>
      </c>
      <c r="C19219" t="str">
        <f>"532923199404251122"</f>
        <v>532923199404251122</v>
      </c>
      <c r="D19219" t="s">
        <v>1</v>
      </c>
      <c r="E19219" t="s">
        <v>1</v>
      </c>
      <c r="F19219" t="s">
        <v>0</v>
      </c>
      <c r="G19219" t="str">
        <f>"2018-10-10 18:42:30"</f>
        <v>2018-10-10 18:42:30</v>
      </c>
    </row>
    <row r="19220" spans="1:7" x14ac:dyDescent="0.2">
      <c r="A19220" t="s">
        <v>455</v>
      </c>
      <c r="B19220" t="str">
        <f>"13871967782"</f>
        <v>13871967782</v>
      </c>
      <c r="C19220" t="str">
        <f>"421182199906244117"</f>
        <v>421182199906244117</v>
      </c>
      <c r="D19220" t="s">
        <v>1</v>
      </c>
      <c r="E19220" t="s">
        <v>1</v>
      </c>
      <c r="F19220" t="s">
        <v>0</v>
      </c>
      <c r="G19220" t="str">
        <f>"2018-10-10 18:43:01"</f>
        <v>2018-10-10 18:43:01</v>
      </c>
    </row>
    <row r="19221" spans="1:7" x14ac:dyDescent="0.2">
      <c r="A19221" t="s">
        <v>18126</v>
      </c>
      <c r="B19221" t="str">
        <f>"18204847775"</f>
        <v>18204847775</v>
      </c>
      <c r="C19221" t="str">
        <f>"152224199106280053"</f>
        <v>152224199106280053</v>
      </c>
      <c r="D19221" t="s">
        <v>1</v>
      </c>
      <c r="E19221" t="s">
        <v>1</v>
      </c>
      <c r="F19221" t="s">
        <v>0</v>
      </c>
      <c r="G19221" t="str">
        <f>"2018-10-10 20:03:27"</f>
        <v>2018-10-10 20:03:27</v>
      </c>
    </row>
    <row r="19222" spans="1:7" x14ac:dyDescent="0.2">
      <c r="A19222" t="s">
        <v>18127</v>
      </c>
      <c r="B19222" t="str">
        <f>"15318236369"</f>
        <v>15318236369</v>
      </c>
      <c r="C19222" t="str">
        <f>"371322198107240035"</f>
        <v>371322198107240035</v>
      </c>
      <c r="D19222" t="s">
        <v>18128</v>
      </c>
      <c r="E19222" t="s">
        <v>18129</v>
      </c>
      <c r="F19222" t="s">
        <v>0</v>
      </c>
      <c r="G19222" t="str">
        <f>"2018-10-11 12:35:24"</f>
        <v>2018-10-11 12:35:24</v>
      </c>
    </row>
    <row r="19223" spans="1:7" x14ac:dyDescent="0.2">
      <c r="A19223" t="s">
        <v>18130</v>
      </c>
      <c r="B19223" t="str">
        <f>"13829029636"</f>
        <v>13829029636</v>
      </c>
      <c r="C19223" t="str">
        <f>"445122199612202764"</f>
        <v>445122199612202764</v>
      </c>
      <c r="D19223" t="s">
        <v>1</v>
      </c>
      <c r="E19223" t="s">
        <v>1</v>
      </c>
      <c r="F19223" t="s">
        <v>0</v>
      </c>
      <c r="G19223" t="str">
        <f>"2018-10-24 10:13:06"</f>
        <v>2018-10-24 10:13:06</v>
      </c>
    </row>
    <row r="19224" spans="1:7" x14ac:dyDescent="0.2">
      <c r="A19224" t="s">
        <v>18131</v>
      </c>
      <c r="B19224" t="str">
        <f>"13172958731"</f>
        <v>13172958731</v>
      </c>
      <c r="C19224" t="str">
        <f>"52232320000228626X"</f>
        <v>52232320000228626X</v>
      </c>
      <c r="D19224" t="s">
        <v>1</v>
      </c>
      <c r="E19224" t="s">
        <v>1</v>
      </c>
      <c r="F19224" t="s">
        <v>0</v>
      </c>
      <c r="G19224" t="str">
        <f>"2018-10-10 18:39:04"</f>
        <v>2018-10-10 18:39:04</v>
      </c>
    </row>
    <row r="19225" spans="1:7" x14ac:dyDescent="0.2">
      <c r="A19225" t="s">
        <v>18132</v>
      </c>
      <c r="B19225" t="str">
        <f>"15811178575"</f>
        <v>15811178575</v>
      </c>
      <c r="C19225" t="str">
        <f>"110227199308011222"</f>
        <v>110227199308011222</v>
      </c>
      <c r="D19225" t="s">
        <v>1</v>
      </c>
      <c r="E19225" t="s">
        <v>1</v>
      </c>
      <c r="F19225" t="s">
        <v>0</v>
      </c>
      <c r="G19225" t="str">
        <f>"2018-10-10 19:30:40"</f>
        <v>2018-10-10 19:30:40</v>
      </c>
    </row>
    <row r="19226" spans="1:7" x14ac:dyDescent="0.2">
      <c r="A19226" t="s">
        <v>18133</v>
      </c>
      <c r="B19226" t="str">
        <f>"18257761978"</f>
        <v>18257761978</v>
      </c>
      <c r="C19226" t="str">
        <f>"330327199802164538"</f>
        <v>330327199802164538</v>
      </c>
      <c r="D19226" t="s">
        <v>18134</v>
      </c>
      <c r="E19226" t="s">
        <v>18135</v>
      </c>
      <c r="F19226" t="s">
        <v>0</v>
      </c>
      <c r="G19226" t="str">
        <f>"2018-10-10 19:46:52"</f>
        <v>2018-10-10 19:46:52</v>
      </c>
    </row>
    <row r="19227" spans="1:7" x14ac:dyDescent="0.2">
      <c r="A19227" t="s">
        <v>18136</v>
      </c>
      <c r="B19227" t="str">
        <f>"18508758574"</f>
        <v>18508758574</v>
      </c>
      <c r="C19227" t="str">
        <f>"533025199804063619"</f>
        <v>533025199804063619</v>
      </c>
      <c r="D19227" t="s">
        <v>1</v>
      </c>
      <c r="E19227" t="s">
        <v>1</v>
      </c>
      <c r="F19227" t="s">
        <v>0</v>
      </c>
      <c r="G19227" t="str">
        <f>"2018-10-10 18:35:44"</f>
        <v>2018-10-10 18:35:44</v>
      </c>
    </row>
    <row r="19228" spans="1:7" x14ac:dyDescent="0.2">
      <c r="A19228" t="s">
        <v>18137</v>
      </c>
      <c r="B19228" t="str">
        <f>"15956938180"</f>
        <v>15956938180</v>
      </c>
      <c r="C19228" t="str">
        <f>"341227199212020013"</f>
        <v>341227199212020013</v>
      </c>
      <c r="D19228" t="s">
        <v>1</v>
      </c>
      <c r="E19228" t="s">
        <v>1</v>
      </c>
      <c r="F19228" t="s">
        <v>0</v>
      </c>
      <c r="G19228" t="str">
        <f>"2018-10-10 18:34:05"</f>
        <v>2018-10-10 18:34:05</v>
      </c>
    </row>
    <row r="19229" spans="1:7" x14ac:dyDescent="0.2">
      <c r="A19229" t="s">
        <v>18138</v>
      </c>
      <c r="B19229" t="str">
        <f>"15248324357"</f>
        <v>15248324357</v>
      </c>
      <c r="C19229" t="str">
        <f>"152323199103180021"</f>
        <v>152323199103180021</v>
      </c>
      <c r="D19229" t="s">
        <v>1</v>
      </c>
      <c r="E19229" t="s">
        <v>1</v>
      </c>
      <c r="F19229" t="s">
        <v>0</v>
      </c>
      <c r="G19229" t="str">
        <f>"2018-10-10 18:33:51"</f>
        <v>2018-10-10 18:33:51</v>
      </c>
    </row>
    <row r="19230" spans="1:7" x14ac:dyDescent="0.2">
      <c r="A19230" t="s">
        <v>18139</v>
      </c>
      <c r="B19230" t="str">
        <f>"15536194456"</f>
        <v>15536194456</v>
      </c>
      <c r="C19230" t="str">
        <f>"140429197507255924"</f>
        <v>140429197507255924</v>
      </c>
      <c r="D19230" t="s">
        <v>18140</v>
      </c>
      <c r="E19230" t="s">
        <v>18141</v>
      </c>
      <c r="F19230" t="s">
        <v>0</v>
      </c>
      <c r="G19230" t="str">
        <f>"2018-10-10 18:55:09"</f>
        <v>2018-10-10 18:55:09</v>
      </c>
    </row>
    <row r="19231" spans="1:7" x14ac:dyDescent="0.2">
      <c r="A19231" t="s">
        <v>18142</v>
      </c>
      <c r="B19231" t="str">
        <f>"13867774688"</f>
        <v>13867774688</v>
      </c>
      <c r="C19231" t="str">
        <f>"330329199110195432"</f>
        <v>330329199110195432</v>
      </c>
      <c r="D19231" t="s">
        <v>18143</v>
      </c>
      <c r="E19231" t="s">
        <v>18144</v>
      </c>
      <c r="F19231" t="s">
        <v>0</v>
      </c>
      <c r="G19231" t="str">
        <f>"2018-10-10 18:32:56"</f>
        <v>2018-10-10 18:32:56</v>
      </c>
    </row>
    <row r="19232" spans="1:7" x14ac:dyDescent="0.2">
      <c r="A19232" t="s">
        <v>18145</v>
      </c>
      <c r="B19232" t="str">
        <f>"18538179509"</f>
        <v>18538179509</v>
      </c>
      <c r="C19232" t="str">
        <f>"411526199501084839"</f>
        <v>411526199501084839</v>
      </c>
      <c r="D19232" t="s">
        <v>18146</v>
      </c>
      <c r="E19232" t="s">
        <v>18147</v>
      </c>
      <c r="F19232" t="s">
        <v>0</v>
      </c>
      <c r="G19232" t="str">
        <f>"2018-10-10 18:41:27"</f>
        <v>2018-10-10 18:41:27</v>
      </c>
    </row>
    <row r="19233" spans="1:7" x14ac:dyDescent="0.2">
      <c r="A19233" t="s">
        <v>18148</v>
      </c>
      <c r="B19233" t="str">
        <f>"15177054389"</f>
        <v>15177054389</v>
      </c>
      <c r="C19233" t="str">
        <f>"452624199110160452"</f>
        <v>452624199110160452</v>
      </c>
      <c r="D19233" t="s">
        <v>1</v>
      </c>
      <c r="E19233" t="s">
        <v>1</v>
      </c>
      <c r="F19233" t="s">
        <v>0</v>
      </c>
      <c r="G19233" t="str">
        <f>"2018-10-10 18:45:02"</f>
        <v>2018-10-10 18:45:02</v>
      </c>
    </row>
    <row r="19234" spans="1:7" x14ac:dyDescent="0.2">
      <c r="A19234" t="s">
        <v>1</v>
      </c>
      <c r="B19234" t="str">
        <f>"18090236196"</f>
        <v>18090236196</v>
      </c>
      <c r="C19234" t="s">
        <v>1</v>
      </c>
      <c r="D19234" t="s">
        <v>1</v>
      </c>
      <c r="E19234" t="s">
        <v>1</v>
      </c>
      <c r="F19234" t="s">
        <v>0</v>
      </c>
      <c r="G19234" t="str">
        <f>"2018-10-10 18:32:16"</f>
        <v>2018-10-10 18:32:16</v>
      </c>
    </row>
    <row r="19235" spans="1:7" x14ac:dyDescent="0.2">
      <c r="A19235" t="s">
        <v>18149</v>
      </c>
      <c r="B19235" t="str">
        <f>"17393463132"</f>
        <v>17393463132</v>
      </c>
      <c r="C19235" t="str">
        <f>"622801198712250838"</f>
        <v>622801198712250838</v>
      </c>
      <c r="D19235" t="s">
        <v>1</v>
      </c>
      <c r="E19235" t="s">
        <v>1</v>
      </c>
      <c r="F19235" t="s">
        <v>0</v>
      </c>
      <c r="G19235" t="str">
        <f>"2018-10-10 18:33:17"</f>
        <v>2018-10-10 18:33:17</v>
      </c>
    </row>
    <row r="19236" spans="1:7" x14ac:dyDescent="0.2">
      <c r="A19236" t="s">
        <v>1204</v>
      </c>
      <c r="B19236" t="str">
        <f>"18861015730"</f>
        <v>18861015730</v>
      </c>
      <c r="C19236" t="str">
        <f>"320923199605234539"</f>
        <v>320923199605234539</v>
      </c>
      <c r="D19236" t="s">
        <v>1</v>
      </c>
      <c r="E19236" t="s">
        <v>1</v>
      </c>
      <c r="F19236" t="s">
        <v>0</v>
      </c>
      <c r="G19236" t="str">
        <f>"2018-10-15 19:36:38"</f>
        <v>2018-10-15 19:36:38</v>
      </c>
    </row>
    <row r="19237" spans="1:7" x14ac:dyDescent="0.2">
      <c r="A19237" t="s">
        <v>153</v>
      </c>
      <c r="B19237" t="str">
        <f>"15866588388"</f>
        <v>15866588388</v>
      </c>
      <c r="C19237" t="str">
        <f>"370703197906182211"</f>
        <v>370703197906182211</v>
      </c>
      <c r="D19237" t="s">
        <v>1</v>
      </c>
      <c r="E19237" t="s">
        <v>1</v>
      </c>
      <c r="F19237" t="s">
        <v>0</v>
      </c>
      <c r="G19237" t="str">
        <f>"2018-10-10 18:31:04"</f>
        <v>2018-10-10 18:31:04</v>
      </c>
    </row>
    <row r="19238" spans="1:7" x14ac:dyDescent="0.2">
      <c r="A19238" t="s">
        <v>18150</v>
      </c>
      <c r="B19238" t="str">
        <f>"13814901343"</f>
        <v>13814901343</v>
      </c>
      <c r="C19238" t="str">
        <f>"320581198505244526"</f>
        <v>320581198505244526</v>
      </c>
      <c r="D19238" t="s">
        <v>1</v>
      </c>
      <c r="E19238" t="s">
        <v>1</v>
      </c>
      <c r="F19238" t="s">
        <v>0</v>
      </c>
      <c r="G19238" t="str">
        <f>"2018-10-10 18:33:53"</f>
        <v>2018-10-10 18:33:53</v>
      </c>
    </row>
    <row r="19239" spans="1:7" x14ac:dyDescent="0.2">
      <c r="A19239" t="s">
        <v>18151</v>
      </c>
      <c r="B19239" t="str">
        <f>"15912225124"</f>
        <v>15912225124</v>
      </c>
      <c r="C19239" t="str">
        <f>"533222199811093930"</f>
        <v>533222199811093930</v>
      </c>
      <c r="D19239" t="s">
        <v>18152</v>
      </c>
      <c r="E19239" t="s">
        <v>18153</v>
      </c>
      <c r="F19239" t="s">
        <v>0</v>
      </c>
      <c r="G19239" t="str">
        <f>"2018-10-10 18:42:46"</f>
        <v>2018-10-10 18:42:46</v>
      </c>
    </row>
    <row r="19240" spans="1:7" x14ac:dyDescent="0.2">
      <c r="A19240" t="s">
        <v>18154</v>
      </c>
      <c r="B19240" t="str">
        <f>"15717088675"</f>
        <v>15717088675</v>
      </c>
      <c r="C19240" t="str">
        <f>"36070219910205221X"</f>
        <v>36070219910205221X</v>
      </c>
      <c r="D19240" t="s">
        <v>1</v>
      </c>
      <c r="E19240" t="s">
        <v>1</v>
      </c>
      <c r="F19240" t="s">
        <v>0</v>
      </c>
      <c r="G19240" t="str">
        <f>"2018-10-10 18:33:00"</f>
        <v>2018-10-10 18:33:00</v>
      </c>
    </row>
    <row r="19241" spans="1:7" x14ac:dyDescent="0.2">
      <c r="A19241" t="s">
        <v>18155</v>
      </c>
      <c r="B19241" t="str">
        <f>"13656015177"</f>
        <v>13656015177</v>
      </c>
      <c r="C19241" t="str">
        <f>"33032519781019054X"</f>
        <v>33032519781019054X</v>
      </c>
      <c r="D19241" t="s">
        <v>1</v>
      </c>
      <c r="E19241" t="s">
        <v>1</v>
      </c>
      <c r="F19241" t="s">
        <v>0</v>
      </c>
      <c r="G19241" t="str">
        <f>"2018-10-10 18:32:49"</f>
        <v>2018-10-10 18:32:49</v>
      </c>
    </row>
    <row r="19242" spans="1:7" x14ac:dyDescent="0.2">
      <c r="A19242" t="s">
        <v>18156</v>
      </c>
      <c r="B19242" t="str">
        <f>"15768615600"</f>
        <v>15768615600</v>
      </c>
      <c r="C19242" t="str">
        <f>"441323199607062393"</f>
        <v>441323199607062393</v>
      </c>
      <c r="D19242" t="s">
        <v>1</v>
      </c>
      <c r="E19242" t="s">
        <v>1</v>
      </c>
      <c r="F19242" t="s">
        <v>0</v>
      </c>
      <c r="G19242" t="str">
        <f>"2018-10-10 18:30:34"</f>
        <v>2018-10-10 18:30:34</v>
      </c>
    </row>
    <row r="19243" spans="1:7" x14ac:dyDescent="0.2">
      <c r="A19243" t="s">
        <v>18157</v>
      </c>
      <c r="B19243" t="str">
        <f>"13721089996"</f>
        <v>13721089996</v>
      </c>
      <c r="C19243" t="str">
        <f>"340122197911100170"</f>
        <v>340122197911100170</v>
      </c>
      <c r="D19243" t="s">
        <v>1</v>
      </c>
      <c r="E19243" t="s">
        <v>1</v>
      </c>
      <c r="F19243" t="s">
        <v>0</v>
      </c>
      <c r="G19243" t="str">
        <f>"2018-10-10 18:30:03"</f>
        <v>2018-10-10 18:30:03</v>
      </c>
    </row>
    <row r="19244" spans="1:7" x14ac:dyDescent="0.2">
      <c r="A19244" t="s">
        <v>1</v>
      </c>
      <c r="B19244" t="str">
        <f>"15714759464"</f>
        <v>15714759464</v>
      </c>
      <c r="C19244" t="s">
        <v>1</v>
      </c>
      <c r="D19244" t="s">
        <v>1</v>
      </c>
      <c r="E19244" t="s">
        <v>1</v>
      </c>
      <c r="F19244" t="s">
        <v>0</v>
      </c>
      <c r="G19244" t="str">
        <f>"2018-10-10 18:30:37"</f>
        <v>2018-10-10 18:30:37</v>
      </c>
    </row>
    <row r="19245" spans="1:7" x14ac:dyDescent="0.2">
      <c r="A19245" t="s">
        <v>1</v>
      </c>
      <c r="B19245" t="str">
        <f>"17853850613"</f>
        <v>17853850613</v>
      </c>
      <c r="C19245" t="s">
        <v>1</v>
      </c>
      <c r="D19245" t="s">
        <v>1</v>
      </c>
      <c r="E19245" t="s">
        <v>1</v>
      </c>
      <c r="F19245" t="s">
        <v>0</v>
      </c>
      <c r="G19245" t="str">
        <f>"2018-10-10 18:27:59"</f>
        <v>2018-10-10 18:27:59</v>
      </c>
    </row>
    <row r="19246" spans="1:7" x14ac:dyDescent="0.2">
      <c r="A19246" t="s">
        <v>1</v>
      </c>
      <c r="B19246" t="str">
        <f>"18260161590"</f>
        <v>18260161590</v>
      </c>
      <c r="C19246" t="s">
        <v>1</v>
      </c>
      <c r="D19246" t="s">
        <v>1</v>
      </c>
      <c r="E19246" t="s">
        <v>1</v>
      </c>
      <c r="F19246" t="s">
        <v>0</v>
      </c>
      <c r="G19246" t="str">
        <f>"2018-10-10 18:27:58"</f>
        <v>2018-10-10 18:27:58</v>
      </c>
    </row>
    <row r="19247" spans="1:7" x14ac:dyDescent="0.2">
      <c r="A19247" t="s">
        <v>18158</v>
      </c>
      <c r="B19247" t="str">
        <f>"18877019310"</f>
        <v>18877019310</v>
      </c>
      <c r="C19247" t="str">
        <f>"450603198507162132"</f>
        <v>450603198507162132</v>
      </c>
      <c r="D19247" t="s">
        <v>18159</v>
      </c>
      <c r="E19247" t="s">
        <v>18160</v>
      </c>
      <c r="F19247" t="s">
        <v>0</v>
      </c>
      <c r="G19247" t="str">
        <f>"2018-10-10 18:31:18"</f>
        <v>2018-10-10 18:31:18</v>
      </c>
    </row>
    <row r="19248" spans="1:7" x14ac:dyDescent="0.2">
      <c r="A19248" t="s">
        <v>18161</v>
      </c>
      <c r="B19248" t="str">
        <f>"18318473414"</f>
        <v>18318473414</v>
      </c>
      <c r="C19248" t="str">
        <f>"441284200211203439"</f>
        <v>441284200211203439</v>
      </c>
      <c r="D19248" t="s">
        <v>1</v>
      </c>
      <c r="E19248" t="s">
        <v>1</v>
      </c>
      <c r="F19248" t="s">
        <v>0</v>
      </c>
      <c r="G19248" t="str">
        <f>"2018-10-10 18:27:54"</f>
        <v>2018-10-10 18:27:54</v>
      </c>
    </row>
    <row r="19249" spans="1:7" x14ac:dyDescent="0.2">
      <c r="A19249" t="s">
        <v>18162</v>
      </c>
      <c r="B19249" t="str">
        <f>"18320361307"</f>
        <v>18320361307</v>
      </c>
      <c r="C19249" t="str">
        <f>"440881198709201126"</f>
        <v>440881198709201126</v>
      </c>
      <c r="D19249" t="s">
        <v>18163</v>
      </c>
      <c r="E19249" t="s">
        <v>18164</v>
      </c>
      <c r="F19249" t="s">
        <v>0</v>
      </c>
      <c r="G19249" t="str">
        <f>"2018-10-10 18:27:11"</f>
        <v>2018-10-10 18:27:11</v>
      </c>
    </row>
    <row r="19250" spans="1:7" x14ac:dyDescent="0.2">
      <c r="A19250" t="s">
        <v>18165</v>
      </c>
      <c r="B19250" t="str">
        <f>"15662636338"</f>
        <v>15662636338</v>
      </c>
      <c r="C19250" t="str">
        <f>"370125197310280537"</f>
        <v>370125197310280537</v>
      </c>
      <c r="D19250" t="s">
        <v>1</v>
      </c>
      <c r="E19250" t="s">
        <v>1</v>
      </c>
      <c r="F19250" t="s">
        <v>0</v>
      </c>
      <c r="G19250" t="str">
        <f>"2018-10-10 18:41:14"</f>
        <v>2018-10-10 18:41:14</v>
      </c>
    </row>
    <row r="19251" spans="1:7" x14ac:dyDescent="0.2">
      <c r="A19251" t="s">
        <v>476</v>
      </c>
      <c r="B19251" t="str">
        <f>"15914800466"</f>
        <v>15914800466</v>
      </c>
      <c r="C19251" t="str">
        <f>"440232198907143326"</f>
        <v>440232198907143326</v>
      </c>
      <c r="D19251" t="s">
        <v>1</v>
      </c>
      <c r="E19251" t="s">
        <v>1</v>
      </c>
      <c r="F19251" t="s">
        <v>0</v>
      </c>
      <c r="G19251" t="str">
        <f>"2018-10-14 17:34:39"</f>
        <v>2018-10-14 17:34:39</v>
      </c>
    </row>
    <row r="19252" spans="1:7" x14ac:dyDescent="0.2">
      <c r="A19252" t="s">
        <v>1</v>
      </c>
      <c r="B19252" t="str">
        <f>"15903707517"</f>
        <v>15903707517</v>
      </c>
      <c r="C19252" t="s">
        <v>1</v>
      </c>
      <c r="D19252" t="s">
        <v>1</v>
      </c>
      <c r="E19252" t="s">
        <v>1</v>
      </c>
      <c r="F19252" t="s">
        <v>0</v>
      </c>
      <c r="G19252" t="str">
        <f>"2018-10-10 18:23:46"</f>
        <v>2018-10-10 18:23:46</v>
      </c>
    </row>
    <row r="19253" spans="1:7" x14ac:dyDescent="0.2">
      <c r="A19253" t="s">
        <v>1</v>
      </c>
      <c r="B19253" t="str">
        <f>"15634979997"</f>
        <v>15634979997</v>
      </c>
      <c r="C19253" t="s">
        <v>1</v>
      </c>
      <c r="D19253" t="s">
        <v>1</v>
      </c>
      <c r="E19253" t="s">
        <v>1</v>
      </c>
      <c r="F19253" t="s">
        <v>0</v>
      </c>
      <c r="G19253" t="str">
        <f>"2018-10-10 18:23:23"</f>
        <v>2018-10-10 18:23:23</v>
      </c>
    </row>
    <row r="19254" spans="1:7" x14ac:dyDescent="0.2">
      <c r="A19254" t="s">
        <v>18166</v>
      </c>
      <c r="B19254" t="str">
        <f>"13814293954"</f>
        <v>13814293954</v>
      </c>
      <c r="C19254" t="str">
        <f>"320882199409083619"</f>
        <v>320882199409083619</v>
      </c>
      <c r="D19254" t="s">
        <v>1</v>
      </c>
      <c r="E19254" t="s">
        <v>1</v>
      </c>
      <c r="F19254" t="s">
        <v>0</v>
      </c>
      <c r="G19254" t="str">
        <f>"2018-10-10 18:22:44"</f>
        <v>2018-10-10 18:22:44</v>
      </c>
    </row>
    <row r="19255" spans="1:7" x14ac:dyDescent="0.2">
      <c r="A19255" t="s">
        <v>18167</v>
      </c>
      <c r="B19255" t="str">
        <f>"17322277494"</f>
        <v>17322277494</v>
      </c>
      <c r="C19255" t="str">
        <f>"432502199109017635"</f>
        <v>432502199109017635</v>
      </c>
      <c r="D19255" t="s">
        <v>18168</v>
      </c>
      <c r="E19255" t="s">
        <v>18169</v>
      </c>
      <c r="F19255" t="s">
        <v>0</v>
      </c>
      <c r="G19255" t="str">
        <f>"2018-10-10 18:22:47"</f>
        <v>2018-10-10 18:22:47</v>
      </c>
    </row>
    <row r="19256" spans="1:7" x14ac:dyDescent="0.2">
      <c r="A19256" t="s">
        <v>1</v>
      </c>
      <c r="B19256" t="str">
        <f>"13958787000"</f>
        <v>13958787000</v>
      </c>
      <c r="C19256" t="s">
        <v>1</v>
      </c>
      <c r="D19256" t="s">
        <v>1</v>
      </c>
      <c r="E19256" t="s">
        <v>1</v>
      </c>
      <c r="F19256" t="s">
        <v>0</v>
      </c>
      <c r="G19256" t="str">
        <f>"2018-10-10 18:21:32"</f>
        <v>2018-10-10 18:21:32</v>
      </c>
    </row>
    <row r="19257" spans="1:7" x14ac:dyDescent="0.2">
      <c r="A19257" t="s">
        <v>1</v>
      </c>
      <c r="B19257" t="str">
        <f>"15258874443"</f>
        <v>15258874443</v>
      </c>
      <c r="C19257" t="s">
        <v>1</v>
      </c>
      <c r="D19257" t="s">
        <v>1</v>
      </c>
      <c r="E19257" t="s">
        <v>1</v>
      </c>
      <c r="F19257" t="s">
        <v>0</v>
      </c>
      <c r="G19257" t="str">
        <f>"2018-10-10 18:21:13"</f>
        <v>2018-10-10 18:21:13</v>
      </c>
    </row>
    <row r="19258" spans="1:7" x14ac:dyDescent="0.2">
      <c r="A19258" t="s">
        <v>1</v>
      </c>
      <c r="B19258" t="str">
        <f>"15833932882"</f>
        <v>15833932882</v>
      </c>
      <c r="C19258" t="s">
        <v>1</v>
      </c>
      <c r="D19258" t="s">
        <v>1</v>
      </c>
      <c r="E19258" t="s">
        <v>1</v>
      </c>
      <c r="F19258" t="s">
        <v>0</v>
      </c>
      <c r="G19258" t="str">
        <f>"2018-10-10 18:20:31"</f>
        <v>2018-10-10 18:20:31</v>
      </c>
    </row>
    <row r="19259" spans="1:7" x14ac:dyDescent="0.2">
      <c r="A19259" t="s">
        <v>18170</v>
      </c>
      <c r="B19259" t="str">
        <f>"13593582833"</f>
        <v>13593582833</v>
      </c>
      <c r="C19259" t="str">
        <f>"140102198210235170"</f>
        <v>140102198210235170</v>
      </c>
      <c r="D19259" t="s">
        <v>1</v>
      </c>
      <c r="E19259" t="s">
        <v>1</v>
      </c>
      <c r="F19259" t="s">
        <v>0</v>
      </c>
      <c r="G19259" t="str">
        <f>"2018-10-10 18:20:19"</f>
        <v>2018-10-10 18:20:19</v>
      </c>
    </row>
    <row r="19260" spans="1:7" x14ac:dyDescent="0.2">
      <c r="A19260" t="s">
        <v>1</v>
      </c>
      <c r="B19260" t="str">
        <f>"13024664809"</f>
        <v>13024664809</v>
      </c>
      <c r="C19260" t="s">
        <v>1</v>
      </c>
      <c r="D19260" t="s">
        <v>1</v>
      </c>
      <c r="E19260" t="s">
        <v>1</v>
      </c>
      <c r="F19260" t="s">
        <v>0</v>
      </c>
      <c r="G19260" t="str">
        <f>"2018-10-10 18:20:12"</f>
        <v>2018-10-10 18:20:12</v>
      </c>
    </row>
    <row r="19261" spans="1:7" x14ac:dyDescent="0.2">
      <c r="A19261" t="s">
        <v>1035</v>
      </c>
      <c r="B19261" t="str">
        <f>"18104825000"</f>
        <v>18104825000</v>
      </c>
      <c r="C19261" t="str">
        <f>"152224198801300517"</f>
        <v>152224198801300517</v>
      </c>
      <c r="D19261" t="s">
        <v>1</v>
      </c>
      <c r="E19261" t="s">
        <v>1</v>
      </c>
      <c r="F19261" t="s">
        <v>0</v>
      </c>
      <c r="G19261" t="str">
        <f>"2018-10-10 18:21:33"</f>
        <v>2018-10-10 18:21:33</v>
      </c>
    </row>
    <row r="19262" spans="1:7" x14ac:dyDescent="0.2">
      <c r="A19262" t="s">
        <v>18171</v>
      </c>
      <c r="B19262" t="str">
        <f>"13638209538"</f>
        <v>13638209538</v>
      </c>
      <c r="C19262" t="str">
        <f>"500242198405280012"</f>
        <v>500242198405280012</v>
      </c>
      <c r="D19262" t="s">
        <v>18172</v>
      </c>
      <c r="E19262" t="s">
        <v>18173</v>
      </c>
      <c r="F19262" t="s">
        <v>0</v>
      </c>
      <c r="G19262" t="str">
        <f>"2018-10-10 18:19:45"</f>
        <v>2018-10-10 18:19:45</v>
      </c>
    </row>
    <row r="19263" spans="1:7" x14ac:dyDescent="0.2">
      <c r="A19263" t="s">
        <v>18174</v>
      </c>
      <c r="B19263" t="str">
        <f>"18653872599"</f>
        <v>18653872599</v>
      </c>
      <c r="C19263" t="str">
        <f>"370923199005132239"</f>
        <v>370923199005132239</v>
      </c>
      <c r="D19263" t="s">
        <v>1</v>
      </c>
      <c r="E19263" t="s">
        <v>1</v>
      </c>
      <c r="F19263" t="s">
        <v>0</v>
      </c>
      <c r="G19263" t="str">
        <f>"2018-10-10 18:37:55"</f>
        <v>2018-10-10 18:37:55</v>
      </c>
    </row>
    <row r="19264" spans="1:7" x14ac:dyDescent="0.2">
      <c r="A19264" t="s">
        <v>18175</v>
      </c>
      <c r="B19264" t="str">
        <f>"13577294999"</f>
        <v>13577294999</v>
      </c>
      <c r="C19264" t="str">
        <f>"532901197806163718"</f>
        <v>532901197806163718</v>
      </c>
      <c r="D19264" t="s">
        <v>18176</v>
      </c>
      <c r="E19264" t="s">
        <v>18177</v>
      </c>
      <c r="F19264" t="s">
        <v>0</v>
      </c>
      <c r="G19264" t="str">
        <f>"2018-10-11 08:20:11"</f>
        <v>2018-10-11 08:20:11</v>
      </c>
    </row>
    <row r="19265" spans="1:7" x14ac:dyDescent="0.2">
      <c r="A19265" t="s">
        <v>18178</v>
      </c>
      <c r="B19265" t="str">
        <f>"18778765341"</f>
        <v>18778765341</v>
      </c>
      <c r="C19265" t="str">
        <f>"450721199003180516"</f>
        <v>450721199003180516</v>
      </c>
      <c r="D19265" t="s">
        <v>18179</v>
      </c>
      <c r="E19265" t="s">
        <v>18180</v>
      </c>
      <c r="F19265" t="s">
        <v>0</v>
      </c>
      <c r="G19265" t="str">
        <f>"2018-10-10 18:30:20"</f>
        <v>2018-10-10 18:30:20</v>
      </c>
    </row>
    <row r="19266" spans="1:7" x14ac:dyDescent="0.2">
      <c r="A19266" t="s">
        <v>18181</v>
      </c>
      <c r="B19266" t="str">
        <f>"17625585139"</f>
        <v>17625585139</v>
      </c>
      <c r="C19266" t="str">
        <f>"340826199504101830"</f>
        <v>340826199504101830</v>
      </c>
      <c r="D19266" t="s">
        <v>1</v>
      </c>
      <c r="E19266" t="s">
        <v>1</v>
      </c>
      <c r="F19266" t="s">
        <v>0</v>
      </c>
      <c r="G19266" t="str">
        <f>"2018-10-10 20:41:41"</f>
        <v>2018-10-10 20:41:41</v>
      </c>
    </row>
    <row r="19267" spans="1:7" x14ac:dyDescent="0.2">
      <c r="A19267" t="s">
        <v>1</v>
      </c>
      <c r="B19267" t="str">
        <f>"13814769638"</f>
        <v>13814769638</v>
      </c>
      <c r="C19267" t="s">
        <v>1</v>
      </c>
      <c r="D19267" t="s">
        <v>1</v>
      </c>
      <c r="E19267" t="s">
        <v>1</v>
      </c>
      <c r="F19267" t="s">
        <v>0</v>
      </c>
      <c r="G19267" t="str">
        <f>"2018-10-10 18:18:33"</f>
        <v>2018-10-10 18:18:33</v>
      </c>
    </row>
    <row r="19268" spans="1:7" x14ac:dyDescent="0.2">
      <c r="A19268" t="s">
        <v>1</v>
      </c>
      <c r="B19268" t="str">
        <f>"13764509643"</f>
        <v>13764509643</v>
      </c>
      <c r="C19268" t="s">
        <v>1</v>
      </c>
      <c r="D19268" t="s">
        <v>1</v>
      </c>
      <c r="E19268" t="s">
        <v>1</v>
      </c>
      <c r="F19268" t="s">
        <v>0</v>
      </c>
      <c r="G19268" t="str">
        <f>"2018-10-10 18:19:12"</f>
        <v>2018-10-10 18:19:12</v>
      </c>
    </row>
    <row r="19269" spans="1:7" x14ac:dyDescent="0.2">
      <c r="A19269" t="s">
        <v>18182</v>
      </c>
      <c r="B19269" t="str">
        <f>"13624887050"</f>
        <v>13624887050</v>
      </c>
      <c r="C19269" t="str">
        <f>"152825198312302123"</f>
        <v>152825198312302123</v>
      </c>
      <c r="D19269" t="s">
        <v>18183</v>
      </c>
      <c r="E19269" t="s">
        <v>18184</v>
      </c>
      <c r="F19269" t="s">
        <v>0</v>
      </c>
      <c r="G19269" t="str">
        <f>"2018-10-10 20:53:19"</f>
        <v>2018-10-10 20:53:19</v>
      </c>
    </row>
    <row r="19270" spans="1:7" x14ac:dyDescent="0.2">
      <c r="A19270" t="s">
        <v>270</v>
      </c>
      <c r="B19270" t="str">
        <f>"18577763394"</f>
        <v>18577763394</v>
      </c>
      <c r="C19270" t="str">
        <f>"452132199201272110"</f>
        <v>452132199201272110</v>
      </c>
      <c r="D19270" t="s">
        <v>1</v>
      </c>
      <c r="E19270" t="s">
        <v>1</v>
      </c>
      <c r="F19270" t="s">
        <v>0</v>
      </c>
      <c r="G19270" t="str">
        <f>"2018-10-10 18:17:28"</f>
        <v>2018-10-10 18:17:28</v>
      </c>
    </row>
    <row r="19271" spans="1:7" x14ac:dyDescent="0.2">
      <c r="A19271" t="s">
        <v>1</v>
      </c>
      <c r="B19271" t="str">
        <f>"18507509728"</f>
        <v>18507509728</v>
      </c>
      <c r="C19271" t="s">
        <v>1</v>
      </c>
      <c r="D19271" t="s">
        <v>1</v>
      </c>
      <c r="E19271" t="s">
        <v>1</v>
      </c>
      <c r="F19271" t="s">
        <v>0</v>
      </c>
      <c r="G19271" t="str">
        <f>"2018-10-10 18:18:50"</f>
        <v>2018-10-10 18:18:50</v>
      </c>
    </row>
    <row r="19272" spans="1:7" x14ac:dyDescent="0.2">
      <c r="A19272" t="s">
        <v>18185</v>
      </c>
      <c r="B19272" t="str">
        <f>"15982267830"</f>
        <v>15982267830</v>
      </c>
      <c r="C19272" t="str">
        <f>"511028199201286737"</f>
        <v>511028199201286737</v>
      </c>
      <c r="D19272" t="s">
        <v>1</v>
      </c>
      <c r="E19272" t="s">
        <v>1</v>
      </c>
      <c r="F19272" t="s">
        <v>0</v>
      </c>
      <c r="G19272" t="str">
        <f>"2018-10-12 18:29:55"</f>
        <v>2018-10-12 18:29:55</v>
      </c>
    </row>
    <row r="19273" spans="1:7" x14ac:dyDescent="0.2">
      <c r="A19273" t="s">
        <v>18186</v>
      </c>
      <c r="B19273" t="str">
        <f>"18754474241"</f>
        <v>18754474241</v>
      </c>
      <c r="C19273" t="str">
        <f>"370784198708115862"</f>
        <v>370784198708115862</v>
      </c>
      <c r="D19273" t="s">
        <v>1</v>
      </c>
      <c r="E19273" t="s">
        <v>1</v>
      </c>
      <c r="F19273" t="s">
        <v>0</v>
      </c>
      <c r="G19273" t="str">
        <f>"2018-10-10 18:16:35"</f>
        <v>2018-10-10 18:16:35</v>
      </c>
    </row>
    <row r="19274" spans="1:7" x14ac:dyDescent="0.2">
      <c r="A19274" t="s">
        <v>18187</v>
      </c>
      <c r="B19274" t="str">
        <f>"13512131644"</f>
        <v>13512131644</v>
      </c>
      <c r="C19274" t="str">
        <f>"320684198005246677"</f>
        <v>320684198005246677</v>
      </c>
      <c r="D19274" t="s">
        <v>1</v>
      </c>
      <c r="E19274" t="s">
        <v>1</v>
      </c>
      <c r="F19274" t="s">
        <v>0</v>
      </c>
      <c r="G19274" t="str">
        <f>"2018-10-10 18:20:11"</f>
        <v>2018-10-10 18:20:11</v>
      </c>
    </row>
    <row r="19275" spans="1:7" x14ac:dyDescent="0.2">
      <c r="A19275" t="s">
        <v>1</v>
      </c>
      <c r="B19275" t="str">
        <f>"13972213739"</f>
        <v>13972213739</v>
      </c>
      <c r="C19275" t="s">
        <v>1</v>
      </c>
      <c r="D19275" t="s">
        <v>1</v>
      </c>
      <c r="E19275" t="s">
        <v>1</v>
      </c>
      <c r="F19275" t="s">
        <v>0</v>
      </c>
      <c r="G19275" t="str">
        <f>"2018-10-10 18:15:41"</f>
        <v>2018-10-10 18:15:41</v>
      </c>
    </row>
    <row r="19276" spans="1:7" x14ac:dyDescent="0.2">
      <c r="A19276" t="s">
        <v>18188</v>
      </c>
      <c r="B19276" t="str">
        <f>"18595555322"</f>
        <v>18595555322</v>
      </c>
      <c r="C19276" t="str">
        <f>"41282519921227643X"</f>
        <v>41282519921227643X</v>
      </c>
      <c r="D19276" t="s">
        <v>1</v>
      </c>
      <c r="E19276" t="s">
        <v>1</v>
      </c>
      <c r="F19276" t="s">
        <v>0</v>
      </c>
      <c r="G19276" t="str">
        <f>"2018-10-10 18:15:11"</f>
        <v>2018-10-10 18:15:11</v>
      </c>
    </row>
    <row r="19277" spans="1:7" x14ac:dyDescent="0.2">
      <c r="A19277" t="s">
        <v>18189</v>
      </c>
      <c r="B19277" t="str">
        <f>"17364222163"</f>
        <v>17364222163</v>
      </c>
      <c r="C19277" t="str">
        <f>"421126199501050030"</f>
        <v>421126199501050030</v>
      </c>
      <c r="D19277" t="s">
        <v>1</v>
      </c>
      <c r="E19277" t="s">
        <v>1</v>
      </c>
      <c r="F19277" t="s">
        <v>0</v>
      </c>
      <c r="G19277" t="str">
        <f>"2018-10-10 18:15:18"</f>
        <v>2018-10-10 18:15:18</v>
      </c>
    </row>
    <row r="19278" spans="1:7" x14ac:dyDescent="0.2">
      <c r="A19278" t="s">
        <v>18190</v>
      </c>
      <c r="B19278" t="str">
        <f>"13685726298"</f>
        <v>13685726298</v>
      </c>
      <c r="C19278" t="str">
        <f>"622625197106020632"</f>
        <v>622625197106020632</v>
      </c>
      <c r="D19278" t="s">
        <v>1</v>
      </c>
      <c r="E19278" t="s">
        <v>1</v>
      </c>
      <c r="F19278" t="s">
        <v>0</v>
      </c>
      <c r="G19278" t="str">
        <f>"2018-10-10 18:14:05"</f>
        <v>2018-10-10 18:14:05</v>
      </c>
    </row>
    <row r="19279" spans="1:7" x14ac:dyDescent="0.2">
      <c r="A19279" t="s">
        <v>18191</v>
      </c>
      <c r="B19279" t="str">
        <f>"13822828356"</f>
        <v>13822828356</v>
      </c>
      <c r="C19279" t="str">
        <f>"440582198505146655"</f>
        <v>440582198505146655</v>
      </c>
      <c r="D19279" t="s">
        <v>1</v>
      </c>
      <c r="E19279" t="s">
        <v>1</v>
      </c>
      <c r="F19279" t="s">
        <v>0</v>
      </c>
      <c r="G19279" t="str">
        <f>"2018-10-10 18:38:11"</f>
        <v>2018-10-10 18:38:11</v>
      </c>
    </row>
    <row r="19280" spans="1:7" x14ac:dyDescent="0.2">
      <c r="A19280" t="s">
        <v>18192</v>
      </c>
      <c r="B19280" t="str">
        <f>"13872193581"</f>
        <v>13872193581</v>
      </c>
      <c r="C19280" t="str">
        <f>"421281198707154914"</f>
        <v>421281198707154914</v>
      </c>
      <c r="D19280" t="s">
        <v>1</v>
      </c>
      <c r="E19280" t="s">
        <v>1</v>
      </c>
      <c r="F19280" t="s">
        <v>0</v>
      </c>
      <c r="G19280" t="str">
        <f>"2018-10-10 22:04:44"</f>
        <v>2018-10-10 22:04:44</v>
      </c>
    </row>
    <row r="19281" spans="1:7" x14ac:dyDescent="0.2">
      <c r="A19281" t="s">
        <v>1</v>
      </c>
      <c r="B19281" t="str">
        <f>"17603629037"</f>
        <v>17603629037</v>
      </c>
      <c r="C19281" t="s">
        <v>1</v>
      </c>
      <c r="D19281" t="s">
        <v>1</v>
      </c>
      <c r="E19281" t="s">
        <v>1</v>
      </c>
      <c r="F19281" t="s">
        <v>0</v>
      </c>
      <c r="G19281" t="str">
        <f>"2018-10-10 18:13:36"</f>
        <v>2018-10-10 18:13:36</v>
      </c>
    </row>
    <row r="19282" spans="1:7" x14ac:dyDescent="0.2">
      <c r="A19282" t="s">
        <v>1</v>
      </c>
      <c r="B19282" t="str">
        <f>"18487111924"</f>
        <v>18487111924</v>
      </c>
      <c r="C19282" t="s">
        <v>1</v>
      </c>
      <c r="D19282" t="s">
        <v>1</v>
      </c>
      <c r="E19282" t="s">
        <v>1</v>
      </c>
      <c r="F19282" t="s">
        <v>0</v>
      </c>
      <c r="G19282" t="str">
        <f>"2018-10-10 18:10:04"</f>
        <v>2018-10-10 18:10:04</v>
      </c>
    </row>
    <row r="19283" spans="1:7" x14ac:dyDescent="0.2">
      <c r="A19283" t="s">
        <v>1</v>
      </c>
      <c r="B19283" t="str">
        <f>"18850572278"</f>
        <v>18850572278</v>
      </c>
      <c r="C19283" t="s">
        <v>1</v>
      </c>
      <c r="D19283" t="s">
        <v>1</v>
      </c>
      <c r="E19283" t="s">
        <v>1</v>
      </c>
      <c r="F19283" t="s">
        <v>0</v>
      </c>
      <c r="G19283" t="str">
        <f>"2018-10-10 18:10:03"</f>
        <v>2018-10-10 18:10:03</v>
      </c>
    </row>
    <row r="19284" spans="1:7" x14ac:dyDescent="0.2">
      <c r="A19284" t="s">
        <v>1</v>
      </c>
      <c r="B19284" t="str">
        <f>"13799747779"</f>
        <v>13799747779</v>
      </c>
      <c r="C19284" t="s">
        <v>1</v>
      </c>
      <c r="D19284" t="s">
        <v>1</v>
      </c>
      <c r="E19284" t="s">
        <v>1</v>
      </c>
      <c r="F19284" t="s">
        <v>0</v>
      </c>
      <c r="G19284" t="str">
        <f>"2018-10-10 18:09:29"</f>
        <v>2018-10-10 18:09:29</v>
      </c>
    </row>
    <row r="19285" spans="1:7" x14ac:dyDescent="0.2">
      <c r="A19285" t="s">
        <v>1</v>
      </c>
      <c r="B19285" t="str">
        <f>"15162663583"</f>
        <v>15162663583</v>
      </c>
      <c r="C19285" t="s">
        <v>1</v>
      </c>
      <c r="D19285" t="s">
        <v>1</v>
      </c>
      <c r="E19285" t="s">
        <v>1</v>
      </c>
      <c r="F19285" t="s">
        <v>0</v>
      </c>
      <c r="G19285" t="str">
        <f>"2018-10-10 18:12:26"</f>
        <v>2018-10-10 18:12:26</v>
      </c>
    </row>
    <row r="19286" spans="1:7" x14ac:dyDescent="0.2">
      <c r="A19286" t="s">
        <v>18193</v>
      </c>
      <c r="B19286" t="str">
        <f>"15730047305"</f>
        <v>15730047305</v>
      </c>
      <c r="C19286" t="str">
        <f>"500381199809253728"</f>
        <v>500381199809253728</v>
      </c>
      <c r="D19286" t="s">
        <v>1</v>
      </c>
      <c r="E19286" t="s">
        <v>1</v>
      </c>
      <c r="F19286" t="s">
        <v>0</v>
      </c>
      <c r="G19286" t="str">
        <f>"2018-10-10 18:10:07"</f>
        <v>2018-10-10 18:10:07</v>
      </c>
    </row>
    <row r="19287" spans="1:7" x14ac:dyDescent="0.2">
      <c r="A19287" t="s">
        <v>1</v>
      </c>
      <c r="B19287" t="str">
        <f>"13789397469"</f>
        <v>13789397469</v>
      </c>
      <c r="C19287" t="s">
        <v>1</v>
      </c>
      <c r="D19287" t="s">
        <v>1</v>
      </c>
      <c r="E19287" t="s">
        <v>1</v>
      </c>
      <c r="F19287" t="s">
        <v>0</v>
      </c>
      <c r="G19287" t="str">
        <f>"2018-10-10 18:08:20"</f>
        <v>2018-10-10 18:08:20</v>
      </c>
    </row>
    <row r="19288" spans="1:7" x14ac:dyDescent="0.2">
      <c r="A19288" t="s">
        <v>18194</v>
      </c>
      <c r="B19288" t="str">
        <f>"13533152608"</f>
        <v>13533152608</v>
      </c>
      <c r="C19288" t="str">
        <f>"452402198612261815"</f>
        <v>452402198612261815</v>
      </c>
      <c r="D19288" t="s">
        <v>18195</v>
      </c>
      <c r="E19288" t="s">
        <v>18196</v>
      </c>
      <c r="F19288" t="s">
        <v>0</v>
      </c>
      <c r="G19288" t="str">
        <f>"2018-10-10 18:10:14"</f>
        <v>2018-10-10 18:10:14</v>
      </c>
    </row>
    <row r="19289" spans="1:7" x14ac:dyDescent="0.2">
      <c r="A19289" t="s">
        <v>1</v>
      </c>
      <c r="B19289" t="str">
        <f>"18575326791"</f>
        <v>18575326791</v>
      </c>
      <c r="C19289" t="s">
        <v>1</v>
      </c>
      <c r="D19289" t="s">
        <v>1</v>
      </c>
      <c r="E19289" t="s">
        <v>1</v>
      </c>
      <c r="F19289" t="s">
        <v>0</v>
      </c>
      <c r="G19289" t="str">
        <f>"2018-10-10 18:07:25"</f>
        <v>2018-10-10 18:07:25</v>
      </c>
    </row>
    <row r="19290" spans="1:7" x14ac:dyDescent="0.2">
      <c r="A19290" t="s">
        <v>18197</v>
      </c>
      <c r="B19290" t="str">
        <f>"15061828228"</f>
        <v>15061828228</v>
      </c>
      <c r="C19290" t="str">
        <f>"320283199708306337"</f>
        <v>320283199708306337</v>
      </c>
      <c r="D19290" t="s">
        <v>1</v>
      </c>
      <c r="E19290" t="s">
        <v>1</v>
      </c>
      <c r="F19290" t="s">
        <v>0</v>
      </c>
      <c r="G19290" t="str">
        <f>"2018-10-10 18:10:16"</f>
        <v>2018-10-10 18:10:16</v>
      </c>
    </row>
    <row r="19291" spans="1:7" x14ac:dyDescent="0.2">
      <c r="A19291" t="s">
        <v>18198</v>
      </c>
      <c r="B19291" t="str">
        <f>"13988897042"</f>
        <v>13988897042</v>
      </c>
      <c r="C19291" t="str">
        <f>"53322219940813363X"</f>
        <v>53322219940813363X</v>
      </c>
      <c r="D19291" t="s">
        <v>1</v>
      </c>
      <c r="E19291" t="s">
        <v>1</v>
      </c>
      <c r="F19291" t="s">
        <v>0</v>
      </c>
      <c r="G19291" t="str">
        <f>"2018-10-10 20:37:14"</f>
        <v>2018-10-10 20:37:14</v>
      </c>
    </row>
    <row r="19292" spans="1:7" x14ac:dyDescent="0.2">
      <c r="A19292" t="s">
        <v>18199</v>
      </c>
      <c r="B19292" t="str">
        <f>"15808871916"</f>
        <v>15808871916</v>
      </c>
      <c r="C19292" t="str">
        <f>"530127198503212714"</f>
        <v>530127198503212714</v>
      </c>
      <c r="D19292" t="s">
        <v>1</v>
      </c>
      <c r="E19292" t="s">
        <v>1</v>
      </c>
      <c r="F19292" t="s">
        <v>0</v>
      </c>
      <c r="G19292" t="str">
        <f>"2018-10-10 18:13:47"</f>
        <v>2018-10-10 18:13:47</v>
      </c>
    </row>
    <row r="19293" spans="1:7" x14ac:dyDescent="0.2">
      <c r="A19293" t="s">
        <v>18200</v>
      </c>
      <c r="B19293" t="str">
        <f>"15288482889"</f>
        <v>15288482889</v>
      </c>
      <c r="C19293" t="str">
        <f>"530426199609122121"</f>
        <v>530426199609122121</v>
      </c>
      <c r="D19293" t="s">
        <v>18201</v>
      </c>
      <c r="E19293" t="s">
        <v>18202</v>
      </c>
      <c r="F19293" t="s">
        <v>0</v>
      </c>
      <c r="G19293" t="str">
        <f>"2018-10-10 18:05:50"</f>
        <v>2018-10-10 18:05:50</v>
      </c>
    </row>
    <row r="19294" spans="1:7" x14ac:dyDescent="0.2">
      <c r="A19294" t="s">
        <v>18203</v>
      </c>
      <c r="B19294" t="str">
        <f>"13632698005"</f>
        <v>13632698005</v>
      </c>
      <c r="C19294" t="str">
        <f>"352203198708042539"</f>
        <v>352203198708042539</v>
      </c>
      <c r="D19294" t="s">
        <v>1</v>
      </c>
      <c r="E19294" t="s">
        <v>1</v>
      </c>
      <c r="F19294" t="s">
        <v>0</v>
      </c>
      <c r="G19294" t="str">
        <f>"2018-10-10 23:02:50"</f>
        <v>2018-10-10 23:02:50</v>
      </c>
    </row>
    <row r="19295" spans="1:7" x14ac:dyDescent="0.2">
      <c r="A19295" t="s">
        <v>18204</v>
      </c>
      <c r="B19295" t="str">
        <f>"13157569838"</f>
        <v>13157569838</v>
      </c>
      <c r="C19295" t="str">
        <f>"350722199403114211"</f>
        <v>350722199403114211</v>
      </c>
      <c r="D19295" t="s">
        <v>1</v>
      </c>
      <c r="E19295" t="s">
        <v>1</v>
      </c>
      <c r="F19295" t="s">
        <v>0</v>
      </c>
      <c r="G19295" t="str">
        <f>"2018-10-10 18:03:48"</f>
        <v>2018-10-10 18:03:48</v>
      </c>
    </row>
    <row r="19296" spans="1:7" x14ac:dyDescent="0.2">
      <c r="A19296" t="s">
        <v>1</v>
      </c>
      <c r="B19296" t="str">
        <f>"18889265190"</f>
        <v>18889265190</v>
      </c>
      <c r="C19296" t="s">
        <v>1</v>
      </c>
      <c r="D19296" t="s">
        <v>1</v>
      </c>
      <c r="E19296" t="s">
        <v>1</v>
      </c>
      <c r="F19296" t="s">
        <v>0</v>
      </c>
      <c r="G19296" t="str">
        <f>"2018-10-10 18:02:55"</f>
        <v>2018-10-10 18:02:55</v>
      </c>
    </row>
    <row r="19297" spans="1:7" x14ac:dyDescent="0.2">
      <c r="A19297" t="s">
        <v>562</v>
      </c>
      <c r="B19297" t="str">
        <f>"14747187800"</f>
        <v>14747187800</v>
      </c>
      <c r="C19297" t="str">
        <f>"15282319920925281X"</f>
        <v>15282319920925281X</v>
      </c>
      <c r="D19297" t="s">
        <v>1</v>
      </c>
      <c r="E19297" t="s">
        <v>1</v>
      </c>
      <c r="F19297" t="s">
        <v>0</v>
      </c>
      <c r="G19297" t="str">
        <f>"2018-10-10 18:04:52"</f>
        <v>2018-10-10 18:04:52</v>
      </c>
    </row>
    <row r="19298" spans="1:7" x14ac:dyDescent="0.2">
      <c r="A19298" t="s">
        <v>1</v>
      </c>
      <c r="B19298" t="str">
        <f>"18627999586"</f>
        <v>18627999586</v>
      </c>
      <c r="C19298" t="s">
        <v>1</v>
      </c>
      <c r="D19298" t="s">
        <v>1</v>
      </c>
      <c r="E19298" t="s">
        <v>1</v>
      </c>
      <c r="F19298" t="s">
        <v>0</v>
      </c>
      <c r="G19298" t="str">
        <f>"2018-10-10 18:02:16"</f>
        <v>2018-10-10 18:02:16</v>
      </c>
    </row>
    <row r="19299" spans="1:7" x14ac:dyDescent="0.2">
      <c r="A19299" t="s">
        <v>1</v>
      </c>
      <c r="B19299" t="str">
        <f>"18287746473"</f>
        <v>18287746473</v>
      </c>
      <c r="C19299" t="s">
        <v>1</v>
      </c>
      <c r="D19299" t="s">
        <v>1</v>
      </c>
      <c r="E19299" t="s">
        <v>1</v>
      </c>
      <c r="F19299" t="s">
        <v>0</v>
      </c>
      <c r="G19299" t="str">
        <f>"2018-10-10 18:03:27"</f>
        <v>2018-10-10 18:03:27</v>
      </c>
    </row>
    <row r="19300" spans="1:7" x14ac:dyDescent="0.2">
      <c r="A19300" t="s">
        <v>1</v>
      </c>
      <c r="B19300" t="str">
        <f>"13675660286"</f>
        <v>13675660286</v>
      </c>
      <c r="C19300" t="s">
        <v>1</v>
      </c>
      <c r="D19300" t="s">
        <v>1</v>
      </c>
      <c r="E19300" t="s">
        <v>1</v>
      </c>
      <c r="F19300" t="s">
        <v>0</v>
      </c>
      <c r="G19300" t="str">
        <f>"2018-10-10 18:04:20"</f>
        <v>2018-10-10 18:04:20</v>
      </c>
    </row>
    <row r="19301" spans="1:7" x14ac:dyDescent="0.2">
      <c r="A19301" t="s">
        <v>18205</v>
      </c>
      <c r="B19301" t="str">
        <f>"13178642625"</f>
        <v>13178642625</v>
      </c>
      <c r="C19301" t="str">
        <f>"450821199405044029"</f>
        <v>450821199405044029</v>
      </c>
      <c r="D19301" t="s">
        <v>1</v>
      </c>
      <c r="E19301" t="s">
        <v>1</v>
      </c>
      <c r="F19301" t="s">
        <v>0</v>
      </c>
      <c r="G19301" t="str">
        <f>"2018-10-10 18:03:16"</f>
        <v>2018-10-10 18:03:16</v>
      </c>
    </row>
    <row r="19302" spans="1:7" x14ac:dyDescent="0.2">
      <c r="A19302" t="s">
        <v>1</v>
      </c>
      <c r="B19302" t="str">
        <f>"18296019066"</f>
        <v>18296019066</v>
      </c>
      <c r="C19302" t="s">
        <v>1</v>
      </c>
      <c r="D19302" t="s">
        <v>1</v>
      </c>
      <c r="E19302" t="s">
        <v>1</v>
      </c>
      <c r="F19302" t="s">
        <v>0</v>
      </c>
      <c r="G19302" t="str">
        <f>"2018-10-10 18:01:33"</f>
        <v>2018-10-10 18:01:33</v>
      </c>
    </row>
    <row r="19303" spans="1:7" x14ac:dyDescent="0.2">
      <c r="A19303" t="s">
        <v>18206</v>
      </c>
      <c r="B19303" t="str">
        <f>"15272202605"</f>
        <v>15272202605</v>
      </c>
      <c r="C19303" t="str">
        <f>"420702198808097075"</f>
        <v>420702198808097075</v>
      </c>
      <c r="D19303" t="s">
        <v>1</v>
      </c>
      <c r="E19303" t="s">
        <v>1</v>
      </c>
      <c r="F19303" t="s">
        <v>0</v>
      </c>
      <c r="G19303" t="str">
        <f>"2018-10-10 18:04:23"</f>
        <v>2018-10-10 18:04:23</v>
      </c>
    </row>
    <row r="19304" spans="1:7" x14ac:dyDescent="0.2">
      <c r="A19304" t="s">
        <v>1212</v>
      </c>
      <c r="B19304" t="str">
        <f>"15049919767"</f>
        <v>15049919767</v>
      </c>
      <c r="C19304" t="str">
        <f>"150423198310035010"</f>
        <v>150423198310035010</v>
      </c>
      <c r="D19304" t="s">
        <v>1</v>
      </c>
      <c r="E19304" t="s">
        <v>1</v>
      </c>
      <c r="F19304" t="s">
        <v>0</v>
      </c>
      <c r="G19304" t="str">
        <f>"2018-10-10 18:08:14"</f>
        <v>2018-10-10 18:08:14</v>
      </c>
    </row>
    <row r="19305" spans="1:7" x14ac:dyDescent="0.2">
      <c r="A19305" t="s">
        <v>1</v>
      </c>
      <c r="B19305" t="str">
        <f>"15578292024"</f>
        <v>15578292024</v>
      </c>
      <c r="C19305" t="s">
        <v>1</v>
      </c>
      <c r="D19305" t="s">
        <v>1</v>
      </c>
      <c r="E19305" t="s">
        <v>1</v>
      </c>
      <c r="F19305" t="s">
        <v>0</v>
      </c>
      <c r="G19305" t="str">
        <f>"2018-10-10 18:01:16"</f>
        <v>2018-10-10 18:01:16</v>
      </c>
    </row>
    <row r="19306" spans="1:7" x14ac:dyDescent="0.2">
      <c r="A19306" t="s">
        <v>1</v>
      </c>
      <c r="B19306" t="str">
        <f>"15887162057"</f>
        <v>15887162057</v>
      </c>
      <c r="C19306" t="s">
        <v>1</v>
      </c>
      <c r="D19306" t="s">
        <v>1</v>
      </c>
      <c r="E19306" t="s">
        <v>1</v>
      </c>
      <c r="F19306" t="s">
        <v>0</v>
      </c>
      <c r="G19306" t="str">
        <f>"2018-10-10 18:01:07"</f>
        <v>2018-10-10 18:01:07</v>
      </c>
    </row>
    <row r="19307" spans="1:7" x14ac:dyDescent="0.2">
      <c r="A19307" t="s">
        <v>18207</v>
      </c>
      <c r="B19307" t="str">
        <f>"13503888085"</f>
        <v>13503888085</v>
      </c>
      <c r="C19307" t="str">
        <f>"410303198206243234"</f>
        <v>410303198206243234</v>
      </c>
      <c r="D19307" t="s">
        <v>18208</v>
      </c>
      <c r="E19307" t="s">
        <v>18209</v>
      </c>
      <c r="F19307" t="s">
        <v>0</v>
      </c>
      <c r="G19307" t="str">
        <f>"2018-10-10 18:05:51"</f>
        <v>2018-10-10 18:05:51</v>
      </c>
    </row>
    <row r="19308" spans="1:7" x14ac:dyDescent="0.2">
      <c r="A19308" t="s">
        <v>1</v>
      </c>
      <c r="B19308" t="str">
        <f>"13949619507"</f>
        <v>13949619507</v>
      </c>
      <c r="C19308" t="s">
        <v>1</v>
      </c>
      <c r="D19308" t="s">
        <v>1</v>
      </c>
      <c r="E19308" t="s">
        <v>1</v>
      </c>
      <c r="F19308" t="s">
        <v>0</v>
      </c>
      <c r="G19308" t="str">
        <f>"2018-10-10 18:00:19"</f>
        <v>2018-10-10 18:00:19</v>
      </c>
    </row>
    <row r="19309" spans="1:7" x14ac:dyDescent="0.2">
      <c r="A19309" t="s">
        <v>10672</v>
      </c>
      <c r="B19309" t="str">
        <f>"13161118080"</f>
        <v>13161118080</v>
      </c>
      <c r="C19309" t="str">
        <f>"152527198704110012"</f>
        <v>152527198704110012</v>
      </c>
      <c r="D19309" t="s">
        <v>1</v>
      </c>
      <c r="E19309" t="s">
        <v>1</v>
      </c>
      <c r="F19309" t="s">
        <v>0</v>
      </c>
      <c r="G19309" t="str">
        <f>"2018-10-10 18:01:39"</f>
        <v>2018-10-10 18:01:39</v>
      </c>
    </row>
    <row r="19310" spans="1:7" x14ac:dyDescent="0.2">
      <c r="A19310" t="s">
        <v>18210</v>
      </c>
      <c r="B19310" t="str">
        <f>"18773023820"</f>
        <v>18773023820</v>
      </c>
      <c r="C19310" t="str">
        <f>"430602199610192510"</f>
        <v>430602199610192510</v>
      </c>
      <c r="D19310" t="s">
        <v>1</v>
      </c>
      <c r="E19310" t="s">
        <v>1</v>
      </c>
      <c r="F19310" t="s">
        <v>0</v>
      </c>
      <c r="G19310" t="str">
        <f>"2018-10-10 18:02:33"</f>
        <v>2018-10-10 18:02:33</v>
      </c>
    </row>
    <row r="19311" spans="1:7" x14ac:dyDescent="0.2">
      <c r="A19311" t="s">
        <v>1</v>
      </c>
      <c r="B19311" t="str">
        <f>"13979666344"</f>
        <v>13979666344</v>
      </c>
      <c r="C19311" t="s">
        <v>1</v>
      </c>
      <c r="D19311" t="s">
        <v>1</v>
      </c>
      <c r="E19311" t="s">
        <v>1</v>
      </c>
      <c r="F19311" t="s">
        <v>0</v>
      </c>
      <c r="G19311" t="str">
        <f>"2018-10-10 17:59:21"</f>
        <v>2018-10-10 17:59:21</v>
      </c>
    </row>
    <row r="19312" spans="1:7" x14ac:dyDescent="0.2">
      <c r="A19312" t="s">
        <v>18211</v>
      </c>
      <c r="B19312" t="str">
        <f>"13957470942"</f>
        <v>13957470942</v>
      </c>
      <c r="C19312" t="str">
        <f>"330682198301090418"</f>
        <v>330682198301090418</v>
      </c>
      <c r="D19312" t="s">
        <v>1</v>
      </c>
      <c r="E19312" t="s">
        <v>1</v>
      </c>
      <c r="F19312" t="s">
        <v>0</v>
      </c>
      <c r="G19312" t="str">
        <f>"2018-10-10 18:02:56"</f>
        <v>2018-10-10 18:02:56</v>
      </c>
    </row>
    <row r="19313" spans="1:7" x14ac:dyDescent="0.2">
      <c r="A19313" t="s">
        <v>1762</v>
      </c>
      <c r="B19313" t="str">
        <f>"17600057877"</f>
        <v>17600057877</v>
      </c>
      <c r="C19313" t="str">
        <f>"130929199512084255"</f>
        <v>130929199512084255</v>
      </c>
      <c r="D19313" t="s">
        <v>1</v>
      </c>
      <c r="E19313" t="s">
        <v>1</v>
      </c>
      <c r="F19313" t="s">
        <v>0</v>
      </c>
      <c r="G19313" t="str">
        <f>"2018-10-18 16:31:27"</f>
        <v>2018-10-18 16:31:27</v>
      </c>
    </row>
    <row r="19314" spans="1:7" x14ac:dyDescent="0.2">
      <c r="A19314" t="s">
        <v>1</v>
      </c>
      <c r="B19314" t="str">
        <f>"15506877763"</f>
        <v>15506877763</v>
      </c>
      <c r="C19314" t="s">
        <v>1</v>
      </c>
      <c r="D19314" t="s">
        <v>1</v>
      </c>
      <c r="E19314" t="s">
        <v>1</v>
      </c>
      <c r="F19314" t="s">
        <v>0</v>
      </c>
      <c r="G19314" t="str">
        <f>"2018-10-10 17:58:11"</f>
        <v>2018-10-10 17:58:11</v>
      </c>
    </row>
    <row r="19315" spans="1:7" x14ac:dyDescent="0.2">
      <c r="A19315" t="s">
        <v>18212</v>
      </c>
      <c r="B19315" t="str">
        <f>"15192490524"</f>
        <v>15192490524</v>
      </c>
      <c r="C19315" t="str">
        <f>"342502199306245619"</f>
        <v>342502199306245619</v>
      </c>
      <c r="D19315" t="s">
        <v>1</v>
      </c>
      <c r="E19315" t="s">
        <v>1</v>
      </c>
      <c r="F19315" t="s">
        <v>0</v>
      </c>
      <c r="G19315" t="str">
        <f>"2018-11-04 17:27:50"</f>
        <v>2018-11-04 17:27:50</v>
      </c>
    </row>
    <row r="19316" spans="1:7" x14ac:dyDescent="0.2">
      <c r="A19316" t="s">
        <v>1</v>
      </c>
      <c r="B19316" t="str">
        <f>"13585610457"</f>
        <v>13585610457</v>
      </c>
      <c r="C19316" t="s">
        <v>1</v>
      </c>
      <c r="D19316" t="s">
        <v>1</v>
      </c>
      <c r="E19316" t="s">
        <v>1</v>
      </c>
      <c r="F19316" t="s">
        <v>0</v>
      </c>
      <c r="G19316" t="str">
        <f>"2018-10-10 17:57:44"</f>
        <v>2018-10-10 17:57:44</v>
      </c>
    </row>
    <row r="19317" spans="1:7" x14ac:dyDescent="0.2">
      <c r="A19317" t="s">
        <v>1</v>
      </c>
      <c r="B19317" t="str">
        <f>"13529998721"</f>
        <v>13529998721</v>
      </c>
      <c r="C19317" t="s">
        <v>1</v>
      </c>
      <c r="D19317" t="s">
        <v>1</v>
      </c>
      <c r="E19317" t="s">
        <v>1</v>
      </c>
      <c r="F19317" t="s">
        <v>0</v>
      </c>
      <c r="G19317" t="str">
        <f>"2018-10-10 17:59:58"</f>
        <v>2018-10-10 17:59:58</v>
      </c>
    </row>
    <row r="19318" spans="1:7" x14ac:dyDescent="0.2">
      <c r="A19318" t="s">
        <v>18213</v>
      </c>
      <c r="B19318" t="str">
        <f>"18296421190"</f>
        <v>18296421190</v>
      </c>
      <c r="C19318" t="str">
        <f>"362326199604020323"</f>
        <v>362326199604020323</v>
      </c>
      <c r="D19318" t="s">
        <v>1</v>
      </c>
      <c r="E19318" t="s">
        <v>1</v>
      </c>
      <c r="F19318" t="s">
        <v>0</v>
      </c>
      <c r="G19318" t="str">
        <f>"2018-10-10 17:59:56"</f>
        <v>2018-10-10 17:59:56</v>
      </c>
    </row>
    <row r="19319" spans="1:7" x14ac:dyDescent="0.2">
      <c r="A19319" t="s">
        <v>1</v>
      </c>
      <c r="B19319" t="str">
        <f>"15859696595"</f>
        <v>15859696595</v>
      </c>
      <c r="C19319" t="s">
        <v>1</v>
      </c>
      <c r="D19319" t="s">
        <v>1</v>
      </c>
      <c r="E19319" t="s">
        <v>1</v>
      </c>
      <c r="F19319" t="s">
        <v>0</v>
      </c>
      <c r="G19319" t="str">
        <f>"2018-10-10 17:56:20"</f>
        <v>2018-10-10 17:56:20</v>
      </c>
    </row>
    <row r="19320" spans="1:7" x14ac:dyDescent="0.2">
      <c r="A19320" t="s">
        <v>18214</v>
      </c>
      <c r="B19320" t="str">
        <f>"18825616636"</f>
        <v>18825616636</v>
      </c>
      <c r="C19320" t="str">
        <f>"441702198511282821"</f>
        <v>441702198511282821</v>
      </c>
      <c r="D19320" t="s">
        <v>18215</v>
      </c>
      <c r="E19320" t="s">
        <v>18216</v>
      </c>
      <c r="F19320" t="s">
        <v>0</v>
      </c>
      <c r="G19320" t="str">
        <f>"2018-10-10 18:30:40"</f>
        <v>2018-10-10 18:30:40</v>
      </c>
    </row>
    <row r="19321" spans="1:7" x14ac:dyDescent="0.2">
      <c r="A19321" t="s">
        <v>18217</v>
      </c>
      <c r="B19321" t="str">
        <f>"13955492107"</f>
        <v>13955492107</v>
      </c>
      <c r="C19321" t="str">
        <f>"340421198302152412"</f>
        <v>340421198302152412</v>
      </c>
      <c r="D19321" t="s">
        <v>1</v>
      </c>
      <c r="E19321" t="s">
        <v>1</v>
      </c>
      <c r="F19321" t="s">
        <v>0</v>
      </c>
      <c r="G19321" t="str">
        <f>"2018-10-10 18:15:54"</f>
        <v>2018-10-10 18:15:54</v>
      </c>
    </row>
    <row r="19322" spans="1:7" x14ac:dyDescent="0.2">
      <c r="A19322" t="s">
        <v>1</v>
      </c>
      <c r="B19322" t="str">
        <f>"18856725091"</f>
        <v>18856725091</v>
      </c>
      <c r="C19322" t="s">
        <v>1</v>
      </c>
      <c r="D19322" t="s">
        <v>1</v>
      </c>
      <c r="E19322" t="s">
        <v>1</v>
      </c>
      <c r="F19322" t="s">
        <v>0</v>
      </c>
      <c r="G19322" t="str">
        <f>"2018-10-10 17:55:23"</f>
        <v>2018-10-10 17:55:23</v>
      </c>
    </row>
    <row r="19323" spans="1:7" x14ac:dyDescent="0.2">
      <c r="A19323" t="s">
        <v>18218</v>
      </c>
      <c r="B19323" t="str">
        <f>"13518674389"</f>
        <v>13518674389</v>
      </c>
      <c r="C19323" t="str">
        <f>"370802196811303329"</f>
        <v>370802196811303329</v>
      </c>
      <c r="D19323" t="s">
        <v>1</v>
      </c>
      <c r="E19323" t="s">
        <v>1</v>
      </c>
      <c r="F19323" t="s">
        <v>0</v>
      </c>
      <c r="G19323" t="str">
        <f>"2018-10-10 17:56:28"</f>
        <v>2018-10-10 17:56:28</v>
      </c>
    </row>
    <row r="19324" spans="1:7" x14ac:dyDescent="0.2">
      <c r="A19324" t="s">
        <v>18219</v>
      </c>
      <c r="B19324" t="str">
        <f>"13279497630"</f>
        <v>13279497630</v>
      </c>
      <c r="C19324" t="str">
        <f>"622701199509013676"</f>
        <v>622701199509013676</v>
      </c>
      <c r="D19324" t="s">
        <v>1</v>
      </c>
      <c r="E19324" t="s">
        <v>1</v>
      </c>
      <c r="F19324" t="s">
        <v>0</v>
      </c>
      <c r="G19324" t="str">
        <f>"2018-10-10 17:56:29"</f>
        <v>2018-10-10 17:56:29</v>
      </c>
    </row>
    <row r="19325" spans="1:7" x14ac:dyDescent="0.2">
      <c r="A19325" t="s">
        <v>1</v>
      </c>
      <c r="B19325" t="str">
        <f>"13790797404"</f>
        <v>13790797404</v>
      </c>
      <c r="C19325" t="s">
        <v>1</v>
      </c>
      <c r="D19325" t="s">
        <v>1</v>
      </c>
      <c r="E19325" t="s">
        <v>1</v>
      </c>
      <c r="F19325" t="s">
        <v>0</v>
      </c>
      <c r="G19325" t="str">
        <f>"2018-10-10 17:54:49"</f>
        <v>2018-10-10 17:54:49</v>
      </c>
    </row>
    <row r="19326" spans="1:7" x14ac:dyDescent="0.2">
      <c r="A19326" t="s">
        <v>18220</v>
      </c>
      <c r="B19326" t="str">
        <f>"18538137804"</f>
        <v>18538137804</v>
      </c>
      <c r="C19326" t="str">
        <f>"41272119950925541X"</f>
        <v>41272119950925541X</v>
      </c>
      <c r="D19326" t="s">
        <v>1</v>
      </c>
      <c r="E19326" t="s">
        <v>1</v>
      </c>
      <c r="F19326" t="s">
        <v>0</v>
      </c>
      <c r="G19326" t="str">
        <f>"2018-10-10 18:08:10"</f>
        <v>2018-10-10 18:08:10</v>
      </c>
    </row>
    <row r="19327" spans="1:7" x14ac:dyDescent="0.2">
      <c r="A19327" t="s">
        <v>18221</v>
      </c>
      <c r="B19327" t="str">
        <f>"17663740075"</f>
        <v>17663740075</v>
      </c>
      <c r="C19327" t="str">
        <f>"370112199811252013"</f>
        <v>370112199811252013</v>
      </c>
      <c r="D19327" t="s">
        <v>1</v>
      </c>
      <c r="E19327" t="s">
        <v>1</v>
      </c>
      <c r="F19327" t="s">
        <v>0</v>
      </c>
      <c r="G19327" t="str">
        <f>"2018-10-15 12:28:11"</f>
        <v>2018-10-15 12:28:11</v>
      </c>
    </row>
    <row r="19328" spans="1:7" x14ac:dyDescent="0.2">
      <c r="A19328" t="s">
        <v>1</v>
      </c>
      <c r="B19328" t="str">
        <f>"18306122006"</f>
        <v>18306122006</v>
      </c>
      <c r="C19328" t="s">
        <v>1</v>
      </c>
      <c r="D19328" t="s">
        <v>1</v>
      </c>
      <c r="E19328" t="s">
        <v>1</v>
      </c>
      <c r="F19328" t="s">
        <v>0</v>
      </c>
      <c r="G19328" t="str">
        <f>"2018-10-11 00:33:29"</f>
        <v>2018-10-11 00:33:29</v>
      </c>
    </row>
    <row r="19329" spans="1:7" x14ac:dyDescent="0.2">
      <c r="A19329" t="s">
        <v>1</v>
      </c>
      <c r="B19329" t="str">
        <f>"13639134809"</f>
        <v>13639134809</v>
      </c>
      <c r="C19329" t="s">
        <v>1</v>
      </c>
      <c r="D19329" t="s">
        <v>1</v>
      </c>
      <c r="E19329" t="s">
        <v>1</v>
      </c>
      <c r="F19329" t="s">
        <v>0</v>
      </c>
      <c r="G19329" t="str">
        <f>"2018-10-10 17:53:07"</f>
        <v>2018-10-10 17:53:07</v>
      </c>
    </row>
    <row r="19330" spans="1:7" x14ac:dyDescent="0.2">
      <c r="A19330" t="s">
        <v>1</v>
      </c>
      <c r="B19330" t="str">
        <f>"18786544924"</f>
        <v>18786544924</v>
      </c>
      <c r="C19330" t="s">
        <v>1</v>
      </c>
      <c r="D19330" t="s">
        <v>1</v>
      </c>
      <c r="E19330" t="s">
        <v>1</v>
      </c>
      <c r="F19330" t="s">
        <v>0</v>
      </c>
      <c r="G19330" t="str">
        <f>"2018-10-10 17:52:08"</f>
        <v>2018-10-10 17:52:08</v>
      </c>
    </row>
    <row r="19331" spans="1:7" x14ac:dyDescent="0.2">
      <c r="A19331" t="s">
        <v>18222</v>
      </c>
      <c r="B19331" t="str">
        <f>"17633332405"</f>
        <v>17633332405</v>
      </c>
      <c r="C19331" t="str">
        <f>"130629199807200018"</f>
        <v>130629199807200018</v>
      </c>
      <c r="D19331" t="s">
        <v>1</v>
      </c>
      <c r="E19331" t="s">
        <v>1</v>
      </c>
      <c r="F19331" t="s">
        <v>0</v>
      </c>
      <c r="G19331" t="str">
        <f>"2018-10-10 17:52:59"</f>
        <v>2018-10-10 17:52:59</v>
      </c>
    </row>
    <row r="19332" spans="1:7" x14ac:dyDescent="0.2">
      <c r="A19332" t="s">
        <v>1</v>
      </c>
      <c r="B19332" t="str">
        <f>"15888310113"</f>
        <v>15888310113</v>
      </c>
      <c r="C19332" t="s">
        <v>1</v>
      </c>
      <c r="D19332" t="s">
        <v>1</v>
      </c>
      <c r="E19332" t="s">
        <v>1</v>
      </c>
      <c r="F19332" t="s">
        <v>0</v>
      </c>
      <c r="G19332" t="str">
        <f>"2018-10-10 17:51:32"</f>
        <v>2018-10-10 17:51:32</v>
      </c>
    </row>
    <row r="19333" spans="1:7" x14ac:dyDescent="0.2">
      <c r="A19333" t="s">
        <v>1</v>
      </c>
      <c r="B19333" t="str">
        <f>"18603213049"</f>
        <v>18603213049</v>
      </c>
      <c r="C19333" t="s">
        <v>1</v>
      </c>
      <c r="D19333" t="s">
        <v>1</v>
      </c>
      <c r="E19333" t="s">
        <v>1</v>
      </c>
      <c r="F19333" t="s">
        <v>0</v>
      </c>
      <c r="G19333" t="str">
        <f>"2018-10-10 17:51:01"</f>
        <v>2018-10-10 17:51:01</v>
      </c>
    </row>
    <row r="19334" spans="1:7" x14ac:dyDescent="0.2">
      <c r="A19334" t="s">
        <v>18223</v>
      </c>
      <c r="B19334" t="str">
        <f>"17817566468"</f>
        <v>17817566468</v>
      </c>
      <c r="C19334" t="str">
        <f>"440882199607030013"</f>
        <v>440882199607030013</v>
      </c>
      <c r="D19334" t="s">
        <v>1</v>
      </c>
      <c r="E19334" t="s">
        <v>1</v>
      </c>
      <c r="F19334" t="s">
        <v>0</v>
      </c>
      <c r="G19334" t="str">
        <f>"2018-10-10 18:09:54"</f>
        <v>2018-10-10 18:09:54</v>
      </c>
    </row>
    <row r="19335" spans="1:7" x14ac:dyDescent="0.2">
      <c r="A19335" t="s">
        <v>18224</v>
      </c>
      <c r="B19335" t="str">
        <f>"15057017792"</f>
        <v>15057017792</v>
      </c>
      <c r="C19335" t="str">
        <f>"330821197709146714"</f>
        <v>330821197709146714</v>
      </c>
      <c r="D19335" t="s">
        <v>1</v>
      </c>
      <c r="E19335" t="s">
        <v>1</v>
      </c>
      <c r="F19335" t="s">
        <v>0</v>
      </c>
      <c r="G19335" t="str">
        <f>"2018-10-22 21:42:16"</f>
        <v>2018-10-22 21:42:16</v>
      </c>
    </row>
    <row r="19336" spans="1:7" x14ac:dyDescent="0.2">
      <c r="A19336" t="s">
        <v>18225</v>
      </c>
      <c r="B19336" t="str">
        <f>"15693112081"</f>
        <v>15693112081</v>
      </c>
      <c r="C19336" t="str">
        <f>"622326199509132849"</f>
        <v>622326199509132849</v>
      </c>
      <c r="D19336" t="s">
        <v>1</v>
      </c>
      <c r="E19336" t="s">
        <v>1</v>
      </c>
      <c r="F19336" t="s">
        <v>0</v>
      </c>
      <c r="G19336" t="str">
        <f>"2018-10-10 17:55:39"</f>
        <v>2018-10-10 17:55:39</v>
      </c>
    </row>
    <row r="19337" spans="1:7" x14ac:dyDescent="0.2">
      <c r="A19337" t="s">
        <v>1</v>
      </c>
      <c r="B19337" t="str">
        <f>"17664504457"</f>
        <v>17664504457</v>
      </c>
      <c r="C19337" t="s">
        <v>1</v>
      </c>
      <c r="D19337" t="s">
        <v>1</v>
      </c>
      <c r="E19337" t="s">
        <v>1</v>
      </c>
      <c r="F19337" t="s">
        <v>0</v>
      </c>
      <c r="G19337" t="str">
        <f>"2018-10-10 17:51:01"</f>
        <v>2018-10-10 17:51:01</v>
      </c>
    </row>
    <row r="19338" spans="1:7" x14ac:dyDescent="0.2">
      <c r="A19338" t="s">
        <v>18226</v>
      </c>
      <c r="B19338" t="str">
        <f>"18675753450"</f>
        <v>18675753450</v>
      </c>
      <c r="C19338" t="str">
        <f>"421223198912042563"</f>
        <v>421223198912042563</v>
      </c>
      <c r="D19338" t="s">
        <v>1</v>
      </c>
      <c r="E19338" t="s">
        <v>1</v>
      </c>
      <c r="F19338" t="s">
        <v>0</v>
      </c>
      <c r="G19338" t="str">
        <f>"2018-10-10 17:51:50"</f>
        <v>2018-10-10 17:51:50</v>
      </c>
    </row>
    <row r="19339" spans="1:7" x14ac:dyDescent="0.2">
      <c r="A19339" t="s">
        <v>1</v>
      </c>
      <c r="B19339" t="str">
        <f>"18899818129"</f>
        <v>18899818129</v>
      </c>
      <c r="C19339" t="s">
        <v>1</v>
      </c>
      <c r="D19339" t="s">
        <v>1</v>
      </c>
      <c r="E19339" t="s">
        <v>1</v>
      </c>
      <c r="F19339" t="s">
        <v>0</v>
      </c>
      <c r="G19339" t="str">
        <f>"2018-10-10 17:50:44"</f>
        <v>2018-10-10 17:50:44</v>
      </c>
    </row>
    <row r="19340" spans="1:7" x14ac:dyDescent="0.2">
      <c r="A19340" t="s">
        <v>18227</v>
      </c>
      <c r="B19340" t="str">
        <f>"13012639537"</f>
        <v>13012639537</v>
      </c>
      <c r="C19340" t="str">
        <f>"37088319861215441X"</f>
        <v>37088319861215441X</v>
      </c>
      <c r="D19340" t="s">
        <v>1</v>
      </c>
      <c r="E19340" t="s">
        <v>1</v>
      </c>
      <c r="F19340" t="s">
        <v>0</v>
      </c>
      <c r="G19340" t="str">
        <f>"2018-10-10 17:50:04"</f>
        <v>2018-10-10 17:50:04</v>
      </c>
    </row>
    <row r="19341" spans="1:7" x14ac:dyDescent="0.2">
      <c r="A19341" t="s">
        <v>1</v>
      </c>
      <c r="B19341" t="str">
        <f>"18359599499"</f>
        <v>18359599499</v>
      </c>
      <c r="C19341" t="s">
        <v>1</v>
      </c>
      <c r="D19341" t="s">
        <v>1</v>
      </c>
      <c r="E19341" t="s">
        <v>1</v>
      </c>
      <c r="F19341" t="s">
        <v>0</v>
      </c>
      <c r="G19341" t="str">
        <f>"2018-10-10 17:47:50"</f>
        <v>2018-10-10 17:47:50</v>
      </c>
    </row>
    <row r="19342" spans="1:7" x14ac:dyDescent="0.2">
      <c r="A19342" t="s">
        <v>7898</v>
      </c>
      <c r="B19342" t="str">
        <f>"15801276216"</f>
        <v>15801276216</v>
      </c>
      <c r="C19342" t="str">
        <f>"110227198212085011"</f>
        <v>110227198212085011</v>
      </c>
      <c r="D19342" t="s">
        <v>1</v>
      </c>
      <c r="E19342" t="s">
        <v>1</v>
      </c>
      <c r="F19342" t="s">
        <v>0</v>
      </c>
      <c r="G19342" t="str">
        <f>"2018-10-10 17:47:34"</f>
        <v>2018-10-10 17:47:34</v>
      </c>
    </row>
    <row r="19343" spans="1:7" x14ac:dyDescent="0.2">
      <c r="A19343" t="s">
        <v>18228</v>
      </c>
      <c r="B19343" t="str">
        <f>"18534971644"</f>
        <v>18534971644</v>
      </c>
      <c r="C19343" t="str">
        <f>"140429198611270424"</f>
        <v>140429198611270424</v>
      </c>
      <c r="D19343" t="s">
        <v>1</v>
      </c>
      <c r="E19343" t="s">
        <v>1</v>
      </c>
      <c r="F19343" t="s">
        <v>0</v>
      </c>
      <c r="G19343" t="str">
        <f>"2018-10-26 09:46:35"</f>
        <v>2018-10-26 09:46:35</v>
      </c>
    </row>
    <row r="19344" spans="1:7" x14ac:dyDescent="0.2">
      <c r="A19344" t="s">
        <v>18229</v>
      </c>
      <c r="B19344" t="str">
        <f>"15135672570"</f>
        <v>15135672570</v>
      </c>
      <c r="C19344" t="str">
        <f>"14052219890916975X"</f>
        <v>14052219890916975X</v>
      </c>
      <c r="D19344" t="s">
        <v>1</v>
      </c>
      <c r="E19344" t="s">
        <v>1</v>
      </c>
      <c r="F19344" t="s">
        <v>0</v>
      </c>
      <c r="G19344" t="str">
        <f>"2018-10-10 17:47:14"</f>
        <v>2018-10-10 17:47:14</v>
      </c>
    </row>
    <row r="19345" spans="1:7" x14ac:dyDescent="0.2">
      <c r="A19345" t="s">
        <v>18230</v>
      </c>
      <c r="B19345" t="str">
        <f>"15005928310"</f>
        <v>15005928310</v>
      </c>
      <c r="C19345" t="str">
        <f>"350125199507270311"</f>
        <v>350125199507270311</v>
      </c>
      <c r="D19345" t="s">
        <v>1</v>
      </c>
      <c r="E19345" t="s">
        <v>1</v>
      </c>
      <c r="F19345" t="s">
        <v>0</v>
      </c>
      <c r="G19345" t="str">
        <f>"2018-10-10 18:13:37"</f>
        <v>2018-10-10 18:13:37</v>
      </c>
    </row>
    <row r="19346" spans="1:7" x14ac:dyDescent="0.2">
      <c r="A19346" t="s">
        <v>1</v>
      </c>
      <c r="B19346" t="str">
        <f>"18524745141"</f>
        <v>18524745141</v>
      </c>
      <c r="C19346" t="s">
        <v>1</v>
      </c>
      <c r="D19346" t="s">
        <v>1</v>
      </c>
      <c r="E19346" t="s">
        <v>1</v>
      </c>
      <c r="F19346" t="s">
        <v>0</v>
      </c>
      <c r="G19346" t="str">
        <f>"2018-10-10 17:48:49"</f>
        <v>2018-10-10 17:48:49</v>
      </c>
    </row>
    <row r="19347" spans="1:7" x14ac:dyDescent="0.2">
      <c r="A19347" t="s">
        <v>18231</v>
      </c>
      <c r="B19347" t="str">
        <f>"18287675828"</f>
        <v>18287675828</v>
      </c>
      <c r="C19347" t="str">
        <f>"532627198407193110"</f>
        <v>532627198407193110</v>
      </c>
      <c r="D19347" t="s">
        <v>1</v>
      </c>
      <c r="E19347" t="s">
        <v>1</v>
      </c>
      <c r="F19347" t="s">
        <v>0</v>
      </c>
      <c r="G19347" t="str">
        <f>"2018-10-10 17:47:25"</f>
        <v>2018-10-10 17:47:25</v>
      </c>
    </row>
    <row r="19348" spans="1:7" x14ac:dyDescent="0.2">
      <c r="A19348" t="s">
        <v>1</v>
      </c>
      <c r="B19348" t="str">
        <f>"13531588383"</f>
        <v>13531588383</v>
      </c>
      <c r="C19348" t="s">
        <v>1</v>
      </c>
      <c r="D19348" t="s">
        <v>1</v>
      </c>
      <c r="E19348" t="s">
        <v>1</v>
      </c>
      <c r="F19348" t="s">
        <v>0</v>
      </c>
      <c r="G19348" t="str">
        <f>"2018-10-10 17:45:14"</f>
        <v>2018-10-10 17:45:14</v>
      </c>
    </row>
    <row r="19349" spans="1:7" x14ac:dyDescent="0.2">
      <c r="A19349" t="s">
        <v>18232</v>
      </c>
      <c r="B19349" t="str">
        <f>"18280913346"</f>
        <v>18280913346</v>
      </c>
      <c r="C19349" t="str">
        <f>"511024199505015658"</f>
        <v>511024199505015658</v>
      </c>
      <c r="D19349" t="s">
        <v>1</v>
      </c>
      <c r="E19349" t="s">
        <v>1</v>
      </c>
      <c r="F19349" t="s">
        <v>0</v>
      </c>
      <c r="G19349" t="str">
        <f>"2018-10-10 17:46:35"</f>
        <v>2018-10-10 17:46:35</v>
      </c>
    </row>
    <row r="19350" spans="1:7" x14ac:dyDescent="0.2">
      <c r="A19350" t="s">
        <v>18233</v>
      </c>
      <c r="B19350" t="str">
        <f>"13709360386"</f>
        <v>13709360386</v>
      </c>
      <c r="C19350" t="str">
        <f>"350681198510265218"</f>
        <v>350681198510265218</v>
      </c>
      <c r="D19350" t="s">
        <v>1</v>
      </c>
      <c r="E19350" t="s">
        <v>1</v>
      </c>
      <c r="F19350" t="s">
        <v>0</v>
      </c>
      <c r="G19350" t="str">
        <f>"2018-10-10 17:46:25"</f>
        <v>2018-10-10 17:46:25</v>
      </c>
    </row>
    <row r="19351" spans="1:7" x14ac:dyDescent="0.2">
      <c r="A19351" t="s">
        <v>18234</v>
      </c>
      <c r="B19351" t="str">
        <f>"13542808455"</f>
        <v>13542808455</v>
      </c>
      <c r="C19351" t="str">
        <f>"440582199209100411"</f>
        <v>440582199209100411</v>
      </c>
      <c r="D19351" t="s">
        <v>1</v>
      </c>
      <c r="E19351" t="s">
        <v>1</v>
      </c>
      <c r="F19351" t="s">
        <v>0</v>
      </c>
      <c r="G19351" t="str">
        <f>"2018-10-10 18:10:55"</f>
        <v>2018-10-10 18:10:55</v>
      </c>
    </row>
    <row r="19352" spans="1:7" x14ac:dyDescent="0.2">
      <c r="A19352" t="s">
        <v>18235</v>
      </c>
      <c r="B19352" t="str">
        <f>"15738201829"</f>
        <v>15738201829</v>
      </c>
      <c r="C19352" t="str">
        <f>"411403199808115716"</f>
        <v>411403199808115716</v>
      </c>
      <c r="D19352" t="s">
        <v>1</v>
      </c>
      <c r="E19352" t="s">
        <v>1</v>
      </c>
      <c r="F19352" t="s">
        <v>0</v>
      </c>
      <c r="G19352" t="str">
        <f>"2018-10-10 17:44:21"</f>
        <v>2018-10-10 17:44:21</v>
      </c>
    </row>
    <row r="19353" spans="1:7" x14ac:dyDescent="0.2">
      <c r="A19353" t="s">
        <v>18236</v>
      </c>
      <c r="B19353" t="str">
        <f>"15322905768"</f>
        <v>15322905768</v>
      </c>
      <c r="C19353" t="str">
        <f>"441900197511153214"</f>
        <v>441900197511153214</v>
      </c>
      <c r="D19353" t="s">
        <v>1</v>
      </c>
      <c r="E19353" t="s">
        <v>1</v>
      </c>
      <c r="F19353" t="s">
        <v>0</v>
      </c>
      <c r="G19353" t="str">
        <f>"2018-10-10 17:49:34"</f>
        <v>2018-10-10 17:49:34</v>
      </c>
    </row>
    <row r="19354" spans="1:7" x14ac:dyDescent="0.2">
      <c r="A19354" t="s">
        <v>18237</v>
      </c>
      <c r="B19354" t="str">
        <f>"17671139635"</f>
        <v>17671139635</v>
      </c>
      <c r="C19354" t="str">
        <f>"420303198612271742"</f>
        <v>420303198612271742</v>
      </c>
      <c r="D19354" t="s">
        <v>1</v>
      </c>
      <c r="E19354" t="s">
        <v>1</v>
      </c>
      <c r="F19354" t="s">
        <v>0</v>
      </c>
      <c r="G19354" t="str">
        <f>"2018-10-10 19:23:56"</f>
        <v>2018-10-10 19:23:56</v>
      </c>
    </row>
    <row r="19355" spans="1:7" x14ac:dyDescent="0.2">
      <c r="A19355" t="s">
        <v>1</v>
      </c>
      <c r="B19355" t="str">
        <f>"13660973329"</f>
        <v>13660973329</v>
      </c>
      <c r="C19355" t="s">
        <v>1</v>
      </c>
      <c r="D19355" t="s">
        <v>1</v>
      </c>
      <c r="E19355" t="s">
        <v>1</v>
      </c>
      <c r="F19355" t="s">
        <v>0</v>
      </c>
      <c r="G19355" t="str">
        <f>"2018-10-10 17:48:11"</f>
        <v>2018-10-10 17:48:11</v>
      </c>
    </row>
    <row r="19356" spans="1:7" x14ac:dyDescent="0.2">
      <c r="A19356" t="s">
        <v>18238</v>
      </c>
      <c r="B19356" t="str">
        <f>"18924684875"</f>
        <v>18924684875</v>
      </c>
      <c r="C19356" t="str">
        <f>"440711198512255118"</f>
        <v>440711198512255118</v>
      </c>
      <c r="D19356" t="s">
        <v>1</v>
      </c>
      <c r="E19356" t="s">
        <v>1</v>
      </c>
      <c r="F19356" t="s">
        <v>0</v>
      </c>
      <c r="G19356" t="str">
        <f>"2018-10-10 17:43:04"</f>
        <v>2018-10-10 17:43:04</v>
      </c>
    </row>
    <row r="19357" spans="1:7" x14ac:dyDescent="0.2">
      <c r="A19357" t="s">
        <v>18239</v>
      </c>
      <c r="B19357" t="str">
        <f>"18591766501"</f>
        <v>18591766501</v>
      </c>
      <c r="C19357" t="str">
        <f>"610525199303050435"</f>
        <v>610525199303050435</v>
      </c>
      <c r="D19357" t="s">
        <v>1</v>
      </c>
      <c r="E19357" t="s">
        <v>1</v>
      </c>
      <c r="F19357" t="s">
        <v>0</v>
      </c>
      <c r="G19357" t="str">
        <f>"2018-10-10 18:18:21"</f>
        <v>2018-10-10 18:18:21</v>
      </c>
    </row>
    <row r="19358" spans="1:7" x14ac:dyDescent="0.2">
      <c r="A19358" t="s">
        <v>14607</v>
      </c>
      <c r="B19358" t="str">
        <f>"13954891598"</f>
        <v>13954891598</v>
      </c>
      <c r="C19358" t="str">
        <f>"370982198807200454"</f>
        <v>370982198807200454</v>
      </c>
      <c r="D19358" t="s">
        <v>1</v>
      </c>
      <c r="E19358" t="s">
        <v>1</v>
      </c>
      <c r="F19358" t="s">
        <v>0</v>
      </c>
      <c r="G19358" t="str">
        <f>"2018-10-10 18:00:21"</f>
        <v>2018-10-10 18:00:21</v>
      </c>
    </row>
    <row r="19359" spans="1:7" x14ac:dyDescent="0.2">
      <c r="A19359" t="s">
        <v>1</v>
      </c>
      <c r="B19359" t="str">
        <f>"18741983775"</f>
        <v>18741983775</v>
      </c>
      <c r="C19359" t="s">
        <v>1</v>
      </c>
      <c r="D19359" t="s">
        <v>1</v>
      </c>
      <c r="E19359" t="s">
        <v>1</v>
      </c>
      <c r="F19359" t="s">
        <v>0</v>
      </c>
      <c r="G19359" t="str">
        <f>"2018-10-18 19:08:00"</f>
        <v>2018-10-18 19:08:00</v>
      </c>
    </row>
    <row r="19360" spans="1:7" x14ac:dyDescent="0.2">
      <c r="A19360" t="s">
        <v>18240</v>
      </c>
      <c r="B19360" t="str">
        <f>"13570446867"</f>
        <v>13570446867</v>
      </c>
      <c r="C19360" t="str">
        <f>"440182198710080649"</f>
        <v>440182198710080649</v>
      </c>
      <c r="D19360" t="s">
        <v>1</v>
      </c>
      <c r="E19360" t="s">
        <v>1</v>
      </c>
      <c r="F19360" t="s">
        <v>0</v>
      </c>
      <c r="G19360" t="str">
        <f>"2018-10-10 17:44:18"</f>
        <v>2018-10-10 17:44:18</v>
      </c>
    </row>
    <row r="19361" spans="1:7" x14ac:dyDescent="0.2">
      <c r="A19361" t="s">
        <v>18241</v>
      </c>
      <c r="B19361" t="str">
        <f>"15322827324"</f>
        <v>15322827324</v>
      </c>
      <c r="C19361" t="str">
        <f>"431129198705154217"</f>
        <v>431129198705154217</v>
      </c>
      <c r="D19361" t="s">
        <v>1</v>
      </c>
      <c r="E19361" t="s">
        <v>1</v>
      </c>
      <c r="F19361" t="s">
        <v>0</v>
      </c>
      <c r="G19361" t="str">
        <f>"2018-10-10 17:49:25"</f>
        <v>2018-10-10 17:49:25</v>
      </c>
    </row>
    <row r="19362" spans="1:7" x14ac:dyDescent="0.2">
      <c r="A19362" t="s">
        <v>18242</v>
      </c>
      <c r="B19362" t="str">
        <f>"18051531332"</f>
        <v>18051531332</v>
      </c>
      <c r="C19362" t="str">
        <f>"320581198908242138"</f>
        <v>320581198908242138</v>
      </c>
      <c r="D19362" t="s">
        <v>1</v>
      </c>
      <c r="E19362" t="s">
        <v>1</v>
      </c>
      <c r="F19362" t="s">
        <v>0</v>
      </c>
      <c r="G19362" t="str">
        <f>"2018-10-10 17:55:29"</f>
        <v>2018-10-10 17:55:29</v>
      </c>
    </row>
    <row r="19363" spans="1:7" x14ac:dyDescent="0.2">
      <c r="A19363" t="s">
        <v>18243</v>
      </c>
      <c r="B19363" t="str">
        <f>"18607626043"</f>
        <v>18607626043</v>
      </c>
      <c r="C19363" t="str">
        <f>"441625198910126737"</f>
        <v>441625198910126737</v>
      </c>
      <c r="D19363" t="s">
        <v>1</v>
      </c>
      <c r="E19363" t="s">
        <v>1</v>
      </c>
      <c r="F19363" t="s">
        <v>0</v>
      </c>
      <c r="G19363" t="str">
        <f>"2018-10-10 17:41:06"</f>
        <v>2018-10-10 17:41:06</v>
      </c>
    </row>
    <row r="19364" spans="1:7" x14ac:dyDescent="0.2">
      <c r="A19364" t="s">
        <v>357</v>
      </c>
      <c r="B19364" t="str">
        <f>"15264547773"</f>
        <v>15264547773</v>
      </c>
      <c r="C19364" t="str">
        <f>"370681199704014415"</f>
        <v>370681199704014415</v>
      </c>
      <c r="D19364" t="s">
        <v>1</v>
      </c>
      <c r="E19364" t="s">
        <v>1</v>
      </c>
      <c r="F19364" t="s">
        <v>0</v>
      </c>
      <c r="G19364" t="str">
        <f>"2018-10-10 19:51:44"</f>
        <v>2018-10-10 19:51:44</v>
      </c>
    </row>
    <row r="19365" spans="1:7" x14ac:dyDescent="0.2">
      <c r="A19365" t="s">
        <v>18244</v>
      </c>
      <c r="B19365" t="str">
        <f>"15100811815"</f>
        <v>15100811815</v>
      </c>
      <c r="C19365" t="str">
        <f>"130982199508221124"</f>
        <v>130982199508221124</v>
      </c>
      <c r="D19365" t="s">
        <v>1</v>
      </c>
      <c r="E19365" t="s">
        <v>1</v>
      </c>
      <c r="F19365" t="s">
        <v>0</v>
      </c>
      <c r="G19365" t="str">
        <f>"2018-10-10 17:38:29"</f>
        <v>2018-10-10 17:38:29</v>
      </c>
    </row>
    <row r="19366" spans="1:7" x14ac:dyDescent="0.2">
      <c r="A19366" t="s">
        <v>1</v>
      </c>
      <c r="B19366" t="str">
        <f>"13973451009"</f>
        <v>13973451009</v>
      </c>
      <c r="C19366" t="s">
        <v>1</v>
      </c>
      <c r="D19366" t="s">
        <v>1</v>
      </c>
      <c r="E19366" t="s">
        <v>1</v>
      </c>
      <c r="F19366" t="s">
        <v>0</v>
      </c>
      <c r="G19366" t="str">
        <f>"2018-10-10 17:37:27"</f>
        <v>2018-10-10 17:37:27</v>
      </c>
    </row>
    <row r="19367" spans="1:7" x14ac:dyDescent="0.2">
      <c r="A19367" t="s">
        <v>18245</v>
      </c>
      <c r="B19367" t="str">
        <f>"15261042366"</f>
        <v>15261042366</v>
      </c>
      <c r="C19367" t="str">
        <f>"321283198511022011"</f>
        <v>321283198511022011</v>
      </c>
      <c r="D19367" t="s">
        <v>1</v>
      </c>
      <c r="E19367" t="s">
        <v>1</v>
      </c>
      <c r="F19367" t="s">
        <v>0</v>
      </c>
      <c r="G19367" t="str">
        <f>"2018-10-11 11:06:49"</f>
        <v>2018-10-11 11:06:49</v>
      </c>
    </row>
    <row r="19368" spans="1:7" x14ac:dyDescent="0.2">
      <c r="A19368" t="s">
        <v>18246</v>
      </c>
      <c r="B19368" t="str">
        <f>"18575547490"</f>
        <v>18575547490</v>
      </c>
      <c r="C19368" t="str">
        <f>"131182199301075016"</f>
        <v>131182199301075016</v>
      </c>
      <c r="D19368" t="s">
        <v>1</v>
      </c>
      <c r="E19368" t="s">
        <v>1</v>
      </c>
      <c r="F19368" t="s">
        <v>0</v>
      </c>
      <c r="G19368" t="str">
        <f>"2018-10-10 17:38:01"</f>
        <v>2018-10-10 17:38:01</v>
      </c>
    </row>
    <row r="19369" spans="1:7" x14ac:dyDescent="0.2">
      <c r="A19369" t="s">
        <v>1</v>
      </c>
      <c r="B19369" t="str">
        <f>"13130997700"</f>
        <v>13130997700</v>
      </c>
      <c r="C19369" t="s">
        <v>1</v>
      </c>
      <c r="D19369" t="s">
        <v>1</v>
      </c>
      <c r="E19369" t="s">
        <v>1</v>
      </c>
      <c r="F19369" t="s">
        <v>0</v>
      </c>
      <c r="G19369" t="str">
        <f>"2018-10-10 17:36:03"</f>
        <v>2018-10-10 17:36:03</v>
      </c>
    </row>
    <row r="19370" spans="1:7" x14ac:dyDescent="0.2">
      <c r="A19370" t="s">
        <v>1</v>
      </c>
      <c r="B19370" t="str">
        <f>"15144778815"</f>
        <v>15144778815</v>
      </c>
      <c r="C19370" t="s">
        <v>1</v>
      </c>
      <c r="D19370" t="s">
        <v>1</v>
      </c>
      <c r="E19370" t="s">
        <v>1</v>
      </c>
      <c r="F19370" t="s">
        <v>0</v>
      </c>
      <c r="G19370" t="str">
        <f>"2018-10-10 17:41:28"</f>
        <v>2018-10-10 17:41:28</v>
      </c>
    </row>
    <row r="19371" spans="1:7" x14ac:dyDescent="0.2">
      <c r="A19371" t="s">
        <v>1</v>
      </c>
      <c r="B19371" t="str">
        <f>"18780214917"</f>
        <v>18780214917</v>
      </c>
      <c r="C19371" t="s">
        <v>1</v>
      </c>
      <c r="D19371" t="s">
        <v>1</v>
      </c>
      <c r="E19371" t="s">
        <v>1</v>
      </c>
      <c r="F19371" t="s">
        <v>0</v>
      </c>
      <c r="G19371" t="str">
        <f>"2018-10-10 17:35:40"</f>
        <v>2018-10-10 17:35:40</v>
      </c>
    </row>
    <row r="19372" spans="1:7" x14ac:dyDescent="0.2">
      <c r="A19372" t="s">
        <v>1</v>
      </c>
      <c r="B19372" t="str">
        <f>"15283270440"</f>
        <v>15283270440</v>
      </c>
      <c r="C19372" t="s">
        <v>1</v>
      </c>
      <c r="D19372" t="s">
        <v>1</v>
      </c>
      <c r="E19372" t="s">
        <v>1</v>
      </c>
      <c r="F19372" t="s">
        <v>0</v>
      </c>
      <c r="G19372" t="str">
        <f>"2018-10-10 17:35:24"</f>
        <v>2018-10-10 17:35:24</v>
      </c>
    </row>
    <row r="19373" spans="1:7" x14ac:dyDescent="0.2">
      <c r="A19373" t="s">
        <v>18247</v>
      </c>
      <c r="B19373" t="str">
        <f>"18054513207"</f>
        <v>18054513207</v>
      </c>
      <c r="C19373" t="str">
        <f>"372330199809292484"</f>
        <v>372330199809292484</v>
      </c>
      <c r="D19373" t="s">
        <v>18248</v>
      </c>
      <c r="E19373" t="s">
        <v>18249</v>
      </c>
      <c r="F19373" t="s">
        <v>0</v>
      </c>
      <c r="G19373" t="str">
        <f>"2018-10-10 17:38:15"</f>
        <v>2018-10-10 17:38:15</v>
      </c>
    </row>
    <row r="19374" spans="1:7" x14ac:dyDescent="0.2">
      <c r="A19374" t="s">
        <v>1540</v>
      </c>
      <c r="B19374" t="str">
        <f>"15686785389"</f>
        <v>15686785389</v>
      </c>
      <c r="C19374" t="str">
        <f>"612327199611023619"</f>
        <v>612327199611023619</v>
      </c>
      <c r="D19374" t="s">
        <v>1</v>
      </c>
      <c r="E19374" t="s">
        <v>1</v>
      </c>
      <c r="F19374" t="s">
        <v>0</v>
      </c>
      <c r="G19374" t="str">
        <f>"2018-10-10 17:35:10"</f>
        <v>2018-10-10 17:35:10</v>
      </c>
    </row>
    <row r="19375" spans="1:7" x14ac:dyDescent="0.2">
      <c r="A19375" t="s">
        <v>1852</v>
      </c>
      <c r="B19375" t="str">
        <f>"18139713141"</f>
        <v>18139713141</v>
      </c>
      <c r="C19375" t="str">
        <f>"622924199505204139"</f>
        <v>622924199505204139</v>
      </c>
      <c r="D19375" t="s">
        <v>1</v>
      </c>
      <c r="E19375" t="s">
        <v>1</v>
      </c>
      <c r="F19375" t="s">
        <v>0</v>
      </c>
      <c r="G19375" t="str">
        <f>"2018-10-10 18:16:42"</f>
        <v>2018-10-10 18:16:42</v>
      </c>
    </row>
    <row r="19376" spans="1:7" x14ac:dyDescent="0.2">
      <c r="A19376" t="s">
        <v>18250</v>
      </c>
      <c r="B19376" t="str">
        <f>"15046361156"</f>
        <v>15046361156</v>
      </c>
      <c r="C19376" t="str">
        <f>"231024197201256923"</f>
        <v>231024197201256923</v>
      </c>
      <c r="D19376" t="s">
        <v>1</v>
      </c>
      <c r="E19376" t="s">
        <v>1</v>
      </c>
      <c r="F19376" t="s">
        <v>0</v>
      </c>
      <c r="G19376" t="str">
        <f>"2018-10-10 17:36:06"</f>
        <v>2018-10-10 17:36:06</v>
      </c>
    </row>
    <row r="19377" spans="1:7" x14ac:dyDescent="0.2">
      <c r="A19377" t="s">
        <v>505</v>
      </c>
      <c r="B19377" t="str">
        <f>"15995872302"</f>
        <v>15995872302</v>
      </c>
      <c r="C19377" t="str">
        <f>"340323199601286279"</f>
        <v>340323199601286279</v>
      </c>
      <c r="D19377" t="s">
        <v>1</v>
      </c>
      <c r="E19377" t="s">
        <v>1</v>
      </c>
      <c r="F19377" t="s">
        <v>0</v>
      </c>
      <c r="G19377" t="str">
        <f>"2018-10-10 17:35:01"</f>
        <v>2018-10-10 17:35:01</v>
      </c>
    </row>
    <row r="19378" spans="1:7" x14ac:dyDescent="0.2">
      <c r="A19378" t="s">
        <v>1588</v>
      </c>
      <c r="B19378" t="str">
        <f>"15149900854"</f>
        <v>15149900854</v>
      </c>
      <c r="C19378" t="str">
        <f>"152326200009222314"</f>
        <v>152326200009222314</v>
      </c>
      <c r="D19378" t="s">
        <v>1</v>
      </c>
      <c r="E19378" t="s">
        <v>1</v>
      </c>
      <c r="F19378" t="s">
        <v>0</v>
      </c>
      <c r="G19378" t="str">
        <f>"2018-10-10 17:37:42"</f>
        <v>2018-10-10 17:37:42</v>
      </c>
    </row>
    <row r="19379" spans="1:7" x14ac:dyDescent="0.2">
      <c r="A19379" t="s">
        <v>18251</v>
      </c>
      <c r="B19379" t="str">
        <f>"15800909316"</f>
        <v>15800909316</v>
      </c>
      <c r="C19379" t="str">
        <f>"321323198912304131"</f>
        <v>321323198912304131</v>
      </c>
      <c r="D19379" t="s">
        <v>1</v>
      </c>
      <c r="E19379" t="s">
        <v>1</v>
      </c>
      <c r="F19379" t="s">
        <v>0</v>
      </c>
      <c r="G19379" t="str">
        <f>"2018-11-04 13:34:35"</f>
        <v>2018-11-04 13:34:35</v>
      </c>
    </row>
    <row r="19380" spans="1:7" x14ac:dyDescent="0.2">
      <c r="A19380" t="s">
        <v>1</v>
      </c>
      <c r="B19380" t="str">
        <f>"17634737653"</f>
        <v>17634737653</v>
      </c>
      <c r="C19380" t="s">
        <v>1</v>
      </c>
      <c r="D19380" t="s">
        <v>1</v>
      </c>
      <c r="E19380" t="s">
        <v>1</v>
      </c>
      <c r="F19380" t="s">
        <v>0</v>
      </c>
      <c r="G19380" t="str">
        <f>"2018-10-10 17:33:32"</f>
        <v>2018-10-10 17:33:32</v>
      </c>
    </row>
    <row r="19381" spans="1:7" x14ac:dyDescent="0.2">
      <c r="A19381" t="s">
        <v>18252</v>
      </c>
      <c r="B19381" t="str">
        <f>"18983186660"</f>
        <v>18983186660</v>
      </c>
      <c r="C19381" t="str">
        <f>"510282198211133519"</f>
        <v>510282198211133519</v>
      </c>
      <c r="D19381" t="s">
        <v>1</v>
      </c>
      <c r="E19381" t="s">
        <v>1</v>
      </c>
      <c r="F19381" t="s">
        <v>0</v>
      </c>
      <c r="G19381" t="str">
        <f>"2018-10-10 17:37:43"</f>
        <v>2018-10-10 17:37:43</v>
      </c>
    </row>
    <row r="19382" spans="1:7" x14ac:dyDescent="0.2">
      <c r="A19382" t="s">
        <v>382</v>
      </c>
      <c r="B19382" t="str">
        <f>"13619064616"</f>
        <v>13619064616</v>
      </c>
      <c r="C19382" t="str">
        <f>"513022199210105284"</f>
        <v>513022199210105284</v>
      </c>
      <c r="D19382" t="s">
        <v>1</v>
      </c>
      <c r="E19382" t="s">
        <v>1</v>
      </c>
      <c r="F19382" t="s">
        <v>0</v>
      </c>
      <c r="G19382" t="str">
        <f>"2018-10-11 09:53:38"</f>
        <v>2018-10-11 09:53:38</v>
      </c>
    </row>
    <row r="19383" spans="1:7" x14ac:dyDescent="0.2">
      <c r="A19383" t="s">
        <v>1</v>
      </c>
      <c r="B19383" t="str">
        <f>"17765390114"</f>
        <v>17765390114</v>
      </c>
      <c r="C19383" t="s">
        <v>1</v>
      </c>
      <c r="D19383" t="s">
        <v>1</v>
      </c>
      <c r="E19383" t="s">
        <v>1</v>
      </c>
      <c r="F19383" t="s">
        <v>0</v>
      </c>
      <c r="G19383" t="str">
        <f>"2018-10-10 17:32:55"</f>
        <v>2018-10-10 17:32:55</v>
      </c>
    </row>
    <row r="19384" spans="1:7" x14ac:dyDescent="0.2">
      <c r="A19384" t="s">
        <v>18253</v>
      </c>
      <c r="B19384" t="str">
        <f>"13857786613"</f>
        <v>13857786613</v>
      </c>
      <c r="C19384" t="str">
        <f>"330321197709205414"</f>
        <v>330321197709205414</v>
      </c>
      <c r="D19384" t="s">
        <v>1</v>
      </c>
      <c r="E19384" t="s">
        <v>1</v>
      </c>
      <c r="F19384" t="s">
        <v>0</v>
      </c>
      <c r="G19384" t="str">
        <f>"2018-10-10 18:58:21"</f>
        <v>2018-10-10 18:58:21</v>
      </c>
    </row>
    <row r="19385" spans="1:7" x14ac:dyDescent="0.2">
      <c r="A19385" t="s">
        <v>18254</v>
      </c>
      <c r="B19385" t="str">
        <f>"18620204030"</f>
        <v>18620204030</v>
      </c>
      <c r="C19385" t="str">
        <f>"330381199305031417"</f>
        <v>330381199305031417</v>
      </c>
      <c r="D19385" t="s">
        <v>1</v>
      </c>
      <c r="E19385" t="s">
        <v>1</v>
      </c>
      <c r="F19385" t="s">
        <v>0</v>
      </c>
      <c r="G19385" t="str">
        <f>"2018-10-10 18:00:24"</f>
        <v>2018-10-10 18:00:24</v>
      </c>
    </row>
    <row r="19386" spans="1:7" x14ac:dyDescent="0.2">
      <c r="A19386" t="s">
        <v>18255</v>
      </c>
      <c r="B19386" t="str">
        <f>"13337566755"</f>
        <v>13337566755</v>
      </c>
      <c r="C19386" t="str">
        <f>"460027198905174446"</f>
        <v>460027198905174446</v>
      </c>
      <c r="D19386" t="s">
        <v>18256</v>
      </c>
      <c r="E19386" t="s">
        <v>18257</v>
      </c>
      <c r="F19386" t="s">
        <v>0</v>
      </c>
      <c r="G19386" t="str">
        <f>"2018-10-11 02:43:08"</f>
        <v>2018-10-11 02:43:08</v>
      </c>
    </row>
    <row r="19387" spans="1:7" x14ac:dyDescent="0.2">
      <c r="A19387" t="s">
        <v>18258</v>
      </c>
      <c r="B19387" t="str">
        <f>"18396335891"</f>
        <v>18396335891</v>
      </c>
      <c r="C19387" t="str">
        <f>"350823198701307414"</f>
        <v>350823198701307414</v>
      </c>
      <c r="D19387" t="s">
        <v>1</v>
      </c>
      <c r="E19387" t="s">
        <v>1</v>
      </c>
      <c r="F19387" t="s">
        <v>0</v>
      </c>
      <c r="G19387" t="str">
        <f>"2018-10-23 14:04:50"</f>
        <v>2018-10-23 14:04:50</v>
      </c>
    </row>
    <row r="19388" spans="1:7" x14ac:dyDescent="0.2">
      <c r="A19388" t="s">
        <v>18259</v>
      </c>
      <c r="B19388" t="str">
        <f>"15555269662"</f>
        <v>15555269662</v>
      </c>
      <c r="C19388" t="str">
        <f>"341223199704203515"</f>
        <v>341223199704203515</v>
      </c>
      <c r="D19388" t="s">
        <v>1</v>
      </c>
      <c r="E19388" t="s">
        <v>1</v>
      </c>
      <c r="F19388" t="s">
        <v>0</v>
      </c>
      <c r="G19388" t="str">
        <f>"2018-10-10 17:35:06"</f>
        <v>2018-10-10 17:35:06</v>
      </c>
    </row>
    <row r="19389" spans="1:7" x14ac:dyDescent="0.2">
      <c r="A19389" t="s">
        <v>18260</v>
      </c>
      <c r="B19389" t="str">
        <f>"13506504156"</f>
        <v>13506504156</v>
      </c>
      <c r="C19389" t="str">
        <f>"332527197312140051"</f>
        <v>332527197312140051</v>
      </c>
      <c r="D19389" t="s">
        <v>1</v>
      </c>
      <c r="E19389" t="s">
        <v>1</v>
      </c>
      <c r="F19389" t="s">
        <v>0</v>
      </c>
      <c r="G19389" t="str">
        <f>"2018-10-10 17:32:56"</f>
        <v>2018-10-10 17:32:56</v>
      </c>
    </row>
    <row r="19390" spans="1:7" x14ac:dyDescent="0.2">
      <c r="A19390" t="s">
        <v>1</v>
      </c>
      <c r="B19390" t="str">
        <f>"15890054298"</f>
        <v>15890054298</v>
      </c>
      <c r="C19390" t="s">
        <v>1</v>
      </c>
      <c r="D19390" t="s">
        <v>1</v>
      </c>
      <c r="E19390" t="s">
        <v>1</v>
      </c>
      <c r="F19390" t="s">
        <v>0</v>
      </c>
      <c r="G19390" t="str">
        <f>"2018-10-10 17:31:50"</f>
        <v>2018-10-10 17:31:50</v>
      </c>
    </row>
    <row r="19391" spans="1:7" x14ac:dyDescent="0.2">
      <c r="A19391" t="s">
        <v>1</v>
      </c>
      <c r="B19391" t="str">
        <f>"15078122239"</f>
        <v>15078122239</v>
      </c>
      <c r="C19391" t="s">
        <v>1</v>
      </c>
      <c r="D19391" t="s">
        <v>1</v>
      </c>
      <c r="E19391" t="s">
        <v>1</v>
      </c>
      <c r="F19391" t="s">
        <v>0</v>
      </c>
      <c r="G19391" t="str">
        <f>"2018-10-10 17:31:23"</f>
        <v>2018-10-10 17:31:23</v>
      </c>
    </row>
    <row r="19392" spans="1:7" x14ac:dyDescent="0.2">
      <c r="A19392" t="s">
        <v>1</v>
      </c>
      <c r="B19392" t="str">
        <f>"13125436213"</f>
        <v>13125436213</v>
      </c>
      <c r="C19392" t="s">
        <v>1</v>
      </c>
      <c r="D19392" t="s">
        <v>1</v>
      </c>
      <c r="E19392" t="s">
        <v>1</v>
      </c>
      <c r="F19392" t="s">
        <v>0</v>
      </c>
      <c r="G19392" t="str">
        <f>"2018-10-10 17:30:27"</f>
        <v>2018-10-10 17:30:27</v>
      </c>
    </row>
    <row r="19393" spans="1:7" x14ac:dyDescent="0.2">
      <c r="A19393" t="s">
        <v>18261</v>
      </c>
      <c r="B19393" t="str">
        <f>"13219095557"</f>
        <v>13219095557</v>
      </c>
      <c r="C19393" t="str">
        <f>"513721198912103010"</f>
        <v>513721198912103010</v>
      </c>
      <c r="D19393" t="s">
        <v>1</v>
      </c>
      <c r="E19393" t="s">
        <v>1</v>
      </c>
      <c r="F19393" t="s">
        <v>0</v>
      </c>
      <c r="G19393" t="str">
        <f>"2018-10-10 17:43:35"</f>
        <v>2018-10-10 17:43:35</v>
      </c>
    </row>
    <row r="19394" spans="1:7" x14ac:dyDescent="0.2">
      <c r="A19394" t="s">
        <v>643</v>
      </c>
      <c r="B19394" t="str">
        <f>"13856028861"</f>
        <v>13856028861</v>
      </c>
      <c r="C19394" t="str">
        <f>"340122198610180618"</f>
        <v>340122198610180618</v>
      </c>
      <c r="D19394" t="s">
        <v>1</v>
      </c>
      <c r="E19394" t="s">
        <v>1</v>
      </c>
      <c r="F19394" t="s">
        <v>0</v>
      </c>
      <c r="G19394" t="str">
        <f>"2018-10-10 17:45:49"</f>
        <v>2018-10-10 17:45:49</v>
      </c>
    </row>
    <row r="19395" spans="1:7" x14ac:dyDescent="0.2">
      <c r="A19395" t="s">
        <v>18262</v>
      </c>
      <c r="B19395" t="str">
        <f>"13377451244"</f>
        <v>13377451244</v>
      </c>
      <c r="C19395" t="str">
        <f>"452527198107121259"</f>
        <v>452527198107121259</v>
      </c>
      <c r="D19395" t="s">
        <v>1</v>
      </c>
      <c r="E19395" t="s">
        <v>1</v>
      </c>
      <c r="F19395" t="s">
        <v>0</v>
      </c>
      <c r="G19395" t="str">
        <f>"2018-10-10 17:30:46"</f>
        <v>2018-10-10 17:30:46</v>
      </c>
    </row>
    <row r="19396" spans="1:7" x14ac:dyDescent="0.2">
      <c r="A19396" t="s">
        <v>1036</v>
      </c>
      <c r="B19396" t="str">
        <f>"15067867997"</f>
        <v>15067867997</v>
      </c>
      <c r="C19396" t="str">
        <f>"360622198411050758"</f>
        <v>360622198411050758</v>
      </c>
      <c r="D19396" t="s">
        <v>18263</v>
      </c>
      <c r="E19396" t="s">
        <v>18264</v>
      </c>
      <c r="F19396" t="s">
        <v>0</v>
      </c>
      <c r="G19396" t="str">
        <f>"2018-10-10 17:31:53"</f>
        <v>2018-10-10 17:31:53</v>
      </c>
    </row>
    <row r="19397" spans="1:7" x14ac:dyDescent="0.2">
      <c r="A19397" t="s">
        <v>18265</v>
      </c>
      <c r="B19397" t="str">
        <f>"15979432381"</f>
        <v>15979432381</v>
      </c>
      <c r="C19397" t="str">
        <f>"360302198409193029"</f>
        <v>360302198409193029</v>
      </c>
      <c r="D19397" t="s">
        <v>18266</v>
      </c>
      <c r="E19397" t="s">
        <v>18267</v>
      </c>
      <c r="F19397" t="s">
        <v>0</v>
      </c>
      <c r="G19397" t="str">
        <f>"2018-10-10 17:29:37"</f>
        <v>2018-10-10 17:29:37</v>
      </c>
    </row>
    <row r="19398" spans="1:7" x14ac:dyDescent="0.2">
      <c r="A19398" t="s">
        <v>18268</v>
      </c>
      <c r="B19398" t="str">
        <f>"18312580493"</f>
        <v>18312580493</v>
      </c>
      <c r="C19398" t="str">
        <f>"431102199208027772"</f>
        <v>431102199208027772</v>
      </c>
      <c r="D19398" t="s">
        <v>1</v>
      </c>
      <c r="E19398" t="s">
        <v>1</v>
      </c>
      <c r="F19398" t="s">
        <v>0</v>
      </c>
      <c r="G19398" t="str">
        <f>"2018-10-10 17:33:16"</f>
        <v>2018-10-10 17:33:16</v>
      </c>
    </row>
    <row r="19399" spans="1:7" x14ac:dyDescent="0.2">
      <c r="A19399" t="s">
        <v>18269</v>
      </c>
      <c r="B19399" t="str">
        <f>"13636268721"</f>
        <v>13636268721</v>
      </c>
      <c r="C19399" t="str">
        <f>"420322199004114210"</f>
        <v>420322199004114210</v>
      </c>
      <c r="D19399" t="s">
        <v>18270</v>
      </c>
      <c r="E19399" t="s">
        <v>18271</v>
      </c>
      <c r="F19399" t="s">
        <v>0</v>
      </c>
      <c r="G19399" t="str">
        <f>"2018-10-10 17:31:02"</f>
        <v>2018-10-10 17:31:02</v>
      </c>
    </row>
    <row r="19400" spans="1:7" x14ac:dyDescent="0.2">
      <c r="A19400" t="s">
        <v>18272</v>
      </c>
      <c r="B19400" t="str">
        <f>"15018543514"</f>
        <v>15018543514</v>
      </c>
      <c r="C19400" t="str">
        <f>"362401199212081520"</f>
        <v>362401199212081520</v>
      </c>
      <c r="D19400" t="s">
        <v>18273</v>
      </c>
      <c r="E19400" t="s">
        <v>18274</v>
      </c>
      <c r="F19400" t="s">
        <v>0</v>
      </c>
      <c r="G19400" t="str">
        <f>"2018-10-10 17:39:38"</f>
        <v>2018-10-10 17:39:38</v>
      </c>
    </row>
    <row r="19401" spans="1:7" x14ac:dyDescent="0.2">
      <c r="A19401" t="s">
        <v>1</v>
      </c>
      <c r="B19401" t="str">
        <f>"15236106901"</f>
        <v>15236106901</v>
      </c>
      <c r="C19401" t="s">
        <v>1</v>
      </c>
      <c r="D19401" t="s">
        <v>1</v>
      </c>
      <c r="E19401" t="s">
        <v>1</v>
      </c>
      <c r="F19401" t="s">
        <v>0</v>
      </c>
      <c r="G19401" t="str">
        <f>"2018-10-10 17:27:52"</f>
        <v>2018-10-10 17:27:52</v>
      </c>
    </row>
    <row r="19402" spans="1:7" x14ac:dyDescent="0.2">
      <c r="A19402" t="s">
        <v>18275</v>
      </c>
      <c r="B19402" t="str">
        <f>"18686152208"</f>
        <v>18686152208</v>
      </c>
      <c r="C19402" t="str">
        <f>"150204198808070323"</f>
        <v>150204198808070323</v>
      </c>
      <c r="D19402" t="s">
        <v>1</v>
      </c>
      <c r="E19402" t="s">
        <v>1</v>
      </c>
      <c r="F19402" t="s">
        <v>0</v>
      </c>
      <c r="G19402" t="str">
        <f>"2018-10-10 17:29:15"</f>
        <v>2018-10-10 17:29:15</v>
      </c>
    </row>
    <row r="19403" spans="1:7" x14ac:dyDescent="0.2">
      <c r="A19403" t="s">
        <v>18276</v>
      </c>
      <c r="B19403" t="str">
        <f>"13471951732"</f>
        <v>13471951732</v>
      </c>
      <c r="C19403" t="str">
        <f>"45240219910314392X"</f>
        <v>45240219910314392X</v>
      </c>
      <c r="D19403" t="s">
        <v>18277</v>
      </c>
      <c r="E19403" t="s">
        <v>18278</v>
      </c>
      <c r="F19403" t="s">
        <v>0</v>
      </c>
      <c r="G19403" t="str">
        <f>"2018-10-17 15:20:38"</f>
        <v>2018-10-17 15:20:38</v>
      </c>
    </row>
    <row r="19404" spans="1:7" x14ac:dyDescent="0.2">
      <c r="A19404" t="s">
        <v>18279</v>
      </c>
      <c r="B19404" t="str">
        <f>"13273289233"</f>
        <v>13273289233</v>
      </c>
      <c r="C19404" t="str">
        <f>"130627199705153238"</f>
        <v>130627199705153238</v>
      </c>
      <c r="D19404" t="s">
        <v>18280</v>
      </c>
      <c r="E19404" t="s">
        <v>18281</v>
      </c>
      <c r="F19404" t="s">
        <v>0</v>
      </c>
      <c r="G19404" t="str">
        <f>"2018-10-10 17:27:08"</f>
        <v>2018-10-10 17:27:08</v>
      </c>
    </row>
    <row r="19405" spans="1:7" x14ac:dyDescent="0.2">
      <c r="A19405" t="s">
        <v>1</v>
      </c>
      <c r="B19405" t="str">
        <f>"15507818247"</f>
        <v>15507818247</v>
      </c>
      <c r="C19405" t="s">
        <v>1</v>
      </c>
      <c r="D19405" t="s">
        <v>1</v>
      </c>
      <c r="E19405" t="s">
        <v>1</v>
      </c>
      <c r="F19405" t="s">
        <v>0</v>
      </c>
      <c r="G19405" t="str">
        <f>"2018-10-10 17:26:53"</f>
        <v>2018-10-10 17:26:53</v>
      </c>
    </row>
    <row r="19406" spans="1:7" x14ac:dyDescent="0.2">
      <c r="A19406" t="s">
        <v>468</v>
      </c>
      <c r="B19406" t="str">
        <f>"18760380506"</f>
        <v>18760380506</v>
      </c>
      <c r="C19406" t="str">
        <f>"350625198805192510"</f>
        <v>350625198805192510</v>
      </c>
      <c r="D19406" t="s">
        <v>1</v>
      </c>
      <c r="E19406" t="s">
        <v>1</v>
      </c>
      <c r="F19406" t="s">
        <v>0</v>
      </c>
      <c r="G19406" t="str">
        <f>"2018-10-10 17:27:49"</f>
        <v>2018-10-10 17:27:49</v>
      </c>
    </row>
    <row r="19407" spans="1:7" x14ac:dyDescent="0.2">
      <c r="A19407" t="s">
        <v>18282</v>
      </c>
      <c r="B19407" t="str">
        <f>"13238528688"</f>
        <v>13238528688</v>
      </c>
      <c r="C19407" t="str">
        <f>"522426198302062510"</f>
        <v>522426198302062510</v>
      </c>
      <c r="D19407" t="s">
        <v>1</v>
      </c>
      <c r="E19407" t="s">
        <v>1</v>
      </c>
      <c r="F19407" t="s">
        <v>0</v>
      </c>
      <c r="G19407" t="str">
        <f>"2018-10-10 17:24:43"</f>
        <v>2018-10-10 17:24:43</v>
      </c>
    </row>
    <row r="19408" spans="1:7" x14ac:dyDescent="0.2">
      <c r="A19408" t="s">
        <v>18283</v>
      </c>
      <c r="B19408" t="str">
        <f>"15820494184"</f>
        <v>15820494184</v>
      </c>
      <c r="C19408" t="str">
        <f>"421125198110161330"</f>
        <v>421125198110161330</v>
      </c>
      <c r="D19408" t="s">
        <v>1</v>
      </c>
      <c r="E19408" t="s">
        <v>1</v>
      </c>
      <c r="F19408" t="s">
        <v>0</v>
      </c>
      <c r="G19408" t="str">
        <f>"2018-10-10 17:29:14"</f>
        <v>2018-10-10 17:29:14</v>
      </c>
    </row>
    <row r="19409" spans="1:7" x14ac:dyDescent="0.2">
      <c r="A19409" t="s">
        <v>18284</v>
      </c>
      <c r="B19409" t="str">
        <f>"13573748596"</f>
        <v>13573748596</v>
      </c>
      <c r="C19409" t="str">
        <f>"37100219940504852X"</f>
        <v>37100219940504852X</v>
      </c>
      <c r="D19409" t="s">
        <v>1</v>
      </c>
      <c r="E19409" t="s">
        <v>1</v>
      </c>
      <c r="F19409" t="s">
        <v>0</v>
      </c>
      <c r="G19409" t="str">
        <f>"2018-10-10 17:25:48"</f>
        <v>2018-10-10 17:25:48</v>
      </c>
    </row>
    <row r="19410" spans="1:7" x14ac:dyDescent="0.2">
      <c r="A19410" t="s">
        <v>1724</v>
      </c>
      <c r="B19410" t="str">
        <f>"18735190458"</f>
        <v>18735190458</v>
      </c>
      <c r="C19410" t="str">
        <f>"142402198603160024"</f>
        <v>142402198603160024</v>
      </c>
      <c r="D19410" t="s">
        <v>1</v>
      </c>
      <c r="E19410" t="s">
        <v>1</v>
      </c>
      <c r="F19410" t="s">
        <v>0</v>
      </c>
      <c r="G19410" t="str">
        <f>"2018-10-10 17:23:45"</f>
        <v>2018-10-10 17:23:45</v>
      </c>
    </row>
    <row r="19411" spans="1:7" x14ac:dyDescent="0.2">
      <c r="A19411" t="s">
        <v>18285</v>
      </c>
      <c r="B19411" t="str">
        <f>"13795563684"</f>
        <v>13795563684</v>
      </c>
      <c r="C19411" t="str">
        <f>"510303198706121325"</f>
        <v>510303198706121325</v>
      </c>
      <c r="D19411" t="s">
        <v>1</v>
      </c>
      <c r="E19411" t="s">
        <v>1</v>
      </c>
      <c r="F19411" t="s">
        <v>0</v>
      </c>
      <c r="G19411" t="str">
        <f>"2018-10-10 17:25:59"</f>
        <v>2018-10-10 17:25:59</v>
      </c>
    </row>
    <row r="19412" spans="1:7" x14ac:dyDescent="0.2">
      <c r="A19412" t="s">
        <v>18286</v>
      </c>
      <c r="B19412" t="str">
        <f>"13273722238"</f>
        <v>13273722238</v>
      </c>
      <c r="C19412" t="str">
        <f>"410725198304256610"</f>
        <v>410725198304256610</v>
      </c>
      <c r="D19412" t="s">
        <v>1</v>
      </c>
      <c r="E19412" t="s">
        <v>1</v>
      </c>
      <c r="F19412" t="s">
        <v>0</v>
      </c>
      <c r="G19412" t="str">
        <f>"2018-10-10 17:31:52"</f>
        <v>2018-10-10 17:31:52</v>
      </c>
    </row>
    <row r="19413" spans="1:7" x14ac:dyDescent="0.2">
      <c r="A19413" t="s">
        <v>18287</v>
      </c>
      <c r="B19413" t="str">
        <f>"15083965657"</f>
        <v>15083965657</v>
      </c>
      <c r="C19413" t="str">
        <f>"360521199606124211"</f>
        <v>360521199606124211</v>
      </c>
      <c r="D19413" t="s">
        <v>18288</v>
      </c>
      <c r="E19413" t="s">
        <v>18289</v>
      </c>
      <c r="F19413" t="s">
        <v>0</v>
      </c>
      <c r="G19413" t="str">
        <f>"2018-10-10 17:23:14"</f>
        <v>2018-10-10 17:23:14</v>
      </c>
    </row>
    <row r="19414" spans="1:7" x14ac:dyDescent="0.2">
      <c r="A19414" t="s">
        <v>18290</v>
      </c>
      <c r="B19414" t="str">
        <f>"17377171630"</f>
        <v>17377171630</v>
      </c>
      <c r="C19414" t="str">
        <f>"452132199407100322"</f>
        <v>452132199407100322</v>
      </c>
      <c r="D19414" t="s">
        <v>1</v>
      </c>
      <c r="E19414" t="s">
        <v>1</v>
      </c>
      <c r="F19414" t="s">
        <v>0</v>
      </c>
      <c r="G19414" t="str">
        <f>"2018-10-29 20:26:41"</f>
        <v>2018-10-29 20:26:41</v>
      </c>
    </row>
    <row r="19415" spans="1:7" x14ac:dyDescent="0.2">
      <c r="A19415" t="s">
        <v>18291</v>
      </c>
      <c r="B19415" t="str">
        <f>"18203748105"</f>
        <v>18203748105</v>
      </c>
      <c r="C19415" t="str">
        <f>"411002199210231060"</f>
        <v>411002199210231060</v>
      </c>
      <c r="D19415" t="s">
        <v>1</v>
      </c>
      <c r="E19415" t="s">
        <v>1</v>
      </c>
      <c r="F19415" t="s">
        <v>0</v>
      </c>
      <c r="G19415" t="str">
        <f>"2018-10-10 17:24:08"</f>
        <v>2018-10-10 17:24:08</v>
      </c>
    </row>
    <row r="19416" spans="1:7" x14ac:dyDescent="0.2">
      <c r="A19416" t="s">
        <v>18292</v>
      </c>
      <c r="B19416" t="str">
        <f>"13588131763"</f>
        <v>13588131763</v>
      </c>
      <c r="C19416" t="str">
        <f>"412925197409025833"</f>
        <v>412925197409025833</v>
      </c>
      <c r="D19416" t="s">
        <v>1</v>
      </c>
      <c r="E19416" t="s">
        <v>1</v>
      </c>
      <c r="F19416" t="s">
        <v>0</v>
      </c>
      <c r="G19416" t="str">
        <f>"2018-10-10 17:24:05"</f>
        <v>2018-10-10 17:24:05</v>
      </c>
    </row>
    <row r="19417" spans="1:7" x14ac:dyDescent="0.2">
      <c r="A19417" t="s">
        <v>1847</v>
      </c>
      <c r="B19417" t="str">
        <f>"13913729616"</f>
        <v>13913729616</v>
      </c>
      <c r="C19417" t="str">
        <f>"413026199211063911"</f>
        <v>413026199211063911</v>
      </c>
      <c r="D19417" t="s">
        <v>1</v>
      </c>
      <c r="E19417" t="s">
        <v>1</v>
      </c>
      <c r="F19417" t="s">
        <v>0</v>
      </c>
      <c r="G19417" t="str">
        <f>"2018-10-10 17:30:53"</f>
        <v>2018-10-10 17:30:53</v>
      </c>
    </row>
    <row r="19418" spans="1:7" x14ac:dyDescent="0.2">
      <c r="A19418" t="s">
        <v>18293</v>
      </c>
      <c r="B19418" t="str">
        <f>"15053377008"</f>
        <v>15053377008</v>
      </c>
      <c r="C19418" t="str">
        <f>"370321198706300012"</f>
        <v>370321198706300012</v>
      </c>
      <c r="D19418" t="s">
        <v>18294</v>
      </c>
      <c r="E19418" t="s">
        <v>18295</v>
      </c>
      <c r="F19418" t="s">
        <v>0</v>
      </c>
      <c r="G19418" t="str">
        <f>"2018-10-10 17:22:07"</f>
        <v>2018-10-10 17:22:07</v>
      </c>
    </row>
    <row r="19419" spans="1:7" x14ac:dyDescent="0.2">
      <c r="A19419" t="s">
        <v>18296</v>
      </c>
      <c r="B19419" t="str">
        <f>"15267306698"</f>
        <v>15267306698</v>
      </c>
      <c r="C19419" t="str">
        <f>"330724198805177113"</f>
        <v>330724198805177113</v>
      </c>
      <c r="D19419" t="s">
        <v>1</v>
      </c>
      <c r="E19419" t="s">
        <v>1</v>
      </c>
      <c r="F19419" t="s">
        <v>0</v>
      </c>
      <c r="G19419" t="str">
        <f>"2018-10-11 19:36:44"</f>
        <v>2018-10-11 19:36:44</v>
      </c>
    </row>
    <row r="19420" spans="1:7" x14ac:dyDescent="0.2">
      <c r="A19420" t="s">
        <v>1</v>
      </c>
      <c r="B19420" t="str">
        <f>"15557987512"</f>
        <v>15557987512</v>
      </c>
      <c r="C19420" t="s">
        <v>1</v>
      </c>
      <c r="D19420" t="s">
        <v>1</v>
      </c>
      <c r="E19420" t="s">
        <v>1</v>
      </c>
      <c r="F19420" t="s">
        <v>0</v>
      </c>
      <c r="G19420" t="str">
        <f>"2018-10-10 17:21:48"</f>
        <v>2018-10-10 17:21:48</v>
      </c>
    </row>
    <row r="19421" spans="1:7" x14ac:dyDescent="0.2">
      <c r="A19421" t="s">
        <v>18297</v>
      </c>
      <c r="B19421" t="str">
        <f>"18105997080"</f>
        <v>18105997080</v>
      </c>
      <c r="C19421" t="str">
        <f>"350725198605010538"</f>
        <v>350725198605010538</v>
      </c>
      <c r="D19421" t="s">
        <v>18298</v>
      </c>
      <c r="E19421" t="s">
        <v>18299</v>
      </c>
      <c r="F19421" t="s">
        <v>0</v>
      </c>
      <c r="G19421" t="str">
        <f>"2018-10-20 10:10:07"</f>
        <v>2018-10-20 10:10:07</v>
      </c>
    </row>
    <row r="19422" spans="1:7" x14ac:dyDescent="0.2">
      <c r="A19422" t="s">
        <v>18300</v>
      </c>
      <c r="B19422" t="str">
        <f>"18787427722"</f>
        <v>18787427722</v>
      </c>
      <c r="C19422" t="str">
        <f>"411082198009174233"</f>
        <v>411082198009174233</v>
      </c>
      <c r="D19422" t="s">
        <v>18301</v>
      </c>
      <c r="E19422" t="s">
        <v>18302</v>
      </c>
      <c r="F19422" t="s">
        <v>0</v>
      </c>
      <c r="G19422" t="str">
        <f>"2018-10-10 18:35:57"</f>
        <v>2018-10-10 18:35:57</v>
      </c>
    </row>
    <row r="19423" spans="1:7" x14ac:dyDescent="0.2">
      <c r="A19423" t="s">
        <v>1</v>
      </c>
      <c r="B19423" t="str">
        <f>"15578154335"</f>
        <v>15578154335</v>
      </c>
      <c r="C19423" t="s">
        <v>1</v>
      </c>
      <c r="D19423" t="s">
        <v>1</v>
      </c>
      <c r="E19423" t="s">
        <v>1</v>
      </c>
      <c r="F19423" t="s">
        <v>0</v>
      </c>
      <c r="G19423" t="str">
        <f>"2018-10-10 17:20:16"</f>
        <v>2018-10-10 17:20:16</v>
      </c>
    </row>
    <row r="19424" spans="1:7" x14ac:dyDescent="0.2">
      <c r="A19424" t="s">
        <v>1</v>
      </c>
      <c r="B19424" t="str">
        <f>"15259690110"</f>
        <v>15259690110</v>
      </c>
      <c r="C19424" t="s">
        <v>1</v>
      </c>
      <c r="D19424" t="s">
        <v>1</v>
      </c>
      <c r="E19424" t="s">
        <v>1</v>
      </c>
      <c r="F19424" t="s">
        <v>0</v>
      </c>
      <c r="G19424" t="str">
        <f>"2018-10-10 17:19:58"</f>
        <v>2018-10-10 17:19:58</v>
      </c>
    </row>
    <row r="19425" spans="1:7" x14ac:dyDescent="0.2">
      <c r="A19425" t="s">
        <v>1</v>
      </c>
      <c r="B19425" t="str">
        <f>"15062497625"</f>
        <v>15062497625</v>
      </c>
      <c r="C19425" t="s">
        <v>1</v>
      </c>
      <c r="D19425" t="s">
        <v>1</v>
      </c>
      <c r="E19425" t="s">
        <v>1</v>
      </c>
      <c r="F19425" t="s">
        <v>0</v>
      </c>
      <c r="G19425" t="str">
        <f>"2018-10-12 09:50:31"</f>
        <v>2018-10-12 09:50:31</v>
      </c>
    </row>
    <row r="19426" spans="1:7" x14ac:dyDescent="0.2">
      <c r="A19426" t="s">
        <v>1</v>
      </c>
      <c r="B19426" t="str">
        <f>"18775089434"</f>
        <v>18775089434</v>
      </c>
      <c r="C19426" t="s">
        <v>1</v>
      </c>
      <c r="D19426" t="s">
        <v>1</v>
      </c>
      <c r="E19426" t="s">
        <v>1</v>
      </c>
      <c r="F19426" t="s">
        <v>0</v>
      </c>
      <c r="G19426" t="str">
        <f>"2018-10-10 17:18:56"</f>
        <v>2018-10-10 17:18:56</v>
      </c>
    </row>
    <row r="19427" spans="1:7" x14ac:dyDescent="0.2">
      <c r="A19427" t="s">
        <v>1</v>
      </c>
      <c r="B19427" t="str">
        <f>"15577036423"</f>
        <v>15577036423</v>
      </c>
      <c r="C19427" t="s">
        <v>1</v>
      </c>
      <c r="D19427" t="s">
        <v>1</v>
      </c>
      <c r="E19427" t="s">
        <v>1</v>
      </c>
      <c r="F19427" t="s">
        <v>0</v>
      </c>
      <c r="G19427" t="str">
        <f>"2018-10-10 17:18:45"</f>
        <v>2018-10-10 17:18:45</v>
      </c>
    </row>
    <row r="19428" spans="1:7" x14ac:dyDescent="0.2">
      <c r="A19428" t="s">
        <v>1</v>
      </c>
      <c r="B19428" t="str">
        <f>"13810063444"</f>
        <v>13810063444</v>
      </c>
      <c r="C19428" t="s">
        <v>1</v>
      </c>
      <c r="D19428" t="s">
        <v>1</v>
      </c>
      <c r="E19428" t="s">
        <v>1</v>
      </c>
      <c r="F19428" t="s">
        <v>0</v>
      </c>
      <c r="G19428" t="str">
        <f>"2018-10-10 17:18:26"</f>
        <v>2018-10-10 17:18:26</v>
      </c>
    </row>
    <row r="19429" spans="1:7" x14ac:dyDescent="0.2">
      <c r="A19429" t="s">
        <v>18303</v>
      </c>
      <c r="B19429" t="str">
        <f>"13797292840"</f>
        <v>13797292840</v>
      </c>
      <c r="C19429" t="str">
        <f>"500235199508065033"</f>
        <v>500235199508065033</v>
      </c>
      <c r="D19429" t="s">
        <v>1</v>
      </c>
      <c r="E19429" t="s">
        <v>1</v>
      </c>
      <c r="F19429" t="s">
        <v>0</v>
      </c>
      <c r="G19429" t="str">
        <f>"2018-10-10 17:20:07"</f>
        <v>2018-10-10 17:20:07</v>
      </c>
    </row>
    <row r="19430" spans="1:7" x14ac:dyDescent="0.2">
      <c r="A19430" t="s">
        <v>10484</v>
      </c>
      <c r="B19430" t="str">
        <f>"15727900810"</f>
        <v>15727900810</v>
      </c>
      <c r="C19430" t="str">
        <f>"330724199712196256"</f>
        <v>330724199712196256</v>
      </c>
      <c r="D19430" t="s">
        <v>1</v>
      </c>
      <c r="E19430" t="s">
        <v>1</v>
      </c>
      <c r="F19430" t="s">
        <v>0</v>
      </c>
      <c r="G19430" t="str">
        <f>"2018-10-10 17:20:19"</f>
        <v>2018-10-10 17:20:19</v>
      </c>
    </row>
    <row r="19431" spans="1:7" x14ac:dyDescent="0.2">
      <c r="A19431" t="s">
        <v>18304</v>
      </c>
      <c r="B19431" t="str">
        <f>"18010735428"</f>
        <v>18010735428</v>
      </c>
      <c r="C19431" t="str">
        <f>"342623197502017910"</f>
        <v>342623197502017910</v>
      </c>
      <c r="D19431" t="s">
        <v>1</v>
      </c>
      <c r="E19431" t="s">
        <v>1</v>
      </c>
      <c r="F19431" t="s">
        <v>0</v>
      </c>
      <c r="G19431" t="str">
        <f>"2018-10-10 17:22:03"</f>
        <v>2018-10-10 17:22:03</v>
      </c>
    </row>
    <row r="19432" spans="1:7" x14ac:dyDescent="0.2">
      <c r="A19432" t="s">
        <v>18305</v>
      </c>
      <c r="B19432" t="str">
        <f>"15531368859"</f>
        <v>15531368859</v>
      </c>
      <c r="C19432" t="str">
        <f>"130726200105283324"</f>
        <v>130726200105283324</v>
      </c>
      <c r="D19432" t="s">
        <v>1</v>
      </c>
      <c r="E19432" t="s">
        <v>1</v>
      </c>
      <c r="F19432" t="s">
        <v>0</v>
      </c>
      <c r="G19432" t="str">
        <f>"2018-10-10 17:18:33"</f>
        <v>2018-10-10 17:18:33</v>
      </c>
    </row>
    <row r="19433" spans="1:7" x14ac:dyDescent="0.2">
      <c r="A19433" t="s">
        <v>18306</v>
      </c>
      <c r="B19433" t="str">
        <f>"15022214579"</f>
        <v>15022214579</v>
      </c>
      <c r="C19433" t="str">
        <f>"120106198910256038"</f>
        <v>120106198910256038</v>
      </c>
      <c r="D19433" t="s">
        <v>1</v>
      </c>
      <c r="E19433" t="s">
        <v>1</v>
      </c>
      <c r="F19433" t="s">
        <v>0</v>
      </c>
      <c r="G19433" t="str">
        <f>"2018-10-17 18:26:59"</f>
        <v>2018-10-17 18:26:59</v>
      </c>
    </row>
    <row r="19434" spans="1:7" x14ac:dyDescent="0.2">
      <c r="A19434" t="s">
        <v>1</v>
      </c>
      <c r="B19434" t="str">
        <f>"15124683734"</f>
        <v>15124683734</v>
      </c>
      <c r="C19434" t="s">
        <v>1</v>
      </c>
      <c r="D19434" t="s">
        <v>1</v>
      </c>
      <c r="E19434" t="s">
        <v>1</v>
      </c>
      <c r="F19434" t="s">
        <v>0</v>
      </c>
      <c r="G19434" t="str">
        <f>"2018-10-10 17:17:10"</f>
        <v>2018-10-10 17:17:10</v>
      </c>
    </row>
    <row r="19435" spans="1:7" x14ac:dyDescent="0.2">
      <c r="A19435" t="s">
        <v>18307</v>
      </c>
      <c r="B19435" t="str">
        <f>"13265361731"</f>
        <v>13265361731</v>
      </c>
      <c r="C19435" t="str">
        <f>"452123199508202874"</f>
        <v>452123199508202874</v>
      </c>
      <c r="D19435" t="s">
        <v>1</v>
      </c>
      <c r="E19435" t="s">
        <v>1</v>
      </c>
      <c r="F19435" t="s">
        <v>0</v>
      </c>
      <c r="G19435" t="str">
        <f>"2018-10-10 17:24:18"</f>
        <v>2018-10-10 17:24:18</v>
      </c>
    </row>
    <row r="19436" spans="1:7" x14ac:dyDescent="0.2">
      <c r="A19436" t="s">
        <v>18308</v>
      </c>
      <c r="B19436" t="str">
        <f>"18372692629"</f>
        <v>18372692629</v>
      </c>
      <c r="C19436" t="str">
        <f>"420303199611082549"</f>
        <v>420303199611082549</v>
      </c>
      <c r="D19436" t="s">
        <v>1</v>
      </c>
      <c r="E19436" t="s">
        <v>1</v>
      </c>
      <c r="F19436" t="s">
        <v>0</v>
      </c>
      <c r="G19436" t="str">
        <f>"2018-10-13 16:09:59"</f>
        <v>2018-10-13 16:09:59</v>
      </c>
    </row>
    <row r="19437" spans="1:7" x14ac:dyDescent="0.2">
      <c r="A19437" t="s">
        <v>1</v>
      </c>
      <c r="B19437" t="str">
        <f>"15074421110"</f>
        <v>15074421110</v>
      </c>
      <c r="C19437" t="s">
        <v>1</v>
      </c>
      <c r="D19437" t="s">
        <v>1</v>
      </c>
      <c r="E19437" t="s">
        <v>1</v>
      </c>
      <c r="F19437" t="s">
        <v>0</v>
      </c>
      <c r="G19437" t="str">
        <f>"2018-10-10 17:16:41"</f>
        <v>2018-10-10 17:16:41</v>
      </c>
    </row>
    <row r="19438" spans="1:7" x14ac:dyDescent="0.2">
      <c r="A19438" t="s">
        <v>1</v>
      </c>
      <c r="B19438" t="str">
        <f>"13868805121"</f>
        <v>13868805121</v>
      </c>
      <c r="C19438" t="s">
        <v>1</v>
      </c>
      <c r="D19438" t="s">
        <v>1</v>
      </c>
      <c r="E19438" t="s">
        <v>1</v>
      </c>
      <c r="F19438" t="s">
        <v>0</v>
      </c>
      <c r="G19438" t="str">
        <f>"2018-10-10 17:16:17"</f>
        <v>2018-10-10 17:16:17</v>
      </c>
    </row>
    <row r="19439" spans="1:7" x14ac:dyDescent="0.2">
      <c r="A19439" t="s">
        <v>18309</v>
      </c>
      <c r="B19439" t="str">
        <f>"15033909596"</f>
        <v>15033909596</v>
      </c>
      <c r="C19439" t="str">
        <f>"130224199801087647"</f>
        <v>130224199801087647</v>
      </c>
      <c r="D19439" t="s">
        <v>1</v>
      </c>
      <c r="E19439" t="s">
        <v>1</v>
      </c>
      <c r="F19439" t="s">
        <v>0</v>
      </c>
      <c r="G19439" t="str">
        <f>"2018-10-10 17:24:50"</f>
        <v>2018-10-10 17:24:50</v>
      </c>
    </row>
    <row r="19440" spans="1:7" x14ac:dyDescent="0.2">
      <c r="A19440" t="s">
        <v>1</v>
      </c>
      <c r="B19440" t="str">
        <f>"15926730771"</f>
        <v>15926730771</v>
      </c>
      <c r="C19440" t="s">
        <v>1</v>
      </c>
      <c r="D19440" t="s">
        <v>1</v>
      </c>
      <c r="E19440" t="s">
        <v>1</v>
      </c>
      <c r="F19440" t="s">
        <v>0</v>
      </c>
      <c r="G19440" t="str">
        <f>"2018-10-10 17:18:06"</f>
        <v>2018-10-10 17:18:06</v>
      </c>
    </row>
    <row r="19441" spans="1:7" x14ac:dyDescent="0.2">
      <c r="A19441" t="s">
        <v>18310</v>
      </c>
      <c r="B19441" t="str">
        <f>"18218989023"</f>
        <v>18218989023</v>
      </c>
      <c r="C19441" t="str">
        <f>"440883199510211711"</f>
        <v>440883199510211711</v>
      </c>
      <c r="D19441" t="s">
        <v>1</v>
      </c>
      <c r="E19441" t="s">
        <v>1</v>
      </c>
      <c r="F19441" t="s">
        <v>0</v>
      </c>
      <c r="G19441" t="str">
        <f>"2018-10-10 17:22:52"</f>
        <v>2018-10-10 17:22:52</v>
      </c>
    </row>
    <row r="19442" spans="1:7" x14ac:dyDescent="0.2">
      <c r="A19442" t="s">
        <v>1</v>
      </c>
      <c r="B19442" t="str">
        <f>"15876749009"</f>
        <v>15876749009</v>
      </c>
      <c r="C19442" t="s">
        <v>1</v>
      </c>
      <c r="D19442" t="s">
        <v>1</v>
      </c>
      <c r="E19442" t="s">
        <v>1</v>
      </c>
      <c r="F19442" t="s">
        <v>0</v>
      </c>
      <c r="G19442" t="str">
        <f>"2018-10-10 17:16:38"</f>
        <v>2018-10-10 17:16:38</v>
      </c>
    </row>
    <row r="19443" spans="1:7" x14ac:dyDescent="0.2">
      <c r="A19443" t="s">
        <v>1</v>
      </c>
      <c r="B19443" t="str">
        <f>"18779015858"</f>
        <v>18779015858</v>
      </c>
      <c r="C19443" t="s">
        <v>1</v>
      </c>
      <c r="D19443" t="s">
        <v>1</v>
      </c>
      <c r="E19443" t="s">
        <v>1</v>
      </c>
      <c r="F19443" t="s">
        <v>0</v>
      </c>
      <c r="G19443" t="str">
        <f>"2018-10-10 17:15:30"</f>
        <v>2018-10-10 17:15:30</v>
      </c>
    </row>
    <row r="19444" spans="1:7" x14ac:dyDescent="0.2">
      <c r="A19444" t="s">
        <v>18311</v>
      </c>
      <c r="B19444" t="str">
        <f>"15262276767"</f>
        <v>15262276767</v>
      </c>
      <c r="C19444" t="str">
        <f>"321088197809277734"</f>
        <v>321088197809277734</v>
      </c>
      <c r="D19444" t="s">
        <v>1</v>
      </c>
      <c r="E19444" t="s">
        <v>1</v>
      </c>
      <c r="F19444" t="s">
        <v>0</v>
      </c>
      <c r="G19444" t="str">
        <f>"2018-10-10 17:15:48"</f>
        <v>2018-10-10 17:15:48</v>
      </c>
    </row>
    <row r="19445" spans="1:7" x14ac:dyDescent="0.2">
      <c r="A19445" t="s">
        <v>6537</v>
      </c>
      <c r="B19445" t="str">
        <f>"18980231367"</f>
        <v>18980231367</v>
      </c>
      <c r="C19445" t="str">
        <f>"511028199610175747"</f>
        <v>511028199610175747</v>
      </c>
      <c r="D19445" t="s">
        <v>1</v>
      </c>
      <c r="E19445" t="s">
        <v>1</v>
      </c>
      <c r="F19445" t="s">
        <v>0</v>
      </c>
      <c r="G19445" t="str">
        <f>"2018-10-10 17:16:14"</f>
        <v>2018-10-10 17:16:14</v>
      </c>
    </row>
    <row r="19446" spans="1:7" x14ac:dyDescent="0.2">
      <c r="A19446" t="s">
        <v>18312</v>
      </c>
      <c r="B19446" t="str">
        <f>"15126477545"</f>
        <v>15126477545</v>
      </c>
      <c r="C19446" t="str">
        <f>"533526199412240632"</f>
        <v>533526199412240632</v>
      </c>
      <c r="D19446" t="s">
        <v>1</v>
      </c>
      <c r="E19446" t="s">
        <v>1</v>
      </c>
      <c r="F19446" t="s">
        <v>0</v>
      </c>
      <c r="G19446" t="str">
        <f>"2018-10-10 17:15:06"</f>
        <v>2018-10-10 17:15:06</v>
      </c>
    </row>
    <row r="19447" spans="1:7" x14ac:dyDescent="0.2">
      <c r="A19447" t="s">
        <v>18313</v>
      </c>
      <c r="B19447" t="str">
        <f>"15046329214"</f>
        <v>15046329214</v>
      </c>
      <c r="C19447" t="str">
        <f>"231085199302021420"</f>
        <v>231085199302021420</v>
      </c>
      <c r="D19447" t="s">
        <v>1</v>
      </c>
      <c r="E19447" t="s">
        <v>1</v>
      </c>
      <c r="F19447" t="s">
        <v>0</v>
      </c>
      <c r="G19447" t="str">
        <f>"2018-11-05 11:55:53"</f>
        <v>2018-11-05 11:55:53</v>
      </c>
    </row>
    <row r="19448" spans="1:7" x14ac:dyDescent="0.2">
      <c r="A19448" t="s">
        <v>18314</v>
      </c>
      <c r="B19448" t="str">
        <f>"17547527919"</f>
        <v>17547527919</v>
      </c>
      <c r="C19448" t="str">
        <f>"152322199901143210"</f>
        <v>152322199901143210</v>
      </c>
      <c r="D19448" t="s">
        <v>1</v>
      </c>
      <c r="E19448" t="s">
        <v>1</v>
      </c>
      <c r="F19448" t="s">
        <v>0</v>
      </c>
      <c r="G19448" t="str">
        <f>"2018-10-10 17:20:40"</f>
        <v>2018-10-10 17:20:40</v>
      </c>
    </row>
    <row r="19449" spans="1:7" x14ac:dyDescent="0.2">
      <c r="A19449" t="s">
        <v>18315</v>
      </c>
      <c r="B19449" t="str">
        <f>"17786200503"</f>
        <v>17786200503</v>
      </c>
      <c r="C19449" t="str">
        <f>"421182199208194538"</f>
        <v>421182199208194538</v>
      </c>
      <c r="D19449" t="s">
        <v>18316</v>
      </c>
      <c r="E19449" t="s">
        <v>18317</v>
      </c>
      <c r="F19449" t="s">
        <v>0</v>
      </c>
      <c r="G19449" t="str">
        <f>"2018-10-10 17:16:19"</f>
        <v>2018-10-10 17:16:19</v>
      </c>
    </row>
    <row r="19450" spans="1:7" x14ac:dyDescent="0.2">
      <c r="A19450" t="s">
        <v>18318</v>
      </c>
      <c r="B19450" t="str">
        <f>"15826723388"</f>
        <v>15826723388</v>
      </c>
      <c r="C19450" t="str">
        <f>"42900119741201691X"</f>
        <v>42900119741201691X</v>
      </c>
      <c r="D19450" t="s">
        <v>1</v>
      </c>
      <c r="E19450" t="s">
        <v>1</v>
      </c>
      <c r="F19450" t="s">
        <v>0</v>
      </c>
      <c r="G19450" t="str">
        <f>"2018-10-10 17:14:46"</f>
        <v>2018-10-10 17:14:46</v>
      </c>
    </row>
    <row r="19451" spans="1:7" x14ac:dyDescent="0.2">
      <c r="A19451" t="s">
        <v>1258</v>
      </c>
      <c r="B19451" t="str">
        <f>"13548615308"</f>
        <v>13548615308</v>
      </c>
      <c r="C19451" t="str">
        <f>"43012219841223113X"</f>
        <v>43012219841223113X</v>
      </c>
      <c r="D19451" t="s">
        <v>18319</v>
      </c>
      <c r="E19451" t="s">
        <v>18320</v>
      </c>
      <c r="F19451" t="s">
        <v>0</v>
      </c>
      <c r="G19451" t="str">
        <f>"2018-10-10 17:15:03"</f>
        <v>2018-10-10 17:15:03</v>
      </c>
    </row>
    <row r="19452" spans="1:7" x14ac:dyDescent="0.2">
      <c r="A19452" t="s">
        <v>1273</v>
      </c>
      <c r="B19452" t="str">
        <f>"15235226619"</f>
        <v>15235226619</v>
      </c>
      <c r="C19452" t="str">
        <f>"140203198102117013"</f>
        <v>140203198102117013</v>
      </c>
      <c r="D19452" t="s">
        <v>1</v>
      </c>
      <c r="E19452" t="s">
        <v>1</v>
      </c>
      <c r="F19452" t="s">
        <v>0</v>
      </c>
      <c r="G19452" t="str">
        <f>"2018-10-10 17:20:04"</f>
        <v>2018-10-10 17:20:04</v>
      </c>
    </row>
    <row r="19453" spans="1:7" x14ac:dyDescent="0.2">
      <c r="A19453" t="s">
        <v>18321</v>
      </c>
      <c r="B19453" t="str">
        <f>"15359073539"</f>
        <v>15359073539</v>
      </c>
      <c r="C19453" t="str">
        <f>"350824199402202867"</f>
        <v>350824199402202867</v>
      </c>
      <c r="D19453" t="s">
        <v>1</v>
      </c>
      <c r="E19453" t="s">
        <v>1</v>
      </c>
      <c r="F19453" t="s">
        <v>0</v>
      </c>
      <c r="G19453" t="str">
        <f>"2018-10-10 17:12:15"</f>
        <v>2018-10-10 17:12:15</v>
      </c>
    </row>
    <row r="19454" spans="1:7" x14ac:dyDescent="0.2">
      <c r="A19454" t="s">
        <v>18322</v>
      </c>
      <c r="B19454" t="str">
        <f>"18569471223"</f>
        <v>18569471223</v>
      </c>
      <c r="C19454" t="str">
        <f>"43072319951223741X"</f>
        <v>43072319951223741X</v>
      </c>
      <c r="D19454" t="s">
        <v>1</v>
      </c>
      <c r="E19454" t="s">
        <v>1</v>
      </c>
      <c r="F19454" t="s">
        <v>0</v>
      </c>
      <c r="G19454" t="str">
        <f>"2018-10-11 12:15:16"</f>
        <v>2018-10-11 12:15:16</v>
      </c>
    </row>
    <row r="19455" spans="1:7" x14ac:dyDescent="0.2">
      <c r="A19455" t="s">
        <v>18323</v>
      </c>
      <c r="B19455" t="str">
        <f>"18766287897"</f>
        <v>18766287897</v>
      </c>
      <c r="C19455" t="str">
        <f>"370983197503050532"</f>
        <v>370983197503050532</v>
      </c>
      <c r="D19455" t="s">
        <v>18324</v>
      </c>
      <c r="E19455" t="s">
        <v>18325</v>
      </c>
      <c r="F19455" t="s">
        <v>0</v>
      </c>
      <c r="G19455" t="str">
        <f>"2018-10-10 17:14:22"</f>
        <v>2018-10-10 17:14:22</v>
      </c>
    </row>
    <row r="19456" spans="1:7" x14ac:dyDescent="0.2">
      <c r="A19456" t="s">
        <v>18326</v>
      </c>
      <c r="B19456" t="str">
        <f>"17620507162"</f>
        <v>17620507162</v>
      </c>
      <c r="C19456" t="str">
        <f>"441900199311261324"</f>
        <v>441900199311261324</v>
      </c>
      <c r="D19456" t="s">
        <v>1</v>
      </c>
      <c r="E19456" t="s">
        <v>1</v>
      </c>
      <c r="F19456" t="s">
        <v>0</v>
      </c>
      <c r="G19456" t="str">
        <f>"2018-10-11 18:41:20"</f>
        <v>2018-10-11 18:41:20</v>
      </c>
    </row>
    <row r="19457" spans="1:7" x14ac:dyDescent="0.2">
      <c r="A19457" t="s">
        <v>1</v>
      </c>
      <c r="B19457" t="str">
        <f>"15283102400"</f>
        <v>15283102400</v>
      </c>
      <c r="C19457" t="s">
        <v>1</v>
      </c>
      <c r="D19457" t="s">
        <v>1</v>
      </c>
      <c r="E19457" t="s">
        <v>1</v>
      </c>
      <c r="F19457" t="s">
        <v>0</v>
      </c>
      <c r="G19457" t="str">
        <f>"2018-10-10 23:31:45"</f>
        <v>2018-10-10 23:31:45</v>
      </c>
    </row>
    <row r="19458" spans="1:7" x14ac:dyDescent="0.2">
      <c r="A19458" t="s">
        <v>18327</v>
      </c>
      <c r="B19458" t="str">
        <f>"13737477994"</f>
        <v>13737477994</v>
      </c>
      <c r="C19458" t="str">
        <f>"450481198712060299"</f>
        <v>450481198712060299</v>
      </c>
      <c r="D19458" t="s">
        <v>1</v>
      </c>
      <c r="E19458" t="s">
        <v>1</v>
      </c>
      <c r="F19458" t="s">
        <v>0</v>
      </c>
      <c r="G19458" t="str">
        <f>"2018-10-10 17:14:26"</f>
        <v>2018-10-10 17:14:26</v>
      </c>
    </row>
    <row r="19459" spans="1:7" x14ac:dyDescent="0.2">
      <c r="A19459" t="s">
        <v>1</v>
      </c>
      <c r="B19459" t="str">
        <f>"15541014487"</f>
        <v>15541014487</v>
      </c>
      <c r="C19459" t="s">
        <v>1</v>
      </c>
      <c r="D19459" t="s">
        <v>1</v>
      </c>
      <c r="E19459" t="s">
        <v>1</v>
      </c>
      <c r="F19459" t="s">
        <v>0</v>
      </c>
      <c r="G19459" t="str">
        <f>"2018-10-10 17:11:37"</f>
        <v>2018-10-10 17:11:37</v>
      </c>
    </row>
    <row r="19460" spans="1:7" x14ac:dyDescent="0.2">
      <c r="A19460" t="s">
        <v>18328</v>
      </c>
      <c r="B19460" t="str">
        <f>"15809232515"</f>
        <v>15809232515</v>
      </c>
      <c r="C19460" t="str">
        <f>"612323199201069037"</f>
        <v>612323199201069037</v>
      </c>
      <c r="D19460" t="s">
        <v>1</v>
      </c>
      <c r="E19460" t="s">
        <v>1</v>
      </c>
      <c r="F19460" t="s">
        <v>0</v>
      </c>
      <c r="G19460" t="str">
        <f>"2018-10-10 17:12:41"</f>
        <v>2018-10-10 17:12:41</v>
      </c>
    </row>
    <row r="19461" spans="1:7" x14ac:dyDescent="0.2">
      <c r="A19461" t="s">
        <v>18329</v>
      </c>
      <c r="B19461" t="str">
        <f>"13915368210"</f>
        <v>13915368210</v>
      </c>
      <c r="C19461" t="str">
        <f>"320282199707120534"</f>
        <v>320282199707120534</v>
      </c>
      <c r="D19461" t="s">
        <v>1</v>
      </c>
      <c r="E19461" t="s">
        <v>1</v>
      </c>
      <c r="F19461" t="s">
        <v>0</v>
      </c>
      <c r="G19461" t="str">
        <f>"2018-10-10 17:12:47"</f>
        <v>2018-10-10 17:12:47</v>
      </c>
    </row>
    <row r="19462" spans="1:7" x14ac:dyDescent="0.2">
      <c r="A19462" t="s">
        <v>1</v>
      </c>
      <c r="B19462" t="str">
        <f>"15577644984"</f>
        <v>15577644984</v>
      </c>
      <c r="C19462" t="s">
        <v>1</v>
      </c>
      <c r="D19462" t="s">
        <v>1</v>
      </c>
      <c r="E19462" t="s">
        <v>1</v>
      </c>
      <c r="F19462" t="s">
        <v>0</v>
      </c>
      <c r="G19462" t="str">
        <f>"2018-10-10 17:11:09"</f>
        <v>2018-10-10 17:11:09</v>
      </c>
    </row>
    <row r="19463" spans="1:7" x14ac:dyDescent="0.2">
      <c r="A19463" t="s">
        <v>18330</v>
      </c>
      <c r="B19463" t="str">
        <f>"13590580649"</f>
        <v>13590580649</v>
      </c>
      <c r="C19463" t="str">
        <f>"440681198805172053"</f>
        <v>440681198805172053</v>
      </c>
      <c r="D19463" t="s">
        <v>1</v>
      </c>
      <c r="E19463" t="s">
        <v>1</v>
      </c>
      <c r="F19463" t="s">
        <v>0</v>
      </c>
      <c r="G19463" t="str">
        <f>"2018-10-10 17:12:37"</f>
        <v>2018-10-10 17:12:37</v>
      </c>
    </row>
    <row r="19464" spans="1:7" x14ac:dyDescent="0.2">
      <c r="A19464" t="s">
        <v>18331</v>
      </c>
      <c r="B19464" t="str">
        <f>"13567848972"</f>
        <v>13567848972</v>
      </c>
      <c r="C19464" t="str">
        <f>"330226198907230830"</f>
        <v>330226198907230830</v>
      </c>
      <c r="D19464" t="s">
        <v>1</v>
      </c>
      <c r="E19464" t="s">
        <v>1</v>
      </c>
      <c r="F19464" t="s">
        <v>0</v>
      </c>
      <c r="G19464" t="str">
        <f>"2018-10-10 17:11:24"</f>
        <v>2018-10-10 17:11:24</v>
      </c>
    </row>
    <row r="19465" spans="1:7" x14ac:dyDescent="0.2">
      <c r="A19465" t="s">
        <v>18332</v>
      </c>
      <c r="B19465" t="str">
        <f>"13875962295"</f>
        <v>13875962295</v>
      </c>
      <c r="C19465" t="str">
        <f>"430181199002117857"</f>
        <v>430181199002117857</v>
      </c>
      <c r="D19465" t="s">
        <v>1</v>
      </c>
      <c r="E19465" t="s">
        <v>1</v>
      </c>
      <c r="F19465" t="s">
        <v>0</v>
      </c>
      <c r="G19465" t="str">
        <f>"2018-10-10 17:13:07"</f>
        <v>2018-10-10 17:13:07</v>
      </c>
    </row>
    <row r="19466" spans="1:7" x14ac:dyDescent="0.2">
      <c r="A19466" t="s">
        <v>18333</v>
      </c>
      <c r="B19466" t="str">
        <f>"18834821110"</f>
        <v>18834821110</v>
      </c>
      <c r="C19466" t="str">
        <f>"140121199707206117"</f>
        <v>140121199707206117</v>
      </c>
      <c r="D19466" t="s">
        <v>1</v>
      </c>
      <c r="E19466" t="s">
        <v>1</v>
      </c>
      <c r="F19466" t="s">
        <v>0</v>
      </c>
      <c r="G19466" t="str">
        <f>"2018-10-10 17:19:34"</f>
        <v>2018-10-10 17:19:34</v>
      </c>
    </row>
    <row r="19467" spans="1:7" x14ac:dyDescent="0.2">
      <c r="A19467" t="s">
        <v>18334</v>
      </c>
      <c r="B19467" t="str">
        <f>"15290770002"</f>
        <v>15290770002</v>
      </c>
      <c r="C19467" t="str">
        <f>"410426197911155040"</f>
        <v>410426197911155040</v>
      </c>
      <c r="D19467" t="s">
        <v>1</v>
      </c>
      <c r="E19467" t="s">
        <v>1</v>
      </c>
      <c r="F19467" t="s">
        <v>0</v>
      </c>
      <c r="G19467" t="str">
        <f>"2018-10-10 18:07:00"</f>
        <v>2018-10-10 18:07:00</v>
      </c>
    </row>
    <row r="19468" spans="1:7" x14ac:dyDescent="0.2">
      <c r="A19468" t="s">
        <v>18335</v>
      </c>
      <c r="B19468" t="str">
        <f>"13613654787"</f>
        <v>13613654787</v>
      </c>
      <c r="C19468" t="str">
        <f>"230104197610152315"</f>
        <v>230104197610152315</v>
      </c>
      <c r="D19468" t="s">
        <v>1</v>
      </c>
      <c r="E19468" t="s">
        <v>1</v>
      </c>
      <c r="F19468" t="s">
        <v>0</v>
      </c>
      <c r="G19468" t="str">
        <f>"2018-10-10 17:28:34"</f>
        <v>2018-10-10 17:28:34</v>
      </c>
    </row>
    <row r="19469" spans="1:7" x14ac:dyDescent="0.2">
      <c r="A19469" t="s">
        <v>18336</v>
      </c>
      <c r="B19469" t="str">
        <f>"13513638818"</f>
        <v>13513638818</v>
      </c>
      <c r="C19469" t="str">
        <f>"140181198703150437"</f>
        <v>140181198703150437</v>
      </c>
      <c r="D19469" t="s">
        <v>1</v>
      </c>
      <c r="E19469" t="s">
        <v>1</v>
      </c>
      <c r="F19469" t="s">
        <v>0</v>
      </c>
      <c r="G19469" t="str">
        <f>"2018-10-10 17:28:14"</f>
        <v>2018-10-10 17:28:14</v>
      </c>
    </row>
    <row r="19470" spans="1:7" x14ac:dyDescent="0.2">
      <c r="A19470" t="s">
        <v>1</v>
      </c>
      <c r="B19470" t="str">
        <f>"13774280573"</f>
        <v>13774280573</v>
      </c>
      <c r="C19470" t="s">
        <v>1</v>
      </c>
      <c r="D19470" t="s">
        <v>1</v>
      </c>
      <c r="E19470" t="s">
        <v>1</v>
      </c>
      <c r="F19470" t="s">
        <v>0</v>
      </c>
      <c r="G19470" t="str">
        <f>"2018-10-10 17:08:50"</f>
        <v>2018-10-10 17:08:50</v>
      </c>
    </row>
    <row r="19471" spans="1:7" x14ac:dyDescent="0.2">
      <c r="A19471" t="s">
        <v>18337</v>
      </c>
      <c r="B19471" t="str">
        <f>"17605531920"</f>
        <v>17605531920</v>
      </c>
      <c r="C19471" t="str">
        <f>"342623199310258110"</f>
        <v>342623199310258110</v>
      </c>
      <c r="D19471" t="s">
        <v>1</v>
      </c>
      <c r="E19471" t="s">
        <v>1</v>
      </c>
      <c r="F19471" t="s">
        <v>0</v>
      </c>
      <c r="G19471" t="str">
        <f>"2018-10-10 17:10:24"</f>
        <v>2018-10-10 17:10:24</v>
      </c>
    </row>
    <row r="19472" spans="1:7" x14ac:dyDescent="0.2">
      <c r="A19472" t="s">
        <v>18338</v>
      </c>
      <c r="B19472" t="str">
        <f>"13872834372"</f>
        <v>13872834372</v>
      </c>
      <c r="C19472" t="str">
        <f>"420302199201180975"</f>
        <v>420302199201180975</v>
      </c>
      <c r="D19472" t="s">
        <v>1</v>
      </c>
      <c r="E19472" t="s">
        <v>1</v>
      </c>
      <c r="F19472" t="s">
        <v>0</v>
      </c>
      <c r="G19472" t="str">
        <f>"2018-10-11 18:17:09"</f>
        <v>2018-10-11 18:17:09</v>
      </c>
    </row>
    <row r="19473" spans="1:7" x14ac:dyDescent="0.2">
      <c r="A19473" t="s">
        <v>1</v>
      </c>
      <c r="B19473" t="str">
        <f>"18666831549"</f>
        <v>18666831549</v>
      </c>
      <c r="C19473" t="s">
        <v>1</v>
      </c>
      <c r="D19473" t="s">
        <v>1</v>
      </c>
      <c r="E19473" t="s">
        <v>1</v>
      </c>
      <c r="F19473" t="s">
        <v>0</v>
      </c>
      <c r="G19473" t="str">
        <f>"2018-10-10 17:09:10"</f>
        <v>2018-10-10 17:09:10</v>
      </c>
    </row>
    <row r="19474" spans="1:7" x14ac:dyDescent="0.2">
      <c r="A19474" t="s">
        <v>1</v>
      </c>
      <c r="B19474" t="str">
        <f>"18396811989"</f>
        <v>18396811989</v>
      </c>
      <c r="C19474" t="s">
        <v>1</v>
      </c>
      <c r="D19474" t="s">
        <v>1</v>
      </c>
      <c r="E19474" t="s">
        <v>1</v>
      </c>
      <c r="F19474" t="s">
        <v>0</v>
      </c>
      <c r="G19474" t="str">
        <f>"2018-10-10 17:08:16"</f>
        <v>2018-10-10 17:08:16</v>
      </c>
    </row>
    <row r="19475" spans="1:7" x14ac:dyDescent="0.2">
      <c r="A19475" t="s">
        <v>18339</v>
      </c>
      <c r="B19475" t="str">
        <f>"17750801785"</f>
        <v>17750801785</v>
      </c>
      <c r="C19475" t="str">
        <f>"350623200007135172"</f>
        <v>350623200007135172</v>
      </c>
      <c r="D19475" t="s">
        <v>1</v>
      </c>
      <c r="E19475" t="s">
        <v>1</v>
      </c>
      <c r="F19475" t="s">
        <v>0</v>
      </c>
      <c r="G19475" t="str">
        <f>"2018-10-10 17:10:56"</f>
        <v>2018-10-10 17:10:56</v>
      </c>
    </row>
    <row r="19476" spans="1:7" x14ac:dyDescent="0.2">
      <c r="A19476" t="s">
        <v>18340</v>
      </c>
      <c r="B19476" t="str">
        <f>"18648078583"</f>
        <v>18648078583</v>
      </c>
      <c r="C19476" t="str">
        <f>"152526198404122410"</f>
        <v>152526198404122410</v>
      </c>
      <c r="D19476" t="s">
        <v>1</v>
      </c>
      <c r="E19476" t="s">
        <v>1</v>
      </c>
      <c r="F19476" t="s">
        <v>0</v>
      </c>
      <c r="G19476" t="str">
        <f>"2018-10-10 17:22:38"</f>
        <v>2018-10-10 17:22:38</v>
      </c>
    </row>
    <row r="19477" spans="1:7" x14ac:dyDescent="0.2">
      <c r="A19477" t="s">
        <v>1</v>
      </c>
      <c r="B19477" t="str">
        <f>"13599266155"</f>
        <v>13599266155</v>
      </c>
      <c r="C19477" t="s">
        <v>1</v>
      </c>
      <c r="D19477" t="s">
        <v>1</v>
      </c>
      <c r="E19477" t="s">
        <v>1</v>
      </c>
      <c r="F19477" t="s">
        <v>0</v>
      </c>
      <c r="G19477" t="str">
        <f>"2018-10-10 17:07:27"</f>
        <v>2018-10-10 17:07:27</v>
      </c>
    </row>
    <row r="19478" spans="1:7" x14ac:dyDescent="0.2">
      <c r="A19478" t="s">
        <v>18341</v>
      </c>
      <c r="B19478" t="str">
        <f>"13268723062"</f>
        <v>13268723062</v>
      </c>
      <c r="C19478" t="str">
        <f>"420114198907283933"</f>
        <v>420114198907283933</v>
      </c>
      <c r="D19478" t="s">
        <v>1</v>
      </c>
      <c r="E19478" t="s">
        <v>1</v>
      </c>
      <c r="F19478" t="s">
        <v>0</v>
      </c>
      <c r="G19478" t="str">
        <f>"2018-10-10 17:09:40"</f>
        <v>2018-10-10 17:09:40</v>
      </c>
    </row>
    <row r="19479" spans="1:7" x14ac:dyDescent="0.2">
      <c r="A19479" t="s">
        <v>18342</v>
      </c>
      <c r="B19479" t="str">
        <f>"17719900719"</f>
        <v>17719900719</v>
      </c>
      <c r="C19479" t="str">
        <f>"41062119880925103X"</f>
        <v>41062119880925103X</v>
      </c>
      <c r="D19479" t="s">
        <v>1</v>
      </c>
      <c r="E19479" t="s">
        <v>1</v>
      </c>
      <c r="F19479" t="s">
        <v>0</v>
      </c>
      <c r="G19479" t="str">
        <f>"2018-10-10 17:07:34"</f>
        <v>2018-10-10 17:07:34</v>
      </c>
    </row>
    <row r="19480" spans="1:7" x14ac:dyDescent="0.2">
      <c r="A19480" t="s">
        <v>18343</v>
      </c>
      <c r="B19480" t="str">
        <f>"13760294651"</f>
        <v>13760294651</v>
      </c>
      <c r="C19480" t="str">
        <f>"431022199012042567"</f>
        <v>431022199012042567</v>
      </c>
      <c r="D19480" t="s">
        <v>1</v>
      </c>
      <c r="E19480" t="s">
        <v>1</v>
      </c>
      <c r="F19480" t="s">
        <v>0</v>
      </c>
      <c r="G19480" t="str">
        <f>"2018-10-10 17:07:47"</f>
        <v>2018-10-10 17:07:47</v>
      </c>
    </row>
    <row r="19481" spans="1:7" x14ac:dyDescent="0.2">
      <c r="A19481" t="s">
        <v>1</v>
      </c>
      <c r="B19481" t="str">
        <f>"15234178335"</f>
        <v>15234178335</v>
      </c>
      <c r="C19481" t="s">
        <v>1</v>
      </c>
      <c r="D19481" t="s">
        <v>1</v>
      </c>
      <c r="E19481" t="s">
        <v>1</v>
      </c>
      <c r="F19481" t="s">
        <v>0</v>
      </c>
      <c r="G19481" t="str">
        <f>"2018-10-10 17:08:35"</f>
        <v>2018-10-10 17:08:35</v>
      </c>
    </row>
    <row r="19482" spans="1:7" x14ac:dyDescent="0.2">
      <c r="A19482" t="s">
        <v>1</v>
      </c>
      <c r="B19482" t="str">
        <f>"15081177775"</f>
        <v>15081177775</v>
      </c>
      <c r="C19482" t="s">
        <v>1</v>
      </c>
      <c r="D19482" t="s">
        <v>1</v>
      </c>
      <c r="E19482" t="s">
        <v>1</v>
      </c>
      <c r="F19482" t="s">
        <v>0</v>
      </c>
      <c r="G19482" t="str">
        <f>"2018-10-10 17:06:15"</f>
        <v>2018-10-10 17:06:15</v>
      </c>
    </row>
    <row r="19483" spans="1:7" x14ac:dyDescent="0.2">
      <c r="A19483" t="s">
        <v>1</v>
      </c>
      <c r="B19483" t="str">
        <f>"15031914010"</f>
        <v>15031914010</v>
      </c>
      <c r="C19483" t="s">
        <v>1</v>
      </c>
      <c r="D19483" t="s">
        <v>1</v>
      </c>
      <c r="E19483" t="s">
        <v>1</v>
      </c>
      <c r="F19483" t="s">
        <v>0</v>
      </c>
      <c r="G19483" t="str">
        <f>"2018-10-10 17:06:07"</f>
        <v>2018-10-10 17:06:07</v>
      </c>
    </row>
    <row r="19484" spans="1:7" x14ac:dyDescent="0.2">
      <c r="A19484" t="s">
        <v>18344</v>
      </c>
      <c r="B19484" t="str">
        <f>"17738196623"</f>
        <v>17738196623</v>
      </c>
      <c r="C19484" t="str">
        <f>"511502199609023053"</f>
        <v>511502199609023053</v>
      </c>
      <c r="D19484" t="s">
        <v>1</v>
      </c>
      <c r="E19484" t="s">
        <v>1</v>
      </c>
      <c r="F19484" t="s">
        <v>0</v>
      </c>
      <c r="G19484" t="str">
        <f>"2018-10-10 17:11:05"</f>
        <v>2018-10-10 17:11:05</v>
      </c>
    </row>
    <row r="19485" spans="1:7" x14ac:dyDescent="0.2">
      <c r="A19485" t="s">
        <v>1</v>
      </c>
      <c r="B19485" t="str">
        <f>"15676544407"</f>
        <v>15676544407</v>
      </c>
      <c r="C19485" t="s">
        <v>1</v>
      </c>
      <c r="D19485" t="s">
        <v>1</v>
      </c>
      <c r="E19485" t="s">
        <v>1</v>
      </c>
      <c r="F19485" t="s">
        <v>0</v>
      </c>
      <c r="G19485" t="str">
        <f>"2018-10-10 17:05:09"</f>
        <v>2018-10-10 17:05:09</v>
      </c>
    </row>
    <row r="19486" spans="1:7" x14ac:dyDescent="0.2">
      <c r="A19486" t="s">
        <v>18345</v>
      </c>
      <c r="B19486" t="str">
        <f>"15503912471"</f>
        <v>15503912471</v>
      </c>
      <c r="C19486" t="str">
        <f>"410882198910145518"</f>
        <v>410882198910145518</v>
      </c>
      <c r="D19486" t="s">
        <v>1</v>
      </c>
      <c r="E19486" t="s">
        <v>1</v>
      </c>
      <c r="F19486" t="s">
        <v>0</v>
      </c>
      <c r="G19486" t="str">
        <f>"2018-10-10 17:06:10"</f>
        <v>2018-10-10 17:06:10</v>
      </c>
    </row>
    <row r="19487" spans="1:7" x14ac:dyDescent="0.2">
      <c r="A19487" t="s">
        <v>18346</v>
      </c>
      <c r="B19487" t="str">
        <f>"18389116610"</f>
        <v>18389116610</v>
      </c>
      <c r="C19487" t="str">
        <f>"371081198704084812"</f>
        <v>371081198704084812</v>
      </c>
      <c r="D19487" t="s">
        <v>18347</v>
      </c>
      <c r="E19487" t="s">
        <v>18348</v>
      </c>
      <c r="F19487" t="s">
        <v>0</v>
      </c>
      <c r="G19487" t="str">
        <f>"2018-10-10 17:08:15"</f>
        <v>2018-10-10 17:08:15</v>
      </c>
    </row>
    <row r="19488" spans="1:7" x14ac:dyDescent="0.2">
      <c r="A19488" t="s">
        <v>1</v>
      </c>
      <c r="B19488" t="str">
        <f>"17688430018"</f>
        <v>17688430018</v>
      </c>
      <c r="C19488" t="s">
        <v>1</v>
      </c>
      <c r="D19488" t="s">
        <v>1</v>
      </c>
      <c r="E19488" t="s">
        <v>1</v>
      </c>
      <c r="F19488" t="s">
        <v>0</v>
      </c>
      <c r="G19488" t="str">
        <f>"2018-10-10 17:05:02"</f>
        <v>2018-10-10 17:05:02</v>
      </c>
    </row>
    <row r="19489" spans="1:7" x14ac:dyDescent="0.2">
      <c r="A19489" t="s">
        <v>18349</v>
      </c>
      <c r="B19489" t="str">
        <f>"13852719027"</f>
        <v>13852719027</v>
      </c>
      <c r="C19489" t="str">
        <f>"340123199611023121"</f>
        <v>340123199611023121</v>
      </c>
      <c r="D19489" t="s">
        <v>1</v>
      </c>
      <c r="E19489" t="s">
        <v>1</v>
      </c>
      <c r="F19489" t="s">
        <v>0</v>
      </c>
      <c r="G19489" t="str">
        <f>"2018-10-24 09:08:47"</f>
        <v>2018-10-24 09:08:47</v>
      </c>
    </row>
    <row r="19490" spans="1:7" x14ac:dyDescent="0.2">
      <c r="A19490" t="s">
        <v>1</v>
      </c>
      <c r="B19490" t="str">
        <f>"13607111360"</f>
        <v>13607111360</v>
      </c>
      <c r="C19490" t="s">
        <v>1</v>
      </c>
      <c r="D19490" t="s">
        <v>1</v>
      </c>
      <c r="E19490" t="s">
        <v>1</v>
      </c>
      <c r="F19490" t="s">
        <v>0</v>
      </c>
      <c r="G19490" t="str">
        <f>"2018-10-10 17:04:47"</f>
        <v>2018-10-10 17:04:47</v>
      </c>
    </row>
    <row r="19491" spans="1:7" x14ac:dyDescent="0.2">
      <c r="A19491" t="s">
        <v>18350</v>
      </c>
      <c r="B19491" t="str">
        <f>"15378857958"</f>
        <v>15378857958</v>
      </c>
      <c r="C19491" t="str">
        <f>"620503198809251612"</f>
        <v>620503198809251612</v>
      </c>
      <c r="D19491" t="s">
        <v>18351</v>
      </c>
      <c r="E19491" t="s">
        <v>18352</v>
      </c>
      <c r="F19491" t="s">
        <v>0</v>
      </c>
      <c r="G19491" t="str">
        <f>"2018-10-10 17:06:00"</f>
        <v>2018-10-10 17:06:00</v>
      </c>
    </row>
    <row r="19492" spans="1:7" x14ac:dyDescent="0.2">
      <c r="A19492" t="s">
        <v>1</v>
      </c>
      <c r="B19492" t="str">
        <f>"18991704381"</f>
        <v>18991704381</v>
      </c>
      <c r="C19492" t="s">
        <v>1</v>
      </c>
      <c r="D19492" t="s">
        <v>1</v>
      </c>
      <c r="E19492" t="s">
        <v>1</v>
      </c>
      <c r="F19492" t="s">
        <v>0</v>
      </c>
      <c r="G19492" t="str">
        <f>"2018-10-10 17:04:14"</f>
        <v>2018-10-10 17:04:14</v>
      </c>
    </row>
    <row r="19493" spans="1:7" x14ac:dyDescent="0.2">
      <c r="A19493" t="s">
        <v>1</v>
      </c>
      <c r="B19493" t="str">
        <f>"13197709254"</f>
        <v>13197709254</v>
      </c>
      <c r="C19493" t="s">
        <v>1</v>
      </c>
      <c r="D19493" t="s">
        <v>1</v>
      </c>
      <c r="E19493" t="s">
        <v>1</v>
      </c>
      <c r="F19493" t="s">
        <v>0</v>
      </c>
      <c r="G19493" t="str">
        <f>"2018-10-10 17:04:11"</f>
        <v>2018-10-10 17:04:11</v>
      </c>
    </row>
    <row r="19494" spans="1:7" x14ac:dyDescent="0.2">
      <c r="A19494" t="s">
        <v>1</v>
      </c>
      <c r="B19494" t="str">
        <f>"17729115193"</f>
        <v>17729115193</v>
      </c>
      <c r="C19494" t="s">
        <v>1</v>
      </c>
      <c r="D19494" t="s">
        <v>1</v>
      </c>
      <c r="E19494" t="s">
        <v>1</v>
      </c>
      <c r="F19494" t="s">
        <v>0</v>
      </c>
      <c r="G19494" t="str">
        <f>"2018-10-10 17:03:53"</f>
        <v>2018-10-10 17:03:53</v>
      </c>
    </row>
    <row r="19495" spans="1:7" x14ac:dyDescent="0.2">
      <c r="A19495" t="s">
        <v>18353</v>
      </c>
      <c r="B19495" t="str">
        <f>"18894907188"</f>
        <v>18894907188</v>
      </c>
      <c r="C19495" t="str">
        <f>"130321198204056211"</f>
        <v>130321198204056211</v>
      </c>
      <c r="D19495" t="s">
        <v>1</v>
      </c>
      <c r="E19495" t="s">
        <v>1</v>
      </c>
      <c r="F19495" t="s">
        <v>0</v>
      </c>
      <c r="G19495" t="str">
        <f>"2018-11-03 18:55:12"</f>
        <v>2018-11-03 18:55:12</v>
      </c>
    </row>
    <row r="19496" spans="1:7" x14ac:dyDescent="0.2">
      <c r="A19496" t="s">
        <v>1</v>
      </c>
      <c r="B19496" t="str">
        <f>"15577944203"</f>
        <v>15577944203</v>
      </c>
      <c r="C19496" t="s">
        <v>1</v>
      </c>
      <c r="D19496" t="s">
        <v>1</v>
      </c>
      <c r="E19496" t="s">
        <v>1</v>
      </c>
      <c r="F19496" t="s">
        <v>0</v>
      </c>
      <c r="G19496" t="str">
        <f>"2018-10-10 17:03:36"</f>
        <v>2018-10-10 17:03:36</v>
      </c>
    </row>
    <row r="19497" spans="1:7" x14ac:dyDescent="0.2">
      <c r="A19497" t="s">
        <v>18354</v>
      </c>
      <c r="B19497" t="str">
        <f>"13164188421"</f>
        <v>13164188421</v>
      </c>
      <c r="C19497" t="str">
        <f>"430522199602017560"</f>
        <v>430522199602017560</v>
      </c>
      <c r="D19497" t="s">
        <v>1</v>
      </c>
      <c r="E19497" t="s">
        <v>1</v>
      </c>
      <c r="F19497" t="s">
        <v>0</v>
      </c>
      <c r="G19497" t="str">
        <f>"2018-10-10 17:03:34"</f>
        <v>2018-10-10 17:03:34</v>
      </c>
    </row>
    <row r="19498" spans="1:7" x14ac:dyDescent="0.2">
      <c r="A19498" t="s">
        <v>18355</v>
      </c>
      <c r="B19498" t="str">
        <f>"15395204528"</f>
        <v>15395204528</v>
      </c>
      <c r="C19498" t="str">
        <f>"340304195605280424"</f>
        <v>340304195605280424</v>
      </c>
      <c r="D19498" t="s">
        <v>1</v>
      </c>
      <c r="E19498" t="s">
        <v>1</v>
      </c>
      <c r="F19498" t="s">
        <v>0</v>
      </c>
      <c r="G19498" t="str">
        <f>"2018-10-10 17:03:52"</f>
        <v>2018-10-10 17:03:52</v>
      </c>
    </row>
    <row r="19499" spans="1:7" x14ac:dyDescent="0.2">
      <c r="A19499" t="s">
        <v>18356</v>
      </c>
      <c r="B19499" t="str">
        <f>"15671005551"</f>
        <v>15671005551</v>
      </c>
      <c r="C19499" t="str">
        <f>"420529198911133336"</f>
        <v>420529198911133336</v>
      </c>
      <c r="D19499" t="s">
        <v>1</v>
      </c>
      <c r="E19499" t="s">
        <v>1</v>
      </c>
      <c r="F19499" t="s">
        <v>0</v>
      </c>
      <c r="G19499" t="str">
        <f>"2018-10-10 17:05:45"</f>
        <v>2018-10-10 17:05:45</v>
      </c>
    </row>
    <row r="19500" spans="1:7" x14ac:dyDescent="0.2">
      <c r="A19500" t="s">
        <v>18357</v>
      </c>
      <c r="B19500" t="str">
        <f>"15820894266"</f>
        <v>15820894266</v>
      </c>
      <c r="C19500" t="str">
        <f>"44081119970325031X"</f>
        <v>44081119970325031X</v>
      </c>
      <c r="D19500" t="s">
        <v>18358</v>
      </c>
      <c r="E19500" t="s">
        <v>18359</v>
      </c>
      <c r="F19500" t="s">
        <v>0</v>
      </c>
      <c r="G19500" t="str">
        <f>"2018-10-10 17:19:25"</f>
        <v>2018-10-10 17:19:25</v>
      </c>
    </row>
    <row r="19501" spans="1:7" x14ac:dyDescent="0.2">
      <c r="A19501" t="s">
        <v>18360</v>
      </c>
      <c r="B19501" t="str">
        <f>"17319675087"</f>
        <v>17319675087</v>
      </c>
      <c r="C19501" t="str">
        <f>"612323198210282513"</f>
        <v>612323198210282513</v>
      </c>
      <c r="D19501" t="s">
        <v>1</v>
      </c>
      <c r="E19501" t="s">
        <v>1</v>
      </c>
      <c r="F19501" t="s">
        <v>0</v>
      </c>
      <c r="G19501" t="str">
        <f>"2018-10-10 17:17:04"</f>
        <v>2018-10-10 17:17:04</v>
      </c>
    </row>
    <row r="19502" spans="1:7" x14ac:dyDescent="0.2">
      <c r="A19502" t="s">
        <v>1</v>
      </c>
      <c r="B19502" t="str">
        <f>"15706200859"</f>
        <v>15706200859</v>
      </c>
      <c r="C19502" t="s">
        <v>1</v>
      </c>
      <c r="D19502" t="s">
        <v>1</v>
      </c>
      <c r="E19502" t="s">
        <v>1</v>
      </c>
      <c r="F19502" t="s">
        <v>0</v>
      </c>
      <c r="G19502" t="str">
        <f>"2018-10-16 11:35:21"</f>
        <v>2018-10-16 11:35:21</v>
      </c>
    </row>
    <row r="19503" spans="1:7" x14ac:dyDescent="0.2">
      <c r="A19503" t="s">
        <v>1</v>
      </c>
      <c r="B19503" t="str">
        <f>"15735289043"</f>
        <v>15735289043</v>
      </c>
      <c r="C19503" t="s">
        <v>1</v>
      </c>
      <c r="D19503" t="s">
        <v>1</v>
      </c>
      <c r="E19503" t="s">
        <v>1</v>
      </c>
      <c r="F19503" t="s">
        <v>0</v>
      </c>
      <c r="G19503" t="str">
        <f>"2018-10-10 17:00:39"</f>
        <v>2018-10-10 17:00:39</v>
      </c>
    </row>
    <row r="19504" spans="1:7" x14ac:dyDescent="0.2">
      <c r="A19504" t="s">
        <v>18361</v>
      </c>
      <c r="B19504" t="str">
        <f>"13550879920"</f>
        <v>13550879920</v>
      </c>
      <c r="C19504" t="str">
        <f>"510522198608174677"</f>
        <v>510522198608174677</v>
      </c>
      <c r="D19504" t="s">
        <v>1</v>
      </c>
      <c r="E19504" t="s">
        <v>1</v>
      </c>
      <c r="F19504" t="s">
        <v>0</v>
      </c>
      <c r="G19504" t="str">
        <f>"2018-10-10 17:02:30"</f>
        <v>2018-10-10 17:02:30</v>
      </c>
    </row>
    <row r="19505" spans="1:7" x14ac:dyDescent="0.2">
      <c r="A19505" t="s">
        <v>18362</v>
      </c>
      <c r="B19505" t="str">
        <f>"15588687063"</f>
        <v>15588687063</v>
      </c>
      <c r="C19505" t="str">
        <f>"370283199405010466"</f>
        <v>370283199405010466</v>
      </c>
      <c r="D19505" t="s">
        <v>1</v>
      </c>
      <c r="E19505" t="s">
        <v>1</v>
      </c>
      <c r="F19505" t="s">
        <v>0</v>
      </c>
      <c r="G19505" t="str">
        <f>"2018-10-10 17:02:06"</f>
        <v>2018-10-10 17:02:06</v>
      </c>
    </row>
    <row r="19506" spans="1:7" x14ac:dyDescent="0.2">
      <c r="A19506" t="s">
        <v>8826</v>
      </c>
      <c r="B19506" t="str">
        <f>"15170286337"</f>
        <v>15170286337</v>
      </c>
      <c r="C19506" t="str">
        <f>"360481199006174873"</f>
        <v>360481199006174873</v>
      </c>
      <c r="D19506" t="s">
        <v>1</v>
      </c>
      <c r="E19506" t="s">
        <v>1</v>
      </c>
      <c r="F19506" t="s">
        <v>0</v>
      </c>
      <c r="G19506" t="str">
        <f>"2018-10-10 17:24:21"</f>
        <v>2018-10-10 17:24:21</v>
      </c>
    </row>
    <row r="19507" spans="1:7" x14ac:dyDescent="0.2">
      <c r="A19507" t="s">
        <v>1</v>
      </c>
      <c r="B19507" t="str">
        <f>"13990676455"</f>
        <v>13990676455</v>
      </c>
      <c r="C19507" t="s">
        <v>1</v>
      </c>
      <c r="D19507" t="s">
        <v>1</v>
      </c>
      <c r="E19507" t="s">
        <v>1</v>
      </c>
      <c r="F19507" t="s">
        <v>0</v>
      </c>
      <c r="G19507" t="str">
        <f>"2018-10-10 17:01:05"</f>
        <v>2018-10-10 17:01:05</v>
      </c>
    </row>
    <row r="19508" spans="1:7" x14ac:dyDescent="0.2">
      <c r="A19508" t="s">
        <v>452</v>
      </c>
      <c r="B19508" t="str">
        <f>"15856498777"</f>
        <v>15856498777</v>
      </c>
      <c r="C19508" t="str">
        <f>"342401198403066114"</f>
        <v>342401198403066114</v>
      </c>
      <c r="D19508" t="s">
        <v>18363</v>
      </c>
      <c r="E19508" t="s">
        <v>18364</v>
      </c>
      <c r="F19508" t="s">
        <v>0</v>
      </c>
      <c r="G19508" t="str">
        <f>"2018-10-10 17:03:40"</f>
        <v>2018-10-10 17:03:40</v>
      </c>
    </row>
    <row r="19509" spans="1:7" x14ac:dyDescent="0.2">
      <c r="A19509" t="s">
        <v>1</v>
      </c>
      <c r="B19509" t="str">
        <f>"13599507434"</f>
        <v>13599507434</v>
      </c>
      <c r="C19509" t="s">
        <v>1</v>
      </c>
      <c r="D19509" t="s">
        <v>1</v>
      </c>
      <c r="E19509" t="s">
        <v>1</v>
      </c>
      <c r="F19509" t="s">
        <v>0</v>
      </c>
      <c r="G19509" t="str">
        <f>"2018-10-10 16:59:06"</f>
        <v>2018-10-10 16:59:06</v>
      </c>
    </row>
    <row r="19510" spans="1:7" x14ac:dyDescent="0.2">
      <c r="A19510" t="s">
        <v>1</v>
      </c>
      <c r="B19510" t="str">
        <f>"15959564011"</f>
        <v>15959564011</v>
      </c>
      <c r="C19510" t="s">
        <v>1</v>
      </c>
      <c r="D19510" t="s">
        <v>1</v>
      </c>
      <c r="E19510" t="s">
        <v>1</v>
      </c>
      <c r="F19510" t="s">
        <v>0</v>
      </c>
      <c r="G19510" t="str">
        <f>"2018-10-10 16:58:41"</f>
        <v>2018-10-10 16:58:41</v>
      </c>
    </row>
    <row r="19511" spans="1:7" x14ac:dyDescent="0.2">
      <c r="A19511" t="s">
        <v>1</v>
      </c>
      <c r="B19511" t="str">
        <f>"13738501789"</f>
        <v>13738501789</v>
      </c>
      <c r="C19511" t="s">
        <v>1</v>
      </c>
      <c r="D19511" t="s">
        <v>1</v>
      </c>
      <c r="E19511" t="s">
        <v>1</v>
      </c>
      <c r="F19511" t="s">
        <v>0</v>
      </c>
      <c r="G19511" t="str">
        <f>"2018-10-10 16:58:27"</f>
        <v>2018-10-10 16:58:27</v>
      </c>
    </row>
    <row r="19512" spans="1:7" x14ac:dyDescent="0.2">
      <c r="A19512" t="s">
        <v>1</v>
      </c>
      <c r="B19512" t="str">
        <f>"15072467273"</f>
        <v>15072467273</v>
      </c>
      <c r="C19512" t="s">
        <v>1</v>
      </c>
      <c r="D19512" t="s">
        <v>1</v>
      </c>
      <c r="E19512" t="s">
        <v>1</v>
      </c>
      <c r="F19512" t="s">
        <v>0</v>
      </c>
      <c r="G19512" t="str">
        <f>"2018-10-10 16:57:21"</f>
        <v>2018-10-10 16:57:21</v>
      </c>
    </row>
    <row r="19513" spans="1:7" x14ac:dyDescent="0.2">
      <c r="A19513" t="s">
        <v>92</v>
      </c>
      <c r="B19513" t="str">
        <f>"18980652443"</f>
        <v>18980652443</v>
      </c>
      <c r="C19513" t="str">
        <f>"510129198911130012"</f>
        <v>510129198911130012</v>
      </c>
      <c r="D19513" t="s">
        <v>1</v>
      </c>
      <c r="E19513" t="s">
        <v>1</v>
      </c>
      <c r="F19513" t="s">
        <v>0</v>
      </c>
      <c r="G19513" t="str">
        <f>"2018-10-10 17:00:23"</f>
        <v>2018-10-10 17:00:23</v>
      </c>
    </row>
    <row r="19514" spans="1:7" x14ac:dyDescent="0.2">
      <c r="A19514" t="s">
        <v>1</v>
      </c>
      <c r="B19514" t="str">
        <f>"13086716246"</f>
        <v>13086716246</v>
      </c>
      <c r="C19514" t="s">
        <v>1</v>
      </c>
      <c r="D19514" t="s">
        <v>1</v>
      </c>
      <c r="E19514" t="s">
        <v>1</v>
      </c>
      <c r="F19514" t="s">
        <v>0</v>
      </c>
      <c r="G19514" t="str">
        <f>"2018-10-10 16:56:35"</f>
        <v>2018-10-10 16:56:35</v>
      </c>
    </row>
    <row r="19515" spans="1:7" x14ac:dyDescent="0.2">
      <c r="A19515" t="s">
        <v>1</v>
      </c>
      <c r="B19515" t="str">
        <f>"15700788358"</f>
        <v>15700788358</v>
      </c>
      <c r="C19515" t="s">
        <v>1</v>
      </c>
      <c r="D19515" t="s">
        <v>1</v>
      </c>
      <c r="E19515" t="s">
        <v>1</v>
      </c>
      <c r="F19515" t="s">
        <v>0</v>
      </c>
      <c r="G19515" t="str">
        <f>"2018-10-10 16:56:07"</f>
        <v>2018-10-10 16:56:07</v>
      </c>
    </row>
    <row r="19516" spans="1:7" x14ac:dyDescent="0.2">
      <c r="A19516" t="s">
        <v>18365</v>
      </c>
      <c r="B19516" t="str">
        <f>"18804303131"</f>
        <v>18804303131</v>
      </c>
      <c r="C19516" t="str">
        <f>"220221198901067158"</f>
        <v>220221198901067158</v>
      </c>
      <c r="D19516" t="s">
        <v>1</v>
      </c>
      <c r="E19516" t="s">
        <v>1</v>
      </c>
      <c r="F19516" t="s">
        <v>0</v>
      </c>
      <c r="G19516" t="str">
        <f>"2018-10-10 16:57:45"</f>
        <v>2018-10-10 16:57:45</v>
      </c>
    </row>
    <row r="19517" spans="1:7" x14ac:dyDescent="0.2">
      <c r="A19517" t="s">
        <v>18366</v>
      </c>
      <c r="B19517" t="str">
        <f>"18753457582"</f>
        <v>18753457582</v>
      </c>
      <c r="C19517" t="str">
        <f>"371421198610154280"</f>
        <v>371421198610154280</v>
      </c>
      <c r="D19517" t="s">
        <v>1</v>
      </c>
      <c r="E19517" t="s">
        <v>1</v>
      </c>
      <c r="F19517" t="s">
        <v>0</v>
      </c>
      <c r="G19517" t="str">
        <f>"2018-10-10 16:56:43"</f>
        <v>2018-10-10 16:56:43</v>
      </c>
    </row>
    <row r="19518" spans="1:7" x14ac:dyDescent="0.2">
      <c r="A19518" t="s">
        <v>18367</v>
      </c>
      <c r="B19518" t="str">
        <f>"18222925398"</f>
        <v>18222925398</v>
      </c>
      <c r="C19518" t="str">
        <f>"422101197804256612"</f>
        <v>422101197804256612</v>
      </c>
      <c r="D19518" t="s">
        <v>1</v>
      </c>
      <c r="E19518" t="s">
        <v>1</v>
      </c>
      <c r="F19518" t="s">
        <v>0</v>
      </c>
      <c r="G19518" t="str">
        <f>"2018-10-10 16:59:46"</f>
        <v>2018-10-10 16:59:46</v>
      </c>
    </row>
    <row r="19519" spans="1:7" x14ac:dyDescent="0.2">
      <c r="A19519" t="s">
        <v>1</v>
      </c>
      <c r="B19519" t="str">
        <f>"15976062004"</f>
        <v>15976062004</v>
      </c>
      <c r="C19519" t="s">
        <v>1</v>
      </c>
      <c r="D19519" t="s">
        <v>1</v>
      </c>
      <c r="E19519" t="s">
        <v>1</v>
      </c>
      <c r="F19519" t="s">
        <v>0</v>
      </c>
      <c r="G19519" t="str">
        <f>"2018-10-10 16:54:52"</f>
        <v>2018-10-10 16:54:52</v>
      </c>
    </row>
    <row r="19520" spans="1:7" x14ac:dyDescent="0.2">
      <c r="A19520" t="s">
        <v>18368</v>
      </c>
      <c r="B19520" t="str">
        <f>"18761553222"</f>
        <v>18761553222</v>
      </c>
      <c r="C19520" t="str">
        <f>"320282198504066318"</f>
        <v>320282198504066318</v>
      </c>
      <c r="D19520" t="s">
        <v>1</v>
      </c>
      <c r="E19520" t="s">
        <v>1</v>
      </c>
      <c r="F19520" t="s">
        <v>0</v>
      </c>
      <c r="G19520" t="str">
        <f>"2018-10-10 16:55:35"</f>
        <v>2018-10-10 16:55:35</v>
      </c>
    </row>
    <row r="19521" spans="1:7" x14ac:dyDescent="0.2">
      <c r="A19521" t="s">
        <v>611</v>
      </c>
      <c r="B19521" t="str">
        <f>"13108804297"</f>
        <v>13108804297</v>
      </c>
      <c r="C19521" t="str">
        <f>"532931199804070013"</f>
        <v>532931199804070013</v>
      </c>
      <c r="D19521" t="s">
        <v>1</v>
      </c>
      <c r="E19521" t="s">
        <v>1</v>
      </c>
      <c r="F19521" t="s">
        <v>0</v>
      </c>
      <c r="G19521" t="str">
        <f>"2018-10-10 16:55:32"</f>
        <v>2018-10-10 16:55:32</v>
      </c>
    </row>
    <row r="19522" spans="1:7" x14ac:dyDescent="0.2">
      <c r="A19522" t="s">
        <v>18369</v>
      </c>
      <c r="B19522" t="str">
        <f>"15835739045"</f>
        <v>15835739045</v>
      </c>
      <c r="C19522" t="str">
        <f>"142622199103120553"</f>
        <v>142622199103120553</v>
      </c>
      <c r="D19522" t="s">
        <v>1</v>
      </c>
      <c r="E19522" t="s">
        <v>1</v>
      </c>
      <c r="F19522" t="s">
        <v>0</v>
      </c>
      <c r="G19522" t="str">
        <f>"2018-10-10 16:53:54"</f>
        <v>2018-10-10 16:53:54</v>
      </c>
    </row>
    <row r="19523" spans="1:7" x14ac:dyDescent="0.2">
      <c r="A19523" t="s">
        <v>18370</v>
      </c>
      <c r="B19523" t="str">
        <f>"15505913516"</f>
        <v>15505913516</v>
      </c>
      <c r="C19523" t="str">
        <f>"352203199712144719"</f>
        <v>352203199712144719</v>
      </c>
      <c r="D19523" t="s">
        <v>1</v>
      </c>
      <c r="E19523" t="s">
        <v>1</v>
      </c>
      <c r="F19523" t="s">
        <v>0</v>
      </c>
      <c r="G19523" t="str">
        <f>"2018-11-01 11:44:46"</f>
        <v>2018-11-01 11:44:46</v>
      </c>
    </row>
    <row r="19524" spans="1:7" x14ac:dyDescent="0.2">
      <c r="A19524" t="s">
        <v>18371</v>
      </c>
      <c r="B19524" t="str">
        <f>"17826176571"</f>
        <v>17826176571</v>
      </c>
      <c r="C19524" t="str">
        <f>"320381199709194413"</f>
        <v>320381199709194413</v>
      </c>
      <c r="D19524" t="s">
        <v>1</v>
      </c>
      <c r="E19524" t="s">
        <v>1</v>
      </c>
      <c r="F19524" t="s">
        <v>0</v>
      </c>
      <c r="G19524" t="str">
        <f>"2018-10-10 16:52:43"</f>
        <v>2018-10-10 16:52:43</v>
      </c>
    </row>
    <row r="19525" spans="1:7" x14ac:dyDescent="0.2">
      <c r="A19525" t="s">
        <v>18372</v>
      </c>
      <c r="B19525" t="str">
        <f>"18456420713"</f>
        <v>18456420713</v>
      </c>
      <c r="C19525" t="str">
        <f>"342425199008130564"</f>
        <v>342425199008130564</v>
      </c>
      <c r="D19525" t="s">
        <v>1</v>
      </c>
      <c r="E19525" t="s">
        <v>1</v>
      </c>
      <c r="F19525" t="s">
        <v>0</v>
      </c>
      <c r="G19525" t="str">
        <f>"2018-10-10 16:54:08"</f>
        <v>2018-10-10 16:54:08</v>
      </c>
    </row>
    <row r="19526" spans="1:7" x14ac:dyDescent="0.2">
      <c r="A19526" t="s">
        <v>18373</v>
      </c>
      <c r="B19526" t="str">
        <f>"15822081688"</f>
        <v>15822081688</v>
      </c>
      <c r="C19526" t="str">
        <f>"130682199309102732"</f>
        <v>130682199309102732</v>
      </c>
      <c r="D19526" t="s">
        <v>1</v>
      </c>
      <c r="E19526" t="s">
        <v>1</v>
      </c>
      <c r="F19526" t="s">
        <v>0</v>
      </c>
      <c r="G19526" t="str">
        <f>"2018-10-10 16:53:53"</f>
        <v>2018-10-10 16:53:53</v>
      </c>
    </row>
    <row r="19527" spans="1:7" x14ac:dyDescent="0.2">
      <c r="A19527" t="s">
        <v>1</v>
      </c>
      <c r="B19527" t="str">
        <f>"18672190906"</f>
        <v>18672190906</v>
      </c>
      <c r="C19527" t="s">
        <v>1</v>
      </c>
      <c r="D19527" t="s">
        <v>1</v>
      </c>
      <c r="E19527" t="s">
        <v>1</v>
      </c>
      <c r="F19527" t="s">
        <v>0</v>
      </c>
      <c r="G19527" t="str">
        <f>"2018-10-10 16:50:52"</f>
        <v>2018-10-10 16:50:52</v>
      </c>
    </row>
    <row r="19528" spans="1:7" x14ac:dyDescent="0.2">
      <c r="A19528" t="s">
        <v>655</v>
      </c>
      <c r="B19528" t="str">
        <f>"13473070172"</f>
        <v>13473070172</v>
      </c>
      <c r="C19528" t="str">
        <f>"130532198903205028"</f>
        <v>130532198903205028</v>
      </c>
      <c r="D19528" t="s">
        <v>1</v>
      </c>
      <c r="E19528" t="s">
        <v>1</v>
      </c>
      <c r="F19528" t="s">
        <v>0</v>
      </c>
      <c r="G19528" t="str">
        <f>"2018-10-10 16:51:57"</f>
        <v>2018-10-10 16:51:57</v>
      </c>
    </row>
    <row r="19529" spans="1:7" x14ac:dyDescent="0.2">
      <c r="A19529" t="s">
        <v>18374</v>
      </c>
      <c r="B19529" t="str">
        <f>"13177477215"</f>
        <v>13177477215</v>
      </c>
      <c r="C19529" t="str">
        <f>"420302199111200311"</f>
        <v>420302199111200311</v>
      </c>
      <c r="D19529" t="s">
        <v>1</v>
      </c>
      <c r="E19529" t="s">
        <v>1</v>
      </c>
      <c r="F19529" t="s">
        <v>0</v>
      </c>
      <c r="G19529" t="str">
        <f>"2018-10-12 17:05:17"</f>
        <v>2018-10-12 17:05:17</v>
      </c>
    </row>
    <row r="19530" spans="1:7" x14ac:dyDescent="0.2">
      <c r="A19530" t="s">
        <v>18375</v>
      </c>
      <c r="B19530" t="str">
        <f>"15857180810"</f>
        <v>15857180810</v>
      </c>
      <c r="C19530" t="str">
        <f>"330822197905145715"</f>
        <v>330822197905145715</v>
      </c>
      <c r="D19530" t="s">
        <v>1</v>
      </c>
      <c r="E19530" t="s">
        <v>1</v>
      </c>
      <c r="F19530" t="s">
        <v>0</v>
      </c>
      <c r="G19530" t="str">
        <f>"2018-10-11 09:20:30"</f>
        <v>2018-10-11 09:20:30</v>
      </c>
    </row>
    <row r="19531" spans="1:7" x14ac:dyDescent="0.2">
      <c r="A19531" t="s">
        <v>18376</v>
      </c>
      <c r="B19531" t="str">
        <f>"15061847599"</f>
        <v>15061847599</v>
      </c>
      <c r="C19531" t="str">
        <f>"342225199107091045"</f>
        <v>342225199107091045</v>
      </c>
      <c r="D19531" t="s">
        <v>1</v>
      </c>
      <c r="E19531" t="s">
        <v>1</v>
      </c>
      <c r="F19531" t="s">
        <v>0</v>
      </c>
      <c r="G19531" t="str">
        <f>"2018-10-10 17:31:51"</f>
        <v>2018-10-10 17:31:51</v>
      </c>
    </row>
    <row r="19532" spans="1:7" x14ac:dyDescent="0.2">
      <c r="A19532" t="s">
        <v>18377</v>
      </c>
      <c r="B19532" t="str">
        <f>"18760666690"</f>
        <v>18760666690</v>
      </c>
      <c r="C19532" t="str">
        <f>"350628199007150053"</f>
        <v>350628199007150053</v>
      </c>
      <c r="D19532" t="s">
        <v>1</v>
      </c>
      <c r="E19532" t="s">
        <v>1</v>
      </c>
      <c r="F19532" t="s">
        <v>0</v>
      </c>
      <c r="G19532" t="str">
        <f>"2018-10-12 19:26:48"</f>
        <v>2018-10-12 19:26:48</v>
      </c>
    </row>
    <row r="19533" spans="1:7" x14ac:dyDescent="0.2">
      <c r="A19533" t="s">
        <v>1</v>
      </c>
      <c r="B19533" t="str">
        <f>"18879950654"</f>
        <v>18879950654</v>
      </c>
      <c r="C19533" t="s">
        <v>1</v>
      </c>
      <c r="D19533" t="s">
        <v>1</v>
      </c>
      <c r="E19533" t="s">
        <v>1</v>
      </c>
      <c r="F19533" t="s">
        <v>0</v>
      </c>
      <c r="G19533" t="str">
        <f>"2018-10-10 16:52:35"</f>
        <v>2018-10-10 16:52:35</v>
      </c>
    </row>
    <row r="19534" spans="1:7" x14ac:dyDescent="0.2">
      <c r="A19534" t="s">
        <v>18378</v>
      </c>
      <c r="B19534" t="str">
        <f>"18660008306"</f>
        <v>18660008306</v>
      </c>
      <c r="C19534" t="str">
        <f>"370684199003184816"</f>
        <v>370684199003184816</v>
      </c>
      <c r="D19534" t="s">
        <v>1</v>
      </c>
      <c r="E19534" t="s">
        <v>1</v>
      </c>
      <c r="F19534" t="s">
        <v>0</v>
      </c>
      <c r="G19534" t="str">
        <f>"2018-10-10 17:22:11"</f>
        <v>2018-10-10 17:22:11</v>
      </c>
    </row>
    <row r="19535" spans="1:7" x14ac:dyDescent="0.2">
      <c r="A19535" t="s">
        <v>18379</v>
      </c>
      <c r="B19535" t="str">
        <f>"15824826220"</f>
        <v>15824826220</v>
      </c>
      <c r="C19535" t="str">
        <f>"371322199002255892"</f>
        <v>371322199002255892</v>
      </c>
      <c r="D19535" t="s">
        <v>18380</v>
      </c>
      <c r="E19535" t="s">
        <v>18381</v>
      </c>
      <c r="F19535" t="s">
        <v>0</v>
      </c>
      <c r="G19535" t="str">
        <f>"2018-10-10 16:50:12"</f>
        <v>2018-10-10 16:50:12</v>
      </c>
    </row>
    <row r="19536" spans="1:7" x14ac:dyDescent="0.2">
      <c r="A19536" t="s">
        <v>18382</v>
      </c>
      <c r="B19536" t="str">
        <f>"15179685219"</f>
        <v>15179685219</v>
      </c>
      <c r="C19536" t="str">
        <f>"362421199309044115"</f>
        <v>362421199309044115</v>
      </c>
      <c r="D19536" t="s">
        <v>1</v>
      </c>
      <c r="E19536" t="s">
        <v>1</v>
      </c>
      <c r="F19536" t="s">
        <v>0</v>
      </c>
      <c r="G19536" t="str">
        <f>"2018-10-18 16:07:57"</f>
        <v>2018-10-18 16:07:57</v>
      </c>
    </row>
    <row r="19537" spans="1:7" x14ac:dyDescent="0.2">
      <c r="A19537" t="s">
        <v>1</v>
      </c>
      <c r="B19537" t="str">
        <f>"13149078127"</f>
        <v>13149078127</v>
      </c>
      <c r="C19537" t="s">
        <v>1</v>
      </c>
      <c r="D19537" t="s">
        <v>1</v>
      </c>
      <c r="E19537" t="s">
        <v>1</v>
      </c>
      <c r="F19537" t="s">
        <v>0</v>
      </c>
      <c r="G19537" t="str">
        <f>"2018-10-10 16:46:44"</f>
        <v>2018-10-10 16:46:44</v>
      </c>
    </row>
    <row r="19538" spans="1:7" x14ac:dyDescent="0.2">
      <c r="A19538" t="s">
        <v>1356</v>
      </c>
      <c r="B19538" t="str">
        <f>"13546774472"</f>
        <v>13546774472</v>
      </c>
      <c r="C19538" t="str">
        <f>"142201197905172192"</f>
        <v>142201197905172192</v>
      </c>
      <c r="D19538" t="s">
        <v>18383</v>
      </c>
      <c r="E19538" t="s">
        <v>18384</v>
      </c>
      <c r="F19538" t="s">
        <v>0</v>
      </c>
      <c r="G19538" t="str">
        <f>"2018-10-10 16:47:59"</f>
        <v>2018-10-10 16:47:59</v>
      </c>
    </row>
    <row r="19539" spans="1:7" x14ac:dyDescent="0.2">
      <c r="A19539" t="s">
        <v>13881</v>
      </c>
      <c r="B19539" t="str">
        <f>"18839635813"</f>
        <v>18839635813</v>
      </c>
      <c r="C19539" t="str">
        <f>"41282119881216401X"</f>
        <v>41282119881216401X</v>
      </c>
      <c r="D19539" t="s">
        <v>1</v>
      </c>
      <c r="E19539" t="s">
        <v>1</v>
      </c>
      <c r="F19539" t="s">
        <v>0</v>
      </c>
      <c r="G19539" t="str">
        <f>"2018-10-21 10:31:21"</f>
        <v>2018-10-21 10:31:21</v>
      </c>
    </row>
    <row r="19540" spans="1:7" x14ac:dyDescent="0.2">
      <c r="A19540" t="s">
        <v>18385</v>
      </c>
      <c r="B19540" t="str">
        <f>"15250403821"</f>
        <v>15250403821</v>
      </c>
      <c r="C19540" t="str">
        <f>"320724200008243016"</f>
        <v>320724200008243016</v>
      </c>
      <c r="D19540" t="s">
        <v>1</v>
      </c>
      <c r="E19540" t="s">
        <v>1</v>
      </c>
      <c r="F19540" t="s">
        <v>0</v>
      </c>
      <c r="G19540" t="str">
        <f>"2018-10-10 16:46:32"</f>
        <v>2018-10-10 16:46:32</v>
      </c>
    </row>
    <row r="19541" spans="1:7" x14ac:dyDescent="0.2">
      <c r="A19541" t="s">
        <v>1</v>
      </c>
      <c r="B19541" t="str">
        <f>"15319416420"</f>
        <v>15319416420</v>
      </c>
      <c r="C19541" t="s">
        <v>1</v>
      </c>
      <c r="D19541" t="s">
        <v>1</v>
      </c>
      <c r="E19541" t="s">
        <v>1</v>
      </c>
      <c r="F19541" t="s">
        <v>0</v>
      </c>
      <c r="G19541" t="str">
        <f>"2018-10-10 16:45:25"</f>
        <v>2018-10-10 16:45:25</v>
      </c>
    </row>
    <row r="19542" spans="1:7" x14ac:dyDescent="0.2">
      <c r="A19542" t="s">
        <v>18386</v>
      </c>
      <c r="B19542" t="str">
        <f>"15555251695"</f>
        <v>15555251695</v>
      </c>
      <c r="C19542" t="str">
        <f>"341227199811054020"</f>
        <v>341227199811054020</v>
      </c>
      <c r="D19542" t="s">
        <v>1</v>
      </c>
      <c r="E19542" t="s">
        <v>1</v>
      </c>
      <c r="F19542" t="s">
        <v>0</v>
      </c>
      <c r="G19542" t="str">
        <f>"2018-10-11 14:14:51"</f>
        <v>2018-10-11 14:14:51</v>
      </c>
    </row>
    <row r="19543" spans="1:7" x14ac:dyDescent="0.2">
      <c r="A19543" t="s">
        <v>18387</v>
      </c>
      <c r="B19543" t="str">
        <f>"15329095153"</f>
        <v>15329095153</v>
      </c>
      <c r="C19543" t="str">
        <f>"522327198909140811"</f>
        <v>522327198909140811</v>
      </c>
      <c r="D19543" t="s">
        <v>1</v>
      </c>
      <c r="E19543" t="s">
        <v>1</v>
      </c>
      <c r="F19543" t="s">
        <v>0</v>
      </c>
      <c r="G19543" t="str">
        <f>"2018-10-10 17:22:35"</f>
        <v>2018-10-10 17:22:35</v>
      </c>
    </row>
    <row r="19544" spans="1:7" x14ac:dyDescent="0.2">
      <c r="A19544" t="s">
        <v>18388</v>
      </c>
      <c r="B19544" t="str">
        <f>"17785091360"</f>
        <v>17785091360</v>
      </c>
      <c r="C19544" t="str">
        <f>"522327198701160821"</f>
        <v>522327198701160821</v>
      </c>
      <c r="D19544" t="s">
        <v>1</v>
      </c>
      <c r="E19544" t="s">
        <v>1</v>
      </c>
      <c r="F19544" t="s">
        <v>0</v>
      </c>
      <c r="G19544" t="str">
        <f>"2018-10-10 17:26:55"</f>
        <v>2018-10-10 17:26:55</v>
      </c>
    </row>
    <row r="19545" spans="1:7" x14ac:dyDescent="0.2">
      <c r="A19545" t="s">
        <v>18389</v>
      </c>
      <c r="B19545" t="str">
        <f>"13766981920"</f>
        <v>13766981920</v>
      </c>
      <c r="C19545" t="str">
        <f>"230123198112260608"</f>
        <v>230123198112260608</v>
      </c>
      <c r="D19545" t="s">
        <v>1</v>
      </c>
      <c r="E19545" t="s">
        <v>1</v>
      </c>
      <c r="F19545" t="s">
        <v>0</v>
      </c>
      <c r="G19545" t="str">
        <f>"2018-10-22 15:54:54"</f>
        <v>2018-10-22 15:54:54</v>
      </c>
    </row>
    <row r="19546" spans="1:7" x14ac:dyDescent="0.2">
      <c r="A19546" t="s">
        <v>18390</v>
      </c>
      <c r="B19546" t="str">
        <f>"13365068682"</f>
        <v>13365068682</v>
      </c>
      <c r="C19546" t="str">
        <f>"350426199510023517"</f>
        <v>350426199510023517</v>
      </c>
      <c r="D19546" t="s">
        <v>1</v>
      </c>
      <c r="E19546" t="s">
        <v>1</v>
      </c>
      <c r="F19546" t="s">
        <v>0</v>
      </c>
      <c r="G19546" t="str">
        <f>"2018-10-10 16:45:57"</f>
        <v>2018-10-10 16:45:57</v>
      </c>
    </row>
    <row r="19547" spans="1:7" x14ac:dyDescent="0.2">
      <c r="A19547" t="s">
        <v>1</v>
      </c>
      <c r="B19547" t="str">
        <f>"15944475362"</f>
        <v>15944475362</v>
      </c>
      <c r="C19547" t="s">
        <v>1</v>
      </c>
      <c r="D19547" t="s">
        <v>1</v>
      </c>
      <c r="E19547" t="s">
        <v>1</v>
      </c>
      <c r="F19547" t="s">
        <v>0</v>
      </c>
      <c r="G19547" t="str">
        <f>"2018-10-10 16:44:13"</f>
        <v>2018-10-10 16:44:13</v>
      </c>
    </row>
    <row r="19548" spans="1:7" x14ac:dyDescent="0.2">
      <c r="A19548" t="s">
        <v>18391</v>
      </c>
      <c r="B19548" t="str">
        <f>"17740054896"</f>
        <v>17740054896</v>
      </c>
      <c r="C19548" t="str">
        <f>"232331198509152966"</f>
        <v>232331198509152966</v>
      </c>
      <c r="D19548" t="s">
        <v>1</v>
      </c>
      <c r="E19548" t="s">
        <v>1</v>
      </c>
      <c r="F19548" t="s">
        <v>0</v>
      </c>
      <c r="G19548" t="str">
        <f>"2018-10-10 16:44:04"</f>
        <v>2018-10-10 16:44:04</v>
      </c>
    </row>
    <row r="19549" spans="1:7" x14ac:dyDescent="0.2">
      <c r="A19549" t="s">
        <v>1</v>
      </c>
      <c r="B19549" t="str">
        <f>"18746088803"</f>
        <v>18746088803</v>
      </c>
      <c r="C19549" t="s">
        <v>1</v>
      </c>
      <c r="D19549" t="s">
        <v>1</v>
      </c>
      <c r="E19549" t="s">
        <v>1</v>
      </c>
      <c r="F19549" t="s">
        <v>0</v>
      </c>
      <c r="G19549" t="str">
        <f>"2018-10-10 16:43:29"</f>
        <v>2018-10-10 16:43:29</v>
      </c>
    </row>
    <row r="19550" spans="1:7" x14ac:dyDescent="0.2">
      <c r="A19550" t="s">
        <v>18392</v>
      </c>
      <c r="B19550" t="str">
        <f>"17384779426"</f>
        <v>17384779426</v>
      </c>
      <c r="C19550" t="str">
        <f>"500243199704046147"</f>
        <v>500243199704046147</v>
      </c>
      <c r="D19550" t="s">
        <v>1</v>
      </c>
      <c r="E19550" t="s">
        <v>1</v>
      </c>
      <c r="F19550" t="s">
        <v>0</v>
      </c>
      <c r="G19550" t="str">
        <f>"2018-10-10 16:44:01"</f>
        <v>2018-10-10 16:44:01</v>
      </c>
    </row>
    <row r="19551" spans="1:7" x14ac:dyDescent="0.2">
      <c r="A19551" t="s">
        <v>18393</v>
      </c>
      <c r="B19551" t="str">
        <f>"13979453434"</f>
        <v>13979453434</v>
      </c>
      <c r="C19551" t="str">
        <f>"36252919701117001X"</f>
        <v>36252919701117001X</v>
      </c>
      <c r="D19551" t="s">
        <v>18394</v>
      </c>
      <c r="E19551" t="s">
        <v>18395</v>
      </c>
      <c r="F19551" t="s">
        <v>0</v>
      </c>
      <c r="G19551" t="str">
        <f>"2018-10-10 16:44:13"</f>
        <v>2018-10-10 16:44:13</v>
      </c>
    </row>
    <row r="19552" spans="1:7" x14ac:dyDescent="0.2">
      <c r="A19552" t="s">
        <v>1</v>
      </c>
      <c r="B19552" t="str">
        <f>"18991639469"</f>
        <v>18991639469</v>
      </c>
      <c r="C19552" t="s">
        <v>1</v>
      </c>
      <c r="D19552" t="s">
        <v>1</v>
      </c>
      <c r="E19552" t="s">
        <v>1</v>
      </c>
      <c r="F19552" t="s">
        <v>0</v>
      </c>
      <c r="G19552" t="str">
        <f>"2018-10-10 16:42:33"</f>
        <v>2018-10-10 16:42:33</v>
      </c>
    </row>
    <row r="19553" spans="1:7" x14ac:dyDescent="0.2">
      <c r="A19553" t="s">
        <v>18396</v>
      </c>
      <c r="B19553" t="str">
        <f>"15579686263"</f>
        <v>15579686263</v>
      </c>
      <c r="C19553" t="str">
        <f>"362430198809197232"</f>
        <v>362430198809197232</v>
      </c>
      <c r="D19553" t="s">
        <v>1</v>
      </c>
      <c r="E19553" t="s">
        <v>1</v>
      </c>
      <c r="F19553" t="s">
        <v>0</v>
      </c>
      <c r="G19553" t="str">
        <f>"2018-10-25 13:26:24"</f>
        <v>2018-10-25 13:26:24</v>
      </c>
    </row>
    <row r="19554" spans="1:7" x14ac:dyDescent="0.2">
      <c r="A19554" t="s">
        <v>18397</v>
      </c>
      <c r="B19554" t="str">
        <f>"18591223065"</f>
        <v>18591223065</v>
      </c>
      <c r="C19554" t="str">
        <f>"150221198403205310"</f>
        <v>150221198403205310</v>
      </c>
      <c r="D19554" t="s">
        <v>1</v>
      </c>
      <c r="E19554" t="s">
        <v>1</v>
      </c>
      <c r="F19554" t="s">
        <v>0</v>
      </c>
      <c r="G19554" t="str">
        <f>"2018-10-10 16:45:07"</f>
        <v>2018-10-10 16:45:07</v>
      </c>
    </row>
    <row r="19555" spans="1:7" x14ac:dyDescent="0.2">
      <c r="A19555" t="s">
        <v>1</v>
      </c>
      <c r="B19555" t="str">
        <f>"13422688355"</f>
        <v>13422688355</v>
      </c>
      <c r="C19555" t="s">
        <v>1</v>
      </c>
      <c r="D19555" t="s">
        <v>1</v>
      </c>
      <c r="E19555" t="s">
        <v>1</v>
      </c>
      <c r="F19555" t="s">
        <v>0</v>
      </c>
      <c r="G19555" t="str">
        <f>"2018-10-10 16:42:02"</f>
        <v>2018-10-10 16:42:02</v>
      </c>
    </row>
    <row r="19556" spans="1:7" x14ac:dyDescent="0.2">
      <c r="A19556" t="s">
        <v>600</v>
      </c>
      <c r="B19556" t="str">
        <f>"15223353135"</f>
        <v>15223353135</v>
      </c>
      <c r="C19556" t="str">
        <f>"513029199404100451"</f>
        <v>513029199404100451</v>
      </c>
      <c r="D19556" t="s">
        <v>1</v>
      </c>
      <c r="E19556" t="s">
        <v>1</v>
      </c>
      <c r="F19556" t="s">
        <v>0</v>
      </c>
      <c r="G19556" t="str">
        <f>"2018-10-25 17:53:39"</f>
        <v>2018-10-25 17:53:39</v>
      </c>
    </row>
    <row r="19557" spans="1:7" x14ac:dyDescent="0.2">
      <c r="A19557" t="s">
        <v>18398</v>
      </c>
      <c r="B19557" t="str">
        <f>"13183569992"</f>
        <v>13183569992</v>
      </c>
      <c r="C19557" t="str">
        <f>"51081119870620219X"</f>
        <v>51081119870620219X</v>
      </c>
      <c r="D19557" t="s">
        <v>1</v>
      </c>
      <c r="E19557" t="s">
        <v>1</v>
      </c>
      <c r="F19557" t="s">
        <v>0</v>
      </c>
      <c r="G19557" t="str">
        <f>"2018-10-10 16:44:15"</f>
        <v>2018-10-10 16:44:15</v>
      </c>
    </row>
    <row r="19558" spans="1:7" x14ac:dyDescent="0.2">
      <c r="A19558" t="s">
        <v>18399</v>
      </c>
      <c r="B19558" t="str">
        <f>"13414706016"</f>
        <v>13414706016</v>
      </c>
      <c r="C19558" t="str">
        <f>"450521199102190014"</f>
        <v>450521199102190014</v>
      </c>
      <c r="D19558" t="s">
        <v>1</v>
      </c>
      <c r="E19558" t="s">
        <v>1</v>
      </c>
      <c r="F19558" t="s">
        <v>0</v>
      </c>
      <c r="G19558" t="str">
        <f>"2018-10-10 16:45:55"</f>
        <v>2018-10-10 16:45:55</v>
      </c>
    </row>
    <row r="19559" spans="1:7" x14ac:dyDescent="0.2">
      <c r="A19559" t="s">
        <v>18400</v>
      </c>
      <c r="B19559" t="str">
        <f>"13403482279"</f>
        <v>13403482279</v>
      </c>
      <c r="C19559" t="str">
        <f>"142702198607125513"</f>
        <v>142702198607125513</v>
      </c>
      <c r="D19559" t="s">
        <v>1</v>
      </c>
      <c r="E19559" t="s">
        <v>1</v>
      </c>
      <c r="F19559" t="s">
        <v>0</v>
      </c>
      <c r="G19559" t="str">
        <f>"2018-10-10 16:43:35"</f>
        <v>2018-10-10 16:43:35</v>
      </c>
    </row>
    <row r="19560" spans="1:7" x14ac:dyDescent="0.2">
      <c r="A19560" t="s">
        <v>18401</v>
      </c>
      <c r="B19560" t="str">
        <f>"18300534699"</f>
        <v>18300534699</v>
      </c>
      <c r="C19560" t="str">
        <f>"370681199007182210"</f>
        <v>370681199007182210</v>
      </c>
      <c r="D19560" t="s">
        <v>1</v>
      </c>
      <c r="E19560" t="s">
        <v>1</v>
      </c>
      <c r="F19560" t="s">
        <v>0</v>
      </c>
      <c r="G19560" t="str">
        <f>"2018-10-10 16:44:12"</f>
        <v>2018-10-10 16:44:12</v>
      </c>
    </row>
    <row r="19561" spans="1:7" x14ac:dyDescent="0.2">
      <c r="A19561" t="s">
        <v>1</v>
      </c>
      <c r="B19561" t="str">
        <f>"18873399920"</f>
        <v>18873399920</v>
      </c>
      <c r="C19561" t="s">
        <v>1</v>
      </c>
      <c r="D19561" t="s">
        <v>1</v>
      </c>
      <c r="E19561" t="s">
        <v>1</v>
      </c>
      <c r="F19561" t="s">
        <v>0</v>
      </c>
      <c r="G19561" t="str">
        <f>"2018-10-10 16:41:14"</f>
        <v>2018-10-10 16:41:14</v>
      </c>
    </row>
    <row r="19562" spans="1:7" x14ac:dyDescent="0.2">
      <c r="A19562" t="s">
        <v>1</v>
      </c>
      <c r="B19562" t="str">
        <f>"18787019560"</f>
        <v>18787019560</v>
      </c>
      <c r="C19562" t="s">
        <v>1</v>
      </c>
      <c r="D19562" t="s">
        <v>1</v>
      </c>
      <c r="E19562" t="s">
        <v>1</v>
      </c>
      <c r="F19562" t="s">
        <v>0</v>
      </c>
      <c r="G19562" t="str">
        <f>"2018-10-10 16:40:29"</f>
        <v>2018-10-10 16:40:29</v>
      </c>
    </row>
    <row r="19563" spans="1:7" x14ac:dyDescent="0.2">
      <c r="A19563" t="s">
        <v>18402</v>
      </c>
      <c r="B19563" t="str">
        <f>"15828698468"</f>
        <v>15828698468</v>
      </c>
      <c r="C19563" t="str">
        <f>"511025194701283872"</f>
        <v>511025194701283872</v>
      </c>
      <c r="D19563" t="s">
        <v>1</v>
      </c>
      <c r="E19563" t="s">
        <v>1</v>
      </c>
      <c r="F19563" t="s">
        <v>0</v>
      </c>
      <c r="G19563" t="str">
        <f>"2018-10-10 16:42:32"</f>
        <v>2018-10-10 16:42:32</v>
      </c>
    </row>
    <row r="19564" spans="1:7" x14ac:dyDescent="0.2">
      <c r="A19564" t="s">
        <v>1</v>
      </c>
      <c r="B19564" t="str">
        <f>"13243865876"</f>
        <v>13243865876</v>
      </c>
      <c r="C19564" t="s">
        <v>1</v>
      </c>
      <c r="D19564" t="s">
        <v>1</v>
      </c>
      <c r="E19564" t="s">
        <v>1</v>
      </c>
      <c r="F19564" t="s">
        <v>0</v>
      </c>
      <c r="G19564" t="str">
        <f>"2018-10-10 16:41:54"</f>
        <v>2018-10-10 16:41:54</v>
      </c>
    </row>
    <row r="19565" spans="1:7" x14ac:dyDescent="0.2">
      <c r="A19565" t="s">
        <v>18403</v>
      </c>
      <c r="B19565" t="str">
        <f>"15278725045"</f>
        <v>15278725045</v>
      </c>
      <c r="C19565" t="str">
        <f>"450721199409040935"</f>
        <v>450721199409040935</v>
      </c>
      <c r="D19565" t="s">
        <v>1</v>
      </c>
      <c r="E19565" t="s">
        <v>1</v>
      </c>
      <c r="F19565" t="s">
        <v>0</v>
      </c>
      <c r="G19565" t="str">
        <f>"2018-10-10 16:48:34"</f>
        <v>2018-10-10 16:48:34</v>
      </c>
    </row>
    <row r="19566" spans="1:7" x14ac:dyDescent="0.2">
      <c r="A19566" t="s">
        <v>1</v>
      </c>
      <c r="B19566" t="str">
        <f>"15348693321"</f>
        <v>15348693321</v>
      </c>
      <c r="C19566" t="s">
        <v>1</v>
      </c>
      <c r="D19566" t="s">
        <v>1</v>
      </c>
      <c r="E19566" t="s">
        <v>1</v>
      </c>
      <c r="F19566" t="s">
        <v>0</v>
      </c>
      <c r="G19566" t="str">
        <f>"2018-10-10 16:39:23"</f>
        <v>2018-10-10 16:39:23</v>
      </c>
    </row>
    <row r="19567" spans="1:7" x14ac:dyDescent="0.2">
      <c r="A19567" t="s">
        <v>18404</v>
      </c>
      <c r="B19567" t="str">
        <f>"13899363675"</f>
        <v>13899363675</v>
      </c>
      <c r="C19567" t="str">
        <f>"51018419880122061X"</f>
        <v>51018419880122061X</v>
      </c>
      <c r="D19567" t="s">
        <v>1</v>
      </c>
      <c r="E19567" t="s">
        <v>1</v>
      </c>
      <c r="F19567" t="s">
        <v>0</v>
      </c>
      <c r="G19567" t="str">
        <f>"2018-10-30 21:46:18"</f>
        <v>2018-10-30 21:46:18</v>
      </c>
    </row>
    <row r="19568" spans="1:7" x14ac:dyDescent="0.2">
      <c r="A19568" t="s">
        <v>316</v>
      </c>
      <c r="B19568" t="str">
        <f>"15862650858"</f>
        <v>15862650858</v>
      </c>
      <c r="C19568" t="str">
        <f>"32032419860420621X"</f>
        <v>32032419860420621X</v>
      </c>
      <c r="D19568" t="s">
        <v>18405</v>
      </c>
      <c r="E19568" t="s">
        <v>18406</v>
      </c>
      <c r="F19568" t="s">
        <v>0</v>
      </c>
      <c r="G19568" t="str">
        <f>"2018-10-22 09:12:50"</f>
        <v>2018-10-22 09:12:50</v>
      </c>
    </row>
    <row r="19569" spans="1:7" x14ac:dyDescent="0.2">
      <c r="A19569" t="s">
        <v>18407</v>
      </c>
      <c r="B19569" t="str">
        <f>"18368308243"</f>
        <v>18368308243</v>
      </c>
      <c r="C19569" t="str">
        <f>"532128199904130931"</f>
        <v>532128199904130931</v>
      </c>
      <c r="D19569" t="s">
        <v>1</v>
      </c>
      <c r="E19569" t="s">
        <v>1</v>
      </c>
      <c r="F19569" t="s">
        <v>0</v>
      </c>
      <c r="G19569" t="str">
        <f>"2018-10-10 16:39:22"</f>
        <v>2018-10-10 16:39:22</v>
      </c>
    </row>
    <row r="19570" spans="1:7" x14ac:dyDescent="0.2">
      <c r="A19570" t="s">
        <v>18408</v>
      </c>
      <c r="B19570" t="str">
        <f>"17694925343"</f>
        <v>17694925343</v>
      </c>
      <c r="C19570" t="str">
        <f>"131025199209093374"</f>
        <v>131025199209093374</v>
      </c>
      <c r="D19570" t="s">
        <v>1</v>
      </c>
      <c r="E19570" t="s">
        <v>1</v>
      </c>
      <c r="F19570" t="s">
        <v>0</v>
      </c>
      <c r="G19570" t="str">
        <f>"2018-10-10 16:38:41"</f>
        <v>2018-10-10 16:38:41</v>
      </c>
    </row>
    <row r="19571" spans="1:7" x14ac:dyDescent="0.2">
      <c r="A19571" t="s">
        <v>18409</v>
      </c>
      <c r="B19571" t="str">
        <f>"13828676361"</f>
        <v>13828676361</v>
      </c>
      <c r="C19571" t="str">
        <f>"440902197106010414"</f>
        <v>440902197106010414</v>
      </c>
      <c r="D19571" t="s">
        <v>1</v>
      </c>
      <c r="E19571" t="s">
        <v>1</v>
      </c>
      <c r="F19571" t="s">
        <v>0</v>
      </c>
      <c r="G19571" t="str">
        <f>"2018-10-10 16:38:38"</f>
        <v>2018-10-10 16:38:38</v>
      </c>
    </row>
    <row r="19572" spans="1:7" x14ac:dyDescent="0.2">
      <c r="A19572" t="s">
        <v>18410</v>
      </c>
      <c r="B19572" t="str">
        <f>"18586129768"</f>
        <v>18586129768</v>
      </c>
      <c r="C19572" t="str">
        <f>"610425199508033430"</f>
        <v>610425199508033430</v>
      </c>
      <c r="D19572" t="s">
        <v>1</v>
      </c>
      <c r="E19572" t="s">
        <v>1</v>
      </c>
      <c r="F19572" t="s">
        <v>0</v>
      </c>
      <c r="G19572" t="str">
        <f>"2018-10-10 16:38:34"</f>
        <v>2018-10-10 16:38:34</v>
      </c>
    </row>
    <row r="19573" spans="1:7" x14ac:dyDescent="0.2">
      <c r="A19573" t="s">
        <v>18411</v>
      </c>
      <c r="B19573" t="str">
        <f>"13072588132"</f>
        <v>13072588132</v>
      </c>
      <c r="C19573" t="str">
        <f>"320724198503213033"</f>
        <v>320724198503213033</v>
      </c>
      <c r="D19573" t="s">
        <v>1</v>
      </c>
      <c r="E19573" t="s">
        <v>1</v>
      </c>
      <c r="F19573" t="s">
        <v>0</v>
      </c>
      <c r="G19573" t="str">
        <f>"2018-10-25 16:53:48"</f>
        <v>2018-10-25 16:53:48</v>
      </c>
    </row>
    <row r="19574" spans="1:7" x14ac:dyDescent="0.2">
      <c r="A19574" t="s">
        <v>18412</v>
      </c>
      <c r="B19574" t="str">
        <f>"13708222044"</f>
        <v>13708222044</v>
      </c>
      <c r="C19574" t="str">
        <f>"522631199601163115"</f>
        <v>522631199601163115</v>
      </c>
      <c r="D19574" t="s">
        <v>1</v>
      </c>
      <c r="E19574" t="s">
        <v>1</v>
      </c>
      <c r="F19574" t="s">
        <v>0</v>
      </c>
      <c r="G19574" t="str">
        <f>"2018-10-10 16:47:43"</f>
        <v>2018-10-10 16:47:43</v>
      </c>
    </row>
    <row r="19575" spans="1:7" x14ac:dyDescent="0.2">
      <c r="A19575" t="s">
        <v>930</v>
      </c>
      <c r="B19575" t="str">
        <f>"15808239390"</f>
        <v>15808239390</v>
      </c>
      <c r="C19575" t="str">
        <f>"51030319860317132X"</f>
        <v>51030319860317132X</v>
      </c>
      <c r="D19575" t="s">
        <v>1</v>
      </c>
      <c r="E19575" t="s">
        <v>1</v>
      </c>
      <c r="F19575" t="s">
        <v>0</v>
      </c>
      <c r="G19575" t="str">
        <f>"2018-10-10 16:37:19"</f>
        <v>2018-10-10 16:37:19</v>
      </c>
    </row>
    <row r="19576" spans="1:7" x14ac:dyDescent="0.2">
      <c r="A19576" t="s">
        <v>18413</v>
      </c>
      <c r="B19576" t="str">
        <f>"15842521152"</f>
        <v>15842521152</v>
      </c>
      <c r="C19576" t="str">
        <f>"210682198907163573"</f>
        <v>210682198907163573</v>
      </c>
      <c r="D19576" t="s">
        <v>1</v>
      </c>
      <c r="E19576" t="s">
        <v>1</v>
      </c>
      <c r="F19576" t="s">
        <v>0</v>
      </c>
      <c r="G19576" t="str">
        <f>"2018-10-10 16:41:29"</f>
        <v>2018-10-10 16:41:29</v>
      </c>
    </row>
    <row r="19577" spans="1:7" x14ac:dyDescent="0.2">
      <c r="A19577" t="s">
        <v>18414</v>
      </c>
      <c r="B19577" t="str">
        <f>"17369148001"</f>
        <v>17369148001</v>
      </c>
      <c r="C19577" t="str">
        <f>"511112199404153517"</f>
        <v>511112199404153517</v>
      </c>
      <c r="D19577" t="s">
        <v>1</v>
      </c>
      <c r="E19577" t="s">
        <v>1</v>
      </c>
      <c r="F19577" t="s">
        <v>0</v>
      </c>
      <c r="G19577" t="str">
        <f>"2018-10-10 16:39:58"</f>
        <v>2018-10-10 16:39:58</v>
      </c>
    </row>
    <row r="19578" spans="1:7" x14ac:dyDescent="0.2">
      <c r="A19578" t="s">
        <v>18415</v>
      </c>
      <c r="B19578" t="str">
        <f>"15639008224"</f>
        <v>15639008224</v>
      </c>
      <c r="C19578" t="str">
        <f>"410183198805202013"</f>
        <v>410183198805202013</v>
      </c>
      <c r="D19578" t="s">
        <v>1</v>
      </c>
      <c r="E19578" t="s">
        <v>1</v>
      </c>
      <c r="F19578" t="s">
        <v>0</v>
      </c>
      <c r="G19578" t="str">
        <f>"2018-10-10 16:38:29"</f>
        <v>2018-10-10 16:38:29</v>
      </c>
    </row>
    <row r="19579" spans="1:7" x14ac:dyDescent="0.2">
      <c r="A19579" t="s">
        <v>18416</v>
      </c>
      <c r="B19579" t="str">
        <f>"17684103273"</f>
        <v>17684103273</v>
      </c>
      <c r="C19579" t="str">
        <f>"522422199204212430"</f>
        <v>522422199204212430</v>
      </c>
      <c r="D19579" t="s">
        <v>1</v>
      </c>
      <c r="E19579" t="s">
        <v>1</v>
      </c>
      <c r="F19579" t="s">
        <v>0</v>
      </c>
      <c r="G19579" t="str">
        <f>"2018-10-10 16:36:01"</f>
        <v>2018-10-10 16:36:01</v>
      </c>
    </row>
    <row r="19580" spans="1:7" x14ac:dyDescent="0.2">
      <c r="A19580" t="s">
        <v>790</v>
      </c>
      <c r="B19580" t="str">
        <f>"18279819521"</f>
        <v>18279819521</v>
      </c>
      <c r="C19580" t="str">
        <f>"36242619950709772X"</f>
        <v>36242619950709772X</v>
      </c>
      <c r="D19580" t="s">
        <v>1</v>
      </c>
      <c r="E19580" t="s">
        <v>1</v>
      </c>
      <c r="F19580" t="s">
        <v>0</v>
      </c>
      <c r="G19580" t="str">
        <f>"2018-10-10 16:36:49"</f>
        <v>2018-10-10 16:36:49</v>
      </c>
    </row>
    <row r="19581" spans="1:7" x14ac:dyDescent="0.2">
      <c r="A19581" t="s">
        <v>18417</v>
      </c>
      <c r="B19581" t="str">
        <f>"15893299530"</f>
        <v>15893299530</v>
      </c>
      <c r="C19581" t="str">
        <f>"41092819970209093X"</f>
        <v>41092819970209093X</v>
      </c>
      <c r="D19581" t="s">
        <v>1</v>
      </c>
      <c r="E19581" t="s">
        <v>1</v>
      </c>
      <c r="F19581" t="s">
        <v>0</v>
      </c>
      <c r="G19581" t="str">
        <f>"2018-10-10 16:34:48"</f>
        <v>2018-10-10 16:34:48</v>
      </c>
    </row>
    <row r="19582" spans="1:7" x14ac:dyDescent="0.2">
      <c r="A19582" t="s">
        <v>18418</v>
      </c>
      <c r="B19582" t="str">
        <f>"15926673222"</f>
        <v>15926673222</v>
      </c>
      <c r="C19582" t="str">
        <f>"420802198601250912"</f>
        <v>420802198601250912</v>
      </c>
      <c r="D19582" t="s">
        <v>1</v>
      </c>
      <c r="E19582" t="s">
        <v>1</v>
      </c>
      <c r="F19582" t="s">
        <v>0</v>
      </c>
      <c r="G19582" t="str">
        <f>"2018-10-10 16:35:54"</f>
        <v>2018-10-10 16:35:54</v>
      </c>
    </row>
    <row r="19583" spans="1:7" x14ac:dyDescent="0.2">
      <c r="A19583" t="s">
        <v>18419</v>
      </c>
      <c r="B19583" t="str">
        <f>"15150400989"</f>
        <v>15150400989</v>
      </c>
      <c r="C19583" t="str">
        <f>"230506199407240428"</f>
        <v>230506199407240428</v>
      </c>
      <c r="D19583" t="s">
        <v>1</v>
      </c>
      <c r="E19583" t="s">
        <v>1</v>
      </c>
      <c r="F19583" t="s">
        <v>0</v>
      </c>
      <c r="G19583" t="str">
        <f>"2018-10-10 16:33:40"</f>
        <v>2018-10-10 16:33:40</v>
      </c>
    </row>
    <row r="19584" spans="1:7" x14ac:dyDescent="0.2">
      <c r="A19584" t="s">
        <v>1</v>
      </c>
      <c r="B19584" t="str">
        <f>"18794481362"</f>
        <v>18794481362</v>
      </c>
      <c r="C19584" t="s">
        <v>1</v>
      </c>
      <c r="D19584" t="s">
        <v>1</v>
      </c>
      <c r="E19584" t="s">
        <v>1</v>
      </c>
      <c r="F19584" t="s">
        <v>0</v>
      </c>
      <c r="G19584" t="str">
        <f>"2018-10-10 16:33:09"</f>
        <v>2018-10-10 16:33:09</v>
      </c>
    </row>
    <row r="19585" spans="1:7" x14ac:dyDescent="0.2">
      <c r="A19585" t="s">
        <v>18420</v>
      </c>
      <c r="B19585" t="str">
        <f>"15645500101"</f>
        <v>15645500101</v>
      </c>
      <c r="C19585" t="str">
        <f>"23230119790712081X"</f>
        <v>23230119790712081X</v>
      </c>
      <c r="D19585" t="s">
        <v>1</v>
      </c>
      <c r="E19585" t="s">
        <v>1</v>
      </c>
      <c r="F19585" t="s">
        <v>0</v>
      </c>
      <c r="G19585" t="str">
        <f>"2018-10-10 16:36:33"</f>
        <v>2018-10-10 16:36:33</v>
      </c>
    </row>
    <row r="19586" spans="1:7" x14ac:dyDescent="0.2">
      <c r="A19586" t="s">
        <v>18421</v>
      </c>
      <c r="B19586" t="str">
        <f>"13434750555"</f>
        <v>13434750555</v>
      </c>
      <c r="C19586" t="str">
        <f>"210381199210025316"</f>
        <v>210381199210025316</v>
      </c>
      <c r="D19586" t="s">
        <v>1</v>
      </c>
      <c r="E19586" t="s">
        <v>1</v>
      </c>
      <c r="F19586" t="s">
        <v>0</v>
      </c>
      <c r="G19586" t="str">
        <f>"2018-10-10 16:32:29"</f>
        <v>2018-10-10 16:32:29</v>
      </c>
    </row>
    <row r="19587" spans="1:7" x14ac:dyDescent="0.2">
      <c r="A19587" t="s">
        <v>18422</v>
      </c>
      <c r="B19587" t="str">
        <f>"15729350622"</f>
        <v>15729350622</v>
      </c>
      <c r="C19587" t="str">
        <f>"411123199203013011"</f>
        <v>411123199203013011</v>
      </c>
      <c r="D19587" t="s">
        <v>18423</v>
      </c>
      <c r="E19587" t="s">
        <v>18424</v>
      </c>
      <c r="F19587" t="s">
        <v>0</v>
      </c>
      <c r="G19587" t="str">
        <f>"2018-10-10 16:33:35"</f>
        <v>2018-10-10 16:33:35</v>
      </c>
    </row>
    <row r="19588" spans="1:7" x14ac:dyDescent="0.2">
      <c r="A19588" t="s">
        <v>1</v>
      </c>
      <c r="B19588" t="str">
        <f>"15276507226"</f>
        <v>15276507226</v>
      </c>
      <c r="C19588" t="s">
        <v>1</v>
      </c>
      <c r="D19588" t="s">
        <v>1</v>
      </c>
      <c r="E19588" t="s">
        <v>1</v>
      </c>
      <c r="F19588" t="s">
        <v>0</v>
      </c>
      <c r="G19588" t="str">
        <f>"2018-10-10 16:31:52"</f>
        <v>2018-10-10 16:31:52</v>
      </c>
    </row>
    <row r="19589" spans="1:7" x14ac:dyDescent="0.2">
      <c r="A19589" t="s">
        <v>1</v>
      </c>
      <c r="B19589" t="str">
        <f>"13036849074"</f>
        <v>13036849074</v>
      </c>
      <c r="C19589" t="s">
        <v>1</v>
      </c>
      <c r="D19589" t="s">
        <v>1</v>
      </c>
      <c r="E19589" t="s">
        <v>1</v>
      </c>
      <c r="F19589" t="s">
        <v>0</v>
      </c>
      <c r="G19589" t="str">
        <f>"2018-10-10 16:31:50"</f>
        <v>2018-10-10 16:31:50</v>
      </c>
    </row>
    <row r="19590" spans="1:7" x14ac:dyDescent="0.2">
      <c r="A19590" t="s">
        <v>18425</v>
      </c>
      <c r="B19590" t="str">
        <f>"17806270625"</f>
        <v>17806270625</v>
      </c>
      <c r="C19590" t="str">
        <f>"370282199210042621"</f>
        <v>370282199210042621</v>
      </c>
      <c r="D19590" t="s">
        <v>1</v>
      </c>
      <c r="E19590" t="s">
        <v>1</v>
      </c>
      <c r="F19590" t="s">
        <v>0</v>
      </c>
      <c r="G19590" t="str">
        <f>"2018-10-10 16:37:30"</f>
        <v>2018-10-10 16:37:30</v>
      </c>
    </row>
    <row r="19591" spans="1:7" x14ac:dyDescent="0.2">
      <c r="A19591" t="s">
        <v>18426</v>
      </c>
      <c r="B19591" t="str">
        <f>"15928703693"</f>
        <v>15928703693</v>
      </c>
      <c r="C19591" t="str">
        <f>"511025198308053817"</f>
        <v>511025198308053817</v>
      </c>
      <c r="D19591" t="s">
        <v>1</v>
      </c>
      <c r="E19591" t="s">
        <v>1</v>
      </c>
      <c r="F19591" t="s">
        <v>0</v>
      </c>
      <c r="G19591" t="str">
        <f>"2018-10-10 16:32:41"</f>
        <v>2018-10-10 16:32:41</v>
      </c>
    </row>
    <row r="19592" spans="1:7" x14ac:dyDescent="0.2">
      <c r="A19592" t="s">
        <v>18427</v>
      </c>
      <c r="B19592" t="str">
        <f>"15002993116"</f>
        <v>15002993116</v>
      </c>
      <c r="C19592" t="str">
        <f>"632123199805104270"</f>
        <v>632123199805104270</v>
      </c>
      <c r="D19592" t="s">
        <v>18428</v>
      </c>
      <c r="E19592" t="s">
        <v>18429</v>
      </c>
      <c r="F19592" t="s">
        <v>0</v>
      </c>
      <c r="G19592" t="str">
        <f>"2018-10-10 16:38:02"</f>
        <v>2018-10-10 16:38:02</v>
      </c>
    </row>
    <row r="19593" spans="1:7" x14ac:dyDescent="0.2">
      <c r="A19593" t="s">
        <v>1</v>
      </c>
      <c r="B19593" t="str">
        <f>"15198013533"</f>
        <v>15198013533</v>
      </c>
      <c r="C19593" t="s">
        <v>1</v>
      </c>
      <c r="D19593" t="s">
        <v>1</v>
      </c>
      <c r="E19593" t="s">
        <v>1</v>
      </c>
      <c r="F19593" t="s">
        <v>0</v>
      </c>
      <c r="G19593" t="str">
        <f>"2018-10-10 16:30:43"</f>
        <v>2018-10-10 16:30:43</v>
      </c>
    </row>
    <row r="19594" spans="1:7" x14ac:dyDescent="0.2">
      <c r="A19594" t="s">
        <v>749</v>
      </c>
      <c r="B19594" t="str">
        <f>"15248076560"</f>
        <v>15248076560</v>
      </c>
      <c r="C19594" t="str">
        <f>"140225199403110811"</f>
        <v>140225199403110811</v>
      </c>
      <c r="D19594" t="s">
        <v>18430</v>
      </c>
      <c r="E19594" t="s">
        <v>18431</v>
      </c>
      <c r="F19594" t="s">
        <v>0</v>
      </c>
      <c r="G19594" t="str">
        <f>"2018-10-10 16:31:56"</f>
        <v>2018-10-10 16:31:56</v>
      </c>
    </row>
    <row r="19595" spans="1:7" x14ac:dyDescent="0.2">
      <c r="A19595" t="s">
        <v>18432</v>
      </c>
      <c r="B19595" t="str">
        <f>"15908436006"</f>
        <v>15908436006</v>
      </c>
      <c r="C19595" t="str">
        <f>"511621198810195017"</f>
        <v>511621198810195017</v>
      </c>
      <c r="D19595" t="s">
        <v>1</v>
      </c>
      <c r="E19595" t="s">
        <v>1</v>
      </c>
      <c r="F19595" t="s">
        <v>0</v>
      </c>
      <c r="G19595" t="str">
        <f>"2018-10-10 16:32:26"</f>
        <v>2018-10-10 16:32:26</v>
      </c>
    </row>
    <row r="19596" spans="1:7" x14ac:dyDescent="0.2">
      <c r="A19596" t="s">
        <v>1</v>
      </c>
      <c r="B19596" t="str">
        <f>"15098427912"</f>
        <v>15098427912</v>
      </c>
      <c r="C19596" t="s">
        <v>1</v>
      </c>
      <c r="D19596" t="s">
        <v>1</v>
      </c>
      <c r="E19596" t="s">
        <v>1</v>
      </c>
      <c r="F19596" t="s">
        <v>0</v>
      </c>
      <c r="G19596" t="str">
        <f>"2018-10-10 16:29:37"</f>
        <v>2018-10-10 16:29:37</v>
      </c>
    </row>
    <row r="19597" spans="1:7" x14ac:dyDescent="0.2">
      <c r="A19597" t="s">
        <v>1</v>
      </c>
      <c r="B19597" t="str">
        <f>"13759466654"</f>
        <v>13759466654</v>
      </c>
      <c r="C19597" t="s">
        <v>1</v>
      </c>
      <c r="D19597" t="s">
        <v>1</v>
      </c>
      <c r="E19597" t="s">
        <v>1</v>
      </c>
      <c r="F19597" t="s">
        <v>0</v>
      </c>
      <c r="G19597" t="str">
        <f>"2018-10-10 16:29:21"</f>
        <v>2018-10-10 16:29:21</v>
      </c>
    </row>
    <row r="19598" spans="1:7" x14ac:dyDescent="0.2">
      <c r="A19598" t="s">
        <v>18433</v>
      </c>
      <c r="B19598" t="str">
        <f>"17539123173"</f>
        <v>17539123173</v>
      </c>
      <c r="C19598" t="str">
        <f>"41082120000221006X"</f>
        <v>41082120000221006X</v>
      </c>
      <c r="D19598" t="s">
        <v>1</v>
      </c>
      <c r="E19598" t="s">
        <v>1</v>
      </c>
      <c r="F19598" t="s">
        <v>0</v>
      </c>
      <c r="G19598" t="str">
        <f>"2018-10-14 11:47:34"</f>
        <v>2018-10-14 11:47:34</v>
      </c>
    </row>
    <row r="19599" spans="1:7" x14ac:dyDescent="0.2">
      <c r="A19599" t="s">
        <v>18434</v>
      </c>
      <c r="B19599" t="str">
        <f>"13004442912"</f>
        <v>13004442912</v>
      </c>
      <c r="C19599" t="str">
        <f>"430421198912291323"</f>
        <v>430421198912291323</v>
      </c>
      <c r="D19599" t="s">
        <v>1</v>
      </c>
      <c r="E19599" t="s">
        <v>1</v>
      </c>
      <c r="F19599" t="s">
        <v>0</v>
      </c>
      <c r="G19599" t="str">
        <f>"2018-10-20 20:14:07"</f>
        <v>2018-10-20 20:14:07</v>
      </c>
    </row>
    <row r="19600" spans="1:7" x14ac:dyDescent="0.2">
      <c r="A19600" t="s">
        <v>18435</v>
      </c>
      <c r="B19600" t="str">
        <f>"18314028057"</f>
        <v>18314028057</v>
      </c>
      <c r="C19600" t="str">
        <f>"532529199910300624"</f>
        <v>532529199910300624</v>
      </c>
      <c r="D19600" t="s">
        <v>1</v>
      </c>
      <c r="E19600" t="s">
        <v>1</v>
      </c>
      <c r="F19600" t="s">
        <v>0</v>
      </c>
      <c r="G19600" t="str">
        <f>"2018-10-10 17:58:54"</f>
        <v>2018-10-10 17:58:54</v>
      </c>
    </row>
    <row r="19601" spans="1:7" x14ac:dyDescent="0.2">
      <c r="A19601" t="s">
        <v>18436</v>
      </c>
      <c r="B19601" t="str">
        <f>"15843476488"</f>
        <v>15843476488</v>
      </c>
      <c r="C19601" t="str">
        <f>"22032219930120117X"</f>
        <v>22032219930120117X</v>
      </c>
      <c r="D19601" t="s">
        <v>1</v>
      </c>
      <c r="E19601" t="s">
        <v>1</v>
      </c>
      <c r="F19601" t="s">
        <v>0</v>
      </c>
      <c r="G19601" t="str">
        <f>"2018-10-10 16:29:54"</f>
        <v>2018-10-10 16:29:54</v>
      </c>
    </row>
    <row r="19602" spans="1:7" x14ac:dyDescent="0.2">
      <c r="A19602" t="s">
        <v>18437</v>
      </c>
      <c r="B19602" t="str">
        <f>"13986285120"</f>
        <v>13986285120</v>
      </c>
      <c r="C19602" t="str">
        <f>"42010419911016471X"</f>
        <v>42010419911016471X</v>
      </c>
      <c r="D19602" t="s">
        <v>1</v>
      </c>
      <c r="E19602" t="s">
        <v>1</v>
      </c>
      <c r="F19602" t="s">
        <v>0</v>
      </c>
      <c r="G19602" t="str">
        <f>"2018-10-10 16:53:58"</f>
        <v>2018-10-10 16:53:58</v>
      </c>
    </row>
    <row r="19603" spans="1:7" x14ac:dyDescent="0.2">
      <c r="A19603" t="s">
        <v>1</v>
      </c>
      <c r="B19603" t="str">
        <f>"13181812650"</f>
        <v>13181812650</v>
      </c>
      <c r="C19603" t="s">
        <v>1</v>
      </c>
      <c r="D19603" t="s">
        <v>1</v>
      </c>
      <c r="E19603" t="s">
        <v>1</v>
      </c>
      <c r="F19603" t="s">
        <v>0</v>
      </c>
      <c r="G19603" t="str">
        <f>"2018-10-10 16:29:09"</f>
        <v>2018-10-10 16:29:09</v>
      </c>
    </row>
    <row r="19604" spans="1:7" x14ac:dyDescent="0.2">
      <c r="A19604" t="s">
        <v>1</v>
      </c>
      <c r="B19604" t="str">
        <f>"13157315694"</f>
        <v>13157315694</v>
      </c>
      <c r="C19604" t="s">
        <v>1</v>
      </c>
      <c r="D19604" t="s">
        <v>1</v>
      </c>
      <c r="E19604" t="s">
        <v>1</v>
      </c>
      <c r="F19604" t="s">
        <v>0</v>
      </c>
      <c r="G19604" t="str">
        <f>"2018-10-10 16:27:54"</f>
        <v>2018-10-10 16:27:54</v>
      </c>
    </row>
    <row r="19605" spans="1:7" x14ac:dyDescent="0.2">
      <c r="A19605" t="s">
        <v>18438</v>
      </c>
      <c r="B19605" t="str">
        <f>"17817720020"</f>
        <v>17817720020</v>
      </c>
      <c r="C19605" t="str">
        <f>"41048219920202673X"</f>
        <v>41048219920202673X</v>
      </c>
      <c r="D19605" t="s">
        <v>1</v>
      </c>
      <c r="E19605" t="s">
        <v>1</v>
      </c>
      <c r="F19605" t="s">
        <v>0</v>
      </c>
      <c r="G19605" t="str">
        <f>"2018-10-10 16:28:34"</f>
        <v>2018-10-10 16:28:34</v>
      </c>
    </row>
    <row r="19606" spans="1:7" x14ac:dyDescent="0.2">
      <c r="A19606" t="s">
        <v>18439</v>
      </c>
      <c r="B19606" t="str">
        <f>"13461598666"</f>
        <v>13461598666</v>
      </c>
      <c r="C19606" t="str">
        <f>"411102197004220535"</f>
        <v>411102197004220535</v>
      </c>
      <c r="D19606" t="s">
        <v>1</v>
      </c>
      <c r="E19606" t="s">
        <v>1</v>
      </c>
      <c r="F19606" t="s">
        <v>0</v>
      </c>
      <c r="G19606" t="str">
        <f>"2018-10-10 16:30:03"</f>
        <v>2018-10-10 16:30:03</v>
      </c>
    </row>
    <row r="19607" spans="1:7" x14ac:dyDescent="0.2">
      <c r="A19607" t="s">
        <v>18440</v>
      </c>
      <c r="B19607" t="str">
        <f>"13654760901"</f>
        <v>13654760901</v>
      </c>
      <c r="C19607" t="str">
        <f>"15042219930107004X"</f>
        <v>15042219930107004X</v>
      </c>
      <c r="D19607" t="s">
        <v>1</v>
      </c>
      <c r="E19607" t="s">
        <v>1</v>
      </c>
      <c r="F19607" t="s">
        <v>0</v>
      </c>
      <c r="G19607" t="str">
        <f>"2018-10-10 16:28:58"</f>
        <v>2018-10-10 16:28:58</v>
      </c>
    </row>
    <row r="19608" spans="1:7" x14ac:dyDescent="0.2">
      <c r="A19608" t="s">
        <v>18441</v>
      </c>
      <c r="B19608" t="str">
        <f>"15827724631"</f>
        <v>15827724631</v>
      </c>
      <c r="C19608" t="str">
        <f>"522426199907163626"</f>
        <v>522426199907163626</v>
      </c>
      <c r="D19608" t="s">
        <v>1</v>
      </c>
      <c r="E19608" t="s">
        <v>1</v>
      </c>
      <c r="F19608" t="s">
        <v>0</v>
      </c>
      <c r="G19608" t="str">
        <f>"2018-10-24 16:08:33"</f>
        <v>2018-10-24 16:08:33</v>
      </c>
    </row>
    <row r="19609" spans="1:7" x14ac:dyDescent="0.2">
      <c r="A19609" t="s">
        <v>18442</v>
      </c>
      <c r="B19609" t="str">
        <f>"13877926616"</f>
        <v>13877926616</v>
      </c>
      <c r="C19609" t="str">
        <f>"450521199407260511"</f>
        <v>450521199407260511</v>
      </c>
      <c r="D19609" t="s">
        <v>1</v>
      </c>
      <c r="E19609" t="s">
        <v>1</v>
      </c>
      <c r="F19609" t="s">
        <v>0</v>
      </c>
      <c r="G19609" t="str">
        <f>"2018-10-10 16:29:06"</f>
        <v>2018-10-10 16:29:06</v>
      </c>
    </row>
    <row r="19610" spans="1:7" x14ac:dyDescent="0.2">
      <c r="A19610" t="s">
        <v>18443</v>
      </c>
      <c r="B19610" t="str">
        <f>"17380605931"</f>
        <v>17380605931</v>
      </c>
      <c r="C19610" t="str">
        <f>"511102198508133425"</f>
        <v>511102198508133425</v>
      </c>
      <c r="D19610" t="s">
        <v>1</v>
      </c>
      <c r="E19610" t="s">
        <v>1</v>
      </c>
      <c r="F19610" t="s">
        <v>0</v>
      </c>
      <c r="G19610" t="str">
        <f>"2018-10-28 09:07:16"</f>
        <v>2018-10-28 09:07:16</v>
      </c>
    </row>
    <row r="19611" spans="1:7" x14ac:dyDescent="0.2">
      <c r="A19611" t="s">
        <v>18444</v>
      </c>
      <c r="B19611" t="str">
        <f>"13687712465"</f>
        <v>13687712465</v>
      </c>
      <c r="C19611" t="str">
        <f>"452625198408013350"</f>
        <v>452625198408013350</v>
      </c>
      <c r="D19611" t="s">
        <v>1</v>
      </c>
      <c r="E19611" t="s">
        <v>1</v>
      </c>
      <c r="F19611" t="s">
        <v>0</v>
      </c>
      <c r="G19611" t="str">
        <f>"2018-10-10 16:40:52"</f>
        <v>2018-10-10 16:40:52</v>
      </c>
    </row>
    <row r="19612" spans="1:7" x14ac:dyDescent="0.2">
      <c r="A19612" t="s">
        <v>18445</v>
      </c>
      <c r="B19612" t="str">
        <f>"15902124552"</f>
        <v>15902124552</v>
      </c>
      <c r="C19612" t="str">
        <f>"513721198903174597"</f>
        <v>513721198903174597</v>
      </c>
      <c r="D19612" t="s">
        <v>1</v>
      </c>
      <c r="E19612" t="s">
        <v>1</v>
      </c>
      <c r="F19612" t="s">
        <v>0</v>
      </c>
      <c r="G19612" t="str">
        <f>"2018-10-10 16:28:44"</f>
        <v>2018-10-10 16:28:44</v>
      </c>
    </row>
    <row r="19613" spans="1:7" x14ac:dyDescent="0.2">
      <c r="A19613" t="s">
        <v>18446</v>
      </c>
      <c r="B19613" t="str">
        <f>"15925499383"</f>
        <v>15925499383</v>
      </c>
      <c r="C19613" t="str">
        <f>"533524198711110021"</f>
        <v>533524198711110021</v>
      </c>
      <c r="D19613" t="s">
        <v>1</v>
      </c>
      <c r="E19613" t="s">
        <v>1</v>
      </c>
      <c r="F19613" t="s">
        <v>0</v>
      </c>
      <c r="G19613" t="str">
        <f>"2018-10-17 15:07:59"</f>
        <v>2018-10-17 15:07:59</v>
      </c>
    </row>
    <row r="19614" spans="1:7" x14ac:dyDescent="0.2">
      <c r="A19614" t="s">
        <v>18447</v>
      </c>
      <c r="B19614" t="str">
        <f>"18599059196"</f>
        <v>18599059196</v>
      </c>
      <c r="C19614" t="str">
        <f>"650102199002181707"</f>
        <v>650102199002181707</v>
      </c>
      <c r="D19614" t="s">
        <v>1</v>
      </c>
      <c r="E19614" t="s">
        <v>1</v>
      </c>
      <c r="F19614" t="s">
        <v>0</v>
      </c>
      <c r="G19614" t="str">
        <f>"2018-10-10 16:28:43"</f>
        <v>2018-10-10 16:28:43</v>
      </c>
    </row>
    <row r="19615" spans="1:7" x14ac:dyDescent="0.2">
      <c r="A19615" t="s">
        <v>18448</v>
      </c>
      <c r="B19615" t="str">
        <f>"18663285556"</f>
        <v>18663285556</v>
      </c>
      <c r="C19615" t="str">
        <f>"370402198401281937"</f>
        <v>370402198401281937</v>
      </c>
      <c r="D19615" t="s">
        <v>1</v>
      </c>
      <c r="E19615" t="s">
        <v>1</v>
      </c>
      <c r="F19615" t="s">
        <v>0</v>
      </c>
      <c r="G19615" t="str">
        <f>"2018-10-23 09:49:42"</f>
        <v>2018-10-23 09:49:42</v>
      </c>
    </row>
    <row r="19616" spans="1:7" x14ac:dyDescent="0.2">
      <c r="A19616" t="s">
        <v>18449</v>
      </c>
      <c r="B19616" t="str">
        <f>"15957063580"</f>
        <v>15957063580</v>
      </c>
      <c r="C19616" t="str">
        <f>"330903198411254912"</f>
        <v>330903198411254912</v>
      </c>
      <c r="D19616" t="s">
        <v>1</v>
      </c>
      <c r="E19616" t="s">
        <v>1</v>
      </c>
      <c r="F19616" t="s">
        <v>0</v>
      </c>
      <c r="G19616" t="str">
        <f>"2018-10-10 16:27:16"</f>
        <v>2018-10-10 16:27:16</v>
      </c>
    </row>
    <row r="19617" spans="1:7" x14ac:dyDescent="0.2">
      <c r="A19617" t="s">
        <v>1</v>
      </c>
      <c r="B19617" t="str">
        <f>"15126165693"</f>
        <v>15126165693</v>
      </c>
      <c r="C19617" t="s">
        <v>1</v>
      </c>
      <c r="D19617" t="s">
        <v>1</v>
      </c>
      <c r="E19617" t="s">
        <v>1</v>
      </c>
      <c r="F19617" t="s">
        <v>0</v>
      </c>
      <c r="G19617" t="str">
        <f>"2018-10-10 16:24:58"</f>
        <v>2018-10-10 16:24:58</v>
      </c>
    </row>
    <row r="19618" spans="1:7" x14ac:dyDescent="0.2">
      <c r="A19618" t="s">
        <v>18450</v>
      </c>
      <c r="B19618" t="str">
        <f>"15271927710"</f>
        <v>15271927710</v>
      </c>
      <c r="C19618" t="str">
        <f>"420117199005137551"</f>
        <v>420117199005137551</v>
      </c>
      <c r="D19618" t="s">
        <v>1</v>
      </c>
      <c r="E19618" t="s">
        <v>1</v>
      </c>
      <c r="F19618" t="s">
        <v>0</v>
      </c>
      <c r="G19618" t="str">
        <f>"2018-10-10 16:25:51"</f>
        <v>2018-10-10 16:25:51</v>
      </c>
    </row>
    <row r="19619" spans="1:7" x14ac:dyDescent="0.2">
      <c r="A19619" t="s">
        <v>18451</v>
      </c>
      <c r="B19619" t="str">
        <f>"13598751378"</f>
        <v>13598751378</v>
      </c>
      <c r="C19619" t="str">
        <f>"41020519820801001X"</f>
        <v>41020519820801001X</v>
      </c>
      <c r="D19619" t="s">
        <v>18452</v>
      </c>
      <c r="E19619" t="s">
        <v>18453</v>
      </c>
      <c r="F19619" t="s">
        <v>0</v>
      </c>
      <c r="G19619" t="str">
        <f>"2018-10-10 16:27:40"</f>
        <v>2018-10-10 16:27:40</v>
      </c>
    </row>
    <row r="19620" spans="1:7" x14ac:dyDescent="0.2">
      <c r="A19620" t="s">
        <v>18454</v>
      </c>
      <c r="B19620" t="str">
        <f>"15971640841"</f>
        <v>15971640841</v>
      </c>
      <c r="C19620" t="str">
        <f>"42058320000718001X"</f>
        <v>42058320000718001X</v>
      </c>
      <c r="D19620" t="s">
        <v>1</v>
      </c>
      <c r="E19620" t="s">
        <v>1</v>
      </c>
      <c r="F19620" t="s">
        <v>0</v>
      </c>
      <c r="G19620" t="str">
        <f>"2018-10-10 22:12:32"</f>
        <v>2018-10-10 22:12:32</v>
      </c>
    </row>
    <row r="19621" spans="1:7" x14ac:dyDescent="0.2">
      <c r="A19621" t="s">
        <v>1</v>
      </c>
      <c r="B19621" t="str">
        <f>"15280044430"</f>
        <v>15280044430</v>
      </c>
      <c r="C19621" t="s">
        <v>1</v>
      </c>
      <c r="D19621" t="s">
        <v>1</v>
      </c>
      <c r="E19621" t="s">
        <v>1</v>
      </c>
      <c r="F19621" t="s">
        <v>0</v>
      </c>
      <c r="G19621" t="str">
        <f>"2018-10-10 16:23:38"</f>
        <v>2018-10-10 16:23:38</v>
      </c>
    </row>
    <row r="19622" spans="1:7" x14ac:dyDescent="0.2">
      <c r="A19622" t="s">
        <v>18455</v>
      </c>
      <c r="B19622" t="str">
        <f>"15059761136"</f>
        <v>15059761136</v>
      </c>
      <c r="C19622" t="str">
        <f>"350583199306107142"</f>
        <v>350583199306107142</v>
      </c>
      <c r="D19622" t="s">
        <v>1</v>
      </c>
      <c r="E19622" t="s">
        <v>1</v>
      </c>
      <c r="F19622" t="s">
        <v>0</v>
      </c>
      <c r="G19622" t="str">
        <f>"2018-10-10 16:25:58"</f>
        <v>2018-10-10 16:25:58</v>
      </c>
    </row>
    <row r="19623" spans="1:7" x14ac:dyDescent="0.2">
      <c r="A19623" t="s">
        <v>1</v>
      </c>
      <c r="B19623" t="str">
        <f>"18784791177"</f>
        <v>18784791177</v>
      </c>
      <c r="C19623" t="s">
        <v>1</v>
      </c>
      <c r="D19623" t="s">
        <v>1</v>
      </c>
      <c r="E19623" t="s">
        <v>1</v>
      </c>
      <c r="F19623" t="s">
        <v>0</v>
      </c>
      <c r="G19623" t="str">
        <f>"2018-10-10 16:23:31"</f>
        <v>2018-10-10 16:23:31</v>
      </c>
    </row>
    <row r="19624" spans="1:7" x14ac:dyDescent="0.2">
      <c r="A19624" t="s">
        <v>1</v>
      </c>
      <c r="B19624" t="str">
        <f>"18647626733"</f>
        <v>18647626733</v>
      </c>
      <c r="C19624" t="s">
        <v>1</v>
      </c>
      <c r="D19624" t="s">
        <v>1</v>
      </c>
      <c r="E19624" t="s">
        <v>1</v>
      </c>
      <c r="F19624" t="s">
        <v>0</v>
      </c>
      <c r="G19624" t="str">
        <f>"2018-10-10 16:24:32"</f>
        <v>2018-10-10 16:24:32</v>
      </c>
    </row>
    <row r="19625" spans="1:7" x14ac:dyDescent="0.2">
      <c r="A19625" t="s">
        <v>1</v>
      </c>
      <c r="B19625" t="str">
        <f>"15730961126"</f>
        <v>15730961126</v>
      </c>
      <c r="C19625" t="s">
        <v>1</v>
      </c>
      <c r="D19625" t="s">
        <v>1</v>
      </c>
      <c r="E19625" t="s">
        <v>1</v>
      </c>
      <c r="F19625" t="s">
        <v>0</v>
      </c>
      <c r="G19625" t="str">
        <f>"2018-10-10 16:22:56"</f>
        <v>2018-10-10 16:22:56</v>
      </c>
    </row>
    <row r="19626" spans="1:7" x14ac:dyDescent="0.2">
      <c r="A19626" t="s">
        <v>1</v>
      </c>
      <c r="B19626" t="str">
        <f>"13632783990"</f>
        <v>13632783990</v>
      </c>
      <c r="C19626" t="s">
        <v>1</v>
      </c>
      <c r="D19626" t="s">
        <v>1</v>
      </c>
      <c r="E19626" t="s">
        <v>1</v>
      </c>
      <c r="F19626" t="s">
        <v>0</v>
      </c>
      <c r="G19626" t="str">
        <f>"2018-10-10 16:23:43"</f>
        <v>2018-10-10 16:23:43</v>
      </c>
    </row>
    <row r="19627" spans="1:7" x14ac:dyDescent="0.2">
      <c r="A19627" t="s">
        <v>1</v>
      </c>
      <c r="B19627" t="str">
        <f>"18782283810"</f>
        <v>18782283810</v>
      </c>
      <c r="C19627" t="s">
        <v>1</v>
      </c>
      <c r="D19627" t="s">
        <v>1</v>
      </c>
      <c r="E19627" t="s">
        <v>1</v>
      </c>
      <c r="F19627" t="s">
        <v>0</v>
      </c>
      <c r="G19627" t="str">
        <f>"2018-10-10 16:21:15"</f>
        <v>2018-10-10 16:21:15</v>
      </c>
    </row>
    <row r="19628" spans="1:7" x14ac:dyDescent="0.2">
      <c r="A19628" t="s">
        <v>1</v>
      </c>
      <c r="B19628" t="str">
        <f>"13550362489"</f>
        <v>13550362489</v>
      </c>
      <c r="C19628" t="s">
        <v>1</v>
      </c>
      <c r="D19628" t="s">
        <v>1</v>
      </c>
      <c r="E19628" t="s">
        <v>1</v>
      </c>
      <c r="F19628" t="s">
        <v>0</v>
      </c>
      <c r="G19628" t="str">
        <f>"2018-10-10 16:40:36"</f>
        <v>2018-10-10 16:40:36</v>
      </c>
    </row>
    <row r="19629" spans="1:7" x14ac:dyDescent="0.2">
      <c r="A19629" t="s">
        <v>18456</v>
      </c>
      <c r="B19629" t="str">
        <f>"13735840214"</f>
        <v>13735840214</v>
      </c>
      <c r="C19629" t="str">
        <f>"330124199303143118"</f>
        <v>330124199303143118</v>
      </c>
      <c r="D19629" t="s">
        <v>18457</v>
      </c>
      <c r="E19629" t="s">
        <v>18458</v>
      </c>
      <c r="F19629" t="s">
        <v>0</v>
      </c>
      <c r="G19629" t="str">
        <f>"2018-10-10 16:21:58"</f>
        <v>2018-10-10 16:21:58</v>
      </c>
    </row>
    <row r="19630" spans="1:7" x14ac:dyDescent="0.2">
      <c r="A19630" t="s">
        <v>1</v>
      </c>
      <c r="B19630" t="str">
        <f>"13799657666"</f>
        <v>13799657666</v>
      </c>
      <c r="C19630" t="s">
        <v>1</v>
      </c>
      <c r="D19630" t="s">
        <v>1</v>
      </c>
      <c r="E19630" t="s">
        <v>1</v>
      </c>
      <c r="F19630" t="s">
        <v>0</v>
      </c>
      <c r="G19630" t="str">
        <f>"2018-10-10 16:20:16"</f>
        <v>2018-10-10 16:20:16</v>
      </c>
    </row>
    <row r="19631" spans="1:7" x14ac:dyDescent="0.2">
      <c r="A19631" t="s">
        <v>1</v>
      </c>
      <c r="B19631" t="str">
        <f>"18641883820"</f>
        <v>18641883820</v>
      </c>
      <c r="C19631" t="s">
        <v>1</v>
      </c>
      <c r="D19631" t="s">
        <v>1</v>
      </c>
      <c r="E19631" t="s">
        <v>1</v>
      </c>
      <c r="F19631" t="s">
        <v>0</v>
      </c>
      <c r="G19631" t="str">
        <f>"2018-10-10 16:19:57"</f>
        <v>2018-10-10 16:19:57</v>
      </c>
    </row>
    <row r="19632" spans="1:7" x14ac:dyDescent="0.2">
      <c r="A19632" t="s">
        <v>18459</v>
      </c>
      <c r="B19632" t="str">
        <f>"15227581997"</f>
        <v>15227581997</v>
      </c>
      <c r="C19632" t="str">
        <f>"130982199711239629"</f>
        <v>130982199711239629</v>
      </c>
      <c r="D19632" t="s">
        <v>1</v>
      </c>
      <c r="E19632" t="s">
        <v>1</v>
      </c>
      <c r="F19632" t="s">
        <v>0</v>
      </c>
      <c r="G19632" t="str">
        <f>"2018-10-10 16:20:07"</f>
        <v>2018-10-10 16:20:07</v>
      </c>
    </row>
    <row r="19633" spans="1:7" x14ac:dyDescent="0.2">
      <c r="A19633" t="s">
        <v>18460</v>
      </c>
      <c r="B19633" t="str">
        <f>"15295335142"</f>
        <v>15295335142</v>
      </c>
      <c r="C19633" t="str">
        <f>"320923198901204516"</f>
        <v>320923198901204516</v>
      </c>
      <c r="D19633" t="s">
        <v>1</v>
      </c>
      <c r="E19633" t="s">
        <v>1</v>
      </c>
      <c r="F19633" t="s">
        <v>0</v>
      </c>
      <c r="G19633" t="str">
        <f>"2018-10-18 14:48:01"</f>
        <v>2018-10-18 14:48:01</v>
      </c>
    </row>
    <row r="19634" spans="1:7" x14ac:dyDescent="0.2">
      <c r="A19634" t="s">
        <v>1</v>
      </c>
      <c r="B19634" t="str">
        <f>"13216284316"</f>
        <v>13216284316</v>
      </c>
      <c r="C19634" t="s">
        <v>1</v>
      </c>
      <c r="D19634" t="s">
        <v>1</v>
      </c>
      <c r="E19634" t="s">
        <v>1</v>
      </c>
      <c r="F19634" t="s">
        <v>0</v>
      </c>
      <c r="G19634" t="str">
        <f>"2018-10-10 16:18:35"</f>
        <v>2018-10-10 16:18:35</v>
      </c>
    </row>
    <row r="19635" spans="1:7" x14ac:dyDescent="0.2">
      <c r="A19635" t="s">
        <v>1</v>
      </c>
      <c r="B19635" t="str">
        <f>"13257789014"</f>
        <v>13257789014</v>
      </c>
      <c r="C19635" t="s">
        <v>1</v>
      </c>
      <c r="D19635" t="s">
        <v>1</v>
      </c>
      <c r="E19635" t="s">
        <v>1</v>
      </c>
      <c r="F19635" t="s">
        <v>0</v>
      </c>
      <c r="G19635" t="str">
        <f>"2018-10-10 16:18:26"</f>
        <v>2018-10-10 16:18:26</v>
      </c>
    </row>
    <row r="19636" spans="1:7" x14ac:dyDescent="0.2">
      <c r="A19636" t="s">
        <v>18461</v>
      </c>
      <c r="B19636" t="str">
        <f>"18806020585"</f>
        <v>18806020585</v>
      </c>
      <c r="C19636" t="str">
        <f>"350428200003010031"</f>
        <v>350428200003010031</v>
      </c>
      <c r="D19636" t="s">
        <v>1</v>
      </c>
      <c r="E19636" t="s">
        <v>1</v>
      </c>
      <c r="F19636" t="s">
        <v>0</v>
      </c>
      <c r="G19636" t="str">
        <f>"2018-10-10 17:09:07"</f>
        <v>2018-10-10 17:09:07</v>
      </c>
    </row>
    <row r="19637" spans="1:7" x14ac:dyDescent="0.2">
      <c r="A19637" t="s">
        <v>1</v>
      </c>
      <c r="B19637" t="str">
        <f>"15547210086"</f>
        <v>15547210086</v>
      </c>
      <c r="C19637" t="s">
        <v>1</v>
      </c>
      <c r="D19637" t="s">
        <v>1</v>
      </c>
      <c r="E19637" t="s">
        <v>1</v>
      </c>
      <c r="F19637" t="s">
        <v>0</v>
      </c>
      <c r="G19637" t="str">
        <f>"2018-10-10 16:19:02"</f>
        <v>2018-10-10 16:19:02</v>
      </c>
    </row>
    <row r="19638" spans="1:7" x14ac:dyDescent="0.2">
      <c r="A19638" t="s">
        <v>18462</v>
      </c>
      <c r="B19638" t="str">
        <f>"18271711555"</f>
        <v>18271711555</v>
      </c>
      <c r="C19638" t="str">
        <f>"422828198107084731"</f>
        <v>422828198107084731</v>
      </c>
      <c r="D19638" t="s">
        <v>1</v>
      </c>
      <c r="E19638" t="s">
        <v>1</v>
      </c>
      <c r="F19638" t="s">
        <v>0</v>
      </c>
      <c r="G19638" t="str">
        <f>"2018-10-10 16:18:26"</f>
        <v>2018-10-10 16:18:26</v>
      </c>
    </row>
    <row r="19639" spans="1:7" x14ac:dyDescent="0.2">
      <c r="A19639" t="s">
        <v>18463</v>
      </c>
      <c r="B19639" t="str">
        <f>"18839252989"</f>
        <v>18839252989</v>
      </c>
      <c r="C19639" t="str">
        <f>"410621197806070028"</f>
        <v>410621197806070028</v>
      </c>
      <c r="D19639" t="s">
        <v>1</v>
      </c>
      <c r="E19639" t="s">
        <v>1</v>
      </c>
      <c r="F19639" t="s">
        <v>0</v>
      </c>
      <c r="G19639" t="str">
        <f>"2018-10-10 17:10:43"</f>
        <v>2018-10-10 17:10:43</v>
      </c>
    </row>
    <row r="19640" spans="1:7" x14ac:dyDescent="0.2">
      <c r="A19640" t="s">
        <v>1</v>
      </c>
      <c r="B19640" t="str">
        <f>"18626338598"</f>
        <v>18626338598</v>
      </c>
      <c r="C19640" t="s">
        <v>1</v>
      </c>
      <c r="D19640" t="s">
        <v>1</v>
      </c>
      <c r="E19640" t="s">
        <v>1</v>
      </c>
      <c r="F19640" t="s">
        <v>0</v>
      </c>
      <c r="G19640" t="str">
        <f>"2018-10-10 16:16:54"</f>
        <v>2018-10-10 16:16:54</v>
      </c>
    </row>
    <row r="19641" spans="1:7" x14ac:dyDescent="0.2">
      <c r="A19641" t="s">
        <v>18464</v>
      </c>
      <c r="B19641" t="str">
        <f>"13634003721"</f>
        <v>13634003721</v>
      </c>
      <c r="C19641" t="str">
        <f>"433130199612067511"</f>
        <v>433130199612067511</v>
      </c>
      <c r="D19641" t="s">
        <v>1</v>
      </c>
      <c r="E19641" t="s">
        <v>1</v>
      </c>
      <c r="F19641" t="s">
        <v>0</v>
      </c>
      <c r="G19641" t="str">
        <f>"2018-10-10 16:17:13"</f>
        <v>2018-10-10 16:17:13</v>
      </c>
    </row>
    <row r="19642" spans="1:7" x14ac:dyDescent="0.2">
      <c r="A19642" t="s">
        <v>18465</v>
      </c>
      <c r="B19642" t="str">
        <f>"18770797555"</f>
        <v>18770797555</v>
      </c>
      <c r="C19642" t="str">
        <f>"362202198103312319"</f>
        <v>362202198103312319</v>
      </c>
      <c r="D19642" t="s">
        <v>1</v>
      </c>
      <c r="E19642" t="s">
        <v>1</v>
      </c>
      <c r="F19642" t="s">
        <v>0</v>
      </c>
      <c r="G19642" t="str">
        <f>"2018-10-10 16:17:17"</f>
        <v>2018-10-10 16:17:17</v>
      </c>
    </row>
    <row r="19643" spans="1:7" x14ac:dyDescent="0.2">
      <c r="A19643" t="s">
        <v>18466</v>
      </c>
      <c r="B19643" t="str">
        <f>"18595653008"</f>
        <v>18595653008</v>
      </c>
      <c r="C19643" t="str">
        <f>"410183199407069514"</f>
        <v>410183199407069514</v>
      </c>
      <c r="D19643" t="s">
        <v>1</v>
      </c>
      <c r="E19643" t="s">
        <v>1</v>
      </c>
      <c r="F19643" t="s">
        <v>0</v>
      </c>
      <c r="G19643" t="str">
        <f>"2018-10-10 16:16:54"</f>
        <v>2018-10-10 16:16:54</v>
      </c>
    </row>
    <row r="19644" spans="1:7" x14ac:dyDescent="0.2">
      <c r="A19644" t="s">
        <v>18467</v>
      </c>
      <c r="B19644" t="str">
        <f>"13502648757"</f>
        <v>13502648757</v>
      </c>
      <c r="C19644" t="str">
        <f>"441624198204284440"</f>
        <v>441624198204284440</v>
      </c>
      <c r="D19644" t="s">
        <v>1</v>
      </c>
      <c r="E19644" t="s">
        <v>1</v>
      </c>
      <c r="F19644" t="s">
        <v>0</v>
      </c>
      <c r="G19644" t="str">
        <f>"2018-10-10 18:06:18"</f>
        <v>2018-10-10 18:06:18</v>
      </c>
    </row>
    <row r="19645" spans="1:7" x14ac:dyDescent="0.2">
      <c r="A19645" t="s">
        <v>1</v>
      </c>
      <c r="B19645" t="str">
        <f>"15173147495"</f>
        <v>15173147495</v>
      </c>
      <c r="C19645" t="s">
        <v>1</v>
      </c>
      <c r="D19645" t="s">
        <v>1</v>
      </c>
      <c r="E19645" t="s">
        <v>1</v>
      </c>
      <c r="F19645" t="s">
        <v>0</v>
      </c>
      <c r="G19645" t="str">
        <f>"2018-10-10 16:14:48"</f>
        <v>2018-10-10 16:14:48</v>
      </c>
    </row>
    <row r="19646" spans="1:7" x14ac:dyDescent="0.2">
      <c r="A19646" t="s">
        <v>18468</v>
      </c>
      <c r="B19646" t="str">
        <f>"15252939793"</f>
        <v>15252939793</v>
      </c>
      <c r="C19646" t="str">
        <f>"321181198606011827"</f>
        <v>321181198606011827</v>
      </c>
      <c r="D19646" t="s">
        <v>1</v>
      </c>
      <c r="E19646" t="s">
        <v>1</v>
      </c>
      <c r="F19646" t="s">
        <v>0</v>
      </c>
      <c r="G19646" t="str">
        <f>"2018-10-10 16:17:08"</f>
        <v>2018-10-10 16:17:08</v>
      </c>
    </row>
    <row r="19647" spans="1:7" x14ac:dyDescent="0.2">
      <c r="A19647" t="s">
        <v>1</v>
      </c>
      <c r="B19647" t="str">
        <f>"13601622702"</f>
        <v>13601622702</v>
      </c>
      <c r="C19647" t="s">
        <v>1</v>
      </c>
      <c r="D19647" t="s">
        <v>1</v>
      </c>
      <c r="E19647" t="s">
        <v>1</v>
      </c>
      <c r="F19647" t="s">
        <v>0</v>
      </c>
      <c r="G19647" t="str">
        <f>"2018-10-10 16:14:12"</f>
        <v>2018-10-10 16:14:12</v>
      </c>
    </row>
    <row r="19648" spans="1:7" x14ac:dyDescent="0.2">
      <c r="A19648" t="s">
        <v>18469</v>
      </c>
      <c r="B19648" t="str">
        <f>"18702706954"</f>
        <v>18702706954</v>
      </c>
      <c r="C19648" t="str">
        <f>"420117198910256310"</f>
        <v>420117198910256310</v>
      </c>
      <c r="D19648" t="s">
        <v>1</v>
      </c>
      <c r="E19648" t="s">
        <v>1</v>
      </c>
      <c r="F19648" t="s">
        <v>0</v>
      </c>
      <c r="G19648" t="str">
        <f>"2018-10-10 16:15:38"</f>
        <v>2018-10-10 16:15:38</v>
      </c>
    </row>
    <row r="19649" spans="1:7" x14ac:dyDescent="0.2">
      <c r="A19649" t="s">
        <v>18470</v>
      </c>
      <c r="B19649" t="str">
        <f>"13539288456"</f>
        <v>13539288456</v>
      </c>
      <c r="C19649" t="str">
        <f>"44528119911208121X"</f>
        <v>44528119911208121X</v>
      </c>
      <c r="D19649" t="s">
        <v>1</v>
      </c>
      <c r="E19649" t="s">
        <v>1</v>
      </c>
      <c r="F19649" t="s">
        <v>0</v>
      </c>
      <c r="G19649" t="str">
        <f>"2018-10-10 16:13:43"</f>
        <v>2018-10-10 16:13:43</v>
      </c>
    </row>
    <row r="19650" spans="1:7" x14ac:dyDescent="0.2">
      <c r="A19650" t="s">
        <v>18471</v>
      </c>
      <c r="B19650" t="str">
        <f>"18260210577"</f>
        <v>18260210577</v>
      </c>
      <c r="C19650" t="str">
        <f>"320582198410280838"</f>
        <v>320582198410280838</v>
      </c>
      <c r="D19650" t="s">
        <v>1</v>
      </c>
      <c r="E19650" t="s">
        <v>1</v>
      </c>
      <c r="F19650" t="s">
        <v>0</v>
      </c>
      <c r="G19650" t="str">
        <f>"2018-10-10 16:15:13"</f>
        <v>2018-10-10 16:15:13</v>
      </c>
    </row>
    <row r="19651" spans="1:7" x14ac:dyDescent="0.2">
      <c r="A19651" t="s">
        <v>18472</v>
      </c>
      <c r="B19651" t="str">
        <f>"13885643579"</f>
        <v>13885643579</v>
      </c>
      <c r="C19651" t="str">
        <f>"522225199208108778"</f>
        <v>522225199208108778</v>
      </c>
      <c r="D19651" t="s">
        <v>1</v>
      </c>
      <c r="E19651" t="s">
        <v>1</v>
      </c>
      <c r="F19651" t="s">
        <v>0</v>
      </c>
      <c r="G19651" t="str">
        <f>"2018-10-10 16:16:30"</f>
        <v>2018-10-10 16:16:30</v>
      </c>
    </row>
    <row r="19652" spans="1:7" x14ac:dyDescent="0.2">
      <c r="A19652" t="s">
        <v>1</v>
      </c>
      <c r="B19652" t="str">
        <f>"15678036441"</f>
        <v>15678036441</v>
      </c>
      <c r="C19652" t="s">
        <v>1</v>
      </c>
      <c r="D19652" t="s">
        <v>1</v>
      </c>
      <c r="E19652" t="s">
        <v>1</v>
      </c>
      <c r="F19652" t="s">
        <v>0</v>
      </c>
      <c r="G19652" t="str">
        <f>"2018-10-10 16:13:03"</f>
        <v>2018-10-10 16:13:03</v>
      </c>
    </row>
    <row r="19653" spans="1:7" x14ac:dyDescent="0.2">
      <c r="A19653" t="s">
        <v>18473</v>
      </c>
      <c r="B19653" t="str">
        <f>"15008328157"</f>
        <v>15008328157</v>
      </c>
      <c r="C19653" t="str">
        <f>"510623199002260518"</f>
        <v>510623199002260518</v>
      </c>
      <c r="D19653" t="s">
        <v>1</v>
      </c>
      <c r="E19653" t="s">
        <v>1</v>
      </c>
      <c r="F19653" t="s">
        <v>0</v>
      </c>
      <c r="G19653" t="str">
        <f>"2018-10-10 16:24:53"</f>
        <v>2018-10-10 16:24:53</v>
      </c>
    </row>
    <row r="19654" spans="1:7" x14ac:dyDescent="0.2">
      <c r="A19654" t="s">
        <v>12794</v>
      </c>
      <c r="B19654" t="str">
        <f>"18093768882"</f>
        <v>18093768882</v>
      </c>
      <c r="C19654" t="str">
        <f>"620102198204124313"</f>
        <v>620102198204124313</v>
      </c>
      <c r="D19654" t="s">
        <v>1</v>
      </c>
      <c r="E19654" t="s">
        <v>1</v>
      </c>
      <c r="F19654" t="s">
        <v>0</v>
      </c>
      <c r="G19654" t="str">
        <f>"2018-10-20 10:17:21"</f>
        <v>2018-10-20 10:17:21</v>
      </c>
    </row>
    <row r="19655" spans="1:7" x14ac:dyDescent="0.2">
      <c r="A19655" t="s">
        <v>310</v>
      </c>
      <c r="B19655" t="str">
        <f>"18148482078"</f>
        <v>18148482078</v>
      </c>
      <c r="C19655" t="str">
        <f>"513623198101160035"</f>
        <v>513623198101160035</v>
      </c>
      <c r="D19655" t="s">
        <v>1</v>
      </c>
      <c r="E19655" t="s">
        <v>1</v>
      </c>
      <c r="F19655" t="s">
        <v>0</v>
      </c>
      <c r="G19655" t="str">
        <f>"2018-10-10 16:25:20"</f>
        <v>2018-10-10 16:25:20</v>
      </c>
    </row>
    <row r="19656" spans="1:7" x14ac:dyDescent="0.2">
      <c r="A19656" t="s">
        <v>1</v>
      </c>
      <c r="B19656" t="str">
        <f>"18011907763"</f>
        <v>18011907763</v>
      </c>
      <c r="C19656" t="s">
        <v>1</v>
      </c>
      <c r="D19656" t="s">
        <v>1</v>
      </c>
      <c r="E19656" t="s">
        <v>1</v>
      </c>
      <c r="F19656" t="s">
        <v>0</v>
      </c>
      <c r="G19656" t="str">
        <f>"2018-10-10 16:11:27"</f>
        <v>2018-10-10 16:11:27</v>
      </c>
    </row>
    <row r="19657" spans="1:7" x14ac:dyDescent="0.2">
      <c r="A19657" t="s">
        <v>18474</v>
      </c>
      <c r="B19657" t="str">
        <f>"15905435345"</f>
        <v>15905435345</v>
      </c>
      <c r="C19657" t="str">
        <f>"37232419870221031X"</f>
        <v>37232419870221031X</v>
      </c>
      <c r="D19657" t="s">
        <v>1</v>
      </c>
      <c r="E19657" t="s">
        <v>1</v>
      </c>
      <c r="F19657" t="s">
        <v>0</v>
      </c>
      <c r="G19657" t="str">
        <f>"2018-10-10 16:13:29"</f>
        <v>2018-10-10 16:13:29</v>
      </c>
    </row>
    <row r="19658" spans="1:7" x14ac:dyDescent="0.2">
      <c r="A19658" t="s">
        <v>18475</v>
      </c>
      <c r="B19658" t="str">
        <f>"13973258634"</f>
        <v>13973258634</v>
      </c>
      <c r="C19658" t="str">
        <f>"430321198612040789"</f>
        <v>430321198612040789</v>
      </c>
      <c r="D19658" t="s">
        <v>1</v>
      </c>
      <c r="E19658" t="s">
        <v>1</v>
      </c>
      <c r="F19658" t="s">
        <v>0</v>
      </c>
      <c r="G19658" t="str">
        <f>"2018-10-10 16:31:25"</f>
        <v>2018-10-10 16:31:25</v>
      </c>
    </row>
    <row r="19659" spans="1:7" x14ac:dyDescent="0.2">
      <c r="A19659" t="s">
        <v>70</v>
      </c>
      <c r="B19659" t="str">
        <f>"18247595567"</f>
        <v>18247595567</v>
      </c>
      <c r="C19659" t="str">
        <f>"210922199101241549"</f>
        <v>210922199101241549</v>
      </c>
      <c r="D19659" t="s">
        <v>1</v>
      </c>
      <c r="E19659" t="s">
        <v>1</v>
      </c>
      <c r="F19659" t="s">
        <v>0</v>
      </c>
      <c r="G19659" t="str">
        <f>"2018-10-11 18:39:59"</f>
        <v>2018-10-11 18:39:59</v>
      </c>
    </row>
    <row r="19660" spans="1:7" x14ac:dyDescent="0.2">
      <c r="A19660" t="s">
        <v>18476</v>
      </c>
      <c r="B19660" t="str">
        <f>"18804701790"</f>
        <v>18804701790</v>
      </c>
      <c r="C19660" t="str">
        <f>"152128199108180312"</f>
        <v>152128199108180312</v>
      </c>
      <c r="D19660" t="s">
        <v>18477</v>
      </c>
      <c r="E19660" t="s">
        <v>18478</v>
      </c>
      <c r="F19660" t="s">
        <v>0</v>
      </c>
      <c r="G19660" t="str">
        <f>"2018-10-10 16:12:37"</f>
        <v>2018-10-10 16:12:37</v>
      </c>
    </row>
    <row r="19661" spans="1:7" x14ac:dyDescent="0.2">
      <c r="A19661" t="s">
        <v>18479</v>
      </c>
      <c r="B19661" t="str">
        <f>"18719033780"</f>
        <v>18719033780</v>
      </c>
      <c r="C19661" t="str">
        <f>"440982199710102770"</f>
        <v>440982199710102770</v>
      </c>
      <c r="D19661" t="s">
        <v>1</v>
      </c>
      <c r="E19661" t="s">
        <v>1</v>
      </c>
      <c r="F19661" t="s">
        <v>0</v>
      </c>
      <c r="G19661" t="str">
        <f>"2018-10-10 16:33:48"</f>
        <v>2018-10-10 16:33:48</v>
      </c>
    </row>
    <row r="19662" spans="1:7" x14ac:dyDescent="0.2">
      <c r="A19662" t="s">
        <v>1</v>
      </c>
      <c r="B19662" t="str">
        <f>"13175475543"</f>
        <v>13175475543</v>
      </c>
      <c r="C19662" t="s">
        <v>1</v>
      </c>
      <c r="D19662" t="s">
        <v>1</v>
      </c>
      <c r="E19662" t="s">
        <v>1</v>
      </c>
      <c r="F19662" t="s">
        <v>0</v>
      </c>
      <c r="G19662" t="str">
        <f>"2018-10-10 16:10:30"</f>
        <v>2018-10-10 16:10:30</v>
      </c>
    </row>
    <row r="19663" spans="1:7" x14ac:dyDescent="0.2">
      <c r="A19663" t="s">
        <v>1</v>
      </c>
      <c r="B19663" t="str">
        <f>"15677389754"</f>
        <v>15677389754</v>
      </c>
      <c r="C19663" t="s">
        <v>1</v>
      </c>
      <c r="D19663" t="s">
        <v>1</v>
      </c>
      <c r="E19663" t="s">
        <v>1</v>
      </c>
      <c r="F19663" t="s">
        <v>0</v>
      </c>
      <c r="G19663" t="str">
        <f>"2018-10-10 16:10:11"</f>
        <v>2018-10-10 16:10:11</v>
      </c>
    </row>
    <row r="19664" spans="1:7" x14ac:dyDescent="0.2">
      <c r="A19664" t="s">
        <v>18480</v>
      </c>
      <c r="B19664" t="str">
        <f>"13633117109"</f>
        <v>13633117109</v>
      </c>
      <c r="C19664" t="str">
        <f>"132337197812242438"</f>
        <v>132337197812242438</v>
      </c>
      <c r="D19664" t="s">
        <v>1</v>
      </c>
      <c r="E19664" t="s">
        <v>1</v>
      </c>
      <c r="F19664" t="s">
        <v>0</v>
      </c>
      <c r="G19664" t="str">
        <f>"2018-10-10 16:12:53"</f>
        <v>2018-10-10 16:12:53</v>
      </c>
    </row>
    <row r="19665" spans="1:7" x14ac:dyDescent="0.2">
      <c r="A19665" t="s">
        <v>1</v>
      </c>
      <c r="B19665" t="str">
        <f>"13106274630"</f>
        <v>13106274630</v>
      </c>
      <c r="C19665" t="s">
        <v>1</v>
      </c>
      <c r="D19665" t="s">
        <v>1</v>
      </c>
      <c r="E19665" t="s">
        <v>1</v>
      </c>
      <c r="F19665" t="s">
        <v>0</v>
      </c>
      <c r="G19665" t="str">
        <f>"2018-10-10 16:09:49"</f>
        <v>2018-10-10 16:09:49</v>
      </c>
    </row>
    <row r="19666" spans="1:7" x14ac:dyDescent="0.2">
      <c r="A19666" t="s">
        <v>1</v>
      </c>
      <c r="B19666" t="str">
        <f>"15695061912"</f>
        <v>15695061912</v>
      </c>
      <c r="C19666" t="s">
        <v>1</v>
      </c>
      <c r="D19666" t="s">
        <v>1</v>
      </c>
      <c r="E19666" t="s">
        <v>1</v>
      </c>
      <c r="F19666" t="s">
        <v>0</v>
      </c>
      <c r="G19666" t="str">
        <f>"2018-10-10 16:18:35"</f>
        <v>2018-10-10 16:18:35</v>
      </c>
    </row>
    <row r="19667" spans="1:7" x14ac:dyDescent="0.2">
      <c r="A19667" t="s">
        <v>18481</v>
      </c>
      <c r="B19667" t="str">
        <f>"13320464321"</f>
        <v>13320464321</v>
      </c>
      <c r="C19667" t="str">
        <f>"530326199105013655"</f>
        <v>530326199105013655</v>
      </c>
      <c r="D19667" t="s">
        <v>18482</v>
      </c>
      <c r="E19667" t="s">
        <v>18483</v>
      </c>
      <c r="F19667" t="s">
        <v>0</v>
      </c>
      <c r="G19667" t="str">
        <f>"2018-10-10 16:10:33"</f>
        <v>2018-10-10 16:10:33</v>
      </c>
    </row>
    <row r="19668" spans="1:7" x14ac:dyDescent="0.2">
      <c r="A19668" t="s">
        <v>18484</v>
      </c>
      <c r="B19668" t="str">
        <f>"13801269303"</f>
        <v>13801269303</v>
      </c>
      <c r="C19668" t="str">
        <f>"110102198209163012"</f>
        <v>110102198209163012</v>
      </c>
      <c r="D19668" t="s">
        <v>18485</v>
      </c>
      <c r="E19668" t="s">
        <v>18486</v>
      </c>
      <c r="F19668" t="s">
        <v>0</v>
      </c>
      <c r="G19668" t="str">
        <f>"2018-10-12 18:04:05"</f>
        <v>2018-10-12 18:04:05</v>
      </c>
    </row>
    <row r="19669" spans="1:7" x14ac:dyDescent="0.2">
      <c r="A19669" t="s">
        <v>18487</v>
      </c>
      <c r="B19669" t="str">
        <f>"15738119358"</f>
        <v>15738119358</v>
      </c>
      <c r="C19669" t="str">
        <f>"411421198807292460"</f>
        <v>411421198807292460</v>
      </c>
      <c r="D19669" t="s">
        <v>1</v>
      </c>
      <c r="E19669" t="s">
        <v>1</v>
      </c>
      <c r="F19669" t="s">
        <v>0</v>
      </c>
      <c r="G19669" t="str">
        <f>"2018-10-25 18:04:55"</f>
        <v>2018-10-25 18:04:55</v>
      </c>
    </row>
    <row r="19670" spans="1:7" x14ac:dyDescent="0.2">
      <c r="A19670" t="s">
        <v>1</v>
      </c>
      <c r="B19670" t="str">
        <f>"13636764261"</f>
        <v>13636764261</v>
      </c>
      <c r="C19670" t="s">
        <v>1</v>
      </c>
      <c r="D19670" t="s">
        <v>1</v>
      </c>
      <c r="E19670" t="s">
        <v>1</v>
      </c>
      <c r="F19670" t="s">
        <v>0</v>
      </c>
      <c r="G19670" t="str">
        <f>"2018-10-10 16:08:08"</f>
        <v>2018-10-10 16:08:08</v>
      </c>
    </row>
    <row r="19671" spans="1:7" x14ac:dyDescent="0.2">
      <c r="A19671" t="s">
        <v>18488</v>
      </c>
      <c r="B19671" t="str">
        <f>"18527308502"</f>
        <v>18527308502</v>
      </c>
      <c r="C19671" t="str">
        <f>"420529198905270043"</f>
        <v>420529198905270043</v>
      </c>
      <c r="D19671" t="s">
        <v>18489</v>
      </c>
      <c r="E19671" t="s">
        <v>18490</v>
      </c>
      <c r="F19671" t="s">
        <v>0</v>
      </c>
      <c r="G19671" t="str">
        <f>"2018-10-10 16:47:52"</f>
        <v>2018-10-10 16:47:52</v>
      </c>
    </row>
    <row r="19672" spans="1:7" x14ac:dyDescent="0.2">
      <c r="A19672" t="s">
        <v>1</v>
      </c>
      <c r="B19672" t="str">
        <f>"18359992731"</f>
        <v>18359992731</v>
      </c>
      <c r="C19672" t="s">
        <v>1</v>
      </c>
      <c r="D19672" t="s">
        <v>1</v>
      </c>
      <c r="E19672" t="s">
        <v>1</v>
      </c>
      <c r="F19672" t="s">
        <v>0</v>
      </c>
      <c r="G19672" t="str">
        <f>"2018-10-10 16:07:54"</f>
        <v>2018-10-10 16:07:54</v>
      </c>
    </row>
    <row r="19673" spans="1:7" x14ac:dyDescent="0.2">
      <c r="A19673" t="s">
        <v>23</v>
      </c>
      <c r="B19673" t="str">
        <f>"15551875717"</f>
        <v>15551875717</v>
      </c>
      <c r="C19673" t="str">
        <f>"341225199007152313"</f>
        <v>341225199007152313</v>
      </c>
      <c r="D19673" t="s">
        <v>1</v>
      </c>
      <c r="E19673" t="s">
        <v>1</v>
      </c>
      <c r="F19673" t="s">
        <v>0</v>
      </c>
      <c r="G19673" t="str">
        <f>"2018-10-23 14:51:47"</f>
        <v>2018-10-23 14:51:47</v>
      </c>
    </row>
    <row r="19674" spans="1:7" x14ac:dyDescent="0.2">
      <c r="A19674" t="s">
        <v>1</v>
      </c>
      <c r="B19674" t="str">
        <f>"13162759580"</f>
        <v>13162759580</v>
      </c>
      <c r="C19674" t="s">
        <v>1</v>
      </c>
      <c r="D19674" t="s">
        <v>1</v>
      </c>
      <c r="E19674" t="s">
        <v>1</v>
      </c>
      <c r="F19674" t="s">
        <v>0</v>
      </c>
      <c r="G19674" t="str">
        <f>"2018-10-10 16:09:43"</f>
        <v>2018-10-10 16:09:43</v>
      </c>
    </row>
    <row r="19675" spans="1:7" x14ac:dyDescent="0.2">
      <c r="A19675" t="s">
        <v>1</v>
      </c>
      <c r="B19675" t="str">
        <f>"13392292119"</f>
        <v>13392292119</v>
      </c>
      <c r="C19675" t="s">
        <v>1</v>
      </c>
      <c r="D19675" t="s">
        <v>1</v>
      </c>
      <c r="E19675" t="s">
        <v>1</v>
      </c>
      <c r="F19675" t="s">
        <v>0</v>
      </c>
      <c r="G19675" t="str">
        <f>"2018-10-10 16:07:25"</f>
        <v>2018-10-10 16:07:25</v>
      </c>
    </row>
    <row r="19676" spans="1:7" x14ac:dyDescent="0.2">
      <c r="A19676" t="s">
        <v>18491</v>
      </c>
      <c r="B19676" t="str">
        <f>"18620415230"</f>
        <v>18620415230</v>
      </c>
      <c r="C19676" t="str">
        <f>"422302198410274932"</f>
        <v>422302198410274932</v>
      </c>
      <c r="D19676" t="s">
        <v>1</v>
      </c>
      <c r="E19676" t="s">
        <v>1</v>
      </c>
      <c r="F19676" t="s">
        <v>0</v>
      </c>
      <c r="G19676" t="str">
        <f>"2018-10-10 16:13:20"</f>
        <v>2018-10-10 16:13:20</v>
      </c>
    </row>
    <row r="19677" spans="1:7" x14ac:dyDescent="0.2">
      <c r="A19677" t="s">
        <v>18492</v>
      </c>
      <c r="B19677" t="str">
        <f>"15130824567"</f>
        <v>15130824567</v>
      </c>
      <c r="C19677" t="str">
        <f>"130131199102191830"</f>
        <v>130131199102191830</v>
      </c>
      <c r="D19677" t="s">
        <v>18493</v>
      </c>
      <c r="E19677" t="s">
        <v>18494</v>
      </c>
      <c r="F19677" t="s">
        <v>0</v>
      </c>
      <c r="G19677" t="str">
        <f>"2018-10-10 16:08:50"</f>
        <v>2018-10-10 16:08:50</v>
      </c>
    </row>
    <row r="19678" spans="1:7" x14ac:dyDescent="0.2">
      <c r="A19678" t="s">
        <v>18495</v>
      </c>
      <c r="B19678" t="str">
        <f>"15146339096"</f>
        <v>15146339096</v>
      </c>
      <c r="C19678" t="str">
        <f>"231002198805010517"</f>
        <v>231002198805010517</v>
      </c>
      <c r="D19678" t="s">
        <v>18496</v>
      </c>
      <c r="E19678" t="s">
        <v>18497</v>
      </c>
      <c r="F19678" t="s">
        <v>0</v>
      </c>
      <c r="G19678" t="str">
        <f>"2018-10-10 16:31:01"</f>
        <v>2018-10-10 16:31:01</v>
      </c>
    </row>
    <row r="19679" spans="1:7" x14ac:dyDescent="0.2">
      <c r="A19679" t="s">
        <v>18498</v>
      </c>
      <c r="B19679" t="str">
        <f>"17741401709"</f>
        <v>17741401709</v>
      </c>
      <c r="C19679" t="str">
        <f>"210522199406170030"</f>
        <v>210522199406170030</v>
      </c>
      <c r="D19679" t="s">
        <v>1</v>
      </c>
      <c r="E19679" t="s">
        <v>1</v>
      </c>
      <c r="F19679" t="s">
        <v>0</v>
      </c>
      <c r="G19679" t="str">
        <f>"2018-10-10 16:08:21"</f>
        <v>2018-10-10 16:08:21</v>
      </c>
    </row>
    <row r="19680" spans="1:7" x14ac:dyDescent="0.2">
      <c r="A19680" t="s">
        <v>18499</v>
      </c>
      <c r="B19680" t="str">
        <f>"15059180651"</f>
        <v>15059180651</v>
      </c>
      <c r="C19680" t="str">
        <f>"350125198911243812"</f>
        <v>350125198911243812</v>
      </c>
      <c r="D19680" t="s">
        <v>1</v>
      </c>
      <c r="E19680" t="s">
        <v>1</v>
      </c>
      <c r="F19680" t="s">
        <v>0</v>
      </c>
      <c r="G19680" t="str">
        <f>"2018-11-02 15:49:49"</f>
        <v>2018-11-02 15:49:49</v>
      </c>
    </row>
    <row r="19681" spans="1:7" x14ac:dyDescent="0.2">
      <c r="A19681" t="s">
        <v>445</v>
      </c>
      <c r="B19681" t="str">
        <f>"13844881318"</f>
        <v>13844881318</v>
      </c>
      <c r="C19681" t="str">
        <f>"220104198804110036"</f>
        <v>220104198804110036</v>
      </c>
      <c r="D19681" t="s">
        <v>1</v>
      </c>
      <c r="E19681" t="s">
        <v>1</v>
      </c>
      <c r="F19681" t="s">
        <v>0</v>
      </c>
      <c r="G19681" t="str">
        <f>"2018-10-20 19:22:40"</f>
        <v>2018-10-20 19:22:40</v>
      </c>
    </row>
    <row r="19682" spans="1:7" x14ac:dyDescent="0.2">
      <c r="A19682" t="s">
        <v>18500</v>
      </c>
      <c r="B19682" t="str">
        <f>"15030900112"</f>
        <v>15030900112</v>
      </c>
      <c r="C19682" t="str">
        <f>"130532198810135040"</f>
        <v>130532198810135040</v>
      </c>
      <c r="D19682" t="s">
        <v>1</v>
      </c>
      <c r="E19682" t="s">
        <v>1</v>
      </c>
      <c r="F19682" t="s">
        <v>0</v>
      </c>
      <c r="G19682" t="str">
        <f>"2018-10-25 12:33:44"</f>
        <v>2018-10-25 12:33:44</v>
      </c>
    </row>
    <row r="19683" spans="1:7" x14ac:dyDescent="0.2">
      <c r="A19683" t="s">
        <v>18501</v>
      </c>
      <c r="B19683" t="str">
        <f>"13755264214"</f>
        <v>13755264214</v>
      </c>
      <c r="C19683" t="str">
        <f>"420115200007120051"</f>
        <v>420115200007120051</v>
      </c>
      <c r="D19683" t="s">
        <v>1</v>
      </c>
      <c r="E19683" t="s">
        <v>1</v>
      </c>
      <c r="F19683" t="s">
        <v>0</v>
      </c>
      <c r="G19683" t="str">
        <f>"2018-10-10 16:06:56"</f>
        <v>2018-10-10 16:06:56</v>
      </c>
    </row>
    <row r="19684" spans="1:7" x14ac:dyDescent="0.2">
      <c r="A19684" t="s">
        <v>1</v>
      </c>
      <c r="B19684" t="str">
        <f>"13624059193"</f>
        <v>13624059193</v>
      </c>
      <c r="C19684" t="s">
        <v>1</v>
      </c>
      <c r="D19684" t="s">
        <v>1</v>
      </c>
      <c r="E19684" t="s">
        <v>1</v>
      </c>
      <c r="F19684" t="s">
        <v>0</v>
      </c>
      <c r="G19684" t="str">
        <f>"2018-10-12 19:07:17"</f>
        <v>2018-10-12 19:07:17</v>
      </c>
    </row>
    <row r="19685" spans="1:7" x14ac:dyDescent="0.2">
      <c r="A19685" t="s">
        <v>18502</v>
      </c>
      <c r="B19685" t="str">
        <f>"15102995776"</f>
        <v>15102995776</v>
      </c>
      <c r="C19685" t="str">
        <f>"610111198306084011"</f>
        <v>610111198306084011</v>
      </c>
      <c r="D19685" t="s">
        <v>1</v>
      </c>
      <c r="E19685" t="s">
        <v>1</v>
      </c>
      <c r="F19685" t="s">
        <v>0</v>
      </c>
      <c r="G19685" t="str">
        <f>"2018-11-04 14:51:52"</f>
        <v>2018-11-04 14:51:52</v>
      </c>
    </row>
    <row r="19686" spans="1:7" x14ac:dyDescent="0.2">
      <c r="A19686" t="s">
        <v>1</v>
      </c>
      <c r="B19686" t="str">
        <f>"13193341034"</f>
        <v>13193341034</v>
      </c>
      <c r="C19686" t="s">
        <v>1</v>
      </c>
      <c r="D19686" t="s">
        <v>1</v>
      </c>
      <c r="E19686" t="s">
        <v>1</v>
      </c>
      <c r="F19686" t="s">
        <v>0</v>
      </c>
      <c r="G19686" t="str">
        <f>"2018-10-10 16:05:16"</f>
        <v>2018-10-10 16:05:16</v>
      </c>
    </row>
    <row r="19687" spans="1:7" x14ac:dyDescent="0.2">
      <c r="A19687" t="s">
        <v>18503</v>
      </c>
      <c r="B19687" t="str">
        <f>"18794466694"</f>
        <v>18794466694</v>
      </c>
      <c r="C19687" t="str">
        <f>"620503198909084217"</f>
        <v>620503198909084217</v>
      </c>
      <c r="D19687" t="s">
        <v>1</v>
      </c>
      <c r="E19687" t="s">
        <v>1</v>
      </c>
      <c r="F19687" t="s">
        <v>0</v>
      </c>
      <c r="G19687" t="str">
        <f>"2018-10-10 16:06:42"</f>
        <v>2018-10-10 16:06:42</v>
      </c>
    </row>
    <row r="19688" spans="1:7" x14ac:dyDescent="0.2">
      <c r="A19688" t="s">
        <v>1</v>
      </c>
      <c r="B19688" t="str">
        <f>"18811301996"</f>
        <v>18811301996</v>
      </c>
      <c r="C19688" t="s">
        <v>1</v>
      </c>
      <c r="D19688" t="s">
        <v>1</v>
      </c>
      <c r="E19688" t="s">
        <v>1</v>
      </c>
      <c r="F19688" t="s">
        <v>0</v>
      </c>
      <c r="G19688" t="str">
        <f>"2018-10-10 16:05:12"</f>
        <v>2018-10-10 16:05:12</v>
      </c>
    </row>
    <row r="19689" spans="1:7" x14ac:dyDescent="0.2">
      <c r="A19689" t="s">
        <v>18504</v>
      </c>
      <c r="B19689" t="str">
        <f>"18260607996"</f>
        <v>18260607996</v>
      </c>
      <c r="C19689" t="str">
        <f>"321181198810011517"</f>
        <v>321181198810011517</v>
      </c>
      <c r="D19689" t="s">
        <v>1</v>
      </c>
      <c r="E19689" t="s">
        <v>1</v>
      </c>
      <c r="F19689" t="s">
        <v>0</v>
      </c>
      <c r="G19689" t="str">
        <f>"2018-10-10 16:08:19"</f>
        <v>2018-10-10 16:08:19</v>
      </c>
    </row>
    <row r="19690" spans="1:7" x14ac:dyDescent="0.2">
      <c r="A19690" t="s">
        <v>1</v>
      </c>
      <c r="B19690" t="str">
        <f>"18783304733"</f>
        <v>18783304733</v>
      </c>
      <c r="C19690" t="s">
        <v>1</v>
      </c>
      <c r="D19690" t="s">
        <v>1</v>
      </c>
      <c r="E19690" t="s">
        <v>1</v>
      </c>
      <c r="F19690" t="s">
        <v>0</v>
      </c>
      <c r="G19690" t="str">
        <f>"2018-10-10 16:04:26"</f>
        <v>2018-10-10 16:04:26</v>
      </c>
    </row>
    <row r="19691" spans="1:7" x14ac:dyDescent="0.2">
      <c r="A19691" t="s">
        <v>18505</v>
      </c>
      <c r="B19691" t="str">
        <f>"15703333835"</f>
        <v>15703333835</v>
      </c>
      <c r="C19691" t="str">
        <f>"130322199312232623"</f>
        <v>130322199312232623</v>
      </c>
      <c r="D19691" t="s">
        <v>1</v>
      </c>
      <c r="E19691" t="s">
        <v>1</v>
      </c>
      <c r="F19691" t="s">
        <v>0</v>
      </c>
      <c r="G19691" t="str">
        <f>"2018-10-10 16:05:27"</f>
        <v>2018-10-10 16:05:27</v>
      </c>
    </row>
    <row r="19692" spans="1:7" x14ac:dyDescent="0.2">
      <c r="A19692" t="s">
        <v>18506</v>
      </c>
      <c r="B19692" t="str">
        <f>"15851514379"</f>
        <v>15851514379</v>
      </c>
      <c r="C19692" t="str">
        <f>"321281198411092570"</f>
        <v>321281198411092570</v>
      </c>
      <c r="D19692" t="s">
        <v>1</v>
      </c>
      <c r="E19692" t="s">
        <v>1</v>
      </c>
      <c r="F19692" t="s">
        <v>0</v>
      </c>
      <c r="G19692" t="str">
        <f>"2018-10-10 16:05:00"</f>
        <v>2018-10-10 16:05:00</v>
      </c>
    </row>
    <row r="19693" spans="1:7" x14ac:dyDescent="0.2">
      <c r="A19693" t="s">
        <v>1</v>
      </c>
      <c r="B19693" t="str">
        <f>"13064564827"</f>
        <v>13064564827</v>
      </c>
      <c r="C19693" t="s">
        <v>1</v>
      </c>
      <c r="D19693" t="s">
        <v>1</v>
      </c>
      <c r="E19693" t="s">
        <v>1</v>
      </c>
      <c r="F19693" t="s">
        <v>0</v>
      </c>
      <c r="G19693" t="str">
        <f>"2018-10-10 16:03:40"</f>
        <v>2018-10-10 16:03:40</v>
      </c>
    </row>
    <row r="19694" spans="1:7" x14ac:dyDescent="0.2">
      <c r="A19694" t="s">
        <v>18507</v>
      </c>
      <c r="B19694" t="str">
        <f>"15185622161"</f>
        <v>15185622161</v>
      </c>
      <c r="C19694" t="str">
        <f>"522628198606140024"</f>
        <v>522628198606140024</v>
      </c>
      <c r="D19694" t="s">
        <v>1</v>
      </c>
      <c r="E19694" t="s">
        <v>1</v>
      </c>
      <c r="F19694" t="s">
        <v>0</v>
      </c>
      <c r="G19694" t="str">
        <f>"2018-10-10 16:13:04"</f>
        <v>2018-10-10 16:13:04</v>
      </c>
    </row>
    <row r="19695" spans="1:7" x14ac:dyDescent="0.2">
      <c r="A19695" t="s">
        <v>1</v>
      </c>
      <c r="B19695" t="str">
        <f>"15268886712"</f>
        <v>15268886712</v>
      </c>
      <c r="C19695" t="s">
        <v>1</v>
      </c>
      <c r="D19695" t="s">
        <v>1</v>
      </c>
      <c r="E19695" t="s">
        <v>1</v>
      </c>
      <c r="F19695" t="s">
        <v>0</v>
      </c>
      <c r="G19695" t="str">
        <f>"2018-10-10 16:02:51"</f>
        <v>2018-10-10 16:02:51</v>
      </c>
    </row>
    <row r="19696" spans="1:7" x14ac:dyDescent="0.2">
      <c r="A19696" t="s">
        <v>146</v>
      </c>
      <c r="B19696" t="str">
        <f>"15809616453"</f>
        <v>15809616453</v>
      </c>
      <c r="C19696" t="str">
        <f>"642223199610205159"</f>
        <v>642223199610205159</v>
      </c>
      <c r="D19696" t="s">
        <v>1</v>
      </c>
      <c r="E19696" t="s">
        <v>1</v>
      </c>
      <c r="F19696" t="s">
        <v>0</v>
      </c>
      <c r="G19696" t="str">
        <f>"2018-10-10 16:06:51"</f>
        <v>2018-10-10 16:06:51</v>
      </c>
    </row>
    <row r="19697" spans="1:7" x14ac:dyDescent="0.2">
      <c r="A19697" t="s">
        <v>18508</v>
      </c>
      <c r="B19697" t="str">
        <f>"15827972982"</f>
        <v>15827972982</v>
      </c>
      <c r="C19697" t="str">
        <f>"429005200008250018"</f>
        <v>429005200008250018</v>
      </c>
      <c r="D19697" t="s">
        <v>18509</v>
      </c>
      <c r="E19697" t="s">
        <v>18510</v>
      </c>
      <c r="F19697" t="s">
        <v>0</v>
      </c>
      <c r="G19697" t="str">
        <f>"2018-10-10 17:27:13"</f>
        <v>2018-10-10 17:27:13</v>
      </c>
    </row>
    <row r="19698" spans="1:7" x14ac:dyDescent="0.2">
      <c r="A19698" t="s">
        <v>1424</v>
      </c>
      <c r="B19698" t="str">
        <f>"13143612505"</f>
        <v>13143612505</v>
      </c>
      <c r="C19698" t="str">
        <f>"411328199703253372"</f>
        <v>411328199703253372</v>
      </c>
      <c r="D19698" t="s">
        <v>1</v>
      </c>
      <c r="E19698" t="s">
        <v>1</v>
      </c>
      <c r="F19698" t="s">
        <v>0</v>
      </c>
      <c r="G19698" t="str">
        <f>"2018-10-29 22:42:56"</f>
        <v>2018-10-29 22:42:56</v>
      </c>
    </row>
    <row r="19699" spans="1:7" x14ac:dyDescent="0.2">
      <c r="A19699" t="s">
        <v>18511</v>
      </c>
      <c r="B19699" t="str">
        <f>"18569825007"</f>
        <v>18569825007</v>
      </c>
      <c r="C19699" t="str">
        <f>"410881198912102515"</f>
        <v>410881198912102515</v>
      </c>
      <c r="D19699" t="s">
        <v>1</v>
      </c>
      <c r="E19699" t="s">
        <v>1</v>
      </c>
      <c r="F19699" t="s">
        <v>0</v>
      </c>
      <c r="G19699" t="str">
        <f>"2018-10-10 20:16:55"</f>
        <v>2018-10-10 20:16:55</v>
      </c>
    </row>
    <row r="19700" spans="1:7" x14ac:dyDescent="0.2">
      <c r="A19700" t="s">
        <v>18512</v>
      </c>
      <c r="B19700" t="str">
        <f>"17681880577"</f>
        <v>17681880577</v>
      </c>
      <c r="C19700" t="str">
        <f>"530302198406032416"</f>
        <v>530302198406032416</v>
      </c>
      <c r="D19700" t="s">
        <v>1</v>
      </c>
      <c r="E19700" t="s">
        <v>1</v>
      </c>
      <c r="F19700" t="s">
        <v>0</v>
      </c>
      <c r="G19700" t="str">
        <f>"2018-10-10 16:06:52"</f>
        <v>2018-10-10 16:06:52</v>
      </c>
    </row>
    <row r="19701" spans="1:7" x14ac:dyDescent="0.2">
      <c r="A19701" t="s">
        <v>1</v>
      </c>
      <c r="B19701" t="str">
        <f>"15240429123"</f>
        <v>15240429123</v>
      </c>
      <c r="C19701" t="s">
        <v>1</v>
      </c>
      <c r="D19701" t="s">
        <v>1</v>
      </c>
      <c r="E19701" t="s">
        <v>1</v>
      </c>
      <c r="F19701" t="s">
        <v>0</v>
      </c>
      <c r="G19701" t="str">
        <f>"2018-10-10 16:04:07"</f>
        <v>2018-10-10 16:04:07</v>
      </c>
    </row>
    <row r="19702" spans="1:7" x14ac:dyDescent="0.2">
      <c r="A19702" t="s">
        <v>18513</v>
      </c>
      <c r="B19702" t="str">
        <f>"13428811935"</f>
        <v>13428811935</v>
      </c>
      <c r="C19702" t="str">
        <f>"42100319891129325X"</f>
        <v>42100319891129325X</v>
      </c>
      <c r="D19702" t="s">
        <v>1</v>
      </c>
      <c r="E19702" t="s">
        <v>1</v>
      </c>
      <c r="F19702" t="s">
        <v>0</v>
      </c>
      <c r="G19702" t="str">
        <f>"2018-10-10 16:02:30"</f>
        <v>2018-10-10 16:02:30</v>
      </c>
    </row>
    <row r="19703" spans="1:7" x14ac:dyDescent="0.2">
      <c r="A19703" t="s">
        <v>18514</v>
      </c>
      <c r="B19703" t="str">
        <f>"15071209550"</f>
        <v>15071209550</v>
      </c>
      <c r="C19703" t="str">
        <f>"420583199306090713"</f>
        <v>420583199306090713</v>
      </c>
      <c r="D19703" t="s">
        <v>1</v>
      </c>
      <c r="E19703" t="s">
        <v>1</v>
      </c>
      <c r="F19703" t="s">
        <v>0</v>
      </c>
      <c r="G19703" t="str">
        <f>"2018-10-17 12:21:32"</f>
        <v>2018-10-17 12:21:32</v>
      </c>
    </row>
    <row r="19704" spans="1:7" x14ac:dyDescent="0.2">
      <c r="A19704" t="s">
        <v>18515</v>
      </c>
      <c r="B19704" t="str">
        <f>"13853383407"</f>
        <v>13853383407</v>
      </c>
      <c r="C19704" t="str">
        <f>"370321197911010642"</f>
        <v>370321197911010642</v>
      </c>
      <c r="D19704" t="s">
        <v>1</v>
      </c>
      <c r="E19704" t="s">
        <v>1</v>
      </c>
      <c r="F19704" t="s">
        <v>0</v>
      </c>
      <c r="G19704" t="str">
        <f>"2018-10-10 16:01:34"</f>
        <v>2018-10-10 16:01:34</v>
      </c>
    </row>
    <row r="19705" spans="1:7" x14ac:dyDescent="0.2">
      <c r="A19705" t="s">
        <v>18516</v>
      </c>
      <c r="B19705" t="str">
        <f>"17620041030"</f>
        <v>17620041030</v>
      </c>
      <c r="C19705" t="str">
        <f>"440883199410301939"</f>
        <v>440883199410301939</v>
      </c>
      <c r="D19705" t="s">
        <v>1</v>
      </c>
      <c r="E19705" t="s">
        <v>1</v>
      </c>
      <c r="F19705" t="s">
        <v>0</v>
      </c>
      <c r="G19705" t="str">
        <f>"2018-10-10 16:01:15"</f>
        <v>2018-10-10 16:01:15</v>
      </c>
    </row>
    <row r="19706" spans="1:7" x14ac:dyDescent="0.2">
      <c r="A19706" t="s">
        <v>1</v>
      </c>
      <c r="B19706" t="str">
        <f>"13185211124"</f>
        <v>13185211124</v>
      </c>
      <c r="C19706" t="s">
        <v>1</v>
      </c>
      <c r="D19706" t="s">
        <v>1</v>
      </c>
      <c r="E19706" t="s">
        <v>1</v>
      </c>
      <c r="F19706" t="s">
        <v>0</v>
      </c>
      <c r="G19706" t="str">
        <f>"2018-10-10 21:07:31"</f>
        <v>2018-10-10 21:07:31</v>
      </c>
    </row>
    <row r="19707" spans="1:7" x14ac:dyDescent="0.2">
      <c r="A19707" t="s">
        <v>892</v>
      </c>
      <c r="B19707" t="str">
        <f>"15659399700"</f>
        <v>15659399700</v>
      </c>
      <c r="C19707" t="str">
        <f>"350125199102271914"</f>
        <v>350125199102271914</v>
      </c>
      <c r="D19707" t="s">
        <v>1</v>
      </c>
      <c r="E19707" t="s">
        <v>1</v>
      </c>
      <c r="F19707" t="s">
        <v>0</v>
      </c>
      <c r="G19707" t="str">
        <f>"2018-10-10 16:01:50"</f>
        <v>2018-10-10 16:01:50</v>
      </c>
    </row>
    <row r="19708" spans="1:7" x14ac:dyDescent="0.2">
      <c r="A19708" t="s">
        <v>18517</v>
      </c>
      <c r="B19708" t="str">
        <f>"13354183668"</f>
        <v>13354183668</v>
      </c>
      <c r="C19708" t="str">
        <f>"210902198201051574"</f>
        <v>210902198201051574</v>
      </c>
      <c r="D19708" t="s">
        <v>1</v>
      </c>
      <c r="E19708" t="s">
        <v>1</v>
      </c>
      <c r="F19708" t="s">
        <v>0</v>
      </c>
      <c r="G19708" t="str">
        <f>"2018-10-10 15:59:19"</f>
        <v>2018-10-10 15:59:19</v>
      </c>
    </row>
    <row r="19709" spans="1:7" x14ac:dyDescent="0.2">
      <c r="A19709" t="s">
        <v>18518</v>
      </c>
      <c r="B19709" t="str">
        <f>"18724069780"</f>
        <v>18724069780</v>
      </c>
      <c r="C19709" t="str">
        <f>"420203199301313713"</f>
        <v>420203199301313713</v>
      </c>
      <c r="D19709" t="s">
        <v>1</v>
      </c>
      <c r="E19709" t="s">
        <v>1</v>
      </c>
      <c r="F19709" t="s">
        <v>0</v>
      </c>
      <c r="G19709" t="str">
        <f>"2018-10-10 15:59:43"</f>
        <v>2018-10-10 15:59:43</v>
      </c>
    </row>
    <row r="19710" spans="1:7" x14ac:dyDescent="0.2">
      <c r="A19710" t="s">
        <v>18519</v>
      </c>
      <c r="B19710" t="str">
        <f>"15136273250"</f>
        <v>15136273250</v>
      </c>
      <c r="C19710" t="str">
        <f>"410182199108162915"</f>
        <v>410182199108162915</v>
      </c>
      <c r="D19710" t="s">
        <v>1</v>
      </c>
      <c r="E19710" t="s">
        <v>1</v>
      </c>
      <c r="F19710" t="s">
        <v>0</v>
      </c>
      <c r="G19710" t="str">
        <f>"2018-10-10 16:00:45"</f>
        <v>2018-10-10 16:00:45</v>
      </c>
    </row>
    <row r="19711" spans="1:7" x14ac:dyDescent="0.2">
      <c r="A19711" t="s">
        <v>18520</v>
      </c>
      <c r="B19711" t="str">
        <f>"18676938822"</f>
        <v>18676938822</v>
      </c>
      <c r="C19711" t="str">
        <f>"441900198910186552"</f>
        <v>441900198910186552</v>
      </c>
      <c r="D19711" t="s">
        <v>1</v>
      </c>
      <c r="E19711" t="s">
        <v>1</v>
      </c>
      <c r="F19711" t="s">
        <v>0</v>
      </c>
      <c r="G19711" t="str">
        <f>"2018-10-10 16:02:28"</f>
        <v>2018-10-10 16:02:28</v>
      </c>
    </row>
    <row r="19712" spans="1:7" x14ac:dyDescent="0.2">
      <c r="A19712" t="s">
        <v>1</v>
      </c>
      <c r="B19712" t="str">
        <f>"15902412092"</f>
        <v>15902412092</v>
      </c>
      <c r="C19712" t="s">
        <v>1</v>
      </c>
      <c r="D19712" t="s">
        <v>1</v>
      </c>
      <c r="E19712" t="s">
        <v>1</v>
      </c>
      <c r="F19712" t="s">
        <v>0</v>
      </c>
      <c r="G19712" t="str">
        <f>"2018-10-10 15:58:47"</f>
        <v>2018-10-10 15:58:47</v>
      </c>
    </row>
    <row r="19713" spans="1:7" x14ac:dyDescent="0.2">
      <c r="A19713" t="s">
        <v>18521</v>
      </c>
      <c r="B19713" t="str">
        <f>"17776479293"</f>
        <v>17776479293</v>
      </c>
      <c r="C19713" t="str">
        <f>"130427198806185997"</f>
        <v>130427198806185997</v>
      </c>
      <c r="D19713" t="s">
        <v>1</v>
      </c>
      <c r="E19713" t="s">
        <v>1</v>
      </c>
      <c r="F19713" t="s">
        <v>0</v>
      </c>
      <c r="G19713" t="str">
        <f>"2018-10-12 15:13:48"</f>
        <v>2018-10-12 15:13:48</v>
      </c>
    </row>
    <row r="19714" spans="1:7" x14ac:dyDescent="0.2">
      <c r="A19714" t="s">
        <v>1</v>
      </c>
      <c r="B19714" t="str">
        <f>"18266114190"</f>
        <v>18266114190</v>
      </c>
      <c r="C19714" t="s">
        <v>1</v>
      </c>
      <c r="D19714" t="s">
        <v>1</v>
      </c>
      <c r="E19714" t="s">
        <v>1</v>
      </c>
      <c r="F19714" t="s">
        <v>0</v>
      </c>
      <c r="G19714" t="str">
        <f>"2018-10-10 15:57:00"</f>
        <v>2018-10-10 15:57:00</v>
      </c>
    </row>
    <row r="19715" spans="1:7" x14ac:dyDescent="0.2">
      <c r="A19715" t="s">
        <v>18522</v>
      </c>
      <c r="B19715" t="str">
        <f>"15737530856"</f>
        <v>15737530856</v>
      </c>
      <c r="C19715" t="str">
        <f>"410421199211193510"</f>
        <v>410421199211193510</v>
      </c>
      <c r="D19715" t="s">
        <v>1</v>
      </c>
      <c r="E19715" t="s">
        <v>1</v>
      </c>
      <c r="F19715" t="s">
        <v>0</v>
      </c>
      <c r="G19715" t="str">
        <f>"2018-10-10 16:00:15"</f>
        <v>2018-10-10 16:00:15</v>
      </c>
    </row>
    <row r="19716" spans="1:7" x14ac:dyDescent="0.2">
      <c r="A19716" t="s">
        <v>18523</v>
      </c>
      <c r="B19716" t="str">
        <f>"15077065921"</f>
        <v>15077065921</v>
      </c>
      <c r="C19716" t="str">
        <f>"452123197410132936"</f>
        <v>452123197410132936</v>
      </c>
      <c r="D19716" t="s">
        <v>1</v>
      </c>
      <c r="E19716" t="s">
        <v>1</v>
      </c>
      <c r="F19716" t="s">
        <v>0</v>
      </c>
      <c r="G19716" t="str">
        <f>"2018-10-10 15:59:53"</f>
        <v>2018-10-10 15:59:53</v>
      </c>
    </row>
    <row r="19717" spans="1:7" x14ac:dyDescent="0.2">
      <c r="A19717" t="s">
        <v>18524</v>
      </c>
      <c r="B19717" t="str">
        <f>"15902053864"</f>
        <v>15902053864</v>
      </c>
      <c r="C19717" t="str">
        <f>"445221198910144173"</f>
        <v>445221198910144173</v>
      </c>
      <c r="D19717" t="s">
        <v>1</v>
      </c>
      <c r="E19717" t="s">
        <v>1</v>
      </c>
      <c r="F19717" t="s">
        <v>0</v>
      </c>
      <c r="G19717" t="str">
        <f>"2018-10-10 15:58:39"</f>
        <v>2018-10-10 15:58:39</v>
      </c>
    </row>
    <row r="19718" spans="1:7" x14ac:dyDescent="0.2">
      <c r="A19718" t="s">
        <v>1</v>
      </c>
      <c r="B19718" t="str">
        <f>"13047812934"</f>
        <v>13047812934</v>
      </c>
      <c r="C19718" t="s">
        <v>1</v>
      </c>
      <c r="D19718" t="s">
        <v>1</v>
      </c>
      <c r="E19718" t="s">
        <v>1</v>
      </c>
      <c r="F19718" t="s">
        <v>0</v>
      </c>
      <c r="G19718" t="str">
        <f>"2018-10-10 15:56:10"</f>
        <v>2018-10-10 15:56:10</v>
      </c>
    </row>
    <row r="19719" spans="1:7" x14ac:dyDescent="0.2">
      <c r="A19719" t="s">
        <v>1</v>
      </c>
      <c r="B19719" t="str">
        <f>"17681179909"</f>
        <v>17681179909</v>
      </c>
      <c r="C19719" t="s">
        <v>1</v>
      </c>
      <c r="D19719" t="s">
        <v>1</v>
      </c>
      <c r="E19719" t="s">
        <v>1</v>
      </c>
      <c r="F19719" t="s">
        <v>0</v>
      </c>
      <c r="G19719" t="str">
        <f>"2018-10-10 15:55:44"</f>
        <v>2018-10-10 15:55:44</v>
      </c>
    </row>
    <row r="19720" spans="1:7" x14ac:dyDescent="0.2">
      <c r="A19720" t="s">
        <v>1</v>
      </c>
      <c r="B19720" t="str">
        <f>"13551517212"</f>
        <v>13551517212</v>
      </c>
      <c r="C19720" t="s">
        <v>1</v>
      </c>
      <c r="D19720" t="s">
        <v>1</v>
      </c>
      <c r="E19720" t="s">
        <v>1</v>
      </c>
      <c r="F19720" t="s">
        <v>0</v>
      </c>
      <c r="G19720" t="str">
        <f>"2018-10-10 15:56:39"</f>
        <v>2018-10-10 15:56:39</v>
      </c>
    </row>
    <row r="19721" spans="1:7" x14ac:dyDescent="0.2">
      <c r="A19721" t="s">
        <v>361</v>
      </c>
      <c r="B19721" t="str">
        <f>"15928727775"</f>
        <v>15928727775</v>
      </c>
      <c r="C19721" t="str">
        <f>"510183199211010012"</f>
        <v>510183199211010012</v>
      </c>
      <c r="D19721" t="s">
        <v>1</v>
      </c>
      <c r="E19721" t="s">
        <v>1</v>
      </c>
      <c r="F19721" t="s">
        <v>0</v>
      </c>
      <c r="G19721" t="str">
        <f>"2018-10-10 17:02:58"</f>
        <v>2018-10-10 17:02:58</v>
      </c>
    </row>
    <row r="19722" spans="1:7" x14ac:dyDescent="0.2">
      <c r="A19722" t="s">
        <v>1</v>
      </c>
      <c r="B19722" t="str">
        <f>"15861523501"</f>
        <v>15861523501</v>
      </c>
      <c r="C19722" t="s">
        <v>1</v>
      </c>
      <c r="D19722" t="s">
        <v>1</v>
      </c>
      <c r="E19722" t="s">
        <v>1</v>
      </c>
      <c r="F19722" t="s">
        <v>0</v>
      </c>
      <c r="G19722" t="str">
        <f>"2018-10-10 15:54:33"</f>
        <v>2018-10-10 15:54:33</v>
      </c>
    </row>
    <row r="19723" spans="1:7" x14ac:dyDescent="0.2">
      <c r="A19723" t="s">
        <v>18525</v>
      </c>
      <c r="B19723" t="str">
        <f>"18315611218"</f>
        <v>18315611218</v>
      </c>
      <c r="C19723" t="str">
        <f>"371328199612140097"</f>
        <v>371328199612140097</v>
      </c>
      <c r="D19723" t="s">
        <v>1</v>
      </c>
      <c r="E19723" t="s">
        <v>1</v>
      </c>
      <c r="F19723" t="s">
        <v>0</v>
      </c>
      <c r="G19723" t="str">
        <f>"2018-10-10 15:55:42"</f>
        <v>2018-10-10 15:55:42</v>
      </c>
    </row>
    <row r="19724" spans="1:7" x14ac:dyDescent="0.2">
      <c r="A19724" t="s">
        <v>4490</v>
      </c>
      <c r="B19724" t="str">
        <f>"13647678848"</f>
        <v>13647678848</v>
      </c>
      <c r="C19724" t="str">
        <f>"500106198512060030"</f>
        <v>500106198512060030</v>
      </c>
      <c r="D19724" t="s">
        <v>18526</v>
      </c>
      <c r="E19724" t="s">
        <v>18527</v>
      </c>
      <c r="F19724" t="s">
        <v>0</v>
      </c>
      <c r="G19724" t="str">
        <f>"2018-10-10 16:09:43"</f>
        <v>2018-10-10 16:09:43</v>
      </c>
    </row>
    <row r="19725" spans="1:7" x14ac:dyDescent="0.2">
      <c r="A19725" t="s">
        <v>18528</v>
      </c>
      <c r="B19725" t="str">
        <f>"18073535552"</f>
        <v>18073535552</v>
      </c>
      <c r="C19725" t="str">
        <f>"431124198307160820"</f>
        <v>431124198307160820</v>
      </c>
      <c r="D19725" t="s">
        <v>1</v>
      </c>
      <c r="E19725" t="s">
        <v>1</v>
      </c>
      <c r="F19725" t="s">
        <v>0</v>
      </c>
      <c r="G19725" t="str">
        <f>"2018-10-10 15:57:57"</f>
        <v>2018-10-10 15:57:57</v>
      </c>
    </row>
    <row r="19726" spans="1:7" x14ac:dyDescent="0.2">
      <c r="A19726" t="s">
        <v>1</v>
      </c>
      <c r="B19726" t="str">
        <f>"15577937458"</f>
        <v>15577937458</v>
      </c>
      <c r="C19726" t="s">
        <v>1</v>
      </c>
      <c r="D19726" t="s">
        <v>1</v>
      </c>
      <c r="E19726" t="s">
        <v>1</v>
      </c>
      <c r="F19726" t="s">
        <v>0</v>
      </c>
      <c r="G19726" t="str">
        <f>"2018-10-10 15:52:39"</f>
        <v>2018-10-10 15:52:39</v>
      </c>
    </row>
    <row r="19727" spans="1:7" x14ac:dyDescent="0.2">
      <c r="A19727" t="s">
        <v>18529</v>
      </c>
      <c r="B19727" t="str">
        <f>"18384289895"</f>
        <v>18384289895</v>
      </c>
      <c r="C19727" t="str">
        <f>"431228198802173427"</f>
        <v>431228198802173427</v>
      </c>
      <c r="D19727" t="s">
        <v>1</v>
      </c>
      <c r="E19727" t="s">
        <v>1</v>
      </c>
      <c r="F19727" t="s">
        <v>0</v>
      </c>
      <c r="G19727" t="str">
        <f>"2018-10-10 17:07:02"</f>
        <v>2018-10-10 17:07:02</v>
      </c>
    </row>
    <row r="19728" spans="1:7" x14ac:dyDescent="0.2">
      <c r="A19728" t="s">
        <v>18530</v>
      </c>
      <c r="B19728" t="str">
        <f>"13111893119"</f>
        <v>13111893119</v>
      </c>
      <c r="C19728" t="str">
        <f>"513822199003072436"</f>
        <v>513822199003072436</v>
      </c>
      <c r="D19728" t="s">
        <v>1</v>
      </c>
      <c r="E19728" t="s">
        <v>1</v>
      </c>
      <c r="F19728" t="s">
        <v>0</v>
      </c>
      <c r="G19728" t="str">
        <f>"2018-10-10 15:53:16"</f>
        <v>2018-10-10 15:53:16</v>
      </c>
    </row>
    <row r="19729" spans="1:7" x14ac:dyDescent="0.2">
      <c r="A19729" t="s">
        <v>18531</v>
      </c>
      <c r="B19729" t="str">
        <f>"15760199622"</f>
        <v>15760199622</v>
      </c>
      <c r="C19729" t="str">
        <f>"511002199210011512"</f>
        <v>511002199210011512</v>
      </c>
      <c r="D19729" t="s">
        <v>1</v>
      </c>
      <c r="E19729" t="s">
        <v>1</v>
      </c>
      <c r="F19729" t="s">
        <v>0</v>
      </c>
      <c r="G19729" t="str">
        <f>"2018-10-10 15:53:34"</f>
        <v>2018-10-10 15:53:34</v>
      </c>
    </row>
    <row r="19730" spans="1:7" x14ac:dyDescent="0.2">
      <c r="A19730" t="s">
        <v>1</v>
      </c>
      <c r="B19730" t="str">
        <f>"15282379303"</f>
        <v>15282379303</v>
      </c>
      <c r="C19730" t="s">
        <v>1</v>
      </c>
      <c r="D19730" t="s">
        <v>1</v>
      </c>
      <c r="E19730" t="s">
        <v>1</v>
      </c>
      <c r="F19730" t="s">
        <v>0</v>
      </c>
      <c r="G19730" t="str">
        <f>"2018-10-10 15:56:37"</f>
        <v>2018-10-10 15:56:37</v>
      </c>
    </row>
    <row r="19731" spans="1:7" x14ac:dyDescent="0.2">
      <c r="A19731" t="s">
        <v>18532</v>
      </c>
      <c r="B19731" t="str">
        <f>"13753668403"</f>
        <v>13753668403</v>
      </c>
      <c r="C19731" t="str">
        <f>"14052119910601201X"</f>
        <v>14052119910601201X</v>
      </c>
      <c r="D19731" t="s">
        <v>1</v>
      </c>
      <c r="E19731" t="s">
        <v>1</v>
      </c>
      <c r="F19731" t="s">
        <v>0</v>
      </c>
      <c r="G19731" t="str">
        <f>"2018-10-10 15:47:54"</f>
        <v>2018-10-10 15:47:54</v>
      </c>
    </row>
    <row r="19732" spans="1:7" x14ac:dyDescent="0.2">
      <c r="A19732" t="s">
        <v>18533</v>
      </c>
      <c r="B19732" t="str">
        <f>"13298120506"</f>
        <v>13298120506</v>
      </c>
      <c r="C19732" t="str">
        <f>"410825199404237556"</f>
        <v>410825199404237556</v>
      </c>
      <c r="D19732" t="s">
        <v>1</v>
      </c>
      <c r="E19732" t="s">
        <v>1</v>
      </c>
      <c r="F19732" t="s">
        <v>0</v>
      </c>
      <c r="G19732" t="str">
        <f>"2018-10-10 15:50:04"</f>
        <v>2018-10-10 15:50:04</v>
      </c>
    </row>
    <row r="19733" spans="1:7" x14ac:dyDescent="0.2">
      <c r="A19733" t="s">
        <v>18534</v>
      </c>
      <c r="B19733" t="str">
        <f>"17545589082"</f>
        <v>17545589082</v>
      </c>
      <c r="C19733" t="str">
        <f>"232101199911094616"</f>
        <v>232101199911094616</v>
      </c>
      <c r="D19733" t="s">
        <v>1</v>
      </c>
      <c r="E19733" t="s">
        <v>1</v>
      </c>
      <c r="F19733" t="s">
        <v>0</v>
      </c>
      <c r="G19733" t="str">
        <f>"2018-10-10 15:48:41"</f>
        <v>2018-10-10 15:48:41</v>
      </c>
    </row>
    <row r="19734" spans="1:7" x14ac:dyDescent="0.2">
      <c r="A19734" t="s">
        <v>1</v>
      </c>
      <c r="B19734" t="str">
        <f>"13257794717"</f>
        <v>13257794717</v>
      </c>
      <c r="C19734" t="s">
        <v>1</v>
      </c>
      <c r="D19734" t="s">
        <v>1</v>
      </c>
      <c r="E19734" t="s">
        <v>1</v>
      </c>
      <c r="F19734" t="s">
        <v>0</v>
      </c>
      <c r="G19734" t="str">
        <f>"2018-10-10 15:47:08"</f>
        <v>2018-10-10 15:47:08</v>
      </c>
    </row>
    <row r="19735" spans="1:7" x14ac:dyDescent="0.2">
      <c r="A19735" t="s">
        <v>164</v>
      </c>
      <c r="B19735" t="str">
        <f>"17649974134"</f>
        <v>17649974134</v>
      </c>
      <c r="C19735" t="str">
        <f>"220103198407142724"</f>
        <v>220103198407142724</v>
      </c>
      <c r="D19735" t="s">
        <v>1</v>
      </c>
      <c r="E19735" t="s">
        <v>1</v>
      </c>
      <c r="F19735" t="s">
        <v>0</v>
      </c>
      <c r="G19735" t="str">
        <f>"2018-10-10 15:48:19"</f>
        <v>2018-10-10 15:48:19</v>
      </c>
    </row>
    <row r="19736" spans="1:7" x14ac:dyDescent="0.2">
      <c r="A19736" t="s">
        <v>1</v>
      </c>
      <c r="B19736" t="str">
        <f>"13455066618"</f>
        <v>13455066618</v>
      </c>
      <c r="C19736" t="s">
        <v>1</v>
      </c>
      <c r="D19736" t="s">
        <v>1</v>
      </c>
      <c r="E19736" t="s">
        <v>1</v>
      </c>
      <c r="F19736" t="s">
        <v>0</v>
      </c>
      <c r="G19736" t="str">
        <f>"2018-10-10 15:48:56"</f>
        <v>2018-10-10 15:48:56</v>
      </c>
    </row>
    <row r="19737" spans="1:7" x14ac:dyDescent="0.2">
      <c r="A19737" t="s">
        <v>10397</v>
      </c>
      <c r="B19737" t="str">
        <f>"17635498963"</f>
        <v>17635498963</v>
      </c>
      <c r="C19737" t="str">
        <f>"14112119981220013X"</f>
        <v>14112119981220013X</v>
      </c>
      <c r="D19737" t="s">
        <v>1</v>
      </c>
      <c r="E19737" t="s">
        <v>1</v>
      </c>
      <c r="F19737" t="s">
        <v>0</v>
      </c>
      <c r="G19737" t="str">
        <f>"2018-10-10 15:54:13"</f>
        <v>2018-10-10 15:54:13</v>
      </c>
    </row>
    <row r="19738" spans="1:7" x14ac:dyDescent="0.2">
      <c r="A19738" t="s">
        <v>18535</v>
      </c>
      <c r="B19738" t="str">
        <f>"15619069015"</f>
        <v>15619069015</v>
      </c>
      <c r="C19738" t="str">
        <f>"620422199107178113"</f>
        <v>620422199107178113</v>
      </c>
      <c r="D19738" t="s">
        <v>1</v>
      </c>
      <c r="E19738" t="s">
        <v>1</v>
      </c>
      <c r="F19738" t="s">
        <v>0</v>
      </c>
      <c r="G19738" t="str">
        <f>"2018-10-10 15:55:31"</f>
        <v>2018-10-10 15:55:31</v>
      </c>
    </row>
    <row r="19739" spans="1:7" x14ac:dyDescent="0.2">
      <c r="A19739" t="s">
        <v>18536</v>
      </c>
      <c r="B19739" t="str">
        <f>"13159728885"</f>
        <v>13159728885</v>
      </c>
      <c r="C19739" t="str">
        <f>"220581198612110175"</f>
        <v>220581198612110175</v>
      </c>
      <c r="D19739" t="s">
        <v>1</v>
      </c>
      <c r="E19739" t="s">
        <v>1</v>
      </c>
      <c r="F19739" t="s">
        <v>0</v>
      </c>
      <c r="G19739" t="str">
        <f>"2018-10-10 15:47:22"</f>
        <v>2018-10-10 15:47:22</v>
      </c>
    </row>
    <row r="19740" spans="1:7" x14ac:dyDescent="0.2">
      <c r="A19740" t="s">
        <v>18537</v>
      </c>
      <c r="B19740" t="str">
        <f>"18751265531"</f>
        <v>18751265531</v>
      </c>
      <c r="C19740" t="str">
        <f>"320830199011214248"</f>
        <v>320830199011214248</v>
      </c>
      <c r="D19740" t="s">
        <v>1</v>
      </c>
      <c r="E19740" t="s">
        <v>1</v>
      </c>
      <c r="F19740" t="s">
        <v>0</v>
      </c>
      <c r="G19740" t="str">
        <f>"2018-10-10 15:47:24"</f>
        <v>2018-10-10 15:47:24</v>
      </c>
    </row>
    <row r="19741" spans="1:7" x14ac:dyDescent="0.2">
      <c r="A19741" t="s">
        <v>1376</v>
      </c>
      <c r="B19741" t="str">
        <f>"15897850131"</f>
        <v>15897850131</v>
      </c>
      <c r="C19741" t="str">
        <f>"420325198510190018"</f>
        <v>420325198510190018</v>
      </c>
      <c r="D19741" t="s">
        <v>18538</v>
      </c>
      <c r="E19741" t="s">
        <v>18539</v>
      </c>
      <c r="F19741" t="s">
        <v>0</v>
      </c>
      <c r="G19741" t="str">
        <f>"2018-10-10 15:45:09"</f>
        <v>2018-10-10 15:45:09</v>
      </c>
    </row>
    <row r="19742" spans="1:7" x14ac:dyDescent="0.2">
      <c r="A19742" t="s">
        <v>1</v>
      </c>
      <c r="B19742" t="str">
        <f>"17858091382"</f>
        <v>17858091382</v>
      </c>
      <c r="C19742" t="s">
        <v>1</v>
      </c>
      <c r="D19742" t="s">
        <v>1</v>
      </c>
      <c r="E19742" t="s">
        <v>1</v>
      </c>
      <c r="F19742" t="s">
        <v>0</v>
      </c>
      <c r="G19742" t="str">
        <f>"2018-10-10 15:44:50"</f>
        <v>2018-10-10 15:44:50</v>
      </c>
    </row>
    <row r="19743" spans="1:7" x14ac:dyDescent="0.2">
      <c r="A19743" t="s">
        <v>1</v>
      </c>
      <c r="B19743" t="str">
        <f>"15247555697"</f>
        <v>15247555697</v>
      </c>
      <c r="C19743" t="s">
        <v>1</v>
      </c>
      <c r="D19743" t="s">
        <v>1</v>
      </c>
      <c r="E19743" t="s">
        <v>1</v>
      </c>
      <c r="F19743" t="s">
        <v>0</v>
      </c>
      <c r="G19743" t="str">
        <f>"2018-10-10 15:42:22"</f>
        <v>2018-10-10 15:42:22</v>
      </c>
    </row>
    <row r="19744" spans="1:7" x14ac:dyDescent="0.2">
      <c r="A19744" t="s">
        <v>14248</v>
      </c>
      <c r="B19744" t="str">
        <f>"13943300937"</f>
        <v>13943300937</v>
      </c>
      <c r="C19744" t="str">
        <f>"222324197502123513"</f>
        <v>222324197502123513</v>
      </c>
      <c r="D19744" t="s">
        <v>1</v>
      </c>
      <c r="E19744" t="s">
        <v>1</v>
      </c>
      <c r="F19744" t="s">
        <v>0</v>
      </c>
      <c r="G19744" t="str">
        <f>"2018-10-10 15:42:53"</f>
        <v>2018-10-10 15:42:53</v>
      </c>
    </row>
    <row r="19745" spans="1:7" x14ac:dyDescent="0.2">
      <c r="A19745" t="s">
        <v>18540</v>
      </c>
      <c r="B19745" t="str">
        <f>"18815974383"</f>
        <v>18815974383</v>
      </c>
      <c r="C19745" t="str">
        <f>"362330199005043536"</f>
        <v>362330199005043536</v>
      </c>
      <c r="D19745" t="s">
        <v>1</v>
      </c>
      <c r="E19745" t="s">
        <v>1</v>
      </c>
      <c r="F19745" t="s">
        <v>0</v>
      </c>
      <c r="G19745" t="str">
        <f>"2018-10-10 15:46:57"</f>
        <v>2018-10-10 15:46:57</v>
      </c>
    </row>
    <row r="19746" spans="1:7" x14ac:dyDescent="0.2">
      <c r="A19746" t="s">
        <v>1</v>
      </c>
      <c r="B19746" t="str">
        <f>"18747441541"</f>
        <v>18747441541</v>
      </c>
      <c r="C19746" t="s">
        <v>1</v>
      </c>
      <c r="D19746" t="s">
        <v>1</v>
      </c>
      <c r="E19746" t="s">
        <v>1</v>
      </c>
      <c r="F19746" t="s">
        <v>0</v>
      </c>
      <c r="G19746" t="str">
        <f>"2018-10-10 15:41:03"</f>
        <v>2018-10-10 15:41:03</v>
      </c>
    </row>
    <row r="19747" spans="1:7" x14ac:dyDescent="0.2">
      <c r="A19747" t="s">
        <v>18541</v>
      </c>
      <c r="B19747" t="str">
        <f>"18681598532"</f>
        <v>18681598532</v>
      </c>
      <c r="C19747" t="str">
        <f>"36220319860309553X"</f>
        <v>36220319860309553X</v>
      </c>
      <c r="D19747" t="s">
        <v>18542</v>
      </c>
      <c r="E19747" t="s">
        <v>18543</v>
      </c>
      <c r="F19747" t="s">
        <v>0</v>
      </c>
      <c r="G19747" t="str">
        <f>"2018-10-10 15:40:27"</f>
        <v>2018-10-10 15:40:27</v>
      </c>
    </row>
    <row r="19748" spans="1:7" x14ac:dyDescent="0.2">
      <c r="A19748" t="s">
        <v>18544</v>
      </c>
      <c r="B19748" t="str">
        <f>"18379779518"</f>
        <v>18379779518</v>
      </c>
      <c r="C19748" t="str">
        <f>"360732198810014170"</f>
        <v>360732198810014170</v>
      </c>
      <c r="D19748" t="s">
        <v>1</v>
      </c>
      <c r="E19748" t="s">
        <v>1</v>
      </c>
      <c r="F19748" t="s">
        <v>0</v>
      </c>
      <c r="G19748" t="str">
        <f>"2018-10-10 15:40:31"</f>
        <v>2018-10-10 15:40:31</v>
      </c>
    </row>
    <row r="19749" spans="1:7" x14ac:dyDescent="0.2">
      <c r="A19749" t="s">
        <v>18545</v>
      </c>
      <c r="B19749" t="str">
        <f>"15254874718"</f>
        <v>15254874718</v>
      </c>
      <c r="C19749" t="str">
        <f>"370911199811074410"</f>
        <v>370911199811074410</v>
      </c>
      <c r="D19749" t="s">
        <v>18546</v>
      </c>
      <c r="E19749" t="s">
        <v>18547</v>
      </c>
      <c r="F19749" t="s">
        <v>0</v>
      </c>
      <c r="G19749" t="str">
        <f>"2018-10-10 15:38:07"</f>
        <v>2018-10-10 15:38:07</v>
      </c>
    </row>
    <row r="19750" spans="1:7" x14ac:dyDescent="0.2">
      <c r="A19750" t="s">
        <v>18548</v>
      </c>
      <c r="B19750" t="str">
        <f>"18684666150"</f>
        <v>18684666150</v>
      </c>
      <c r="C19750" t="str">
        <f>"430611199409265526"</f>
        <v>430611199409265526</v>
      </c>
      <c r="D19750" t="s">
        <v>1</v>
      </c>
      <c r="E19750" t="s">
        <v>1</v>
      </c>
      <c r="F19750" t="s">
        <v>0</v>
      </c>
      <c r="G19750" t="str">
        <f>"2018-10-10 16:01:41"</f>
        <v>2018-10-10 16:01:41</v>
      </c>
    </row>
    <row r="19751" spans="1:7" x14ac:dyDescent="0.2">
      <c r="A19751" t="s">
        <v>1</v>
      </c>
      <c r="B19751" t="str">
        <f>"13002661416"</f>
        <v>13002661416</v>
      </c>
      <c r="C19751" t="s">
        <v>1</v>
      </c>
      <c r="D19751" t="s">
        <v>1</v>
      </c>
      <c r="E19751" t="s">
        <v>1</v>
      </c>
      <c r="F19751" t="s">
        <v>0</v>
      </c>
      <c r="G19751" t="str">
        <f>"2018-10-10 15:37:33"</f>
        <v>2018-10-10 15:37:33</v>
      </c>
    </row>
    <row r="19752" spans="1:7" x14ac:dyDescent="0.2">
      <c r="A19752" t="s">
        <v>18549</v>
      </c>
      <c r="B19752" t="str">
        <f>"15006860312"</f>
        <v>15006860312</v>
      </c>
      <c r="C19752" t="str">
        <f>"370502199005170813"</f>
        <v>370502199005170813</v>
      </c>
      <c r="D19752" t="s">
        <v>1</v>
      </c>
      <c r="E19752" t="s">
        <v>1</v>
      </c>
      <c r="F19752" t="s">
        <v>0</v>
      </c>
      <c r="G19752" t="str">
        <f>"2018-10-10 15:37:44"</f>
        <v>2018-10-10 15:37:44</v>
      </c>
    </row>
    <row r="19753" spans="1:7" x14ac:dyDescent="0.2">
      <c r="A19753" t="s">
        <v>18550</v>
      </c>
      <c r="B19753" t="str">
        <f>"15910841686"</f>
        <v>15910841686</v>
      </c>
      <c r="C19753" t="str">
        <f>"511528199207251014"</f>
        <v>511528199207251014</v>
      </c>
      <c r="D19753" t="s">
        <v>1</v>
      </c>
      <c r="E19753" t="s">
        <v>1</v>
      </c>
      <c r="F19753" t="s">
        <v>0</v>
      </c>
      <c r="G19753" t="str">
        <f>"2018-10-10 16:17:48"</f>
        <v>2018-10-10 16:17:48</v>
      </c>
    </row>
    <row r="19754" spans="1:7" x14ac:dyDescent="0.2">
      <c r="A19754" t="s">
        <v>1784</v>
      </c>
      <c r="B19754" t="str">
        <f>"18737255265"</f>
        <v>18737255265</v>
      </c>
      <c r="C19754" t="str">
        <f>"410526198505230033"</f>
        <v>410526198505230033</v>
      </c>
      <c r="D19754" t="s">
        <v>1</v>
      </c>
      <c r="E19754" t="s">
        <v>1</v>
      </c>
      <c r="F19754" t="s">
        <v>0</v>
      </c>
      <c r="G19754" t="str">
        <f>"2018-10-12 09:34:00"</f>
        <v>2018-10-12 09:34:00</v>
      </c>
    </row>
    <row r="19755" spans="1:7" x14ac:dyDescent="0.2">
      <c r="A19755" t="s">
        <v>1</v>
      </c>
      <c r="B19755" t="str">
        <f>"15760298443"</f>
        <v>15760298443</v>
      </c>
      <c r="C19755" t="s">
        <v>1</v>
      </c>
      <c r="D19755" t="s">
        <v>1</v>
      </c>
      <c r="E19755" t="s">
        <v>1</v>
      </c>
      <c r="F19755" t="s">
        <v>0</v>
      </c>
      <c r="G19755" t="str">
        <f>"2018-10-10 15:35:37"</f>
        <v>2018-10-10 15:35:37</v>
      </c>
    </row>
    <row r="19756" spans="1:7" x14ac:dyDescent="0.2">
      <c r="A19756" t="s">
        <v>39</v>
      </c>
      <c r="B19756" t="str">
        <f>"18196592397"</f>
        <v>18196592397</v>
      </c>
      <c r="C19756" t="str">
        <f>"340221198909100781"</f>
        <v>340221198909100781</v>
      </c>
      <c r="D19756" t="s">
        <v>1</v>
      </c>
      <c r="E19756" t="s">
        <v>1</v>
      </c>
      <c r="F19756" t="s">
        <v>0</v>
      </c>
      <c r="G19756" t="str">
        <f>"2018-10-11 14:02:36"</f>
        <v>2018-10-11 14:02:36</v>
      </c>
    </row>
    <row r="19757" spans="1:7" x14ac:dyDescent="0.2">
      <c r="A19757" t="s">
        <v>18551</v>
      </c>
      <c r="B19757" t="str">
        <f>"18334115826"</f>
        <v>18334115826</v>
      </c>
      <c r="C19757" t="str">
        <f>"522501196205241639"</f>
        <v>522501196205241639</v>
      </c>
      <c r="D19757" t="s">
        <v>1</v>
      </c>
      <c r="E19757" t="s">
        <v>1</v>
      </c>
      <c r="F19757" t="s">
        <v>0</v>
      </c>
      <c r="G19757" t="str">
        <f>"2018-10-10 15:40:51"</f>
        <v>2018-10-10 15:40:51</v>
      </c>
    </row>
    <row r="19758" spans="1:7" x14ac:dyDescent="0.2">
      <c r="A19758" t="s">
        <v>18552</v>
      </c>
      <c r="B19758" t="str">
        <f>"13686006384"</f>
        <v>13686006384</v>
      </c>
      <c r="C19758" t="str">
        <f>"452501199106071211"</f>
        <v>452501199106071211</v>
      </c>
      <c r="D19758" t="s">
        <v>1</v>
      </c>
      <c r="E19758" t="s">
        <v>1</v>
      </c>
      <c r="F19758" t="s">
        <v>0</v>
      </c>
      <c r="G19758" t="str">
        <f>"2018-10-13 20:29:11"</f>
        <v>2018-10-13 20:29:11</v>
      </c>
    </row>
    <row r="19759" spans="1:7" x14ac:dyDescent="0.2">
      <c r="A19759" t="s">
        <v>18553</v>
      </c>
      <c r="B19759" t="str">
        <f>"18820781858"</f>
        <v>18820781858</v>
      </c>
      <c r="C19759" t="str">
        <f>"429006198803193039"</f>
        <v>429006198803193039</v>
      </c>
      <c r="D19759" t="s">
        <v>1</v>
      </c>
      <c r="E19759" t="s">
        <v>1</v>
      </c>
      <c r="F19759" t="s">
        <v>0</v>
      </c>
      <c r="G19759" t="str">
        <f>"2018-10-10 15:35:25"</f>
        <v>2018-10-10 15:35:25</v>
      </c>
    </row>
    <row r="19760" spans="1:7" x14ac:dyDescent="0.2">
      <c r="A19760" t="s">
        <v>487</v>
      </c>
      <c r="B19760" t="str">
        <f>"13697888015"</f>
        <v>13697888015</v>
      </c>
      <c r="C19760" t="str">
        <f>"370683197903186416"</f>
        <v>370683197903186416</v>
      </c>
      <c r="D19760" t="s">
        <v>1</v>
      </c>
      <c r="E19760" t="s">
        <v>1</v>
      </c>
      <c r="F19760" t="s">
        <v>0</v>
      </c>
      <c r="G19760" t="str">
        <f>"2018-10-10 15:34:59"</f>
        <v>2018-10-10 15:34:59</v>
      </c>
    </row>
    <row r="19761" spans="1:7" x14ac:dyDescent="0.2">
      <c r="A19761" t="s">
        <v>18554</v>
      </c>
      <c r="B19761" t="str">
        <f>"18896633832"</f>
        <v>18896633832</v>
      </c>
      <c r="C19761" t="str">
        <f>"320705198507083513"</f>
        <v>320705198507083513</v>
      </c>
      <c r="D19761" t="s">
        <v>18555</v>
      </c>
      <c r="E19761" t="s">
        <v>18556</v>
      </c>
      <c r="F19761" t="s">
        <v>0</v>
      </c>
      <c r="G19761" t="str">
        <f>"2018-10-10 15:35:20"</f>
        <v>2018-10-10 15:35:20</v>
      </c>
    </row>
    <row r="19762" spans="1:7" x14ac:dyDescent="0.2">
      <c r="A19762" t="s">
        <v>1</v>
      </c>
      <c r="B19762" t="str">
        <f>"15162402757"</f>
        <v>15162402757</v>
      </c>
      <c r="C19762" t="s">
        <v>1</v>
      </c>
      <c r="D19762" t="s">
        <v>1</v>
      </c>
      <c r="E19762" t="s">
        <v>1</v>
      </c>
      <c r="F19762" t="s">
        <v>0</v>
      </c>
      <c r="G19762" t="str">
        <f>"2018-10-10 15:34:01"</f>
        <v>2018-10-10 15:34:01</v>
      </c>
    </row>
    <row r="19763" spans="1:7" x14ac:dyDescent="0.2">
      <c r="A19763" t="s">
        <v>18557</v>
      </c>
      <c r="B19763" t="str">
        <f>"17351757776"</f>
        <v>17351757776</v>
      </c>
      <c r="C19763" t="str">
        <f>"320125199105235219"</f>
        <v>320125199105235219</v>
      </c>
      <c r="D19763" t="s">
        <v>1</v>
      </c>
      <c r="E19763" t="s">
        <v>1</v>
      </c>
      <c r="F19763" t="s">
        <v>0</v>
      </c>
      <c r="G19763" t="str">
        <f>"2018-10-10 15:33:50"</f>
        <v>2018-10-10 15:33:50</v>
      </c>
    </row>
    <row r="19764" spans="1:7" x14ac:dyDescent="0.2">
      <c r="A19764" t="s">
        <v>18558</v>
      </c>
      <c r="B19764" t="str">
        <f>"18217523624"</f>
        <v>18217523624</v>
      </c>
      <c r="C19764" t="str">
        <f>"612301199906281216"</f>
        <v>612301199906281216</v>
      </c>
      <c r="D19764" t="s">
        <v>18559</v>
      </c>
      <c r="E19764" t="s">
        <v>18560</v>
      </c>
      <c r="F19764" t="s">
        <v>0</v>
      </c>
      <c r="G19764" t="str">
        <f>"2018-10-10 15:40:48"</f>
        <v>2018-10-10 15:40:48</v>
      </c>
    </row>
    <row r="19765" spans="1:7" x14ac:dyDescent="0.2">
      <c r="A19765" t="s">
        <v>1</v>
      </c>
      <c r="B19765" t="str">
        <f>"15068100855"</f>
        <v>15068100855</v>
      </c>
      <c r="C19765" t="s">
        <v>1</v>
      </c>
      <c r="D19765" t="s">
        <v>1</v>
      </c>
      <c r="E19765" t="s">
        <v>1</v>
      </c>
      <c r="F19765" t="s">
        <v>0</v>
      </c>
      <c r="G19765" t="str">
        <f>"2018-10-19 11:25:33"</f>
        <v>2018-10-19 11:25:33</v>
      </c>
    </row>
    <row r="19766" spans="1:7" x14ac:dyDescent="0.2">
      <c r="A19766" t="s">
        <v>18561</v>
      </c>
      <c r="B19766" t="str">
        <f>"15572741503"</f>
        <v>15572741503</v>
      </c>
      <c r="C19766" t="str">
        <f>"500235199402284449"</f>
        <v>500235199402284449</v>
      </c>
      <c r="D19766" t="s">
        <v>1</v>
      </c>
      <c r="E19766" t="s">
        <v>1</v>
      </c>
      <c r="F19766" t="s">
        <v>0</v>
      </c>
      <c r="G19766" t="str">
        <f>"2018-10-14 10:42:02"</f>
        <v>2018-10-14 10:42:02</v>
      </c>
    </row>
    <row r="19767" spans="1:7" x14ac:dyDescent="0.2">
      <c r="A19767" t="s">
        <v>18562</v>
      </c>
      <c r="B19767" t="str">
        <f>"13559923015"</f>
        <v>13559923015</v>
      </c>
      <c r="C19767" t="str">
        <f>"360428198603163340"</f>
        <v>360428198603163340</v>
      </c>
      <c r="D19767" t="s">
        <v>1</v>
      </c>
      <c r="E19767" t="s">
        <v>1</v>
      </c>
      <c r="F19767" t="s">
        <v>0</v>
      </c>
      <c r="G19767" t="str">
        <f>"2018-10-10 15:33:04"</f>
        <v>2018-10-10 15:33:04</v>
      </c>
    </row>
    <row r="19768" spans="1:7" x14ac:dyDescent="0.2">
      <c r="A19768" t="s">
        <v>18563</v>
      </c>
      <c r="B19768" t="str">
        <f>"13510525953"</f>
        <v>13510525953</v>
      </c>
      <c r="C19768" t="str">
        <f>"511323198206153079"</f>
        <v>511323198206153079</v>
      </c>
      <c r="D19768" t="s">
        <v>18564</v>
      </c>
      <c r="E19768" t="s">
        <v>18565</v>
      </c>
      <c r="F19768" t="s">
        <v>0</v>
      </c>
      <c r="G19768" t="str">
        <f>"2018-10-10 15:30:55"</f>
        <v>2018-10-10 15:30:55</v>
      </c>
    </row>
    <row r="19769" spans="1:7" x14ac:dyDescent="0.2">
      <c r="A19769" t="s">
        <v>1</v>
      </c>
      <c r="B19769" t="str">
        <f>"18205938171"</f>
        <v>18205938171</v>
      </c>
      <c r="C19769" t="s">
        <v>1</v>
      </c>
      <c r="D19769" t="s">
        <v>1</v>
      </c>
      <c r="E19769" t="s">
        <v>1</v>
      </c>
      <c r="F19769" t="s">
        <v>0</v>
      </c>
      <c r="G19769" t="str">
        <f>"2018-10-10 15:30:27"</f>
        <v>2018-10-10 15:30:27</v>
      </c>
    </row>
    <row r="19770" spans="1:7" x14ac:dyDescent="0.2">
      <c r="A19770" t="s">
        <v>18566</v>
      </c>
      <c r="B19770" t="str">
        <f>"13523617315"</f>
        <v>13523617315</v>
      </c>
      <c r="C19770" t="str">
        <f>"410381198712162516"</f>
        <v>410381198712162516</v>
      </c>
      <c r="D19770" t="s">
        <v>1</v>
      </c>
      <c r="E19770" t="s">
        <v>1</v>
      </c>
      <c r="F19770" t="s">
        <v>0</v>
      </c>
      <c r="G19770" t="str">
        <f>"2018-10-10 15:31:08"</f>
        <v>2018-10-10 15:31:08</v>
      </c>
    </row>
    <row r="19771" spans="1:7" x14ac:dyDescent="0.2">
      <c r="A19771" t="s">
        <v>18567</v>
      </c>
      <c r="B19771" t="str">
        <f>"17729917838"</f>
        <v>17729917838</v>
      </c>
      <c r="C19771" t="str">
        <f>"340421199310195812"</f>
        <v>340421199310195812</v>
      </c>
      <c r="D19771" t="s">
        <v>1</v>
      </c>
      <c r="E19771" t="s">
        <v>1</v>
      </c>
      <c r="F19771" t="s">
        <v>0</v>
      </c>
      <c r="G19771" t="str">
        <f>"2018-10-10 15:32:43"</f>
        <v>2018-10-10 15:32:43</v>
      </c>
    </row>
    <row r="19772" spans="1:7" x14ac:dyDescent="0.2">
      <c r="A19772" t="s">
        <v>1</v>
      </c>
      <c r="B19772" t="str">
        <f>"15677354120"</f>
        <v>15677354120</v>
      </c>
      <c r="C19772" t="s">
        <v>1</v>
      </c>
      <c r="D19772" t="s">
        <v>1</v>
      </c>
      <c r="E19772" t="s">
        <v>1</v>
      </c>
      <c r="F19772" t="s">
        <v>0</v>
      </c>
      <c r="G19772" t="str">
        <f>"2018-10-10 15:29:19"</f>
        <v>2018-10-10 15:29:19</v>
      </c>
    </row>
    <row r="19773" spans="1:7" x14ac:dyDescent="0.2">
      <c r="A19773" t="s">
        <v>18568</v>
      </c>
      <c r="B19773" t="str">
        <f>"18734517373"</f>
        <v>18734517373</v>
      </c>
      <c r="C19773" t="str">
        <f>"140423197801280014"</f>
        <v>140423197801280014</v>
      </c>
      <c r="D19773" t="s">
        <v>1</v>
      </c>
      <c r="E19773" t="s">
        <v>1</v>
      </c>
      <c r="F19773" t="s">
        <v>0</v>
      </c>
      <c r="G19773" t="str">
        <f>"2018-10-10 15:29:12"</f>
        <v>2018-10-10 15:29:12</v>
      </c>
    </row>
    <row r="19774" spans="1:7" x14ac:dyDescent="0.2">
      <c r="A19774" t="s">
        <v>18569</v>
      </c>
      <c r="B19774" t="str">
        <f>"18004447145"</f>
        <v>18004447145</v>
      </c>
      <c r="C19774" t="str">
        <f>"220202198703134816"</f>
        <v>220202198703134816</v>
      </c>
      <c r="D19774" t="s">
        <v>1</v>
      </c>
      <c r="E19774" t="s">
        <v>1</v>
      </c>
      <c r="F19774" t="s">
        <v>0</v>
      </c>
      <c r="G19774" t="str">
        <f>"2018-10-11 13:36:12"</f>
        <v>2018-10-11 13:36:12</v>
      </c>
    </row>
    <row r="19775" spans="1:7" x14ac:dyDescent="0.2">
      <c r="A19775" t="s">
        <v>18570</v>
      </c>
      <c r="B19775" t="str">
        <f>"15971397751"</f>
        <v>15971397751</v>
      </c>
      <c r="C19775" t="str">
        <f>"422101198206093512"</f>
        <v>422101198206093512</v>
      </c>
      <c r="D19775" t="s">
        <v>1</v>
      </c>
      <c r="E19775" t="s">
        <v>1</v>
      </c>
      <c r="F19775" t="s">
        <v>0</v>
      </c>
      <c r="G19775" t="str">
        <f>"2018-10-10 15:29:15"</f>
        <v>2018-10-10 15:29:15</v>
      </c>
    </row>
    <row r="19776" spans="1:7" x14ac:dyDescent="0.2">
      <c r="A19776" t="s">
        <v>18571</v>
      </c>
      <c r="B19776" t="str">
        <f>"13617351383"</f>
        <v>13617351383</v>
      </c>
      <c r="C19776" t="str">
        <f>"431026197706183811"</f>
        <v>431026197706183811</v>
      </c>
      <c r="D19776" t="s">
        <v>1</v>
      </c>
      <c r="E19776" t="s">
        <v>1</v>
      </c>
      <c r="F19776" t="s">
        <v>0</v>
      </c>
      <c r="G19776" t="str">
        <f>"2018-10-10 16:09:24"</f>
        <v>2018-10-10 16:09:24</v>
      </c>
    </row>
    <row r="19777" spans="1:7" x14ac:dyDescent="0.2">
      <c r="A19777" t="s">
        <v>18572</v>
      </c>
      <c r="B19777" t="str">
        <f>"15281997714"</f>
        <v>15281997714</v>
      </c>
      <c r="C19777" t="str">
        <f>"410381199411146517"</f>
        <v>410381199411146517</v>
      </c>
      <c r="D19777" t="s">
        <v>1</v>
      </c>
      <c r="E19777" t="s">
        <v>1</v>
      </c>
      <c r="F19777" t="s">
        <v>0</v>
      </c>
      <c r="G19777" t="str">
        <f>"2018-10-28 14:19:57"</f>
        <v>2018-10-28 14:19:57</v>
      </c>
    </row>
    <row r="19778" spans="1:7" x14ac:dyDescent="0.2">
      <c r="A19778" t="s">
        <v>18573</v>
      </c>
      <c r="B19778" t="str">
        <f>"15036536035"</f>
        <v>15036536035</v>
      </c>
      <c r="C19778" t="str">
        <f>"410811199411090056"</f>
        <v>410811199411090056</v>
      </c>
      <c r="D19778" t="s">
        <v>1</v>
      </c>
      <c r="E19778" t="s">
        <v>1</v>
      </c>
      <c r="F19778" t="s">
        <v>0</v>
      </c>
      <c r="G19778" t="str">
        <f>"2018-10-10 15:31:05"</f>
        <v>2018-10-10 15:31:05</v>
      </c>
    </row>
    <row r="19779" spans="1:7" x14ac:dyDescent="0.2">
      <c r="A19779" t="s">
        <v>18574</v>
      </c>
      <c r="B19779" t="str">
        <f>"18105353056"</f>
        <v>18105353056</v>
      </c>
      <c r="C19779" t="str">
        <f>"370612198310050010"</f>
        <v>370612198310050010</v>
      </c>
      <c r="D19779" t="s">
        <v>1</v>
      </c>
      <c r="E19779" t="s">
        <v>1</v>
      </c>
      <c r="F19779" t="s">
        <v>0</v>
      </c>
      <c r="G19779" t="str">
        <f>"2018-10-17 10:22:02"</f>
        <v>2018-10-17 10:22:02</v>
      </c>
    </row>
    <row r="19780" spans="1:7" x14ac:dyDescent="0.2">
      <c r="A19780" t="s">
        <v>18575</v>
      </c>
      <c r="B19780" t="str">
        <f>"18713710233"</f>
        <v>18713710233</v>
      </c>
      <c r="C19780" t="str">
        <f>"130981198910131337"</f>
        <v>130981198910131337</v>
      </c>
      <c r="D19780" t="s">
        <v>1</v>
      </c>
      <c r="E19780" t="s">
        <v>1</v>
      </c>
      <c r="F19780" t="s">
        <v>0</v>
      </c>
      <c r="G19780" t="str">
        <f>"2018-10-10 16:02:03"</f>
        <v>2018-10-10 16:02:03</v>
      </c>
    </row>
    <row r="19781" spans="1:7" x14ac:dyDescent="0.2">
      <c r="A19781" t="s">
        <v>1</v>
      </c>
      <c r="B19781" t="str">
        <f>"15083800293"</f>
        <v>15083800293</v>
      </c>
      <c r="C19781" t="s">
        <v>1</v>
      </c>
      <c r="D19781" t="s">
        <v>1</v>
      </c>
      <c r="E19781" t="s">
        <v>1</v>
      </c>
      <c r="F19781" t="s">
        <v>0</v>
      </c>
      <c r="G19781" t="str">
        <f>"2018-10-10 15:24:57"</f>
        <v>2018-10-10 15:24:57</v>
      </c>
    </row>
    <row r="19782" spans="1:7" x14ac:dyDescent="0.2">
      <c r="A19782" t="s">
        <v>18576</v>
      </c>
      <c r="B19782" t="str">
        <f>"18686858328"</f>
        <v>18686858328</v>
      </c>
      <c r="C19782" t="str">
        <f>"230722198907281214"</f>
        <v>230722198907281214</v>
      </c>
      <c r="D19782" t="s">
        <v>1</v>
      </c>
      <c r="E19782" t="s">
        <v>1</v>
      </c>
      <c r="F19782" t="s">
        <v>0</v>
      </c>
      <c r="G19782" t="str">
        <f>"2018-10-11 13:33:31"</f>
        <v>2018-10-11 13:33:31</v>
      </c>
    </row>
    <row r="19783" spans="1:7" x14ac:dyDescent="0.2">
      <c r="A19783" t="s">
        <v>18577</v>
      </c>
      <c r="B19783" t="str">
        <f>"13703631165"</f>
        <v>13703631165</v>
      </c>
      <c r="C19783" t="str">
        <f>"232126198308290930"</f>
        <v>232126198308290930</v>
      </c>
      <c r="D19783" t="s">
        <v>1</v>
      </c>
      <c r="E19783" t="s">
        <v>1</v>
      </c>
      <c r="F19783" t="s">
        <v>0</v>
      </c>
      <c r="G19783" t="str">
        <f>"2018-10-10 15:27:28"</f>
        <v>2018-10-10 15:27:28</v>
      </c>
    </row>
    <row r="19784" spans="1:7" x14ac:dyDescent="0.2">
      <c r="A19784" t="s">
        <v>1174</v>
      </c>
      <c r="B19784" t="str">
        <f>"13376326767"</f>
        <v>13376326767</v>
      </c>
      <c r="C19784" t="str">
        <f>"370404198602271412"</f>
        <v>370404198602271412</v>
      </c>
      <c r="D19784" t="s">
        <v>1</v>
      </c>
      <c r="E19784" t="s">
        <v>1</v>
      </c>
      <c r="F19784" t="s">
        <v>0</v>
      </c>
      <c r="G19784" t="str">
        <f>"2018-10-10 15:24:16"</f>
        <v>2018-10-10 15:24:16</v>
      </c>
    </row>
    <row r="19785" spans="1:7" x14ac:dyDescent="0.2">
      <c r="A19785" t="s">
        <v>18578</v>
      </c>
      <c r="B19785" t="str">
        <f>"18345178912"</f>
        <v>18345178912</v>
      </c>
      <c r="C19785" t="str">
        <f>"220724198211261814"</f>
        <v>220724198211261814</v>
      </c>
      <c r="D19785" t="s">
        <v>1</v>
      </c>
      <c r="E19785" t="s">
        <v>1</v>
      </c>
      <c r="F19785" t="s">
        <v>0</v>
      </c>
      <c r="G19785" t="str">
        <f>"2018-10-10 15:24:17"</f>
        <v>2018-10-10 15:24:17</v>
      </c>
    </row>
    <row r="19786" spans="1:7" x14ac:dyDescent="0.2">
      <c r="A19786" t="s">
        <v>18579</v>
      </c>
      <c r="B19786" t="str">
        <f>"18710285722"</f>
        <v>18710285722</v>
      </c>
      <c r="C19786" t="str">
        <f>"620202198705070021"</f>
        <v>620202198705070021</v>
      </c>
      <c r="D19786" t="s">
        <v>18580</v>
      </c>
      <c r="E19786" t="s">
        <v>18581</v>
      </c>
      <c r="F19786" t="s">
        <v>0</v>
      </c>
      <c r="G19786" t="str">
        <f>"2018-10-10 15:24:20"</f>
        <v>2018-10-10 15:24:20</v>
      </c>
    </row>
    <row r="19787" spans="1:7" x14ac:dyDescent="0.2">
      <c r="A19787" t="s">
        <v>18582</v>
      </c>
      <c r="B19787" t="str">
        <f>"18455606636"</f>
        <v>18455606636</v>
      </c>
      <c r="C19787" t="str">
        <f>"340803199408242532"</f>
        <v>340803199408242532</v>
      </c>
      <c r="D19787" t="s">
        <v>1</v>
      </c>
      <c r="E19787" t="s">
        <v>1</v>
      </c>
      <c r="F19787" t="s">
        <v>0</v>
      </c>
      <c r="G19787" t="str">
        <f>"2018-10-10 15:23:04"</f>
        <v>2018-10-10 15:23:04</v>
      </c>
    </row>
    <row r="19788" spans="1:7" x14ac:dyDescent="0.2">
      <c r="A19788" t="s">
        <v>18583</v>
      </c>
      <c r="B19788" t="str">
        <f>"18787287294"</f>
        <v>18787287294</v>
      </c>
      <c r="C19788" t="str">
        <f>"532901199310055317"</f>
        <v>532901199310055317</v>
      </c>
      <c r="D19788" t="s">
        <v>1</v>
      </c>
      <c r="E19788" t="s">
        <v>1</v>
      </c>
      <c r="F19788" t="s">
        <v>0</v>
      </c>
      <c r="G19788" t="str">
        <f>"2018-10-10 15:26:46"</f>
        <v>2018-10-10 15:26:46</v>
      </c>
    </row>
    <row r="19789" spans="1:7" x14ac:dyDescent="0.2">
      <c r="A19789" t="s">
        <v>1</v>
      </c>
      <c r="B19789" t="str">
        <f>"13354259882"</f>
        <v>13354259882</v>
      </c>
      <c r="C19789" t="s">
        <v>1</v>
      </c>
      <c r="D19789" t="s">
        <v>1</v>
      </c>
      <c r="E19789" t="s">
        <v>1</v>
      </c>
      <c r="F19789" t="s">
        <v>0</v>
      </c>
      <c r="G19789" t="str">
        <f>"2018-10-10 15:20:06"</f>
        <v>2018-10-10 15:20:06</v>
      </c>
    </row>
    <row r="19790" spans="1:7" x14ac:dyDescent="0.2">
      <c r="A19790" t="s">
        <v>18584</v>
      </c>
      <c r="B19790" t="str">
        <f>"17859988543"</f>
        <v>17859988543</v>
      </c>
      <c r="C19790" t="str">
        <f>"350625199508141519"</f>
        <v>350625199508141519</v>
      </c>
      <c r="D19790" t="s">
        <v>1</v>
      </c>
      <c r="E19790" t="s">
        <v>1</v>
      </c>
      <c r="F19790" t="s">
        <v>0</v>
      </c>
      <c r="G19790" t="str">
        <f>"2018-10-10 20:20:39"</f>
        <v>2018-10-10 20:20:39</v>
      </c>
    </row>
    <row r="19791" spans="1:7" x14ac:dyDescent="0.2">
      <c r="A19791" t="s">
        <v>18585</v>
      </c>
      <c r="B19791" t="str">
        <f>"15093955502"</f>
        <v>15093955502</v>
      </c>
      <c r="C19791" t="str">
        <f>"410522199202160612"</f>
        <v>410522199202160612</v>
      </c>
      <c r="D19791" t="s">
        <v>18586</v>
      </c>
      <c r="E19791" t="s">
        <v>18587</v>
      </c>
      <c r="F19791" t="s">
        <v>0</v>
      </c>
      <c r="G19791" t="str">
        <f>"2018-10-10 15:20:30"</f>
        <v>2018-10-10 15:20:30</v>
      </c>
    </row>
    <row r="19792" spans="1:7" x14ac:dyDescent="0.2">
      <c r="A19792" t="s">
        <v>18588</v>
      </c>
      <c r="B19792" t="str">
        <f>"18391450974"</f>
        <v>18391450974</v>
      </c>
      <c r="C19792" t="str">
        <f>"610321199310130429"</f>
        <v>610321199310130429</v>
      </c>
      <c r="D19792" t="s">
        <v>1</v>
      </c>
      <c r="E19792" t="s">
        <v>1</v>
      </c>
      <c r="F19792" t="s">
        <v>0</v>
      </c>
      <c r="G19792" t="str">
        <f>"2018-10-10 15:22:47"</f>
        <v>2018-10-10 15:22:47</v>
      </c>
    </row>
    <row r="19793" spans="1:7" x14ac:dyDescent="0.2">
      <c r="A19793" t="s">
        <v>18589</v>
      </c>
      <c r="B19793" t="str">
        <f>"17645527422"</f>
        <v>17645527422</v>
      </c>
      <c r="C19793" t="str">
        <f>"232321199004037243"</f>
        <v>232321199004037243</v>
      </c>
      <c r="D19793" t="s">
        <v>1</v>
      </c>
      <c r="E19793" t="s">
        <v>1</v>
      </c>
      <c r="F19793" t="s">
        <v>0</v>
      </c>
      <c r="G19793" t="str">
        <f>"2018-10-10 15:21:16"</f>
        <v>2018-10-10 15:21:16</v>
      </c>
    </row>
    <row r="19794" spans="1:7" x14ac:dyDescent="0.2">
      <c r="A19794" t="s">
        <v>18590</v>
      </c>
      <c r="B19794" t="str">
        <f>"13666330015"</f>
        <v>13666330015</v>
      </c>
      <c r="C19794" t="str">
        <f>"371102198902253816"</f>
        <v>371102198902253816</v>
      </c>
      <c r="D19794" t="s">
        <v>1</v>
      </c>
      <c r="E19794" t="s">
        <v>1</v>
      </c>
      <c r="F19794" t="s">
        <v>0</v>
      </c>
      <c r="G19794" t="str">
        <f>"2018-10-10 15:20:06"</f>
        <v>2018-10-10 15:20:06</v>
      </c>
    </row>
    <row r="19795" spans="1:7" x14ac:dyDescent="0.2">
      <c r="A19795" t="s">
        <v>18591</v>
      </c>
      <c r="B19795" t="str">
        <f>"13552307053"</f>
        <v>13552307053</v>
      </c>
      <c r="C19795" t="str">
        <f>"342622198110285658"</f>
        <v>342622198110285658</v>
      </c>
      <c r="D19795" t="s">
        <v>1</v>
      </c>
      <c r="E19795" t="s">
        <v>1</v>
      </c>
      <c r="F19795" t="s">
        <v>0</v>
      </c>
      <c r="G19795" t="str">
        <f>"2018-10-10 15:19:59"</f>
        <v>2018-10-10 15:19:59</v>
      </c>
    </row>
    <row r="19796" spans="1:7" x14ac:dyDescent="0.2">
      <c r="A19796" t="s">
        <v>1</v>
      </c>
      <c r="B19796" t="str">
        <f>"18520615231"</f>
        <v>18520615231</v>
      </c>
      <c r="C19796" t="s">
        <v>1</v>
      </c>
      <c r="D19796" t="s">
        <v>1</v>
      </c>
      <c r="E19796" t="s">
        <v>1</v>
      </c>
      <c r="F19796" t="s">
        <v>0</v>
      </c>
      <c r="G19796" t="str">
        <f>"2018-10-10 15:18:20"</f>
        <v>2018-10-10 15:18:20</v>
      </c>
    </row>
    <row r="19797" spans="1:7" x14ac:dyDescent="0.2">
      <c r="A19797" t="s">
        <v>18592</v>
      </c>
      <c r="B19797" t="str">
        <f>"17606078197"</f>
        <v>17606078197</v>
      </c>
      <c r="C19797" t="str">
        <f>"350322199609073011"</f>
        <v>350322199609073011</v>
      </c>
      <c r="D19797" t="s">
        <v>1</v>
      </c>
      <c r="E19797" t="s">
        <v>1</v>
      </c>
      <c r="F19797" t="s">
        <v>0</v>
      </c>
      <c r="G19797" t="str">
        <f>"2018-10-10 15:20:27"</f>
        <v>2018-10-10 15:20:27</v>
      </c>
    </row>
    <row r="19798" spans="1:7" x14ac:dyDescent="0.2">
      <c r="A19798" t="s">
        <v>18593</v>
      </c>
      <c r="B19798" t="str">
        <f>"18919840202"</f>
        <v>18919840202</v>
      </c>
      <c r="C19798" t="str">
        <f>"632122198402020450"</f>
        <v>632122198402020450</v>
      </c>
      <c r="D19798" t="s">
        <v>1</v>
      </c>
      <c r="E19798" t="s">
        <v>1</v>
      </c>
      <c r="F19798" t="s">
        <v>0</v>
      </c>
      <c r="G19798" t="str">
        <f>"2018-10-10 15:17:09"</f>
        <v>2018-10-10 15:17:09</v>
      </c>
    </row>
    <row r="19799" spans="1:7" x14ac:dyDescent="0.2">
      <c r="A19799" t="s">
        <v>1190</v>
      </c>
      <c r="B19799" t="str">
        <f>"13889754897"</f>
        <v>13889754897</v>
      </c>
      <c r="C19799" t="str">
        <f>"211422199005152320"</f>
        <v>211422199005152320</v>
      </c>
      <c r="D19799" t="s">
        <v>1</v>
      </c>
      <c r="E19799" t="s">
        <v>1</v>
      </c>
      <c r="F19799" t="s">
        <v>0</v>
      </c>
      <c r="G19799" t="str">
        <f>"2018-10-10 15:25:07"</f>
        <v>2018-10-10 15:25:07</v>
      </c>
    </row>
    <row r="19800" spans="1:7" x14ac:dyDescent="0.2">
      <c r="A19800" t="s">
        <v>18594</v>
      </c>
      <c r="B19800" t="str">
        <f>"15935919498"</f>
        <v>15935919498</v>
      </c>
      <c r="C19800" t="str">
        <f>"142731199306273017"</f>
        <v>142731199306273017</v>
      </c>
      <c r="D19800" t="s">
        <v>1</v>
      </c>
      <c r="E19800" t="s">
        <v>1</v>
      </c>
      <c r="F19800" t="s">
        <v>0</v>
      </c>
      <c r="G19800" t="str">
        <f>"2018-10-10 15:18:03"</f>
        <v>2018-10-10 15:18:03</v>
      </c>
    </row>
    <row r="19801" spans="1:7" x14ac:dyDescent="0.2">
      <c r="A19801" t="s">
        <v>18595</v>
      </c>
      <c r="B19801" t="str">
        <f>"15087340799"</f>
        <v>15087340799</v>
      </c>
      <c r="C19801" t="str">
        <f>"532523199007041218"</f>
        <v>532523199007041218</v>
      </c>
      <c r="D19801" t="s">
        <v>1</v>
      </c>
      <c r="E19801" t="s">
        <v>1</v>
      </c>
      <c r="F19801" t="s">
        <v>0</v>
      </c>
      <c r="G19801" t="str">
        <f>"2018-10-10 15:17:14"</f>
        <v>2018-10-10 15:17:14</v>
      </c>
    </row>
    <row r="19802" spans="1:7" x14ac:dyDescent="0.2">
      <c r="A19802" t="s">
        <v>1</v>
      </c>
      <c r="B19802" t="str">
        <f>"13917816515"</f>
        <v>13917816515</v>
      </c>
      <c r="C19802" t="s">
        <v>1</v>
      </c>
      <c r="D19802" t="s">
        <v>1</v>
      </c>
      <c r="E19802" t="s">
        <v>1</v>
      </c>
      <c r="F19802" t="s">
        <v>0</v>
      </c>
      <c r="G19802" t="str">
        <f>"2018-10-10 15:14:40"</f>
        <v>2018-10-10 15:14:40</v>
      </c>
    </row>
    <row r="19803" spans="1:7" x14ac:dyDescent="0.2">
      <c r="A19803" t="s">
        <v>18596</v>
      </c>
      <c r="B19803" t="str">
        <f>"18753478353"</f>
        <v>18753478353</v>
      </c>
      <c r="C19803" t="str">
        <f>"371426198706252442"</f>
        <v>371426198706252442</v>
      </c>
      <c r="D19803" t="s">
        <v>1</v>
      </c>
      <c r="E19803" t="s">
        <v>1</v>
      </c>
      <c r="F19803" t="s">
        <v>0</v>
      </c>
      <c r="G19803" t="str">
        <f>"2018-10-10 15:18:22"</f>
        <v>2018-10-10 15:18:22</v>
      </c>
    </row>
    <row r="19804" spans="1:7" x14ac:dyDescent="0.2">
      <c r="A19804" t="s">
        <v>18597</v>
      </c>
      <c r="B19804" t="str">
        <f>"13595702448"</f>
        <v>13595702448</v>
      </c>
      <c r="C19804" t="str">
        <f>"522423197712056320"</f>
        <v>522423197712056320</v>
      </c>
      <c r="D19804" t="s">
        <v>1</v>
      </c>
      <c r="E19804" t="s">
        <v>1</v>
      </c>
      <c r="F19804" t="s">
        <v>0</v>
      </c>
      <c r="G19804" t="str">
        <f>"2018-10-10 16:03:56"</f>
        <v>2018-10-10 16:03:56</v>
      </c>
    </row>
    <row r="19805" spans="1:7" x14ac:dyDescent="0.2">
      <c r="A19805" t="s">
        <v>1</v>
      </c>
      <c r="B19805" t="str">
        <f>"13207863434"</f>
        <v>13207863434</v>
      </c>
      <c r="C19805" t="s">
        <v>1</v>
      </c>
      <c r="D19805" t="s">
        <v>1</v>
      </c>
      <c r="E19805" t="s">
        <v>1</v>
      </c>
      <c r="F19805" t="s">
        <v>0</v>
      </c>
      <c r="G19805" t="str">
        <f>"2018-10-10 15:11:26"</f>
        <v>2018-10-10 15:11:26</v>
      </c>
    </row>
    <row r="19806" spans="1:7" x14ac:dyDescent="0.2">
      <c r="A19806" t="s">
        <v>1</v>
      </c>
      <c r="B19806" t="str">
        <f>"18805201031"</f>
        <v>18805201031</v>
      </c>
      <c r="C19806" t="s">
        <v>1</v>
      </c>
      <c r="D19806" t="s">
        <v>1</v>
      </c>
      <c r="E19806" t="s">
        <v>1</v>
      </c>
      <c r="F19806" t="s">
        <v>0</v>
      </c>
      <c r="G19806" t="str">
        <f>"2018-10-10 15:11:08"</f>
        <v>2018-10-10 15:11:08</v>
      </c>
    </row>
    <row r="19807" spans="1:7" x14ac:dyDescent="0.2">
      <c r="A19807" t="s">
        <v>18598</v>
      </c>
      <c r="B19807" t="str">
        <f>"18355052159"</f>
        <v>18355052159</v>
      </c>
      <c r="C19807" t="str">
        <f>"34112419970421782X"</f>
        <v>34112419970421782X</v>
      </c>
      <c r="D19807" t="s">
        <v>1</v>
      </c>
      <c r="E19807" t="s">
        <v>1</v>
      </c>
      <c r="F19807" t="s">
        <v>0</v>
      </c>
      <c r="G19807" t="str">
        <f>"2018-10-10 15:11:00"</f>
        <v>2018-10-10 15:11:00</v>
      </c>
    </row>
    <row r="19808" spans="1:7" x14ac:dyDescent="0.2">
      <c r="A19808" t="s">
        <v>18599</v>
      </c>
      <c r="B19808" t="str">
        <f>"13796671899"</f>
        <v>13796671899</v>
      </c>
      <c r="C19808" t="str">
        <f>"230106198004073024"</f>
        <v>230106198004073024</v>
      </c>
      <c r="D19808" t="s">
        <v>1</v>
      </c>
      <c r="E19808" t="s">
        <v>1</v>
      </c>
      <c r="F19808" t="s">
        <v>0</v>
      </c>
      <c r="G19808" t="str">
        <f>"2018-10-13 15:56:21"</f>
        <v>2018-10-13 15:56:21</v>
      </c>
    </row>
    <row r="19809" spans="1:7" x14ac:dyDescent="0.2">
      <c r="A19809" t="s">
        <v>1466</v>
      </c>
      <c r="B19809" t="str">
        <f>"15853368222"</f>
        <v>15853368222</v>
      </c>
      <c r="C19809" t="str">
        <f>"370321199110260018"</f>
        <v>370321199110260018</v>
      </c>
      <c r="D19809" t="s">
        <v>18600</v>
      </c>
      <c r="E19809" t="s">
        <v>18601</v>
      </c>
      <c r="F19809" t="s">
        <v>0</v>
      </c>
      <c r="G19809" t="str">
        <f>"2018-10-10 15:11:48"</f>
        <v>2018-10-10 15:11:48</v>
      </c>
    </row>
    <row r="19810" spans="1:7" x14ac:dyDescent="0.2">
      <c r="A19810" t="s">
        <v>18602</v>
      </c>
      <c r="B19810" t="str">
        <f>"15040564352"</f>
        <v>15040564352</v>
      </c>
      <c r="C19810" t="str">
        <f>"230523198602070825"</f>
        <v>230523198602070825</v>
      </c>
      <c r="D19810" t="s">
        <v>1</v>
      </c>
      <c r="E19810" t="s">
        <v>1</v>
      </c>
      <c r="F19810" t="s">
        <v>0</v>
      </c>
      <c r="G19810" t="str">
        <f>"2018-10-10 15:30:46"</f>
        <v>2018-10-10 15:30:46</v>
      </c>
    </row>
    <row r="19811" spans="1:7" x14ac:dyDescent="0.2">
      <c r="A19811" t="s">
        <v>18603</v>
      </c>
      <c r="B19811" t="str">
        <f>"15864322234"</f>
        <v>15864322234</v>
      </c>
      <c r="C19811" t="str">
        <f>"370783199510294795"</f>
        <v>370783199510294795</v>
      </c>
      <c r="D19811" t="s">
        <v>18604</v>
      </c>
      <c r="E19811" t="s">
        <v>18605</v>
      </c>
      <c r="F19811" t="s">
        <v>0</v>
      </c>
      <c r="G19811" t="str">
        <f>"2018-10-10 15:13:38"</f>
        <v>2018-10-10 15:13:38</v>
      </c>
    </row>
    <row r="19812" spans="1:7" x14ac:dyDescent="0.2">
      <c r="A19812" t="s">
        <v>1</v>
      </c>
      <c r="B19812" t="str">
        <f>"18251187298"</f>
        <v>18251187298</v>
      </c>
      <c r="C19812" t="s">
        <v>1</v>
      </c>
      <c r="D19812" t="s">
        <v>1</v>
      </c>
      <c r="E19812" t="s">
        <v>1</v>
      </c>
      <c r="F19812" t="s">
        <v>0</v>
      </c>
      <c r="G19812" t="str">
        <f>"2018-10-10 15:09:20"</f>
        <v>2018-10-10 15:09:20</v>
      </c>
    </row>
    <row r="19813" spans="1:7" x14ac:dyDescent="0.2">
      <c r="A19813" t="s">
        <v>18606</v>
      </c>
      <c r="B19813" t="str">
        <f>"15202449997"</f>
        <v>15202449997</v>
      </c>
      <c r="C19813" t="str">
        <f>"610115198902284031"</f>
        <v>610115198902284031</v>
      </c>
      <c r="D19813" t="s">
        <v>1</v>
      </c>
      <c r="E19813" t="s">
        <v>1</v>
      </c>
      <c r="F19813" t="s">
        <v>0</v>
      </c>
      <c r="G19813" t="str">
        <f>"2018-10-10 19:26:31"</f>
        <v>2018-10-10 19:26:31</v>
      </c>
    </row>
    <row r="19814" spans="1:7" x14ac:dyDescent="0.2">
      <c r="A19814" t="s">
        <v>18607</v>
      </c>
      <c r="B19814" t="str">
        <f>"17774421288"</f>
        <v>17774421288</v>
      </c>
      <c r="C19814" t="str">
        <f>"430802199909034411"</f>
        <v>430802199909034411</v>
      </c>
      <c r="D19814" t="s">
        <v>1</v>
      </c>
      <c r="E19814" t="s">
        <v>1</v>
      </c>
      <c r="F19814" t="s">
        <v>0</v>
      </c>
      <c r="G19814" t="str">
        <f>"2018-10-10 15:09:14"</f>
        <v>2018-10-10 15:09:14</v>
      </c>
    </row>
    <row r="19815" spans="1:7" x14ac:dyDescent="0.2">
      <c r="A19815" t="s">
        <v>1</v>
      </c>
      <c r="B19815" t="str">
        <f>"13845069100"</f>
        <v>13845069100</v>
      </c>
      <c r="C19815" t="s">
        <v>1</v>
      </c>
      <c r="D19815" t="s">
        <v>1</v>
      </c>
      <c r="E19815" t="s">
        <v>1</v>
      </c>
      <c r="F19815" t="s">
        <v>0</v>
      </c>
      <c r="G19815" t="str">
        <f>"2018-10-10 15:09:08"</f>
        <v>2018-10-10 15:09:08</v>
      </c>
    </row>
    <row r="19816" spans="1:7" x14ac:dyDescent="0.2">
      <c r="A19816" t="s">
        <v>18608</v>
      </c>
      <c r="B19816" t="str">
        <f>"13793883800"</f>
        <v>13793883800</v>
      </c>
      <c r="C19816" t="str">
        <f>"372324198206270313"</f>
        <v>372324198206270313</v>
      </c>
      <c r="D19816" t="s">
        <v>1</v>
      </c>
      <c r="E19816" t="s">
        <v>1</v>
      </c>
      <c r="F19816" t="s">
        <v>0</v>
      </c>
      <c r="G19816" t="str">
        <f>"2018-10-10 15:45:11"</f>
        <v>2018-10-10 15:45:11</v>
      </c>
    </row>
    <row r="19817" spans="1:7" x14ac:dyDescent="0.2">
      <c r="A19817" t="s">
        <v>1</v>
      </c>
      <c r="B19817" t="str">
        <f>"13621532547"</f>
        <v>13621532547</v>
      </c>
      <c r="C19817" t="s">
        <v>1</v>
      </c>
      <c r="D19817" t="s">
        <v>1</v>
      </c>
      <c r="E19817" t="s">
        <v>1</v>
      </c>
      <c r="F19817" t="s">
        <v>0</v>
      </c>
      <c r="G19817" t="str">
        <f>"2018-10-10 15:08:41"</f>
        <v>2018-10-10 15:08:41</v>
      </c>
    </row>
    <row r="19818" spans="1:7" x14ac:dyDescent="0.2">
      <c r="A19818" t="s">
        <v>18609</v>
      </c>
      <c r="B19818" t="str">
        <f>"13834709101"</f>
        <v>13834709101</v>
      </c>
      <c r="C19818" t="str">
        <f>"142731199006274237"</f>
        <v>142731199006274237</v>
      </c>
      <c r="D19818" t="s">
        <v>1</v>
      </c>
      <c r="E19818" t="s">
        <v>1</v>
      </c>
      <c r="F19818" t="s">
        <v>0</v>
      </c>
      <c r="G19818" t="str">
        <f>"2018-10-10 15:09:55"</f>
        <v>2018-10-10 15:09:55</v>
      </c>
    </row>
    <row r="19819" spans="1:7" x14ac:dyDescent="0.2">
      <c r="A19819" t="s">
        <v>18610</v>
      </c>
      <c r="B19819" t="str">
        <f>"15755053502"</f>
        <v>15755053502</v>
      </c>
      <c r="C19819" t="str">
        <f>"340323199409240027"</f>
        <v>340323199409240027</v>
      </c>
      <c r="D19819" t="s">
        <v>1</v>
      </c>
      <c r="E19819" t="s">
        <v>1</v>
      </c>
      <c r="F19819" t="s">
        <v>0</v>
      </c>
      <c r="G19819" t="str">
        <f>"2018-10-10 15:23:06"</f>
        <v>2018-10-10 15:23:06</v>
      </c>
    </row>
    <row r="19820" spans="1:7" x14ac:dyDescent="0.2">
      <c r="A19820" t="s">
        <v>1</v>
      </c>
      <c r="B19820" t="str">
        <f>"13323504144"</f>
        <v>13323504144</v>
      </c>
      <c r="C19820" t="s">
        <v>1</v>
      </c>
      <c r="D19820" t="s">
        <v>1</v>
      </c>
      <c r="E19820" t="s">
        <v>1</v>
      </c>
      <c r="F19820" t="s">
        <v>0</v>
      </c>
      <c r="G19820" t="str">
        <f>"2018-10-10 15:07:55"</f>
        <v>2018-10-10 15:07:55</v>
      </c>
    </row>
    <row r="19821" spans="1:7" x14ac:dyDescent="0.2">
      <c r="A19821" t="s">
        <v>18611</v>
      </c>
      <c r="B19821" t="str">
        <f>"13536082357"</f>
        <v>13536082357</v>
      </c>
      <c r="C19821" t="str">
        <f>"511323198910265672"</f>
        <v>511323198910265672</v>
      </c>
      <c r="D19821" t="s">
        <v>18612</v>
      </c>
      <c r="E19821" t="s">
        <v>18613</v>
      </c>
      <c r="F19821" t="s">
        <v>0</v>
      </c>
      <c r="G19821" t="str">
        <f>"2018-10-10 16:02:09"</f>
        <v>2018-10-10 16:02:09</v>
      </c>
    </row>
    <row r="19822" spans="1:7" x14ac:dyDescent="0.2">
      <c r="A19822" t="s">
        <v>18614</v>
      </c>
      <c r="B19822" t="str">
        <f>"13132738793"</f>
        <v>13132738793</v>
      </c>
      <c r="C19822" t="str">
        <f>"450326199604240633"</f>
        <v>450326199604240633</v>
      </c>
      <c r="D19822" t="s">
        <v>1</v>
      </c>
      <c r="E19822" t="s">
        <v>1</v>
      </c>
      <c r="F19822" t="s">
        <v>0</v>
      </c>
      <c r="G19822" t="str">
        <f>"2018-10-10 15:07:32"</f>
        <v>2018-10-10 15:07:32</v>
      </c>
    </row>
    <row r="19823" spans="1:7" x14ac:dyDescent="0.2">
      <c r="A19823" t="s">
        <v>4869</v>
      </c>
      <c r="B19823" t="str">
        <f>"13730320828"</f>
        <v>13730320828</v>
      </c>
      <c r="C19823" t="str">
        <f>"130726198708183920"</f>
        <v>130726198708183920</v>
      </c>
      <c r="D19823" t="s">
        <v>1</v>
      </c>
      <c r="E19823" t="s">
        <v>1</v>
      </c>
      <c r="F19823" t="s">
        <v>0</v>
      </c>
      <c r="G19823" t="str">
        <f>"2018-10-10 15:12:44"</f>
        <v>2018-10-10 15:12:44</v>
      </c>
    </row>
    <row r="19824" spans="1:7" x14ac:dyDescent="0.2">
      <c r="A19824" t="s">
        <v>18615</v>
      </c>
      <c r="B19824" t="str">
        <f>"15928603063"</f>
        <v>15928603063</v>
      </c>
      <c r="C19824" t="str">
        <f>"513723199111102592"</f>
        <v>513723199111102592</v>
      </c>
      <c r="D19824" t="s">
        <v>1</v>
      </c>
      <c r="E19824" t="s">
        <v>1</v>
      </c>
      <c r="F19824" t="s">
        <v>0</v>
      </c>
      <c r="G19824" t="str">
        <f>"2018-10-10 15:08:32"</f>
        <v>2018-10-10 15:08:32</v>
      </c>
    </row>
    <row r="19825" spans="1:7" x14ac:dyDescent="0.2">
      <c r="A19825" t="s">
        <v>18616</v>
      </c>
      <c r="B19825" t="str">
        <f>"15657160208"</f>
        <v>15657160208</v>
      </c>
      <c r="C19825" t="str">
        <f>"330521199104101321"</f>
        <v>330521199104101321</v>
      </c>
      <c r="D19825" t="s">
        <v>1</v>
      </c>
      <c r="E19825" t="s">
        <v>1</v>
      </c>
      <c r="F19825" t="s">
        <v>0</v>
      </c>
      <c r="G19825" t="str">
        <f>"2018-10-10 15:06:24"</f>
        <v>2018-10-10 15:06:24</v>
      </c>
    </row>
    <row r="19826" spans="1:7" x14ac:dyDescent="0.2">
      <c r="A19826" t="s">
        <v>18617</v>
      </c>
      <c r="B19826" t="str">
        <f>"13348358010"</f>
        <v>13348358010</v>
      </c>
      <c r="C19826" t="str">
        <f>"352625197601090018"</f>
        <v>352625197601090018</v>
      </c>
      <c r="D19826" t="s">
        <v>1</v>
      </c>
      <c r="E19826" t="s">
        <v>1</v>
      </c>
      <c r="F19826" t="s">
        <v>0</v>
      </c>
      <c r="G19826" t="str">
        <f>"2018-10-10 15:07:00"</f>
        <v>2018-10-10 15:07:00</v>
      </c>
    </row>
    <row r="19827" spans="1:7" x14ac:dyDescent="0.2">
      <c r="A19827" t="s">
        <v>18618</v>
      </c>
      <c r="B19827" t="str">
        <f>"13485180139"</f>
        <v>13485180139</v>
      </c>
      <c r="C19827" t="str">
        <f>"320682199905236433"</f>
        <v>320682199905236433</v>
      </c>
      <c r="D19827" t="s">
        <v>1</v>
      </c>
      <c r="E19827" t="s">
        <v>1</v>
      </c>
      <c r="F19827" t="s">
        <v>0</v>
      </c>
      <c r="G19827" t="str">
        <f>"2018-10-10 15:06:27"</f>
        <v>2018-10-10 15:06:27</v>
      </c>
    </row>
    <row r="19828" spans="1:7" x14ac:dyDescent="0.2">
      <c r="A19828" t="s">
        <v>1</v>
      </c>
      <c r="B19828" t="str">
        <f>"13885122540"</f>
        <v>13885122540</v>
      </c>
      <c r="C19828" t="s">
        <v>1</v>
      </c>
      <c r="D19828" t="s">
        <v>1</v>
      </c>
      <c r="E19828" t="s">
        <v>1</v>
      </c>
      <c r="F19828" t="s">
        <v>0</v>
      </c>
      <c r="G19828" t="str">
        <f>"2018-10-10 15:04:57"</f>
        <v>2018-10-10 15:04:57</v>
      </c>
    </row>
    <row r="19829" spans="1:7" x14ac:dyDescent="0.2">
      <c r="A19829" t="s">
        <v>18619</v>
      </c>
      <c r="B19829" t="str">
        <f>"13400711870"</f>
        <v>13400711870</v>
      </c>
      <c r="C19829" t="str">
        <f>"352601197404284031"</f>
        <v>352601197404284031</v>
      </c>
      <c r="D19829" t="s">
        <v>1</v>
      </c>
      <c r="E19829" t="s">
        <v>1</v>
      </c>
      <c r="F19829" t="s">
        <v>0</v>
      </c>
      <c r="G19829" t="str">
        <f>"2018-10-10 15:16:31"</f>
        <v>2018-10-10 15:16:31</v>
      </c>
    </row>
    <row r="19830" spans="1:7" x14ac:dyDescent="0.2">
      <c r="A19830" t="s">
        <v>18620</v>
      </c>
      <c r="B19830" t="str">
        <f>"18286743862"</f>
        <v>18286743862</v>
      </c>
      <c r="C19830" t="str">
        <f>"522427199702080831"</f>
        <v>522427199702080831</v>
      </c>
      <c r="D19830" t="s">
        <v>1</v>
      </c>
      <c r="E19830" t="s">
        <v>1</v>
      </c>
      <c r="F19830" t="s">
        <v>0</v>
      </c>
      <c r="G19830" t="str">
        <f>"2018-10-10 15:04:03"</f>
        <v>2018-10-10 15:04:03</v>
      </c>
    </row>
    <row r="19831" spans="1:7" x14ac:dyDescent="0.2">
      <c r="A19831" t="s">
        <v>18621</v>
      </c>
      <c r="B19831" t="str">
        <f>"15075447516"</f>
        <v>15075447516</v>
      </c>
      <c r="C19831" t="str">
        <f>"130981199006051333"</f>
        <v>130981199006051333</v>
      </c>
      <c r="D19831" t="s">
        <v>18622</v>
      </c>
      <c r="E19831" t="s">
        <v>18623</v>
      </c>
      <c r="F19831" t="s">
        <v>0</v>
      </c>
      <c r="G19831" t="str">
        <f>"2018-10-10 15:07:55"</f>
        <v>2018-10-10 15:07:55</v>
      </c>
    </row>
    <row r="19832" spans="1:7" x14ac:dyDescent="0.2">
      <c r="A19832" t="s">
        <v>18624</v>
      </c>
      <c r="B19832" t="str">
        <f>"13904996222"</f>
        <v>13904996222</v>
      </c>
      <c r="C19832" t="str">
        <f>"211021199505240847"</f>
        <v>211021199505240847</v>
      </c>
      <c r="D19832" t="s">
        <v>18625</v>
      </c>
      <c r="E19832" t="s">
        <v>18625</v>
      </c>
      <c r="F19832" t="s">
        <v>0</v>
      </c>
      <c r="G19832" t="str">
        <f>"2018-10-13 09:52:45"</f>
        <v>2018-10-13 09:52:45</v>
      </c>
    </row>
    <row r="19833" spans="1:7" x14ac:dyDescent="0.2">
      <c r="A19833" t="s">
        <v>18626</v>
      </c>
      <c r="B19833" t="str">
        <f>"13816322746"</f>
        <v>13816322746</v>
      </c>
      <c r="C19833" t="str">
        <f>"220183199601082215"</f>
        <v>220183199601082215</v>
      </c>
      <c r="D19833" t="s">
        <v>1</v>
      </c>
      <c r="E19833" t="s">
        <v>1</v>
      </c>
      <c r="F19833" t="s">
        <v>0</v>
      </c>
      <c r="G19833" t="str">
        <f>"2018-11-04 03:57:59"</f>
        <v>2018-11-04 03:57:59</v>
      </c>
    </row>
    <row r="19834" spans="1:7" x14ac:dyDescent="0.2">
      <c r="A19834" t="s">
        <v>18627</v>
      </c>
      <c r="B19834" t="str">
        <f>"13867065781"</f>
        <v>13867065781</v>
      </c>
      <c r="C19834" t="str">
        <f>"332526199903072516"</f>
        <v>332526199903072516</v>
      </c>
      <c r="D19834" t="s">
        <v>1</v>
      </c>
      <c r="E19834" t="s">
        <v>1</v>
      </c>
      <c r="F19834" t="s">
        <v>0</v>
      </c>
      <c r="G19834" t="str">
        <f>"2018-10-10 15:07:57"</f>
        <v>2018-10-10 15:07:57</v>
      </c>
    </row>
    <row r="19835" spans="1:7" x14ac:dyDescent="0.2">
      <c r="A19835" t="s">
        <v>37</v>
      </c>
      <c r="B19835" t="str">
        <f>"18668923476"</f>
        <v>18668923476</v>
      </c>
      <c r="C19835" t="str">
        <f>"371203197911203535"</f>
        <v>371203197911203535</v>
      </c>
      <c r="D19835" t="s">
        <v>1</v>
      </c>
      <c r="E19835" t="s">
        <v>1</v>
      </c>
      <c r="F19835" t="s">
        <v>0</v>
      </c>
      <c r="G19835" t="str">
        <f>"2018-10-10 15:01:24"</f>
        <v>2018-10-10 15:01:24</v>
      </c>
    </row>
    <row r="19836" spans="1:7" x14ac:dyDescent="0.2">
      <c r="A19836" t="s">
        <v>1167</v>
      </c>
      <c r="B19836" t="str">
        <f>"13980529352"</f>
        <v>13980529352</v>
      </c>
      <c r="C19836" t="str">
        <f>"510302198006040528"</f>
        <v>510302198006040528</v>
      </c>
      <c r="D19836" t="s">
        <v>1</v>
      </c>
      <c r="E19836" t="s">
        <v>1</v>
      </c>
      <c r="F19836" t="s">
        <v>0</v>
      </c>
      <c r="G19836" t="str">
        <f>"2018-10-10 15:55:22"</f>
        <v>2018-10-10 15:55:22</v>
      </c>
    </row>
    <row r="19837" spans="1:7" x14ac:dyDescent="0.2">
      <c r="A19837" t="s">
        <v>1</v>
      </c>
      <c r="B19837" t="str">
        <f>"15892090990"</f>
        <v>15892090990</v>
      </c>
      <c r="C19837" t="s">
        <v>1</v>
      </c>
      <c r="D19837" t="s">
        <v>1</v>
      </c>
      <c r="E19837" t="s">
        <v>1</v>
      </c>
      <c r="F19837" t="s">
        <v>0</v>
      </c>
      <c r="G19837" t="str">
        <f>"2018-10-10 14:58:56"</f>
        <v>2018-10-10 14:58:56</v>
      </c>
    </row>
    <row r="19838" spans="1:7" x14ac:dyDescent="0.2">
      <c r="A19838" t="s">
        <v>18628</v>
      </c>
      <c r="B19838" t="str">
        <f>"15046499881"</f>
        <v>15046499881</v>
      </c>
      <c r="C19838" t="str">
        <f>"230882198706094510"</f>
        <v>230882198706094510</v>
      </c>
      <c r="D19838" t="s">
        <v>18629</v>
      </c>
      <c r="E19838" t="s">
        <v>18630</v>
      </c>
      <c r="F19838" t="s">
        <v>0</v>
      </c>
      <c r="G19838" t="str">
        <f>"2018-10-10 16:10:51"</f>
        <v>2018-10-10 16:10:51</v>
      </c>
    </row>
    <row r="19839" spans="1:7" x14ac:dyDescent="0.2">
      <c r="A19839" t="s">
        <v>18631</v>
      </c>
      <c r="B19839" t="str">
        <f>"13914075742"</f>
        <v>13914075742</v>
      </c>
      <c r="C19839" t="str">
        <f>"320722199402227315"</f>
        <v>320722199402227315</v>
      </c>
      <c r="D19839" t="s">
        <v>1</v>
      </c>
      <c r="E19839" t="s">
        <v>1</v>
      </c>
      <c r="F19839" t="s">
        <v>0</v>
      </c>
      <c r="G19839" t="str">
        <f>"2018-10-10 15:01:28"</f>
        <v>2018-10-10 15:01:28</v>
      </c>
    </row>
    <row r="19840" spans="1:7" x14ac:dyDescent="0.2">
      <c r="A19840" t="s">
        <v>18632</v>
      </c>
      <c r="B19840" t="str">
        <f>"14747126641"</f>
        <v>14747126641</v>
      </c>
      <c r="C19840" t="str">
        <f>"140212199710300058"</f>
        <v>140212199710300058</v>
      </c>
      <c r="D19840" t="s">
        <v>1</v>
      </c>
      <c r="E19840" t="s">
        <v>1</v>
      </c>
      <c r="F19840" t="s">
        <v>0</v>
      </c>
      <c r="G19840" t="str">
        <f>"2018-10-10 15:05:17"</f>
        <v>2018-10-10 15:05:17</v>
      </c>
    </row>
    <row r="19841" spans="1:7" x14ac:dyDescent="0.2">
      <c r="A19841" t="s">
        <v>1631</v>
      </c>
      <c r="B19841" t="str">
        <f>"18896807238"</f>
        <v>18896807238</v>
      </c>
      <c r="C19841" t="str">
        <f>"411081198905116879"</f>
        <v>411081198905116879</v>
      </c>
      <c r="D19841" t="s">
        <v>18633</v>
      </c>
      <c r="E19841" t="s">
        <v>18634</v>
      </c>
      <c r="F19841" t="s">
        <v>0</v>
      </c>
      <c r="G19841" t="str">
        <f>"2018-10-17 16:38:33"</f>
        <v>2018-10-17 16:38:33</v>
      </c>
    </row>
    <row r="19842" spans="1:7" x14ac:dyDescent="0.2">
      <c r="A19842" t="s">
        <v>18635</v>
      </c>
      <c r="B19842" t="str">
        <f>"15887789225"</f>
        <v>15887789225</v>
      </c>
      <c r="C19842" t="str">
        <f>"532327199311020029"</f>
        <v>532327199311020029</v>
      </c>
      <c r="D19842" t="s">
        <v>1</v>
      </c>
      <c r="E19842" t="s">
        <v>1</v>
      </c>
      <c r="F19842" t="s">
        <v>0</v>
      </c>
      <c r="G19842" t="str">
        <f>"2018-10-10 15:09:54"</f>
        <v>2018-10-10 15:09:54</v>
      </c>
    </row>
    <row r="19843" spans="1:7" x14ac:dyDescent="0.2">
      <c r="A19843" t="s">
        <v>18636</v>
      </c>
      <c r="B19843" t="str">
        <f>"15205618659"</f>
        <v>15205618659</v>
      </c>
      <c r="C19843" t="str">
        <f>"340621197209143534"</f>
        <v>340621197209143534</v>
      </c>
      <c r="D19843" t="s">
        <v>18637</v>
      </c>
      <c r="E19843" t="s">
        <v>18638</v>
      </c>
      <c r="F19843" t="s">
        <v>0</v>
      </c>
      <c r="G19843" t="str">
        <f>"2018-10-10 15:07:51"</f>
        <v>2018-10-10 15:07:51</v>
      </c>
    </row>
    <row r="19844" spans="1:7" x14ac:dyDescent="0.2">
      <c r="A19844" t="s">
        <v>18639</v>
      </c>
      <c r="B19844" t="str">
        <f>"15988865473"</f>
        <v>15988865473</v>
      </c>
      <c r="C19844" t="str">
        <f>"330182199001010778"</f>
        <v>330182199001010778</v>
      </c>
      <c r="D19844" t="s">
        <v>1</v>
      </c>
      <c r="E19844" t="s">
        <v>1</v>
      </c>
      <c r="F19844" t="s">
        <v>0</v>
      </c>
      <c r="G19844" t="str">
        <f>"2018-10-10 15:01:51"</f>
        <v>2018-10-10 15:01:51</v>
      </c>
    </row>
    <row r="19845" spans="1:7" x14ac:dyDescent="0.2">
      <c r="A19845" t="s">
        <v>18640</v>
      </c>
      <c r="B19845" t="str">
        <f>"18589848661"</f>
        <v>18589848661</v>
      </c>
      <c r="C19845" t="str">
        <f>"450481198909200072"</f>
        <v>450481198909200072</v>
      </c>
      <c r="D19845" t="s">
        <v>1</v>
      </c>
      <c r="E19845" t="s">
        <v>1</v>
      </c>
      <c r="F19845" t="s">
        <v>0</v>
      </c>
      <c r="G19845" t="str">
        <f>"2018-10-10 14:54:58"</f>
        <v>2018-10-10 14:54:58</v>
      </c>
    </row>
    <row r="19846" spans="1:7" x14ac:dyDescent="0.2">
      <c r="A19846" t="s">
        <v>18641</v>
      </c>
      <c r="B19846" t="str">
        <f>"15034512661"</f>
        <v>15034512661</v>
      </c>
      <c r="C19846" t="str">
        <f>"141026198012260021"</f>
        <v>141026198012260021</v>
      </c>
      <c r="D19846" t="s">
        <v>1</v>
      </c>
      <c r="E19846" t="s">
        <v>1</v>
      </c>
      <c r="F19846" t="s">
        <v>0</v>
      </c>
      <c r="G19846" t="str">
        <f>"2018-10-10 14:56:10"</f>
        <v>2018-10-10 14:56:10</v>
      </c>
    </row>
    <row r="19847" spans="1:7" x14ac:dyDescent="0.2">
      <c r="A19847" t="s">
        <v>18642</v>
      </c>
      <c r="B19847" t="str">
        <f>"17635037149"</f>
        <v>17635037149</v>
      </c>
      <c r="C19847" t="str">
        <f>"142228200007174510"</f>
        <v>142228200007174510</v>
      </c>
      <c r="D19847" t="s">
        <v>1</v>
      </c>
      <c r="E19847" t="s">
        <v>1</v>
      </c>
      <c r="F19847" t="s">
        <v>0</v>
      </c>
      <c r="G19847" t="str">
        <f>"2018-10-22 15:42:27"</f>
        <v>2018-10-22 15:42:27</v>
      </c>
    </row>
    <row r="19848" spans="1:7" x14ac:dyDescent="0.2">
      <c r="A19848" t="s">
        <v>18643</v>
      </c>
      <c r="B19848" t="str">
        <f>"13564188715"</f>
        <v>13564188715</v>
      </c>
      <c r="C19848" t="str">
        <f>"372929199309023314"</f>
        <v>372929199309023314</v>
      </c>
      <c r="D19848" t="s">
        <v>1</v>
      </c>
      <c r="E19848" t="s">
        <v>1</v>
      </c>
      <c r="F19848" t="s">
        <v>0</v>
      </c>
      <c r="G19848" t="str">
        <f>"2018-10-10 14:55:51"</f>
        <v>2018-10-10 14:55:51</v>
      </c>
    </row>
    <row r="19849" spans="1:7" x14ac:dyDescent="0.2">
      <c r="A19849" t="s">
        <v>1531</v>
      </c>
      <c r="B19849" t="str">
        <f>"13279078885"</f>
        <v>13279078885</v>
      </c>
      <c r="C19849" t="str">
        <f>"65412219870508131X"</f>
        <v>65412219870508131X</v>
      </c>
      <c r="D19849" t="s">
        <v>1</v>
      </c>
      <c r="E19849" t="s">
        <v>1</v>
      </c>
      <c r="F19849" t="s">
        <v>0</v>
      </c>
      <c r="G19849" t="str">
        <f>"2018-10-10 14:57:30"</f>
        <v>2018-10-10 14:57:30</v>
      </c>
    </row>
    <row r="19850" spans="1:7" x14ac:dyDescent="0.2">
      <c r="A19850" t="s">
        <v>18644</v>
      </c>
      <c r="B19850" t="str">
        <f>"18368773301"</f>
        <v>18368773301</v>
      </c>
      <c r="C19850" t="str">
        <f>"610526198212092519"</f>
        <v>610526198212092519</v>
      </c>
      <c r="D19850" t="s">
        <v>1</v>
      </c>
      <c r="E19850" t="s">
        <v>1</v>
      </c>
      <c r="F19850" t="s">
        <v>0</v>
      </c>
      <c r="G19850" t="str">
        <f>"2018-11-03 15:50:13"</f>
        <v>2018-11-03 15:50:13</v>
      </c>
    </row>
    <row r="19851" spans="1:7" x14ac:dyDescent="0.2">
      <c r="A19851" t="s">
        <v>1</v>
      </c>
      <c r="B19851" t="str">
        <f>"13181341096"</f>
        <v>13181341096</v>
      </c>
      <c r="C19851" t="s">
        <v>1</v>
      </c>
      <c r="D19851" t="s">
        <v>1</v>
      </c>
      <c r="E19851" t="s">
        <v>1</v>
      </c>
      <c r="F19851" t="s">
        <v>0</v>
      </c>
      <c r="G19851" t="str">
        <f>"2018-10-10 14:53:57"</f>
        <v>2018-10-10 14:53:57</v>
      </c>
    </row>
    <row r="19852" spans="1:7" x14ac:dyDescent="0.2">
      <c r="A19852" t="s">
        <v>563</v>
      </c>
      <c r="B19852" t="str">
        <f>"13186008280"</f>
        <v>13186008280</v>
      </c>
      <c r="C19852" t="str">
        <f>"429006199205013637"</f>
        <v>429006199205013637</v>
      </c>
      <c r="D19852" t="s">
        <v>1</v>
      </c>
      <c r="E19852" t="s">
        <v>1</v>
      </c>
      <c r="F19852" t="s">
        <v>0</v>
      </c>
      <c r="G19852" t="str">
        <f>"2018-10-10 18:04:49"</f>
        <v>2018-10-10 18:04:49</v>
      </c>
    </row>
    <row r="19853" spans="1:7" x14ac:dyDescent="0.2">
      <c r="A19853" t="s">
        <v>18645</v>
      </c>
      <c r="B19853" t="str">
        <f>"18652880545"</f>
        <v>18652880545</v>
      </c>
      <c r="C19853" t="str">
        <f>"321181199210122373"</f>
        <v>321181199210122373</v>
      </c>
      <c r="D19853" t="s">
        <v>1</v>
      </c>
      <c r="E19853" t="s">
        <v>1</v>
      </c>
      <c r="F19853" t="s">
        <v>0</v>
      </c>
      <c r="G19853" t="str">
        <f>"2018-10-10 14:54:56"</f>
        <v>2018-10-10 14:54:56</v>
      </c>
    </row>
    <row r="19854" spans="1:7" x14ac:dyDescent="0.2">
      <c r="A19854" t="s">
        <v>18646</v>
      </c>
      <c r="B19854" t="str">
        <f>"15272262187"</f>
        <v>15272262187</v>
      </c>
      <c r="C19854" t="str">
        <f>"422827199606210729"</f>
        <v>422827199606210729</v>
      </c>
      <c r="D19854" t="s">
        <v>1</v>
      </c>
      <c r="E19854" t="s">
        <v>1</v>
      </c>
      <c r="F19854" t="s">
        <v>0</v>
      </c>
      <c r="G19854" t="str">
        <f>"2018-10-10 15:49:14"</f>
        <v>2018-10-10 15:49:14</v>
      </c>
    </row>
    <row r="19855" spans="1:7" x14ac:dyDescent="0.2">
      <c r="A19855" t="s">
        <v>1572</v>
      </c>
      <c r="B19855" t="str">
        <f>"18631420222"</f>
        <v>18631420222</v>
      </c>
      <c r="C19855" t="str">
        <f>"130803198409290014"</f>
        <v>130803198409290014</v>
      </c>
      <c r="D19855" t="s">
        <v>1</v>
      </c>
      <c r="E19855" t="s">
        <v>1</v>
      </c>
      <c r="F19855" t="s">
        <v>0</v>
      </c>
      <c r="G19855" t="str">
        <f>"2018-10-10 14:54:00"</f>
        <v>2018-10-10 14:54:00</v>
      </c>
    </row>
    <row r="19856" spans="1:7" x14ac:dyDescent="0.2">
      <c r="A19856" t="s">
        <v>18647</v>
      </c>
      <c r="B19856" t="str">
        <f>"18132287593"</f>
        <v>18132287593</v>
      </c>
      <c r="C19856" t="str">
        <f>"13013319920521273X"</f>
        <v>13013319920521273X</v>
      </c>
      <c r="D19856" t="s">
        <v>1</v>
      </c>
      <c r="E19856" t="s">
        <v>1</v>
      </c>
      <c r="F19856" t="s">
        <v>0</v>
      </c>
      <c r="G19856" t="str">
        <f>"2018-10-23 13:39:03"</f>
        <v>2018-10-23 13:39:03</v>
      </c>
    </row>
    <row r="19857" spans="1:7" x14ac:dyDescent="0.2">
      <c r="A19857" t="s">
        <v>18648</v>
      </c>
      <c r="B19857" t="str">
        <f>"13889893241"</f>
        <v>13889893241</v>
      </c>
      <c r="C19857" t="str">
        <f>"210726198504293917"</f>
        <v>210726198504293917</v>
      </c>
      <c r="D19857" t="s">
        <v>1</v>
      </c>
      <c r="E19857" t="s">
        <v>1</v>
      </c>
      <c r="F19857" t="s">
        <v>0</v>
      </c>
      <c r="G19857" t="str">
        <f>"2018-10-10 16:16:20"</f>
        <v>2018-10-10 16:16:20</v>
      </c>
    </row>
    <row r="19858" spans="1:7" x14ac:dyDescent="0.2">
      <c r="A19858" t="s">
        <v>18649</v>
      </c>
      <c r="B19858" t="str">
        <f>"15177440171"</f>
        <v>15177440171</v>
      </c>
      <c r="C19858" t="str">
        <f>"452402199003060959"</f>
        <v>452402199003060959</v>
      </c>
      <c r="D19858" t="s">
        <v>1</v>
      </c>
      <c r="E19858" t="s">
        <v>1</v>
      </c>
      <c r="F19858" t="s">
        <v>0</v>
      </c>
      <c r="G19858" t="str">
        <f>"2018-10-22 23:15:43"</f>
        <v>2018-10-22 23:15:43</v>
      </c>
    </row>
    <row r="19859" spans="1:7" x14ac:dyDescent="0.2">
      <c r="A19859" t="s">
        <v>1</v>
      </c>
      <c r="B19859" t="str">
        <f>"15813950197"</f>
        <v>15813950197</v>
      </c>
      <c r="C19859" t="s">
        <v>1</v>
      </c>
      <c r="D19859" t="s">
        <v>1</v>
      </c>
      <c r="E19859" t="s">
        <v>1</v>
      </c>
      <c r="F19859" t="s">
        <v>0</v>
      </c>
      <c r="G19859" t="str">
        <f>"2018-10-10 14:49:48"</f>
        <v>2018-10-10 14:49:48</v>
      </c>
    </row>
    <row r="19860" spans="1:7" x14ac:dyDescent="0.2">
      <c r="A19860" t="s">
        <v>18650</v>
      </c>
      <c r="B19860" t="str">
        <f>"17826868391"</f>
        <v>17826868391</v>
      </c>
      <c r="C19860" t="str">
        <f>"533524199709202714"</f>
        <v>533524199709202714</v>
      </c>
      <c r="D19860" t="s">
        <v>1</v>
      </c>
      <c r="E19860" t="s">
        <v>1</v>
      </c>
      <c r="F19860" t="s">
        <v>0</v>
      </c>
      <c r="G19860" t="str">
        <f>"2018-10-10 14:50:58"</f>
        <v>2018-10-10 14:50:58</v>
      </c>
    </row>
    <row r="19861" spans="1:7" x14ac:dyDescent="0.2">
      <c r="A19861" t="s">
        <v>18651</v>
      </c>
      <c r="B19861" t="str">
        <f>"13003079150"</f>
        <v>13003079150</v>
      </c>
      <c r="C19861" t="str">
        <f>"340121200009072513"</f>
        <v>340121200009072513</v>
      </c>
      <c r="D19861" t="s">
        <v>1</v>
      </c>
      <c r="E19861" t="s">
        <v>1</v>
      </c>
      <c r="F19861" t="s">
        <v>0</v>
      </c>
      <c r="G19861" t="str">
        <f>"2018-10-10 14:50:24"</f>
        <v>2018-10-10 14:50:24</v>
      </c>
    </row>
    <row r="19862" spans="1:7" x14ac:dyDescent="0.2">
      <c r="A19862" t="s">
        <v>18652</v>
      </c>
      <c r="B19862" t="str">
        <f>"15986943734"</f>
        <v>15986943734</v>
      </c>
      <c r="C19862" t="str">
        <f>"441224199505246360"</f>
        <v>441224199505246360</v>
      </c>
      <c r="D19862" t="s">
        <v>1</v>
      </c>
      <c r="E19862" t="s">
        <v>1</v>
      </c>
      <c r="F19862" t="s">
        <v>0</v>
      </c>
      <c r="G19862" t="str">
        <f>"2018-10-10 15:10:04"</f>
        <v>2018-10-10 15:10:04</v>
      </c>
    </row>
    <row r="19863" spans="1:7" x14ac:dyDescent="0.2">
      <c r="A19863" t="s">
        <v>18653</v>
      </c>
      <c r="B19863" t="str">
        <f>"18707955072"</f>
        <v>18707955072</v>
      </c>
      <c r="C19863" t="str">
        <f>"362228199509133458"</f>
        <v>362228199509133458</v>
      </c>
      <c r="D19863" t="s">
        <v>18654</v>
      </c>
      <c r="E19863" t="s">
        <v>18655</v>
      </c>
      <c r="F19863" t="s">
        <v>0</v>
      </c>
      <c r="G19863" t="str">
        <f>"2018-10-10 14:55:23"</f>
        <v>2018-10-10 14:55:23</v>
      </c>
    </row>
    <row r="19864" spans="1:7" x14ac:dyDescent="0.2">
      <c r="A19864" t="s">
        <v>18656</v>
      </c>
      <c r="B19864" t="str">
        <f>"17703205999"</f>
        <v>17703205999</v>
      </c>
      <c r="C19864" t="str">
        <f>"231084198311274015"</f>
        <v>231084198311274015</v>
      </c>
      <c r="D19864" t="s">
        <v>1</v>
      </c>
      <c r="E19864" t="s">
        <v>1</v>
      </c>
      <c r="F19864" t="s">
        <v>0</v>
      </c>
      <c r="G19864" t="str">
        <f>"2018-10-10 14:58:01"</f>
        <v>2018-10-10 14:58:01</v>
      </c>
    </row>
    <row r="19865" spans="1:7" x14ac:dyDescent="0.2">
      <c r="A19865" t="s">
        <v>18657</v>
      </c>
      <c r="B19865" t="str">
        <f>"15287667893"</f>
        <v>15287667893</v>
      </c>
      <c r="C19865" t="str">
        <f>"422201197102187830"</f>
        <v>422201197102187830</v>
      </c>
      <c r="D19865" t="s">
        <v>1</v>
      </c>
      <c r="E19865" t="s">
        <v>1</v>
      </c>
      <c r="F19865" t="s">
        <v>0</v>
      </c>
      <c r="G19865" t="str">
        <f>"2018-10-10 14:50:47"</f>
        <v>2018-10-10 14:50:47</v>
      </c>
    </row>
    <row r="19866" spans="1:7" x14ac:dyDescent="0.2">
      <c r="A19866" t="s">
        <v>18658</v>
      </c>
      <c r="B19866" t="str">
        <f>"18228866138"</f>
        <v>18228866138</v>
      </c>
      <c r="C19866" t="str">
        <f>"513701199007050317"</f>
        <v>513701199007050317</v>
      </c>
      <c r="D19866" t="s">
        <v>18659</v>
      </c>
      <c r="E19866" t="s">
        <v>18660</v>
      </c>
      <c r="F19866" t="s">
        <v>0</v>
      </c>
      <c r="G19866" t="str">
        <f>"2018-10-10 14:45:50"</f>
        <v>2018-10-10 14:45:50</v>
      </c>
    </row>
    <row r="19867" spans="1:7" x14ac:dyDescent="0.2">
      <c r="A19867" t="s">
        <v>1</v>
      </c>
      <c r="B19867" t="str">
        <f>"15863343060"</f>
        <v>15863343060</v>
      </c>
      <c r="C19867" t="s">
        <v>1</v>
      </c>
      <c r="D19867" t="s">
        <v>1</v>
      </c>
      <c r="E19867" t="s">
        <v>1</v>
      </c>
      <c r="F19867" t="s">
        <v>0</v>
      </c>
      <c r="G19867" t="str">
        <f>"2018-10-10 14:47:00"</f>
        <v>2018-10-10 14:47:00</v>
      </c>
    </row>
    <row r="19868" spans="1:7" x14ac:dyDescent="0.2">
      <c r="A19868" t="s">
        <v>18661</v>
      </c>
      <c r="B19868" t="str">
        <f>"15843685866"</f>
        <v>15843685866</v>
      </c>
      <c r="C19868" t="str">
        <f>"22230219710513523X"</f>
        <v>22230219710513523X</v>
      </c>
      <c r="D19868" t="s">
        <v>1</v>
      </c>
      <c r="E19868" t="s">
        <v>1</v>
      </c>
      <c r="F19868" t="s">
        <v>0</v>
      </c>
      <c r="G19868" t="str">
        <f>"2018-10-10 14:46:50"</f>
        <v>2018-10-10 14:46:50</v>
      </c>
    </row>
    <row r="19869" spans="1:7" x14ac:dyDescent="0.2">
      <c r="A19869" t="s">
        <v>1</v>
      </c>
      <c r="B19869" t="str">
        <f>"13252015032"</f>
        <v>13252015032</v>
      </c>
      <c r="C19869" t="s">
        <v>1</v>
      </c>
      <c r="D19869" t="s">
        <v>1</v>
      </c>
      <c r="E19869" t="s">
        <v>1</v>
      </c>
      <c r="F19869" t="s">
        <v>0</v>
      </c>
      <c r="G19869" t="str">
        <f>"2018-10-10 14:45:03"</f>
        <v>2018-10-10 14:45:03</v>
      </c>
    </row>
    <row r="19870" spans="1:7" x14ac:dyDescent="0.2">
      <c r="A19870" t="s">
        <v>397</v>
      </c>
      <c r="B19870" t="str">
        <f>"15616780822"</f>
        <v>15616780822</v>
      </c>
      <c r="C19870" t="str">
        <f>"430981199010117711"</f>
        <v>430981199010117711</v>
      </c>
      <c r="D19870" t="s">
        <v>18662</v>
      </c>
      <c r="E19870" t="s">
        <v>18663</v>
      </c>
      <c r="F19870" t="s">
        <v>0</v>
      </c>
      <c r="G19870" t="str">
        <f>"2018-10-10 14:58:46"</f>
        <v>2018-10-10 14:58:46</v>
      </c>
    </row>
    <row r="19871" spans="1:7" x14ac:dyDescent="0.2">
      <c r="A19871" t="s">
        <v>18664</v>
      </c>
      <c r="B19871" t="str">
        <f>"15953299092"</f>
        <v>15953299092</v>
      </c>
      <c r="C19871" t="str">
        <f>"370282198210181336"</f>
        <v>370282198210181336</v>
      </c>
      <c r="D19871" t="s">
        <v>1</v>
      </c>
      <c r="E19871" t="s">
        <v>1</v>
      </c>
      <c r="F19871" t="s">
        <v>0</v>
      </c>
      <c r="G19871" t="str">
        <f>"2018-10-10 14:51:12"</f>
        <v>2018-10-10 14:51:12</v>
      </c>
    </row>
    <row r="19872" spans="1:7" x14ac:dyDescent="0.2">
      <c r="A19872" t="s">
        <v>18665</v>
      </c>
      <c r="B19872" t="str">
        <f>"18092596873"</f>
        <v>18092596873</v>
      </c>
      <c r="C19872" t="str">
        <f>"610104198807191612"</f>
        <v>610104198807191612</v>
      </c>
      <c r="D19872" t="s">
        <v>18666</v>
      </c>
      <c r="E19872" t="s">
        <v>18667</v>
      </c>
      <c r="F19872" t="s">
        <v>0</v>
      </c>
      <c r="G19872" t="str">
        <f>"2018-10-10 14:46:56"</f>
        <v>2018-10-10 14:46:56</v>
      </c>
    </row>
    <row r="19873" spans="1:7" x14ac:dyDescent="0.2">
      <c r="A19873" t="s">
        <v>18668</v>
      </c>
      <c r="B19873" t="str">
        <f>"18698658911"</f>
        <v>18698658911</v>
      </c>
      <c r="C19873" t="str">
        <f>"210204198102172201"</f>
        <v>210204198102172201</v>
      </c>
      <c r="D19873" t="s">
        <v>1</v>
      </c>
      <c r="E19873" t="s">
        <v>1</v>
      </c>
      <c r="F19873" t="s">
        <v>0</v>
      </c>
      <c r="G19873" t="str">
        <f>"2018-10-10 14:52:22"</f>
        <v>2018-10-10 14:52:22</v>
      </c>
    </row>
    <row r="19874" spans="1:7" x14ac:dyDescent="0.2">
      <c r="A19874" t="s">
        <v>1</v>
      </c>
      <c r="B19874" t="str">
        <f>"13114928791"</f>
        <v>13114928791</v>
      </c>
      <c r="C19874" t="s">
        <v>1</v>
      </c>
      <c r="D19874" t="s">
        <v>1</v>
      </c>
      <c r="E19874" t="s">
        <v>1</v>
      </c>
      <c r="F19874" t="s">
        <v>0</v>
      </c>
      <c r="G19874" t="str">
        <f>"2018-10-10 14:43:30"</f>
        <v>2018-10-10 14:43:30</v>
      </c>
    </row>
    <row r="19875" spans="1:7" x14ac:dyDescent="0.2">
      <c r="A19875" t="s">
        <v>18669</v>
      </c>
      <c r="B19875" t="str">
        <f>"18860020592"</f>
        <v>18860020592</v>
      </c>
      <c r="C19875" t="str">
        <f>"35262519820203147X"</f>
        <v>35262519820203147X</v>
      </c>
      <c r="D19875" t="s">
        <v>1</v>
      </c>
      <c r="E19875" t="s">
        <v>1</v>
      </c>
      <c r="F19875" t="s">
        <v>0</v>
      </c>
      <c r="G19875" t="str">
        <f>"2018-10-10 14:42:31"</f>
        <v>2018-10-10 14:42:31</v>
      </c>
    </row>
    <row r="19876" spans="1:7" x14ac:dyDescent="0.2">
      <c r="A19876" t="s">
        <v>1</v>
      </c>
      <c r="B19876" t="str">
        <f>"15102683205"</f>
        <v>15102683205</v>
      </c>
      <c r="C19876" t="s">
        <v>1</v>
      </c>
      <c r="D19876" t="s">
        <v>1</v>
      </c>
      <c r="E19876" t="s">
        <v>1</v>
      </c>
      <c r="F19876" t="s">
        <v>0</v>
      </c>
      <c r="G19876" t="str">
        <f>"2018-10-10 14:42:04"</f>
        <v>2018-10-10 14:42:04</v>
      </c>
    </row>
    <row r="19877" spans="1:7" x14ac:dyDescent="0.2">
      <c r="A19877" t="s">
        <v>18670</v>
      </c>
      <c r="B19877" t="str">
        <f>"18576417769"</f>
        <v>18576417769</v>
      </c>
      <c r="C19877" t="str">
        <f>"460003199412075611"</f>
        <v>460003199412075611</v>
      </c>
      <c r="D19877" t="s">
        <v>1</v>
      </c>
      <c r="E19877" t="s">
        <v>1</v>
      </c>
      <c r="F19877" t="s">
        <v>0</v>
      </c>
      <c r="G19877" t="str">
        <f>"2018-10-10 14:43:09"</f>
        <v>2018-10-10 14:43:09</v>
      </c>
    </row>
    <row r="19878" spans="1:7" x14ac:dyDescent="0.2">
      <c r="A19878" t="s">
        <v>18671</v>
      </c>
      <c r="B19878" t="str">
        <f>"13616815081"</f>
        <v>13616815081</v>
      </c>
      <c r="C19878" t="str">
        <f>"330183198510222412"</f>
        <v>330183198510222412</v>
      </c>
      <c r="D19878" t="s">
        <v>1</v>
      </c>
      <c r="E19878" t="s">
        <v>1</v>
      </c>
      <c r="F19878" t="s">
        <v>0</v>
      </c>
      <c r="G19878" t="str">
        <f>"2018-10-10 14:43:26"</f>
        <v>2018-10-10 14:43:26</v>
      </c>
    </row>
    <row r="19879" spans="1:7" x14ac:dyDescent="0.2">
      <c r="A19879" t="s">
        <v>18672</v>
      </c>
      <c r="B19879" t="str">
        <f>"18850780573"</f>
        <v>18850780573</v>
      </c>
      <c r="C19879" t="str">
        <f>"350122198510224611"</f>
        <v>350122198510224611</v>
      </c>
      <c r="D19879" t="s">
        <v>1</v>
      </c>
      <c r="E19879" t="s">
        <v>1</v>
      </c>
      <c r="F19879" t="s">
        <v>0</v>
      </c>
      <c r="G19879" t="str">
        <f>"2018-10-10 14:43:41"</f>
        <v>2018-10-10 14:43:41</v>
      </c>
    </row>
    <row r="19880" spans="1:7" x14ac:dyDescent="0.2">
      <c r="A19880" t="s">
        <v>18673</v>
      </c>
      <c r="B19880" t="str">
        <f>"18391832163"</f>
        <v>18391832163</v>
      </c>
      <c r="C19880" t="str">
        <f>"610523198912256917"</f>
        <v>610523198912256917</v>
      </c>
      <c r="D19880" t="s">
        <v>1</v>
      </c>
      <c r="E19880" t="s">
        <v>1</v>
      </c>
      <c r="F19880" t="s">
        <v>0</v>
      </c>
      <c r="G19880" t="str">
        <f>"2018-10-11 22:02:35"</f>
        <v>2018-10-11 22:02:35</v>
      </c>
    </row>
    <row r="19881" spans="1:7" x14ac:dyDescent="0.2">
      <c r="A19881" t="s">
        <v>18674</v>
      </c>
      <c r="B19881" t="str">
        <f>"18320635898"</f>
        <v>18320635898</v>
      </c>
      <c r="C19881" t="str">
        <f>"440902199501080059"</f>
        <v>440902199501080059</v>
      </c>
      <c r="D19881" t="s">
        <v>1</v>
      </c>
      <c r="E19881" t="s">
        <v>1</v>
      </c>
      <c r="F19881" t="s">
        <v>0</v>
      </c>
      <c r="G19881" t="str">
        <f>"2018-10-11 00:34:24"</f>
        <v>2018-10-11 00:34:24</v>
      </c>
    </row>
    <row r="19882" spans="1:7" x14ac:dyDescent="0.2">
      <c r="A19882" t="s">
        <v>18675</v>
      </c>
      <c r="B19882" t="str">
        <f>"15302155920"</f>
        <v>15302155920</v>
      </c>
      <c r="C19882" t="str">
        <f>"510623198912131614"</f>
        <v>510623198912131614</v>
      </c>
      <c r="D19882" t="s">
        <v>1</v>
      </c>
      <c r="E19882" t="s">
        <v>1</v>
      </c>
      <c r="F19882" t="s">
        <v>0</v>
      </c>
      <c r="G19882" t="str">
        <f>"2018-10-10 14:46:46"</f>
        <v>2018-10-10 14:46:46</v>
      </c>
    </row>
    <row r="19883" spans="1:7" x14ac:dyDescent="0.2">
      <c r="A19883" t="s">
        <v>18676</v>
      </c>
      <c r="B19883" t="str">
        <f>"17666567444"</f>
        <v>17666567444</v>
      </c>
      <c r="C19883" t="str">
        <f>"230606198306302416"</f>
        <v>230606198306302416</v>
      </c>
      <c r="D19883" t="s">
        <v>1</v>
      </c>
      <c r="E19883" t="s">
        <v>1</v>
      </c>
      <c r="F19883" t="s">
        <v>0</v>
      </c>
      <c r="G19883" t="str">
        <f>"2018-10-10 14:50:39"</f>
        <v>2018-10-10 14:50:39</v>
      </c>
    </row>
    <row r="19884" spans="1:7" x14ac:dyDescent="0.2">
      <c r="A19884" t="s">
        <v>18677</v>
      </c>
      <c r="B19884" t="str">
        <f>"13501211299"</f>
        <v>13501211299</v>
      </c>
      <c r="C19884" t="str">
        <f>"110101197910081524"</f>
        <v>110101197910081524</v>
      </c>
      <c r="D19884" t="s">
        <v>1</v>
      </c>
      <c r="E19884" t="s">
        <v>1</v>
      </c>
      <c r="F19884" t="s">
        <v>0</v>
      </c>
      <c r="G19884" t="str">
        <f>"2018-10-10 14:41:20"</f>
        <v>2018-10-10 14:41:20</v>
      </c>
    </row>
    <row r="19885" spans="1:7" x14ac:dyDescent="0.2">
      <c r="A19885" t="s">
        <v>18678</v>
      </c>
      <c r="B19885" t="str">
        <f>"13712153375"</f>
        <v>13712153375</v>
      </c>
      <c r="C19885" t="str">
        <f>"431027198604123616"</f>
        <v>431027198604123616</v>
      </c>
      <c r="D19885" t="s">
        <v>1</v>
      </c>
      <c r="E19885" t="s">
        <v>1</v>
      </c>
      <c r="F19885" t="s">
        <v>0</v>
      </c>
      <c r="G19885" t="str">
        <f>"2018-10-28 19:29:51"</f>
        <v>2018-10-28 19:29:51</v>
      </c>
    </row>
    <row r="19886" spans="1:7" x14ac:dyDescent="0.2">
      <c r="A19886" t="s">
        <v>18679</v>
      </c>
      <c r="B19886" t="str">
        <f>"15092194335"</f>
        <v>15092194335</v>
      </c>
      <c r="C19886" t="str">
        <f>"371581199611294118"</f>
        <v>371581199611294118</v>
      </c>
      <c r="D19886" t="s">
        <v>18680</v>
      </c>
      <c r="E19886" t="s">
        <v>18681</v>
      </c>
      <c r="F19886" t="s">
        <v>0</v>
      </c>
      <c r="G19886" t="str">
        <f>"2018-10-10 15:26:28"</f>
        <v>2018-10-10 15:26:28</v>
      </c>
    </row>
    <row r="19887" spans="1:7" x14ac:dyDescent="0.2">
      <c r="A19887" t="s">
        <v>18682</v>
      </c>
      <c r="B19887" t="str">
        <f>"13661832327"</f>
        <v>13661832327</v>
      </c>
      <c r="C19887" t="str">
        <f>"310230199306223112"</f>
        <v>310230199306223112</v>
      </c>
      <c r="D19887" t="s">
        <v>1</v>
      </c>
      <c r="E19887" t="s">
        <v>1</v>
      </c>
      <c r="F19887" t="s">
        <v>0</v>
      </c>
      <c r="G19887" t="str">
        <f>"2018-10-10 14:41:29"</f>
        <v>2018-10-10 14:41:29</v>
      </c>
    </row>
    <row r="19888" spans="1:7" x14ac:dyDescent="0.2">
      <c r="A19888" t="s">
        <v>18683</v>
      </c>
      <c r="B19888" t="str">
        <f>"13646733217"</f>
        <v>13646733217</v>
      </c>
      <c r="C19888" t="str">
        <f>"330421198703075516"</f>
        <v>330421198703075516</v>
      </c>
      <c r="D19888" t="s">
        <v>1</v>
      </c>
      <c r="E19888" t="s">
        <v>1</v>
      </c>
      <c r="F19888" t="s">
        <v>0</v>
      </c>
      <c r="G19888" t="str">
        <f>"2018-10-10 14:45:02"</f>
        <v>2018-10-10 14:45:02</v>
      </c>
    </row>
    <row r="19889" spans="1:7" x14ac:dyDescent="0.2">
      <c r="A19889" t="s">
        <v>18684</v>
      </c>
      <c r="B19889" t="str">
        <f>"18738373994"</f>
        <v>18738373994</v>
      </c>
      <c r="C19889" t="str">
        <f>"410725199410133926"</f>
        <v>410725199410133926</v>
      </c>
      <c r="D19889" t="s">
        <v>1</v>
      </c>
      <c r="E19889" t="s">
        <v>1</v>
      </c>
      <c r="F19889" t="s">
        <v>0</v>
      </c>
      <c r="G19889" t="str">
        <f>"2018-10-10 15:09:35"</f>
        <v>2018-10-10 15:09:35</v>
      </c>
    </row>
    <row r="19890" spans="1:7" x14ac:dyDescent="0.2">
      <c r="A19890" t="s">
        <v>18685</v>
      </c>
      <c r="B19890" t="str">
        <f>"15109576444"</f>
        <v>15109576444</v>
      </c>
      <c r="C19890" t="str">
        <f>"640323198303292626"</f>
        <v>640323198303292626</v>
      </c>
      <c r="D19890" t="s">
        <v>1</v>
      </c>
      <c r="E19890" t="s">
        <v>1</v>
      </c>
      <c r="F19890" t="s">
        <v>0</v>
      </c>
      <c r="G19890" t="str">
        <f>"2018-10-10 14:40:16"</f>
        <v>2018-10-10 14:40:16</v>
      </c>
    </row>
    <row r="19891" spans="1:7" x14ac:dyDescent="0.2">
      <c r="A19891" t="s">
        <v>18686</v>
      </c>
      <c r="B19891" t="str">
        <f>"18208544146"</f>
        <v>18208544146</v>
      </c>
      <c r="C19891" t="str">
        <f>"522723199711040023"</f>
        <v>522723199711040023</v>
      </c>
      <c r="D19891" t="s">
        <v>1</v>
      </c>
      <c r="E19891" t="s">
        <v>1</v>
      </c>
      <c r="F19891" t="s">
        <v>0</v>
      </c>
      <c r="G19891" t="str">
        <f>"2018-10-10 15:13:04"</f>
        <v>2018-10-10 15:13:04</v>
      </c>
    </row>
    <row r="19892" spans="1:7" x14ac:dyDescent="0.2">
      <c r="A19892" t="s">
        <v>1</v>
      </c>
      <c r="B19892" t="str">
        <f>"13823104432"</f>
        <v>13823104432</v>
      </c>
      <c r="C19892" t="s">
        <v>1</v>
      </c>
      <c r="D19892" t="s">
        <v>1</v>
      </c>
      <c r="E19892" t="s">
        <v>1</v>
      </c>
      <c r="F19892" t="s">
        <v>0</v>
      </c>
      <c r="G19892" t="str">
        <f>"2018-10-10 14:39:53"</f>
        <v>2018-10-10 14:39:53</v>
      </c>
    </row>
    <row r="19893" spans="1:7" x14ac:dyDescent="0.2">
      <c r="A19893" t="s">
        <v>18687</v>
      </c>
      <c r="B19893" t="str">
        <f>"15931824006"</f>
        <v>15931824006</v>
      </c>
      <c r="C19893" t="str">
        <f>"130602197508300933"</f>
        <v>130602197508300933</v>
      </c>
      <c r="D19893" t="s">
        <v>1</v>
      </c>
      <c r="E19893" t="s">
        <v>1</v>
      </c>
      <c r="F19893" t="s">
        <v>0</v>
      </c>
      <c r="G19893" t="str">
        <f>"2018-10-11 11:23:26"</f>
        <v>2018-10-11 11:23:26</v>
      </c>
    </row>
    <row r="19894" spans="1:7" x14ac:dyDescent="0.2">
      <c r="A19894" t="s">
        <v>18688</v>
      </c>
      <c r="B19894" t="str">
        <f>"15797382315"</f>
        <v>15797382315</v>
      </c>
      <c r="C19894" t="str">
        <f>"421182199107152953"</f>
        <v>421182199107152953</v>
      </c>
      <c r="D19894" t="s">
        <v>18689</v>
      </c>
      <c r="E19894" t="s">
        <v>18690</v>
      </c>
      <c r="F19894" t="s">
        <v>0</v>
      </c>
      <c r="G19894" t="str">
        <f>"2018-10-17 14:10:10"</f>
        <v>2018-10-17 14:10:10</v>
      </c>
    </row>
    <row r="19895" spans="1:7" x14ac:dyDescent="0.2">
      <c r="A19895" t="s">
        <v>18691</v>
      </c>
      <c r="B19895" t="str">
        <f>"18234196030"</f>
        <v>18234196030</v>
      </c>
      <c r="C19895" t="str">
        <f>"142433199310133718"</f>
        <v>142433199310133718</v>
      </c>
      <c r="D19895" t="s">
        <v>18692</v>
      </c>
      <c r="E19895" t="s">
        <v>18693</v>
      </c>
      <c r="F19895" t="s">
        <v>0</v>
      </c>
      <c r="G19895" t="str">
        <f>"2018-10-10 14:51:20"</f>
        <v>2018-10-10 14:51:20</v>
      </c>
    </row>
    <row r="19896" spans="1:7" x14ac:dyDescent="0.2">
      <c r="A19896" t="s">
        <v>18694</v>
      </c>
      <c r="B19896" t="str">
        <f>"15712165028"</f>
        <v>15712165028</v>
      </c>
      <c r="C19896" t="str">
        <f>"450221198710202495"</f>
        <v>450221198710202495</v>
      </c>
      <c r="D19896" t="s">
        <v>1</v>
      </c>
      <c r="E19896" t="s">
        <v>1</v>
      </c>
      <c r="F19896" t="s">
        <v>0</v>
      </c>
      <c r="G19896" t="str">
        <f>"2018-10-10 18:21:11"</f>
        <v>2018-10-10 18:21:11</v>
      </c>
    </row>
    <row r="19897" spans="1:7" x14ac:dyDescent="0.2">
      <c r="A19897" t="s">
        <v>32</v>
      </c>
      <c r="B19897" t="str">
        <f>"17839244471"</f>
        <v>17839244471</v>
      </c>
      <c r="C19897" t="str">
        <f>"410225199305056116"</f>
        <v>410225199305056116</v>
      </c>
      <c r="D19897" t="s">
        <v>18695</v>
      </c>
      <c r="E19897" t="s">
        <v>18696</v>
      </c>
      <c r="F19897" t="s">
        <v>0</v>
      </c>
      <c r="G19897" t="str">
        <f>"2018-10-10 14:36:23"</f>
        <v>2018-10-10 14:36:23</v>
      </c>
    </row>
    <row r="19898" spans="1:7" x14ac:dyDescent="0.2">
      <c r="A19898" t="s">
        <v>1</v>
      </c>
      <c r="B19898" t="str">
        <f>"17782634880"</f>
        <v>17782634880</v>
      </c>
      <c r="C19898" t="s">
        <v>1</v>
      </c>
      <c r="D19898" t="s">
        <v>1</v>
      </c>
      <c r="E19898" t="s">
        <v>1</v>
      </c>
      <c r="F19898" t="s">
        <v>0</v>
      </c>
      <c r="G19898" t="str">
        <f>"2018-10-10 14:41:31"</f>
        <v>2018-10-10 14:41:31</v>
      </c>
    </row>
    <row r="19899" spans="1:7" x14ac:dyDescent="0.2">
      <c r="A19899" t="s">
        <v>18697</v>
      </c>
      <c r="B19899" t="str">
        <f>"13721729302"</f>
        <v>13721729302</v>
      </c>
      <c r="C19899" t="str">
        <f>"410922198812063120"</f>
        <v>410922198812063120</v>
      </c>
      <c r="D19899" t="s">
        <v>1</v>
      </c>
      <c r="E19899" t="s">
        <v>1</v>
      </c>
      <c r="F19899" t="s">
        <v>0</v>
      </c>
      <c r="G19899" t="str">
        <f>"2018-10-22 20:36:33"</f>
        <v>2018-10-22 20:36:33</v>
      </c>
    </row>
    <row r="19900" spans="1:7" x14ac:dyDescent="0.2">
      <c r="A19900" t="s">
        <v>18698</v>
      </c>
      <c r="B19900" t="str">
        <f>"13725643890"</f>
        <v>13725643890</v>
      </c>
      <c r="C19900" t="str">
        <f>"44170119880706005X"</f>
        <v>44170119880706005X</v>
      </c>
      <c r="D19900" t="s">
        <v>1</v>
      </c>
      <c r="E19900" t="s">
        <v>1</v>
      </c>
      <c r="F19900" t="s">
        <v>0</v>
      </c>
      <c r="G19900" t="str">
        <f>"2018-10-10 14:35:08"</f>
        <v>2018-10-10 14:35:08</v>
      </c>
    </row>
    <row r="19901" spans="1:7" x14ac:dyDescent="0.2">
      <c r="A19901" t="s">
        <v>18699</v>
      </c>
      <c r="B19901" t="str">
        <f>"13783357570"</f>
        <v>13783357570</v>
      </c>
      <c r="C19901" t="str">
        <f>"412828199906280192"</f>
        <v>412828199906280192</v>
      </c>
      <c r="D19901" t="s">
        <v>1</v>
      </c>
      <c r="E19901" t="s">
        <v>1</v>
      </c>
      <c r="F19901" t="s">
        <v>0</v>
      </c>
      <c r="G19901" t="str">
        <f>"2018-10-10 14:35:52"</f>
        <v>2018-10-10 14:35:52</v>
      </c>
    </row>
    <row r="19902" spans="1:7" x14ac:dyDescent="0.2">
      <c r="A19902" t="s">
        <v>18700</v>
      </c>
      <c r="B19902" t="str">
        <f>"18685681397"</f>
        <v>18685681397</v>
      </c>
      <c r="C19902" t="str">
        <f>"433127199011212818"</f>
        <v>433127199011212818</v>
      </c>
      <c r="D19902" t="s">
        <v>1</v>
      </c>
      <c r="E19902" t="s">
        <v>1</v>
      </c>
      <c r="F19902" t="s">
        <v>0</v>
      </c>
      <c r="G19902" t="str">
        <f>"2018-10-10 14:35:26"</f>
        <v>2018-10-10 14:35:26</v>
      </c>
    </row>
    <row r="19903" spans="1:7" x14ac:dyDescent="0.2">
      <c r="A19903" t="s">
        <v>1595</v>
      </c>
      <c r="B19903" t="str">
        <f>"15109019509"</f>
        <v>15109019509</v>
      </c>
      <c r="C19903" t="str">
        <f>"622424198703134715"</f>
        <v>622424198703134715</v>
      </c>
      <c r="D19903" t="s">
        <v>1</v>
      </c>
      <c r="E19903" t="s">
        <v>1</v>
      </c>
      <c r="F19903" t="s">
        <v>0</v>
      </c>
      <c r="G19903" t="str">
        <f>"2018-10-10 14:33:50"</f>
        <v>2018-10-10 14:33:50</v>
      </c>
    </row>
    <row r="19904" spans="1:7" x14ac:dyDescent="0.2">
      <c r="A19904" t="s">
        <v>18701</v>
      </c>
      <c r="B19904" t="str">
        <f>"13178351654"</f>
        <v>13178351654</v>
      </c>
      <c r="C19904" t="str">
        <f>"350212199202281574"</f>
        <v>350212199202281574</v>
      </c>
      <c r="D19904" t="s">
        <v>18702</v>
      </c>
      <c r="E19904" t="s">
        <v>18703</v>
      </c>
      <c r="F19904" t="s">
        <v>0</v>
      </c>
      <c r="G19904" t="str">
        <f>"2018-10-10 14:47:19"</f>
        <v>2018-10-10 14:47:19</v>
      </c>
    </row>
    <row r="19905" spans="1:7" x14ac:dyDescent="0.2">
      <c r="A19905" t="s">
        <v>18704</v>
      </c>
      <c r="B19905" t="str">
        <f>"15944122570"</f>
        <v>15944122570</v>
      </c>
      <c r="C19905" t="str">
        <f>"220122198802290769"</f>
        <v>220122198802290769</v>
      </c>
      <c r="D19905" t="s">
        <v>1</v>
      </c>
      <c r="E19905" t="s">
        <v>1</v>
      </c>
      <c r="F19905" t="s">
        <v>0</v>
      </c>
      <c r="G19905" t="str">
        <f>"2018-10-10 14:37:19"</f>
        <v>2018-10-10 14:37:19</v>
      </c>
    </row>
    <row r="19906" spans="1:7" x14ac:dyDescent="0.2">
      <c r="A19906" t="s">
        <v>1705</v>
      </c>
      <c r="B19906" t="str">
        <f>"13936698534"</f>
        <v>13936698534</v>
      </c>
      <c r="C19906" t="str">
        <f>"230125199502065215"</f>
        <v>230125199502065215</v>
      </c>
      <c r="D19906" t="s">
        <v>1</v>
      </c>
      <c r="E19906" t="s">
        <v>1</v>
      </c>
      <c r="F19906" t="s">
        <v>0</v>
      </c>
      <c r="G19906" t="str">
        <f>"2018-10-10 14:32:54"</f>
        <v>2018-10-10 14:32:54</v>
      </c>
    </row>
    <row r="19907" spans="1:7" x14ac:dyDescent="0.2">
      <c r="A19907" t="s">
        <v>18705</v>
      </c>
      <c r="B19907" t="str">
        <f>"18789219161"</f>
        <v>18789219161</v>
      </c>
      <c r="C19907" t="str">
        <f>"460002199711222013"</f>
        <v>460002199711222013</v>
      </c>
      <c r="D19907" t="s">
        <v>1</v>
      </c>
      <c r="E19907" t="s">
        <v>1</v>
      </c>
      <c r="F19907" t="s">
        <v>0</v>
      </c>
      <c r="G19907" t="str">
        <f>"2018-10-10 14:33:50"</f>
        <v>2018-10-10 14:33:50</v>
      </c>
    </row>
    <row r="19908" spans="1:7" x14ac:dyDescent="0.2">
      <c r="A19908" t="s">
        <v>18706</v>
      </c>
      <c r="B19908" t="str">
        <f>"18587533252"</f>
        <v>18587533252</v>
      </c>
      <c r="C19908" t="str">
        <f>"430821199203057012"</f>
        <v>430821199203057012</v>
      </c>
      <c r="D19908" t="s">
        <v>1</v>
      </c>
      <c r="E19908" t="s">
        <v>1</v>
      </c>
      <c r="F19908" t="s">
        <v>0</v>
      </c>
      <c r="G19908" t="str">
        <f>"2018-10-10 15:45:59"</f>
        <v>2018-10-10 15:45:59</v>
      </c>
    </row>
    <row r="19909" spans="1:7" x14ac:dyDescent="0.2">
      <c r="A19909" t="s">
        <v>18707</v>
      </c>
      <c r="B19909" t="str">
        <f>"18251317085"</f>
        <v>18251317085</v>
      </c>
      <c r="C19909" t="str">
        <f>"320611198312311514"</f>
        <v>320611198312311514</v>
      </c>
      <c r="D19909" t="s">
        <v>1</v>
      </c>
      <c r="E19909" t="s">
        <v>1</v>
      </c>
      <c r="F19909" t="s">
        <v>0</v>
      </c>
      <c r="G19909" t="str">
        <f>"2018-10-10 17:05:33"</f>
        <v>2018-10-10 17:05:33</v>
      </c>
    </row>
    <row r="19910" spans="1:7" x14ac:dyDescent="0.2">
      <c r="A19910" t="s">
        <v>1</v>
      </c>
      <c r="B19910" t="str">
        <f>"18761216127"</f>
        <v>18761216127</v>
      </c>
      <c r="C19910" t="s">
        <v>1</v>
      </c>
      <c r="D19910" t="s">
        <v>1</v>
      </c>
      <c r="E19910" t="s">
        <v>1</v>
      </c>
      <c r="F19910" t="s">
        <v>0</v>
      </c>
      <c r="G19910" t="str">
        <f>"2018-10-10 14:32:45"</f>
        <v>2018-10-10 14:32:45</v>
      </c>
    </row>
    <row r="19911" spans="1:7" x14ac:dyDescent="0.2">
      <c r="A19911" t="s">
        <v>18708</v>
      </c>
      <c r="B19911" t="str">
        <f>"15269110269"</f>
        <v>15269110269</v>
      </c>
      <c r="C19911" t="str">
        <f>"370105198008132145"</f>
        <v>370105198008132145</v>
      </c>
      <c r="D19911" t="s">
        <v>1</v>
      </c>
      <c r="E19911" t="s">
        <v>1</v>
      </c>
      <c r="F19911" t="s">
        <v>0</v>
      </c>
      <c r="G19911" t="str">
        <f>"2018-10-10 14:34:06"</f>
        <v>2018-10-10 14:34:06</v>
      </c>
    </row>
    <row r="19912" spans="1:7" x14ac:dyDescent="0.2">
      <c r="A19912" t="s">
        <v>18709</v>
      </c>
      <c r="B19912" t="str">
        <f>"13569557487"</f>
        <v>13569557487</v>
      </c>
      <c r="C19912" t="str">
        <f>"410402197502203522"</f>
        <v>410402197502203522</v>
      </c>
      <c r="D19912" t="s">
        <v>1</v>
      </c>
      <c r="E19912" t="s">
        <v>1</v>
      </c>
      <c r="F19912" t="s">
        <v>0</v>
      </c>
      <c r="G19912" t="str">
        <f>"2018-10-10 14:33:27"</f>
        <v>2018-10-10 14:33:27</v>
      </c>
    </row>
    <row r="19913" spans="1:7" x14ac:dyDescent="0.2">
      <c r="A19913" t="s">
        <v>1</v>
      </c>
      <c r="B19913" t="str">
        <f>"18565408171"</f>
        <v>18565408171</v>
      </c>
      <c r="C19913" t="s">
        <v>1</v>
      </c>
      <c r="D19913" t="s">
        <v>1</v>
      </c>
      <c r="E19913" t="s">
        <v>1</v>
      </c>
      <c r="F19913" t="s">
        <v>0</v>
      </c>
      <c r="G19913" t="str">
        <f>"2018-10-10 14:42:46"</f>
        <v>2018-10-10 14:42:46</v>
      </c>
    </row>
    <row r="19914" spans="1:7" x14ac:dyDescent="0.2">
      <c r="A19914" t="s">
        <v>18710</v>
      </c>
      <c r="B19914" t="str">
        <f>"15218971300"</f>
        <v>15218971300</v>
      </c>
      <c r="C19914" t="str">
        <f>"360424198709072396"</f>
        <v>360424198709072396</v>
      </c>
      <c r="D19914" t="s">
        <v>1</v>
      </c>
      <c r="E19914" t="s">
        <v>1</v>
      </c>
      <c r="F19914" t="s">
        <v>0</v>
      </c>
      <c r="G19914" t="str">
        <f>"2018-10-21 11:01:09"</f>
        <v>2018-10-21 11:01:09</v>
      </c>
    </row>
    <row r="19915" spans="1:7" x14ac:dyDescent="0.2">
      <c r="A19915" t="s">
        <v>354</v>
      </c>
      <c r="B19915" t="str">
        <f>"15197731337"</f>
        <v>15197731337</v>
      </c>
      <c r="C19915" t="str">
        <f>"430981199201241125"</f>
        <v>430981199201241125</v>
      </c>
      <c r="D19915" t="s">
        <v>1</v>
      </c>
      <c r="E19915" t="s">
        <v>1</v>
      </c>
      <c r="F19915" t="s">
        <v>0</v>
      </c>
      <c r="G19915" t="str">
        <f>"2018-10-10 14:30:07"</f>
        <v>2018-10-10 14:30:07</v>
      </c>
    </row>
    <row r="19916" spans="1:7" x14ac:dyDescent="0.2">
      <c r="A19916" t="s">
        <v>18711</v>
      </c>
      <c r="B19916" t="str">
        <f>"18602834111"</f>
        <v>18602834111</v>
      </c>
      <c r="C19916" t="str">
        <f>"51300119800712001X"</f>
        <v>51300119800712001X</v>
      </c>
      <c r="D19916" t="s">
        <v>1</v>
      </c>
      <c r="E19916" t="s">
        <v>1</v>
      </c>
      <c r="F19916" t="s">
        <v>0</v>
      </c>
      <c r="G19916" t="str">
        <f>"2018-10-10 14:29:25"</f>
        <v>2018-10-10 14:29:25</v>
      </c>
    </row>
    <row r="19917" spans="1:7" x14ac:dyDescent="0.2">
      <c r="A19917" t="s">
        <v>18712</v>
      </c>
      <c r="B19917" t="str">
        <f>"13139313031"</f>
        <v>13139313031</v>
      </c>
      <c r="C19917" t="str">
        <f>"622726199202061291"</f>
        <v>622726199202061291</v>
      </c>
      <c r="D19917" t="s">
        <v>1</v>
      </c>
      <c r="E19917" t="s">
        <v>1</v>
      </c>
      <c r="F19917" t="s">
        <v>0</v>
      </c>
      <c r="G19917" t="str">
        <f>"2018-10-25 21:30:07"</f>
        <v>2018-10-25 21:30:07</v>
      </c>
    </row>
    <row r="19918" spans="1:7" x14ac:dyDescent="0.2">
      <c r="A19918" t="s">
        <v>18713</v>
      </c>
      <c r="B19918" t="str">
        <f>"18789089795"</f>
        <v>18789089795</v>
      </c>
      <c r="C19918" t="str">
        <f>"350583198908206311"</f>
        <v>350583198908206311</v>
      </c>
      <c r="D19918" t="s">
        <v>1</v>
      </c>
      <c r="E19918" t="s">
        <v>1</v>
      </c>
      <c r="F19918" t="s">
        <v>0</v>
      </c>
      <c r="G19918" t="str">
        <f>"2018-10-10 14:31:01"</f>
        <v>2018-10-10 14:31:01</v>
      </c>
    </row>
    <row r="19919" spans="1:7" x14ac:dyDescent="0.2">
      <c r="A19919" t="s">
        <v>18714</v>
      </c>
      <c r="B19919" t="str">
        <f>"15291543435"</f>
        <v>15291543435</v>
      </c>
      <c r="C19919" t="str">
        <f>"511521199509138645"</f>
        <v>511521199509138645</v>
      </c>
      <c r="D19919" t="s">
        <v>1</v>
      </c>
      <c r="E19919" t="s">
        <v>1</v>
      </c>
      <c r="F19919" t="s">
        <v>0</v>
      </c>
      <c r="G19919" t="str">
        <f>"2018-10-10 14:41:56"</f>
        <v>2018-10-10 14:41:56</v>
      </c>
    </row>
    <row r="19920" spans="1:7" x14ac:dyDescent="0.2">
      <c r="A19920" t="s">
        <v>18715</v>
      </c>
      <c r="B19920" t="str">
        <f>"15889929961"</f>
        <v>15889929961</v>
      </c>
      <c r="C19920" t="str">
        <f>"450421199409266030"</f>
        <v>450421199409266030</v>
      </c>
      <c r="D19920" t="s">
        <v>1</v>
      </c>
      <c r="E19920" t="s">
        <v>1</v>
      </c>
      <c r="F19920" t="s">
        <v>0</v>
      </c>
      <c r="G19920" t="str">
        <f>"2018-10-10 14:29:23"</f>
        <v>2018-10-10 14:29:23</v>
      </c>
    </row>
    <row r="19921" spans="1:7" x14ac:dyDescent="0.2">
      <c r="A19921" t="s">
        <v>18716</v>
      </c>
      <c r="B19921" t="str">
        <f>"15942831314"</f>
        <v>15942831314</v>
      </c>
      <c r="C19921" t="str">
        <f>"23112119940524003X"</f>
        <v>23112119940524003X</v>
      </c>
      <c r="D19921" t="s">
        <v>18717</v>
      </c>
      <c r="E19921" t="s">
        <v>18718</v>
      </c>
      <c r="F19921" t="s">
        <v>0</v>
      </c>
      <c r="G19921" t="str">
        <f>"2018-10-10 15:32:16"</f>
        <v>2018-10-10 15:32:16</v>
      </c>
    </row>
    <row r="19922" spans="1:7" x14ac:dyDescent="0.2">
      <c r="A19922" t="s">
        <v>18719</v>
      </c>
      <c r="B19922" t="str">
        <f>"18018932690"</f>
        <v>18018932690</v>
      </c>
      <c r="C19922" t="str">
        <f>"210213198806090518"</f>
        <v>210213198806090518</v>
      </c>
      <c r="D19922" t="s">
        <v>1</v>
      </c>
      <c r="E19922" t="s">
        <v>1</v>
      </c>
      <c r="F19922" t="s">
        <v>0</v>
      </c>
      <c r="G19922" t="str">
        <f>"2018-10-10 14:51:48"</f>
        <v>2018-10-10 14:51:48</v>
      </c>
    </row>
    <row r="19923" spans="1:7" x14ac:dyDescent="0.2">
      <c r="A19923" t="s">
        <v>18720</v>
      </c>
      <c r="B19923" t="str">
        <f>"13465286611"</f>
        <v>13465286611</v>
      </c>
      <c r="C19923" t="str">
        <f>"370523199210013034"</f>
        <v>370523199210013034</v>
      </c>
      <c r="D19923" t="s">
        <v>1</v>
      </c>
      <c r="E19923" t="s">
        <v>1</v>
      </c>
      <c r="F19923" t="s">
        <v>0</v>
      </c>
      <c r="G19923" t="str">
        <f>"2018-10-10 14:29:12"</f>
        <v>2018-10-10 14:29:12</v>
      </c>
    </row>
    <row r="19924" spans="1:7" x14ac:dyDescent="0.2">
      <c r="A19924" t="s">
        <v>18721</v>
      </c>
      <c r="B19924" t="str">
        <f>"13580561921"</f>
        <v>13580561921</v>
      </c>
      <c r="C19924" t="str">
        <f>"220122198502280323"</f>
        <v>220122198502280323</v>
      </c>
      <c r="D19924" t="s">
        <v>1</v>
      </c>
      <c r="E19924" t="s">
        <v>1</v>
      </c>
      <c r="F19924" t="s">
        <v>0</v>
      </c>
      <c r="G19924" t="str">
        <f>"2018-10-10 14:35:42"</f>
        <v>2018-10-10 14:35:42</v>
      </c>
    </row>
    <row r="19925" spans="1:7" x14ac:dyDescent="0.2">
      <c r="A19925" t="s">
        <v>1028</v>
      </c>
      <c r="B19925" t="str">
        <f>"18609103200"</f>
        <v>18609103200</v>
      </c>
      <c r="C19925" t="str">
        <f>"610126199202011415"</f>
        <v>610126199202011415</v>
      </c>
      <c r="D19925" t="s">
        <v>18722</v>
      </c>
      <c r="E19925" t="s">
        <v>18723</v>
      </c>
      <c r="F19925" t="s">
        <v>0</v>
      </c>
      <c r="G19925" t="str">
        <f>"2018-10-10 14:29:00"</f>
        <v>2018-10-10 14:29:00</v>
      </c>
    </row>
    <row r="19926" spans="1:7" x14ac:dyDescent="0.2">
      <c r="A19926" t="s">
        <v>18724</v>
      </c>
      <c r="B19926" t="str">
        <f>"18176323483"</f>
        <v>18176323483</v>
      </c>
      <c r="C19926" t="str">
        <f>"21052219921114561X"</f>
        <v>21052219921114561X</v>
      </c>
      <c r="D19926" t="s">
        <v>1</v>
      </c>
      <c r="E19926" t="s">
        <v>1</v>
      </c>
      <c r="F19926" t="s">
        <v>0</v>
      </c>
      <c r="G19926" t="str">
        <f>"2018-10-10 14:27:21"</f>
        <v>2018-10-10 14:27:21</v>
      </c>
    </row>
    <row r="19927" spans="1:7" x14ac:dyDescent="0.2">
      <c r="A19927" t="s">
        <v>18725</v>
      </c>
      <c r="B19927" t="str">
        <f>"15750783943"</f>
        <v>15750783943</v>
      </c>
      <c r="C19927" t="str">
        <f>"35062219951215257X"</f>
        <v>35062219951215257X</v>
      </c>
      <c r="D19927" t="s">
        <v>1</v>
      </c>
      <c r="E19927" t="s">
        <v>1</v>
      </c>
      <c r="F19927" t="s">
        <v>0</v>
      </c>
      <c r="G19927" t="str">
        <f>"2018-10-10 14:27:41"</f>
        <v>2018-10-10 14:27:41</v>
      </c>
    </row>
    <row r="19928" spans="1:7" x14ac:dyDescent="0.2">
      <c r="A19928" t="s">
        <v>18726</v>
      </c>
      <c r="B19928" t="str">
        <f>"18233963456"</f>
        <v>18233963456</v>
      </c>
      <c r="C19928" t="str">
        <f>"132201198607262475"</f>
        <v>132201198607262475</v>
      </c>
      <c r="D19928" t="s">
        <v>1</v>
      </c>
      <c r="E19928" t="s">
        <v>1</v>
      </c>
      <c r="F19928" t="s">
        <v>0</v>
      </c>
      <c r="G19928" t="str">
        <f>"2018-10-10 14:28:18"</f>
        <v>2018-10-10 14:28:18</v>
      </c>
    </row>
    <row r="19929" spans="1:7" x14ac:dyDescent="0.2">
      <c r="A19929" t="s">
        <v>1</v>
      </c>
      <c r="B19929" t="str">
        <f>"15269125083"</f>
        <v>15269125083</v>
      </c>
      <c r="C19929" t="s">
        <v>1</v>
      </c>
      <c r="D19929" t="s">
        <v>1</v>
      </c>
      <c r="E19929" t="s">
        <v>1</v>
      </c>
      <c r="F19929" t="s">
        <v>0</v>
      </c>
      <c r="G19929" t="str">
        <f>"2018-10-10 14:25:36"</f>
        <v>2018-10-10 14:25:36</v>
      </c>
    </row>
    <row r="19930" spans="1:7" x14ac:dyDescent="0.2">
      <c r="A19930" t="s">
        <v>18727</v>
      </c>
      <c r="B19930" t="str">
        <f>"13990548451"</f>
        <v>13990548451</v>
      </c>
      <c r="C19930" t="str">
        <f>"511025197605230117"</f>
        <v>511025197605230117</v>
      </c>
      <c r="D19930" t="s">
        <v>1</v>
      </c>
      <c r="E19930" t="s">
        <v>1</v>
      </c>
      <c r="F19930" t="s">
        <v>0</v>
      </c>
      <c r="G19930" t="str">
        <f>"2018-10-10 14:30:54"</f>
        <v>2018-10-10 14:30:54</v>
      </c>
    </row>
    <row r="19931" spans="1:7" x14ac:dyDescent="0.2">
      <c r="A19931" t="s">
        <v>157</v>
      </c>
      <c r="B19931" t="str">
        <f>"13128700974"</f>
        <v>13128700974</v>
      </c>
      <c r="C19931" t="str">
        <f>"513902199507047699"</f>
        <v>513902199507047699</v>
      </c>
      <c r="D19931" t="s">
        <v>1</v>
      </c>
      <c r="E19931" t="s">
        <v>1</v>
      </c>
      <c r="F19931" t="s">
        <v>0</v>
      </c>
      <c r="G19931" t="str">
        <f>"2018-10-10 14:25:48"</f>
        <v>2018-10-10 14:25:48</v>
      </c>
    </row>
    <row r="19932" spans="1:7" x14ac:dyDescent="0.2">
      <c r="A19932" t="s">
        <v>18728</v>
      </c>
      <c r="B19932" t="str">
        <f>"18282666149"</f>
        <v>18282666149</v>
      </c>
      <c r="C19932" t="str">
        <f>"511621199802233292"</f>
        <v>511621199802233292</v>
      </c>
      <c r="D19932" t="s">
        <v>18729</v>
      </c>
      <c r="E19932" t="s">
        <v>18730</v>
      </c>
      <c r="F19932" t="s">
        <v>0</v>
      </c>
      <c r="G19932" t="str">
        <f>"2018-10-10 14:26:28"</f>
        <v>2018-10-10 14:26:28</v>
      </c>
    </row>
    <row r="19933" spans="1:7" x14ac:dyDescent="0.2">
      <c r="A19933" t="s">
        <v>1</v>
      </c>
      <c r="B19933" t="str">
        <f>"18742424607"</f>
        <v>18742424607</v>
      </c>
      <c r="C19933" t="s">
        <v>1</v>
      </c>
      <c r="D19933" t="s">
        <v>1</v>
      </c>
      <c r="E19933" t="s">
        <v>1</v>
      </c>
      <c r="F19933" t="s">
        <v>0</v>
      </c>
      <c r="G19933" t="str">
        <f>"2018-10-10 14:23:51"</f>
        <v>2018-10-10 14:23:51</v>
      </c>
    </row>
    <row r="19934" spans="1:7" x14ac:dyDescent="0.2">
      <c r="A19934" t="s">
        <v>18731</v>
      </c>
      <c r="B19934" t="str">
        <f>"18894902112"</f>
        <v>18894902112</v>
      </c>
      <c r="C19934" t="str">
        <f>"132201198005294779"</f>
        <v>132201198005294779</v>
      </c>
      <c r="D19934" t="s">
        <v>1</v>
      </c>
      <c r="E19934" t="s">
        <v>1</v>
      </c>
      <c r="F19934" t="s">
        <v>0</v>
      </c>
      <c r="G19934" t="str">
        <f>"2018-10-10 14:27:42"</f>
        <v>2018-10-10 14:27:42</v>
      </c>
    </row>
    <row r="19935" spans="1:7" x14ac:dyDescent="0.2">
      <c r="A19935" t="s">
        <v>13373</v>
      </c>
      <c r="B19935" t="str">
        <f>"17729923037"</f>
        <v>17729923037</v>
      </c>
      <c r="C19935" t="str">
        <f>"341881199610195610"</f>
        <v>341881199610195610</v>
      </c>
      <c r="D19935" t="s">
        <v>18732</v>
      </c>
      <c r="E19935" t="s">
        <v>18733</v>
      </c>
      <c r="F19935" t="s">
        <v>0</v>
      </c>
      <c r="G19935" t="str">
        <f>"2018-10-10 14:24:42"</f>
        <v>2018-10-10 14:24:42</v>
      </c>
    </row>
    <row r="19936" spans="1:7" x14ac:dyDescent="0.2">
      <c r="A19936" t="s">
        <v>18734</v>
      </c>
      <c r="B19936" t="str">
        <f>"15082443987"</f>
        <v>15082443987</v>
      </c>
      <c r="C19936" t="str">
        <f>"511024196802180373"</f>
        <v>511024196802180373</v>
      </c>
      <c r="D19936" t="s">
        <v>1</v>
      </c>
      <c r="E19936" t="s">
        <v>1</v>
      </c>
      <c r="F19936" t="s">
        <v>0</v>
      </c>
      <c r="G19936" t="str">
        <f>"2018-10-10 14:23:34"</f>
        <v>2018-10-10 14:23:34</v>
      </c>
    </row>
    <row r="19937" spans="1:7" x14ac:dyDescent="0.2">
      <c r="A19937" t="s">
        <v>4253</v>
      </c>
      <c r="B19937" t="str">
        <f>"18941153556"</f>
        <v>18941153556</v>
      </c>
      <c r="C19937" t="str">
        <f>"210224198305220256"</f>
        <v>210224198305220256</v>
      </c>
      <c r="D19937" t="s">
        <v>1</v>
      </c>
      <c r="E19937" t="s">
        <v>1</v>
      </c>
      <c r="F19937" t="s">
        <v>0</v>
      </c>
      <c r="G19937" t="str">
        <f>"2018-10-10 14:27:02"</f>
        <v>2018-10-10 14:27:02</v>
      </c>
    </row>
    <row r="19938" spans="1:7" x14ac:dyDescent="0.2">
      <c r="A19938" t="s">
        <v>312</v>
      </c>
      <c r="B19938" t="str">
        <f>"15347329992"</f>
        <v>15347329992</v>
      </c>
      <c r="C19938" t="str">
        <f>"43062319841003622X"</f>
        <v>43062319841003622X</v>
      </c>
      <c r="D19938" t="s">
        <v>1</v>
      </c>
      <c r="E19938" t="s">
        <v>1</v>
      </c>
      <c r="F19938" t="s">
        <v>0</v>
      </c>
      <c r="G19938" t="str">
        <f>"2018-10-10 14:31:04"</f>
        <v>2018-10-10 14:31:04</v>
      </c>
    </row>
    <row r="19939" spans="1:7" x14ac:dyDescent="0.2">
      <c r="A19939" t="s">
        <v>1</v>
      </c>
      <c r="B19939" t="str">
        <f>"17156996143"</f>
        <v>17156996143</v>
      </c>
      <c r="C19939" t="s">
        <v>1</v>
      </c>
      <c r="D19939" t="s">
        <v>1</v>
      </c>
      <c r="E19939" t="s">
        <v>1</v>
      </c>
      <c r="F19939" t="s">
        <v>0</v>
      </c>
      <c r="G19939" t="str">
        <f>"2018-10-10 14:23:12"</f>
        <v>2018-10-10 14:23:12</v>
      </c>
    </row>
    <row r="19940" spans="1:7" x14ac:dyDescent="0.2">
      <c r="A19940" t="s">
        <v>18735</v>
      </c>
      <c r="B19940" t="str">
        <f>"13185382661"</f>
        <v>13185382661</v>
      </c>
      <c r="C19940" t="str">
        <f>"532127199612270012"</f>
        <v>532127199612270012</v>
      </c>
      <c r="D19940" t="s">
        <v>18736</v>
      </c>
      <c r="E19940" t="s">
        <v>18737</v>
      </c>
      <c r="F19940" t="s">
        <v>0</v>
      </c>
      <c r="G19940" t="str">
        <f>"2018-10-11 02:26:00"</f>
        <v>2018-10-11 02:26:00</v>
      </c>
    </row>
    <row r="19941" spans="1:7" x14ac:dyDescent="0.2">
      <c r="A19941" t="s">
        <v>18738</v>
      </c>
      <c r="B19941" t="str">
        <f>"13689366757"</f>
        <v>13689366757</v>
      </c>
      <c r="C19941" t="str">
        <f>"622223198309050022"</f>
        <v>622223198309050022</v>
      </c>
      <c r="D19941" t="s">
        <v>18739</v>
      </c>
      <c r="E19941" t="s">
        <v>18740</v>
      </c>
      <c r="F19941" t="s">
        <v>0</v>
      </c>
      <c r="G19941" t="str">
        <f>"2018-10-10 14:43:01"</f>
        <v>2018-10-10 14:43:01</v>
      </c>
    </row>
    <row r="19942" spans="1:7" x14ac:dyDescent="0.2">
      <c r="A19942" t="s">
        <v>18741</v>
      </c>
      <c r="B19942" t="str">
        <f>"15805694785"</f>
        <v>15805694785</v>
      </c>
      <c r="C19942" t="str">
        <f>"340121198910204654"</f>
        <v>340121198910204654</v>
      </c>
      <c r="D19942" t="s">
        <v>1</v>
      </c>
      <c r="E19942" t="s">
        <v>1</v>
      </c>
      <c r="F19942" t="s">
        <v>0</v>
      </c>
      <c r="G19942" t="str">
        <f>"2018-10-10 14:22:31"</f>
        <v>2018-10-10 14:22:31</v>
      </c>
    </row>
    <row r="19943" spans="1:7" x14ac:dyDescent="0.2">
      <c r="A19943" t="s">
        <v>18742</v>
      </c>
      <c r="B19943" t="str">
        <f>"14737576283"</f>
        <v>14737576283</v>
      </c>
      <c r="C19943" t="str">
        <f>"445224199409041238"</f>
        <v>445224199409041238</v>
      </c>
      <c r="D19943" t="s">
        <v>1</v>
      </c>
      <c r="E19943" t="s">
        <v>1</v>
      </c>
      <c r="F19943" t="s">
        <v>0</v>
      </c>
      <c r="G19943" t="str">
        <f>"2018-10-10 14:23:24"</f>
        <v>2018-10-10 14:23:24</v>
      </c>
    </row>
    <row r="19944" spans="1:7" x14ac:dyDescent="0.2">
      <c r="A19944" t="s">
        <v>1</v>
      </c>
      <c r="B19944" t="str">
        <f>"13861631970"</f>
        <v>13861631970</v>
      </c>
      <c r="C19944" t="s">
        <v>1</v>
      </c>
      <c r="D19944" t="s">
        <v>1</v>
      </c>
      <c r="E19944" t="s">
        <v>1</v>
      </c>
      <c r="F19944" t="s">
        <v>0</v>
      </c>
      <c r="G19944" t="str">
        <f>"2018-10-10 14:21:30"</f>
        <v>2018-10-10 14:21:30</v>
      </c>
    </row>
    <row r="19945" spans="1:7" x14ac:dyDescent="0.2">
      <c r="A19945" t="s">
        <v>18371</v>
      </c>
      <c r="B19945" t="str">
        <f>"15164853670"</f>
        <v>15164853670</v>
      </c>
      <c r="C19945" t="str">
        <f>"15280119910512361X"</f>
        <v>15280119910512361X</v>
      </c>
      <c r="D19945" t="s">
        <v>1</v>
      </c>
      <c r="E19945" t="s">
        <v>1</v>
      </c>
      <c r="F19945" t="s">
        <v>0</v>
      </c>
      <c r="G19945" t="str">
        <f>"2018-10-10 14:21:26"</f>
        <v>2018-10-10 14:21:26</v>
      </c>
    </row>
    <row r="19946" spans="1:7" x14ac:dyDescent="0.2">
      <c r="A19946" t="s">
        <v>1</v>
      </c>
      <c r="B19946" t="str">
        <f>"17520457327"</f>
        <v>17520457327</v>
      </c>
      <c r="C19946" t="s">
        <v>1</v>
      </c>
      <c r="D19946" t="s">
        <v>1</v>
      </c>
      <c r="E19946" t="s">
        <v>1</v>
      </c>
      <c r="F19946" t="s">
        <v>0</v>
      </c>
      <c r="G19946" t="str">
        <f>"2018-10-10 14:20:34"</f>
        <v>2018-10-10 14:20:34</v>
      </c>
    </row>
    <row r="19947" spans="1:7" x14ac:dyDescent="0.2">
      <c r="A19947" t="s">
        <v>1</v>
      </c>
      <c r="B19947" t="str">
        <f>"13483887837"</f>
        <v>13483887837</v>
      </c>
      <c r="C19947" t="s">
        <v>1</v>
      </c>
      <c r="D19947" t="s">
        <v>1</v>
      </c>
      <c r="E19947" t="s">
        <v>1</v>
      </c>
      <c r="F19947" t="s">
        <v>0</v>
      </c>
      <c r="G19947" t="str">
        <f>"2018-10-10 14:20:19"</f>
        <v>2018-10-10 14:20:19</v>
      </c>
    </row>
    <row r="19948" spans="1:7" x14ac:dyDescent="0.2">
      <c r="A19948" t="s">
        <v>18743</v>
      </c>
      <c r="B19948" t="str">
        <f>"13844240123"</f>
        <v>13844240123</v>
      </c>
      <c r="C19948" t="str">
        <f>"220281198604162219"</f>
        <v>220281198604162219</v>
      </c>
      <c r="D19948" t="s">
        <v>1</v>
      </c>
      <c r="E19948" t="s">
        <v>1</v>
      </c>
      <c r="F19948" t="s">
        <v>0</v>
      </c>
      <c r="G19948" t="str">
        <f>"2018-10-10 14:21:12"</f>
        <v>2018-10-10 14:21:12</v>
      </c>
    </row>
    <row r="19949" spans="1:7" x14ac:dyDescent="0.2">
      <c r="A19949" t="s">
        <v>18744</v>
      </c>
      <c r="B19949" t="str">
        <f>"15834573678"</f>
        <v>15834573678</v>
      </c>
      <c r="C19949" t="str">
        <f>"220581199210021174"</f>
        <v>220581199210021174</v>
      </c>
      <c r="D19949" t="s">
        <v>1</v>
      </c>
      <c r="E19949" t="s">
        <v>1</v>
      </c>
      <c r="F19949" t="s">
        <v>0</v>
      </c>
      <c r="G19949" t="str">
        <f>"2018-10-10 14:22:41"</f>
        <v>2018-10-10 14:22:41</v>
      </c>
    </row>
    <row r="19950" spans="1:7" x14ac:dyDescent="0.2">
      <c r="A19950" t="s">
        <v>18745</v>
      </c>
      <c r="B19950" t="str">
        <f>"13832160867"</f>
        <v>13832160867</v>
      </c>
      <c r="C19950" t="str">
        <f>"372527198208150817"</f>
        <v>372527198208150817</v>
      </c>
      <c r="D19950" t="s">
        <v>1</v>
      </c>
      <c r="E19950" t="s">
        <v>1</v>
      </c>
      <c r="F19950" t="s">
        <v>0</v>
      </c>
      <c r="G19950" t="str">
        <f>"2018-10-10 14:19:35"</f>
        <v>2018-10-10 14:19:35</v>
      </c>
    </row>
    <row r="19951" spans="1:7" x14ac:dyDescent="0.2">
      <c r="A19951" t="s">
        <v>1203</v>
      </c>
      <c r="B19951" t="str">
        <f>"15537760023"</f>
        <v>15537760023</v>
      </c>
      <c r="C19951" t="str">
        <f>"411303198305033911"</f>
        <v>411303198305033911</v>
      </c>
      <c r="D19951" t="s">
        <v>18746</v>
      </c>
      <c r="E19951" t="s">
        <v>18747</v>
      </c>
      <c r="F19951" t="s">
        <v>0</v>
      </c>
      <c r="G19951" t="str">
        <f>"2018-10-10 14:19:49"</f>
        <v>2018-10-10 14:19:49</v>
      </c>
    </row>
    <row r="19952" spans="1:7" x14ac:dyDescent="0.2">
      <c r="A19952" t="s">
        <v>18748</v>
      </c>
      <c r="B19952" t="str">
        <f>"13850599932"</f>
        <v>13850599932</v>
      </c>
      <c r="C19952" t="str">
        <f>"35068119881001527X"</f>
        <v>35068119881001527X</v>
      </c>
      <c r="D19952" t="s">
        <v>18749</v>
      </c>
      <c r="E19952" t="s">
        <v>18750</v>
      </c>
      <c r="F19952" t="s">
        <v>0</v>
      </c>
      <c r="G19952" t="str">
        <f>"2018-10-10 14:20:36"</f>
        <v>2018-10-10 14:20:36</v>
      </c>
    </row>
    <row r="19953" spans="1:7" x14ac:dyDescent="0.2">
      <c r="A19953" t="s">
        <v>18751</v>
      </c>
      <c r="B19953" t="str">
        <f>"13889206121"</f>
        <v>13889206121</v>
      </c>
      <c r="C19953" t="str">
        <f>"211224199208155646"</f>
        <v>211224199208155646</v>
      </c>
      <c r="D19953" t="s">
        <v>1</v>
      </c>
      <c r="E19953" t="s">
        <v>1</v>
      </c>
      <c r="F19953" t="s">
        <v>0</v>
      </c>
      <c r="G19953" t="str">
        <f>"2018-10-10 14:19:45"</f>
        <v>2018-10-10 14:19:45</v>
      </c>
    </row>
    <row r="19954" spans="1:7" x14ac:dyDescent="0.2">
      <c r="A19954" t="s">
        <v>1474</v>
      </c>
      <c r="B19954" t="str">
        <f>"18093690883"</f>
        <v>18093690883</v>
      </c>
      <c r="C19954" t="str">
        <f>"622201199404102739"</f>
        <v>622201199404102739</v>
      </c>
      <c r="D19954" t="s">
        <v>18752</v>
      </c>
      <c r="E19954" t="s">
        <v>18753</v>
      </c>
      <c r="F19954" t="s">
        <v>0</v>
      </c>
      <c r="G19954" t="str">
        <f>"2018-10-10 14:24:06"</f>
        <v>2018-10-10 14:24:06</v>
      </c>
    </row>
    <row r="19955" spans="1:7" x14ac:dyDescent="0.2">
      <c r="A19955" t="s">
        <v>18754</v>
      </c>
      <c r="B19955" t="str">
        <f>"18152484731"</f>
        <v>18152484731</v>
      </c>
      <c r="C19955" t="str">
        <f>"640202200108070027"</f>
        <v>640202200108070027</v>
      </c>
      <c r="D19955" t="s">
        <v>18755</v>
      </c>
      <c r="E19955" t="s">
        <v>18756</v>
      </c>
      <c r="F19955" t="s">
        <v>0</v>
      </c>
      <c r="G19955" t="str">
        <f>"2018-10-10 14:19:34"</f>
        <v>2018-10-10 14:19:34</v>
      </c>
    </row>
    <row r="19956" spans="1:7" x14ac:dyDescent="0.2">
      <c r="A19956" t="s">
        <v>1</v>
      </c>
      <c r="B19956" t="str">
        <f>"13186720430"</f>
        <v>13186720430</v>
      </c>
      <c r="C19956" t="s">
        <v>1</v>
      </c>
      <c r="D19956" t="s">
        <v>1</v>
      </c>
      <c r="E19956" t="s">
        <v>1</v>
      </c>
      <c r="F19956" t="s">
        <v>0</v>
      </c>
      <c r="G19956" t="str">
        <f>"2018-10-10 14:16:44"</f>
        <v>2018-10-10 14:16:44</v>
      </c>
    </row>
    <row r="19957" spans="1:7" x14ac:dyDescent="0.2">
      <c r="A19957" t="s">
        <v>18757</v>
      </c>
      <c r="B19957" t="str">
        <f>"15670880013"</f>
        <v>15670880013</v>
      </c>
      <c r="C19957" t="str">
        <f>"410821198511073032"</f>
        <v>410821198511073032</v>
      </c>
      <c r="D19957" t="s">
        <v>1</v>
      </c>
      <c r="E19957" t="s">
        <v>1</v>
      </c>
      <c r="F19957" t="s">
        <v>0</v>
      </c>
      <c r="G19957" t="str">
        <f>"2018-10-10 14:17:36"</f>
        <v>2018-10-10 14:17:36</v>
      </c>
    </row>
    <row r="19958" spans="1:7" x14ac:dyDescent="0.2">
      <c r="A19958" t="s">
        <v>18758</v>
      </c>
      <c r="B19958" t="str">
        <f>"18505949287"</f>
        <v>18505949287</v>
      </c>
      <c r="C19958" t="str">
        <f>"422302198602154150"</f>
        <v>422302198602154150</v>
      </c>
      <c r="D19958" t="s">
        <v>18759</v>
      </c>
      <c r="E19958" t="s">
        <v>18760</v>
      </c>
      <c r="F19958" t="s">
        <v>0</v>
      </c>
      <c r="G19958" t="str">
        <f>"2018-10-10 14:19:33"</f>
        <v>2018-10-10 14:19:33</v>
      </c>
    </row>
    <row r="19959" spans="1:7" x14ac:dyDescent="0.2">
      <c r="A19959" t="s">
        <v>18761</v>
      </c>
      <c r="B19959" t="str">
        <f>"13651132257"</f>
        <v>13651132257</v>
      </c>
      <c r="C19959" t="str">
        <f>"513021198107131491"</f>
        <v>513021198107131491</v>
      </c>
      <c r="D19959" t="s">
        <v>18762</v>
      </c>
      <c r="E19959" t="s">
        <v>18763</v>
      </c>
      <c r="F19959" t="s">
        <v>0</v>
      </c>
      <c r="G19959" t="str">
        <f>"2018-10-10 14:19:56"</f>
        <v>2018-10-10 14:19:56</v>
      </c>
    </row>
    <row r="19960" spans="1:7" x14ac:dyDescent="0.2">
      <c r="A19960" t="s">
        <v>18764</v>
      </c>
      <c r="B19960" t="str">
        <f>"17364355277"</f>
        <v>17364355277</v>
      </c>
      <c r="C19960" t="str">
        <f>"340403197901031623"</f>
        <v>340403197901031623</v>
      </c>
      <c r="D19960" t="s">
        <v>18765</v>
      </c>
      <c r="E19960" t="s">
        <v>18766</v>
      </c>
      <c r="F19960" t="s">
        <v>0</v>
      </c>
      <c r="G19960" t="str">
        <f>"2018-10-10 14:20:19"</f>
        <v>2018-10-10 14:20:19</v>
      </c>
    </row>
    <row r="19961" spans="1:7" x14ac:dyDescent="0.2">
      <c r="A19961" t="s">
        <v>265</v>
      </c>
      <c r="B19961" t="str">
        <f>"18526336196"</f>
        <v>18526336196</v>
      </c>
      <c r="C19961" t="str">
        <f>"120112198506010412"</f>
        <v>120112198506010412</v>
      </c>
      <c r="D19961" t="s">
        <v>18767</v>
      </c>
      <c r="E19961" t="s">
        <v>18768</v>
      </c>
      <c r="F19961" t="s">
        <v>0</v>
      </c>
      <c r="G19961" t="str">
        <f>"2018-10-20 09:39:36"</f>
        <v>2018-10-20 09:39:36</v>
      </c>
    </row>
    <row r="19962" spans="1:7" x14ac:dyDescent="0.2">
      <c r="A19962" t="s">
        <v>1</v>
      </c>
      <c r="B19962" t="str">
        <f>"13563181562"</f>
        <v>13563181562</v>
      </c>
      <c r="C19962" t="s">
        <v>1</v>
      </c>
      <c r="D19962" t="s">
        <v>1</v>
      </c>
      <c r="E19962" t="s">
        <v>1</v>
      </c>
      <c r="F19962" t="s">
        <v>0</v>
      </c>
      <c r="G19962" t="str">
        <f>"2018-10-10 14:15:56"</f>
        <v>2018-10-10 14:15:56</v>
      </c>
    </row>
    <row r="19963" spans="1:7" x14ac:dyDescent="0.2">
      <c r="A19963" t="s">
        <v>18769</v>
      </c>
      <c r="B19963" t="str">
        <f>"13775576808"</f>
        <v>13775576808</v>
      </c>
      <c r="C19963" t="str">
        <f>"320723199610153230"</f>
        <v>320723199610153230</v>
      </c>
      <c r="D19963" t="s">
        <v>1</v>
      </c>
      <c r="E19963" t="s">
        <v>1</v>
      </c>
      <c r="F19963" t="s">
        <v>0</v>
      </c>
      <c r="G19963" t="str">
        <f>"2018-10-13 13:50:09"</f>
        <v>2018-10-13 13:50:09</v>
      </c>
    </row>
    <row r="19964" spans="1:7" x14ac:dyDescent="0.2">
      <c r="A19964" t="s">
        <v>18770</v>
      </c>
      <c r="B19964" t="str">
        <f>"18690697718"</f>
        <v>18690697718</v>
      </c>
      <c r="C19964" t="str">
        <f>"65280119960516001X"</f>
        <v>65280119960516001X</v>
      </c>
      <c r="D19964" t="s">
        <v>1</v>
      </c>
      <c r="E19964" t="s">
        <v>1</v>
      </c>
      <c r="F19964" t="s">
        <v>0</v>
      </c>
      <c r="G19964" t="str">
        <f>"2018-10-10 14:19:12"</f>
        <v>2018-10-10 14:19:12</v>
      </c>
    </row>
    <row r="19965" spans="1:7" x14ac:dyDescent="0.2">
      <c r="A19965" t="s">
        <v>403</v>
      </c>
      <c r="B19965" t="str">
        <f>"15399129495"</f>
        <v>15399129495</v>
      </c>
      <c r="C19965" t="str">
        <f>"61272519991228423X"</f>
        <v>61272519991228423X</v>
      </c>
      <c r="D19965" t="s">
        <v>1</v>
      </c>
      <c r="E19965" t="s">
        <v>1</v>
      </c>
      <c r="F19965" t="s">
        <v>0</v>
      </c>
      <c r="G19965" t="str">
        <f>"2018-10-30 11:40:54"</f>
        <v>2018-10-30 11:40:54</v>
      </c>
    </row>
    <row r="19966" spans="1:7" x14ac:dyDescent="0.2">
      <c r="A19966" t="s">
        <v>18771</v>
      </c>
      <c r="B19966" t="str">
        <f>"13767333273"</f>
        <v>13767333273</v>
      </c>
      <c r="C19966" t="str">
        <f>"362325199008052920"</f>
        <v>362325199008052920</v>
      </c>
      <c r="D19966" t="s">
        <v>1</v>
      </c>
      <c r="E19966" t="s">
        <v>1</v>
      </c>
      <c r="F19966" t="s">
        <v>0</v>
      </c>
      <c r="G19966" t="str">
        <f>"2018-10-10 14:16:26"</f>
        <v>2018-10-10 14:16:26</v>
      </c>
    </row>
    <row r="19967" spans="1:7" x14ac:dyDescent="0.2">
      <c r="A19967" t="s">
        <v>8523</v>
      </c>
      <c r="B19967" t="str">
        <f>"18772706080"</f>
        <v>18772706080</v>
      </c>
      <c r="C19967" t="str">
        <f>"42080119900625401X"</f>
        <v>42080119900625401X</v>
      </c>
      <c r="D19967" t="s">
        <v>1</v>
      </c>
      <c r="E19967" t="s">
        <v>1</v>
      </c>
      <c r="F19967" t="s">
        <v>0</v>
      </c>
      <c r="G19967" t="str">
        <f>"2018-10-10 14:15:26"</f>
        <v>2018-10-10 14:15:26</v>
      </c>
    </row>
    <row r="19968" spans="1:7" x14ac:dyDescent="0.2">
      <c r="A19968" t="s">
        <v>345</v>
      </c>
      <c r="B19968" t="str">
        <f>"15307417077"</f>
        <v>15307417077</v>
      </c>
      <c r="C19968" t="str">
        <f>"430281198912017768"</f>
        <v>430281198912017768</v>
      </c>
      <c r="D19968" t="s">
        <v>1</v>
      </c>
      <c r="E19968" t="s">
        <v>1</v>
      </c>
      <c r="F19968" t="s">
        <v>0</v>
      </c>
      <c r="G19968" t="str">
        <f>"2018-10-20 09:53:57"</f>
        <v>2018-10-20 09:53:57</v>
      </c>
    </row>
    <row r="19969" spans="1:7" x14ac:dyDescent="0.2">
      <c r="A19969" t="s">
        <v>94</v>
      </c>
      <c r="B19969" t="str">
        <f>"14752153771"</f>
        <v>14752153771</v>
      </c>
      <c r="C19969" t="str">
        <f>"320324199308015958"</f>
        <v>320324199308015958</v>
      </c>
      <c r="D19969" t="s">
        <v>1</v>
      </c>
      <c r="E19969" t="s">
        <v>1</v>
      </c>
      <c r="F19969" t="s">
        <v>0</v>
      </c>
      <c r="G19969" t="str">
        <f>"2018-10-31 13:58:39"</f>
        <v>2018-10-31 13:58:39</v>
      </c>
    </row>
    <row r="19970" spans="1:7" x14ac:dyDescent="0.2">
      <c r="A19970" t="s">
        <v>18772</v>
      </c>
      <c r="B19970" t="str">
        <f>"15913536489"</f>
        <v>15913536489</v>
      </c>
      <c r="C19970" t="str">
        <f>"440804199201210015"</f>
        <v>440804199201210015</v>
      </c>
      <c r="D19970" t="s">
        <v>1</v>
      </c>
      <c r="E19970" t="s">
        <v>1</v>
      </c>
      <c r="F19970" t="s">
        <v>0</v>
      </c>
      <c r="G19970" t="str">
        <f>"2018-10-10 14:13:56"</f>
        <v>2018-10-10 14:13:56</v>
      </c>
    </row>
    <row r="19971" spans="1:7" x14ac:dyDescent="0.2">
      <c r="A19971" t="s">
        <v>18773</v>
      </c>
      <c r="B19971" t="str">
        <f>"15921268306"</f>
        <v>15921268306</v>
      </c>
      <c r="C19971" t="str">
        <f>"342401199303257911"</f>
        <v>342401199303257911</v>
      </c>
      <c r="D19971" t="s">
        <v>1</v>
      </c>
      <c r="E19971" t="s">
        <v>1</v>
      </c>
      <c r="F19971" t="s">
        <v>0</v>
      </c>
      <c r="G19971" t="str">
        <f>"2018-10-17 12:47:09"</f>
        <v>2018-10-17 12:47:09</v>
      </c>
    </row>
    <row r="19972" spans="1:7" x14ac:dyDescent="0.2">
      <c r="A19972" t="s">
        <v>18774</v>
      </c>
      <c r="B19972" t="str">
        <f>"15395185026"</f>
        <v>15395185026</v>
      </c>
      <c r="C19972" t="str">
        <f>"340881199112285137"</f>
        <v>340881199112285137</v>
      </c>
      <c r="D19972" t="s">
        <v>1</v>
      </c>
      <c r="E19972" t="s">
        <v>1</v>
      </c>
      <c r="F19972" t="s">
        <v>0</v>
      </c>
      <c r="G19972" t="str">
        <f>"2018-10-10 14:15:25"</f>
        <v>2018-10-10 14:15:25</v>
      </c>
    </row>
    <row r="19973" spans="1:7" x14ac:dyDescent="0.2">
      <c r="A19973" t="s">
        <v>1</v>
      </c>
      <c r="B19973" t="str">
        <f>"17614808081"</f>
        <v>17614808081</v>
      </c>
      <c r="C19973" t="s">
        <v>1</v>
      </c>
      <c r="D19973" t="s">
        <v>1</v>
      </c>
      <c r="E19973" t="s">
        <v>1</v>
      </c>
      <c r="F19973" t="s">
        <v>0</v>
      </c>
      <c r="G19973" t="str">
        <f>"2018-10-10 14:12:19"</f>
        <v>2018-10-10 14:12:19</v>
      </c>
    </row>
    <row r="19974" spans="1:7" x14ac:dyDescent="0.2">
      <c r="A19974" t="s">
        <v>18775</v>
      </c>
      <c r="B19974" t="str">
        <f>"13927588275"</f>
        <v>13927588275</v>
      </c>
      <c r="C19974" t="str">
        <f>"440903199810091866"</f>
        <v>440903199810091866</v>
      </c>
      <c r="D19974" t="s">
        <v>18776</v>
      </c>
      <c r="E19974" t="s">
        <v>18777</v>
      </c>
      <c r="F19974" t="s">
        <v>0</v>
      </c>
      <c r="G19974" t="str">
        <f>"2018-10-10 14:46:00"</f>
        <v>2018-10-10 14:46:00</v>
      </c>
    </row>
    <row r="19975" spans="1:7" x14ac:dyDescent="0.2">
      <c r="A19975" t="s">
        <v>18778</v>
      </c>
      <c r="B19975" t="str">
        <f>"15597573335"</f>
        <v>15597573335</v>
      </c>
      <c r="C19975" t="str">
        <f>"632523198003101016"</f>
        <v>632523198003101016</v>
      </c>
      <c r="D19975" t="s">
        <v>1</v>
      </c>
      <c r="E19975" t="s">
        <v>1</v>
      </c>
      <c r="F19975" t="s">
        <v>0</v>
      </c>
      <c r="G19975" t="str">
        <f>"2018-10-10 14:13:36"</f>
        <v>2018-10-10 14:13:36</v>
      </c>
    </row>
    <row r="19976" spans="1:7" x14ac:dyDescent="0.2">
      <c r="A19976" t="s">
        <v>18779</v>
      </c>
      <c r="B19976" t="str">
        <f>"15625905208"</f>
        <v>15625905208</v>
      </c>
      <c r="C19976" t="str">
        <f>"469024199711274012"</f>
        <v>469024199711274012</v>
      </c>
      <c r="D19976" t="s">
        <v>1</v>
      </c>
      <c r="E19976" t="s">
        <v>1</v>
      </c>
      <c r="F19976" t="s">
        <v>0</v>
      </c>
      <c r="G19976" t="str">
        <f>"2018-10-10 14:12:26"</f>
        <v>2018-10-10 14:12:26</v>
      </c>
    </row>
    <row r="19977" spans="1:7" x14ac:dyDescent="0.2">
      <c r="A19977" t="s">
        <v>18780</v>
      </c>
      <c r="B19977" t="str">
        <f>"15880184144"</f>
        <v>15880184144</v>
      </c>
      <c r="C19977" t="str">
        <f>"350181199103022136"</f>
        <v>350181199103022136</v>
      </c>
      <c r="D19977" t="s">
        <v>1</v>
      </c>
      <c r="E19977" t="s">
        <v>1</v>
      </c>
      <c r="F19977" t="s">
        <v>0</v>
      </c>
      <c r="G19977" t="str">
        <f>"2018-10-12 09:40:35"</f>
        <v>2018-10-12 09:40:35</v>
      </c>
    </row>
    <row r="19978" spans="1:7" x14ac:dyDescent="0.2">
      <c r="A19978" t="s">
        <v>18781</v>
      </c>
      <c r="B19978" t="str">
        <f>"13655230388"</f>
        <v>13655230388</v>
      </c>
      <c r="C19978" t="str">
        <f>"320831199212212819"</f>
        <v>320831199212212819</v>
      </c>
      <c r="D19978" t="s">
        <v>18782</v>
      </c>
      <c r="E19978" t="s">
        <v>18783</v>
      </c>
      <c r="F19978" t="s">
        <v>0</v>
      </c>
      <c r="G19978" t="str">
        <f>"2018-10-10 14:56:06"</f>
        <v>2018-10-10 14:56:06</v>
      </c>
    </row>
    <row r="19979" spans="1:7" x14ac:dyDescent="0.2">
      <c r="A19979" t="s">
        <v>18784</v>
      </c>
      <c r="B19979" t="str">
        <f>"13414080476"</f>
        <v>13414080476</v>
      </c>
      <c r="C19979" t="str">
        <f>"420625198107296871"</f>
        <v>420625198107296871</v>
      </c>
      <c r="D19979" t="s">
        <v>1</v>
      </c>
      <c r="E19979" t="s">
        <v>1</v>
      </c>
      <c r="F19979" t="s">
        <v>0</v>
      </c>
      <c r="G19979" t="str">
        <f>"2018-10-10 14:21:19"</f>
        <v>2018-10-10 14:21:19</v>
      </c>
    </row>
    <row r="19980" spans="1:7" x14ac:dyDescent="0.2">
      <c r="A19980" t="s">
        <v>18785</v>
      </c>
      <c r="B19980" t="str">
        <f>"18554820823"</f>
        <v>18554820823</v>
      </c>
      <c r="C19980" t="str">
        <f>"370284199209202117"</f>
        <v>370284199209202117</v>
      </c>
      <c r="D19980" t="s">
        <v>18786</v>
      </c>
      <c r="E19980" t="s">
        <v>18787</v>
      </c>
      <c r="F19980" t="s">
        <v>0</v>
      </c>
      <c r="G19980" t="str">
        <f>"2018-10-10 17:05:21"</f>
        <v>2018-10-10 17:05:21</v>
      </c>
    </row>
    <row r="19981" spans="1:7" x14ac:dyDescent="0.2">
      <c r="A19981" t="s">
        <v>18788</v>
      </c>
      <c r="B19981" t="str">
        <f>"18364051211"</f>
        <v>18364051211</v>
      </c>
      <c r="C19981" t="str">
        <f>"372922198703034469"</f>
        <v>372922198703034469</v>
      </c>
      <c r="D19981" t="s">
        <v>18789</v>
      </c>
      <c r="E19981" t="s">
        <v>18790</v>
      </c>
      <c r="F19981" t="s">
        <v>0</v>
      </c>
      <c r="G19981" t="str">
        <f>"2018-10-10 14:10:15"</f>
        <v>2018-10-10 14:10:15</v>
      </c>
    </row>
    <row r="19982" spans="1:7" x14ac:dyDescent="0.2">
      <c r="A19982" t="s">
        <v>18791</v>
      </c>
      <c r="B19982" t="str">
        <f>"15008845042"</f>
        <v>15008845042</v>
      </c>
      <c r="C19982" t="str">
        <f>"532624198302140929"</f>
        <v>532624198302140929</v>
      </c>
      <c r="D19982" t="s">
        <v>18792</v>
      </c>
      <c r="E19982" t="s">
        <v>18793</v>
      </c>
      <c r="F19982" t="s">
        <v>0</v>
      </c>
      <c r="G19982" t="str">
        <f>"2018-10-10 14:10:45"</f>
        <v>2018-10-10 14:10:45</v>
      </c>
    </row>
    <row r="19983" spans="1:7" x14ac:dyDescent="0.2">
      <c r="A19983" t="s">
        <v>18794</v>
      </c>
      <c r="B19983" t="str">
        <f>"15937768447"</f>
        <v>15937768447</v>
      </c>
      <c r="C19983" t="str">
        <f>"412826198008051796"</f>
        <v>412826198008051796</v>
      </c>
      <c r="D19983" t="s">
        <v>1</v>
      </c>
      <c r="E19983" t="s">
        <v>1</v>
      </c>
      <c r="F19983" t="s">
        <v>0</v>
      </c>
      <c r="G19983" t="str">
        <f>"2018-10-10 14:10:29"</f>
        <v>2018-10-10 14:10:29</v>
      </c>
    </row>
    <row r="19984" spans="1:7" x14ac:dyDescent="0.2">
      <c r="A19984" t="s">
        <v>1</v>
      </c>
      <c r="B19984" t="str">
        <f>"13265339178"</f>
        <v>13265339178</v>
      </c>
      <c r="C19984" t="s">
        <v>1</v>
      </c>
      <c r="D19984" t="s">
        <v>1</v>
      </c>
      <c r="E19984" t="s">
        <v>1</v>
      </c>
      <c r="F19984" t="s">
        <v>0</v>
      </c>
      <c r="G19984" t="str">
        <f>"2018-10-10 14:12:38"</f>
        <v>2018-10-10 14:12:38</v>
      </c>
    </row>
    <row r="19985" spans="1:7" x14ac:dyDescent="0.2">
      <c r="A19985" t="s">
        <v>1</v>
      </c>
      <c r="B19985" t="str">
        <f>"13776355431"</f>
        <v>13776355431</v>
      </c>
      <c r="C19985" t="s">
        <v>1</v>
      </c>
      <c r="D19985" t="s">
        <v>1</v>
      </c>
      <c r="E19985" t="s">
        <v>1</v>
      </c>
      <c r="F19985" t="s">
        <v>0</v>
      </c>
      <c r="G19985" t="str">
        <f>"2018-10-10 14:08:28"</f>
        <v>2018-10-10 14:08:28</v>
      </c>
    </row>
    <row r="19986" spans="1:7" x14ac:dyDescent="0.2">
      <c r="A19986" t="s">
        <v>18795</v>
      </c>
      <c r="B19986" t="str">
        <f>"18754429722"</f>
        <v>18754429722</v>
      </c>
      <c r="C19986" t="str">
        <f>"370703199208090810"</f>
        <v>370703199208090810</v>
      </c>
      <c r="D19986" t="s">
        <v>1</v>
      </c>
      <c r="E19986" t="s">
        <v>1</v>
      </c>
      <c r="F19986" t="s">
        <v>0</v>
      </c>
      <c r="G19986" t="str">
        <f>"2018-10-10 14:11:21"</f>
        <v>2018-10-10 14:11:21</v>
      </c>
    </row>
    <row r="19987" spans="1:7" x14ac:dyDescent="0.2">
      <c r="A19987" t="s">
        <v>18796</v>
      </c>
      <c r="B19987" t="str">
        <f>"13420359117"</f>
        <v>13420359117</v>
      </c>
      <c r="C19987" t="str">
        <f>"440924197902235612"</f>
        <v>440924197902235612</v>
      </c>
      <c r="D19987" t="s">
        <v>1</v>
      </c>
      <c r="E19987" t="s">
        <v>1</v>
      </c>
      <c r="F19987" t="s">
        <v>0</v>
      </c>
      <c r="G19987" t="str">
        <f>"2018-10-10 14:09:16"</f>
        <v>2018-10-10 14:09:16</v>
      </c>
    </row>
    <row r="19988" spans="1:7" x14ac:dyDescent="0.2">
      <c r="A19988" t="s">
        <v>18797</v>
      </c>
      <c r="B19988" t="str">
        <f>"15949713552"</f>
        <v>15949713552</v>
      </c>
      <c r="C19988" t="str">
        <f>"370685199107074415"</f>
        <v>370685199107074415</v>
      </c>
      <c r="D19988" t="s">
        <v>1</v>
      </c>
      <c r="E19988" t="s">
        <v>1</v>
      </c>
      <c r="F19988" t="s">
        <v>0</v>
      </c>
      <c r="G19988" t="str">
        <f>"2018-10-17 14:58:10"</f>
        <v>2018-10-17 14:58:10</v>
      </c>
    </row>
    <row r="19989" spans="1:7" x14ac:dyDescent="0.2">
      <c r="A19989" t="s">
        <v>18798</v>
      </c>
      <c r="B19989" t="str">
        <f>"18274793295"</f>
        <v>18274793295</v>
      </c>
      <c r="C19989" t="str">
        <f>"430422199006031037"</f>
        <v>430422199006031037</v>
      </c>
      <c r="D19989" t="s">
        <v>1</v>
      </c>
      <c r="E19989" t="s">
        <v>1</v>
      </c>
      <c r="F19989" t="s">
        <v>0</v>
      </c>
      <c r="G19989" t="str">
        <f>"2018-10-10 14:10:23"</f>
        <v>2018-10-10 14:10:23</v>
      </c>
    </row>
    <row r="19990" spans="1:7" x14ac:dyDescent="0.2">
      <c r="A19990" t="s">
        <v>18799</v>
      </c>
      <c r="B19990" t="str">
        <f>"13174673777"</f>
        <v>13174673777</v>
      </c>
      <c r="C19990" t="str">
        <f>"350628198808062032"</f>
        <v>350628198808062032</v>
      </c>
      <c r="D19990" t="s">
        <v>18800</v>
      </c>
      <c r="E19990" t="s">
        <v>18801</v>
      </c>
      <c r="F19990" t="s">
        <v>0</v>
      </c>
      <c r="G19990" t="str">
        <f>"2018-10-10 14:09:13"</f>
        <v>2018-10-10 14:09:13</v>
      </c>
    </row>
    <row r="19991" spans="1:7" x14ac:dyDescent="0.2">
      <c r="A19991" t="s">
        <v>18802</v>
      </c>
      <c r="B19991" t="str">
        <f>"15521145280"</f>
        <v>15521145280</v>
      </c>
      <c r="C19991" t="str">
        <f>"440508199709060037"</f>
        <v>440508199709060037</v>
      </c>
      <c r="D19991" t="s">
        <v>1</v>
      </c>
      <c r="E19991" t="s">
        <v>1</v>
      </c>
      <c r="F19991" t="s">
        <v>0</v>
      </c>
      <c r="G19991" t="str">
        <f>"2018-10-10 14:14:26"</f>
        <v>2018-10-10 14:14:26</v>
      </c>
    </row>
    <row r="19992" spans="1:7" x14ac:dyDescent="0.2">
      <c r="A19992" t="s">
        <v>6866</v>
      </c>
      <c r="B19992" t="str">
        <f>"13690043147"</f>
        <v>13690043147</v>
      </c>
      <c r="C19992" t="str">
        <f>"445122198810051763"</f>
        <v>445122198810051763</v>
      </c>
      <c r="D19992" t="s">
        <v>1</v>
      </c>
      <c r="E19992" t="s">
        <v>1</v>
      </c>
      <c r="F19992" t="s">
        <v>0</v>
      </c>
      <c r="G19992" t="str">
        <f>"2018-10-10 14:10:56"</f>
        <v>2018-10-10 14:10:56</v>
      </c>
    </row>
    <row r="19993" spans="1:7" x14ac:dyDescent="0.2">
      <c r="A19993" t="s">
        <v>18803</v>
      </c>
      <c r="B19993" t="str">
        <f>"18886906942"</f>
        <v>18886906942</v>
      </c>
      <c r="C19993" t="str">
        <f>"522327199010252019"</f>
        <v>522327199010252019</v>
      </c>
      <c r="D19993" t="s">
        <v>1</v>
      </c>
      <c r="E19993" t="s">
        <v>1</v>
      </c>
      <c r="F19993" t="s">
        <v>0</v>
      </c>
      <c r="G19993" t="str">
        <f>"2018-10-10 17:09:57"</f>
        <v>2018-10-10 17:09:57</v>
      </c>
    </row>
    <row r="19994" spans="1:7" x14ac:dyDescent="0.2">
      <c r="A19994" t="s">
        <v>18804</v>
      </c>
      <c r="B19994" t="str">
        <f>"13669835329"</f>
        <v>13669835329</v>
      </c>
      <c r="C19994" t="str">
        <f>"441424199704072245"</f>
        <v>441424199704072245</v>
      </c>
      <c r="D19994" t="s">
        <v>1</v>
      </c>
      <c r="E19994" t="s">
        <v>1</v>
      </c>
      <c r="F19994" t="s">
        <v>0</v>
      </c>
      <c r="G19994" t="str">
        <f>"2018-10-10 14:08:27"</f>
        <v>2018-10-10 14:08:27</v>
      </c>
    </row>
    <row r="19995" spans="1:7" x14ac:dyDescent="0.2">
      <c r="A19995" t="s">
        <v>18805</v>
      </c>
      <c r="B19995" t="str">
        <f>"15770777623"</f>
        <v>15770777623</v>
      </c>
      <c r="C19995" t="str">
        <f>"360734199002032423"</f>
        <v>360734199002032423</v>
      </c>
      <c r="D19995" t="s">
        <v>1</v>
      </c>
      <c r="E19995" t="s">
        <v>1</v>
      </c>
      <c r="F19995" t="s">
        <v>0</v>
      </c>
      <c r="G19995" t="str">
        <f>"2018-11-03 19:07:27"</f>
        <v>2018-11-03 19:07:27</v>
      </c>
    </row>
    <row r="19996" spans="1:7" x14ac:dyDescent="0.2">
      <c r="A19996" t="s">
        <v>1543</v>
      </c>
      <c r="B19996" t="str">
        <f>"13207798342"</f>
        <v>13207798342</v>
      </c>
      <c r="C19996" t="str">
        <f>"152324198205094919"</f>
        <v>152324198205094919</v>
      </c>
      <c r="D19996" t="s">
        <v>1</v>
      </c>
      <c r="E19996" t="s">
        <v>1</v>
      </c>
      <c r="F19996" t="s">
        <v>0</v>
      </c>
      <c r="G19996" t="str">
        <f>"2018-10-10 14:06:34"</f>
        <v>2018-10-10 14:06:34</v>
      </c>
    </row>
    <row r="19997" spans="1:7" x14ac:dyDescent="0.2">
      <c r="A19997" t="s">
        <v>18806</v>
      </c>
      <c r="B19997" t="str">
        <f>"13570380639"</f>
        <v>13570380639</v>
      </c>
      <c r="C19997" t="str">
        <f>"440103198505052723"</f>
        <v>440103198505052723</v>
      </c>
      <c r="D19997" t="s">
        <v>1</v>
      </c>
      <c r="E19997" t="s">
        <v>1</v>
      </c>
      <c r="F19997" t="s">
        <v>0</v>
      </c>
      <c r="G19997" t="str">
        <f>"2018-10-10 14:07:20"</f>
        <v>2018-10-10 14:07:20</v>
      </c>
    </row>
    <row r="19998" spans="1:7" x14ac:dyDescent="0.2">
      <c r="A19998" t="s">
        <v>1</v>
      </c>
      <c r="B19998" t="str">
        <f>"15958636216"</f>
        <v>15958636216</v>
      </c>
      <c r="C19998" t="s">
        <v>1</v>
      </c>
      <c r="D19998" t="s">
        <v>1</v>
      </c>
      <c r="E19998" t="s">
        <v>1</v>
      </c>
      <c r="F19998" t="s">
        <v>0</v>
      </c>
      <c r="G19998" t="str">
        <f>"2018-10-10 14:04:52"</f>
        <v>2018-10-10 14:04:52</v>
      </c>
    </row>
    <row r="19999" spans="1:7" x14ac:dyDescent="0.2">
      <c r="A19999" t="s">
        <v>18807</v>
      </c>
      <c r="B19999" t="str">
        <f>"13222138770"</f>
        <v>13222138770</v>
      </c>
      <c r="C19999" t="str">
        <f>"320924197912124134"</f>
        <v>320924197912124134</v>
      </c>
      <c r="D19999" t="s">
        <v>1</v>
      </c>
      <c r="E19999" t="s">
        <v>1</v>
      </c>
      <c r="F19999" t="s">
        <v>0</v>
      </c>
      <c r="G19999" t="str">
        <f>"2018-10-10 14:05:32"</f>
        <v>2018-10-10 14:05:32</v>
      </c>
    </row>
    <row r="20000" spans="1:7" x14ac:dyDescent="0.2">
      <c r="A20000" t="s">
        <v>18808</v>
      </c>
      <c r="B20000" t="str">
        <f>"18089342259"</f>
        <v>18089342259</v>
      </c>
      <c r="C20000" t="str">
        <f>"622823200008090218"</f>
        <v>622823200008090218</v>
      </c>
      <c r="D20000" t="s">
        <v>1</v>
      </c>
      <c r="E20000" t="s">
        <v>1</v>
      </c>
      <c r="F20000" t="s">
        <v>0</v>
      </c>
      <c r="G20000" t="str">
        <f>"2018-10-10 14:04:12"</f>
        <v>2018-10-10 14:04:12</v>
      </c>
    </row>
    <row r="20001" spans="1:7" x14ac:dyDescent="0.2">
      <c r="A20001" t="s">
        <v>18809</v>
      </c>
      <c r="B20001" t="str">
        <f>"13920407732"</f>
        <v>13920407732</v>
      </c>
      <c r="C20001" t="str">
        <f>"120105198902030016"</f>
        <v>120105198902030016</v>
      </c>
      <c r="D20001" t="s">
        <v>1</v>
      </c>
      <c r="E20001" t="s">
        <v>1</v>
      </c>
      <c r="F20001" t="s">
        <v>0</v>
      </c>
      <c r="G20001" t="str">
        <f>"2018-10-10 14:03:40"</f>
        <v>2018-10-10 14:03:40</v>
      </c>
    </row>
    <row r="20002" spans="1:7" x14ac:dyDescent="0.2">
      <c r="A20002" t="s">
        <v>18810</v>
      </c>
      <c r="B20002" t="str">
        <f>"18370070060"</f>
        <v>18370070060</v>
      </c>
      <c r="C20002" t="str">
        <f>"362321199402071016"</f>
        <v>362321199402071016</v>
      </c>
      <c r="D20002" t="s">
        <v>18811</v>
      </c>
      <c r="E20002" t="s">
        <v>18812</v>
      </c>
      <c r="F20002" t="s">
        <v>0</v>
      </c>
      <c r="G20002" t="str">
        <f>"2018-10-10 14:05:39"</f>
        <v>2018-10-10 14:05:39</v>
      </c>
    </row>
    <row r="20003" spans="1:7" x14ac:dyDescent="0.2">
      <c r="A20003" t="s">
        <v>1</v>
      </c>
      <c r="B20003" t="str">
        <f>"13829579689"</f>
        <v>13829579689</v>
      </c>
      <c r="C20003" t="s">
        <v>1</v>
      </c>
      <c r="D20003" t="s">
        <v>1</v>
      </c>
      <c r="E20003" t="s">
        <v>1</v>
      </c>
      <c r="F20003" t="s">
        <v>0</v>
      </c>
      <c r="G20003" t="str">
        <f>"2018-10-10 14:02:13"</f>
        <v>2018-10-10 14:02:13</v>
      </c>
    </row>
    <row r="20004" spans="1:7" x14ac:dyDescent="0.2">
      <c r="A20004" t="s">
        <v>18813</v>
      </c>
      <c r="B20004" t="str">
        <f>"17585393520"</f>
        <v>17585393520</v>
      </c>
      <c r="C20004" t="str">
        <f>"522601199408122014"</f>
        <v>522601199408122014</v>
      </c>
      <c r="D20004" t="s">
        <v>1</v>
      </c>
      <c r="E20004" t="s">
        <v>1</v>
      </c>
      <c r="F20004" t="s">
        <v>0</v>
      </c>
      <c r="G20004" t="str">
        <f>"2018-10-10 14:02:49"</f>
        <v>2018-10-10 14:02:49</v>
      </c>
    </row>
    <row r="20005" spans="1:7" x14ac:dyDescent="0.2">
      <c r="A20005" t="s">
        <v>18814</v>
      </c>
      <c r="B20005" t="str">
        <f>"15843245518"</f>
        <v>15843245518</v>
      </c>
      <c r="C20005" t="str">
        <f>"220221197709045616"</f>
        <v>220221197709045616</v>
      </c>
      <c r="D20005" t="s">
        <v>1</v>
      </c>
      <c r="E20005" t="s">
        <v>1</v>
      </c>
      <c r="F20005" t="s">
        <v>0</v>
      </c>
      <c r="G20005" t="str">
        <f>"2018-10-10 14:08:04"</f>
        <v>2018-10-10 14:08:04</v>
      </c>
    </row>
    <row r="20006" spans="1:7" x14ac:dyDescent="0.2">
      <c r="A20006" t="s">
        <v>27</v>
      </c>
      <c r="B20006" t="str">
        <f>"13903375865"</f>
        <v>13903375865</v>
      </c>
      <c r="C20006" t="str">
        <f>"130203198611043612"</f>
        <v>130203198611043612</v>
      </c>
      <c r="D20006" t="s">
        <v>1</v>
      </c>
      <c r="E20006" t="s">
        <v>1</v>
      </c>
      <c r="F20006" t="s">
        <v>0</v>
      </c>
      <c r="G20006" t="str">
        <f>"2018-10-10 14:19:54"</f>
        <v>2018-10-10 14:19:54</v>
      </c>
    </row>
    <row r="20007" spans="1:7" x14ac:dyDescent="0.2">
      <c r="A20007" t="s">
        <v>987</v>
      </c>
      <c r="B20007" t="str">
        <f>"13110269515"</f>
        <v>13110269515</v>
      </c>
      <c r="C20007" t="str">
        <f>"511325198903011116"</f>
        <v>511325198903011116</v>
      </c>
      <c r="D20007" t="s">
        <v>1</v>
      </c>
      <c r="E20007" t="s">
        <v>1</v>
      </c>
      <c r="F20007" t="s">
        <v>0</v>
      </c>
      <c r="G20007" t="str">
        <f>"2018-10-10 14:20:53"</f>
        <v>2018-10-10 14:20:53</v>
      </c>
    </row>
    <row r="20008" spans="1:7" x14ac:dyDescent="0.2">
      <c r="A20008" t="s">
        <v>1</v>
      </c>
      <c r="B20008" t="str">
        <f>"13797770507"</f>
        <v>13797770507</v>
      </c>
      <c r="C20008" t="s">
        <v>1</v>
      </c>
      <c r="D20008" t="s">
        <v>1</v>
      </c>
      <c r="E20008" t="s">
        <v>1</v>
      </c>
      <c r="F20008" t="s">
        <v>0</v>
      </c>
      <c r="G20008" t="str">
        <f>"2018-10-10 14:01:21"</f>
        <v>2018-10-10 14:01:21</v>
      </c>
    </row>
    <row r="20009" spans="1:7" x14ac:dyDescent="0.2">
      <c r="A20009" t="s">
        <v>18815</v>
      </c>
      <c r="B20009" t="str">
        <f>"13486040028"</f>
        <v>13486040028</v>
      </c>
      <c r="C20009" t="str">
        <f>"330327198005022882"</f>
        <v>330327198005022882</v>
      </c>
      <c r="D20009" t="s">
        <v>1</v>
      </c>
      <c r="E20009" t="s">
        <v>1</v>
      </c>
      <c r="F20009" t="s">
        <v>0</v>
      </c>
      <c r="G20009" t="str">
        <f>"2018-10-10 14:02:45"</f>
        <v>2018-10-10 14:02:45</v>
      </c>
    </row>
    <row r="20010" spans="1:7" x14ac:dyDescent="0.2">
      <c r="A20010" t="s">
        <v>1</v>
      </c>
      <c r="B20010" t="str">
        <f>"15057903726"</f>
        <v>15057903726</v>
      </c>
      <c r="C20010" t="s">
        <v>1</v>
      </c>
      <c r="D20010" t="s">
        <v>1</v>
      </c>
      <c r="E20010" t="s">
        <v>1</v>
      </c>
      <c r="F20010" t="s">
        <v>0</v>
      </c>
      <c r="G20010" t="str">
        <f>"2018-10-10 14:00:14"</f>
        <v>2018-10-10 14:00:14</v>
      </c>
    </row>
    <row r="20011" spans="1:7" x14ac:dyDescent="0.2">
      <c r="A20011" t="s">
        <v>18816</v>
      </c>
      <c r="B20011" t="str">
        <f>"15695617561"</f>
        <v>15695617561</v>
      </c>
      <c r="C20011" t="str">
        <f>"340621198701227515"</f>
        <v>340621198701227515</v>
      </c>
      <c r="D20011" t="s">
        <v>1</v>
      </c>
      <c r="E20011" t="s">
        <v>1</v>
      </c>
      <c r="F20011" t="s">
        <v>0</v>
      </c>
      <c r="G20011" t="str">
        <f>"2018-10-10 14:02:05"</f>
        <v>2018-10-10 14:02:05</v>
      </c>
    </row>
    <row r="20012" spans="1:7" x14ac:dyDescent="0.2">
      <c r="A20012" t="s">
        <v>18817</v>
      </c>
      <c r="B20012" t="str">
        <f>"18276420982"</f>
        <v>18276420982</v>
      </c>
      <c r="C20012" t="str">
        <f>"450421198803272530"</f>
        <v>450421198803272530</v>
      </c>
      <c r="D20012" t="s">
        <v>18818</v>
      </c>
      <c r="E20012" t="s">
        <v>18819</v>
      </c>
      <c r="F20012" t="s">
        <v>0</v>
      </c>
      <c r="G20012" t="str">
        <f>"2018-10-10 14:01:56"</f>
        <v>2018-10-10 14:01:56</v>
      </c>
    </row>
    <row r="20013" spans="1:7" x14ac:dyDescent="0.2">
      <c r="A20013" t="s">
        <v>18820</v>
      </c>
      <c r="B20013" t="str">
        <f>"18319964608"</f>
        <v>18319964608</v>
      </c>
      <c r="C20013" t="str">
        <f>"440183199412221758"</f>
        <v>440183199412221758</v>
      </c>
      <c r="D20013" t="s">
        <v>1</v>
      </c>
      <c r="E20013" t="s">
        <v>1</v>
      </c>
      <c r="F20013" t="s">
        <v>0</v>
      </c>
      <c r="G20013" t="str">
        <f>"2018-10-10 14:00:27"</f>
        <v>2018-10-10 14:00:27</v>
      </c>
    </row>
    <row r="20014" spans="1:7" x14ac:dyDescent="0.2">
      <c r="A20014" t="s">
        <v>18821</v>
      </c>
      <c r="B20014" t="str">
        <f>"17530119161"</f>
        <v>17530119161</v>
      </c>
      <c r="C20014" t="str">
        <f>"410224199003060033"</f>
        <v>410224199003060033</v>
      </c>
      <c r="D20014" t="s">
        <v>1</v>
      </c>
      <c r="E20014" t="s">
        <v>1</v>
      </c>
      <c r="F20014" t="s">
        <v>0</v>
      </c>
      <c r="G20014" t="str">
        <f>"2018-10-10 14:01:00"</f>
        <v>2018-10-10 14:01:00</v>
      </c>
    </row>
    <row r="20015" spans="1:7" x14ac:dyDescent="0.2">
      <c r="A20015" t="s">
        <v>18822</v>
      </c>
      <c r="B20015" t="str">
        <f>"17388800396"</f>
        <v>17388800396</v>
      </c>
      <c r="C20015" t="str">
        <f>"50023619920815433X"</f>
        <v>50023619920815433X</v>
      </c>
      <c r="D20015" t="s">
        <v>1</v>
      </c>
      <c r="E20015" t="s">
        <v>1</v>
      </c>
      <c r="F20015" t="s">
        <v>0</v>
      </c>
      <c r="G20015" t="str">
        <f>"2018-10-12 14:17:53"</f>
        <v>2018-10-12 14:17:53</v>
      </c>
    </row>
    <row r="20016" spans="1:7" x14ac:dyDescent="0.2">
      <c r="A20016" t="s">
        <v>18823</v>
      </c>
      <c r="B20016" t="str">
        <f>"18788859573"</f>
        <v>18788859573</v>
      </c>
      <c r="C20016" t="str">
        <f>"340421199607222439"</f>
        <v>340421199607222439</v>
      </c>
      <c r="D20016" t="s">
        <v>1</v>
      </c>
      <c r="E20016" t="s">
        <v>1</v>
      </c>
      <c r="F20016" t="s">
        <v>0</v>
      </c>
      <c r="G20016" t="str">
        <f>"2018-10-10 13:59:48"</f>
        <v>2018-10-10 13:59:48</v>
      </c>
    </row>
    <row r="20017" spans="1:7" x14ac:dyDescent="0.2">
      <c r="A20017" t="s">
        <v>18824</v>
      </c>
      <c r="B20017" t="str">
        <f>"13110704758"</f>
        <v>13110704758</v>
      </c>
      <c r="C20017" t="str">
        <f>"350583198108141310"</f>
        <v>350583198108141310</v>
      </c>
      <c r="D20017" t="s">
        <v>1</v>
      </c>
      <c r="E20017" t="s">
        <v>1</v>
      </c>
      <c r="F20017" t="s">
        <v>0</v>
      </c>
      <c r="G20017" t="str">
        <f>"2018-10-15 20:48:54"</f>
        <v>2018-10-15 20:48:54</v>
      </c>
    </row>
    <row r="20018" spans="1:7" x14ac:dyDescent="0.2">
      <c r="A20018" t="s">
        <v>18825</v>
      </c>
      <c r="B20018" t="str">
        <f>"13053985963"</f>
        <v>13053985963</v>
      </c>
      <c r="C20018" t="str">
        <f>"330329196603252251"</f>
        <v>330329196603252251</v>
      </c>
      <c r="D20018" t="s">
        <v>1</v>
      </c>
      <c r="E20018" t="s">
        <v>1</v>
      </c>
      <c r="F20018" t="s">
        <v>0</v>
      </c>
      <c r="G20018" t="str">
        <f>"2018-10-30 11:45:01"</f>
        <v>2018-10-30 11:45:01</v>
      </c>
    </row>
    <row r="20019" spans="1:7" x14ac:dyDescent="0.2">
      <c r="A20019" t="s">
        <v>18826</v>
      </c>
      <c r="B20019" t="str">
        <f>"15214309120"</f>
        <v>15214309120</v>
      </c>
      <c r="C20019" t="str">
        <f>"320684199801194198"</f>
        <v>320684199801194198</v>
      </c>
      <c r="D20019" t="s">
        <v>1</v>
      </c>
      <c r="E20019" t="s">
        <v>1</v>
      </c>
      <c r="F20019" t="s">
        <v>0</v>
      </c>
      <c r="G20019" t="str">
        <f>"2018-10-10 14:00:12"</f>
        <v>2018-10-10 14:00:12</v>
      </c>
    </row>
    <row r="20020" spans="1:7" x14ac:dyDescent="0.2">
      <c r="A20020" t="s">
        <v>18827</v>
      </c>
      <c r="B20020" t="str">
        <f>"15877868136"</f>
        <v>15877868136</v>
      </c>
      <c r="C20020" t="str">
        <f>"53032319880610197X"</f>
        <v>53032319880610197X</v>
      </c>
      <c r="D20020" t="s">
        <v>18828</v>
      </c>
      <c r="E20020" t="s">
        <v>18829</v>
      </c>
      <c r="F20020" t="s">
        <v>0</v>
      </c>
      <c r="G20020" t="str">
        <f>"2018-10-10 13:57:20"</f>
        <v>2018-10-10 13:57:20</v>
      </c>
    </row>
    <row r="20021" spans="1:7" x14ac:dyDescent="0.2">
      <c r="A20021" t="s">
        <v>18830</v>
      </c>
      <c r="B20021" t="str">
        <f>"17777988603"</f>
        <v>17777988603</v>
      </c>
      <c r="C20021" t="str">
        <f>"450512198601150534"</f>
        <v>450512198601150534</v>
      </c>
      <c r="D20021" t="s">
        <v>1</v>
      </c>
      <c r="E20021" t="s">
        <v>1</v>
      </c>
      <c r="F20021" t="s">
        <v>0</v>
      </c>
      <c r="G20021" t="str">
        <f>"2018-10-10 13:58:10"</f>
        <v>2018-10-10 13:58:10</v>
      </c>
    </row>
    <row r="20022" spans="1:7" x14ac:dyDescent="0.2">
      <c r="A20022" t="s">
        <v>268</v>
      </c>
      <c r="B20022" t="str">
        <f>"18662055992"</f>
        <v>18662055992</v>
      </c>
      <c r="C20022" t="str">
        <f>"320911199106226037"</f>
        <v>320911199106226037</v>
      </c>
      <c r="D20022" t="s">
        <v>1</v>
      </c>
      <c r="E20022" t="s">
        <v>1</v>
      </c>
      <c r="F20022" t="s">
        <v>0</v>
      </c>
      <c r="G20022" t="str">
        <f>"2018-10-10 15:20:35"</f>
        <v>2018-10-10 15:20:35</v>
      </c>
    </row>
    <row r="20023" spans="1:7" x14ac:dyDescent="0.2">
      <c r="A20023" t="s">
        <v>18831</v>
      </c>
      <c r="B20023" t="str">
        <f>"18378480943"</f>
        <v>18378480943</v>
      </c>
      <c r="C20023" t="str">
        <f>"452428198607200528"</f>
        <v>452428198607200528</v>
      </c>
      <c r="D20023" t="s">
        <v>1</v>
      </c>
      <c r="E20023" t="s">
        <v>1</v>
      </c>
      <c r="F20023" t="s">
        <v>0</v>
      </c>
      <c r="G20023" t="str">
        <f>"2018-10-10 13:57:23"</f>
        <v>2018-10-10 13:57:23</v>
      </c>
    </row>
    <row r="20024" spans="1:7" x14ac:dyDescent="0.2">
      <c r="A20024" t="s">
        <v>1</v>
      </c>
      <c r="B20024" t="str">
        <f>"18771356157"</f>
        <v>18771356157</v>
      </c>
      <c r="C20024" t="s">
        <v>1</v>
      </c>
      <c r="D20024" t="s">
        <v>1</v>
      </c>
      <c r="E20024" t="s">
        <v>1</v>
      </c>
      <c r="F20024" t="s">
        <v>0</v>
      </c>
      <c r="G20024" t="str">
        <f>"2018-10-10 13:53:05"</f>
        <v>2018-10-10 13:53:05</v>
      </c>
    </row>
    <row r="20025" spans="1:7" x14ac:dyDescent="0.2">
      <c r="A20025" t="s">
        <v>18832</v>
      </c>
      <c r="B20025" t="str">
        <f>"15020332207"</f>
        <v>15020332207</v>
      </c>
      <c r="C20025" t="str">
        <f>"320721198301022416"</f>
        <v>320721198301022416</v>
      </c>
      <c r="D20025" t="s">
        <v>1</v>
      </c>
      <c r="E20025" t="s">
        <v>1</v>
      </c>
      <c r="F20025" t="s">
        <v>0</v>
      </c>
      <c r="G20025" t="str">
        <f>"2018-10-25 11:01:20"</f>
        <v>2018-10-25 11:01:20</v>
      </c>
    </row>
    <row r="20026" spans="1:7" x14ac:dyDescent="0.2">
      <c r="A20026" t="s">
        <v>843</v>
      </c>
      <c r="B20026" t="str">
        <f>"15006835331"</f>
        <v>15006835331</v>
      </c>
      <c r="C20026" t="str">
        <f>"371202199306285117"</f>
        <v>371202199306285117</v>
      </c>
      <c r="D20026" t="s">
        <v>18833</v>
      </c>
      <c r="E20026" t="s">
        <v>18834</v>
      </c>
      <c r="F20026" t="s">
        <v>0</v>
      </c>
      <c r="G20026" t="str">
        <f>"2018-10-10 13:54:38"</f>
        <v>2018-10-10 13:54:38</v>
      </c>
    </row>
    <row r="20027" spans="1:7" x14ac:dyDescent="0.2">
      <c r="A20027" t="s">
        <v>1759</v>
      </c>
      <c r="B20027" t="str">
        <f>"18684060330"</f>
        <v>18684060330</v>
      </c>
      <c r="C20027" t="str">
        <f>"511303199303300092"</f>
        <v>511303199303300092</v>
      </c>
      <c r="D20027" t="s">
        <v>1</v>
      </c>
      <c r="E20027" t="s">
        <v>1</v>
      </c>
      <c r="F20027" t="s">
        <v>0</v>
      </c>
      <c r="G20027" t="str">
        <f>"2018-10-10 13:53:12"</f>
        <v>2018-10-10 13:53:12</v>
      </c>
    </row>
    <row r="20028" spans="1:7" x14ac:dyDescent="0.2">
      <c r="A20028" t="s">
        <v>18835</v>
      </c>
      <c r="B20028" t="str">
        <f>"15205125031"</f>
        <v>15205125031</v>
      </c>
      <c r="C20028" t="str">
        <f>"320722198110276356"</f>
        <v>320722198110276356</v>
      </c>
      <c r="D20028" t="s">
        <v>1</v>
      </c>
      <c r="E20028" t="s">
        <v>1</v>
      </c>
      <c r="F20028" t="s">
        <v>0</v>
      </c>
      <c r="G20028" t="str">
        <f>"2018-10-10 13:53:49"</f>
        <v>2018-10-10 13:53:49</v>
      </c>
    </row>
    <row r="20029" spans="1:7" x14ac:dyDescent="0.2">
      <c r="A20029" t="s">
        <v>18836</v>
      </c>
      <c r="B20029" t="str">
        <f>"13552879700"</f>
        <v>13552879700</v>
      </c>
      <c r="C20029" t="str">
        <f>"130425199502081015"</f>
        <v>130425199502081015</v>
      </c>
      <c r="D20029" t="s">
        <v>1</v>
      </c>
      <c r="E20029" t="s">
        <v>1</v>
      </c>
      <c r="F20029" t="s">
        <v>0</v>
      </c>
      <c r="G20029" t="str">
        <f>"2018-10-10 13:51:45"</f>
        <v>2018-10-10 13:51:45</v>
      </c>
    </row>
    <row r="20030" spans="1:7" x14ac:dyDescent="0.2">
      <c r="A20030" t="s">
        <v>1</v>
      </c>
      <c r="B20030" t="str">
        <f>"13810639960"</f>
        <v>13810639960</v>
      </c>
      <c r="C20030" t="s">
        <v>1</v>
      </c>
      <c r="D20030" t="s">
        <v>1</v>
      </c>
      <c r="E20030" t="s">
        <v>1</v>
      </c>
      <c r="F20030" t="s">
        <v>0</v>
      </c>
      <c r="G20030" t="str">
        <f>"2018-10-10 13:50:21"</f>
        <v>2018-10-10 13:50:21</v>
      </c>
    </row>
    <row r="20031" spans="1:7" x14ac:dyDescent="0.2">
      <c r="A20031" t="s">
        <v>18837</v>
      </c>
      <c r="B20031" t="str">
        <f>"15050782800"</f>
        <v>15050782800</v>
      </c>
      <c r="C20031" t="str">
        <f>"321001199009250034"</f>
        <v>321001199009250034</v>
      </c>
      <c r="D20031" t="s">
        <v>1</v>
      </c>
      <c r="E20031" t="s">
        <v>1</v>
      </c>
      <c r="F20031" t="s">
        <v>0</v>
      </c>
      <c r="G20031" t="str">
        <f>"2018-10-16 17:07:26"</f>
        <v>2018-10-16 17:07:26</v>
      </c>
    </row>
    <row r="20032" spans="1:7" x14ac:dyDescent="0.2">
      <c r="A20032" t="s">
        <v>1</v>
      </c>
      <c r="B20032" t="str">
        <f>"18398270905"</f>
        <v>18398270905</v>
      </c>
      <c r="C20032" t="s">
        <v>1</v>
      </c>
      <c r="D20032" t="s">
        <v>1</v>
      </c>
      <c r="E20032" t="s">
        <v>1</v>
      </c>
      <c r="F20032" t="s">
        <v>0</v>
      </c>
      <c r="G20032" t="str">
        <f>"2018-10-10 13:49:03"</f>
        <v>2018-10-10 13:49:03</v>
      </c>
    </row>
    <row r="20033" spans="1:7" x14ac:dyDescent="0.2">
      <c r="A20033" t="s">
        <v>18838</v>
      </c>
      <c r="B20033" t="str">
        <f>"15893641333"</f>
        <v>15893641333</v>
      </c>
      <c r="C20033" t="str">
        <f>"412726199001087154"</f>
        <v>412726199001087154</v>
      </c>
      <c r="D20033" t="s">
        <v>1</v>
      </c>
      <c r="E20033" t="s">
        <v>1</v>
      </c>
      <c r="F20033" t="s">
        <v>0</v>
      </c>
      <c r="G20033" t="str">
        <f>"2018-10-10 13:50:15"</f>
        <v>2018-10-10 13:50:15</v>
      </c>
    </row>
    <row r="20034" spans="1:7" x14ac:dyDescent="0.2">
      <c r="A20034" t="s">
        <v>9143</v>
      </c>
      <c r="B20034" t="str">
        <f>"18045662510"</f>
        <v>18045662510</v>
      </c>
      <c r="C20034" t="str">
        <f>"230182198305074414"</f>
        <v>230182198305074414</v>
      </c>
      <c r="D20034" t="s">
        <v>1</v>
      </c>
      <c r="E20034" t="s">
        <v>1</v>
      </c>
      <c r="F20034" t="s">
        <v>0</v>
      </c>
      <c r="G20034" t="str">
        <f>"2018-10-10 19:14:41"</f>
        <v>2018-10-10 19:14:41</v>
      </c>
    </row>
    <row r="20035" spans="1:7" x14ac:dyDescent="0.2">
      <c r="A20035" t="s">
        <v>18839</v>
      </c>
      <c r="B20035" t="str">
        <f>"13424311451"</f>
        <v>13424311451</v>
      </c>
      <c r="C20035" t="str">
        <f>"441602198512200618"</f>
        <v>441602198512200618</v>
      </c>
      <c r="D20035" t="s">
        <v>1</v>
      </c>
      <c r="E20035" t="s">
        <v>1</v>
      </c>
      <c r="F20035" t="s">
        <v>0</v>
      </c>
      <c r="G20035" t="str">
        <f>"2018-10-10 13:53:09"</f>
        <v>2018-10-10 13:53:09</v>
      </c>
    </row>
    <row r="20036" spans="1:7" x14ac:dyDescent="0.2">
      <c r="A20036" t="s">
        <v>18840</v>
      </c>
      <c r="B20036" t="str">
        <f>"15032692491"</f>
        <v>15032692491</v>
      </c>
      <c r="C20036" t="str">
        <f>"130131199211112724"</f>
        <v>130131199211112724</v>
      </c>
      <c r="D20036" t="s">
        <v>1</v>
      </c>
      <c r="E20036" t="s">
        <v>1</v>
      </c>
      <c r="F20036" t="s">
        <v>0</v>
      </c>
      <c r="G20036" t="str">
        <f>"2018-10-30 15:54:42"</f>
        <v>2018-10-30 15:54:42</v>
      </c>
    </row>
    <row r="20037" spans="1:7" x14ac:dyDescent="0.2">
      <c r="A20037" t="s">
        <v>18841</v>
      </c>
      <c r="B20037" t="str">
        <f>"18419325167"</f>
        <v>18419325167</v>
      </c>
      <c r="C20037" t="str">
        <f>"622923198308131232"</f>
        <v>622923198308131232</v>
      </c>
      <c r="D20037" t="s">
        <v>1</v>
      </c>
      <c r="E20037" t="s">
        <v>1</v>
      </c>
      <c r="F20037" t="s">
        <v>0</v>
      </c>
      <c r="G20037" t="str">
        <f>"2018-10-10 13:50:17"</f>
        <v>2018-10-10 13:50:17</v>
      </c>
    </row>
    <row r="20038" spans="1:7" x14ac:dyDescent="0.2">
      <c r="A20038" t="s">
        <v>18842</v>
      </c>
      <c r="B20038" t="str">
        <f>"18667350780"</f>
        <v>18667350780</v>
      </c>
      <c r="C20038" t="str">
        <f>"342422199108060816"</f>
        <v>342422199108060816</v>
      </c>
      <c r="D20038" t="s">
        <v>1</v>
      </c>
      <c r="E20038" t="s">
        <v>1</v>
      </c>
      <c r="F20038" t="s">
        <v>0</v>
      </c>
      <c r="G20038" t="str">
        <f>"2018-10-10 13:47:50"</f>
        <v>2018-10-10 13:47:50</v>
      </c>
    </row>
    <row r="20039" spans="1:7" x14ac:dyDescent="0.2">
      <c r="A20039" t="s">
        <v>445</v>
      </c>
      <c r="B20039" t="str">
        <f>"15192064996"</f>
        <v>15192064996</v>
      </c>
      <c r="C20039" t="str">
        <f>"370281198712156337"</f>
        <v>370281198712156337</v>
      </c>
      <c r="D20039" t="s">
        <v>1</v>
      </c>
      <c r="E20039" t="s">
        <v>1</v>
      </c>
      <c r="F20039" t="s">
        <v>0</v>
      </c>
      <c r="G20039" t="str">
        <f>"2018-10-10 15:16:39"</f>
        <v>2018-10-10 15:16:39</v>
      </c>
    </row>
    <row r="20040" spans="1:7" x14ac:dyDescent="0.2">
      <c r="A20040" t="s">
        <v>256</v>
      </c>
      <c r="B20040" t="str">
        <f>"15716779928"</f>
        <v>15716779928</v>
      </c>
      <c r="C20040" t="str">
        <f>"410711199001203059"</f>
        <v>410711199001203059</v>
      </c>
      <c r="D20040" t="s">
        <v>18843</v>
      </c>
      <c r="E20040" t="s">
        <v>18844</v>
      </c>
      <c r="F20040" t="s">
        <v>0</v>
      </c>
      <c r="G20040" t="str">
        <f>"2018-10-10 13:45:59"</f>
        <v>2018-10-10 13:45:59</v>
      </c>
    </row>
    <row r="20041" spans="1:7" x14ac:dyDescent="0.2">
      <c r="A20041" t="s">
        <v>18845</v>
      </c>
      <c r="B20041" t="str">
        <f>"13600324034"</f>
        <v>13600324034</v>
      </c>
      <c r="C20041" t="str">
        <f>"360734198806281316"</f>
        <v>360734198806281316</v>
      </c>
      <c r="D20041" t="s">
        <v>1</v>
      </c>
      <c r="E20041" t="s">
        <v>1</v>
      </c>
      <c r="F20041" t="s">
        <v>0</v>
      </c>
      <c r="G20041" t="str">
        <f>"2018-10-10 14:34:11"</f>
        <v>2018-10-10 14:34:11</v>
      </c>
    </row>
    <row r="20042" spans="1:7" x14ac:dyDescent="0.2">
      <c r="A20042" t="s">
        <v>18846</v>
      </c>
      <c r="B20042" t="str">
        <f>"15593417768"</f>
        <v>15593417768</v>
      </c>
      <c r="C20042" t="str">
        <f>"622825199511021516"</f>
        <v>622825199511021516</v>
      </c>
      <c r="D20042" t="s">
        <v>1</v>
      </c>
      <c r="E20042" t="s">
        <v>1</v>
      </c>
      <c r="F20042" t="s">
        <v>0</v>
      </c>
      <c r="G20042" t="str">
        <f>"2018-10-10 13:45:36"</f>
        <v>2018-10-10 13:45:36</v>
      </c>
    </row>
    <row r="20043" spans="1:7" x14ac:dyDescent="0.2">
      <c r="A20043" t="s">
        <v>18847</v>
      </c>
      <c r="B20043" t="str">
        <f>"18156276616"</f>
        <v>18156276616</v>
      </c>
      <c r="C20043" t="str">
        <f>"341282198705080313"</f>
        <v>341282198705080313</v>
      </c>
      <c r="D20043" t="s">
        <v>1</v>
      </c>
      <c r="E20043" t="s">
        <v>1</v>
      </c>
      <c r="F20043" t="s">
        <v>0</v>
      </c>
      <c r="G20043" t="str">
        <f>"2018-10-10 14:00:11"</f>
        <v>2018-10-10 14:00:11</v>
      </c>
    </row>
    <row r="20044" spans="1:7" x14ac:dyDescent="0.2">
      <c r="A20044" t="s">
        <v>18848</v>
      </c>
      <c r="B20044" t="str">
        <f>"18260612828"</f>
        <v>18260612828</v>
      </c>
      <c r="C20044" t="str">
        <f>"341125199001153811"</f>
        <v>341125199001153811</v>
      </c>
      <c r="D20044" t="s">
        <v>1</v>
      </c>
      <c r="E20044" t="s">
        <v>1</v>
      </c>
      <c r="F20044" t="s">
        <v>0</v>
      </c>
      <c r="G20044" t="str">
        <f>"2018-10-10 13:43:39"</f>
        <v>2018-10-10 13:43:39</v>
      </c>
    </row>
    <row r="20045" spans="1:7" x14ac:dyDescent="0.2">
      <c r="A20045" t="s">
        <v>18849</v>
      </c>
      <c r="B20045" t="str">
        <f>"17515726051"</f>
        <v>17515726051</v>
      </c>
      <c r="C20045" t="str">
        <f>"372925200004154321"</f>
        <v>372925200004154321</v>
      </c>
      <c r="D20045" t="s">
        <v>1</v>
      </c>
      <c r="E20045" t="s">
        <v>1</v>
      </c>
      <c r="F20045" t="s">
        <v>0</v>
      </c>
      <c r="G20045" t="str">
        <f>"2018-10-10 13:44:18"</f>
        <v>2018-10-10 13:44:18</v>
      </c>
    </row>
    <row r="20046" spans="1:7" x14ac:dyDescent="0.2">
      <c r="A20046" t="s">
        <v>18850</v>
      </c>
      <c r="B20046" t="str">
        <f>"18383236497"</f>
        <v>18383236497</v>
      </c>
      <c r="C20046" t="str">
        <f>"511025199406296737"</f>
        <v>511025199406296737</v>
      </c>
      <c r="D20046" t="s">
        <v>1</v>
      </c>
      <c r="E20046" t="s">
        <v>1</v>
      </c>
      <c r="F20046" t="s">
        <v>0</v>
      </c>
      <c r="G20046" t="str">
        <f>"2018-10-10 13:46:39"</f>
        <v>2018-10-10 13:46:39</v>
      </c>
    </row>
    <row r="20047" spans="1:7" x14ac:dyDescent="0.2">
      <c r="A20047" t="s">
        <v>18851</v>
      </c>
      <c r="B20047" t="str">
        <f>"15132426663"</f>
        <v>15132426663</v>
      </c>
      <c r="C20047" t="str">
        <f>"130621199302155433"</f>
        <v>130621199302155433</v>
      </c>
      <c r="D20047" t="s">
        <v>1</v>
      </c>
      <c r="E20047" t="s">
        <v>1</v>
      </c>
      <c r="F20047" t="s">
        <v>0</v>
      </c>
      <c r="G20047" t="str">
        <f>"2018-10-10 13:48:55"</f>
        <v>2018-10-10 13:48:55</v>
      </c>
    </row>
    <row r="20048" spans="1:7" x14ac:dyDescent="0.2">
      <c r="A20048" t="s">
        <v>18852</v>
      </c>
      <c r="B20048" t="str">
        <f>"13119439954"</f>
        <v>13119439954</v>
      </c>
      <c r="C20048" t="str">
        <f>"620402199907180427"</f>
        <v>620402199907180427</v>
      </c>
      <c r="D20048" t="s">
        <v>1</v>
      </c>
      <c r="E20048" t="s">
        <v>1</v>
      </c>
      <c r="F20048" t="s">
        <v>0</v>
      </c>
      <c r="G20048" t="str">
        <f>"2018-10-10 14:40:00"</f>
        <v>2018-10-10 14:40:00</v>
      </c>
    </row>
    <row r="20049" spans="1:7" x14ac:dyDescent="0.2">
      <c r="A20049" t="s">
        <v>18853</v>
      </c>
      <c r="B20049" t="str">
        <f>"18743636295"</f>
        <v>18743636295</v>
      </c>
      <c r="C20049" t="str">
        <f>"220882198610092148"</f>
        <v>220882198610092148</v>
      </c>
      <c r="D20049" t="s">
        <v>1</v>
      </c>
      <c r="E20049" t="s">
        <v>1</v>
      </c>
      <c r="F20049" t="s">
        <v>0</v>
      </c>
      <c r="G20049" t="str">
        <f>"2018-11-03 14:43:00"</f>
        <v>2018-11-03 14:43:00</v>
      </c>
    </row>
    <row r="20050" spans="1:7" x14ac:dyDescent="0.2">
      <c r="A20050" t="s">
        <v>18854</v>
      </c>
      <c r="B20050" t="str">
        <f>"18634300388"</f>
        <v>18634300388</v>
      </c>
      <c r="C20050" t="str">
        <f>"140105198508161898"</f>
        <v>140105198508161898</v>
      </c>
      <c r="D20050" t="s">
        <v>1</v>
      </c>
      <c r="E20050" t="s">
        <v>1</v>
      </c>
      <c r="F20050" t="s">
        <v>0</v>
      </c>
      <c r="G20050" t="str">
        <f>"2018-10-10 14:05:18"</f>
        <v>2018-10-10 14:05:18</v>
      </c>
    </row>
    <row r="20051" spans="1:7" x14ac:dyDescent="0.2">
      <c r="A20051" t="s">
        <v>18855</v>
      </c>
      <c r="B20051" t="str">
        <f>"15094638811"</f>
        <v>15094638811</v>
      </c>
      <c r="C20051" t="str">
        <f>"230302198907274412"</f>
        <v>230302198907274412</v>
      </c>
      <c r="D20051" t="s">
        <v>1</v>
      </c>
      <c r="E20051" t="s">
        <v>1</v>
      </c>
      <c r="F20051" t="s">
        <v>0</v>
      </c>
      <c r="G20051" t="str">
        <f>"2018-10-10 13:52:50"</f>
        <v>2018-10-10 13:52:50</v>
      </c>
    </row>
    <row r="20052" spans="1:7" x14ac:dyDescent="0.2">
      <c r="A20052" t="s">
        <v>18856</v>
      </c>
      <c r="B20052" t="str">
        <f>"15279337886"</f>
        <v>15279337886</v>
      </c>
      <c r="C20052" t="str">
        <f>"362321199507111010"</f>
        <v>362321199507111010</v>
      </c>
      <c r="D20052" t="s">
        <v>18857</v>
      </c>
      <c r="E20052" t="s">
        <v>18858</v>
      </c>
      <c r="F20052" t="s">
        <v>0</v>
      </c>
      <c r="G20052" t="str">
        <f>"2018-10-10 14:09:28"</f>
        <v>2018-10-10 14:09:28</v>
      </c>
    </row>
    <row r="20053" spans="1:7" x14ac:dyDescent="0.2">
      <c r="A20053" t="s">
        <v>1</v>
      </c>
      <c r="B20053" t="str">
        <f>"15195322273"</f>
        <v>15195322273</v>
      </c>
      <c r="C20053" t="s">
        <v>1</v>
      </c>
      <c r="D20053" t="s">
        <v>1</v>
      </c>
      <c r="E20053" t="s">
        <v>1</v>
      </c>
      <c r="F20053" t="s">
        <v>0</v>
      </c>
      <c r="G20053" t="str">
        <f>"2018-10-10 13:38:33"</f>
        <v>2018-10-10 13:38:33</v>
      </c>
    </row>
    <row r="20054" spans="1:7" x14ac:dyDescent="0.2">
      <c r="A20054" t="s">
        <v>18859</v>
      </c>
      <c r="B20054" t="str">
        <f>"18246003691"</f>
        <v>18246003691</v>
      </c>
      <c r="C20054" t="str">
        <f>"23012419920124001X"</f>
        <v>23012419920124001X</v>
      </c>
      <c r="D20054" t="s">
        <v>1</v>
      </c>
      <c r="E20054" t="s">
        <v>1</v>
      </c>
      <c r="F20054" t="s">
        <v>0</v>
      </c>
      <c r="G20054" t="str">
        <f>"2018-10-10 13:39:15"</f>
        <v>2018-10-10 13:39:15</v>
      </c>
    </row>
    <row r="20055" spans="1:7" x14ac:dyDescent="0.2">
      <c r="A20055" t="s">
        <v>1</v>
      </c>
      <c r="B20055" t="str">
        <f>"13784087667"</f>
        <v>13784087667</v>
      </c>
      <c r="C20055" t="s">
        <v>1</v>
      </c>
      <c r="D20055" t="s">
        <v>1</v>
      </c>
      <c r="E20055" t="s">
        <v>1</v>
      </c>
      <c r="F20055" t="s">
        <v>0</v>
      </c>
      <c r="G20055" t="str">
        <f>"2018-10-10 13:38:05"</f>
        <v>2018-10-10 13:38:05</v>
      </c>
    </row>
    <row r="20056" spans="1:7" x14ac:dyDescent="0.2">
      <c r="A20056" t="s">
        <v>18860</v>
      </c>
      <c r="B20056" t="str">
        <f>"18043266369"</f>
        <v>18043266369</v>
      </c>
      <c r="C20056" t="str">
        <f>"220202199207310926"</f>
        <v>220202199207310926</v>
      </c>
      <c r="D20056" t="s">
        <v>1</v>
      </c>
      <c r="E20056" t="s">
        <v>1</v>
      </c>
      <c r="F20056" t="s">
        <v>0</v>
      </c>
      <c r="G20056" t="str">
        <f>"2018-10-10 14:01:24"</f>
        <v>2018-10-10 14:01:24</v>
      </c>
    </row>
    <row r="20057" spans="1:7" x14ac:dyDescent="0.2">
      <c r="A20057" t="s">
        <v>18861</v>
      </c>
      <c r="B20057" t="str">
        <f>"18271935279"</f>
        <v>18271935279</v>
      </c>
      <c r="C20057" t="str">
        <f>"429005199508054691"</f>
        <v>429005199508054691</v>
      </c>
      <c r="D20057" t="s">
        <v>1</v>
      </c>
      <c r="E20057" t="s">
        <v>1</v>
      </c>
      <c r="F20057" t="s">
        <v>0</v>
      </c>
      <c r="G20057" t="str">
        <f>"2018-10-10 13:38:05"</f>
        <v>2018-10-10 13:38:05</v>
      </c>
    </row>
    <row r="20058" spans="1:7" x14ac:dyDescent="0.2">
      <c r="A20058" t="s">
        <v>1</v>
      </c>
      <c r="B20058" t="str">
        <f>"18525176784"</f>
        <v>18525176784</v>
      </c>
      <c r="C20058" t="s">
        <v>1</v>
      </c>
      <c r="D20058" t="s">
        <v>1</v>
      </c>
      <c r="E20058" t="s">
        <v>1</v>
      </c>
      <c r="F20058" t="s">
        <v>0</v>
      </c>
      <c r="G20058" t="str">
        <f>"2018-10-10 13:35:23"</f>
        <v>2018-10-10 13:35:23</v>
      </c>
    </row>
    <row r="20059" spans="1:7" x14ac:dyDescent="0.2">
      <c r="A20059" t="s">
        <v>18862</v>
      </c>
      <c r="B20059" t="str">
        <f>"18519095305"</f>
        <v>18519095305</v>
      </c>
      <c r="C20059" t="str">
        <f>"130983199406262212"</f>
        <v>130983199406262212</v>
      </c>
      <c r="D20059" t="s">
        <v>1</v>
      </c>
      <c r="E20059" t="s">
        <v>1</v>
      </c>
      <c r="F20059" t="s">
        <v>0</v>
      </c>
      <c r="G20059" t="str">
        <f>"2018-10-10 13:49:52"</f>
        <v>2018-10-10 13:49:52</v>
      </c>
    </row>
    <row r="20060" spans="1:7" x14ac:dyDescent="0.2">
      <c r="A20060" t="s">
        <v>18863</v>
      </c>
      <c r="B20060" t="str">
        <f>"13506344246"</f>
        <v>13506344246</v>
      </c>
      <c r="C20060" t="str">
        <f>"371202199703062611"</f>
        <v>371202199703062611</v>
      </c>
      <c r="D20060" t="s">
        <v>1</v>
      </c>
      <c r="E20060" t="s">
        <v>1</v>
      </c>
      <c r="F20060" t="s">
        <v>0</v>
      </c>
      <c r="G20060" t="str">
        <f>"2018-10-10 13:36:33"</f>
        <v>2018-10-10 13:36:33</v>
      </c>
    </row>
    <row r="20061" spans="1:7" x14ac:dyDescent="0.2">
      <c r="A20061" t="s">
        <v>18864</v>
      </c>
      <c r="B20061" t="str">
        <f>"18275516987"</f>
        <v>18275516987</v>
      </c>
      <c r="C20061" t="str">
        <f>"522130199606196860"</f>
        <v>522130199606196860</v>
      </c>
      <c r="D20061" t="s">
        <v>1</v>
      </c>
      <c r="E20061" t="s">
        <v>1</v>
      </c>
      <c r="F20061" t="s">
        <v>0</v>
      </c>
      <c r="G20061" t="str">
        <f>"2018-10-10 13:35:09"</f>
        <v>2018-10-10 13:35:09</v>
      </c>
    </row>
    <row r="20062" spans="1:7" x14ac:dyDescent="0.2">
      <c r="A20062" t="s">
        <v>1339</v>
      </c>
      <c r="B20062" t="str">
        <f>"13701210302"</f>
        <v>13701210302</v>
      </c>
      <c r="C20062" t="str">
        <f>"110108198507016334"</f>
        <v>110108198507016334</v>
      </c>
      <c r="D20062" t="s">
        <v>18865</v>
      </c>
      <c r="E20062" t="s">
        <v>18866</v>
      </c>
      <c r="F20062" t="s">
        <v>0</v>
      </c>
      <c r="G20062" t="str">
        <f>"2018-10-10 13:37:59"</f>
        <v>2018-10-10 13:37:59</v>
      </c>
    </row>
    <row r="20063" spans="1:7" x14ac:dyDescent="0.2">
      <c r="A20063" t="s">
        <v>18867</v>
      </c>
      <c r="B20063" t="str">
        <f>"13545223163"</f>
        <v>13545223163</v>
      </c>
      <c r="C20063" t="str">
        <f>"422201199403255912"</f>
        <v>422201199403255912</v>
      </c>
      <c r="D20063" t="s">
        <v>18868</v>
      </c>
      <c r="E20063" t="s">
        <v>18869</v>
      </c>
      <c r="F20063" t="s">
        <v>0</v>
      </c>
      <c r="G20063" t="str">
        <f>"2018-10-10 13:40:32"</f>
        <v>2018-10-10 13:40:32</v>
      </c>
    </row>
    <row r="20064" spans="1:7" x14ac:dyDescent="0.2">
      <c r="A20064" t="s">
        <v>1</v>
      </c>
      <c r="B20064" t="str">
        <f>"18920216266"</f>
        <v>18920216266</v>
      </c>
      <c r="C20064" t="s">
        <v>1</v>
      </c>
      <c r="D20064" t="s">
        <v>1</v>
      </c>
      <c r="E20064" t="s">
        <v>1</v>
      </c>
      <c r="F20064" t="s">
        <v>0</v>
      </c>
      <c r="G20064" t="str">
        <f>"2018-10-10 13:32:41"</f>
        <v>2018-10-10 13:32:41</v>
      </c>
    </row>
    <row r="20065" spans="1:7" x14ac:dyDescent="0.2">
      <c r="A20065" t="s">
        <v>18870</v>
      </c>
      <c r="B20065" t="str">
        <f>"15779816775"</f>
        <v>15779816775</v>
      </c>
      <c r="C20065" t="str">
        <f>"360203198903182019"</f>
        <v>360203198903182019</v>
      </c>
      <c r="D20065" t="s">
        <v>18871</v>
      </c>
      <c r="E20065" t="s">
        <v>18872</v>
      </c>
      <c r="F20065" t="s">
        <v>0</v>
      </c>
      <c r="G20065" t="str">
        <f>"2018-10-10 13:35:10"</f>
        <v>2018-10-10 13:35:10</v>
      </c>
    </row>
    <row r="20066" spans="1:7" x14ac:dyDescent="0.2">
      <c r="A20066" t="s">
        <v>18873</v>
      </c>
      <c r="B20066" t="str">
        <f>"18156507745"</f>
        <v>18156507745</v>
      </c>
      <c r="C20066" t="str">
        <f>"34262519961205241X"</f>
        <v>34262519961205241X</v>
      </c>
      <c r="D20066" t="s">
        <v>1</v>
      </c>
      <c r="E20066" t="s">
        <v>1</v>
      </c>
      <c r="F20066" t="s">
        <v>0</v>
      </c>
      <c r="G20066" t="str">
        <f>"2018-10-10 13:36:26"</f>
        <v>2018-10-10 13:36:26</v>
      </c>
    </row>
    <row r="20067" spans="1:7" x14ac:dyDescent="0.2">
      <c r="A20067" t="s">
        <v>18874</v>
      </c>
      <c r="B20067" t="str">
        <f>"15059783149"</f>
        <v>15059783149</v>
      </c>
      <c r="C20067" t="str">
        <f>"350521198801305062"</f>
        <v>350521198801305062</v>
      </c>
      <c r="D20067" t="s">
        <v>1</v>
      </c>
      <c r="E20067" t="s">
        <v>1</v>
      </c>
      <c r="F20067" t="s">
        <v>0</v>
      </c>
      <c r="G20067" t="str">
        <f>"2018-10-10 13:34:41"</f>
        <v>2018-10-10 13:34:41</v>
      </c>
    </row>
    <row r="20068" spans="1:7" x14ac:dyDescent="0.2">
      <c r="A20068" t="s">
        <v>1</v>
      </c>
      <c r="B20068" t="str">
        <f>"13360419291"</f>
        <v>13360419291</v>
      </c>
      <c r="C20068" t="s">
        <v>1</v>
      </c>
      <c r="D20068" t="s">
        <v>1</v>
      </c>
      <c r="E20068" t="s">
        <v>1</v>
      </c>
      <c r="F20068" t="s">
        <v>0</v>
      </c>
      <c r="G20068" t="str">
        <f>"2018-10-10 13:31:24"</f>
        <v>2018-10-10 13:31:24</v>
      </c>
    </row>
    <row r="20069" spans="1:7" x14ac:dyDescent="0.2">
      <c r="A20069" t="s">
        <v>18875</v>
      </c>
      <c r="B20069" t="str">
        <f>"15868454458"</f>
        <v>15868454458</v>
      </c>
      <c r="C20069" t="str">
        <f>"511529199801140823"</f>
        <v>511529199801140823</v>
      </c>
      <c r="D20069" t="s">
        <v>1</v>
      </c>
      <c r="E20069" t="s">
        <v>1</v>
      </c>
      <c r="F20069" t="s">
        <v>0</v>
      </c>
      <c r="G20069" t="str">
        <f>"2018-10-10 13:32:32"</f>
        <v>2018-10-10 13:32:32</v>
      </c>
    </row>
    <row r="20070" spans="1:7" x14ac:dyDescent="0.2">
      <c r="A20070" t="s">
        <v>18876</v>
      </c>
      <c r="B20070" t="str">
        <f>"18218200047"</f>
        <v>18218200047</v>
      </c>
      <c r="C20070" t="str">
        <f>"445121199009284519"</f>
        <v>445121199009284519</v>
      </c>
      <c r="D20070" t="s">
        <v>1</v>
      </c>
      <c r="E20070" t="s">
        <v>1</v>
      </c>
      <c r="F20070" t="s">
        <v>0</v>
      </c>
      <c r="G20070" t="str">
        <f>"2018-10-10 16:38:22"</f>
        <v>2018-10-10 16:38:22</v>
      </c>
    </row>
    <row r="20071" spans="1:7" x14ac:dyDescent="0.2">
      <c r="A20071" t="s">
        <v>18877</v>
      </c>
      <c r="B20071" t="str">
        <f>"18635660616"</f>
        <v>18635660616</v>
      </c>
      <c r="C20071" t="str">
        <f>"140522198712030017"</f>
        <v>140522198712030017</v>
      </c>
      <c r="D20071" t="s">
        <v>1</v>
      </c>
      <c r="E20071" t="s">
        <v>1</v>
      </c>
      <c r="F20071" t="s">
        <v>0</v>
      </c>
      <c r="G20071" t="str">
        <f>"2018-10-10 13:31:27"</f>
        <v>2018-10-10 13:31:27</v>
      </c>
    </row>
    <row r="20072" spans="1:7" x14ac:dyDescent="0.2">
      <c r="A20072" t="s">
        <v>18878</v>
      </c>
      <c r="B20072" t="str">
        <f>"13950602205"</f>
        <v>13950602205</v>
      </c>
      <c r="C20072" t="str">
        <f>"350721198309202126"</f>
        <v>350721198309202126</v>
      </c>
      <c r="D20072" t="s">
        <v>1</v>
      </c>
      <c r="E20072" t="s">
        <v>1</v>
      </c>
      <c r="F20072" t="s">
        <v>0</v>
      </c>
      <c r="G20072" t="str">
        <f>"2018-10-10 13:33:07"</f>
        <v>2018-10-10 13:33:07</v>
      </c>
    </row>
    <row r="20073" spans="1:7" x14ac:dyDescent="0.2">
      <c r="A20073" t="s">
        <v>18879</v>
      </c>
      <c r="B20073" t="str">
        <f>"18080584781"</f>
        <v>18080584781</v>
      </c>
      <c r="C20073" t="str">
        <f>"513122198702171916"</f>
        <v>513122198702171916</v>
      </c>
      <c r="D20073" t="s">
        <v>1</v>
      </c>
      <c r="E20073" t="s">
        <v>1</v>
      </c>
      <c r="F20073" t="s">
        <v>0</v>
      </c>
      <c r="G20073" t="str">
        <f>"2018-10-10 13:30:16"</f>
        <v>2018-10-10 13:30:16</v>
      </c>
    </row>
    <row r="20074" spans="1:7" x14ac:dyDescent="0.2">
      <c r="A20074" t="s">
        <v>1</v>
      </c>
      <c r="B20074" t="str">
        <f>"15003300398"</f>
        <v>15003300398</v>
      </c>
      <c r="C20074" t="s">
        <v>1</v>
      </c>
      <c r="D20074" t="s">
        <v>1</v>
      </c>
      <c r="E20074" t="s">
        <v>1</v>
      </c>
      <c r="F20074" t="s">
        <v>0</v>
      </c>
      <c r="G20074" t="str">
        <f>"2018-10-10 13:30:11"</f>
        <v>2018-10-10 13:30:11</v>
      </c>
    </row>
    <row r="20075" spans="1:7" x14ac:dyDescent="0.2">
      <c r="A20075" t="s">
        <v>1</v>
      </c>
      <c r="B20075" t="str">
        <f>"15212459028"</f>
        <v>15212459028</v>
      </c>
      <c r="C20075" t="s">
        <v>1</v>
      </c>
      <c r="D20075" t="s">
        <v>1</v>
      </c>
      <c r="E20075" t="s">
        <v>1</v>
      </c>
      <c r="F20075" t="s">
        <v>0</v>
      </c>
      <c r="G20075" t="str">
        <f>"2018-10-10 13:29:11"</f>
        <v>2018-10-10 13:29:11</v>
      </c>
    </row>
    <row r="20076" spans="1:7" x14ac:dyDescent="0.2">
      <c r="A20076" t="s">
        <v>1</v>
      </c>
      <c r="B20076" t="str">
        <f>"15083562047"</f>
        <v>15083562047</v>
      </c>
      <c r="C20076" t="s">
        <v>1</v>
      </c>
      <c r="D20076" t="s">
        <v>1</v>
      </c>
      <c r="E20076" t="s">
        <v>1</v>
      </c>
      <c r="F20076" t="s">
        <v>0</v>
      </c>
      <c r="G20076" t="str">
        <f>"2018-10-10 13:28:59"</f>
        <v>2018-10-10 13:28:59</v>
      </c>
    </row>
    <row r="20077" spans="1:7" x14ac:dyDescent="0.2">
      <c r="A20077" t="s">
        <v>1</v>
      </c>
      <c r="B20077" t="str">
        <f>"18694064885"</f>
        <v>18694064885</v>
      </c>
      <c r="C20077" t="s">
        <v>1</v>
      </c>
      <c r="D20077" t="s">
        <v>1</v>
      </c>
      <c r="E20077" t="s">
        <v>1</v>
      </c>
      <c r="F20077" t="s">
        <v>0</v>
      </c>
      <c r="G20077" t="str">
        <f>"2018-10-10 13:28:41"</f>
        <v>2018-10-10 13:28:41</v>
      </c>
    </row>
    <row r="20078" spans="1:7" x14ac:dyDescent="0.2">
      <c r="A20078" t="s">
        <v>18880</v>
      </c>
      <c r="B20078" t="str">
        <f>"15035979226"</f>
        <v>15035979226</v>
      </c>
      <c r="C20078" t="str">
        <f>"14273319990311122X"</f>
        <v>14273319990311122X</v>
      </c>
      <c r="D20078" t="s">
        <v>1</v>
      </c>
      <c r="E20078" t="s">
        <v>1</v>
      </c>
      <c r="F20078" t="s">
        <v>0</v>
      </c>
      <c r="G20078" t="str">
        <f>"2018-10-10 13:29:35"</f>
        <v>2018-10-10 13:29:35</v>
      </c>
    </row>
    <row r="20079" spans="1:7" x14ac:dyDescent="0.2">
      <c r="A20079" t="s">
        <v>18881</v>
      </c>
      <c r="B20079" t="str">
        <f>"15334931357"</f>
        <v>15334931357</v>
      </c>
      <c r="C20079" t="str">
        <f>"152302198205230513"</f>
        <v>152302198205230513</v>
      </c>
      <c r="D20079" t="s">
        <v>1</v>
      </c>
      <c r="E20079" t="s">
        <v>1</v>
      </c>
      <c r="F20079" t="s">
        <v>0</v>
      </c>
      <c r="G20079" t="str">
        <f>"2018-10-10 13:29:21"</f>
        <v>2018-10-10 13:29:21</v>
      </c>
    </row>
    <row r="20080" spans="1:7" x14ac:dyDescent="0.2">
      <c r="A20080" t="s">
        <v>1519</v>
      </c>
      <c r="B20080" t="str">
        <f>"15282203792"</f>
        <v>15282203792</v>
      </c>
      <c r="C20080" t="str">
        <f>"530112198008121327"</f>
        <v>530112198008121327</v>
      </c>
      <c r="D20080" t="s">
        <v>18882</v>
      </c>
      <c r="E20080" t="s">
        <v>18883</v>
      </c>
      <c r="F20080" t="s">
        <v>0</v>
      </c>
      <c r="G20080" t="str">
        <f>"2018-10-10 13:27:23"</f>
        <v>2018-10-10 13:27:23</v>
      </c>
    </row>
    <row r="20081" spans="1:7" x14ac:dyDescent="0.2">
      <c r="A20081" t="s">
        <v>1</v>
      </c>
      <c r="B20081" t="str">
        <f>"13527511443"</f>
        <v>13527511443</v>
      </c>
      <c r="C20081" t="s">
        <v>1</v>
      </c>
      <c r="D20081" t="s">
        <v>1</v>
      </c>
      <c r="E20081" t="s">
        <v>1</v>
      </c>
      <c r="F20081" t="s">
        <v>0</v>
      </c>
      <c r="G20081" t="str">
        <f>"2018-10-10 13:26:02"</f>
        <v>2018-10-10 13:26:02</v>
      </c>
    </row>
    <row r="20082" spans="1:7" x14ac:dyDescent="0.2">
      <c r="A20082" t="s">
        <v>18884</v>
      </c>
      <c r="B20082" t="str">
        <f>"13289958620"</f>
        <v>13289958620</v>
      </c>
      <c r="C20082" t="str">
        <f>"652123198808120718"</f>
        <v>652123198808120718</v>
      </c>
      <c r="D20082" t="s">
        <v>1</v>
      </c>
      <c r="E20082" t="s">
        <v>1</v>
      </c>
      <c r="F20082" t="s">
        <v>0</v>
      </c>
      <c r="G20082" t="str">
        <f>"2018-10-10 13:25:50"</f>
        <v>2018-10-10 13:25:50</v>
      </c>
    </row>
    <row r="20083" spans="1:7" x14ac:dyDescent="0.2">
      <c r="A20083" t="s">
        <v>18885</v>
      </c>
      <c r="B20083" t="str">
        <f>"13826597623"</f>
        <v>13826597623</v>
      </c>
      <c r="C20083" t="str">
        <f>"440883199006261138"</f>
        <v>440883199006261138</v>
      </c>
      <c r="D20083" t="s">
        <v>1</v>
      </c>
      <c r="E20083" t="s">
        <v>1</v>
      </c>
      <c r="F20083" t="s">
        <v>0</v>
      </c>
      <c r="G20083" t="str">
        <f>"2018-10-10 13:26:31"</f>
        <v>2018-10-10 13:26:31</v>
      </c>
    </row>
    <row r="20084" spans="1:7" x14ac:dyDescent="0.2">
      <c r="A20084" t="s">
        <v>18886</v>
      </c>
      <c r="B20084" t="str">
        <f>"15882932227"</f>
        <v>15882932227</v>
      </c>
      <c r="C20084" t="str">
        <f>"513721198511163610"</f>
        <v>513721198511163610</v>
      </c>
      <c r="D20084" t="s">
        <v>18887</v>
      </c>
      <c r="E20084" t="s">
        <v>18888</v>
      </c>
      <c r="F20084" t="s">
        <v>0</v>
      </c>
      <c r="G20084" t="str">
        <f>"2018-10-15 10:38:04"</f>
        <v>2018-10-15 10:38:04</v>
      </c>
    </row>
    <row r="20085" spans="1:7" x14ac:dyDescent="0.2">
      <c r="A20085" t="s">
        <v>18889</v>
      </c>
      <c r="B20085" t="str">
        <f>"15028009733"</f>
        <v>15028009733</v>
      </c>
      <c r="C20085" t="str">
        <f>"130403198103071538"</f>
        <v>130403198103071538</v>
      </c>
      <c r="D20085" t="s">
        <v>1</v>
      </c>
      <c r="E20085" t="s">
        <v>1</v>
      </c>
      <c r="F20085" t="s">
        <v>0</v>
      </c>
      <c r="G20085" t="str">
        <f>"2018-10-10 13:20:38"</f>
        <v>2018-10-10 13:20:38</v>
      </c>
    </row>
    <row r="20086" spans="1:7" x14ac:dyDescent="0.2">
      <c r="A20086" t="s">
        <v>1</v>
      </c>
      <c r="B20086" t="str">
        <f>"13704893271"</f>
        <v>13704893271</v>
      </c>
      <c r="C20086" t="s">
        <v>1</v>
      </c>
      <c r="D20086" t="s">
        <v>1</v>
      </c>
      <c r="E20086" t="s">
        <v>1</v>
      </c>
      <c r="F20086" t="s">
        <v>0</v>
      </c>
      <c r="G20086" t="str">
        <f>"2018-10-10 13:18:23"</f>
        <v>2018-10-10 13:18:23</v>
      </c>
    </row>
    <row r="20087" spans="1:7" x14ac:dyDescent="0.2">
      <c r="A20087" t="s">
        <v>18890</v>
      </c>
      <c r="B20087" t="str">
        <f>"18596692687"</f>
        <v>18596692687</v>
      </c>
      <c r="C20087" t="str">
        <f>"352225198310012530"</f>
        <v>352225198310012530</v>
      </c>
      <c r="D20087" t="s">
        <v>1</v>
      </c>
      <c r="E20087" t="s">
        <v>1</v>
      </c>
      <c r="F20087" t="s">
        <v>0</v>
      </c>
      <c r="G20087" t="str">
        <f>"2018-10-10 13:19:13"</f>
        <v>2018-10-10 13:19:13</v>
      </c>
    </row>
    <row r="20088" spans="1:7" x14ac:dyDescent="0.2">
      <c r="A20088" t="s">
        <v>1</v>
      </c>
      <c r="B20088" t="str">
        <f>"18576562020"</f>
        <v>18576562020</v>
      </c>
      <c r="C20088" t="s">
        <v>1</v>
      </c>
      <c r="D20088" t="s">
        <v>1</v>
      </c>
      <c r="E20088" t="s">
        <v>1</v>
      </c>
      <c r="F20088" t="s">
        <v>0</v>
      </c>
      <c r="G20088" t="str">
        <f>"2018-10-10 13:16:53"</f>
        <v>2018-10-10 13:16:53</v>
      </c>
    </row>
    <row r="20089" spans="1:7" x14ac:dyDescent="0.2">
      <c r="A20089" t="s">
        <v>18891</v>
      </c>
      <c r="B20089" t="str">
        <f>"13770209241"</f>
        <v>13770209241</v>
      </c>
      <c r="C20089" t="str">
        <f>"320925197204045415"</f>
        <v>320925197204045415</v>
      </c>
      <c r="D20089" t="s">
        <v>1</v>
      </c>
      <c r="E20089" t="s">
        <v>1</v>
      </c>
      <c r="F20089" t="s">
        <v>0</v>
      </c>
      <c r="G20089" t="str">
        <f>"2018-10-10 13:18:29"</f>
        <v>2018-10-10 13:18:29</v>
      </c>
    </row>
    <row r="20090" spans="1:7" x14ac:dyDescent="0.2">
      <c r="A20090" t="s">
        <v>18892</v>
      </c>
      <c r="B20090" t="str">
        <f>"15308907685"</f>
        <v>15308907685</v>
      </c>
      <c r="C20090" t="str">
        <f>"460200199104132305"</f>
        <v>460200199104132305</v>
      </c>
      <c r="D20090" t="s">
        <v>1</v>
      </c>
      <c r="E20090" t="s">
        <v>1</v>
      </c>
      <c r="F20090" t="s">
        <v>0</v>
      </c>
      <c r="G20090" t="str">
        <f>"2018-10-23 23:17:43"</f>
        <v>2018-10-23 23:17:43</v>
      </c>
    </row>
    <row r="20091" spans="1:7" x14ac:dyDescent="0.2">
      <c r="A20091" t="s">
        <v>18893</v>
      </c>
      <c r="B20091" t="str">
        <f>"15110306464"</f>
        <v>15110306464</v>
      </c>
      <c r="C20091" t="str">
        <f>"140181198801203512"</f>
        <v>140181198801203512</v>
      </c>
      <c r="D20091" t="s">
        <v>1</v>
      </c>
      <c r="E20091" t="s">
        <v>1</v>
      </c>
      <c r="F20091" t="s">
        <v>0</v>
      </c>
      <c r="G20091" t="str">
        <f>"2018-10-10 13:17:24"</f>
        <v>2018-10-10 13:17:24</v>
      </c>
    </row>
    <row r="20092" spans="1:7" x14ac:dyDescent="0.2">
      <c r="A20092" t="s">
        <v>18894</v>
      </c>
      <c r="B20092" t="str">
        <f>"15280666086"</f>
        <v>15280666086</v>
      </c>
      <c r="C20092" t="str">
        <f>"321283199301104224"</f>
        <v>321283199301104224</v>
      </c>
      <c r="D20092" t="s">
        <v>1</v>
      </c>
      <c r="E20092" t="s">
        <v>1</v>
      </c>
      <c r="F20092" t="s">
        <v>0</v>
      </c>
      <c r="G20092" t="str">
        <f>"2018-10-10 13:19:51"</f>
        <v>2018-10-10 13:19:51</v>
      </c>
    </row>
    <row r="20093" spans="1:7" x14ac:dyDescent="0.2">
      <c r="A20093" t="s">
        <v>18895</v>
      </c>
      <c r="B20093" t="str">
        <f>"15271011194"</f>
        <v>15271011194</v>
      </c>
      <c r="C20093" t="str">
        <f>"420684199510220046"</f>
        <v>420684199510220046</v>
      </c>
      <c r="D20093" t="s">
        <v>1</v>
      </c>
      <c r="E20093" t="s">
        <v>1</v>
      </c>
      <c r="F20093" t="s">
        <v>0</v>
      </c>
      <c r="G20093" t="str">
        <f>"2018-10-10 13:14:31"</f>
        <v>2018-10-10 13:14:31</v>
      </c>
    </row>
    <row r="20094" spans="1:7" x14ac:dyDescent="0.2">
      <c r="A20094" t="s">
        <v>1</v>
      </c>
      <c r="B20094" t="str">
        <f>"13117795884"</f>
        <v>13117795884</v>
      </c>
      <c r="C20094" t="s">
        <v>1</v>
      </c>
      <c r="D20094" t="s">
        <v>1</v>
      </c>
      <c r="E20094" t="s">
        <v>1</v>
      </c>
      <c r="F20094" t="s">
        <v>0</v>
      </c>
      <c r="G20094" t="str">
        <f>"2018-10-10 13:14:11"</f>
        <v>2018-10-10 13:14:11</v>
      </c>
    </row>
    <row r="20095" spans="1:7" x14ac:dyDescent="0.2">
      <c r="A20095" t="s">
        <v>18896</v>
      </c>
      <c r="B20095" t="str">
        <f>"13777045271"</f>
        <v>13777045271</v>
      </c>
      <c r="C20095" t="str">
        <f>"330204199405140014"</f>
        <v>330204199405140014</v>
      </c>
      <c r="D20095" t="s">
        <v>1</v>
      </c>
      <c r="E20095" t="s">
        <v>1</v>
      </c>
      <c r="F20095" t="s">
        <v>0</v>
      </c>
      <c r="G20095" t="str">
        <f>"2018-10-10 14:01:22"</f>
        <v>2018-10-10 14:01:22</v>
      </c>
    </row>
    <row r="20096" spans="1:7" x14ac:dyDescent="0.2">
      <c r="A20096" t="s">
        <v>18897</v>
      </c>
      <c r="B20096" t="str">
        <f>"18406989454"</f>
        <v>18406989454</v>
      </c>
      <c r="C20096" t="str">
        <f>"53310319911001123X"</f>
        <v>53310319911001123X</v>
      </c>
      <c r="D20096" t="s">
        <v>1</v>
      </c>
      <c r="E20096" t="s">
        <v>1</v>
      </c>
      <c r="F20096" t="s">
        <v>0</v>
      </c>
      <c r="G20096" t="str">
        <f>"2018-10-11 21:26:11"</f>
        <v>2018-10-11 21:26:11</v>
      </c>
    </row>
    <row r="20097" spans="1:7" x14ac:dyDescent="0.2">
      <c r="A20097" t="s">
        <v>18898</v>
      </c>
      <c r="B20097" t="str">
        <f>"13459898069"</f>
        <v>13459898069</v>
      </c>
      <c r="C20097" t="str">
        <f>"350425198008310018"</f>
        <v>350425198008310018</v>
      </c>
      <c r="D20097" t="s">
        <v>1</v>
      </c>
      <c r="E20097" t="s">
        <v>1</v>
      </c>
      <c r="F20097" t="s">
        <v>0</v>
      </c>
      <c r="G20097" t="str">
        <f>"2018-10-10 13:16:30"</f>
        <v>2018-10-10 13:16:30</v>
      </c>
    </row>
    <row r="20098" spans="1:7" x14ac:dyDescent="0.2">
      <c r="A20098" t="s">
        <v>18899</v>
      </c>
      <c r="B20098" t="str">
        <f>"13739421863"</f>
        <v>13739421863</v>
      </c>
      <c r="C20098" t="str">
        <f>"51390219940228003X"</f>
        <v>51390219940228003X</v>
      </c>
      <c r="D20098" t="s">
        <v>1</v>
      </c>
      <c r="E20098" t="s">
        <v>1</v>
      </c>
      <c r="F20098" t="s">
        <v>0</v>
      </c>
      <c r="G20098" t="str">
        <f>"2018-10-10 13:16:23"</f>
        <v>2018-10-10 13:16:23</v>
      </c>
    </row>
    <row r="20099" spans="1:7" x14ac:dyDescent="0.2">
      <c r="A20099" t="s">
        <v>18900</v>
      </c>
      <c r="B20099" t="str">
        <f>"18569501920"</f>
        <v>18569501920</v>
      </c>
      <c r="C20099" t="str">
        <f>"510623198711068321"</f>
        <v>510623198711068321</v>
      </c>
      <c r="D20099" t="s">
        <v>1</v>
      </c>
      <c r="E20099" t="s">
        <v>1</v>
      </c>
      <c r="F20099" t="s">
        <v>0</v>
      </c>
      <c r="G20099" t="str">
        <f>"2018-10-13 10:20:10"</f>
        <v>2018-10-13 10:20:10</v>
      </c>
    </row>
    <row r="20100" spans="1:7" x14ac:dyDescent="0.2">
      <c r="A20100" t="s">
        <v>18901</v>
      </c>
      <c r="B20100" t="str">
        <f>"18298019802"</f>
        <v>18298019802</v>
      </c>
      <c r="C20100" t="str">
        <f>"340122199009300919"</f>
        <v>340122199009300919</v>
      </c>
      <c r="D20100" t="s">
        <v>1</v>
      </c>
      <c r="E20100" t="s">
        <v>1</v>
      </c>
      <c r="F20100" t="s">
        <v>0</v>
      </c>
      <c r="G20100" t="str">
        <f>"2018-10-10 13:32:32"</f>
        <v>2018-10-10 13:32:32</v>
      </c>
    </row>
    <row r="20101" spans="1:7" x14ac:dyDescent="0.2">
      <c r="A20101" t="s">
        <v>18902</v>
      </c>
      <c r="B20101" t="str">
        <f>"13985324260"</f>
        <v>13985324260</v>
      </c>
      <c r="C20101" t="str">
        <f>"522425199502159067"</f>
        <v>522425199502159067</v>
      </c>
      <c r="D20101" t="s">
        <v>1</v>
      </c>
      <c r="E20101" t="s">
        <v>1</v>
      </c>
      <c r="F20101" t="s">
        <v>0</v>
      </c>
      <c r="G20101" t="str">
        <f>"2018-10-10 13:13:51"</f>
        <v>2018-10-10 13:13:51</v>
      </c>
    </row>
    <row r="20102" spans="1:7" x14ac:dyDescent="0.2">
      <c r="A20102" t="s">
        <v>18903</v>
      </c>
      <c r="B20102" t="str">
        <f>"15859797027"</f>
        <v>15859797027</v>
      </c>
      <c r="C20102" t="str">
        <f>"350582198107173277"</f>
        <v>350582198107173277</v>
      </c>
      <c r="D20102" t="s">
        <v>1</v>
      </c>
      <c r="E20102" t="s">
        <v>1</v>
      </c>
      <c r="F20102" t="s">
        <v>0</v>
      </c>
      <c r="G20102" t="str">
        <f>"2018-10-10 13:11:04"</f>
        <v>2018-10-10 13:11:04</v>
      </c>
    </row>
    <row r="20103" spans="1:7" x14ac:dyDescent="0.2">
      <c r="A20103" t="s">
        <v>18904</v>
      </c>
      <c r="B20103" t="str">
        <f>"15883249724"</f>
        <v>15883249724</v>
      </c>
      <c r="C20103" t="str">
        <f>"513901198908244836"</f>
        <v>513901198908244836</v>
      </c>
      <c r="D20103" t="s">
        <v>1</v>
      </c>
      <c r="E20103" t="s">
        <v>1</v>
      </c>
      <c r="F20103" t="s">
        <v>0</v>
      </c>
      <c r="G20103" t="str">
        <f>"2018-10-10 14:16:57"</f>
        <v>2018-10-10 14:16:57</v>
      </c>
    </row>
    <row r="20104" spans="1:7" x14ac:dyDescent="0.2">
      <c r="A20104" t="s">
        <v>18905</v>
      </c>
      <c r="B20104" t="str">
        <f>"18021819486"</f>
        <v>18021819486</v>
      </c>
      <c r="C20104" t="str">
        <f>"320921198501075089"</f>
        <v>320921198501075089</v>
      </c>
      <c r="D20104" t="s">
        <v>1</v>
      </c>
      <c r="E20104" t="s">
        <v>1</v>
      </c>
      <c r="F20104" t="s">
        <v>0</v>
      </c>
      <c r="G20104" t="str">
        <f>"2018-10-10 14:08:32"</f>
        <v>2018-10-10 14:08:32</v>
      </c>
    </row>
    <row r="20105" spans="1:7" x14ac:dyDescent="0.2">
      <c r="A20105" t="s">
        <v>18906</v>
      </c>
      <c r="B20105" t="str">
        <f>"13677279731"</f>
        <v>13677279731</v>
      </c>
      <c r="C20105" t="str">
        <f>"420881199303204838"</f>
        <v>420881199303204838</v>
      </c>
      <c r="D20105" t="s">
        <v>1</v>
      </c>
      <c r="E20105" t="s">
        <v>1</v>
      </c>
      <c r="F20105" t="s">
        <v>0</v>
      </c>
      <c r="G20105" t="str">
        <f>"2018-10-10 13:12:11"</f>
        <v>2018-10-10 13:12:11</v>
      </c>
    </row>
    <row r="20106" spans="1:7" x14ac:dyDescent="0.2">
      <c r="A20106" t="s">
        <v>526</v>
      </c>
      <c r="B20106" t="str">
        <f>"15190757238"</f>
        <v>15190757238</v>
      </c>
      <c r="C20106" t="str">
        <f>"320324199504090955"</f>
        <v>320324199504090955</v>
      </c>
      <c r="D20106" t="s">
        <v>1</v>
      </c>
      <c r="E20106" t="s">
        <v>1</v>
      </c>
      <c r="F20106" t="s">
        <v>0</v>
      </c>
      <c r="G20106" t="str">
        <f>"2018-10-10 13:10:51"</f>
        <v>2018-10-10 13:10:51</v>
      </c>
    </row>
    <row r="20107" spans="1:7" x14ac:dyDescent="0.2">
      <c r="A20107" t="s">
        <v>18907</v>
      </c>
      <c r="B20107" t="str">
        <f>"15591839276"</f>
        <v>15591839276</v>
      </c>
      <c r="C20107" t="str">
        <f>"142603199602281010"</f>
        <v>142603199602281010</v>
      </c>
      <c r="D20107" t="s">
        <v>1</v>
      </c>
      <c r="E20107" t="s">
        <v>1</v>
      </c>
      <c r="F20107" t="s">
        <v>0</v>
      </c>
      <c r="G20107" t="str">
        <f>"2018-10-10 13:10:31"</f>
        <v>2018-10-10 13:10:31</v>
      </c>
    </row>
    <row r="20108" spans="1:7" x14ac:dyDescent="0.2">
      <c r="A20108" t="s">
        <v>18908</v>
      </c>
      <c r="B20108" t="str">
        <f>"13652583060"</f>
        <v>13652583060</v>
      </c>
      <c r="C20108" t="str">
        <f>"43072519860712001X"</f>
        <v>43072519860712001X</v>
      </c>
      <c r="D20108" t="s">
        <v>1</v>
      </c>
      <c r="E20108" t="s">
        <v>1</v>
      </c>
      <c r="F20108" t="s">
        <v>0</v>
      </c>
      <c r="G20108" t="str">
        <f>"2018-10-10 13:10:36"</f>
        <v>2018-10-10 13:10:36</v>
      </c>
    </row>
    <row r="20109" spans="1:7" x14ac:dyDescent="0.2">
      <c r="A20109" t="s">
        <v>18909</v>
      </c>
      <c r="B20109" t="str">
        <f>"17642093241"</f>
        <v>17642093241</v>
      </c>
      <c r="C20109" t="str">
        <f>"210724199705045014"</f>
        <v>210724199705045014</v>
      </c>
      <c r="D20109" t="s">
        <v>18910</v>
      </c>
      <c r="E20109" t="s">
        <v>18911</v>
      </c>
      <c r="F20109" t="s">
        <v>0</v>
      </c>
      <c r="G20109" t="str">
        <f>"2018-10-10 13:10:57"</f>
        <v>2018-10-10 13:10:57</v>
      </c>
    </row>
    <row r="20110" spans="1:7" x14ac:dyDescent="0.2">
      <c r="A20110" t="s">
        <v>1236</v>
      </c>
      <c r="B20110" t="str">
        <f>"18214035964"</f>
        <v>18214035964</v>
      </c>
      <c r="C20110" t="str">
        <f>"532726199510190616"</f>
        <v>532726199510190616</v>
      </c>
      <c r="D20110" t="s">
        <v>1</v>
      </c>
      <c r="E20110" t="s">
        <v>1</v>
      </c>
      <c r="F20110" t="s">
        <v>0</v>
      </c>
      <c r="G20110" t="str">
        <f>"2018-10-10 13:10:05"</f>
        <v>2018-10-10 13:10:05</v>
      </c>
    </row>
    <row r="20111" spans="1:7" x14ac:dyDescent="0.2">
      <c r="A20111" t="s">
        <v>18912</v>
      </c>
      <c r="B20111" t="str">
        <f>"15917020162"</f>
        <v>15917020162</v>
      </c>
      <c r="C20111" t="str">
        <f>"440681199002104748"</f>
        <v>440681199002104748</v>
      </c>
      <c r="D20111" t="s">
        <v>18913</v>
      </c>
      <c r="E20111" t="s">
        <v>18914</v>
      </c>
      <c r="F20111" t="s">
        <v>0</v>
      </c>
      <c r="G20111" t="str">
        <f>"2018-10-10 13:17:19"</f>
        <v>2018-10-10 13:17:19</v>
      </c>
    </row>
    <row r="20112" spans="1:7" x14ac:dyDescent="0.2">
      <c r="A20112" t="s">
        <v>1</v>
      </c>
      <c r="B20112" t="str">
        <f>"15292913862"</f>
        <v>15292913862</v>
      </c>
      <c r="C20112" t="s">
        <v>1</v>
      </c>
      <c r="D20112" t="s">
        <v>1</v>
      </c>
      <c r="E20112" t="s">
        <v>1</v>
      </c>
      <c r="F20112" t="s">
        <v>0</v>
      </c>
      <c r="G20112" t="str">
        <f>"2018-10-10 13:09:09"</f>
        <v>2018-10-10 13:09:09</v>
      </c>
    </row>
    <row r="20113" spans="1:7" x14ac:dyDescent="0.2">
      <c r="A20113" t="s">
        <v>18915</v>
      </c>
      <c r="B20113" t="str">
        <f>"13606729597"</f>
        <v>13606729597</v>
      </c>
      <c r="C20113" t="str">
        <f>"331081199012319112"</f>
        <v>331081199012319112</v>
      </c>
      <c r="D20113" t="s">
        <v>1</v>
      </c>
      <c r="E20113" t="s">
        <v>1</v>
      </c>
      <c r="F20113" t="s">
        <v>0</v>
      </c>
      <c r="G20113" t="str">
        <f>"2018-10-10 15:00:10"</f>
        <v>2018-10-10 15:00:10</v>
      </c>
    </row>
    <row r="20114" spans="1:7" x14ac:dyDescent="0.2">
      <c r="A20114" t="s">
        <v>1</v>
      </c>
      <c r="B20114" t="str">
        <f>"15299996966"</f>
        <v>15299996966</v>
      </c>
      <c r="C20114" t="s">
        <v>1</v>
      </c>
      <c r="D20114" t="s">
        <v>1</v>
      </c>
      <c r="E20114" t="s">
        <v>1</v>
      </c>
      <c r="F20114" t="s">
        <v>0</v>
      </c>
      <c r="G20114" t="str">
        <f>"2018-10-10 13:07:21"</f>
        <v>2018-10-10 13:07:21</v>
      </c>
    </row>
    <row r="20115" spans="1:7" x14ac:dyDescent="0.2">
      <c r="A20115" t="s">
        <v>1823</v>
      </c>
      <c r="B20115" t="str">
        <f>"15549135303"</f>
        <v>15549135303</v>
      </c>
      <c r="C20115" t="str">
        <f>"422801198803281237"</f>
        <v>422801198803281237</v>
      </c>
      <c r="D20115" t="s">
        <v>18916</v>
      </c>
      <c r="E20115" t="s">
        <v>18917</v>
      </c>
      <c r="F20115" t="s">
        <v>0</v>
      </c>
      <c r="G20115" t="str">
        <f>"2018-10-10 13:21:12"</f>
        <v>2018-10-10 13:21:12</v>
      </c>
    </row>
    <row r="20116" spans="1:7" x14ac:dyDescent="0.2">
      <c r="A20116" t="s">
        <v>1</v>
      </c>
      <c r="B20116" t="str">
        <f>"13796918455"</f>
        <v>13796918455</v>
      </c>
      <c r="C20116" t="s">
        <v>1</v>
      </c>
      <c r="D20116" t="s">
        <v>1</v>
      </c>
      <c r="E20116" t="s">
        <v>1</v>
      </c>
      <c r="F20116" t="s">
        <v>0</v>
      </c>
      <c r="G20116" t="str">
        <f>"2018-10-11 07:00:53"</f>
        <v>2018-10-11 07:00:53</v>
      </c>
    </row>
    <row r="20117" spans="1:7" x14ac:dyDescent="0.2">
      <c r="A20117" t="s">
        <v>18918</v>
      </c>
      <c r="B20117" t="str">
        <f>"13570858462"</f>
        <v>13570858462</v>
      </c>
      <c r="C20117" t="str">
        <f>"441481199209307016"</f>
        <v>441481199209307016</v>
      </c>
      <c r="D20117" t="s">
        <v>18919</v>
      </c>
      <c r="E20117" t="s">
        <v>18920</v>
      </c>
      <c r="F20117" t="s">
        <v>0</v>
      </c>
      <c r="G20117" t="str">
        <f>"2018-10-10 13:08:41"</f>
        <v>2018-10-10 13:08:41</v>
      </c>
    </row>
    <row r="20118" spans="1:7" x14ac:dyDescent="0.2">
      <c r="A20118" t="s">
        <v>18921</v>
      </c>
      <c r="B20118" t="str">
        <f>"18559040527"</f>
        <v>18559040527</v>
      </c>
      <c r="C20118" t="str">
        <f>"350823199306040021"</f>
        <v>350823199306040021</v>
      </c>
      <c r="D20118" t="s">
        <v>1</v>
      </c>
      <c r="E20118" t="s">
        <v>1</v>
      </c>
      <c r="F20118" t="s">
        <v>0</v>
      </c>
      <c r="G20118" t="str">
        <f>"2018-10-10 13:29:27"</f>
        <v>2018-10-10 13:29:27</v>
      </c>
    </row>
    <row r="20119" spans="1:7" x14ac:dyDescent="0.2">
      <c r="A20119" t="s">
        <v>18922</v>
      </c>
      <c r="B20119" t="str">
        <f>"18655501454"</f>
        <v>18655501454</v>
      </c>
      <c r="C20119" t="str">
        <f>"340521199110115457"</f>
        <v>340521199110115457</v>
      </c>
      <c r="D20119" t="s">
        <v>1</v>
      </c>
      <c r="E20119" t="s">
        <v>1</v>
      </c>
      <c r="F20119" t="s">
        <v>0</v>
      </c>
      <c r="G20119" t="str">
        <f>"2018-10-10 13:05:51"</f>
        <v>2018-10-10 13:05:51</v>
      </c>
    </row>
    <row r="20120" spans="1:7" x14ac:dyDescent="0.2">
      <c r="A20120" t="s">
        <v>18923</v>
      </c>
      <c r="B20120" t="str">
        <f>"13390094070"</f>
        <v>13390094070</v>
      </c>
      <c r="C20120" t="str">
        <f>"210304199510231813"</f>
        <v>210304199510231813</v>
      </c>
      <c r="D20120" t="s">
        <v>1</v>
      </c>
      <c r="E20120" t="s">
        <v>1</v>
      </c>
      <c r="F20120" t="s">
        <v>0</v>
      </c>
      <c r="G20120" t="str">
        <f>"2018-10-10 13:04:47"</f>
        <v>2018-10-10 13:04:47</v>
      </c>
    </row>
    <row r="20121" spans="1:7" x14ac:dyDescent="0.2">
      <c r="A20121" t="s">
        <v>18924</v>
      </c>
      <c r="B20121" t="str">
        <f>"15050812243"</f>
        <v>15050812243</v>
      </c>
      <c r="C20121" t="str">
        <f>"320829199302051076"</f>
        <v>320829199302051076</v>
      </c>
      <c r="D20121" t="s">
        <v>1</v>
      </c>
      <c r="E20121" t="s">
        <v>1</v>
      </c>
      <c r="F20121" t="s">
        <v>0</v>
      </c>
      <c r="G20121" t="str">
        <f>"2018-10-10 13:05:29"</f>
        <v>2018-10-10 13:05:29</v>
      </c>
    </row>
    <row r="20122" spans="1:7" x14ac:dyDescent="0.2">
      <c r="A20122" t="s">
        <v>18925</v>
      </c>
      <c r="B20122" t="str">
        <f>"18316085197"</f>
        <v>18316085197</v>
      </c>
      <c r="C20122" t="str">
        <f>"441721199703085535"</f>
        <v>441721199703085535</v>
      </c>
      <c r="D20122" t="s">
        <v>1</v>
      </c>
      <c r="E20122" t="s">
        <v>1</v>
      </c>
      <c r="F20122" t="s">
        <v>0</v>
      </c>
      <c r="G20122" t="str">
        <f>"2018-10-10 13:06:30"</f>
        <v>2018-10-10 13:06:30</v>
      </c>
    </row>
    <row r="20123" spans="1:7" x14ac:dyDescent="0.2">
      <c r="A20123" t="s">
        <v>18926</v>
      </c>
      <c r="B20123" t="str">
        <f>"17661362626"</f>
        <v>17661362626</v>
      </c>
      <c r="C20123" t="str">
        <f>"37132419881020248X"</f>
        <v>37132419881020248X</v>
      </c>
      <c r="D20123" t="s">
        <v>1</v>
      </c>
      <c r="E20123" t="s">
        <v>1</v>
      </c>
      <c r="F20123" t="s">
        <v>0</v>
      </c>
      <c r="G20123" t="str">
        <f>"2018-10-10 14:52:19"</f>
        <v>2018-10-10 14:52:19</v>
      </c>
    </row>
    <row r="20124" spans="1:7" x14ac:dyDescent="0.2">
      <c r="A20124" t="s">
        <v>18927</v>
      </c>
      <c r="B20124" t="str">
        <f>"17679331060"</f>
        <v>17679331060</v>
      </c>
      <c r="C20124" t="str">
        <f>"360782199702181113"</f>
        <v>360782199702181113</v>
      </c>
      <c r="D20124" t="s">
        <v>18928</v>
      </c>
      <c r="E20124" t="s">
        <v>18929</v>
      </c>
      <c r="F20124" t="s">
        <v>0</v>
      </c>
      <c r="G20124" t="str">
        <f>"2018-10-10 13:04:35"</f>
        <v>2018-10-10 13:04:35</v>
      </c>
    </row>
    <row r="20125" spans="1:7" x14ac:dyDescent="0.2">
      <c r="A20125" t="s">
        <v>18930</v>
      </c>
      <c r="B20125" t="str">
        <f>"15003312342"</f>
        <v>15003312342</v>
      </c>
      <c r="C20125" t="str">
        <f>"130121198704061825"</f>
        <v>130121198704061825</v>
      </c>
      <c r="D20125" t="s">
        <v>1</v>
      </c>
      <c r="E20125" t="s">
        <v>1</v>
      </c>
      <c r="F20125" t="s">
        <v>0</v>
      </c>
      <c r="G20125" t="str">
        <f>"2018-10-14 13:02:40"</f>
        <v>2018-10-14 13:02:40</v>
      </c>
    </row>
    <row r="20126" spans="1:7" x14ac:dyDescent="0.2">
      <c r="A20126" t="s">
        <v>1</v>
      </c>
      <c r="B20126" t="str">
        <f>"18710109869"</f>
        <v>18710109869</v>
      </c>
      <c r="C20126" t="s">
        <v>1</v>
      </c>
      <c r="D20126" t="s">
        <v>1</v>
      </c>
      <c r="E20126" t="s">
        <v>1</v>
      </c>
      <c r="F20126" t="s">
        <v>0</v>
      </c>
      <c r="G20126" t="str">
        <f>"2018-10-10 13:02:39"</f>
        <v>2018-10-10 13:02:39</v>
      </c>
    </row>
    <row r="20127" spans="1:7" x14ac:dyDescent="0.2">
      <c r="A20127" t="s">
        <v>1</v>
      </c>
      <c r="B20127" t="str">
        <f>"15626482673"</f>
        <v>15626482673</v>
      </c>
      <c r="C20127" t="s">
        <v>1</v>
      </c>
      <c r="D20127" t="s">
        <v>1</v>
      </c>
      <c r="E20127" t="s">
        <v>1</v>
      </c>
      <c r="F20127" t="s">
        <v>0</v>
      </c>
      <c r="G20127" t="str">
        <f>"2018-10-10 13:02:19"</f>
        <v>2018-10-10 13:02:19</v>
      </c>
    </row>
    <row r="20128" spans="1:7" x14ac:dyDescent="0.2">
      <c r="A20128" t="s">
        <v>1</v>
      </c>
      <c r="B20128" t="str">
        <f>"15055412273"</f>
        <v>15055412273</v>
      </c>
      <c r="C20128" t="s">
        <v>1</v>
      </c>
      <c r="D20128" t="s">
        <v>1</v>
      </c>
      <c r="E20128" t="s">
        <v>1</v>
      </c>
      <c r="F20128" t="s">
        <v>0</v>
      </c>
      <c r="G20128" t="str">
        <f>"2018-10-10 13:01:39"</f>
        <v>2018-10-10 13:01:39</v>
      </c>
    </row>
    <row r="20129" spans="1:7" x14ac:dyDescent="0.2">
      <c r="A20129" t="s">
        <v>371</v>
      </c>
      <c r="B20129" t="str">
        <f>"15986800930"</f>
        <v>15986800930</v>
      </c>
      <c r="C20129" t="str">
        <f>"441322199107274334"</f>
        <v>441322199107274334</v>
      </c>
      <c r="D20129" t="s">
        <v>18931</v>
      </c>
      <c r="E20129" t="s">
        <v>18931</v>
      </c>
      <c r="F20129" t="s">
        <v>0</v>
      </c>
      <c r="G20129" t="str">
        <f>"2018-10-10 13:03:19"</f>
        <v>2018-10-10 13:03:19</v>
      </c>
    </row>
    <row r="20130" spans="1:7" x14ac:dyDescent="0.2">
      <c r="A20130" t="s">
        <v>18932</v>
      </c>
      <c r="B20130" t="str">
        <f>"18276176378"</f>
        <v>18276176378</v>
      </c>
      <c r="C20130" t="str">
        <f>"452123199408146115"</f>
        <v>452123199408146115</v>
      </c>
      <c r="D20130" t="s">
        <v>1</v>
      </c>
      <c r="E20130" t="s">
        <v>1</v>
      </c>
      <c r="F20130" t="s">
        <v>0</v>
      </c>
      <c r="G20130" t="str">
        <f>"2018-10-10 13:03:29"</f>
        <v>2018-10-10 13:03:29</v>
      </c>
    </row>
    <row r="20131" spans="1:7" x14ac:dyDescent="0.2">
      <c r="A20131" t="s">
        <v>1</v>
      </c>
      <c r="B20131" t="str">
        <f>"15577993917"</f>
        <v>15577993917</v>
      </c>
      <c r="C20131" t="s">
        <v>1</v>
      </c>
      <c r="D20131" t="s">
        <v>1</v>
      </c>
      <c r="E20131" t="s">
        <v>1</v>
      </c>
      <c r="F20131" t="s">
        <v>0</v>
      </c>
      <c r="G20131" t="str">
        <f>"2018-10-10 13:00:40"</f>
        <v>2018-10-10 13:00:40</v>
      </c>
    </row>
    <row r="20132" spans="1:7" x14ac:dyDescent="0.2">
      <c r="A20132" t="s">
        <v>1</v>
      </c>
      <c r="B20132" t="str">
        <f>"13258881372"</f>
        <v>13258881372</v>
      </c>
      <c r="C20132" t="s">
        <v>1</v>
      </c>
      <c r="D20132" t="s">
        <v>1</v>
      </c>
      <c r="E20132" t="s">
        <v>1</v>
      </c>
      <c r="F20132" t="s">
        <v>0</v>
      </c>
      <c r="G20132" t="str">
        <f>"2018-10-10 13:00:38"</f>
        <v>2018-10-10 13:00:38</v>
      </c>
    </row>
    <row r="20133" spans="1:7" x14ac:dyDescent="0.2">
      <c r="A20133" t="s">
        <v>18933</v>
      </c>
      <c r="B20133" t="str">
        <f>"15138081135"</f>
        <v>15138081135</v>
      </c>
      <c r="C20133" t="str">
        <f>"410822199502115529"</f>
        <v>410822199502115529</v>
      </c>
      <c r="D20133" t="s">
        <v>1</v>
      </c>
      <c r="E20133" t="s">
        <v>1</v>
      </c>
      <c r="F20133" t="s">
        <v>0</v>
      </c>
      <c r="G20133" t="str">
        <f>"2018-10-10 13:03:24"</f>
        <v>2018-10-10 13:03:24</v>
      </c>
    </row>
    <row r="20134" spans="1:7" x14ac:dyDescent="0.2">
      <c r="A20134" t="s">
        <v>18934</v>
      </c>
      <c r="B20134" t="str">
        <f>"13415173510"</f>
        <v>13415173510</v>
      </c>
      <c r="C20134" t="str">
        <f>"440513199604072948"</f>
        <v>440513199604072948</v>
      </c>
      <c r="D20134" t="s">
        <v>1</v>
      </c>
      <c r="E20134" t="s">
        <v>1</v>
      </c>
      <c r="F20134" t="s">
        <v>0</v>
      </c>
      <c r="G20134" t="str">
        <f>"2018-10-10 13:46:41"</f>
        <v>2018-10-10 13:46:41</v>
      </c>
    </row>
    <row r="20135" spans="1:7" x14ac:dyDescent="0.2">
      <c r="A20135" t="s">
        <v>511</v>
      </c>
      <c r="B20135" t="str">
        <f>"13831566001"</f>
        <v>13831566001</v>
      </c>
      <c r="C20135" t="str">
        <f>"130203198212172724"</f>
        <v>130203198212172724</v>
      </c>
      <c r="D20135" t="s">
        <v>1</v>
      </c>
      <c r="E20135" t="s">
        <v>1</v>
      </c>
      <c r="F20135" t="s">
        <v>0</v>
      </c>
      <c r="G20135" t="str">
        <f>"2018-10-10 13:03:02"</f>
        <v>2018-10-10 13:03:02</v>
      </c>
    </row>
    <row r="20136" spans="1:7" x14ac:dyDescent="0.2">
      <c r="A20136" t="s">
        <v>17224</v>
      </c>
      <c r="B20136" t="str">
        <f>"15248804602"</f>
        <v>15248804602</v>
      </c>
      <c r="C20136" t="str">
        <f>"152822198108064819"</f>
        <v>152822198108064819</v>
      </c>
      <c r="D20136" t="s">
        <v>1</v>
      </c>
      <c r="E20136" t="s">
        <v>1</v>
      </c>
      <c r="F20136" t="s">
        <v>0</v>
      </c>
      <c r="G20136" t="str">
        <f>"2018-10-10 13:00:06"</f>
        <v>2018-10-10 13:00:06</v>
      </c>
    </row>
    <row r="20137" spans="1:7" x14ac:dyDescent="0.2">
      <c r="A20137" t="s">
        <v>18935</v>
      </c>
      <c r="B20137" t="str">
        <f>"15123154789"</f>
        <v>15123154789</v>
      </c>
      <c r="C20137" t="str">
        <f>"50011219890326111X"</f>
        <v>50011219890326111X</v>
      </c>
      <c r="D20137" t="s">
        <v>18936</v>
      </c>
      <c r="E20137" t="s">
        <v>18937</v>
      </c>
      <c r="F20137" t="s">
        <v>0</v>
      </c>
      <c r="G20137" t="str">
        <f>"2018-10-10 13:00:53"</f>
        <v>2018-10-10 13:00:53</v>
      </c>
    </row>
    <row r="20138" spans="1:7" x14ac:dyDescent="0.2">
      <c r="A20138" t="s">
        <v>18938</v>
      </c>
      <c r="B20138" t="str">
        <f>"13198227106"</f>
        <v>13198227106</v>
      </c>
      <c r="C20138" t="str">
        <f>"510802199103295612"</f>
        <v>510802199103295612</v>
      </c>
      <c r="D20138" t="s">
        <v>1</v>
      </c>
      <c r="E20138" t="s">
        <v>1</v>
      </c>
      <c r="F20138" t="s">
        <v>0</v>
      </c>
      <c r="G20138" t="str">
        <f>"2018-10-18 18:32:41"</f>
        <v>2018-10-18 18:32:41</v>
      </c>
    </row>
    <row r="20139" spans="1:7" x14ac:dyDescent="0.2">
      <c r="A20139" t="s">
        <v>1</v>
      </c>
      <c r="B20139" t="str">
        <f>"15103125823"</f>
        <v>15103125823</v>
      </c>
      <c r="C20139" t="s">
        <v>1</v>
      </c>
      <c r="D20139" t="s">
        <v>1</v>
      </c>
      <c r="E20139" t="s">
        <v>1</v>
      </c>
      <c r="F20139" t="s">
        <v>0</v>
      </c>
      <c r="G20139" t="str">
        <f>"2018-10-10 13:01:02"</f>
        <v>2018-10-10 13:01:02</v>
      </c>
    </row>
    <row r="20140" spans="1:7" x14ac:dyDescent="0.2">
      <c r="A20140" t="s">
        <v>1</v>
      </c>
      <c r="B20140" t="str">
        <f>"13519010813"</f>
        <v>13519010813</v>
      </c>
      <c r="C20140" t="s">
        <v>1</v>
      </c>
      <c r="D20140" t="s">
        <v>1</v>
      </c>
      <c r="E20140" t="s">
        <v>1</v>
      </c>
      <c r="F20140" t="s">
        <v>0</v>
      </c>
      <c r="G20140" t="str">
        <f>"2018-10-11 19:49:20"</f>
        <v>2018-10-11 19:49:20</v>
      </c>
    </row>
    <row r="20141" spans="1:7" x14ac:dyDescent="0.2">
      <c r="A20141" t="s">
        <v>18939</v>
      </c>
      <c r="B20141" t="str">
        <f>"18763593332"</f>
        <v>18763593332</v>
      </c>
      <c r="C20141" t="str">
        <f>"371523199310011379"</f>
        <v>371523199310011379</v>
      </c>
      <c r="D20141" t="s">
        <v>1</v>
      </c>
      <c r="E20141" t="s">
        <v>1</v>
      </c>
      <c r="F20141" t="s">
        <v>0</v>
      </c>
      <c r="G20141" t="str">
        <f>"2018-10-10 13:00:34"</f>
        <v>2018-10-10 13:00:34</v>
      </c>
    </row>
    <row r="20142" spans="1:7" x14ac:dyDescent="0.2">
      <c r="A20142" t="s">
        <v>18940</v>
      </c>
      <c r="B20142" t="str">
        <f>"15975051751"</f>
        <v>15975051751</v>
      </c>
      <c r="C20142" t="str">
        <f>"440782198802031126"</f>
        <v>440782198802031126</v>
      </c>
      <c r="D20142" t="s">
        <v>18941</v>
      </c>
      <c r="E20142" t="s">
        <v>18941</v>
      </c>
      <c r="F20142" t="s">
        <v>0</v>
      </c>
      <c r="G20142" t="str">
        <f>"2018-10-16 10:51:00"</f>
        <v>2018-10-16 10:51:00</v>
      </c>
    </row>
    <row r="20143" spans="1:7" x14ac:dyDescent="0.2">
      <c r="A20143" t="s">
        <v>1</v>
      </c>
      <c r="B20143" t="str">
        <f>"15070807631"</f>
        <v>15070807631</v>
      </c>
      <c r="C20143" t="s">
        <v>1</v>
      </c>
      <c r="D20143" t="s">
        <v>1</v>
      </c>
      <c r="E20143" t="s">
        <v>1</v>
      </c>
      <c r="F20143" t="s">
        <v>0</v>
      </c>
      <c r="G20143" t="str">
        <f>"2018-10-10 12:58:06"</f>
        <v>2018-10-10 12:58:06</v>
      </c>
    </row>
    <row r="20144" spans="1:7" x14ac:dyDescent="0.2">
      <c r="A20144" t="s">
        <v>18942</v>
      </c>
      <c r="B20144" t="str">
        <f>"15153791670"</f>
        <v>15153791670</v>
      </c>
      <c r="C20144" t="str">
        <f>"370811198707014012"</f>
        <v>370811198707014012</v>
      </c>
      <c r="D20144" t="s">
        <v>1</v>
      </c>
      <c r="E20144" t="s">
        <v>1</v>
      </c>
      <c r="F20144" t="s">
        <v>0</v>
      </c>
      <c r="G20144" t="str">
        <f>"2018-10-10 12:59:33"</f>
        <v>2018-10-10 12:59:33</v>
      </c>
    </row>
    <row r="20145" spans="1:7" x14ac:dyDescent="0.2">
      <c r="A20145" t="s">
        <v>18943</v>
      </c>
      <c r="B20145" t="str">
        <f>"13643809006"</f>
        <v>13643809006</v>
      </c>
      <c r="C20145" t="str">
        <f>"410182198309062916"</f>
        <v>410182198309062916</v>
      </c>
      <c r="D20145" t="s">
        <v>1</v>
      </c>
      <c r="E20145" t="s">
        <v>1</v>
      </c>
      <c r="F20145" t="s">
        <v>0</v>
      </c>
      <c r="G20145" t="str">
        <f>"2018-10-10 13:03:25"</f>
        <v>2018-10-10 13:03:25</v>
      </c>
    </row>
    <row r="20146" spans="1:7" x14ac:dyDescent="0.2">
      <c r="A20146" t="s">
        <v>18944</v>
      </c>
      <c r="B20146" t="str">
        <f>"18853122167"</f>
        <v>18853122167</v>
      </c>
      <c r="C20146" t="str">
        <f>"370983198410250054"</f>
        <v>370983198410250054</v>
      </c>
      <c r="D20146" t="s">
        <v>1</v>
      </c>
      <c r="E20146" t="s">
        <v>1</v>
      </c>
      <c r="F20146" t="s">
        <v>0</v>
      </c>
      <c r="G20146" t="str">
        <f>"2018-10-10 13:10:35"</f>
        <v>2018-10-10 13:10:35</v>
      </c>
    </row>
    <row r="20147" spans="1:7" x14ac:dyDescent="0.2">
      <c r="A20147" t="s">
        <v>18945</v>
      </c>
      <c r="B20147" t="str">
        <f>"15963430600"</f>
        <v>15963430600</v>
      </c>
      <c r="C20147" t="str">
        <f>"370783199306194930"</f>
        <v>370783199306194930</v>
      </c>
      <c r="D20147" t="s">
        <v>1</v>
      </c>
      <c r="E20147" t="s">
        <v>1</v>
      </c>
      <c r="F20147" t="s">
        <v>0</v>
      </c>
      <c r="G20147" t="str">
        <f>"2018-10-10 12:55:36"</f>
        <v>2018-10-10 12:55:36</v>
      </c>
    </row>
    <row r="20148" spans="1:7" x14ac:dyDescent="0.2">
      <c r="A20148" t="s">
        <v>18946</v>
      </c>
      <c r="B20148" t="str">
        <f>"18234449064"</f>
        <v>18234449064</v>
      </c>
      <c r="C20148" t="str">
        <f>"140724198110090032"</f>
        <v>140724198110090032</v>
      </c>
      <c r="D20148" t="s">
        <v>1</v>
      </c>
      <c r="E20148" t="s">
        <v>1</v>
      </c>
      <c r="F20148" t="s">
        <v>0</v>
      </c>
      <c r="G20148" t="str">
        <f>"2018-10-16 11:42:41"</f>
        <v>2018-10-16 11:42:41</v>
      </c>
    </row>
    <row r="20149" spans="1:7" x14ac:dyDescent="0.2">
      <c r="A20149" t="s">
        <v>1</v>
      </c>
      <c r="B20149" t="str">
        <f>"13378879440"</f>
        <v>13378879440</v>
      </c>
      <c r="C20149" t="s">
        <v>1</v>
      </c>
      <c r="D20149" t="s">
        <v>1</v>
      </c>
      <c r="E20149" t="s">
        <v>1</v>
      </c>
      <c r="F20149" t="s">
        <v>0</v>
      </c>
      <c r="G20149" t="str">
        <f>"2018-10-10 12:54:25"</f>
        <v>2018-10-10 12:54:25</v>
      </c>
    </row>
    <row r="20150" spans="1:7" x14ac:dyDescent="0.2">
      <c r="A20150" t="s">
        <v>1</v>
      </c>
      <c r="B20150" t="str">
        <f>"18137378629"</f>
        <v>18137378629</v>
      </c>
      <c r="C20150" t="s">
        <v>1</v>
      </c>
      <c r="D20150" t="s">
        <v>1</v>
      </c>
      <c r="E20150" t="s">
        <v>1</v>
      </c>
      <c r="F20150" t="s">
        <v>0</v>
      </c>
      <c r="G20150" t="str">
        <f>"2018-10-10 12:54:08"</f>
        <v>2018-10-10 12:54:08</v>
      </c>
    </row>
    <row r="20151" spans="1:7" x14ac:dyDescent="0.2">
      <c r="A20151" t="s">
        <v>1</v>
      </c>
      <c r="B20151" t="str">
        <f>"17820078521"</f>
        <v>17820078521</v>
      </c>
      <c r="C20151" t="s">
        <v>1</v>
      </c>
      <c r="D20151" t="s">
        <v>1</v>
      </c>
      <c r="E20151" t="s">
        <v>1</v>
      </c>
      <c r="F20151" t="s">
        <v>0</v>
      </c>
      <c r="G20151" t="str">
        <f>"2018-10-10 12:53:39"</f>
        <v>2018-10-10 12:53:39</v>
      </c>
    </row>
    <row r="20152" spans="1:7" x14ac:dyDescent="0.2">
      <c r="A20152" t="s">
        <v>5285</v>
      </c>
      <c r="B20152" t="str">
        <f>"13312225287"</f>
        <v>13312225287</v>
      </c>
      <c r="C20152" t="str">
        <f>"520121199511300022"</f>
        <v>520121199511300022</v>
      </c>
      <c r="D20152" t="s">
        <v>1</v>
      </c>
      <c r="E20152" t="s">
        <v>1</v>
      </c>
      <c r="F20152" t="s">
        <v>0</v>
      </c>
      <c r="G20152" t="str">
        <f>"2018-10-10 12:55:53"</f>
        <v>2018-10-10 12:55:53</v>
      </c>
    </row>
    <row r="20153" spans="1:7" x14ac:dyDescent="0.2">
      <c r="A20153" t="s">
        <v>136</v>
      </c>
      <c r="B20153" t="str">
        <f>"17614460862"</f>
        <v>17614460862</v>
      </c>
      <c r="C20153" t="str">
        <f>"220322199709201210"</f>
        <v>220322199709201210</v>
      </c>
      <c r="D20153" t="s">
        <v>18947</v>
      </c>
      <c r="E20153" t="s">
        <v>18948</v>
      </c>
      <c r="F20153" t="s">
        <v>0</v>
      </c>
      <c r="G20153" t="str">
        <f>"2018-10-24 19:44:05"</f>
        <v>2018-10-24 19:44:05</v>
      </c>
    </row>
    <row r="20154" spans="1:7" x14ac:dyDescent="0.2">
      <c r="A20154" t="s">
        <v>18949</v>
      </c>
      <c r="B20154" t="str">
        <f>"15851281075"</f>
        <v>15851281075</v>
      </c>
      <c r="C20154" t="str">
        <f>"320621199212247313"</f>
        <v>320621199212247313</v>
      </c>
      <c r="D20154" t="s">
        <v>1</v>
      </c>
      <c r="E20154" t="s">
        <v>1</v>
      </c>
      <c r="F20154" t="s">
        <v>0</v>
      </c>
      <c r="G20154" t="str">
        <f>"2018-10-11 22:55:19"</f>
        <v>2018-10-11 22:55:19</v>
      </c>
    </row>
    <row r="20155" spans="1:7" x14ac:dyDescent="0.2">
      <c r="A20155" t="s">
        <v>18950</v>
      </c>
      <c r="B20155" t="str">
        <f>"15928212957"</f>
        <v>15928212957</v>
      </c>
      <c r="C20155" t="str">
        <f>"510781199010265158"</f>
        <v>510781199010265158</v>
      </c>
      <c r="D20155" t="s">
        <v>1</v>
      </c>
      <c r="E20155" t="s">
        <v>1</v>
      </c>
      <c r="F20155" t="s">
        <v>0</v>
      </c>
      <c r="G20155" t="str">
        <f>"2018-10-10 12:55:42"</f>
        <v>2018-10-10 12:55:42</v>
      </c>
    </row>
    <row r="20156" spans="1:7" x14ac:dyDescent="0.2">
      <c r="A20156" t="s">
        <v>18951</v>
      </c>
      <c r="B20156" t="str">
        <f>"13790747273"</f>
        <v>13790747273</v>
      </c>
      <c r="C20156" t="str">
        <f>"442000198010124235"</f>
        <v>442000198010124235</v>
      </c>
      <c r="D20156" t="s">
        <v>1</v>
      </c>
      <c r="E20156" t="s">
        <v>1</v>
      </c>
      <c r="F20156" t="s">
        <v>0</v>
      </c>
      <c r="G20156" t="str">
        <f>"2018-10-30 04:43:48"</f>
        <v>2018-10-30 04:43:48</v>
      </c>
    </row>
    <row r="20157" spans="1:7" x14ac:dyDescent="0.2">
      <c r="A20157" t="s">
        <v>18952</v>
      </c>
      <c r="B20157" t="str">
        <f>"18187910068"</f>
        <v>18187910068</v>
      </c>
      <c r="C20157" t="str">
        <f>"53272619940924152X"</f>
        <v>53272619940924152X</v>
      </c>
      <c r="D20157" t="s">
        <v>18953</v>
      </c>
      <c r="E20157" t="s">
        <v>18953</v>
      </c>
      <c r="F20157" t="s">
        <v>0</v>
      </c>
      <c r="G20157" t="str">
        <f>"2018-10-17 13:49:54"</f>
        <v>2018-10-17 13:49:54</v>
      </c>
    </row>
    <row r="20158" spans="1:7" x14ac:dyDescent="0.2">
      <c r="A20158" t="s">
        <v>18954</v>
      </c>
      <c r="B20158" t="str">
        <f>"15605069116"</f>
        <v>15605069116</v>
      </c>
      <c r="C20158" t="str">
        <f>"350628199405151019"</f>
        <v>350628199405151019</v>
      </c>
      <c r="D20158" t="s">
        <v>1</v>
      </c>
      <c r="E20158" t="s">
        <v>1</v>
      </c>
      <c r="F20158" t="s">
        <v>0</v>
      </c>
      <c r="G20158" t="str">
        <f>"2018-10-10 13:04:09"</f>
        <v>2018-10-10 13:04:09</v>
      </c>
    </row>
    <row r="20159" spans="1:7" x14ac:dyDescent="0.2">
      <c r="A20159" t="s">
        <v>18955</v>
      </c>
      <c r="B20159" t="str">
        <f>"15042344677"</f>
        <v>15042344677</v>
      </c>
      <c r="C20159" t="str">
        <f>"21030419780213221X"</f>
        <v>21030419780213221X</v>
      </c>
      <c r="D20159" t="s">
        <v>18956</v>
      </c>
      <c r="E20159" t="s">
        <v>18957</v>
      </c>
      <c r="F20159" t="s">
        <v>0</v>
      </c>
      <c r="G20159" t="str">
        <f>"2018-10-10 12:49:44"</f>
        <v>2018-10-10 12:49:44</v>
      </c>
    </row>
    <row r="20160" spans="1:7" x14ac:dyDescent="0.2">
      <c r="A20160" t="s">
        <v>18958</v>
      </c>
      <c r="B20160" t="str">
        <f>"18993967879"</f>
        <v>18993967879</v>
      </c>
      <c r="C20160" t="str">
        <f>"620423199306132819"</f>
        <v>620423199306132819</v>
      </c>
      <c r="D20160" t="s">
        <v>1</v>
      </c>
      <c r="E20160" t="s">
        <v>1</v>
      </c>
      <c r="F20160" t="s">
        <v>0</v>
      </c>
      <c r="G20160" t="str">
        <f>"2018-10-10 12:50:39"</f>
        <v>2018-10-10 12:50:39</v>
      </c>
    </row>
    <row r="20161" spans="1:7" x14ac:dyDescent="0.2">
      <c r="A20161" t="s">
        <v>18959</v>
      </c>
      <c r="B20161" t="str">
        <f>"13268391475"</f>
        <v>13268391475</v>
      </c>
      <c r="C20161" t="str">
        <f>"440184198807020979"</f>
        <v>440184198807020979</v>
      </c>
      <c r="D20161" t="s">
        <v>1</v>
      </c>
      <c r="E20161" t="s">
        <v>1</v>
      </c>
      <c r="F20161" t="s">
        <v>0</v>
      </c>
      <c r="G20161" t="str">
        <f>"2018-10-17 09:41:42"</f>
        <v>2018-10-17 09:41:42</v>
      </c>
    </row>
    <row r="20162" spans="1:7" x14ac:dyDescent="0.2">
      <c r="A20162" t="s">
        <v>452</v>
      </c>
      <c r="B20162" t="str">
        <f>"17378758553"</f>
        <v>17378758553</v>
      </c>
      <c r="C20162" t="str">
        <f>"511025199301027557"</f>
        <v>511025199301027557</v>
      </c>
      <c r="D20162" t="s">
        <v>1</v>
      </c>
      <c r="E20162" t="s">
        <v>1</v>
      </c>
      <c r="F20162" t="s">
        <v>0</v>
      </c>
      <c r="G20162" t="str">
        <f>"2018-10-10 12:53:06"</f>
        <v>2018-10-10 12:53:06</v>
      </c>
    </row>
    <row r="20163" spans="1:7" x14ac:dyDescent="0.2">
      <c r="A20163" t="s">
        <v>18960</v>
      </c>
      <c r="B20163" t="str">
        <f>"15123889926"</f>
        <v>15123889926</v>
      </c>
      <c r="C20163" t="str">
        <f>"500222199611156724"</f>
        <v>500222199611156724</v>
      </c>
      <c r="D20163" t="s">
        <v>1</v>
      </c>
      <c r="E20163" t="s">
        <v>1</v>
      </c>
      <c r="F20163" t="s">
        <v>0</v>
      </c>
      <c r="G20163" t="str">
        <f>"2018-10-10 13:46:05"</f>
        <v>2018-10-10 13:46:05</v>
      </c>
    </row>
    <row r="20164" spans="1:7" x14ac:dyDescent="0.2">
      <c r="A20164" t="s">
        <v>2406</v>
      </c>
      <c r="B20164" t="str">
        <f>"18364530638"</f>
        <v>18364530638</v>
      </c>
      <c r="C20164" t="str">
        <f>"370686199305151318"</f>
        <v>370686199305151318</v>
      </c>
      <c r="D20164" t="s">
        <v>1</v>
      </c>
      <c r="E20164" t="s">
        <v>1</v>
      </c>
      <c r="F20164" t="s">
        <v>0</v>
      </c>
      <c r="G20164" t="str">
        <f>"2018-10-10 12:50:16"</f>
        <v>2018-10-10 12:50:16</v>
      </c>
    </row>
    <row r="20165" spans="1:7" x14ac:dyDescent="0.2">
      <c r="A20165" t="s">
        <v>18961</v>
      </c>
      <c r="B20165" t="str">
        <f>"15724499573"</f>
        <v>15724499573</v>
      </c>
      <c r="C20165" t="str">
        <f>"210921199008248459"</f>
        <v>210921199008248459</v>
      </c>
      <c r="D20165" t="s">
        <v>1</v>
      </c>
      <c r="E20165" t="s">
        <v>1</v>
      </c>
      <c r="F20165" t="s">
        <v>0</v>
      </c>
      <c r="G20165" t="str">
        <f>"2018-10-18 10:39:34"</f>
        <v>2018-10-18 10:39:34</v>
      </c>
    </row>
    <row r="20166" spans="1:7" x14ac:dyDescent="0.2">
      <c r="A20166" t="s">
        <v>1</v>
      </c>
      <c r="B20166" t="str">
        <f>"15666239777"</f>
        <v>15666239777</v>
      </c>
      <c r="C20166" t="s">
        <v>1</v>
      </c>
      <c r="D20166" t="s">
        <v>1</v>
      </c>
      <c r="E20166" t="s">
        <v>1</v>
      </c>
      <c r="F20166" t="s">
        <v>0</v>
      </c>
      <c r="G20166" t="str">
        <f>"2018-10-10 12:47:06"</f>
        <v>2018-10-10 12:47:06</v>
      </c>
    </row>
    <row r="20167" spans="1:7" x14ac:dyDescent="0.2">
      <c r="A20167" t="s">
        <v>1</v>
      </c>
      <c r="B20167" t="str">
        <f>"14791498181"</f>
        <v>14791498181</v>
      </c>
      <c r="C20167" t="s">
        <v>1</v>
      </c>
      <c r="D20167" t="s">
        <v>1</v>
      </c>
      <c r="E20167" t="s">
        <v>1</v>
      </c>
      <c r="F20167" t="s">
        <v>0</v>
      </c>
      <c r="G20167" t="str">
        <f>"2018-10-10 12:46:59"</f>
        <v>2018-10-10 12:46:59</v>
      </c>
    </row>
    <row r="20168" spans="1:7" x14ac:dyDescent="0.2">
      <c r="A20168" t="s">
        <v>18962</v>
      </c>
      <c r="B20168" t="str">
        <f>"17635005597"</f>
        <v>17635005597</v>
      </c>
      <c r="C20168" t="str">
        <f>"142201199605255534"</f>
        <v>142201199605255534</v>
      </c>
      <c r="D20168" t="s">
        <v>18963</v>
      </c>
      <c r="E20168" t="s">
        <v>18964</v>
      </c>
      <c r="F20168" t="s">
        <v>0</v>
      </c>
      <c r="G20168" t="str">
        <f>"2018-10-10 12:46:49"</f>
        <v>2018-10-10 12:46:49</v>
      </c>
    </row>
    <row r="20169" spans="1:7" x14ac:dyDescent="0.2">
      <c r="A20169" t="s">
        <v>18965</v>
      </c>
      <c r="B20169" t="str">
        <f>"18081245103"</f>
        <v>18081245103</v>
      </c>
      <c r="C20169" t="str">
        <f>"51072219800728883X"</f>
        <v>51072219800728883X</v>
      </c>
      <c r="D20169" t="s">
        <v>1</v>
      </c>
      <c r="E20169" t="s">
        <v>1</v>
      </c>
      <c r="F20169" t="s">
        <v>0</v>
      </c>
      <c r="G20169" t="str">
        <f>"2018-10-10 13:29:08"</f>
        <v>2018-10-10 13:29:08</v>
      </c>
    </row>
    <row r="20170" spans="1:7" x14ac:dyDescent="0.2">
      <c r="A20170" t="s">
        <v>18966</v>
      </c>
      <c r="B20170" t="str">
        <f>"15030208005"</f>
        <v>15030208005</v>
      </c>
      <c r="C20170" t="str">
        <f>"130636198801060551"</f>
        <v>130636198801060551</v>
      </c>
      <c r="D20170" t="s">
        <v>1</v>
      </c>
      <c r="E20170" t="s">
        <v>1</v>
      </c>
      <c r="F20170" t="s">
        <v>0</v>
      </c>
      <c r="G20170" t="str">
        <f>"2018-10-13 15:50:06"</f>
        <v>2018-10-13 15:50:06</v>
      </c>
    </row>
    <row r="20171" spans="1:7" x14ac:dyDescent="0.2">
      <c r="A20171" t="s">
        <v>18967</v>
      </c>
      <c r="B20171" t="str">
        <f>"18758538765"</f>
        <v>18758538765</v>
      </c>
      <c r="C20171" t="str">
        <f>"341204198902081615"</f>
        <v>341204198902081615</v>
      </c>
      <c r="D20171" t="s">
        <v>18968</v>
      </c>
      <c r="E20171" t="s">
        <v>18969</v>
      </c>
      <c r="F20171" t="s">
        <v>0</v>
      </c>
      <c r="G20171" t="str">
        <f>"2018-10-10 14:06:39"</f>
        <v>2018-10-10 14:06:39</v>
      </c>
    </row>
    <row r="20172" spans="1:7" x14ac:dyDescent="0.2">
      <c r="A20172" t="s">
        <v>18970</v>
      </c>
      <c r="B20172" t="str">
        <f>"18366930301"</f>
        <v>18366930301</v>
      </c>
      <c r="C20172" t="str">
        <f>"370522199701060621"</f>
        <v>370522199701060621</v>
      </c>
      <c r="D20172" t="s">
        <v>1</v>
      </c>
      <c r="E20172" t="s">
        <v>1</v>
      </c>
      <c r="F20172" t="s">
        <v>0</v>
      </c>
      <c r="G20172" t="str">
        <f>"2018-10-30 10:16:55"</f>
        <v>2018-10-30 10:16:55</v>
      </c>
    </row>
    <row r="20173" spans="1:7" x14ac:dyDescent="0.2">
      <c r="A20173" t="s">
        <v>15713</v>
      </c>
      <c r="B20173" t="str">
        <f>"13264054300"</f>
        <v>13264054300</v>
      </c>
      <c r="C20173" t="str">
        <f>"130823198204264539"</f>
        <v>130823198204264539</v>
      </c>
      <c r="D20173" t="s">
        <v>18971</v>
      </c>
      <c r="E20173" t="s">
        <v>18972</v>
      </c>
      <c r="F20173" t="s">
        <v>0</v>
      </c>
      <c r="G20173" t="str">
        <f>"2018-10-10 12:53:53"</f>
        <v>2018-10-10 12:53:53</v>
      </c>
    </row>
    <row r="20174" spans="1:7" x14ac:dyDescent="0.2">
      <c r="A20174" t="s">
        <v>1</v>
      </c>
      <c r="B20174" t="str">
        <f>"13656845407"</f>
        <v>13656845407</v>
      </c>
      <c r="C20174" t="s">
        <v>1</v>
      </c>
      <c r="D20174" t="s">
        <v>1</v>
      </c>
      <c r="E20174" t="s">
        <v>1</v>
      </c>
      <c r="F20174" t="s">
        <v>0</v>
      </c>
      <c r="G20174" t="str">
        <f>"2018-10-10 12:44:27"</f>
        <v>2018-10-10 12:44:27</v>
      </c>
    </row>
    <row r="20175" spans="1:7" x14ac:dyDescent="0.2">
      <c r="A20175" t="s">
        <v>18973</v>
      </c>
      <c r="B20175" t="str">
        <f>"13637813002"</f>
        <v>13637813002</v>
      </c>
      <c r="C20175" t="str">
        <f>"510214197704070025"</f>
        <v>510214197704070025</v>
      </c>
      <c r="D20175" t="s">
        <v>1</v>
      </c>
      <c r="E20175" t="s">
        <v>1</v>
      </c>
      <c r="F20175" t="s">
        <v>0</v>
      </c>
      <c r="G20175" t="str">
        <f>"2018-10-10 12:52:05"</f>
        <v>2018-10-10 12:52:05</v>
      </c>
    </row>
    <row r="20176" spans="1:7" x14ac:dyDescent="0.2">
      <c r="A20176" t="s">
        <v>18974</v>
      </c>
      <c r="B20176" t="str">
        <f>"15738780093"</f>
        <v>15738780093</v>
      </c>
      <c r="C20176" t="str">
        <f>"411123199202288515"</f>
        <v>411123199202288515</v>
      </c>
      <c r="D20176" t="s">
        <v>1</v>
      </c>
      <c r="E20176" t="s">
        <v>1</v>
      </c>
      <c r="F20176" t="s">
        <v>0</v>
      </c>
      <c r="G20176" t="str">
        <f>"2018-10-10 12:45:31"</f>
        <v>2018-10-10 12:45:31</v>
      </c>
    </row>
    <row r="20177" spans="1:7" x14ac:dyDescent="0.2">
      <c r="A20177" t="s">
        <v>1</v>
      </c>
      <c r="B20177" t="str">
        <f>"18271727017"</f>
        <v>18271727017</v>
      </c>
      <c r="C20177" t="s">
        <v>1</v>
      </c>
      <c r="D20177" t="s">
        <v>1</v>
      </c>
      <c r="E20177" t="s">
        <v>1</v>
      </c>
      <c r="F20177" t="s">
        <v>0</v>
      </c>
      <c r="G20177" t="str">
        <f>"2018-10-10 12:42:40"</f>
        <v>2018-10-10 12:42:40</v>
      </c>
    </row>
    <row r="20178" spans="1:7" x14ac:dyDescent="0.2">
      <c r="A20178" t="s">
        <v>1</v>
      </c>
      <c r="B20178" t="str">
        <f>"13633335158"</f>
        <v>13633335158</v>
      </c>
      <c r="C20178" t="s">
        <v>1</v>
      </c>
      <c r="D20178" t="s">
        <v>1</v>
      </c>
      <c r="E20178" t="s">
        <v>1</v>
      </c>
      <c r="F20178" t="s">
        <v>0</v>
      </c>
      <c r="G20178" t="str">
        <f>"2018-10-10 12:42:22"</f>
        <v>2018-10-10 12:42:22</v>
      </c>
    </row>
    <row r="20179" spans="1:7" x14ac:dyDescent="0.2">
      <c r="A20179" t="s">
        <v>1</v>
      </c>
      <c r="B20179" t="str">
        <f>"15676521042"</f>
        <v>15676521042</v>
      </c>
      <c r="C20179" t="s">
        <v>1</v>
      </c>
      <c r="D20179" t="s">
        <v>1</v>
      </c>
      <c r="E20179" t="s">
        <v>1</v>
      </c>
      <c r="F20179" t="s">
        <v>0</v>
      </c>
      <c r="G20179" t="str">
        <f>"2018-10-10 12:42:18"</f>
        <v>2018-10-10 12:42:18</v>
      </c>
    </row>
    <row r="20180" spans="1:7" x14ac:dyDescent="0.2">
      <c r="A20180" t="s">
        <v>18975</v>
      </c>
      <c r="B20180" t="str">
        <f>"13437898353"</f>
        <v>13437898353</v>
      </c>
      <c r="C20180" t="str">
        <f>"440801199102212614"</f>
        <v>440801199102212614</v>
      </c>
      <c r="D20180" t="s">
        <v>1</v>
      </c>
      <c r="E20180" t="s">
        <v>1</v>
      </c>
      <c r="F20180" t="s">
        <v>0</v>
      </c>
      <c r="G20180" t="str">
        <f>"2018-10-10 12:47:54"</f>
        <v>2018-10-10 12:47:54</v>
      </c>
    </row>
    <row r="20181" spans="1:7" x14ac:dyDescent="0.2">
      <c r="A20181" t="s">
        <v>1</v>
      </c>
      <c r="B20181" t="str">
        <f>"13105317747"</f>
        <v>13105317747</v>
      </c>
      <c r="C20181" t="s">
        <v>1</v>
      </c>
      <c r="D20181" t="s">
        <v>1</v>
      </c>
      <c r="E20181" t="s">
        <v>1</v>
      </c>
      <c r="F20181" t="s">
        <v>0</v>
      </c>
      <c r="G20181" t="str">
        <f>"2018-10-10 12:41:14"</f>
        <v>2018-10-10 12:41:14</v>
      </c>
    </row>
    <row r="20182" spans="1:7" x14ac:dyDescent="0.2">
      <c r="A20182" t="s">
        <v>1</v>
      </c>
      <c r="B20182" t="str">
        <f>"13662221530"</f>
        <v>13662221530</v>
      </c>
      <c r="C20182" t="s">
        <v>1</v>
      </c>
      <c r="D20182" t="s">
        <v>1</v>
      </c>
      <c r="E20182" t="s">
        <v>1</v>
      </c>
      <c r="F20182" t="s">
        <v>0</v>
      </c>
      <c r="G20182" t="str">
        <f>"2018-10-10 12:41:46"</f>
        <v>2018-10-10 12:41:46</v>
      </c>
    </row>
    <row r="20183" spans="1:7" x14ac:dyDescent="0.2">
      <c r="A20183" t="s">
        <v>18976</v>
      </c>
      <c r="B20183" t="str">
        <f>"18727825977"</f>
        <v>18727825977</v>
      </c>
      <c r="C20183" t="str">
        <f>"422325199606094211"</f>
        <v>422325199606094211</v>
      </c>
      <c r="D20183" t="s">
        <v>1</v>
      </c>
      <c r="E20183" t="s">
        <v>1</v>
      </c>
      <c r="F20183" t="s">
        <v>0</v>
      </c>
      <c r="G20183" t="str">
        <f>"2018-10-10 12:48:10"</f>
        <v>2018-10-10 12:48:10</v>
      </c>
    </row>
    <row r="20184" spans="1:7" x14ac:dyDescent="0.2">
      <c r="A20184" t="s">
        <v>18977</v>
      </c>
      <c r="B20184" t="str">
        <f>"15030499965"</f>
        <v>15030499965</v>
      </c>
      <c r="C20184" t="str">
        <f>"130526198907184618"</f>
        <v>130526198907184618</v>
      </c>
      <c r="D20184" t="s">
        <v>1</v>
      </c>
      <c r="E20184" t="s">
        <v>1</v>
      </c>
      <c r="F20184" t="s">
        <v>0</v>
      </c>
      <c r="G20184" t="str">
        <f>"2018-10-12 10:34:11"</f>
        <v>2018-10-12 10:34:11</v>
      </c>
    </row>
    <row r="20185" spans="1:7" x14ac:dyDescent="0.2">
      <c r="A20185" t="s">
        <v>18978</v>
      </c>
      <c r="B20185" t="str">
        <f>"18502077815"</f>
        <v>18502077815</v>
      </c>
      <c r="C20185" t="str">
        <f>"50038219860421601X"</f>
        <v>50038219860421601X</v>
      </c>
      <c r="D20185" t="s">
        <v>1</v>
      </c>
      <c r="E20185" t="s">
        <v>1</v>
      </c>
      <c r="F20185" t="s">
        <v>0</v>
      </c>
      <c r="G20185" t="str">
        <f>"2018-10-12 13:14:52"</f>
        <v>2018-10-12 13:14:52</v>
      </c>
    </row>
    <row r="20186" spans="1:7" x14ac:dyDescent="0.2">
      <c r="A20186" t="s">
        <v>1</v>
      </c>
      <c r="B20186" t="str">
        <f>"15018077854"</f>
        <v>15018077854</v>
      </c>
      <c r="C20186" t="s">
        <v>1</v>
      </c>
      <c r="D20186" t="s">
        <v>1</v>
      </c>
      <c r="E20186" t="s">
        <v>1</v>
      </c>
      <c r="F20186" t="s">
        <v>0</v>
      </c>
      <c r="G20186" t="str">
        <f>"2018-10-10 12:38:07"</f>
        <v>2018-10-10 12:38:07</v>
      </c>
    </row>
    <row r="20187" spans="1:7" x14ac:dyDescent="0.2">
      <c r="A20187" t="s">
        <v>17006</v>
      </c>
      <c r="B20187" t="str">
        <f>"15595903909"</f>
        <v>15595903909</v>
      </c>
      <c r="C20187" t="str">
        <f>"220181199004034634"</f>
        <v>220181199004034634</v>
      </c>
      <c r="D20187" t="s">
        <v>1</v>
      </c>
      <c r="E20187" t="s">
        <v>1</v>
      </c>
      <c r="F20187" t="s">
        <v>0</v>
      </c>
      <c r="G20187" t="str">
        <f>"2018-11-01 11:23:24"</f>
        <v>2018-11-01 11:23:24</v>
      </c>
    </row>
    <row r="20188" spans="1:7" x14ac:dyDescent="0.2">
      <c r="A20188" t="s">
        <v>18979</v>
      </c>
      <c r="B20188" t="str">
        <f>"13601318996"</f>
        <v>13601318996</v>
      </c>
      <c r="C20188" t="str">
        <f>"110226198211091632"</f>
        <v>110226198211091632</v>
      </c>
      <c r="D20188" t="s">
        <v>18980</v>
      </c>
      <c r="E20188" t="s">
        <v>18981</v>
      </c>
      <c r="F20188" t="s">
        <v>0</v>
      </c>
      <c r="G20188" t="str">
        <f>"2018-10-27 20:27:07"</f>
        <v>2018-10-27 20:27:07</v>
      </c>
    </row>
    <row r="20189" spans="1:7" x14ac:dyDescent="0.2">
      <c r="A20189" t="s">
        <v>18982</v>
      </c>
      <c r="B20189" t="str">
        <f>"18577575868"</f>
        <v>18577575868</v>
      </c>
      <c r="C20189" t="str">
        <f>"45088119870521196X"</f>
        <v>45088119870521196X</v>
      </c>
      <c r="D20189" t="s">
        <v>1</v>
      </c>
      <c r="E20189" t="s">
        <v>1</v>
      </c>
      <c r="F20189" t="s">
        <v>0</v>
      </c>
      <c r="G20189" t="str">
        <f>"2018-10-10 12:39:22"</f>
        <v>2018-10-10 12:39:22</v>
      </c>
    </row>
    <row r="20190" spans="1:7" x14ac:dyDescent="0.2">
      <c r="A20190" t="s">
        <v>18983</v>
      </c>
      <c r="B20190" t="str">
        <f>"15852700723"</f>
        <v>15852700723</v>
      </c>
      <c r="C20190" t="str">
        <f>"350582198902082518"</f>
        <v>350582198902082518</v>
      </c>
      <c r="D20190" t="s">
        <v>18984</v>
      </c>
      <c r="E20190" t="s">
        <v>18985</v>
      </c>
      <c r="F20190" t="s">
        <v>0</v>
      </c>
      <c r="G20190" t="str">
        <f>"2018-11-01 13:22:09"</f>
        <v>2018-11-01 13:22:09</v>
      </c>
    </row>
    <row r="20191" spans="1:7" x14ac:dyDescent="0.2">
      <c r="A20191" t="s">
        <v>18986</v>
      </c>
      <c r="B20191" t="str">
        <f>"18570394540"</f>
        <v>18570394540</v>
      </c>
      <c r="C20191" t="str">
        <f>"452702198010173689"</f>
        <v>452702198010173689</v>
      </c>
      <c r="D20191" t="s">
        <v>1</v>
      </c>
      <c r="E20191" t="s">
        <v>1</v>
      </c>
      <c r="F20191" t="s">
        <v>0</v>
      </c>
      <c r="G20191" t="str">
        <f>"2018-10-27 18:19:57"</f>
        <v>2018-10-27 18:19:57</v>
      </c>
    </row>
    <row r="20192" spans="1:7" x14ac:dyDescent="0.2">
      <c r="A20192" t="s">
        <v>18987</v>
      </c>
      <c r="B20192" t="str">
        <f>"17554162032"</f>
        <v>17554162032</v>
      </c>
      <c r="C20192" t="str">
        <f>"370282199202043819"</f>
        <v>370282199202043819</v>
      </c>
      <c r="D20192" t="s">
        <v>1</v>
      </c>
      <c r="E20192" t="s">
        <v>1</v>
      </c>
      <c r="F20192" t="s">
        <v>0</v>
      </c>
      <c r="G20192" t="str">
        <f>"2018-11-04 17:03:45"</f>
        <v>2018-11-04 17:03:45</v>
      </c>
    </row>
    <row r="20193" spans="1:7" x14ac:dyDescent="0.2">
      <c r="A20193" t="s">
        <v>18988</v>
      </c>
      <c r="B20193" t="str">
        <f>"15119784293"</f>
        <v>15119784293</v>
      </c>
      <c r="C20193" t="str">
        <f>"441802199506270228"</f>
        <v>441802199506270228</v>
      </c>
      <c r="D20193" t="s">
        <v>1</v>
      </c>
      <c r="E20193" t="s">
        <v>1</v>
      </c>
      <c r="F20193" t="s">
        <v>0</v>
      </c>
      <c r="G20193" t="str">
        <f>"2018-10-12 11:53:10"</f>
        <v>2018-10-12 11:53:10</v>
      </c>
    </row>
    <row r="20194" spans="1:7" x14ac:dyDescent="0.2">
      <c r="A20194" t="s">
        <v>18989</v>
      </c>
      <c r="B20194" t="str">
        <f>"18978085908"</f>
        <v>18978085908</v>
      </c>
      <c r="C20194" t="str">
        <f>"510821198710132318"</f>
        <v>510821198710132318</v>
      </c>
      <c r="D20194" t="s">
        <v>1</v>
      </c>
      <c r="E20194" t="s">
        <v>1</v>
      </c>
      <c r="F20194" t="s">
        <v>0</v>
      </c>
      <c r="G20194" t="str">
        <f>"2018-10-10 12:55:40"</f>
        <v>2018-10-10 12:55:40</v>
      </c>
    </row>
    <row r="20195" spans="1:7" x14ac:dyDescent="0.2">
      <c r="A20195" t="s">
        <v>813</v>
      </c>
      <c r="B20195" t="str">
        <f>"13453132325"</f>
        <v>13453132325</v>
      </c>
      <c r="C20195" t="str">
        <f>"14011019920811151X"</f>
        <v>14011019920811151X</v>
      </c>
      <c r="D20195" t="s">
        <v>1</v>
      </c>
      <c r="E20195" t="s">
        <v>1</v>
      </c>
      <c r="F20195" t="s">
        <v>0</v>
      </c>
      <c r="G20195" t="str">
        <f>"2018-10-16 01:58:42"</f>
        <v>2018-10-16 01:58:42</v>
      </c>
    </row>
    <row r="20196" spans="1:7" x14ac:dyDescent="0.2">
      <c r="A20196" t="s">
        <v>18990</v>
      </c>
      <c r="B20196" t="str">
        <f>"15648392268"</f>
        <v>15648392268</v>
      </c>
      <c r="C20196" t="str">
        <f>"230221198504235017"</f>
        <v>230221198504235017</v>
      </c>
      <c r="D20196" t="s">
        <v>1</v>
      </c>
      <c r="E20196" t="s">
        <v>1</v>
      </c>
      <c r="F20196" t="s">
        <v>0</v>
      </c>
      <c r="G20196" t="str">
        <f>"2018-10-10 12:32:36"</f>
        <v>2018-10-10 12:32:36</v>
      </c>
    </row>
    <row r="20197" spans="1:7" x14ac:dyDescent="0.2">
      <c r="A20197" t="s">
        <v>1</v>
      </c>
      <c r="B20197" t="str">
        <f>"18423358777"</f>
        <v>18423358777</v>
      </c>
      <c r="C20197" t="s">
        <v>1</v>
      </c>
      <c r="D20197" t="s">
        <v>1</v>
      </c>
      <c r="E20197" t="s">
        <v>1</v>
      </c>
      <c r="F20197" t="s">
        <v>0</v>
      </c>
      <c r="G20197" t="str">
        <f>"2018-10-10 12:30:34"</f>
        <v>2018-10-10 12:30:34</v>
      </c>
    </row>
    <row r="20198" spans="1:7" x14ac:dyDescent="0.2">
      <c r="A20198" t="s">
        <v>1</v>
      </c>
      <c r="B20198" t="str">
        <f>"18740575037"</f>
        <v>18740575037</v>
      </c>
      <c r="C20198" t="s">
        <v>1</v>
      </c>
      <c r="D20198" t="s">
        <v>1</v>
      </c>
      <c r="E20198" t="s">
        <v>1</v>
      </c>
      <c r="F20198" t="s">
        <v>0</v>
      </c>
      <c r="G20198" t="str">
        <f>"2018-10-24 17:41:17"</f>
        <v>2018-10-24 17:41:17</v>
      </c>
    </row>
    <row r="20199" spans="1:7" x14ac:dyDescent="0.2">
      <c r="A20199" t="s">
        <v>1</v>
      </c>
      <c r="B20199" t="str">
        <f>"18682506999"</f>
        <v>18682506999</v>
      </c>
      <c r="C20199" t="s">
        <v>1</v>
      </c>
      <c r="D20199" t="s">
        <v>1</v>
      </c>
      <c r="E20199" t="s">
        <v>1</v>
      </c>
      <c r="F20199" t="s">
        <v>0</v>
      </c>
      <c r="G20199" t="str">
        <f>"2018-10-10 12:29:24"</f>
        <v>2018-10-10 12:29:24</v>
      </c>
    </row>
    <row r="20200" spans="1:7" x14ac:dyDescent="0.2">
      <c r="A20200" t="s">
        <v>526</v>
      </c>
      <c r="B20200" t="str">
        <f>"15356535659"</f>
        <v>15356535659</v>
      </c>
      <c r="C20200" t="str">
        <f>"421083199012113872"</f>
        <v>421083199012113872</v>
      </c>
      <c r="D20200" t="s">
        <v>1</v>
      </c>
      <c r="E20200" t="s">
        <v>1</v>
      </c>
      <c r="F20200" t="s">
        <v>0</v>
      </c>
      <c r="G20200" t="str">
        <f>"2018-10-10 12:30:44"</f>
        <v>2018-10-10 12:30:44</v>
      </c>
    </row>
    <row r="20201" spans="1:7" x14ac:dyDescent="0.2">
      <c r="A20201" t="s">
        <v>18991</v>
      </c>
      <c r="B20201" t="str">
        <f>"18838130781"</f>
        <v>18838130781</v>
      </c>
      <c r="C20201" t="str">
        <f>"41150319841112077X"</f>
        <v>41150319841112077X</v>
      </c>
      <c r="D20201" t="s">
        <v>1</v>
      </c>
      <c r="E20201" t="s">
        <v>1</v>
      </c>
      <c r="F20201" t="s">
        <v>0</v>
      </c>
      <c r="G20201" t="str">
        <f>"2018-10-10 14:03:26"</f>
        <v>2018-10-10 14:03:26</v>
      </c>
    </row>
    <row r="20202" spans="1:7" x14ac:dyDescent="0.2">
      <c r="A20202" t="s">
        <v>868</v>
      </c>
      <c r="B20202" t="str">
        <f>"15776107080"</f>
        <v>15776107080</v>
      </c>
      <c r="C20202" t="str">
        <f>"230622199810023568"</f>
        <v>230622199810023568</v>
      </c>
      <c r="D20202" t="s">
        <v>1</v>
      </c>
      <c r="E20202" t="s">
        <v>1</v>
      </c>
      <c r="F20202" t="s">
        <v>0</v>
      </c>
      <c r="G20202" t="str">
        <f>"2018-10-10 12:28:33"</f>
        <v>2018-10-10 12:28:33</v>
      </c>
    </row>
    <row r="20203" spans="1:7" x14ac:dyDescent="0.2">
      <c r="A20203" t="s">
        <v>18992</v>
      </c>
      <c r="B20203" t="str">
        <f>"13325040593"</f>
        <v>13325040593</v>
      </c>
      <c r="C20203" t="str">
        <f>"370522199906101415"</f>
        <v>370522199906101415</v>
      </c>
      <c r="D20203" t="s">
        <v>1</v>
      </c>
      <c r="E20203" t="s">
        <v>1</v>
      </c>
      <c r="F20203" t="s">
        <v>0</v>
      </c>
      <c r="G20203" t="str">
        <f>"2018-10-10 12:30:46"</f>
        <v>2018-10-10 12:30:46</v>
      </c>
    </row>
    <row r="20204" spans="1:7" x14ac:dyDescent="0.2">
      <c r="A20204" t="s">
        <v>18993</v>
      </c>
      <c r="B20204" t="str">
        <f>"18871209012"</f>
        <v>18871209012</v>
      </c>
      <c r="C20204" t="str">
        <f>"652723199012270013"</f>
        <v>652723199012270013</v>
      </c>
      <c r="D20204" t="s">
        <v>1</v>
      </c>
      <c r="E20204" t="s">
        <v>1</v>
      </c>
      <c r="F20204" t="s">
        <v>0</v>
      </c>
      <c r="G20204" t="str">
        <f>"2018-10-10 12:27:34"</f>
        <v>2018-10-10 12:27:34</v>
      </c>
    </row>
    <row r="20205" spans="1:7" x14ac:dyDescent="0.2">
      <c r="A20205" t="s">
        <v>1</v>
      </c>
      <c r="B20205" t="str">
        <f>"15546118973"</f>
        <v>15546118973</v>
      </c>
      <c r="C20205" t="s">
        <v>1</v>
      </c>
      <c r="D20205" t="s">
        <v>1</v>
      </c>
      <c r="E20205" t="s">
        <v>1</v>
      </c>
      <c r="F20205" t="s">
        <v>0</v>
      </c>
      <c r="G20205" t="str">
        <f>"2018-10-10 12:25:42"</f>
        <v>2018-10-10 12:25:42</v>
      </c>
    </row>
    <row r="20206" spans="1:7" x14ac:dyDescent="0.2">
      <c r="A20206" t="s">
        <v>18994</v>
      </c>
      <c r="B20206" t="str">
        <f>"15986402608"</f>
        <v>15986402608</v>
      </c>
      <c r="C20206" t="str">
        <f>"450422199110162428"</f>
        <v>450422199110162428</v>
      </c>
      <c r="D20206" t="s">
        <v>1</v>
      </c>
      <c r="E20206" t="s">
        <v>1</v>
      </c>
      <c r="F20206" t="s">
        <v>0</v>
      </c>
      <c r="G20206" t="str">
        <f>"2018-10-10 12:27:58"</f>
        <v>2018-10-10 12:27:58</v>
      </c>
    </row>
    <row r="20207" spans="1:7" x14ac:dyDescent="0.2">
      <c r="A20207" t="s">
        <v>1</v>
      </c>
      <c r="B20207" t="str">
        <f>"15713845792"</f>
        <v>15713845792</v>
      </c>
      <c r="C20207" t="s">
        <v>1</v>
      </c>
      <c r="D20207" t="s">
        <v>1</v>
      </c>
      <c r="E20207" t="s">
        <v>1</v>
      </c>
      <c r="F20207" t="s">
        <v>0</v>
      </c>
      <c r="G20207" t="str">
        <f>"2018-10-10 12:22:20"</f>
        <v>2018-10-10 12:22:20</v>
      </c>
    </row>
    <row r="20208" spans="1:7" x14ac:dyDescent="0.2">
      <c r="A20208" t="s">
        <v>18995</v>
      </c>
      <c r="B20208" t="str">
        <f>"18309291181"</f>
        <v>18309291181</v>
      </c>
      <c r="C20208" t="str">
        <f>"610629199505214216"</f>
        <v>610629199505214216</v>
      </c>
      <c r="D20208" t="s">
        <v>1</v>
      </c>
      <c r="E20208" t="s">
        <v>1</v>
      </c>
      <c r="F20208" t="s">
        <v>0</v>
      </c>
      <c r="G20208" t="str">
        <f>"2018-10-10 12:21:13"</f>
        <v>2018-10-10 12:21:13</v>
      </c>
    </row>
    <row r="20209" spans="1:7" x14ac:dyDescent="0.2">
      <c r="A20209" t="s">
        <v>1</v>
      </c>
      <c r="B20209" t="str">
        <f>"13691082681"</f>
        <v>13691082681</v>
      </c>
      <c r="C20209" t="s">
        <v>1</v>
      </c>
      <c r="D20209" t="s">
        <v>1</v>
      </c>
      <c r="E20209" t="s">
        <v>1</v>
      </c>
      <c r="F20209" t="s">
        <v>0</v>
      </c>
      <c r="G20209" t="str">
        <f>"2018-10-10 12:20:10"</f>
        <v>2018-10-10 12:20:10</v>
      </c>
    </row>
    <row r="20210" spans="1:7" x14ac:dyDescent="0.2">
      <c r="A20210" t="s">
        <v>1</v>
      </c>
      <c r="B20210" t="str">
        <f>"13771269949"</f>
        <v>13771269949</v>
      </c>
      <c r="C20210" t="s">
        <v>1</v>
      </c>
      <c r="D20210" t="s">
        <v>1</v>
      </c>
      <c r="E20210" t="s">
        <v>1</v>
      </c>
      <c r="F20210" t="s">
        <v>0</v>
      </c>
      <c r="G20210" t="str">
        <f>"2018-10-10 12:23:15"</f>
        <v>2018-10-10 12:23:15</v>
      </c>
    </row>
    <row r="20211" spans="1:7" x14ac:dyDescent="0.2">
      <c r="A20211" t="s">
        <v>18996</v>
      </c>
      <c r="B20211" t="str">
        <f>"15016136993"</f>
        <v>15016136993</v>
      </c>
      <c r="C20211" t="str">
        <f>"441225199308065540"</f>
        <v>441225199308065540</v>
      </c>
      <c r="D20211" t="s">
        <v>1</v>
      </c>
      <c r="E20211" t="s">
        <v>1</v>
      </c>
      <c r="F20211" t="s">
        <v>0</v>
      </c>
      <c r="G20211" t="str">
        <f>"2018-10-10 12:35:17"</f>
        <v>2018-10-10 12:35:17</v>
      </c>
    </row>
    <row r="20212" spans="1:7" x14ac:dyDescent="0.2">
      <c r="A20212" t="s">
        <v>1</v>
      </c>
      <c r="B20212" t="str">
        <f>"18204447776"</f>
        <v>18204447776</v>
      </c>
      <c r="C20212" t="s">
        <v>1</v>
      </c>
      <c r="D20212" t="s">
        <v>1</v>
      </c>
      <c r="E20212" t="s">
        <v>1</v>
      </c>
      <c r="F20212" t="s">
        <v>0</v>
      </c>
      <c r="G20212" t="str">
        <f>"2018-10-10 12:18:16"</f>
        <v>2018-10-10 12:18:16</v>
      </c>
    </row>
    <row r="20213" spans="1:7" x14ac:dyDescent="0.2">
      <c r="A20213" t="s">
        <v>1</v>
      </c>
      <c r="B20213" t="str">
        <f>"13787656206"</f>
        <v>13787656206</v>
      </c>
      <c r="C20213" t="s">
        <v>1</v>
      </c>
      <c r="D20213" t="s">
        <v>1</v>
      </c>
      <c r="E20213" t="s">
        <v>1</v>
      </c>
      <c r="F20213" t="s">
        <v>0</v>
      </c>
      <c r="G20213" t="str">
        <f>"2018-10-10 12:17:34"</f>
        <v>2018-10-10 12:17:34</v>
      </c>
    </row>
    <row r="20214" spans="1:7" x14ac:dyDescent="0.2">
      <c r="A20214" t="s">
        <v>18997</v>
      </c>
      <c r="B20214" t="str">
        <f>"13178007378"</f>
        <v>13178007378</v>
      </c>
      <c r="C20214" t="str">
        <f>"350628199912283526"</f>
        <v>350628199912283526</v>
      </c>
      <c r="D20214" t="s">
        <v>1</v>
      </c>
      <c r="E20214" t="s">
        <v>1</v>
      </c>
      <c r="F20214" t="s">
        <v>0</v>
      </c>
      <c r="G20214" t="str">
        <f>"2018-10-10 12:23:34"</f>
        <v>2018-10-10 12:23:34</v>
      </c>
    </row>
    <row r="20215" spans="1:7" x14ac:dyDescent="0.2">
      <c r="A20215" t="s">
        <v>18998</v>
      </c>
      <c r="B20215" t="str">
        <f>"15857516514"</f>
        <v>15857516514</v>
      </c>
      <c r="C20215" t="str">
        <f>"360428197709294715"</f>
        <v>360428197709294715</v>
      </c>
      <c r="D20215" t="s">
        <v>1</v>
      </c>
      <c r="E20215" t="s">
        <v>1</v>
      </c>
      <c r="F20215" t="s">
        <v>0</v>
      </c>
      <c r="G20215" t="str">
        <f>"2018-10-10 12:18:13"</f>
        <v>2018-10-10 12:18:13</v>
      </c>
    </row>
    <row r="20216" spans="1:7" x14ac:dyDescent="0.2">
      <c r="A20216" t="s">
        <v>1516</v>
      </c>
      <c r="B20216" t="str">
        <f>"15110731464"</f>
        <v>15110731464</v>
      </c>
      <c r="C20216" t="str">
        <f>"140202197706055510"</f>
        <v>140202197706055510</v>
      </c>
      <c r="D20216" t="s">
        <v>1</v>
      </c>
      <c r="E20216" t="s">
        <v>1</v>
      </c>
      <c r="F20216" t="s">
        <v>0</v>
      </c>
      <c r="G20216" t="str">
        <f>"2018-10-23 14:55:28"</f>
        <v>2018-10-23 14:55:28</v>
      </c>
    </row>
    <row r="20217" spans="1:7" x14ac:dyDescent="0.2">
      <c r="A20217" t="s">
        <v>18999</v>
      </c>
      <c r="B20217" t="str">
        <f>"13039510004"</f>
        <v>13039510004</v>
      </c>
      <c r="C20217" t="str">
        <f>"15010419941214003X"</f>
        <v>15010419941214003X</v>
      </c>
      <c r="D20217" t="s">
        <v>19000</v>
      </c>
      <c r="E20217" t="s">
        <v>19001</v>
      </c>
      <c r="F20217" t="s">
        <v>0</v>
      </c>
      <c r="G20217" t="str">
        <f>"2018-10-18 15:37:14"</f>
        <v>2018-10-18 15:37:14</v>
      </c>
    </row>
    <row r="20218" spans="1:7" x14ac:dyDescent="0.2">
      <c r="A20218" t="s">
        <v>19002</v>
      </c>
      <c r="B20218" t="str">
        <f>"18559223629"</f>
        <v>18559223629</v>
      </c>
      <c r="C20218" t="str">
        <f>"350783198412096519"</f>
        <v>350783198412096519</v>
      </c>
      <c r="D20218" t="s">
        <v>1</v>
      </c>
      <c r="E20218" t="s">
        <v>1</v>
      </c>
      <c r="F20218" t="s">
        <v>0</v>
      </c>
      <c r="G20218" t="str">
        <f>"2018-10-10 12:16:58"</f>
        <v>2018-10-10 12:16:58</v>
      </c>
    </row>
    <row r="20219" spans="1:7" x14ac:dyDescent="0.2">
      <c r="A20219" t="s">
        <v>1</v>
      </c>
      <c r="B20219" t="str">
        <f>"13525475423"</f>
        <v>13525475423</v>
      </c>
      <c r="C20219" t="s">
        <v>1</v>
      </c>
      <c r="D20219" t="s">
        <v>1</v>
      </c>
      <c r="E20219" t="s">
        <v>1</v>
      </c>
      <c r="F20219" t="s">
        <v>0</v>
      </c>
      <c r="G20219" t="str">
        <f>"2018-10-10 12:16:16"</f>
        <v>2018-10-10 12:16:16</v>
      </c>
    </row>
    <row r="20220" spans="1:7" x14ac:dyDescent="0.2">
      <c r="A20220" t="s">
        <v>19003</v>
      </c>
      <c r="B20220" t="str">
        <f>"15871977788"</f>
        <v>15871977788</v>
      </c>
      <c r="C20220" t="str">
        <f>"420602198006151011"</f>
        <v>420602198006151011</v>
      </c>
      <c r="D20220" t="s">
        <v>19004</v>
      </c>
      <c r="E20220" t="s">
        <v>19005</v>
      </c>
      <c r="F20220" t="s">
        <v>0</v>
      </c>
      <c r="G20220" t="str">
        <f>"2018-10-10 12:14:08"</f>
        <v>2018-10-10 12:14:08</v>
      </c>
    </row>
    <row r="20221" spans="1:7" x14ac:dyDescent="0.2">
      <c r="A20221" t="s">
        <v>1</v>
      </c>
      <c r="B20221" t="str">
        <f>"18003525461"</f>
        <v>18003525461</v>
      </c>
      <c r="C20221" t="s">
        <v>1</v>
      </c>
      <c r="D20221" t="s">
        <v>1</v>
      </c>
      <c r="E20221" t="s">
        <v>1</v>
      </c>
      <c r="F20221" t="s">
        <v>0</v>
      </c>
      <c r="G20221" t="str">
        <f>"2018-10-10 12:13:44"</f>
        <v>2018-10-10 12:13:44</v>
      </c>
    </row>
    <row r="20222" spans="1:7" x14ac:dyDescent="0.2">
      <c r="A20222" t="s">
        <v>19006</v>
      </c>
      <c r="B20222" t="str">
        <f>"13757335820"</f>
        <v>13757335820</v>
      </c>
      <c r="C20222" t="str">
        <f>"330482198808050334"</f>
        <v>330482198808050334</v>
      </c>
      <c r="D20222" t="s">
        <v>1</v>
      </c>
      <c r="E20222" t="s">
        <v>1</v>
      </c>
      <c r="F20222" t="s">
        <v>0</v>
      </c>
      <c r="G20222" t="str">
        <f>"2018-10-10 12:31:36"</f>
        <v>2018-10-10 12:31:36</v>
      </c>
    </row>
    <row r="20223" spans="1:7" x14ac:dyDescent="0.2">
      <c r="A20223" t="s">
        <v>1</v>
      </c>
      <c r="B20223" t="str">
        <f>"18785974503"</f>
        <v>18785974503</v>
      </c>
      <c r="C20223" t="s">
        <v>1</v>
      </c>
      <c r="D20223" t="s">
        <v>1</v>
      </c>
      <c r="E20223" t="s">
        <v>1</v>
      </c>
      <c r="F20223" t="s">
        <v>0</v>
      </c>
      <c r="G20223" t="str">
        <f>"2018-10-10 12:11:37"</f>
        <v>2018-10-10 12:11:37</v>
      </c>
    </row>
    <row r="20224" spans="1:7" x14ac:dyDescent="0.2">
      <c r="A20224" t="s">
        <v>19007</v>
      </c>
      <c r="B20224" t="str">
        <f>"18257879994"</f>
        <v>18257879994</v>
      </c>
      <c r="C20224" t="str">
        <f>"610330198710150017"</f>
        <v>610330198710150017</v>
      </c>
      <c r="D20224" t="s">
        <v>1</v>
      </c>
      <c r="E20224" t="s">
        <v>1</v>
      </c>
      <c r="F20224" t="s">
        <v>0</v>
      </c>
      <c r="G20224" t="str">
        <f>"2018-10-24 12:54:00"</f>
        <v>2018-10-24 12:54:00</v>
      </c>
    </row>
    <row r="20225" spans="1:7" x14ac:dyDescent="0.2">
      <c r="A20225" t="s">
        <v>19008</v>
      </c>
      <c r="B20225" t="str">
        <f>"13616382524"</f>
        <v>13616382524</v>
      </c>
      <c r="C20225" t="str">
        <f>"371522198902046558"</f>
        <v>371522198902046558</v>
      </c>
      <c r="D20225" t="s">
        <v>1</v>
      </c>
      <c r="E20225" t="s">
        <v>1</v>
      </c>
      <c r="F20225" t="s">
        <v>0</v>
      </c>
      <c r="G20225" t="str">
        <f>"2018-10-10 12:13:47"</f>
        <v>2018-10-10 12:13:47</v>
      </c>
    </row>
    <row r="20226" spans="1:7" x14ac:dyDescent="0.2">
      <c r="A20226" t="s">
        <v>1</v>
      </c>
      <c r="B20226" t="str">
        <f>"18770063853"</f>
        <v>18770063853</v>
      </c>
      <c r="C20226" t="s">
        <v>1</v>
      </c>
      <c r="D20226" t="s">
        <v>1</v>
      </c>
      <c r="E20226" t="s">
        <v>1</v>
      </c>
      <c r="F20226" t="s">
        <v>0</v>
      </c>
      <c r="G20226" t="str">
        <f>"2018-10-10 12:11:04"</f>
        <v>2018-10-10 12:11:04</v>
      </c>
    </row>
    <row r="20227" spans="1:7" x14ac:dyDescent="0.2">
      <c r="A20227" t="s">
        <v>19009</v>
      </c>
      <c r="B20227" t="str">
        <f>"15040181975"</f>
        <v>15040181975</v>
      </c>
      <c r="C20227" t="str">
        <f>"210181198102113743"</f>
        <v>210181198102113743</v>
      </c>
      <c r="D20227" t="s">
        <v>1</v>
      </c>
      <c r="E20227" t="s">
        <v>1</v>
      </c>
      <c r="F20227" t="s">
        <v>0</v>
      </c>
      <c r="G20227" t="str">
        <f>"2018-10-10 12:12:23"</f>
        <v>2018-10-10 12:12:23</v>
      </c>
    </row>
    <row r="20228" spans="1:7" x14ac:dyDescent="0.2">
      <c r="A20228" t="s">
        <v>1</v>
      </c>
      <c r="B20228" t="str">
        <f>"17792884252"</f>
        <v>17792884252</v>
      </c>
      <c r="C20228" t="s">
        <v>1</v>
      </c>
      <c r="D20228" t="s">
        <v>1</v>
      </c>
      <c r="E20228" t="s">
        <v>1</v>
      </c>
      <c r="F20228" t="s">
        <v>0</v>
      </c>
      <c r="G20228" t="str">
        <f>"2018-10-10 12:10:41"</f>
        <v>2018-10-10 12:10:41</v>
      </c>
    </row>
    <row r="20229" spans="1:7" x14ac:dyDescent="0.2">
      <c r="A20229" t="s">
        <v>19010</v>
      </c>
      <c r="B20229" t="str">
        <f>"13760467124"</f>
        <v>13760467124</v>
      </c>
      <c r="C20229" t="str">
        <f>"350521199505162022"</f>
        <v>350521199505162022</v>
      </c>
      <c r="D20229" t="s">
        <v>1</v>
      </c>
      <c r="E20229" t="s">
        <v>1</v>
      </c>
      <c r="F20229" t="s">
        <v>0</v>
      </c>
      <c r="G20229" t="str">
        <f>"2018-10-10 12:12:07"</f>
        <v>2018-10-10 12:12:07</v>
      </c>
    </row>
    <row r="20230" spans="1:7" x14ac:dyDescent="0.2">
      <c r="A20230" t="s">
        <v>19011</v>
      </c>
      <c r="B20230" t="str">
        <f>"15051468211"</f>
        <v>15051468211</v>
      </c>
      <c r="C20230" t="str">
        <f>"320324199406060613"</f>
        <v>320324199406060613</v>
      </c>
      <c r="D20230" t="s">
        <v>1</v>
      </c>
      <c r="E20230" t="s">
        <v>1</v>
      </c>
      <c r="F20230" t="s">
        <v>0</v>
      </c>
      <c r="G20230" t="str">
        <f>"2018-10-10 12:11:03"</f>
        <v>2018-10-10 12:11:03</v>
      </c>
    </row>
    <row r="20231" spans="1:7" x14ac:dyDescent="0.2">
      <c r="A20231" t="s">
        <v>19012</v>
      </c>
      <c r="B20231" t="str">
        <f>"15581001280"</f>
        <v>15581001280</v>
      </c>
      <c r="C20231" t="str">
        <f>"430703199310232762"</f>
        <v>430703199310232762</v>
      </c>
      <c r="D20231" t="s">
        <v>19013</v>
      </c>
      <c r="E20231" t="s">
        <v>19014</v>
      </c>
      <c r="F20231" t="s">
        <v>0</v>
      </c>
      <c r="G20231" t="str">
        <f>"2018-10-10 12:09:20"</f>
        <v>2018-10-10 12:09:20</v>
      </c>
    </row>
    <row r="20232" spans="1:7" x14ac:dyDescent="0.2">
      <c r="A20232" t="s">
        <v>1</v>
      </c>
      <c r="B20232" t="str">
        <f>"13720968801"</f>
        <v>13720968801</v>
      </c>
      <c r="C20232" t="s">
        <v>1</v>
      </c>
      <c r="D20232" t="s">
        <v>1</v>
      </c>
      <c r="E20232" t="s">
        <v>1</v>
      </c>
      <c r="F20232" t="s">
        <v>0</v>
      </c>
      <c r="G20232" t="str">
        <f>"2018-10-10 12:16:38"</f>
        <v>2018-10-10 12:16:38</v>
      </c>
    </row>
    <row r="20233" spans="1:7" x14ac:dyDescent="0.2">
      <c r="A20233" t="s">
        <v>19015</v>
      </c>
      <c r="B20233" t="str">
        <f>"13950630560"</f>
        <v>13950630560</v>
      </c>
      <c r="C20233" t="str">
        <f>"352129197912104024"</f>
        <v>352129197912104024</v>
      </c>
      <c r="D20233" t="s">
        <v>1</v>
      </c>
      <c r="E20233" t="s">
        <v>1</v>
      </c>
      <c r="F20233" t="s">
        <v>0</v>
      </c>
      <c r="G20233" t="str">
        <f>"2018-10-10 12:13:16"</f>
        <v>2018-10-10 12:13:16</v>
      </c>
    </row>
    <row r="20234" spans="1:7" x14ac:dyDescent="0.2">
      <c r="A20234" t="s">
        <v>19016</v>
      </c>
      <c r="B20234" t="str">
        <f>"13616010616"</f>
        <v>13616010616</v>
      </c>
      <c r="C20234" t="str">
        <f>"350628198112071010"</f>
        <v>350628198112071010</v>
      </c>
      <c r="D20234" t="s">
        <v>1</v>
      </c>
      <c r="E20234" t="s">
        <v>1</v>
      </c>
      <c r="F20234" t="s">
        <v>0</v>
      </c>
      <c r="G20234" t="str">
        <f>"2018-10-13 00:02:56"</f>
        <v>2018-10-13 00:02:56</v>
      </c>
    </row>
    <row r="20235" spans="1:7" x14ac:dyDescent="0.2">
      <c r="A20235" t="s">
        <v>1</v>
      </c>
      <c r="B20235" t="str">
        <f>"18248624242"</f>
        <v>18248624242</v>
      </c>
      <c r="C20235" t="s">
        <v>1</v>
      </c>
      <c r="D20235" t="s">
        <v>1</v>
      </c>
      <c r="E20235" t="s">
        <v>1</v>
      </c>
      <c r="F20235" t="s">
        <v>0</v>
      </c>
      <c r="G20235" t="str">
        <f>"2018-10-10 12:08:01"</f>
        <v>2018-10-10 12:08:01</v>
      </c>
    </row>
    <row r="20236" spans="1:7" x14ac:dyDescent="0.2">
      <c r="A20236" t="s">
        <v>19017</v>
      </c>
      <c r="B20236" t="str">
        <f>"13867841231"</f>
        <v>13867841231</v>
      </c>
      <c r="C20236" t="str">
        <f>"330226198304210021"</f>
        <v>330226198304210021</v>
      </c>
      <c r="D20236" t="s">
        <v>1</v>
      </c>
      <c r="E20236" t="s">
        <v>1</v>
      </c>
      <c r="F20236" t="s">
        <v>0</v>
      </c>
      <c r="G20236" t="str">
        <f>"2018-10-10 12:06:00"</f>
        <v>2018-10-10 12:06:00</v>
      </c>
    </row>
    <row r="20237" spans="1:7" x14ac:dyDescent="0.2">
      <c r="A20237" t="s">
        <v>1</v>
      </c>
      <c r="B20237" t="str">
        <f>"15395539526"</f>
        <v>15395539526</v>
      </c>
      <c r="C20237" t="s">
        <v>1</v>
      </c>
      <c r="D20237" t="s">
        <v>1</v>
      </c>
      <c r="E20237" t="s">
        <v>1</v>
      </c>
      <c r="F20237" t="s">
        <v>0</v>
      </c>
      <c r="G20237" t="str">
        <f>"2018-10-10 12:04:00"</f>
        <v>2018-10-10 12:04:00</v>
      </c>
    </row>
    <row r="20238" spans="1:7" x14ac:dyDescent="0.2">
      <c r="A20238" t="s">
        <v>89</v>
      </c>
      <c r="B20238" t="str">
        <f>"15576667660"</f>
        <v>15576667660</v>
      </c>
      <c r="C20238" t="str">
        <f>"430321199403098313"</f>
        <v>430321199403098313</v>
      </c>
      <c r="D20238" t="s">
        <v>1</v>
      </c>
      <c r="E20238" t="s">
        <v>1</v>
      </c>
      <c r="F20238" t="s">
        <v>0</v>
      </c>
      <c r="G20238" t="str">
        <f>"2018-10-11 11:56:50"</f>
        <v>2018-10-11 11:56:50</v>
      </c>
    </row>
    <row r="20239" spans="1:7" x14ac:dyDescent="0.2">
      <c r="A20239" t="s">
        <v>1</v>
      </c>
      <c r="B20239" t="str">
        <f>"15807777207"</f>
        <v>15807777207</v>
      </c>
      <c r="C20239" t="s">
        <v>1</v>
      </c>
      <c r="D20239" t="s">
        <v>1</v>
      </c>
      <c r="E20239" t="s">
        <v>1</v>
      </c>
      <c r="F20239" t="s">
        <v>0</v>
      </c>
      <c r="G20239" t="str">
        <f>"2018-10-10 12:03:11"</f>
        <v>2018-10-10 12:03:11</v>
      </c>
    </row>
    <row r="20240" spans="1:7" x14ac:dyDescent="0.2">
      <c r="A20240" t="s">
        <v>19018</v>
      </c>
      <c r="B20240" t="str">
        <f>"15129479166"</f>
        <v>15129479166</v>
      </c>
      <c r="C20240" t="str">
        <f>"612425198409264564"</f>
        <v>612425198409264564</v>
      </c>
      <c r="D20240" t="s">
        <v>1</v>
      </c>
      <c r="E20240" t="s">
        <v>1</v>
      </c>
      <c r="F20240" t="s">
        <v>0</v>
      </c>
      <c r="G20240" t="str">
        <f>"2018-10-28 11:37:58"</f>
        <v>2018-10-28 11:37:58</v>
      </c>
    </row>
    <row r="20241" spans="1:7" x14ac:dyDescent="0.2">
      <c r="A20241" t="s">
        <v>19019</v>
      </c>
      <c r="B20241" t="str">
        <f>"17344023552"</f>
        <v>17344023552</v>
      </c>
      <c r="C20241" t="str">
        <f>"342222199605012021"</f>
        <v>342222199605012021</v>
      </c>
      <c r="D20241" t="s">
        <v>1</v>
      </c>
      <c r="E20241" t="s">
        <v>1</v>
      </c>
      <c r="F20241" t="s">
        <v>0</v>
      </c>
      <c r="G20241" t="str">
        <f>"2018-10-10 12:03:47"</f>
        <v>2018-10-10 12:03:47</v>
      </c>
    </row>
    <row r="20242" spans="1:7" x14ac:dyDescent="0.2">
      <c r="A20242" t="s">
        <v>19020</v>
      </c>
      <c r="B20242" t="str">
        <f>"13721182123"</f>
        <v>13721182123</v>
      </c>
      <c r="C20242" t="str">
        <f>"340321198402154698"</f>
        <v>340321198402154698</v>
      </c>
      <c r="D20242" t="s">
        <v>1</v>
      </c>
      <c r="E20242" t="s">
        <v>1</v>
      </c>
      <c r="F20242" t="s">
        <v>0</v>
      </c>
      <c r="G20242" t="str">
        <f>"2018-10-10 15:48:42"</f>
        <v>2018-10-10 15:48:42</v>
      </c>
    </row>
    <row r="20243" spans="1:7" x14ac:dyDescent="0.2">
      <c r="A20243" t="s">
        <v>1</v>
      </c>
      <c r="B20243" t="str">
        <f>"15871755822"</f>
        <v>15871755822</v>
      </c>
      <c r="C20243" t="s">
        <v>1</v>
      </c>
      <c r="D20243" t="s">
        <v>1</v>
      </c>
      <c r="E20243" t="s">
        <v>1</v>
      </c>
      <c r="F20243" t="s">
        <v>0</v>
      </c>
      <c r="G20243" t="str">
        <f>"2018-10-10 11:59:23"</f>
        <v>2018-10-10 11:59:23</v>
      </c>
    </row>
    <row r="20244" spans="1:7" x14ac:dyDescent="0.2">
      <c r="A20244" t="s">
        <v>1347</v>
      </c>
      <c r="B20244" t="str">
        <f>"18228232503"</f>
        <v>18228232503</v>
      </c>
      <c r="C20244" t="str">
        <f>"511023199707015916"</f>
        <v>511023199707015916</v>
      </c>
      <c r="D20244" t="s">
        <v>19021</v>
      </c>
      <c r="E20244" t="s">
        <v>19022</v>
      </c>
      <c r="F20244" t="s">
        <v>0</v>
      </c>
      <c r="G20244" t="str">
        <f>"2018-10-10 11:58:53"</f>
        <v>2018-10-10 11:58:53</v>
      </c>
    </row>
    <row r="20245" spans="1:7" x14ac:dyDescent="0.2">
      <c r="A20245" t="s">
        <v>1</v>
      </c>
      <c r="B20245" t="str">
        <f>"15705080623"</f>
        <v>15705080623</v>
      </c>
      <c r="C20245" t="s">
        <v>1</v>
      </c>
      <c r="D20245" t="s">
        <v>1</v>
      </c>
      <c r="E20245" t="s">
        <v>1</v>
      </c>
      <c r="F20245" t="s">
        <v>0</v>
      </c>
      <c r="G20245" t="str">
        <f>"2018-10-10 11:58:58"</f>
        <v>2018-10-10 11:58:58</v>
      </c>
    </row>
    <row r="20246" spans="1:7" x14ac:dyDescent="0.2">
      <c r="A20246" t="s">
        <v>19023</v>
      </c>
      <c r="B20246" t="str">
        <f>"15913737458"</f>
        <v>15913737458</v>
      </c>
      <c r="C20246" t="str">
        <f>"432302197408063519"</f>
        <v>432302197408063519</v>
      </c>
      <c r="D20246" t="s">
        <v>19024</v>
      </c>
      <c r="E20246" t="s">
        <v>19025</v>
      </c>
      <c r="F20246" t="s">
        <v>0</v>
      </c>
      <c r="G20246" t="str">
        <f>"2018-10-10 12:00:57"</f>
        <v>2018-10-10 12:00:57</v>
      </c>
    </row>
    <row r="20247" spans="1:7" x14ac:dyDescent="0.2">
      <c r="A20247" t="s">
        <v>342</v>
      </c>
      <c r="B20247" t="str">
        <f>"13795475537"</f>
        <v>13795475537</v>
      </c>
      <c r="C20247" t="str">
        <f>"310110198406202014"</f>
        <v>310110198406202014</v>
      </c>
      <c r="D20247" t="s">
        <v>1</v>
      </c>
      <c r="E20247" t="s">
        <v>1</v>
      </c>
      <c r="F20247" t="s">
        <v>0</v>
      </c>
      <c r="G20247" t="str">
        <f>"2018-10-10 11:54:15"</f>
        <v>2018-10-10 11:54:15</v>
      </c>
    </row>
    <row r="20248" spans="1:7" x14ac:dyDescent="0.2">
      <c r="A20248" t="s">
        <v>1</v>
      </c>
      <c r="B20248" t="str">
        <f>"15847416778"</f>
        <v>15847416778</v>
      </c>
      <c r="C20248" t="s">
        <v>1</v>
      </c>
      <c r="D20248" t="s">
        <v>1</v>
      </c>
      <c r="E20248" t="s">
        <v>1</v>
      </c>
      <c r="F20248" t="s">
        <v>0</v>
      </c>
      <c r="G20248" t="str">
        <f>"2018-10-10 11:50:18"</f>
        <v>2018-10-10 11:50:18</v>
      </c>
    </row>
    <row r="20249" spans="1:7" x14ac:dyDescent="0.2">
      <c r="A20249" t="s">
        <v>19026</v>
      </c>
      <c r="B20249" t="str">
        <f>"15524979222"</f>
        <v>15524979222</v>
      </c>
      <c r="C20249" t="str">
        <f>"211382199604220613"</f>
        <v>211382199604220613</v>
      </c>
      <c r="D20249" t="s">
        <v>19027</v>
      </c>
      <c r="E20249" t="s">
        <v>19028</v>
      </c>
      <c r="F20249" t="s">
        <v>0</v>
      </c>
      <c r="G20249" t="str">
        <f>"2018-10-15 08:38:15"</f>
        <v>2018-10-15 08:38:15</v>
      </c>
    </row>
    <row r="20250" spans="1:7" x14ac:dyDescent="0.2">
      <c r="A20250" t="s">
        <v>19029</v>
      </c>
      <c r="B20250" t="str">
        <f>"13369310677"</f>
        <v>13369310677</v>
      </c>
      <c r="C20250" t="str">
        <f>"620123199304164132"</f>
        <v>620123199304164132</v>
      </c>
      <c r="D20250" t="s">
        <v>1</v>
      </c>
      <c r="E20250" t="s">
        <v>1</v>
      </c>
      <c r="F20250" t="s">
        <v>0</v>
      </c>
      <c r="G20250" t="str">
        <f>"2018-10-10 11:50:14"</f>
        <v>2018-10-10 11:50:14</v>
      </c>
    </row>
    <row r="20251" spans="1:7" x14ac:dyDescent="0.2">
      <c r="A20251" t="s">
        <v>19030</v>
      </c>
      <c r="B20251" t="str">
        <f>"15971653003"</f>
        <v>15971653003</v>
      </c>
      <c r="C20251" t="str">
        <f>"420526199102270010"</f>
        <v>420526199102270010</v>
      </c>
      <c r="D20251" t="s">
        <v>1</v>
      </c>
      <c r="E20251" t="s">
        <v>1</v>
      </c>
      <c r="F20251" t="s">
        <v>0</v>
      </c>
      <c r="G20251" t="str">
        <f>"2018-10-10 11:49:35"</f>
        <v>2018-10-10 11:49:35</v>
      </c>
    </row>
    <row r="20252" spans="1:7" x14ac:dyDescent="0.2">
      <c r="A20252" t="s">
        <v>1382</v>
      </c>
      <c r="B20252" t="str">
        <f>"15907743944"</f>
        <v>15907743944</v>
      </c>
      <c r="C20252" t="str">
        <f>"452421197903220049"</f>
        <v>452421197903220049</v>
      </c>
      <c r="D20252" t="s">
        <v>1</v>
      </c>
      <c r="E20252" t="s">
        <v>1</v>
      </c>
      <c r="F20252" t="s">
        <v>0</v>
      </c>
      <c r="G20252" t="str">
        <f>"2018-10-10 11:52:28"</f>
        <v>2018-10-10 11:52:28</v>
      </c>
    </row>
    <row r="20253" spans="1:7" x14ac:dyDescent="0.2">
      <c r="A20253" t="s">
        <v>1</v>
      </c>
      <c r="B20253" t="str">
        <f>"13095689723"</f>
        <v>13095689723</v>
      </c>
      <c r="C20253" t="s">
        <v>1</v>
      </c>
      <c r="D20253" t="s">
        <v>1</v>
      </c>
      <c r="E20253" t="s">
        <v>1</v>
      </c>
      <c r="F20253" t="s">
        <v>0</v>
      </c>
      <c r="G20253" t="str">
        <f>"2018-10-10 11:49:46"</f>
        <v>2018-10-10 11:49:46</v>
      </c>
    </row>
    <row r="20254" spans="1:7" x14ac:dyDescent="0.2">
      <c r="A20254" t="s">
        <v>19031</v>
      </c>
      <c r="B20254" t="str">
        <f>"18826026691"</f>
        <v>18826026691</v>
      </c>
      <c r="C20254" t="str">
        <f>"362523199608264810"</f>
        <v>362523199608264810</v>
      </c>
      <c r="D20254" t="s">
        <v>19032</v>
      </c>
      <c r="E20254" t="s">
        <v>19033</v>
      </c>
      <c r="F20254" t="s">
        <v>0</v>
      </c>
      <c r="G20254" t="str">
        <f>"2018-10-10 11:45:40"</f>
        <v>2018-10-10 11:45:40</v>
      </c>
    </row>
    <row r="20255" spans="1:7" x14ac:dyDescent="0.2">
      <c r="A20255" t="s">
        <v>1</v>
      </c>
      <c r="B20255" t="str">
        <f>"17605508067"</f>
        <v>17605508067</v>
      </c>
      <c r="C20255" t="s">
        <v>1</v>
      </c>
      <c r="D20255" t="s">
        <v>1</v>
      </c>
      <c r="E20255" t="s">
        <v>1</v>
      </c>
      <c r="F20255" t="s">
        <v>0</v>
      </c>
      <c r="G20255" t="str">
        <f>"2018-10-10 11:43:44"</f>
        <v>2018-10-10 11:43:44</v>
      </c>
    </row>
    <row r="20256" spans="1:7" x14ac:dyDescent="0.2">
      <c r="A20256" t="s">
        <v>1</v>
      </c>
      <c r="B20256" t="str">
        <f>"15186509874"</f>
        <v>15186509874</v>
      </c>
      <c r="C20256" t="s">
        <v>1</v>
      </c>
      <c r="D20256" t="s">
        <v>1</v>
      </c>
      <c r="E20256" t="s">
        <v>1</v>
      </c>
      <c r="F20256" t="s">
        <v>0</v>
      </c>
      <c r="G20256" t="str">
        <f>"2018-10-10 11:43:40"</f>
        <v>2018-10-10 11:43:40</v>
      </c>
    </row>
    <row r="20257" spans="1:7" x14ac:dyDescent="0.2">
      <c r="A20257" t="s">
        <v>946</v>
      </c>
      <c r="B20257" t="str">
        <f>"13648075734"</f>
        <v>13648075734</v>
      </c>
      <c r="C20257" t="str">
        <f>"513433199004070616"</f>
        <v>513433199004070616</v>
      </c>
      <c r="D20257" t="s">
        <v>1</v>
      </c>
      <c r="E20257" t="s">
        <v>1</v>
      </c>
      <c r="F20257" t="s">
        <v>0</v>
      </c>
      <c r="G20257" t="str">
        <f>"2018-10-10 12:15:40"</f>
        <v>2018-10-10 12:15:40</v>
      </c>
    </row>
    <row r="20258" spans="1:7" x14ac:dyDescent="0.2">
      <c r="A20258" t="s">
        <v>19034</v>
      </c>
      <c r="B20258" t="str">
        <f>"13557367407"</f>
        <v>13557367407</v>
      </c>
      <c r="C20258" t="str">
        <f>"450321198904033058"</f>
        <v>450321198904033058</v>
      </c>
      <c r="D20258" t="s">
        <v>1</v>
      </c>
      <c r="E20258" t="s">
        <v>1</v>
      </c>
      <c r="F20258" t="s">
        <v>0</v>
      </c>
      <c r="G20258" t="str">
        <f>"2018-10-10 11:49:45"</f>
        <v>2018-10-10 11:49:45</v>
      </c>
    </row>
    <row r="20259" spans="1:7" x14ac:dyDescent="0.2">
      <c r="A20259" t="s">
        <v>19035</v>
      </c>
      <c r="B20259" t="str">
        <f>"13932225335"</f>
        <v>13932225335</v>
      </c>
      <c r="C20259" t="str">
        <f>"130603199504251236"</f>
        <v>130603199504251236</v>
      </c>
      <c r="D20259" t="s">
        <v>1</v>
      </c>
      <c r="E20259" t="s">
        <v>1</v>
      </c>
      <c r="F20259" t="s">
        <v>0</v>
      </c>
      <c r="G20259" t="str">
        <f>"2018-10-10 12:56:21"</f>
        <v>2018-10-10 12:56:21</v>
      </c>
    </row>
    <row r="20260" spans="1:7" x14ac:dyDescent="0.2">
      <c r="A20260" t="s">
        <v>1</v>
      </c>
      <c r="B20260" t="str">
        <f>"15101863166"</f>
        <v>15101863166</v>
      </c>
      <c r="C20260" t="s">
        <v>1</v>
      </c>
      <c r="D20260" t="s">
        <v>1</v>
      </c>
      <c r="E20260" t="s">
        <v>1</v>
      </c>
      <c r="F20260" t="s">
        <v>0</v>
      </c>
      <c r="G20260" t="str">
        <f>"2018-10-10 11:41:49"</f>
        <v>2018-10-10 11:41:49</v>
      </c>
    </row>
    <row r="20261" spans="1:7" x14ac:dyDescent="0.2">
      <c r="A20261" t="s">
        <v>278</v>
      </c>
      <c r="B20261" t="str">
        <f>"15856207676"</f>
        <v>15856207676</v>
      </c>
      <c r="C20261" t="str">
        <f>"342222199011180028"</f>
        <v>342222199011180028</v>
      </c>
      <c r="D20261" t="s">
        <v>1</v>
      </c>
      <c r="E20261" t="s">
        <v>1</v>
      </c>
      <c r="F20261" t="s">
        <v>0</v>
      </c>
      <c r="G20261" t="str">
        <f>"2018-10-10 11:45:43"</f>
        <v>2018-10-10 11:45:43</v>
      </c>
    </row>
    <row r="20262" spans="1:7" x14ac:dyDescent="0.2">
      <c r="A20262" t="s">
        <v>1</v>
      </c>
      <c r="B20262" t="str">
        <f>"13824323211"</f>
        <v>13824323211</v>
      </c>
      <c r="C20262" t="s">
        <v>1</v>
      </c>
      <c r="D20262" t="s">
        <v>1</v>
      </c>
      <c r="E20262" t="s">
        <v>1</v>
      </c>
      <c r="F20262" t="s">
        <v>0</v>
      </c>
      <c r="G20262" t="str">
        <f>"2018-10-10 11:41:33"</f>
        <v>2018-10-10 11:41:33</v>
      </c>
    </row>
    <row r="20263" spans="1:7" x14ac:dyDescent="0.2">
      <c r="A20263" t="s">
        <v>19036</v>
      </c>
      <c r="B20263" t="str">
        <f>"18628052761"</f>
        <v>18628052761</v>
      </c>
      <c r="C20263" t="str">
        <f>"511025198605115279"</f>
        <v>511025198605115279</v>
      </c>
      <c r="D20263" t="s">
        <v>1</v>
      </c>
      <c r="E20263" t="s">
        <v>1</v>
      </c>
      <c r="F20263" t="s">
        <v>0</v>
      </c>
      <c r="G20263" t="str">
        <f>"2018-10-10 11:43:46"</f>
        <v>2018-10-10 11:43:46</v>
      </c>
    </row>
    <row r="20264" spans="1:7" x14ac:dyDescent="0.2">
      <c r="A20264" t="s">
        <v>19037</v>
      </c>
      <c r="B20264" t="str">
        <f>"15950563245"</f>
        <v>15950563245</v>
      </c>
      <c r="C20264" t="str">
        <f>"320113199411063616"</f>
        <v>320113199411063616</v>
      </c>
      <c r="D20264" t="s">
        <v>19038</v>
      </c>
      <c r="E20264" t="s">
        <v>19039</v>
      </c>
      <c r="F20264" t="s">
        <v>0</v>
      </c>
      <c r="G20264" t="str">
        <f>"2018-10-10 11:41:28"</f>
        <v>2018-10-10 11:41:28</v>
      </c>
    </row>
    <row r="20265" spans="1:7" x14ac:dyDescent="0.2">
      <c r="A20265" t="s">
        <v>19040</v>
      </c>
      <c r="B20265" t="str">
        <f>"13507703705"</f>
        <v>13507703705</v>
      </c>
      <c r="C20265" t="str">
        <f>"350627198501123519"</f>
        <v>350627198501123519</v>
      </c>
      <c r="D20265" t="s">
        <v>1</v>
      </c>
      <c r="E20265" t="s">
        <v>1</v>
      </c>
      <c r="F20265" t="s">
        <v>0</v>
      </c>
      <c r="G20265" t="str">
        <f>"2018-10-10 11:37:59"</f>
        <v>2018-10-10 11:37:59</v>
      </c>
    </row>
    <row r="20266" spans="1:7" x14ac:dyDescent="0.2">
      <c r="A20266" t="s">
        <v>97</v>
      </c>
      <c r="B20266" t="str">
        <f>"15776387382"</f>
        <v>15776387382</v>
      </c>
      <c r="C20266" t="str">
        <f>"230182198406192233"</f>
        <v>230182198406192233</v>
      </c>
      <c r="D20266" t="s">
        <v>1</v>
      </c>
      <c r="E20266" t="s">
        <v>1</v>
      </c>
      <c r="F20266" t="s">
        <v>0</v>
      </c>
      <c r="G20266" t="str">
        <f>"2018-10-10 11:35:03"</f>
        <v>2018-10-10 11:35:03</v>
      </c>
    </row>
    <row r="20267" spans="1:7" x14ac:dyDescent="0.2">
      <c r="A20267" t="s">
        <v>19041</v>
      </c>
      <c r="B20267" t="str">
        <f>"18529205179"</f>
        <v>18529205179</v>
      </c>
      <c r="C20267" t="str">
        <f>"445281199610094398"</f>
        <v>445281199610094398</v>
      </c>
      <c r="D20267" t="s">
        <v>1</v>
      </c>
      <c r="E20267" t="s">
        <v>1</v>
      </c>
      <c r="F20267" t="s">
        <v>0</v>
      </c>
      <c r="G20267" t="str">
        <f>"2018-10-10 11:35:58"</f>
        <v>2018-10-10 11:35:58</v>
      </c>
    </row>
    <row r="20268" spans="1:7" x14ac:dyDescent="0.2">
      <c r="A20268" t="s">
        <v>1</v>
      </c>
      <c r="B20268" t="str">
        <f>"13574377789"</f>
        <v>13574377789</v>
      </c>
      <c r="C20268" t="s">
        <v>1</v>
      </c>
      <c r="D20268" t="s">
        <v>1</v>
      </c>
      <c r="E20268" t="s">
        <v>1</v>
      </c>
      <c r="F20268" t="s">
        <v>0</v>
      </c>
      <c r="G20268" t="str">
        <f>"2018-10-10 11:32:25"</f>
        <v>2018-10-10 11:32:25</v>
      </c>
    </row>
    <row r="20269" spans="1:7" x14ac:dyDescent="0.2">
      <c r="A20269" t="s">
        <v>19042</v>
      </c>
      <c r="B20269" t="str">
        <f>"18272224171"</f>
        <v>18272224171</v>
      </c>
      <c r="C20269" t="str">
        <f>"421002199203091049"</f>
        <v>421002199203091049</v>
      </c>
      <c r="D20269" t="s">
        <v>19043</v>
      </c>
      <c r="E20269" t="s">
        <v>19044</v>
      </c>
      <c r="F20269" t="s">
        <v>0</v>
      </c>
      <c r="G20269" t="str">
        <f>"2018-10-10 11:33:28"</f>
        <v>2018-10-10 11:33:28</v>
      </c>
    </row>
    <row r="20270" spans="1:7" x14ac:dyDescent="0.2">
      <c r="A20270" t="s">
        <v>277</v>
      </c>
      <c r="B20270" t="str">
        <f>"18737170957"</f>
        <v>18737170957</v>
      </c>
      <c r="C20270" t="str">
        <f>"411326198801072914"</f>
        <v>411326198801072914</v>
      </c>
      <c r="D20270" t="s">
        <v>1</v>
      </c>
      <c r="E20270" t="s">
        <v>1</v>
      </c>
      <c r="F20270" t="s">
        <v>0</v>
      </c>
      <c r="G20270" t="str">
        <f>"2018-10-10 11:53:41"</f>
        <v>2018-10-10 11:53:41</v>
      </c>
    </row>
    <row r="20271" spans="1:7" x14ac:dyDescent="0.2">
      <c r="A20271" t="s">
        <v>1</v>
      </c>
      <c r="B20271" t="str">
        <f>"18011225246"</f>
        <v>18011225246</v>
      </c>
      <c r="C20271" t="s">
        <v>1</v>
      </c>
      <c r="D20271" t="s">
        <v>1</v>
      </c>
      <c r="E20271" t="s">
        <v>1</v>
      </c>
      <c r="F20271" t="s">
        <v>0</v>
      </c>
      <c r="G20271" t="str">
        <f>"2018-10-10 11:31:11"</f>
        <v>2018-10-10 11:31:11</v>
      </c>
    </row>
    <row r="20272" spans="1:7" x14ac:dyDescent="0.2">
      <c r="A20272" t="s">
        <v>1</v>
      </c>
      <c r="B20272" t="str">
        <f>"13858362836"</f>
        <v>13858362836</v>
      </c>
      <c r="C20272" t="s">
        <v>1</v>
      </c>
      <c r="D20272" t="s">
        <v>1</v>
      </c>
      <c r="E20272" t="s">
        <v>1</v>
      </c>
      <c r="F20272" t="s">
        <v>0</v>
      </c>
      <c r="G20272" t="str">
        <f>"2018-10-10 11:30:31"</f>
        <v>2018-10-10 11:30:31</v>
      </c>
    </row>
    <row r="20273" spans="1:7" x14ac:dyDescent="0.2">
      <c r="A20273" t="s">
        <v>220</v>
      </c>
      <c r="B20273" t="str">
        <f>"15970216167"</f>
        <v>15970216167</v>
      </c>
      <c r="C20273" t="str">
        <f>"362429199506200616"</f>
        <v>362429199506200616</v>
      </c>
      <c r="D20273" t="s">
        <v>1</v>
      </c>
      <c r="E20273" t="s">
        <v>1</v>
      </c>
      <c r="F20273" t="s">
        <v>0</v>
      </c>
      <c r="G20273" t="str">
        <f>"2018-10-10 11:33:11"</f>
        <v>2018-10-10 11:33:11</v>
      </c>
    </row>
    <row r="20274" spans="1:7" x14ac:dyDescent="0.2">
      <c r="A20274" t="s">
        <v>19045</v>
      </c>
      <c r="B20274" t="str">
        <f>"18606733358"</f>
        <v>18606733358</v>
      </c>
      <c r="C20274" t="str">
        <f>"330481198505190616"</f>
        <v>330481198505190616</v>
      </c>
      <c r="D20274" t="s">
        <v>1</v>
      </c>
      <c r="E20274" t="s">
        <v>1</v>
      </c>
      <c r="F20274" t="s">
        <v>0</v>
      </c>
      <c r="G20274" t="str">
        <f>"2018-10-10 11:31:05"</f>
        <v>2018-10-10 11:31:05</v>
      </c>
    </row>
    <row r="20275" spans="1:7" x14ac:dyDescent="0.2">
      <c r="A20275" t="s">
        <v>19046</v>
      </c>
      <c r="B20275" t="str">
        <f>"15266463997"</f>
        <v>15266463997</v>
      </c>
      <c r="C20275" t="str">
        <f>"370783199704163777"</f>
        <v>370783199704163777</v>
      </c>
      <c r="D20275" t="s">
        <v>1</v>
      </c>
      <c r="E20275" t="s">
        <v>1</v>
      </c>
      <c r="F20275" t="s">
        <v>0</v>
      </c>
      <c r="G20275" t="str">
        <f>"2018-10-10 11:29:42"</f>
        <v>2018-10-10 11:29:42</v>
      </c>
    </row>
    <row r="20276" spans="1:7" x14ac:dyDescent="0.2">
      <c r="A20276" t="s">
        <v>19047</v>
      </c>
      <c r="B20276" t="str">
        <f>"15859613630"</f>
        <v>15859613630</v>
      </c>
      <c r="C20276" t="str">
        <f>"350623198605295715"</f>
        <v>350623198605295715</v>
      </c>
      <c r="D20276" t="s">
        <v>1</v>
      </c>
      <c r="E20276" t="s">
        <v>1</v>
      </c>
      <c r="F20276" t="s">
        <v>0</v>
      </c>
      <c r="G20276" t="str">
        <f>"2018-10-10 11:28:41"</f>
        <v>2018-10-10 11:28:41</v>
      </c>
    </row>
    <row r="20277" spans="1:7" x14ac:dyDescent="0.2">
      <c r="A20277" t="s">
        <v>19048</v>
      </c>
      <c r="B20277" t="str">
        <f>"18512321818"</f>
        <v>18512321818</v>
      </c>
      <c r="C20277" t="str">
        <f>"511623198503280054"</f>
        <v>511623198503280054</v>
      </c>
      <c r="D20277" t="s">
        <v>1</v>
      </c>
      <c r="E20277" t="s">
        <v>1</v>
      </c>
      <c r="F20277" t="s">
        <v>0</v>
      </c>
      <c r="G20277" t="str">
        <f>"2018-10-10 13:56:14"</f>
        <v>2018-10-10 13:56:14</v>
      </c>
    </row>
    <row r="20278" spans="1:7" x14ac:dyDescent="0.2">
      <c r="A20278" t="s">
        <v>1</v>
      </c>
      <c r="B20278" t="str">
        <f>"15773151040"</f>
        <v>15773151040</v>
      </c>
      <c r="C20278" t="s">
        <v>1</v>
      </c>
      <c r="D20278" t="s">
        <v>1</v>
      </c>
      <c r="E20278" t="s">
        <v>1</v>
      </c>
      <c r="F20278" t="s">
        <v>0</v>
      </c>
      <c r="G20278" t="str">
        <f>"2018-10-10 11:25:57"</f>
        <v>2018-10-10 11:25:57</v>
      </c>
    </row>
    <row r="20279" spans="1:7" x14ac:dyDescent="0.2">
      <c r="A20279" t="s">
        <v>1</v>
      </c>
      <c r="B20279" t="str">
        <f>"13572821009"</f>
        <v>13572821009</v>
      </c>
      <c r="C20279" t="s">
        <v>1</v>
      </c>
      <c r="D20279" t="s">
        <v>1</v>
      </c>
      <c r="E20279" t="s">
        <v>1</v>
      </c>
      <c r="F20279" t="s">
        <v>0</v>
      </c>
      <c r="G20279" t="str">
        <f>"2018-10-10 11:25:48"</f>
        <v>2018-10-10 11:25:48</v>
      </c>
    </row>
    <row r="20280" spans="1:7" x14ac:dyDescent="0.2">
      <c r="A20280" t="s">
        <v>1</v>
      </c>
      <c r="B20280" t="str">
        <f>"18007360365"</f>
        <v>18007360365</v>
      </c>
      <c r="C20280" t="s">
        <v>1</v>
      </c>
      <c r="D20280" t="s">
        <v>1</v>
      </c>
      <c r="E20280" t="s">
        <v>1</v>
      </c>
      <c r="F20280" t="s">
        <v>0</v>
      </c>
      <c r="G20280" t="str">
        <f>"2018-10-10 11:31:10"</f>
        <v>2018-10-10 11:31:10</v>
      </c>
    </row>
    <row r="20281" spans="1:7" x14ac:dyDescent="0.2">
      <c r="A20281" t="s">
        <v>1</v>
      </c>
      <c r="B20281" t="str">
        <f>"18395478941"</f>
        <v>18395478941</v>
      </c>
      <c r="C20281" t="s">
        <v>1</v>
      </c>
      <c r="D20281" t="s">
        <v>1</v>
      </c>
      <c r="E20281" t="s">
        <v>1</v>
      </c>
      <c r="F20281" t="s">
        <v>0</v>
      </c>
      <c r="G20281" t="str">
        <f>"2018-10-10 11:25:11"</f>
        <v>2018-10-10 11:25:11</v>
      </c>
    </row>
    <row r="20282" spans="1:7" x14ac:dyDescent="0.2">
      <c r="A20282" t="s">
        <v>19049</v>
      </c>
      <c r="B20282" t="str">
        <f>"13113638989"</f>
        <v>13113638989</v>
      </c>
      <c r="C20282" t="str">
        <f>"431126199005223213"</f>
        <v>431126199005223213</v>
      </c>
      <c r="D20282" t="s">
        <v>1</v>
      </c>
      <c r="E20282" t="s">
        <v>1</v>
      </c>
      <c r="F20282" t="s">
        <v>0</v>
      </c>
      <c r="G20282" t="str">
        <f>"2018-10-10 11:21:55"</f>
        <v>2018-10-10 11:21:55</v>
      </c>
    </row>
    <row r="20283" spans="1:7" x14ac:dyDescent="0.2">
      <c r="A20283" t="s">
        <v>1</v>
      </c>
      <c r="B20283" t="str">
        <f>"13206406369"</f>
        <v>13206406369</v>
      </c>
      <c r="C20283" t="s">
        <v>1</v>
      </c>
      <c r="D20283" t="s">
        <v>1</v>
      </c>
      <c r="E20283" t="s">
        <v>1</v>
      </c>
      <c r="F20283" t="s">
        <v>0</v>
      </c>
      <c r="G20283" t="str">
        <f>"2018-10-10 11:19:28"</f>
        <v>2018-10-10 11:19:28</v>
      </c>
    </row>
    <row r="20284" spans="1:7" x14ac:dyDescent="0.2">
      <c r="A20284" t="s">
        <v>19050</v>
      </c>
      <c r="B20284" t="str">
        <f>"13558708609"</f>
        <v>13558708609</v>
      </c>
      <c r="C20284" t="str">
        <f>"511621199704166727"</f>
        <v>511621199704166727</v>
      </c>
      <c r="D20284" t="s">
        <v>1</v>
      </c>
      <c r="E20284" t="s">
        <v>1</v>
      </c>
      <c r="F20284" t="s">
        <v>0</v>
      </c>
      <c r="G20284" t="str">
        <f>"2018-10-10 11:20:57"</f>
        <v>2018-10-10 11:20:57</v>
      </c>
    </row>
    <row r="20285" spans="1:7" x14ac:dyDescent="0.2">
      <c r="A20285" t="s">
        <v>1</v>
      </c>
      <c r="B20285" t="str">
        <f>"18977955664"</f>
        <v>18977955664</v>
      </c>
      <c r="C20285" t="s">
        <v>1</v>
      </c>
      <c r="D20285" t="s">
        <v>1</v>
      </c>
      <c r="E20285" t="s">
        <v>1</v>
      </c>
      <c r="F20285" t="s">
        <v>0</v>
      </c>
      <c r="G20285" t="str">
        <f>"2018-10-10 11:18:56"</f>
        <v>2018-10-10 11:18:56</v>
      </c>
    </row>
    <row r="20286" spans="1:7" x14ac:dyDescent="0.2">
      <c r="A20286" t="s">
        <v>1</v>
      </c>
      <c r="B20286" t="str">
        <f>"15609227370"</f>
        <v>15609227370</v>
      </c>
      <c r="C20286" t="s">
        <v>1</v>
      </c>
      <c r="D20286" t="s">
        <v>1</v>
      </c>
      <c r="E20286" t="s">
        <v>1</v>
      </c>
      <c r="F20286" t="s">
        <v>0</v>
      </c>
      <c r="G20286" t="str">
        <f>"2018-10-10 11:17:49"</f>
        <v>2018-10-10 11:17:49</v>
      </c>
    </row>
    <row r="20287" spans="1:7" x14ac:dyDescent="0.2">
      <c r="A20287" t="s">
        <v>19051</v>
      </c>
      <c r="B20287" t="str">
        <f>"13430262179"</f>
        <v>13430262179</v>
      </c>
      <c r="C20287" t="str">
        <f>"440823198503186211"</f>
        <v>440823198503186211</v>
      </c>
      <c r="D20287" t="s">
        <v>1</v>
      </c>
      <c r="E20287" t="s">
        <v>1</v>
      </c>
      <c r="F20287" t="s">
        <v>0</v>
      </c>
      <c r="G20287" t="str">
        <f>"2018-10-10 11:21:58"</f>
        <v>2018-10-10 11:21:58</v>
      </c>
    </row>
    <row r="20288" spans="1:7" x14ac:dyDescent="0.2">
      <c r="A20288" t="s">
        <v>19052</v>
      </c>
      <c r="B20288" t="str">
        <f>"13776899601"</f>
        <v>13776899601</v>
      </c>
      <c r="C20288" t="str">
        <f>"320282198712065432"</f>
        <v>320282198712065432</v>
      </c>
      <c r="D20288" t="s">
        <v>1</v>
      </c>
      <c r="E20288" t="s">
        <v>1</v>
      </c>
      <c r="F20288" t="s">
        <v>0</v>
      </c>
      <c r="G20288" t="str">
        <f>"2018-10-10 11:18:14"</f>
        <v>2018-10-10 11:18:14</v>
      </c>
    </row>
    <row r="20289" spans="1:7" x14ac:dyDescent="0.2">
      <c r="A20289" t="s">
        <v>1</v>
      </c>
      <c r="B20289" t="str">
        <f>"18890909356"</f>
        <v>18890909356</v>
      </c>
      <c r="C20289" t="s">
        <v>1</v>
      </c>
      <c r="D20289" t="s">
        <v>1</v>
      </c>
      <c r="E20289" t="s">
        <v>1</v>
      </c>
      <c r="F20289" t="s">
        <v>0</v>
      </c>
      <c r="G20289" t="str">
        <f>"2018-10-10 11:15:17"</f>
        <v>2018-10-10 11:15:17</v>
      </c>
    </row>
    <row r="20290" spans="1:7" x14ac:dyDescent="0.2">
      <c r="A20290" t="s">
        <v>1</v>
      </c>
      <c r="B20290" t="str">
        <f>"18776040006"</f>
        <v>18776040006</v>
      </c>
      <c r="C20290" t="s">
        <v>1</v>
      </c>
      <c r="D20290" t="s">
        <v>1</v>
      </c>
      <c r="E20290" t="s">
        <v>1</v>
      </c>
      <c r="F20290" t="s">
        <v>0</v>
      </c>
      <c r="G20290" t="str">
        <f>"2018-10-10 11:15:03"</f>
        <v>2018-10-10 11:15:03</v>
      </c>
    </row>
    <row r="20291" spans="1:7" x14ac:dyDescent="0.2">
      <c r="A20291" t="s">
        <v>2599</v>
      </c>
      <c r="B20291" t="str">
        <f>"18383152511"</f>
        <v>18383152511</v>
      </c>
      <c r="C20291" t="str">
        <f>"511521199505087772"</f>
        <v>511521199505087772</v>
      </c>
      <c r="D20291" t="s">
        <v>1</v>
      </c>
      <c r="E20291" t="s">
        <v>1</v>
      </c>
      <c r="F20291" t="s">
        <v>0</v>
      </c>
      <c r="G20291" t="str">
        <f>"2018-10-11 14:03:31"</f>
        <v>2018-10-11 14:03:31</v>
      </c>
    </row>
    <row r="20292" spans="1:7" x14ac:dyDescent="0.2">
      <c r="A20292" t="s">
        <v>1</v>
      </c>
      <c r="B20292" t="str">
        <f>"15711023063"</f>
        <v>15711023063</v>
      </c>
      <c r="C20292" t="s">
        <v>1</v>
      </c>
      <c r="D20292" t="s">
        <v>1</v>
      </c>
      <c r="E20292" t="s">
        <v>1</v>
      </c>
      <c r="F20292" t="s">
        <v>0</v>
      </c>
      <c r="G20292" t="str">
        <f>"2018-10-10 11:13:35"</f>
        <v>2018-10-10 11:13:35</v>
      </c>
    </row>
    <row r="20293" spans="1:7" x14ac:dyDescent="0.2">
      <c r="A20293" t="s">
        <v>19053</v>
      </c>
      <c r="B20293" t="str">
        <f>"15214582893"</f>
        <v>15214582893</v>
      </c>
      <c r="C20293" t="str">
        <f>"239005198806023818"</f>
        <v>239005198806023818</v>
      </c>
      <c r="D20293" t="s">
        <v>1</v>
      </c>
      <c r="E20293" t="s">
        <v>1</v>
      </c>
      <c r="F20293" t="s">
        <v>0</v>
      </c>
      <c r="G20293" t="str">
        <f>"2018-10-10 15:58:28"</f>
        <v>2018-10-10 15:58:28</v>
      </c>
    </row>
    <row r="20294" spans="1:7" x14ac:dyDescent="0.2">
      <c r="A20294" t="s">
        <v>1690</v>
      </c>
      <c r="B20294" t="str">
        <f>"13100235551"</f>
        <v>13100235551</v>
      </c>
      <c r="C20294" t="str">
        <f>"430203198911030240"</f>
        <v>430203198911030240</v>
      </c>
      <c r="D20294" t="s">
        <v>1</v>
      </c>
      <c r="E20294" t="s">
        <v>1</v>
      </c>
      <c r="F20294" t="s">
        <v>0</v>
      </c>
      <c r="G20294" t="str">
        <f>"2018-10-10 11:16:09"</f>
        <v>2018-10-10 11:16:09</v>
      </c>
    </row>
    <row r="20295" spans="1:7" x14ac:dyDescent="0.2">
      <c r="A20295" t="s">
        <v>1</v>
      </c>
      <c r="B20295" t="str">
        <f>"13172298914"</f>
        <v>13172298914</v>
      </c>
      <c r="C20295" t="s">
        <v>1</v>
      </c>
      <c r="D20295" t="s">
        <v>1</v>
      </c>
      <c r="E20295" t="s">
        <v>1</v>
      </c>
      <c r="F20295" t="s">
        <v>0</v>
      </c>
      <c r="G20295" t="str">
        <f>"2018-10-10 11:12:21"</f>
        <v>2018-10-10 11:12:21</v>
      </c>
    </row>
    <row r="20296" spans="1:7" x14ac:dyDescent="0.2">
      <c r="A20296" t="s">
        <v>1515</v>
      </c>
      <c r="B20296" t="str">
        <f>"13790136489"</f>
        <v>13790136489</v>
      </c>
      <c r="C20296" t="str">
        <f>"511202198101030323"</f>
        <v>511202198101030323</v>
      </c>
      <c r="D20296" t="s">
        <v>1</v>
      </c>
      <c r="E20296" t="s">
        <v>1</v>
      </c>
      <c r="F20296" t="s">
        <v>0</v>
      </c>
      <c r="G20296" t="str">
        <f>"2018-10-10 11:12:56"</f>
        <v>2018-10-10 11:12:56</v>
      </c>
    </row>
    <row r="20297" spans="1:7" x14ac:dyDescent="0.2">
      <c r="A20297" t="s">
        <v>1503</v>
      </c>
      <c r="B20297" t="str">
        <f>"15647720446"</f>
        <v>15647720446</v>
      </c>
      <c r="C20297" t="str">
        <f>"152725199506031519"</f>
        <v>152725199506031519</v>
      </c>
      <c r="D20297" t="s">
        <v>1</v>
      </c>
      <c r="E20297" t="s">
        <v>1</v>
      </c>
      <c r="F20297" t="s">
        <v>0</v>
      </c>
      <c r="G20297" t="str">
        <f>"2018-10-10 13:06:44"</f>
        <v>2018-10-10 13:06:44</v>
      </c>
    </row>
    <row r="20298" spans="1:7" x14ac:dyDescent="0.2">
      <c r="A20298" t="s">
        <v>19054</v>
      </c>
      <c r="B20298" t="str">
        <f>"17621437409"</f>
        <v>17621437409</v>
      </c>
      <c r="C20298" t="str">
        <f>"642221199802021933"</f>
        <v>642221199802021933</v>
      </c>
      <c r="D20298" t="s">
        <v>1</v>
      </c>
      <c r="E20298" t="s">
        <v>1</v>
      </c>
      <c r="F20298" t="s">
        <v>0</v>
      </c>
      <c r="G20298" t="str">
        <f>"2018-10-10 11:11:25"</f>
        <v>2018-10-10 11:11:25</v>
      </c>
    </row>
    <row r="20299" spans="1:7" x14ac:dyDescent="0.2">
      <c r="A20299" t="s">
        <v>1</v>
      </c>
      <c r="B20299" t="str">
        <f>"17507117146"</f>
        <v>17507117146</v>
      </c>
      <c r="C20299" t="s">
        <v>1</v>
      </c>
      <c r="D20299" t="s">
        <v>1</v>
      </c>
      <c r="E20299" t="s">
        <v>1</v>
      </c>
      <c r="F20299" t="s">
        <v>0</v>
      </c>
      <c r="G20299" t="str">
        <f>"2018-10-10 11:09:12"</f>
        <v>2018-10-10 11:09:12</v>
      </c>
    </row>
    <row r="20300" spans="1:7" x14ac:dyDescent="0.2">
      <c r="A20300" t="s">
        <v>1</v>
      </c>
      <c r="B20300" t="str">
        <f>"18041820004"</f>
        <v>18041820004</v>
      </c>
      <c r="C20300" t="s">
        <v>1</v>
      </c>
      <c r="D20300" t="s">
        <v>1</v>
      </c>
      <c r="E20300" t="s">
        <v>1</v>
      </c>
      <c r="F20300" t="s">
        <v>0</v>
      </c>
      <c r="G20300" t="str">
        <f>"2018-10-10 11:09:10"</f>
        <v>2018-10-10 11:09:10</v>
      </c>
    </row>
    <row r="20301" spans="1:7" x14ac:dyDescent="0.2">
      <c r="A20301" t="s">
        <v>1</v>
      </c>
      <c r="B20301" t="str">
        <f>"18041820004"</f>
        <v>18041820004</v>
      </c>
      <c r="C20301" t="s">
        <v>1</v>
      </c>
      <c r="D20301" t="s">
        <v>1</v>
      </c>
      <c r="E20301" t="s">
        <v>1</v>
      </c>
      <c r="F20301" t="s">
        <v>0</v>
      </c>
      <c r="G20301" t="str">
        <f>"2018-10-10 11:09:10"</f>
        <v>2018-10-10 11:09:10</v>
      </c>
    </row>
    <row r="20302" spans="1:7" x14ac:dyDescent="0.2">
      <c r="A20302" t="s">
        <v>19055</v>
      </c>
      <c r="B20302" t="str">
        <f>"15967825577"</f>
        <v>15967825577</v>
      </c>
      <c r="C20302" t="str">
        <f>"452131198604101235"</f>
        <v>452131198604101235</v>
      </c>
      <c r="D20302" t="s">
        <v>1</v>
      </c>
      <c r="E20302" t="s">
        <v>1</v>
      </c>
      <c r="F20302" t="s">
        <v>0</v>
      </c>
      <c r="G20302" t="str">
        <f>"2018-10-10 11:17:07"</f>
        <v>2018-10-10 11:17:07</v>
      </c>
    </row>
    <row r="20303" spans="1:7" x14ac:dyDescent="0.2">
      <c r="A20303" t="s">
        <v>14490</v>
      </c>
      <c r="B20303" t="str">
        <f>"18862333474"</f>
        <v>18862333474</v>
      </c>
      <c r="C20303" t="str">
        <f>"320481198503065430"</f>
        <v>320481198503065430</v>
      </c>
      <c r="D20303" t="s">
        <v>1</v>
      </c>
      <c r="E20303" t="s">
        <v>1</v>
      </c>
      <c r="F20303" t="s">
        <v>0</v>
      </c>
      <c r="G20303" t="str">
        <f>"2018-10-13 19:05:26"</f>
        <v>2018-10-13 19:05:26</v>
      </c>
    </row>
    <row r="20304" spans="1:7" x14ac:dyDescent="0.2">
      <c r="A20304" t="s">
        <v>1</v>
      </c>
      <c r="B20304" t="str">
        <f>"13620457607"</f>
        <v>13620457607</v>
      </c>
      <c r="C20304" t="s">
        <v>1</v>
      </c>
      <c r="D20304" t="s">
        <v>1</v>
      </c>
      <c r="E20304" t="s">
        <v>1</v>
      </c>
      <c r="F20304" t="s">
        <v>0</v>
      </c>
      <c r="G20304" t="str">
        <f>"2018-10-10 11:06:47"</f>
        <v>2018-10-10 11:06:47</v>
      </c>
    </row>
    <row r="20305" spans="1:7" x14ac:dyDescent="0.2">
      <c r="A20305" t="s">
        <v>19056</v>
      </c>
      <c r="B20305" t="str">
        <f>"13026586063"</f>
        <v>13026586063</v>
      </c>
      <c r="C20305" t="str">
        <f>"370105199505122516"</f>
        <v>370105199505122516</v>
      </c>
      <c r="D20305" t="s">
        <v>1</v>
      </c>
      <c r="E20305" t="s">
        <v>1</v>
      </c>
      <c r="F20305" t="s">
        <v>0</v>
      </c>
      <c r="G20305" t="str">
        <f>"2018-10-10 11:08:33"</f>
        <v>2018-10-10 11:08:33</v>
      </c>
    </row>
    <row r="20306" spans="1:7" x14ac:dyDescent="0.2">
      <c r="A20306" t="s">
        <v>1</v>
      </c>
      <c r="B20306" t="str">
        <f>"13884933438"</f>
        <v>13884933438</v>
      </c>
      <c r="C20306" t="s">
        <v>1</v>
      </c>
      <c r="D20306" t="s">
        <v>1</v>
      </c>
      <c r="E20306" t="s">
        <v>1</v>
      </c>
      <c r="F20306" t="s">
        <v>0</v>
      </c>
      <c r="G20306" t="str">
        <f>"2018-10-10 11:06:12"</f>
        <v>2018-10-10 11:06:12</v>
      </c>
    </row>
    <row r="20307" spans="1:7" x14ac:dyDescent="0.2">
      <c r="A20307" t="s">
        <v>19057</v>
      </c>
      <c r="B20307" t="str">
        <f>"13401346877"</f>
        <v>13401346877</v>
      </c>
      <c r="C20307" t="str">
        <f>"320381198712146012"</f>
        <v>320381198712146012</v>
      </c>
      <c r="D20307" t="s">
        <v>1</v>
      </c>
      <c r="E20307" t="s">
        <v>1</v>
      </c>
      <c r="F20307" t="s">
        <v>0</v>
      </c>
      <c r="G20307" t="str">
        <f>"2018-10-10 11:07:13"</f>
        <v>2018-10-10 11:07:13</v>
      </c>
    </row>
    <row r="20308" spans="1:7" x14ac:dyDescent="0.2">
      <c r="A20308" t="s">
        <v>19058</v>
      </c>
      <c r="B20308" t="str">
        <f>"13544084599"</f>
        <v>13544084599</v>
      </c>
      <c r="C20308" t="str">
        <f>"450222198611251116"</f>
        <v>450222198611251116</v>
      </c>
      <c r="D20308" t="s">
        <v>1</v>
      </c>
      <c r="E20308" t="s">
        <v>1</v>
      </c>
      <c r="F20308" t="s">
        <v>0</v>
      </c>
      <c r="G20308" t="str">
        <f>"2018-10-27 18:13:49"</f>
        <v>2018-10-27 18:13:49</v>
      </c>
    </row>
    <row r="20309" spans="1:7" x14ac:dyDescent="0.2">
      <c r="A20309" t="s">
        <v>19059</v>
      </c>
      <c r="B20309" t="str">
        <f>"17681406570"</f>
        <v>17681406570</v>
      </c>
      <c r="C20309" t="str">
        <f>"341224199806229245"</f>
        <v>341224199806229245</v>
      </c>
      <c r="D20309" t="s">
        <v>1</v>
      </c>
      <c r="E20309" t="s">
        <v>1</v>
      </c>
      <c r="F20309" t="s">
        <v>0</v>
      </c>
      <c r="G20309" t="str">
        <f>"2018-10-10 11:07:18"</f>
        <v>2018-10-10 11:07:18</v>
      </c>
    </row>
    <row r="20310" spans="1:7" x14ac:dyDescent="0.2">
      <c r="A20310" t="s">
        <v>19060</v>
      </c>
      <c r="B20310" t="str">
        <f>"18990926907"</f>
        <v>18990926907</v>
      </c>
      <c r="C20310" t="str">
        <f>"511522199607084077"</f>
        <v>511522199607084077</v>
      </c>
      <c r="D20310" t="s">
        <v>19061</v>
      </c>
      <c r="E20310" t="s">
        <v>19062</v>
      </c>
      <c r="F20310" t="s">
        <v>0</v>
      </c>
      <c r="G20310" t="str">
        <f>"2018-10-10 11:24:54"</f>
        <v>2018-10-10 11:24:54</v>
      </c>
    </row>
    <row r="20311" spans="1:7" x14ac:dyDescent="0.2">
      <c r="A20311" t="s">
        <v>19063</v>
      </c>
      <c r="B20311" t="str">
        <f>"13657530700"</f>
        <v>13657530700</v>
      </c>
      <c r="C20311" t="str">
        <f>"653130199105253679"</f>
        <v>653130199105253679</v>
      </c>
      <c r="D20311" t="s">
        <v>1</v>
      </c>
      <c r="E20311" t="s">
        <v>1</v>
      </c>
      <c r="F20311" t="s">
        <v>0</v>
      </c>
      <c r="G20311" t="str">
        <f>"2018-10-10 10:59:36"</f>
        <v>2018-10-10 10:59:36</v>
      </c>
    </row>
    <row r="20312" spans="1:7" x14ac:dyDescent="0.2">
      <c r="A20312" t="s">
        <v>19064</v>
      </c>
      <c r="B20312" t="str">
        <f>"15092874643"</f>
        <v>15092874643</v>
      </c>
      <c r="C20312" t="str">
        <f>"371302199205204627"</f>
        <v>371302199205204627</v>
      </c>
      <c r="D20312" t="s">
        <v>1</v>
      </c>
      <c r="E20312" t="s">
        <v>1</v>
      </c>
      <c r="F20312" t="s">
        <v>0</v>
      </c>
      <c r="G20312" t="str">
        <f>"2018-10-10 10:55:53"</f>
        <v>2018-10-10 10:55:53</v>
      </c>
    </row>
    <row r="20313" spans="1:7" x14ac:dyDescent="0.2">
      <c r="A20313" t="s">
        <v>19065</v>
      </c>
      <c r="B20313" t="str">
        <f>"13372215117"</f>
        <v>13372215117</v>
      </c>
      <c r="C20313" t="str">
        <f>"320321199202284034"</f>
        <v>320321199202284034</v>
      </c>
      <c r="D20313" t="s">
        <v>1</v>
      </c>
      <c r="E20313" t="s">
        <v>1</v>
      </c>
      <c r="F20313" t="s">
        <v>0</v>
      </c>
      <c r="G20313" t="str">
        <f>"2018-10-10 10:57:51"</f>
        <v>2018-10-10 10:57:51</v>
      </c>
    </row>
    <row r="20314" spans="1:7" x14ac:dyDescent="0.2">
      <c r="A20314" t="s">
        <v>883</v>
      </c>
      <c r="B20314" t="str">
        <f>"15537867002"</f>
        <v>15537867002</v>
      </c>
      <c r="C20314" t="str">
        <f>"413001198005254029"</f>
        <v>413001198005254029</v>
      </c>
      <c r="D20314" t="s">
        <v>1</v>
      </c>
      <c r="E20314" t="s">
        <v>1</v>
      </c>
      <c r="F20314" t="s">
        <v>0</v>
      </c>
      <c r="G20314" t="str">
        <f>"2018-10-10 10:55:40"</f>
        <v>2018-10-10 10:55:40</v>
      </c>
    </row>
    <row r="20315" spans="1:7" x14ac:dyDescent="0.2">
      <c r="A20315" t="s">
        <v>19066</v>
      </c>
      <c r="B20315" t="str">
        <f>"18675706901"</f>
        <v>18675706901</v>
      </c>
      <c r="C20315" t="str">
        <f>"43048219790329001X"</f>
        <v>43048219790329001X</v>
      </c>
      <c r="D20315" t="s">
        <v>1</v>
      </c>
      <c r="E20315" t="s">
        <v>1</v>
      </c>
      <c r="F20315" t="s">
        <v>0</v>
      </c>
      <c r="G20315" t="str">
        <f>"2018-10-10 13:38:42"</f>
        <v>2018-10-10 13:38:42</v>
      </c>
    </row>
    <row r="20316" spans="1:7" x14ac:dyDescent="0.2">
      <c r="A20316" t="s">
        <v>1</v>
      </c>
      <c r="B20316" t="str">
        <f>"15519239485"</f>
        <v>15519239485</v>
      </c>
      <c r="C20316" t="s">
        <v>1</v>
      </c>
      <c r="D20316" t="s">
        <v>1</v>
      </c>
      <c r="E20316" t="s">
        <v>1</v>
      </c>
      <c r="F20316" t="s">
        <v>0</v>
      </c>
      <c r="G20316" t="str">
        <f>"2018-10-10 10:51:43"</f>
        <v>2018-10-10 10:51:43</v>
      </c>
    </row>
    <row r="20317" spans="1:7" x14ac:dyDescent="0.2">
      <c r="A20317" t="s">
        <v>12794</v>
      </c>
      <c r="B20317" t="str">
        <f>"15112795916"</f>
        <v>15112795916</v>
      </c>
      <c r="C20317" t="str">
        <f>"43112719940401284X"</f>
        <v>43112719940401284X</v>
      </c>
      <c r="D20317" t="s">
        <v>1</v>
      </c>
      <c r="E20317" t="s">
        <v>1</v>
      </c>
      <c r="F20317" t="s">
        <v>0</v>
      </c>
      <c r="G20317" t="str">
        <f>"2018-10-10 10:58:09"</f>
        <v>2018-10-10 10:58:09</v>
      </c>
    </row>
    <row r="20318" spans="1:7" x14ac:dyDescent="0.2">
      <c r="A20318" t="s">
        <v>10434</v>
      </c>
      <c r="B20318" t="str">
        <f>"13678389625"</f>
        <v>13678389625</v>
      </c>
      <c r="C20318" t="str">
        <f>"510682199305067117"</f>
        <v>510682199305067117</v>
      </c>
      <c r="D20318" t="s">
        <v>1</v>
      </c>
      <c r="E20318" t="s">
        <v>1</v>
      </c>
      <c r="F20318" t="s">
        <v>0</v>
      </c>
      <c r="G20318" t="str">
        <f>"2018-10-18 19:10:36"</f>
        <v>2018-10-18 19:10:36</v>
      </c>
    </row>
    <row r="20319" spans="1:7" x14ac:dyDescent="0.2">
      <c r="A20319" t="s">
        <v>19067</v>
      </c>
      <c r="B20319" t="str">
        <f>"13628751130"</f>
        <v>13628751130</v>
      </c>
      <c r="C20319" t="str">
        <f>"533001198508250959"</f>
        <v>533001198508250959</v>
      </c>
      <c r="D20319" t="s">
        <v>19068</v>
      </c>
      <c r="E20319" t="s">
        <v>19069</v>
      </c>
      <c r="F20319" t="s">
        <v>0</v>
      </c>
      <c r="G20319" t="str">
        <f>"2018-10-18 21:28:43"</f>
        <v>2018-10-18 21:28:43</v>
      </c>
    </row>
    <row r="20320" spans="1:7" x14ac:dyDescent="0.2">
      <c r="A20320" t="s">
        <v>19070</v>
      </c>
      <c r="B20320" t="str">
        <f>"18969932226"</f>
        <v>18969932226</v>
      </c>
      <c r="C20320" t="str">
        <f>"339005199411227611"</f>
        <v>339005199411227611</v>
      </c>
      <c r="D20320" t="s">
        <v>1</v>
      </c>
      <c r="E20320" t="s">
        <v>1</v>
      </c>
      <c r="F20320" t="s">
        <v>0</v>
      </c>
      <c r="G20320" t="str">
        <f>"2018-10-10 11:11:14"</f>
        <v>2018-10-10 11:11:14</v>
      </c>
    </row>
    <row r="20321" spans="1:7" x14ac:dyDescent="0.2">
      <c r="A20321" t="s">
        <v>19071</v>
      </c>
      <c r="B20321" t="str">
        <f>"18769966296"</f>
        <v>18769966296</v>
      </c>
      <c r="C20321" t="str">
        <f>"37132419890609521X"</f>
        <v>37132419890609521X</v>
      </c>
      <c r="D20321" t="s">
        <v>1</v>
      </c>
      <c r="E20321" t="s">
        <v>1</v>
      </c>
      <c r="F20321" t="s">
        <v>0</v>
      </c>
      <c r="G20321" t="str">
        <f>"2018-10-10 12:40:06"</f>
        <v>2018-10-10 12:40:06</v>
      </c>
    </row>
    <row r="20322" spans="1:7" x14ac:dyDescent="0.2">
      <c r="A20322" t="s">
        <v>19072</v>
      </c>
      <c r="B20322" t="str">
        <f>"13526702521"</f>
        <v>13526702521</v>
      </c>
      <c r="C20322" t="str">
        <f>"410108199003080055"</f>
        <v>410108199003080055</v>
      </c>
      <c r="D20322" t="s">
        <v>1</v>
      </c>
      <c r="E20322" t="s">
        <v>1</v>
      </c>
      <c r="F20322" t="s">
        <v>0</v>
      </c>
      <c r="G20322" t="str">
        <f>"2018-10-10 10:46:48"</f>
        <v>2018-10-10 10:46:48</v>
      </c>
    </row>
    <row r="20323" spans="1:7" x14ac:dyDescent="0.2">
      <c r="A20323" t="s">
        <v>19073</v>
      </c>
      <c r="B20323" t="str">
        <f>"15004295444"</f>
        <v>15004295444</v>
      </c>
      <c r="C20323" t="str">
        <f>"211421199603145618"</f>
        <v>211421199603145618</v>
      </c>
      <c r="D20323" t="s">
        <v>1</v>
      </c>
      <c r="E20323" t="s">
        <v>1</v>
      </c>
      <c r="F20323" t="s">
        <v>0</v>
      </c>
      <c r="G20323" t="str">
        <f>"2018-10-10 10:47:53"</f>
        <v>2018-10-10 10:47:53</v>
      </c>
    </row>
    <row r="20324" spans="1:7" x14ac:dyDescent="0.2">
      <c r="A20324" t="s">
        <v>1</v>
      </c>
      <c r="B20324" t="str">
        <f>"15290873732"</f>
        <v>15290873732</v>
      </c>
      <c r="C20324" t="s">
        <v>1</v>
      </c>
      <c r="D20324" t="s">
        <v>1</v>
      </c>
      <c r="E20324" t="s">
        <v>1</v>
      </c>
      <c r="F20324" t="s">
        <v>0</v>
      </c>
      <c r="G20324" t="str">
        <f>"2018-10-10 10:42:58"</f>
        <v>2018-10-10 10:42:58</v>
      </c>
    </row>
    <row r="20325" spans="1:7" x14ac:dyDescent="0.2">
      <c r="A20325" t="s">
        <v>19074</v>
      </c>
      <c r="B20325" t="str">
        <f>"13529326323"</f>
        <v>13529326323</v>
      </c>
      <c r="C20325" t="str">
        <f>"530112197808011324"</f>
        <v>530112197808011324</v>
      </c>
      <c r="D20325" t="s">
        <v>19075</v>
      </c>
      <c r="E20325" t="s">
        <v>19076</v>
      </c>
      <c r="F20325" t="s">
        <v>0</v>
      </c>
      <c r="G20325" t="str">
        <f>"2018-10-10 14:07:26"</f>
        <v>2018-10-10 14:07:26</v>
      </c>
    </row>
    <row r="20326" spans="1:7" x14ac:dyDescent="0.2">
      <c r="A20326" t="s">
        <v>19077</v>
      </c>
      <c r="B20326" t="str">
        <f>"15960355052"</f>
        <v>15960355052</v>
      </c>
      <c r="C20326" t="str">
        <f>"350212199806083018"</f>
        <v>350212199806083018</v>
      </c>
      <c r="D20326" t="s">
        <v>19078</v>
      </c>
      <c r="E20326" t="s">
        <v>19079</v>
      </c>
      <c r="F20326" t="s">
        <v>0</v>
      </c>
      <c r="G20326" t="str">
        <f>"2018-10-18 16:36:02"</f>
        <v>2018-10-18 16:36:02</v>
      </c>
    </row>
    <row r="20327" spans="1:7" x14ac:dyDescent="0.2">
      <c r="A20327" t="s">
        <v>1</v>
      </c>
      <c r="B20327" t="str">
        <f>"18265935967"</f>
        <v>18265935967</v>
      </c>
      <c r="C20327" t="s">
        <v>1</v>
      </c>
      <c r="D20327" t="s">
        <v>1</v>
      </c>
      <c r="E20327" t="s">
        <v>1</v>
      </c>
      <c r="F20327" t="s">
        <v>0</v>
      </c>
      <c r="G20327" t="str">
        <f>"2018-10-10 10:39:41"</f>
        <v>2018-10-10 10:39:41</v>
      </c>
    </row>
    <row r="20328" spans="1:7" x14ac:dyDescent="0.2">
      <c r="A20328" t="s">
        <v>19080</v>
      </c>
      <c r="B20328" t="str">
        <f>"17601478357"</f>
        <v>17601478357</v>
      </c>
      <c r="C20328" t="str">
        <f>"410928198809165132"</f>
        <v>410928198809165132</v>
      </c>
      <c r="D20328" t="s">
        <v>1</v>
      </c>
      <c r="E20328" t="s">
        <v>1</v>
      </c>
      <c r="F20328" t="s">
        <v>0</v>
      </c>
      <c r="G20328" t="str">
        <f>"2018-10-10 13:08:17"</f>
        <v>2018-10-10 13:08:17</v>
      </c>
    </row>
    <row r="20329" spans="1:7" x14ac:dyDescent="0.2">
      <c r="A20329" t="s">
        <v>19081</v>
      </c>
      <c r="B20329" t="str">
        <f>"15827642274"</f>
        <v>15827642274</v>
      </c>
      <c r="C20329" t="str">
        <f>"422201199512042211"</f>
        <v>422201199512042211</v>
      </c>
      <c r="D20329" t="s">
        <v>1</v>
      </c>
      <c r="E20329" t="s">
        <v>1</v>
      </c>
      <c r="F20329" t="s">
        <v>0</v>
      </c>
      <c r="G20329" t="str">
        <f>"2018-10-30 21:37:46"</f>
        <v>2018-10-30 21:37:46</v>
      </c>
    </row>
    <row r="20330" spans="1:7" x14ac:dyDescent="0.2">
      <c r="A20330" t="s">
        <v>1</v>
      </c>
      <c r="B20330" t="str">
        <f>"15849078536"</f>
        <v>15849078536</v>
      </c>
      <c r="C20330" t="s">
        <v>1</v>
      </c>
      <c r="D20330" t="s">
        <v>1</v>
      </c>
      <c r="E20330" t="s">
        <v>1</v>
      </c>
      <c r="F20330" t="s">
        <v>0</v>
      </c>
      <c r="G20330" t="str">
        <f>"2018-10-10 10:21:30"</f>
        <v>2018-10-10 10:21:30</v>
      </c>
    </row>
    <row r="20331" spans="1:7" x14ac:dyDescent="0.2">
      <c r="A20331" t="s">
        <v>1</v>
      </c>
      <c r="B20331" t="str">
        <f>"18950074587"</f>
        <v>18950074587</v>
      </c>
      <c r="C20331" t="s">
        <v>1</v>
      </c>
      <c r="D20331" t="s">
        <v>1</v>
      </c>
      <c r="E20331" t="s">
        <v>1</v>
      </c>
      <c r="F20331" t="s">
        <v>0</v>
      </c>
      <c r="G20331" t="str">
        <f>"2018-10-10 09:44:48"</f>
        <v>2018-10-10 09:44:48</v>
      </c>
    </row>
    <row r="20332" spans="1:7" x14ac:dyDescent="0.2">
      <c r="A20332" t="s">
        <v>1800</v>
      </c>
      <c r="B20332" t="str">
        <f>"15071440197"</f>
        <v>15071440197</v>
      </c>
      <c r="C20332" t="str">
        <f>"341221199407027831"</f>
        <v>341221199407027831</v>
      </c>
      <c r="D20332" t="s">
        <v>1</v>
      </c>
      <c r="E20332" t="s">
        <v>1</v>
      </c>
      <c r="F20332" t="s">
        <v>0</v>
      </c>
      <c r="G20332" t="str">
        <f>"2018-10-10 09:19:34"</f>
        <v>2018-10-10 09:19:34</v>
      </c>
    </row>
    <row r="20333" spans="1:7" x14ac:dyDescent="0.2">
      <c r="A20333" t="s">
        <v>19082</v>
      </c>
      <c r="B20333" t="str">
        <f>"15882678598"</f>
        <v>15882678598</v>
      </c>
      <c r="C20333" t="str">
        <f>"512927196409207719"</f>
        <v>512927196409207719</v>
      </c>
      <c r="D20333" t="s">
        <v>1</v>
      </c>
      <c r="E20333" t="s">
        <v>1</v>
      </c>
      <c r="F20333" t="s">
        <v>0</v>
      </c>
      <c r="G20333" t="str">
        <f>"2018-10-10 08:52:16"</f>
        <v>2018-10-10 08:52:16</v>
      </c>
    </row>
    <row r="20334" spans="1:7" x14ac:dyDescent="0.2">
      <c r="A20334" t="s">
        <v>413</v>
      </c>
      <c r="B20334" t="str">
        <f>"15156597550"</f>
        <v>15156597550</v>
      </c>
      <c r="C20334" t="str">
        <f>"342601199107010031"</f>
        <v>342601199107010031</v>
      </c>
      <c r="D20334" t="s">
        <v>1</v>
      </c>
      <c r="E20334" t="s">
        <v>1</v>
      </c>
      <c r="F20334" t="s">
        <v>0</v>
      </c>
      <c r="G20334" t="str">
        <f>"2018-10-10 08:47:36"</f>
        <v>2018-10-10 08:47:36</v>
      </c>
    </row>
    <row r="20335" spans="1:7" x14ac:dyDescent="0.2">
      <c r="A20335" t="s">
        <v>19083</v>
      </c>
      <c r="B20335" t="str">
        <f>"15296002804"</f>
        <v>15296002804</v>
      </c>
      <c r="C20335" t="str">
        <f>"450322197410081035"</f>
        <v>450322197410081035</v>
      </c>
      <c r="D20335" t="s">
        <v>1</v>
      </c>
      <c r="E20335" t="s">
        <v>1</v>
      </c>
      <c r="F20335" t="s">
        <v>0</v>
      </c>
      <c r="G20335" t="str">
        <f>"2018-10-10 08:40:32"</f>
        <v>2018-10-10 08:40:32</v>
      </c>
    </row>
    <row r="20336" spans="1:7" x14ac:dyDescent="0.2">
      <c r="A20336" t="s">
        <v>1</v>
      </c>
      <c r="B20336" t="str">
        <f>"15047446665"</f>
        <v>15047446665</v>
      </c>
      <c r="C20336" t="s">
        <v>1</v>
      </c>
      <c r="D20336" t="s">
        <v>1</v>
      </c>
      <c r="E20336" t="s">
        <v>1</v>
      </c>
      <c r="F20336" t="s">
        <v>0</v>
      </c>
      <c r="G20336" t="str">
        <f>"2018-10-10 08:38:02"</f>
        <v>2018-10-10 08:38:02</v>
      </c>
    </row>
    <row r="20337" spans="1:7" x14ac:dyDescent="0.2">
      <c r="A20337" t="s">
        <v>1</v>
      </c>
      <c r="B20337" t="str">
        <f>"15705061904"</f>
        <v>15705061904</v>
      </c>
      <c r="C20337" t="s">
        <v>1</v>
      </c>
      <c r="D20337" t="s">
        <v>1</v>
      </c>
      <c r="E20337" t="s">
        <v>1</v>
      </c>
      <c r="F20337" t="s">
        <v>0</v>
      </c>
      <c r="G20337" t="str">
        <f>"2018-10-10 08:33:50"</f>
        <v>2018-10-10 08:33:50</v>
      </c>
    </row>
    <row r="20338" spans="1:7" x14ac:dyDescent="0.2">
      <c r="A20338" t="s">
        <v>1</v>
      </c>
      <c r="B20338" t="str">
        <f>"13599471229"</f>
        <v>13599471229</v>
      </c>
      <c r="C20338" t="s">
        <v>1</v>
      </c>
      <c r="D20338" t="s">
        <v>1</v>
      </c>
      <c r="E20338" t="s">
        <v>1</v>
      </c>
      <c r="F20338" t="s">
        <v>0</v>
      </c>
      <c r="G20338" t="str">
        <f>"2018-10-10 07:32:53"</f>
        <v>2018-10-10 07:32:53</v>
      </c>
    </row>
    <row r="20339" spans="1:7" x14ac:dyDescent="0.2">
      <c r="A20339" t="s">
        <v>19084</v>
      </c>
      <c r="B20339" t="str">
        <f>"13854700348"</f>
        <v>13854700348</v>
      </c>
      <c r="C20339" t="str">
        <f>"370829199801160014"</f>
        <v>370829199801160014</v>
      </c>
      <c r="D20339" t="s">
        <v>1</v>
      </c>
      <c r="E20339" t="s">
        <v>1</v>
      </c>
      <c r="F20339" t="s">
        <v>0</v>
      </c>
      <c r="G20339" t="str">
        <f>"2018-10-10 07:25:59"</f>
        <v>2018-10-10 07:25:59</v>
      </c>
    </row>
    <row r="20340" spans="1:7" x14ac:dyDescent="0.2">
      <c r="A20340" t="s">
        <v>19085</v>
      </c>
      <c r="B20340" t="str">
        <f>"18179601669"</f>
        <v>18179601669</v>
      </c>
      <c r="C20340" t="str">
        <f>"362422196408200032"</f>
        <v>362422196408200032</v>
      </c>
      <c r="D20340" t="s">
        <v>1</v>
      </c>
      <c r="E20340" t="s">
        <v>1</v>
      </c>
      <c r="F20340" t="s">
        <v>0</v>
      </c>
      <c r="G20340" t="str">
        <f>"2018-10-10 01:20:05"</f>
        <v>2018-10-10 01:20:05</v>
      </c>
    </row>
    <row r="20341" spans="1:7" x14ac:dyDescent="0.2">
      <c r="A20341" t="s">
        <v>1</v>
      </c>
      <c r="B20341" t="str">
        <f>"13178859148"</f>
        <v>13178859148</v>
      </c>
      <c r="C20341" t="s">
        <v>1</v>
      </c>
      <c r="D20341" t="s">
        <v>1</v>
      </c>
      <c r="E20341" t="s">
        <v>1</v>
      </c>
      <c r="F20341" t="s">
        <v>0</v>
      </c>
      <c r="G20341" t="str">
        <f>"2018-10-09 23:33:52"</f>
        <v>2018-10-09 23:33:52</v>
      </c>
    </row>
    <row r="20342" spans="1:7" x14ac:dyDescent="0.2">
      <c r="A20342" t="s">
        <v>19086</v>
      </c>
      <c r="B20342" t="str">
        <f>"15959549532"</f>
        <v>15959549532</v>
      </c>
      <c r="C20342" t="str">
        <f>"350583198801122679"</f>
        <v>350583198801122679</v>
      </c>
      <c r="D20342" t="s">
        <v>1</v>
      </c>
      <c r="E20342" t="s">
        <v>1</v>
      </c>
      <c r="F20342" t="s">
        <v>0</v>
      </c>
      <c r="G20342" t="str">
        <f>"2018-10-09 21:52:09"</f>
        <v>2018-10-09 21:52:09</v>
      </c>
    </row>
    <row r="20343" spans="1:7" x14ac:dyDescent="0.2">
      <c r="A20343" t="s">
        <v>19087</v>
      </c>
      <c r="B20343" t="str">
        <f>"13895358332"</f>
        <v>13895358332</v>
      </c>
      <c r="C20343" t="str">
        <f>"640302199807091142"</f>
        <v>640302199807091142</v>
      </c>
      <c r="D20343" t="s">
        <v>1</v>
      </c>
      <c r="E20343" t="s">
        <v>1</v>
      </c>
      <c r="F20343" t="s">
        <v>0</v>
      </c>
      <c r="G20343" t="str">
        <f>"2018-10-17 15:04:49"</f>
        <v>2018-10-17 15:04:49</v>
      </c>
    </row>
    <row r="20344" spans="1:7" x14ac:dyDescent="0.2">
      <c r="A20344" t="s">
        <v>19088</v>
      </c>
      <c r="B20344" t="str">
        <f>"18772492126"</f>
        <v>18772492126</v>
      </c>
      <c r="C20344" t="str">
        <f>"421181199707048416"</f>
        <v>421181199707048416</v>
      </c>
      <c r="D20344" t="s">
        <v>1</v>
      </c>
      <c r="E20344" t="s">
        <v>1</v>
      </c>
      <c r="F20344" t="s">
        <v>0</v>
      </c>
      <c r="G20344" t="str">
        <f>"2018-10-09 21:11:09"</f>
        <v>2018-10-09 21:11:09</v>
      </c>
    </row>
    <row r="20345" spans="1:7" x14ac:dyDescent="0.2">
      <c r="A20345" t="s">
        <v>1</v>
      </c>
      <c r="B20345" t="str">
        <f>"15120375291"</f>
        <v>15120375291</v>
      </c>
      <c r="C20345" t="s">
        <v>1</v>
      </c>
      <c r="D20345" t="s">
        <v>1</v>
      </c>
      <c r="E20345" t="s">
        <v>1</v>
      </c>
      <c r="F20345" t="s">
        <v>0</v>
      </c>
      <c r="G20345" t="str">
        <f>"2018-10-09 20:34:10"</f>
        <v>2018-10-09 20:34:10</v>
      </c>
    </row>
    <row r="20346" spans="1:7" x14ac:dyDescent="0.2">
      <c r="A20346" t="s">
        <v>1</v>
      </c>
      <c r="B20346" t="str">
        <f>"13852683035"</f>
        <v>13852683035</v>
      </c>
      <c r="C20346" t="s">
        <v>1</v>
      </c>
      <c r="D20346" t="s">
        <v>1</v>
      </c>
      <c r="E20346" t="s">
        <v>1</v>
      </c>
      <c r="F20346" t="s">
        <v>0</v>
      </c>
      <c r="G20346" t="str">
        <f>"2018-10-18 18:05:29"</f>
        <v>2018-10-18 18:05:29</v>
      </c>
    </row>
    <row r="20347" spans="1:7" x14ac:dyDescent="0.2">
      <c r="A20347" t="s">
        <v>1</v>
      </c>
      <c r="B20347" t="str">
        <f>"18997218477"</f>
        <v>18997218477</v>
      </c>
      <c r="C20347" t="s">
        <v>1</v>
      </c>
      <c r="D20347" t="s">
        <v>1</v>
      </c>
      <c r="E20347" t="s">
        <v>1</v>
      </c>
      <c r="F20347" t="s">
        <v>0</v>
      </c>
      <c r="G20347" t="str">
        <f>"2018-10-09 20:04:34"</f>
        <v>2018-10-09 20:04:34</v>
      </c>
    </row>
    <row r="20348" spans="1:7" x14ac:dyDescent="0.2">
      <c r="A20348" t="s">
        <v>19089</v>
      </c>
      <c r="B20348" t="str">
        <f>"18965268619"</f>
        <v>18965268619</v>
      </c>
      <c r="C20348" t="str">
        <f>"350425198510080051"</f>
        <v>350425198510080051</v>
      </c>
      <c r="D20348" t="s">
        <v>19090</v>
      </c>
      <c r="E20348" t="s">
        <v>19091</v>
      </c>
      <c r="F20348" t="s">
        <v>0</v>
      </c>
      <c r="G20348" t="str">
        <f>"2018-10-09 19:58:40"</f>
        <v>2018-10-09 19:58:40</v>
      </c>
    </row>
    <row r="20349" spans="1:7" x14ac:dyDescent="0.2">
      <c r="A20349" t="s">
        <v>19092</v>
      </c>
      <c r="B20349" t="str">
        <f>"18764673028"</f>
        <v>18764673028</v>
      </c>
      <c r="C20349" t="str">
        <f>"370783199809112730"</f>
        <v>370783199809112730</v>
      </c>
      <c r="D20349" t="s">
        <v>1</v>
      </c>
      <c r="E20349" t="s">
        <v>1</v>
      </c>
      <c r="F20349" t="s">
        <v>0</v>
      </c>
      <c r="G20349" t="str">
        <f>"2018-10-09 19:31:11"</f>
        <v>2018-10-09 19:31:11</v>
      </c>
    </row>
    <row r="20350" spans="1:7" x14ac:dyDescent="0.2">
      <c r="A20350" t="s">
        <v>1</v>
      </c>
      <c r="B20350" t="str">
        <f>"15329556677"</f>
        <v>15329556677</v>
      </c>
      <c r="C20350" t="s">
        <v>1</v>
      </c>
      <c r="D20350" t="s">
        <v>1</v>
      </c>
      <c r="E20350" t="s">
        <v>1</v>
      </c>
      <c r="F20350" t="s">
        <v>0</v>
      </c>
      <c r="G20350" t="str">
        <f>"2018-10-09 19:17:52"</f>
        <v>2018-10-09 19:17:52</v>
      </c>
    </row>
    <row r="20351" spans="1:7" x14ac:dyDescent="0.2">
      <c r="A20351" t="s">
        <v>1</v>
      </c>
      <c r="B20351" t="str">
        <f>"13547699172"</f>
        <v>13547699172</v>
      </c>
      <c r="C20351" t="s">
        <v>1</v>
      </c>
      <c r="D20351" t="s">
        <v>1</v>
      </c>
      <c r="E20351" t="s">
        <v>1</v>
      </c>
      <c r="F20351" t="s">
        <v>0</v>
      </c>
      <c r="G20351" t="str">
        <f>"2018-10-09 19:03:45"</f>
        <v>2018-10-09 19:03:45</v>
      </c>
    </row>
    <row r="20352" spans="1:7" x14ac:dyDescent="0.2">
      <c r="A20352" t="s">
        <v>1</v>
      </c>
      <c r="B20352" t="str">
        <f>"15155949353"</f>
        <v>15155949353</v>
      </c>
      <c r="C20352" t="s">
        <v>1</v>
      </c>
      <c r="D20352" t="s">
        <v>1</v>
      </c>
      <c r="E20352" t="s">
        <v>1</v>
      </c>
      <c r="F20352" t="s">
        <v>0</v>
      </c>
      <c r="G20352" t="str">
        <f>"2018-10-09 19:00:12"</f>
        <v>2018-10-09 19:00:12</v>
      </c>
    </row>
    <row r="20353" spans="1:7" x14ac:dyDescent="0.2">
      <c r="A20353" t="s">
        <v>1</v>
      </c>
      <c r="B20353" t="str">
        <f>"15229727842"</f>
        <v>15229727842</v>
      </c>
      <c r="C20353" t="s">
        <v>1</v>
      </c>
      <c r="D20353" t="s">
        <v>1</v>
      </c>
      <c r="E20353" t="s">
        <v>1</v>
      </c>
      <c r="F20353" t="s">
        <v>0</v>
      </c>
      <c r="G20353" t="str">
        <f>"2018-10-09 18:55:58"</f>
        <v>2018-10-09 18:55:58</v>
      </c>
    </row>
    <row r="20354" spans="1:7" x14ac:dyDescent="0.2">
      <c r="A20354" t="s">
        <v>101</v>
      </c>
      <c r="B20354" t="str">
        <f>"13225209828"</f>
        <v>13225209828</v>
      </c>
      <c r="C20354" t="str">
        <f>"320721198609043213"</f>
        <v>320721198609043213</v>
      </c>
      <c r="D20354" t="s">
        <v>1</v>
      </c>
      <c r="E20354" t="s">
        <v>1</v>
      </c>
      <c r="F20354" t="s">
        <v>0</v>
      </c>
      <c r="G20354" t="str">
        <f>"2018-10-09 18:51:07"</f>
        <v>2018-10-09 18:51:07</v>
      </c>
    </row>
    <row r="20355" spans="1:7" x14ac:dyDescent="0.2">
      <c r="A20355" t="s">
        <v>19093</v>
      </c>
      <c r="B20355" t="str">
        <f>"13950596083"</f>
        <v>13950596083</v>
      </c>
      <c r="C20355" t="str">
        <f>"352228199501063078"</f>
        <v>352228199501063078</v>
      </c>
      <c r="D20355" t="s">
        <v>1</v>
      </c>
      <c r="E20355" t="s">
        <v>1</v>
      </c>
      <c r="F20355" t="s">
        <v>0</v>
      </c>
      <c r="G20355" t="str">
        <f>"2018-10-09 18:40:16"</f>
        <v>2018-10-09 18:40:16</v>
      </c>
    </row>
    <row r="20356" spans="1:7" x14ac:dyDescent="0.2">
      <c r="A20356" t="s">
        <v>1</v>
      </c>
      <c r="B20356" t="str">
        <f>"18623788384"</f>
        <v>18623788384</v>
      </c>
      <c r="C20356" t="s">
        <v>1</v>
      </c>
      <c r="D20356" t="s">
        <v>1</v>
      </c>
      <c r="E20356" t="s">
        <v>1</v>
      </c>
      <c r="F20356" t="s">
        <v>0</v>
      </c>
      <c r="G20356" t="str">
        <f>"2018-10-09 18:24:43"</f>
        <v>2018-10-09 18:24:43</v>
      </c>
    </row>
    <row r="20357" spans="1:7" x14ac:dyDescent="0.2">
      <c r="A20357" t="s">
        <v>1</v>
      </c>
      <c r="B20357" t="str">
        <f>"13874127107"</f>
        <v>13874127107</v>
      </c>
      <c r="C20357" t="s">
        <v>1</v>
      </c>
      <c r="D20357" t="s">
        <v>1</v>
      </c>
      <c r="E20357" t="s">
        <v>1</v>
      </c>
      <c r="F20357" t="s">
        <v>0</v>
      </c>
      <c r="G20357" t="str">
        <f>"2018-10-09 18:16:24"</f>
        <v>2018-10-09 18:16:24</v>
      </c>
    </row>
    <row r="20358" spans="1:7" x14ac:dyDescent="0.2">
      <c r="A20358" t="s">
        <v>1</v>
      </c>
      <c r="B20358" t="str">
        <f>"18609673083"</f>
        <v>18609673083</v>
      </c>
      <c r="C20358" t="s">
        <v>1</v>
      </c>
      <c r="D20358" t="s">
        <v>1</v>
      </c>
      <c r="E20358" t="s">
        <v>1</v>
      </c>
      <c r="F20358" t="s">
        <v>0</v>
      </c>
      <c r="G20358" t="str">
        <f>"2018-10-09 18:16:53"</f>
        <v>2018-10-09 18:16:53</v>
      </c>
    </row>
    <row r="20359" spans="1:7" x14ac:dyDescent="0.2">
      <c r="A20359" t="s">
        <v>19094</v>
      </c>
      <c r="B20359" t="str">
        <f>"15913919355"</f>
        <v>15913919355</v>
      </c>
      <c r="C20359" t="str">
        <f>"440524196904064531"</f>
        <v>440524196904064531</v>
      </c>
      <c r="D20359" t="s">
        <v>1</v>
      </c>
      <c r="E20359" t="s">
        <v>1</v>
      </c>
      <c r="F20359" t="s">
        <v>0</v>
      </c>
      <c r="G20359" t="str">
        <f>"2018-10-09 18:32:42"</f>
        <v>2018-10-09 18:32:42</v>
      </c>
    </row>
    <row r="20360" spans="1:7" x14ac:dyDescent="0.2">
      <c r="A20360" t="s">
        <v>1</v>
      </c>
      <c r="B20360" t="str">
        <f>"17737062315"</f>
        <v>17737062315</v>
      </c>
      <c r="C20360" t="s">
        <v>1</v>
      </c>
      <c r="D20360" t="s">
        <v>1</v>
      </c>
      <c r="E20360" t="s">
        <v>1</v>
      </c>
      <c r="F20360" t="s">
        <v>0</v>
      </c>
      <c r="G20360" t="str">
        <f>"2018-10-09 18:09:28"</f>
        <v>2018-10-09 18:09:28</v>
      </c>
    </row>
    <row r="20361" spans="1:7" x14ac:dyDescent="0.2">
      <c r="A20361" t="s">
        <v>19095</v>
      </c>
      <c r="B20361" t="str">
        <f>"13726235235"</f>
        <v>13726235235</v>
      </c>
      <c r="C20361" t="str">
        <f>"522424199007081016"</f>
        <v>522424199007081016</v>
      </c>
      <c r="D20361" t="s">
        <v>19096</v>
      </c>
      <c r="E20361" t="s">
        <v>19097</v>
      </c>
      <c r="F20361" t="s">
        <v>0</v>
      </c>
      <c r="G20361" t="str">
        <f>"2018-10-09 18:05:17"</f>
        <v>2018-10-09 18:05:17</v>
      </c>
    </row>
    <row r="20362" spans="1:7" x14ac:dyDescent="0.2">
      <c r="A20362" t="s">
        <v>1</v>
      </c>
      <c r="B20362" t="str">
        <f>"18790740511"</f>
        <v>18790740511</v>
      </c>
      <c r="C20362" t="s">
        <v>1</v>
      </c>
      <c r="D20362" t="s">
        <v>1</v>
      </c>
      <c r="E20362" t="s">
        <v>1</v>
      </c>
      <c r="F20362" t="s">
        <v>0</v>
      </c>
      <c r="G20362" t="str">
        <f>"2018-10-09 18:02:35"</f>
        <v>2018-10-09 18:02:35</v>
      </c>
    </row>
    <row r="20363" spans="1:7" x14ac:dyDescent="0.2">
      <c r="A20363" t="s">
        <v>19098</v>
      </c>
      <c r="B20363" t="str">
        <f>"15982005908"</f>
        <v>15982005908</v>
      </c>
      <c r="C20363" t="str">
        <f>"510121198310057218"</f>
        <v>510121198310057218</v>
      </c>
      <c r="D20363" t="s">
        <v>19099</v>
      </c>
      <c r="E20363" t="s">
        <v>19100</v>
      </c>
      <c r="F20363" t="s">
        <v>0</v>
      </c>
      <c r="G20363" t="str">
        <f>"2018-10-09 18:00:27"</f>
        <v>2018-10-09 18:00:27</v>
      </c>
    </row>
    <row r="20364" spans="1:7" x14ac:dyDescent="0.2">
      <c r="A20364" t="s">
        <v>19101</v>
      </c>
      <c r="B20364" t="str">
        <f>"17715535540"</f>
        <v>17715535540</v>
      </c>
      <c r="C20364" t="str">
        <f>"342201198202028516"</f>
        <v>342201198202028516</v>
      </c>
      <c r="D20364" t="s">
        <v>1</v>
      </c>
      <c r="E20364" t="s">
        <v>1</v>
      </c>
      <c r="F20364" t="s">
        <v>0</v>
      </c>
      <c r="G20364" t="str">
        <f>"2018-10-09 17:59:38"</f>
        <v>2018-10-09 17:59:38</v>
      </c>
    </row>
    <row r="20365" spans="1:7" x14ac:dyDescent="0.2">
      <c r="A20365" t="s">
        <v>1</v>
      </c>
      <c r="B20365" t="str">
        <f>"15379988173"</f>
        <v>15379988173</v>
      </c>
      <c r="C20365" t="s">
        <v>1</v>
      </c>
      <c r="D20365" t="s">
        <v>1</v>
      </c>
      <c r="E20365" t="s">
        <v>1</v>
      </c>
      <c r="F20365" t="s">
        <v>0</v>
      </c>
      <c r="G20365" t="str">
        <f>"2018-10-09 17:55:53"</f>
        <v>2018-10-09 17:55:53</v>
      </c>
    </row>
    <row r="20366" spans="1:7" x14ac:dyDescent="0.2">
      <c r="A20366" t="s">
        <v>19102</v>
      </c>
      <c r="B20366" t="str">
        <f>"18705009995"</f>
        <v>18705009995</v>
      </c>
      <c r="C20366" t="str">
        <f>"350122199108291116"</f>
        <v>350122199108291116</v>
      </c>
      <c r="D20366" t="s">
        <v>1</v>
      </c>
      <c r="E20366" t="s">
        <v>1</v>
      </c>
      <c r="F20366" t="s">
        <v>0</v>
      </c>
      <c r="G20366" t="str">
        <f>"2018-10-10 16:50:34"</f>
        <v>2018-10-10 16:50:34</v>
      </c>
    </row>
    <row r="20367" spans="1:7" x14ac:dyDescent="0.2">
      <c r="A20367" t="s">
        <v>19103</v>
      </c>
      <c r="B20367" t="str">
        <f>"15531941196"</f>
        <v>15531941196</v>
      </c>
      <c r="C20367" t="str">
        <f>"132223197002122211"</f>
        <v>132223197002122211</v>
      </c>
      <c r="D20367" t="s">
        <v>1</v>
      </c>
      <c r="E20367" t="s">
        <v>1</v>
      </c>
      <c r="F20367" t="s">
        <v>0</v>
      </c>
      <c r="G20367" t="str">
        <f>"2018-10-09 17:53:27"</f>
        <v>2018-10-09 17:53:27</v>
      </c>
    </row>
    <row r="20368" spans="1:7" x14ac:dyDescent="0.2">
      <c r="A20368" t="s">
        <v>1</v>
      </c>
      <c r="B20368" t="str">
        <f>"13994797776"</f>
        <v>13994797776</v>
      </c>
      <c r="C20368" t="s">
        <v>1</v>
      </c>
      <c r="D20368" t="s">
        <v>1</v>
      </c>
      <c r="E20368" t="s">
        <v>1</v>
      </c>
      <c r="F20368" t="s">
        <v>0</v>
      </c>
      <c r="G20368" t="str">
        <f>"2018-10-09 17:45:51"</f>
        <v>2018-10-09 17:45:51</v>
      </c>
    </row>
    <row r="20369" spans="1:7" x14ac:dyDescent="0.2">
      <c r="A20369" t="s">
        <v>1</v>
      </c>
      <c r="B20369" t="str">
        <f>"13178850336"</f>
        <v>13178850336</v>
      </c>
      <c r="C20369" t="s">
        <v>1</v>
      </c>
      <c r="D20369" t="s">
        <v>1</v>
      </c>
      <c r="E20369" t="s">
        <v>1</v>
      </c>
      <c r="F20369" t="s">
        <v>0</v>
      </c>
      <c r="G20369" t="str">
        <f>"2018-10-09 17:43:03"</f>
        <v>2018-10-09 17:43:03</v>
      </c>
    </row>
    <row r="20370" spans="1:7" x14ac:dyDescent="0.2">
      <c r="A20370" t="s">
        <v>1</v>
      </c>
      <c r="B20370" t="str">
        <f>"13692397057"</f>
        <v>13692397057</v>
      </c>
      <c r="C20370" t="s">
        <v>1</v>
      </c>
      <c r="D20370" t="s">
        <v>1</v>
      </c>
      <c r="E20370" t="s">
        <v>1</v>
      </c>
      <c r="F20370" t="s">
        <v>0</v>
      </c>
      <c r="G20370" t="str">
        <f>"2018-10-09 17:40:45"</f>
        <v>2018-10-09 17:40:45</v>
      </c>
    </row>
    <row r="20371" spans="1:7" x14ac:dyDescent="0.2">
      <c r="A20371" t="s">
        <v>1</v>
      </c>
      <c r="B20371" t="str">
        <f>"13648892370"</f>
        <v>13648892370</v>
      </c>
      <c r="C20371" t="s">
        <v>1</v>
      </c>
      <c r="D20371" t="s">
        <v>1</v>
      </c>
      <c r="E20371" t="s">
        <v>1</v>
      </c>
      <c r="F20371" t="s">
        <v>0</v>
      </c>
      <c r="G20371" t="str">
        <f>"2018-10-09 17:40:22"</f>
        <v>2018-10-09 17:40:22</v>
      </c>
    </row>
    <row r="20372" spans="1:7" x14ac:dyDescent="0.2">
      <c r="A20372" t="s">
        <v>1</v>
      </c>
      <c r="B20372" t="str">
        <f>"18993076715"</f>
        <v>18993076715</v>
      </c>
      <c r="C20372" t="s">
        <v>1</v>
      </c>
      <c r="D20372" t="s">
        <v>1</v>
      </c>
      <c r="E20372" t="s">
        <v>1</v>
      </c>
      <c r="F20372" t="s">
        <v>0</v>
      </c>
      <c r="G20372" t="str">
        <f>"2018-10-09 17:38:41"</f>
        <v>2018-10-09 17:38:41</v>
      </c>
    </row>
    <row r="20373" spans="1:7" x14ac:dyDescent="0.2">
      <c r="A20373" t="s">
        <v>1</v>
      </c>
      <c r="B20373" t="str">
        <f>"18625890534"</f>
        <v>18625890534</v>
      </c>
      <c r="C20373" t="s">
        <v>1</v>
      </c>
      <c r="D20373" t="s">
        <v>1</v>
      </c>
      <c r="E20373" t="s">
        <v>1</v>
      </c>
      <c r="F20373" t="s">
        <v>0</v>
      </c>
      <c r="G20373" t="str">
        <f>"2018-10-09 17:36:20"</f>
        <v>2018-10-09 17:36:20</v>
      </c>
    </row>
    <row r="20374" spans="1:7" x14ac:dyDescent="0.2">
      <c r="A20374" t="s">
        <v>19104</v>
      </c>
      <c r="B20374" t="str">
        <f>"15377120028"</f>
        <v>15377120028</v>
      </c>
      <c r="C20374" t="str">
        <f>"421121199612292014"</f>
        <v>421121199612292014</v>
      </c>
      <c r="D20374" t="s">
        <v>1</v>
      </c>
      <c r="E20374" t="s">
        <v>1</v>
      </c>
      <c r="F20374" t="s">
        <v>0</v>
      </c>
      <c r="G20374" t="str">
        <f>"2018-10-09 17:36:33"</f>
        <v>2018-10-09 17:36:33</v>
      </c>
    </row>
    <row r="20375" spans="1:7" x14ac:dyDescent="0.2">
      <c r="A20375" t="s">
        <v>1</v>
      </c>
      <c r="B20375" t="str">
        <f>"13688570101"</f>
        <v>13688570101</v>
      </c>
      <c r="C20375" t="s">
        <v>1</v>
      </c>
      <c r="D20375" t="s">
        <v>1</v>
      </c>
      <c r="E20375" t="s">
        <v>1</v>
      </c>
      <c r="F20375" t="s">
        <v>0</v>
      </c>
      <c r="G20375" t="str">
        <f>"2018-10-09 17:31:20"</f>
        <v>2018-10-09 17:31:20</v>
      </c>
    </row>
    <row r="20376" spans="1:7" x14ac:dyDescent="0.2">
      <c r="A20376" t="s">
        <v>19105</v>
      </c>
      <c r="B20376" t="str">
        <f>"13238880111"</f>
        <v>13238880111</v>
      </c>
      <c r="C20376" t="str">
        <f>"210123198901240219"</f>
        <v>210123198901240219</v>
      </c>
      <c r="D20376" t="s">
        <v>19106</v>
      </c>
      <c r="E20376" t="s">
        <v>19107</v>
      </c>
      <c r="F20376" t="s">
        <v>0</v>
      </c>
      <c r="G20376" t="str">
        <f>"2018-10-09 17:24:12"</f>
        <v>2018-10-09 17:24:12</v>
      </c>
    </row>
    <row r="20377" spans="1:7" x14ac:dyDescent="0.2">
      <c r="A20377" t="s">
        <v>1</v>
      </c>
      <c r="B20377" t="str">
        <f>"15278515244"</f>
        <v>15278515244</v>
      </c>
      <c r="C20377" t="s">
        <v>1</v>
      </c>
      <c r="D20377" t="s">
        <v>1</v>
      </c>
      <c r="E20377" t="s">
        <v>1</v>
      </c>
      <c r="F20377" t="s">
        <v>0</v>
      </c>
      <c r="G20377" t="str">
        <f>"2018-10-09 17:21:46"</f>
        <v>2018-10-09 17:21:46</v>
      </c>
    </row>
    <row r="20378" spans="1:7" x14ac:dyDescent="0.2">
      <c r="A20378" t="s">
        <v>19108</v>
      </c>
      <c r="B20378" t="str">
        <f>"13672929455"</f>
        <v>13672929455</v>
      </c>
      <c r="C20378" t="str">
        <f>"440782199210115670"</f>
        <v>440782199210115670</v>
      </c>
      <c r="D20378" t="s">
        <v>1703</v>
      </c>
      <c r="E20378" t="s">
        <v>19109</v>
      </c>
      <c r="F20378" t="s">
        <v>0</v>
      </c>
      <c r="G20378" t="str">
        <f>"2018-10-09 17:22:01"</f>
        <v>2018-10-09 17:22:01</v>
      </c>
    </row>
    <row r="20379" spans="1:7" x14ac:dyDescent="0.2">
      <c r="A20379" t="s">
        <v>19110</v>
      </c>
      <c r="B20379" t="str">
        <f>"13408613067"</f>
        <v>13408613067</v>
      </c>
      <c r="C20379" t="str">
        <f>"510112199204231217"</f>
        <v>510112199204231217</v>
      </c>
      <c r="D20379" t="s">
        <v>1</v>
      </c>
      <c r="E20379" t="s">
        <v>1</v>
      </c>
      <c r="F20379" t="s">
        <v>0</v>
      </c>
      <c r="G20379" t="str">
        <f>"2018-10-09 17:18:14"</f>
        <v>2018-10-09 17:18:14</v>
      </c>
    </row>
    <row r="20380" spans="1:7" x14ac:dyDescent="0.2">
      <c r="A20380" t="s">
        <v>677</v>
      </c>
      <c r="B20380" t="str">
        <f>"17607193117"</f>
        <v>17607193117</v>
      </c>
      <c r="C20380" t="str">
        <f>"420103196510093738"</f>
        <v>420103196510093738</v>
      </c>
      <c r="D20380" t="s">
        <v>19111</v>
      </c>
      <c r="E20380" t="s">
        <v>19112</v>
      </c>
      <c r="F20380" t="s">
        <v>0</v>
      </c>
      <c r="G20380" t="str">
        <f>"2018-10-09 17:18:04"</f>
        <v>2018-10-09 17:18:04</v>
      </c>
    </row>
    <row r="20381" spans="1:7" x14ac:dyDescent="0.2">
      <c r="A20381" t="s">
        <v>1</v>
      </c>
      <c r="B20381" t="str">
        <f>"15186971085"</f>
        <v>15186971085</v>
      </c>
      <c r="C20381" t="s">
        <v>1</v>
      </c>
      <c r="D20381" t="s">
        <v>1</v>
      </c>
      <c r="E20381" t="s">
        <v>1</v>
      </c>
      <c r="F20381" t="s">
        <v>0</v>
      </c>
      <c r="G20381" t="str">
        <f>"2018-10-09 17:08:18"</f>
        <v>2018-10-09 17:08:18</v>
      </c>
    </row>
    <row r="20382" spans="1:7" x14ac:dyDescent="0.2">
      <c r="A20382" t="s">
        <v>19113</v>
      </c>
      <c r="B20382" t="str">
        <f>"13689007078"</f>
        <v>13689007078</v>
      </c>
      <c r="C20382" t="str">
        <f>"511027197302018218"</f>
        <v>511027197302018218</v>
      </c>
      <c r="D20382" t="s">
        <v>1</v>
      </c>
      <c r="E20382" t="s">
        <v>1</v>
      </c>
      <c r="F20382" t="s">
        <v>0</v>
      </c>
      <c r="G20382" t="str">
        <f>"2018-10-09 17:48:01"</f>
        <v>2018-10-09 17:48:01</v>
      </c>
    </row>
    <row r="20383" spans="1:7" x14ac:dyDescent="0.2">
      <c r="A20383" t="s">
        <v>19114</v>
      </c>
      <c r="B20383" t="str">
        <f>"13759235500"</f>
        <v>13759235500</v>
      </c>
      <c r="C20383" t="str">
        <f>"533103198201123486"</f>
        <v>533103198201123486</v>
      </c>
      <c r="D20383" t="s">
        <v>19115</v>
      </c>
      <c r="E20383" t="s">
        <v>19116</v>
      </c>
      <c r="F20383" t="s">
        <v>0</v>
      </c>
      <c r="G20383" t="str">
        <f>"2018-10-22 10:57:48"</f>
        <v>2018-10-22 10:57:48</v>
      </c>
    </row>
    <row r="20384" spans="1:7" x14ac:dyDescent="0.2">
      <c r="A20384" t="s">
        <v>1</v>
      </c>
      <c r="B20384" t="str">
        <f>"15873199776"</f>
        <v>15873199776</v>
      </c>
      <c r="C20384" t="s">
        <v>1</v>
      </c>
      <c r="D20384" t="s">
        <v>1</v>
      </c>
      <c r="E20384" t="s">
        <v>1</v>
      </c>
      <c r="F20384" t="s">
        <v>0</v>
      </c>
      <c r="G20384" t="str">
        <f>"2018-10-09 17:01:17"</f>
        <v>2018-10-09 17:01:17</v>
      </c>
    </row>
    <row r="20385" spans="1:7" x14ac:dyDescent="0.2">
      <c r="A20385" t="s">
        <v>1</v>
      </c>
      <c r="B20385" t="str">
        <f>"13517216879"</f>
        <v>13517216879</v>
      </c>
      <c r="C20385" t="s">
        <v>1</v>
      </c>
      <c r="D20385" t="s">
        <v>1</v>
      </c>
      <c r="E20385" t="s">
        <v>1</v>
      </c>
      <c r="F20385" t="s">
        <v>0</v>
      </c>
      <c r="G20385" t="str">
        <f>"2018-10-09 16:50:59"</f>
        <v>2018-10-09 16:50:59</v>
      </c>
    </row>
    <row r="20386" spans="1:7" x14ac:dyDescent="0.2">
      <c r="A20386" t="s">
        <v>1675</v>
      </c>
      <c r="B20386" t="str">
        <f>"15555795392"</f>
        <v>15555795392</v>
      </c>
      <c r="C20386" t="str">
        <f>"342224199503200673"</f>
        <v>342224199503200673</v>
      </c>
      <c r="D20386" t="s">
        <v>1</v>
      </c>
      <c r="E20386" t="s">
        <v>1</v>
      </c>
      <c r="F20386" t="s">
        <v>0</v>
      </c>
      <c r="G20386" t="str">
        <f>"2018-10-09 16:50:46"</f>
        <v>2018-10-09 16:50:46</v>
      </c>
    </row>
    <row r="20387" spans="1:7" x14ac:dyDescent="0.2">
      <c r="A20387" t="s">
        <v>19117</v>
      </c>
      <c r="B20387" t="str">
        <f>"18271211377"</f>
        <v>18271211377</v>
      </c>
      <c r="C20387" t="str">
        <f>"420621199002152758"</f>
        <v>420621199002152758</v>
      </c>
      <c r="D20387" t="s">
        <v>1</v>
      </c>
      <c r="E20387" t="s">
        <v>1</v>
      </c>
      <c r="F20387" t="s">
        <v>0</v>
      </c>
      <c r="G20387" t="str">
        <f>"2018-10-09 16:39:03"</f>
        <v>2018-10-09 16:39:03</v>
      </c>
    </row>
    <row r="20388" spans="1:7" x14ac:dyDescent="0.2">
      <c r="A20388" t="s">
        <v>19118</v>
      </c>
      <c r="B20388" t="str">
        <f>"15079762627"</f>
        <v>15079762627</v>
      </c>
      <c r="C20388" t="str">
        <f>"360735199605060518"</f>
        <v>360735199605060518</v>
      </c>
      <c r="D20388" t="s">
        <v>1</v>
      </c>
      <c r="E20388" t="s">
        <v>1</v>
      </c>
      <c r="F20388" t="s">
        <v>0</v>
      </c>
      <c r="G20388" t="str">
        <f>"2018-10-09 16:34:52"</f>
        <v>2018-10-09 16:34:52</v>
      </c>
    </row>
    <row r="20389" spans="1:7" x14ac:dyDescent="0.2">
      <c r="A20389" t="s">
        <v>19119</v>
      </c>
      <c r="B20389" t="str">
        <f>"17879305871"</f>
        <v>17879305871</v>
      </c>
      <c r="C20389" t="str">
        <f>"362330198309300234"</f>
        <v>362330198309300234</v>
      </c>
      <c r="D20389" t="s">
        <v>1</v>
      </c>
      <c r="E20389" t="s">
        <v>1</v>
      </c>
      <c r="F20389" t="s">
        <v>0</v>
      </c>
      <c r="G20389" t="str">
        <f>"2018-10-09 16:26:52"</f>
        <v>2018-10-09 16:26:52</v>
      </c>
    </row>
    <row r="20390" spans="1:7" x14ac:dyDescent="0.2">
      <c r="A20390" t="s">
        <v>19120</v>
      </c>
      <c r="B20390" t="str">
        <f>"15970835909"</f>
        <v>15970835909</v>
      </c>
      <c r="C20390" t="str">
        <f>"362129197111131913"</f>
        <v>362129197111131913</v>
      </c>
      <c r="D20390" t="s">
        <v>1</v>
      </c>
      <c r="E20390" t="s">
        <v>1</v>
      </c>
      <c r="F20390" t="s">
        <v>0</v>
      </c>
      <c r="G20390" t="str">
        <f>"2018-10-09 16:22:00"</f>
        <v>2018-10-09 16:22:00</v>
      </c>
    </row>
    <row r="20391" spans="1:7" x14ac:dyDescent="0.2">
      <c r="A20391" t="s">
        <v>1</v>
      </c>
      <c r="B20391" t="str">
        <f>"13589293795"</f>
        <v>13589293795</v>
      </c>
      <c r="C20391" t="s">
        <v>1</v>
      </c>
      <c r="D20391" t="s">
        <v>1</v>
      </c>
      <c r="E20391" t="s">
        <v>1</v>
      </c>
      <c r="F20391" t="s">
        <v>0</v>
      </c>
      <c r="G20391" t="str">
        <f>"2018-10-09 15:59:52"</f>
        <v>2018-10-09 15:59:52</v>
      </c>
    </row>
    <row r="20392" spans="1:7" x14ac:dyDescent="0.2">
      <c r="A20392" t="s">
        <v>19121</v>
      </c>
      <c r="B20392" t="str">
        <f>"13458086904"</f>
        <v>13458086904</v>
      </c>
      <c r="C20392" t="str">
        <f>"510726199512120413"</f>
        <v>510726199512120413</v>
      </c>
      <c r="D20392" t="s">
        <v>1</v>
      </c>
      <c r="E20392" t="s">
        <v>1</v>
      </c>
      <c r="F20392" t="s">
        <v>0</v>
      </c>
      <c r="G20392" t="str">
        <f>"2018-10-09 15:49:39"</f>
        <v>2018-10-09 15:49:39</v>
      </c>
    </row>
    <row r="20393" spans="1:7" x14ac:dyDescent="0.2">
      <c r="A20393" t="s">
        <v>1</v>
      </c>
      <c r="B20393" t="str">
        <f>"15108848120"</f>
        <v>15108848120</v>
      </c>
      <c r="C20393" t="s">
        <v>1</v>
      </c>
      <c r="D20393" t="s">
        <v>1</v>
      </c>
      <c r="E20393" t="s">
        <v>1</v>
      </c>
      <c r="F20393" t="s">
        <v>0</v>
      </c>
      <c r="G20393" t="str">
        <f>"2018-10-09 15:47:07"</f>
        <v>2018-10-09 15:47:07</v>
      </c>
    </row>
    <row r="20394" spans="1:7" x14ac:dyDescent="0.2">
      <c r="A20394" t="s">
        <v>19122</v>
      </c>
      <c r="B20394" t="str">
        <f>"15877718264"</f>
        <v>15877718264</v>
      </c>
      <c r="C20394" t="str">
        <f>"330324198612252816"</f>
        <v>330324198612252816</v>
      </c>
      <c r="D20394" t="s">
        <v>1</v>
      </c>
      <c r="E20394" t="s">
        <v>1</v>
      </c>
      <c r="F20394" t="s">
        <v>0</v>
      </c>
      <c r="G20394" t="str">
        <f>"2018-10-09 15:42:21"</f>
        <v>2018-10-09 15:42:21</v>
      </c>
    </row>
    <row r="20395" spans="1:7" x14ac:dyDescent="0.2">
      <c r="A20395" t="s">
        <v>19123</v>
      </c>
      <c r="B20395" t="str">
        <f>"15931946244"</f>
        <v>15931946244</v>
      </c>
      <c r="C20395" t="str">
        <f>"130638198811165528"</f>
        <v>130638198811165528</v>
      </c>
      <c r="D20395" t="s">
        <v>1</v>
      </c>
      <c r="E20395" t="s">
        <v>1</v>
      </c>
      <c r="F20395" t="s">
        <v>0</v>
      </c>
      <c r="G20395" t="str">
        <f>"2018-10-09 15:21:08"</f>
        <v>2018-10-09 15:21:08</v>
      </c>
    </row>
    <row r="20396" spans="1:7" x14ac:dyDescent="0.2">
      <c r="A20396" t="s">
        <v>1</v>
      </c>
      <c r="B20396" t="str">
        <f>"13634063707"</f>
        <v>13634063707</v>
      </c>
      <c r="C20396" t="s">
        <v>1</v>
      </c>
      <c r="D20396" t="s">
        <v>1</v>
      </c>
      <c r="E20396" t="s">
        <v>1</v>
      </c>
      <c r="F20396" t="s">
        <v>0</v>
      </c>
      <c r="G20396" t="str">
        <f>"2018-10-09 15:16:59"</f>
        <v>2018-10-09 15:16:59</v>
      </c>
    </row>
    <row r="20397" spans="1:7" x14ac:dyDescent="0.2">
      <c r="A20397" t="s">
        <v>1</v>
      </c>
      <c r="B20397" t="str">
        <f>"13505849017"</f>
        <v>13505849017</v>
      </c>
      <c r="C20397" t="s">
        <v>1</v>
      </c>
      <c r="D20397" t="s">
        <v>1</v>
      </c>
      <c r="E20397" t="s">
        <v>1</v>
      </c>
      <c r="F20397" t="s">
        <v>0</v>
      </c>
      <c r="G20397" t="str">
        <f>"2018-10-09 15:13:14"</f>
        <v>2018-10-09 15:13:14</v>
      </c>
    </row>
    <row r="20398" spans="1:7" x14ac:dyDescent="0.2">
      <c r="A20398" t="s">
        <v>243</v>
      </c>
      <c r="B20398" t="str">
        <f>"15953267133"</f>
        <v>15953267133</v>
      </c>
      <c r="C20398" t="str">
        <f>"370782199703211822"</f>
        <v>370782199703211822</v>
      </c>
      <c r="D20398" t="s">
        <v>19124</v>
      </c>
      <c r="E20398" t="s">
        <v>19125</v>
      </c>
      <c r="F20398" t="s">
        <v>0</v>
      </c>
      <c r="G20398" t="str">
        <f>"2018-10-09 15:05:41"</f>
        <v>2018-10-09 15:05:41</v>
      </c>
    </row>
    <row r="20399" spans="1:7" x14ac:dyDescent="0.2">
      <c r="A20399" t="s">
        <v>19126</v>
      </c>
      <c r="B20399" t="str">
        <f>"15595228397"</f>
        <v>15595228397</v>
      </c>
      <c r="C20399" t="str">
        <f>"642126198310271225"</f>
        <v>642126198310271225</v>
      </c>
      <c r="D20399" t="s">
        <v>1</v>
      </c>
      <c r="E20399" t="s">
        <v>1</v>
      </c>
      <c r="F20399" t="s">
        <v>0</v>
      </c>
      <c r="G20399" t="str">
        <f>"2018-10-09 14:44:45"</f>
        <v>2018-10-09 14:44:45</v>
      </c>
    </row>
    <row r="20400" spans="1:7" x14ac:dyDescent="0.2">
      <c r="A20400" t="s">
        <v>1</v>
      </c>
      <c r="B20400" t="str">
        <f>"18286357681"</f>
        <v>18286357681</v>
      </c>
      <c r="C20400" t="s">
        <v>1</v>
      </c>
      <c r="D20400" t="s">
        <v>1</v>
      </c>
      <c r="E20400" t="s">
        <v>1</v>
      </c>
      <c r="F20400" t="s">
        <v>0</v>
      </c>
      <c r="G20400" t="str">
        <f>"2018-10-09 14:31:44"</f>
        <v>2018-10-09 14:31:44</v>
      </c>
    </row>
    <row r="20401" spans="1:7" x14ac:dyDescent="0.2">
      <c r="A20401" t="s">
        <v>19127</v>
      </c>
      <c r="B20401" t="str">
        <f>"13858927474"</f>
        <v>13858927474</v>
      </c>
      <c r="C20401" t="str">
        <f>"33252619800628491X"</f>
        <v>33252619800628491X</v>
      </c>
      <c r="D20401" t="s">
        <v>19128</v>
      </c>
      <c r="E20401" t="s">
        <v>19129</v>
      </c>
      <c r="F20401" t="s">
        <v>0</v>
      </c>
      <c r="G20401" t="str">
        <f>"2018-10-09 14:07:37"</f>
        <v>2018-10-09 14:07:37</v>
      </c>
    </row>
    <row r="20402" spans="1:7" x14ac:dyDescent="0.2">
      <c r="A20402" t="s">
        <v>19130</v>
      </c>
      <c r="B20402" t="str">
        <f>"17678031195"</f>
        <v>17678031195</v>
      </c>
      <c r="C20402" t="str">
        <f>"152321199602116988"</f>
        <v>152321199602116988</v>
      </c>
      <c r="D20402" t="s">
        <v>1</v>
      </c>
      <c r="E20402" t="s">
        <v>1</v>
      </c>
      <c r="F20402" t="s">
        <v>0</v>
      </c>
      <c r="G20402" t="str">
        <f>"2018-10-09 13:59:32"</f>
        <v>2018-10-09 13:59:32</v>
      </c>
    </row>
    <row r="20403" spans="1:7" x14ac:dyDescent="0.2">
      <c r="A20403" t="s">
        <v>19131</v>
      </c>
      <c r="B20403" t="str">
        <f>"15198229226"</f>
        <v>15198229226</v>
      </c>
      <c r="C20403" t="str">
        <f>"370684199506016128"</f>
        <v>370684199506016128</v>
      </c>
      <c r="D20403" t="s">
        <v>1</v>
      </c>
      <c r="E20403" t="s">
        <v>1</v>
      </c>
      <c r="F20403" t="s">
        <v>0</v>
      </c>
      <c r="G20403" t="str">
        <f>"2018-10-09 13:57:59"</f>
        <v>2018-10-09 13:57:59</v>
      </c>
    </row>
    <row r="20404" spans="1:7" x14ac:dyDescent="0.2">
      <c r="A20404" t="s">
        <v>1</v>
      </c>
      <c r="B20404" t="str">
        <f>"13720386488"</f>
        <v>13720386488</v>
      </c>
      <c r="C20404" t="s">
        <v>1</v>
      </c>
      <c r="D20404" t="s">
        <v>1</v>
      </c>
      <c r="E20404" t="s">
        <v>1</v>
      </c>
      <c r="F20404" t="s">
        <v>0</v>
      </c>
      <c r="G20404" t="str">
        <f>"2018-10-09 13:44:58"</f>
        <v>2018-10-09 13:44:58</v>
      </c>
    </row>
    <row r="20405" spans="1:7" x14ac:dyDescent="0.2">
      <c r="A20405" t="s">
        <v>1</v>
      </c>
      <c r="B20405" t="str">
        <f>"17684012652"</f>
        <v>17684012652</v>
      </c>
      <c r="C20405" t="s">
        <v>1</v>
      </c>
      <c r="D20405" t="s">
        <v>1</v>
      </c>
      <c r="E20405" t="s">
        <v>1</v>
      </c>
      <c r="F20405" t="s">
        <v>0</v>
      </c>
      <c r="G20405" t="str">
        <f>"2018-10-09 13:10:10"</f>
        <v>2018-10-09 13:10:10</v>
      </c>
    </row>
    <row r="20406" spans="1:7" x14ac:dyDescent="0.2">
      <c r="A20406" t="s">
        <v>17</v>
      </c>
      <c r="B20406" t="str">
        <f>"18323582121"</f>
        <v>18323582121</v>
      </c>
      <c r="C20406" t="str">
        <f>"500235199410118475"</f>
        <v>500235199410118475</v>
      </c>
      <c r="D20406" t="s">
        <v>1</v>
      </c>
      <c r="E20406" t="s">
        <v>1</v>
      </c>
      <c r="F20406" t="s">
        <v>0</v>
      </c>
      <c r="G20406" t="str">
        <f>"2018-10-09 12:54:49"</f>
        <v>2018-10-09 12:54:49</v>
      </c>
    </row>
    <row r="20407" spans="1:7" x14ac:dyDescent="0.2">
      <c r="A20407" t="s">
        <v>1</v>
      </c>
      <c r="B20407" t="str">
        <f>"18858735262"</f>
        <v>18858735262</v>
      </c>
      <c r="C20407" t="s">
        <v>1</v>
      </c>
      <c r="D20407" t="s">
        <v>1</v>
      </c>
      <c r="E20407" t="s">
        <v>1</v>
      </c>
      <c r="F20407" t="s">
        <v>0</v>
      </c>
      <c r="G20407" t="str">
        <f>"2018-10-09 12:43:16"</f>
        <v>2018-10-09 12:43:16</v>
      </c>
    </row>
    <row r="20408" spans="1:7" x14ac:dyDescent="0.2">
      <c r="A20408" t="s">
        <v>19132</v>
      </c>
      <c r="B20408" t="str">
        <f>"13351156361"</f>
        <v>13351156361</v>
      </c>
      <c r="C20408" t="str">
        <f>"232321199707056918"</f>
        <v>232321199707056918</v>
      </c>
      <c r="D20408" t="s">
        <v>1</v>
      </c>
      <c r="E20408" t="s">
        <v>1</v>
      </c>
      <c r="F20408" t="s">
        <v>0</v>
      </c>
      <c r="G20408" t="str">
        <f>"2018-10-09 12:39:47"</f>
        <v>2018-10-09 12:39:47</v>
      </c>
    </row>
    <row r="20409" spans="1:7" x14ac:dyDescent="0.2">
      <c r="A20409" t="s">
        <v>19133</v>
      </c>
      <c r="B20409" t="str">
        <f>"13753109474"</f>
        <v>13753109474</v>
      </c>
      <c r="C20409" t="str">
        <f>"140103198012265412"</f>
        <v>140103198012265412</v>
      </c>
      <c r="D20409" t="s">
        <v>1</v>
      </c>
      <c r="E20409" t="s">
        <v>1</v>
      </c>
      <c r="F20409" t="s">
        <v>0</v>
      </c>
      <c r="G20409" t="str">
        <f>"2018-10-09 12:18:57"</f>
        <v>2018-10-09 12:18:57</v>
      </c>
    </row>
    <row r="20410" spans="1:7" x14ac:dyDescent="0.2">
      <c r="A20410" t="s">
        <v>19134</v>
      </c>
      <c r="B20410" t="str">
        <f>"13544787764"</f>
        <v>13544787764</v>
      </c>
      <c r="C20410" t="str">
        <f>"441900198906044228"</f>
        <v>441900198906044228</v>
      </c>
      <c r="D20410" t="s">
        <v>1</v>
      </c>
      <c r="E20410" t="s">
        <v>1</v>
      </c>
      <c r="F20410" t="s">
        <v>0</v>
      </c>
      <c r="G20410" t="str">
        <f>"2018-10-09 12:50:09"</f>
        <v>2018-10-09 12:50:09</v>
      </c>
    </row>
    <row r="20411" spans="1:7" x14ac:dyDescent="0.2">
      <c r="A20411" t="s">
        <v>1</v>
      </c>
      <c r="B20411" t="str">
        <f>"18219292663"</f>
        <v>18219292663</v>
      </c>
      <c r="C20411" t="s">
        <v>1</v>
      </c>
      <c r="D20411" t="s">
        <v>1</v>
      </c>
      <c r="E20411" t="s">
        <v>1</v>
      </c>
      <c r="F20411" t="s">
        <v>0</v>
      </c>
      <c r="G20411" t="str">
        <f>"2018-10-09 11:38:32"</f>
        <v>2018-10-09 11:38:32</v>
      </c>
    </row>
    <row r="20412" spans="1:7" x14ac:dyDescent="0.2">
      <c r="A20412" t="s">
        <v>19135</v>
      </c>
      <c r="B20412" t="str">
        <f>"13799146865"</f>
        <v>13799146865</v>
      </c>
      <c r="C20412" t="str">
        <f>"352101197808114728"</f>
        <v>352101197808114728</v>
      </c>
      <c r="D20412" t="s">
        <v>1</v>
      </c>
      <c r="E20412" t="s">
        <v>1</v>
      </c>
      <c r="F20412" t="s">
        <v>0</v>
      </c>
      <c r="G20412" t="str">
        <f>"2018-10-09 11:28:54"</f>
        <v>2018-10-09 11:28:54</v>
      </c>
    </row>
    <row r="20413" spans="1:7" x14ac:dyDescent="0.2">
      <c r="A20413" t="s">
        <v>19136</v>
      </c>
      <c r="B20413" t="str">
        <f>"13851752830"</f>
        <v>13851752830</v>
      </c>
      <c r="C20413" t="str">
        <f>"321023199201263458"</f>
        <v>321023199201263458</v>
      </c>
      <c r="D20413" t="s">
        <v>1</v>
      </c>
      <c r="E20413" t="s">
        <v>1</v>
      </c>
      <c r="F20413" t="s">
        <v>0</v>
      </c>
      <c r="G20413" t="str">
        <f>"2018-10-09 11:19:17"</f>
        <v>2018-10-09 11:19:17</v>
      </c>
    </row>
    <row r="20414" spans="1:7" x14ac:dyDescent="0.2">
      <c r="A20414" t="s">
        <v>19137</v>
      </c>
      <c r="B20414" t="str">
        <f>"18383916717"</f>
        <v>18383916717</v>
      </c>
      <c r="C20414" t="str">
        <f>"532128198511230013"</f>
        <v>532128198511230013</v>
      </c>
      <c r="D20414" t="s">
        <v>1</v>
      </c>
      <c r="E20414" t="s">
        <v>1</v>
      </c>
      <c r="F20414" t="s">
        <v>0</v>
      </c>
      <c r="G20414" t="str">
        <f>"2018-10-09 13:58:58"</f>
        <v>2018-10-09 13:58:58</v>
      </c>
    </row>
    <row r="20415" spans="1:7" x14ac:dyDescent="0.2">
      <c r="A20415" t="s">
        <v>1</v>
      </c>
      <c r="B20415" t="str">
        <f>"13880596012"</f>
        <v>13880596012</v>
      </c>
      <c r="C20415" t="s">
        <v>1</v>
      </c>
      <c r="D20415" t="s">
        <v>1</v>
      </c>
      <c r="E20415" t="s">
        <v>1</v>
      </c>
      <c r="F20415" t="s">
        <v>0</v>
      </c>
      <c r="G20415" t="str">
        <f>"2018-10-13 12:15:12"</f>
        <v>2018-10-13 12:15:12</v>
      </c>
    </row>
    <row r="20416" spans="1:7" x14ac:dyDescent="0.2">
      <c r="A20416" t="s">
        <v>1</v>
      </c>
      <c r="B20416" t="str">
        <f>"13935540866"</f>
        <v>13935540866</v>
      </c>
      <c r="C20416" t="s">
        <v>1</v>
      </c>
      <c r="D20416" t="s">
        <v>1</v>
      </c>
      <c r="E20416" t="s">
        <v>1</v>
      </c>
      <c r="F20416" t="s">
        <v>0</v>
      </c>
      <c r="G20416" t="str">
        <f>"2018-10-09 10:49:18"</f>
        <v>2018-10-09 10:49:18</v>
      </c>
    </row>
    <row r="20417" spans="1:7" x14ac:dyDescent="0.2">
      <c r="A20417" t="s">
        <v>1</v>
      </c>
      <c r="B20417" t="str">
        <f>"13657810277"</f>
        <v>13657810277</v>
      </c>
      <c r="C20417" t="s">
        <v>1</v>
      </c>
      <c r="D20417" t="s">
        <v>1</v>
      </c>
      <c r="E20417" t="s">
        <v>1</v>
      </c>
      <c r="F20417" t="s">
        <v>0</v>
      </c>
      <c r="G20417" t="str">
        <f>"2018-10-09 10:45:16"</f>
        <v>2018-10-09 10:45:16</v>
      </c>
    </row>
    <row r="20418" spans="1:7" x14ac:dyDescent="0.2">
      <c r="A20418" t="s">
        <v>1</v>
      </c>
      <c r="B20418" t="str">
        <f>"18308656561"</f>
        <v>18308656561</v>
      </c>
      <c r="C20418" t="s">
        <v>1</v>
      </c>
      <c r="D20418" t="s">
        <v>1</v>
      </c>
      <c r="E20418" t="s">
        <v>1</v>
      </c>
      <c r="F20418" t="s">
        <v>0</v>
      </c>
      <c r="G20418" t="str">
        <f>"2018-10-09 10:44:38"</f>
        <v>2018-10-09 10:44:38</v>
      </c>
    </row>
    <row r="20419" spans="1:7" x14ac:dyDescent="0.2">
      <c r="A20419" t="s">
        <v>19138</v>
      </c>
      <c r="B20419" t="str">
        <f>"13983384265"</f>
        <v>13983384265</v>
      </c>
      <c r="C20419" t="str">
        <f>"452722197405042086"</f>
        <v>452722197405042086</v>
      </c>
      <c r="D20419" t="s">
        <v>1</v>
      </c>
      <c r="E20419" t="s">
        <v>1</v>
      </c>
      <c r="F20419" t="s">
        <v>0</v>
      </c>
      <c r="G20419" t="str">
        <f>"2018-10-09 15:08:56"</f>
        <v>2018-10-09 15:08:56</v>
      </c>
    </row>
    <row r="20420" spans="1:7" x14ac:dyDescent="0.2">
      <c r="A20420" t="s">
        <v>19139</v>
      </c>
      <c r="B20420" t="str">
        <f>"15985077077"</f>
        <v>15985077077</v>
      </c>
      <c r="C20420" t="str">
        <f>"520121198706012835"</f>
        <v>520121198706012835</v>
      </c>
      <c r="D20420" t="s">
        <v>1</v>
      </c>
      <c r="E20420" t="s">
        <v>1</v>
      </c>
      <c r="F20420" t="s">
        <v>0</v>
      </c>
      <c r="G20420" t="str">
        <f>"2018-10-09 10:25:32"</f>
        <v>2018-10-09 10:25:32</v>
      </c>
    </row>
    <row r="20421" spans="1:7" x14ac:dyDescent="0.2">
      <c r="A20421" t="s">
        <v>1</v>
      </c>
      <c r="B20421" t="str">
        <f>"13634531939"</f>
        <v>13634531939</v>
      </c>
      <c r="C20421" t="s">
        <v>1</v>
      </c>
      <c r="D20421" t="s">
        <v>1</v>
      </c>
      <c r="E20421" t="s">
        <v>1</v>
      </c>
      <c r="F20421" t="s">
        <v>0</v>
      </c>
      <c r="G20421" t="str">
        <f>"2018-10-09 10:18:53"</f>
        <v>2018-10-09 10:18:53</v>
      </c>
    </row>
    <row r="20422" spans="1:7" x14ac:dyDescent="0.2">
      <c r="A20422" t="s">
        <v>19140</v>
      </c>
      <c r="B20422" t="str">
        <f>"18309511122"</f>
        <v>18309511122</v>
      </c>
      <c r="C20422" t="str">
        <f>"640202199102190030"</f>
        <v>640202199102190030</v>
      </c>
      <c r="D20422" t="s">
        <v>1</v>
      </c>
      <c r="E20422" t="s">
        <v>1</v>
      </c>
      <c r="F20422" t="s">
        <v>0</v>
      </c>
      <c r="G20422" t="str">
        <f>"2018-10-09 10:18:01"</f>
        <v>2018-10-09 10:18:01</v>
      </c>
    </row>
    <row r="20423" spans="1:7" x14ac:dyDescent="0.2">
      <c r="A20423" t="s">
        <v>19141</v>
      </c>
      <c r="B20423" t="str">
        <f>"18669599393"</f>
        <v>18669599393</v>
      </c>
      <c r="C20423" t="str">
        <f>"371326199004115813"</f>
        <v>371326199004115813</v>
      </c>
      <c r="D20423" t="s">
        <v>1</v>
      </c>
      <c r="E20423" t="s">
        <v>1</v>
      </c>
      <c r="F20423" t="s">
        <v>0</v>
      </c>
      <c r="G20423" t="str">
        <f>"2018-10-09 14:38:57"</f>
        <v>2018-10-09 14:38:57</v>
      </c>
    </row>
    <row r="20424" spans="1:7" x14ac:dyDescent="0.2">
      <c r="A20424" t="s">
        <v>19142</v>
      </c>
      <c r="B20424" t="str">
        <f>"15280007710"</f>
        <v>15280007710</v>
      </c>
      <c r="C20424" t="str">
        <f>"36232919841202421X"</f>
        <v>36232919841202421X</v>
      </c>
      <c r="D20424" t="s">
        <v>1</v>
      </c>
      <c r="E20424" t="s">
        <v>1</v>
      </c>
      <c r="F20424" t="s">
        <v>0</v>
      </c>
      <c r="G20424" t="str">
        <f>"2018-10-09 10:09:15"</f>
        <v>2018-10-09 10:09:15</v>
      </c>
    </row>
    <row r="20425" spans="1:7" x14ac:dyDescent="0.2">
      <c r="A20425" t="s">
        <v>19143</v>
      </c>
      <c r="B20425" t="str">
        <f>"17878395617"</f>
        <v>17878395617</v>
      </c>
      <c r="C20425" t="str">
        <f>"142701198904245734"</f>
        <v>142701198904245734</v>
      </c>
      <c r="D20425" t="s">
        <v>1</v>
      </c>
      <c r="E20425" t="s">
        <v>1</v>
      </c>
      <c r="F20425" t="s">
        <v>0</v>
      </c>
      <c r="G20425" t="str">
        <f>"2018-10-09 12:48:23"</f>
        <v>2018-10-09 12:48:23</v>
      </c>
    </row>
    <row r="20426" spans="1:7" x14ac:dyDescent="0.2">
      <c r="A20426" t="s">
        <v>19144</v>
      </c>
      <c r="B20426" t="str">
        <f>"18277532355"</f>
        <v>18277532355</v>
      </c>
      <c r="C20426" t="str">
        <f>"522630199207190020"</f>
        <v>522630199207190020</v>
      </c>
      <c r="D20426" t="s">
        <v>1</v>
      </c>
      <c r="E20426" t="s">
        <v>1</v>
      </c>
      <c r="F20426" t="s">
        <v>0</v>
      </c>
      <c r="G20426" t="str">
        <f>"2018-10-09 10:13:21"</f>
        <v>2018-10-09 10:13:21</v>
      </c>
    </row>
    <row r="20427" spans="1:7" x14ac:dyDescent="0.2">
      <c r="A20427" t="s">
        <v>1</v>
      </c>
      <c r="B20427" t="str">
        <f>"13660908070"</f>
        <v>13660908070</v>
      </c>
      <c r="C20427" t="s">
        <v>1</v>
      </c>
      <c r="D20427" t="s">
        <v>1</v>
      </c>
      <c r="E20427" t="s">
        <v>1</v>
      </c>
      <c r="F20427" t="s">
        <v>0</v>
      </c>
      <c r="G20427" t="str">
        <f>"2018-10-09 09:56:55"</f>
        <v>2018-10-09 09:56:55</v>
      </c>
    </row>
    <row r="20428" spans="1:7" x14ac:dyDescent="0.2">
      <c r="A20428" t="s">
        <v>19145</v>
      </c>
      <c r="B20428" t="str">
        <f>"15371009809"</f>
        <v>15371009809</v>
      </c>
      <c r="C20428" t="str">
        <f>"341181199502076018"</f>
        <v>341181199502076018</v>
      </c>
      <c r="D20428" t="s">
        <v>1</v>
      </c>
      <c r="E20428" t="s">
        <v>1</v>
      </c>
      <c r="F20428" t="s">
        <v>0</v>
      </c>
      <c r="G20428" t="str">
        <f>"2018-10-09 09:59:06"</f>
        <v>2018-10-09 09:59:06</v>
      </c>
    </row>
    <row r="20429" spans="1:7" x14ac:dyDescent="0.2">
      <c r="A20429" t="s">
        <v>1</v>
      </c>
      <c r="B20429" t="str">
        <f>"13872989255"</f>
        <v>13872989255</v>
      </c>
      <c r="C20429" t="s">
        <v>1</v>
      </c>
      <c r="D20429" t="s">
        <v>1</v>
      </c>
      <c r="E20429" t="s">
        <v>1</v>
      </c>
      <c r="F20429" t="s">
        <v>0</v>
      </c>
      <c r="G20429" t="str">
        <f>"2018-10-09 09:50:30"</f>
        <v>2018-10-09 09:50:30</v>
      </c>
    </row>
    <row r="20430" spans="1:7" x14ac:dyDescent="0.2">
      <c r="A20430" t="s">
        <v>19146</v>
      </c>
      <c r="B20430" t="str">
        <f>"13676370456"</f>
        <v>13676370456</v>
      </c>
      <c r="C20430" t="str">
        <f>"370822197105044278"</f>
        <v>370822197105044278</v>
      </c>
      <c r="D20430" t="s">
        <v>1</v>
      </c>
      <c r="E20430" t="s">
        <v>1</v>
      </c>
      <c r="F20430" t="s">
        <v>0</v>
      </c>
      <c r="G20430" t="str">
        <f>"2018-10-09 09:21:26"</f>
        <v>2018-10-09 09:21:26</v>
      </c>
    </row>
    <row r="20431" spans="1:7" x14ac:dyDescent="0.2">
      <c r="A20431" t="s">
        <v>1</v>
      </c>
      <c r="B20431" t="str">
        <f>"13982104210"</f>
        <v>13982104210</v>
      </c>
      <c r="C20431" t="s">
        <v>1</v>
      </c>
      <c r="D20431" t="s">
        <v>1</v>
      </c>
      <c r="E20431" t="s">
        <v>1</v>
      </c>
      <c r="F20431" t="s">
        <v>0</v>
      </c>
      <c r="G20431" t="str">
        <f>"2018-10-09 09:24:11"</f>
        <v>2018-10-09 09:24:11</v>
      </c>
    </row>
    <row r="20432" spans="1:7" x14ac:dyDescent="0.2">
      <c r="A20432" t="s">
        <v>19147</v>
      </c>
      <c r="B20432" t="str">
        <f>"18185076890"</f>
        <v>18185076890</v>
      </c>
      <c r="C20432" t="str">
        <f>"511023199307165077"</f>
        <v>511023199307165077</v>
      </c>
      <c r="D20432" t="s">
        <v>1</v>
      </c>
      <c r="E20432" t="s">
        <v>1</v>
      </c>
      <c r="F20432" t="s">
        <v>0</v>
      </c>
      <c r="G20432" t="str">
        <f>"2018-10-09 08:42:36"</f>
        <v>2018-10-09 08:42:36</v>
      </c>
    </row>
    <row r="20433" spans="1:7" x14ac:dyDescent="0.2">
      <c r="A20433" t="s">
        <v>19148</v>
      </c>
      <c r="B20433" t="str">
        <f>"15336643860"</f>
        <v>15336643860</v>
      </c>
      <c r="C20433" t="str">
        <f>"330227197910012019"</f>
        <v>330227197910012019</v>
      </c>
      <c r="D20433" t="s">
        <v>1</v>
      </c>
      <c r="E20433" t="s">
        <v>1</v>
      </c>
      <c r="F20433" t="s">
        <v>0</v>
      </c>
      <c r="G20433" t="str">
        <f>"2018-10-09 08:52:52"</f>
        <v>2018-10-09 08:52:52</v>
      </c>
    </row>
    <row r="20434" spans="1:7" x14ac:dyDescent="0.2">
      <c r="A20434" t="s">
        <v>1</v>
      </c>
      <c r="B20434" t="str">
        <f>"18661776137"</f>
        <v>18661776137</v>
      </c>
      <c r="C20434" t="s">
        <v>1</v>
      </c>
      <c r="D20434" t="s">
        <v>1</v>
      </c>
      <c r="E20434" t="s">
        <v>1</v>
      </c>
      <c r="F20434" t="s">
        <v>0</v>
      </c>
      <c r="G20434" t="str">
        <f>"2018-10-09 06:58:36"</f>
        <v>2018-10-09 06:58:36</v>
      </c>
    </row>
    <row r="20435" spans="1:7" x14ac:dyDescent="0.2">
      <c r="A20435" t="s">
        <v>1</v>
      </c>
      <c r="B20435" t="str">
        <f>"15285376572"</f>
        <v>15285376572</v>
      </c>
      <c r="C20435" t="s">
        <v>1</v>
      </c>
      <c r="D20435" t="s">
        <v>1</v>
      </c>
      <c r="E20435" t="s">
        <v>1</v>
      </c>
      <c r="F20435" t="s">
        <v>0</v>
      </c>
      <c r="G20435" t="str">
        <f>"2018-10-09 04:14:50"</f>
        <v>2018-10-09 04:14:50</v>
      </c>
    </row>
    <row r="20436" spans="1:7" x14ac:dyDescent="0.2">
      <c r="A20436" t="s">
        <v>1</v>
      </c>
      <c r="B20436" t="str">
        <f>"15035132772"</f>
        <v>15035132772</v>
      </c>
      <c r="C20436" t="s">
        <v>1</v>
      </c>
      <c r="D20436" t="s">
        <v>1</v>
      </c>
      <c r="E20436" t="s">
        <v>1</v>
      </c>
      <c r="F20436" t="s">
        <v>0</v>
      </c>
      <c r="G20436" t="str">
        <f>"2018-10-09 04:08:51"</f>
        <v>2018-10-09 04:08:51</v>
      </c>
    </row>
    <row r="20437" spans="1:7" x14ac:dyDescent="0.2">
      <c r="A20437" t="s">
        <v>1</v>
      </c>
      <c r="B20437" t="str">
        <f>"13709049300"</f>
        <v>13709049300</v>
      </c>
      <c r="C20437" t="s">
        <v>1</v>
      </c>
      <c r="D20437" t="s">
        <v>1</v>
      </c>
      <c r="E20437" t="s">
        <v>1</v>
      </c>
      <c r="F20437" t="s">
        <v>0</v>
      </c>
      <c r="G20437" t="str">
        <f>"2018-10-09 03:16:39"</f>
        <v>2018-10-09 03:16:39</v>
      </c>
    </row>
    <row r="20438" spans="1:7" x14ac:dyDescent="0.2">
      <c r="A20438" t="s">
        <v>1</v>
      </c>
      <c r="B20438" t="str">
        <f>"17773291852"</f>
        <v>17773291852</v>
      </c>
      <c r="C20438" t="s">
        <v>1</v>
      </c>
      <c r="D20438" t="s">
        <v>1</v>
      </c>
      <c r="E20438" t="s">
        <v>1</v>
      </c>
      <c r="F20438" t="s">
        <v>0</v>
      </c>
      <c r="G20438" t="str">
        <f>"2018-10-09 02:21:12"</f>
        <v>2018-10-09 02:21:12</v>
      </c>
    </row>
    <row r="20439" spans="1:7" x14ac:dyDescent="0.2">
      <c r="A20439" t="s">
        <v>10419</v>
      </c>
      <c r="B20439" t="str">
        <f>"18319157535"</f>
        <v>18319157535</v>
      </c>
      <c r="C20439" t="str">
        <f>"440921198010116891"</f>
        <v>440921198010116891</v>
      </c>
      <c r="D20439" t="s">
        <v>1</v>
      </c>
      <c r="E20439" t="s">
        <v>1</v>
      </c>
      <c r="F20439" t="s">
        <v>0</v>
      </c>
      <c r="G20439" t="str">
        <f>"2018-10-09 00:18:45"</f>
        <v>2018-10-09 00:18:45</v>
      </c>
    </row>
    <row r="20440" spans="1:7" x14ac:dyDescent="0.2">
      <c r="A20440" t="s">
        <v>19149</v>
      </c>
      <c r="B20440" t="str">
        <f>"15920313933"</f>
        <v>15920313933</v>
      </c>
      <c r="C20440" t="str">
        <f>"43052219881109842X"</f>
        <v>43052219881109842X</v>
      </c>
      <c r="D20440" t="s">
        <v>19150</v>
      </c>
      <c r="E20440" t="s">
        <v>19151</v>
      </c>
      <c r="F20440" t="s">
        <v>0</v>
      </c>
      <c r="G20440" t="str">
        <f>"2018-10-10 01:20:53"</f>
        <v>2018-10-10 01:20:53</v>
      </c>
    </row>
    <row r="20441" spans="1:7" x14ac:dyDescent="0.2">
      <c r="A20441" t="s">
        <v>1</v>
      </c>
      <c r="B20441" t="str">
        <f>"18616330318"</f>
        <v>18616330318</v>
      </c>
      <c r="C20441" t="s">
        <v>1</v>
      </c>
      <c r="D20441" t="s">
        <v>1</v>
      </c>
      <c r="E20441" t="s">
        <v>1</v>
      </c>
      <c r="F20441" t="s">
        <v>0</v>
      </c>
      <c r="G20441" t="str">
        <f>"2018-10-08 23:58:17"</f>
        <v>2018-10-08 23:58:17</v>
      </c>
    </row>
    <row r="20442" spans="1:7" x14ac:dyDescent="0.2">
      <c r="A20442" t="s">
        <v>19152</v>
      </c>
      <c r="B20442" t="str">
        <f>"18941328989"</f>
        <v>18941328989</v>
      </c>
      <c r="C20442" t="str">
        <f>"210411198708092913"</f>
        <v>210411198708092913</v>
      </c>
      <c r="D20442" t="s">
        <v>19153</v>
      </c>
      <c r="E20442" t="s">
        <v>19154</v>
      </c>
      <c r="F20442" t="s">
        <v>0</v>
      </c>
      <c r="G20442" t="str">
        <f>"2018-10-08 23:49:50"</f>
        <v>2018-10-08 23:49:50</v>
      </c>
    </row>
    <row r="20443" spans="1:7" x14ac:dyDescent="0.2">
      <c r="A20443" t="s">
        <v>19155</v>
      </c>
      <c r="B20443" t="str">
        <f>"15807137741"</f>
        <v>15807137741</v>
      </c>
      <c r="C20443" t="str">
        <f>"420104199307282023"</f>
        <v>420104199307282023</v>
      </c>
      <c r="D20443" t="s">
        <v>1</v>
      </c>
      <c r="E20443" t="s">
        <v>1</v>
      </c>
      <c r="F20443" t="s">
        <v>0</v>
      </c>
      <c r="G20443" t="str">
        <f>"2018-10-28 01:22:02"</f>
        <v>2018-10-28 01:22:02</v>
      </c>
    </row>
    <row r="20444" spans="1:7" x14ac:dyDescent="0.2">
      <c r="A20444" t="s">
        <v>19156</v>
      </c>
      <c r="B20444" t="str">
        <f>"15735206333"</f>
        <v>15735206333</v>
      </c>
      <c r="C20444" t="str">
        <f>"140202198004275521"</f>
        <v>140202198004275521</v>
      </c>
      <c r="D20444" t="s">
        <v>1</v>
      </c>
      <c r="E20444" t="s">
        <v>1</v>
      </c>
      <c r="F20444" t="s">
        <v>0</v>
      </c>
      <c r="G20444" t="str">
        <f>"2018-10-09 16:14:41"</f>
        <v>2018-10-09 16:14:41</v>
      </c>
    </row>
    <row r="20445" spans="1:7" x14ac:dyDescent="0.2">
      <c r="A20445" t="s">
        <v>1</v>
      </c>
      <c r="B20445" t="str">
        <f>"15056904106"</f>
        <v>15056904106</v>
      </c>
      <c r="C20445" t="s">
        <v>1</v>
      </c>
      <c r="D20445" t="s">
        <v>1</v>
      </c>
      <c r="E20445" t="s">
        <v>1</v>
      </c>
      <c r="F20445" t="s">
        <v>0</v>
      </c>
      <c r="G20445" t="str">
        <f>"2018-10-08 22:39:40"</f>
        <v>2018-10-08 22:39:40</v>
      </c>
    </row>
    <row r="20446" spans="1:7" x14ac:dyDescent="0.2">
      <c r="A20446" t="s">
        <v>19157</v>
      </c>
      <c r="B20446" t="str">
        <f>"17601460078"</f>
        <v>17601460078</v>
      </c>
      <c r="C20446" t="str">
        <f>"410329199902189639"</f>
        <v>410329199902189639</v>
      </c>
      <c r="D20446" t="s">
        <v>1</v>
      </c>
      <c r="E20446" t="s">
        <v>1</v>
      </c>
      <c r="F20446" t="s">
        <v>0</v>
      </c>
      <c r="G20446" t="str">
        <f>"2018-10-08 22:05:10"</f>
        <v>2018-10-08 22:05:10</v>
      </c>
    </row>
    <row r="20447" spans="1:7" x14ac:dyDescent="0.2">
      <c r="A20447" t="s">
        <v>19158</v>
      </c>
      <c r="B20447" t="str">
        <f>"13838352173"</f>
        <v>13838352173</v>
      </c>
      <c r="C20447" t="str">
        <f>"410103198301112426"</f>
        <v>410103198301112426</v>
      </c>
      <c r="D20447" t="s">
        <v>1</v>
      </c>
      <c r="E20447" t="s">
        <v>1</v>
      </c>
      <c r="F20447" t="s">
        <v>0</v>
      </c>
      <c r="G20447" t="str">
        <f>"2018-10-08 21:37:22"</f>
        <v>2018-10-08 21:37:22</v>
      </c>
    </row>
    <row r="20448" spans="1:7" x14ac:dyDescent="0.2">
      <c r="A20448" t="s">
        <v>19159</v>
      </c>
      <c r="B20448" t="str">
        <f>"18261034371"</f>
        <v>18261034371</v>
      </c>
      <c r="C20448" t="str">
        <f>"321282199402015232"</f>
        <v>321282199402015232</v>
      </c>
      <c r="D20448" t="s">
        <v>1</v>
      </c>
      <c r="E20448" t="s">
        <v>1</v>
      </c>
      <c r="F20448" t="s">
        <v>0</v>
      </c>
      <c r="G20448" t="str">
        <f>"2018-10-08 21:23:44"</f>
        <v>2018-10-08 21:23:44</v>
      </c>
    </row>
    <row r="20449" spans="1:7" x14ac:dyDescent="0.2">
      <c r="A20449" t="s">
        <v>1</v>
      </c>
      <c r="B20449" t="str">
        <f>"13329333683"</f>
        <v>13329333683</v>
      </c>
      <c r="C20449" t="s">
        <v>1</v>
      </c>
      <c r="D20449" t="s">
        <v>1</v>
      </c>
      <c r="E20449" t="s">
        <v>1</v>
      </c>
      <c r="F20449" t="s">
        <v>0</v>
      </c>
      <c r="G20449" t="str">
        <f>"2018-10-08 20:13:16"</f>
        <v>2018-10-08 20:13:16</v>
      </c>
    </row>
    <row r="20450" spans="1:7" x14ac:dyDescent="0.2">
      <c r="A20450" t="s">
        <v>19160</v>
      </c>
      <c r="B20450" t="str">
        <f>"18250181547"</f>
        <v>18250181547</v>
      </c>
      <c r="C20450" t="str">
        <f>"350121199103074714"</f>
        <v>350121199103074714</v>
      </c>
      <c r="D20450" t="s">
        <v>1</v>
      </c>
      <c r="E20450" t="s">
        <v>1</v>
      </c>
      <c r="F20450" t="s">
        <v>0</v>
      </c>
      <c r="G20450" t="str">
        <f>"2018-10-24 17:06:16"</f>
        <v>2018-10-24 17:06:16</v>
      </c>
    </row>
    <row r="20451" spans="1:7" x14ac:dyDescent="0.2">
      <c r="A20451" t="s">
        <v>19161</v>
      </c>
      <c r="B20451" t="str">
        <f>"15183791495"</f>
        <v>15183791495</v>
      </c>
      <c r="C20451" t="str">
        <f>"513901199305251417"</f>
        <v>513901199305251417</v>
      </c>
      <c r="D20451" t="s">
        <v>1</v>
      </c>
      <c r="E20451" t="s">
        <v>1</v>
      </c>
      <c r="F20451" t="s">
        <v>0</v>
      </c>
      <c r="G20451" t="str">
        <f>"2018-10-08 19:36:49"</f>
        <v>2018-10-08 19:36:49</v>
      </c>
    </row>
    <row r="20452" spans="1:7" x14ac:dyDescent="0.2">
      <c r="A20452" t="s">
        <v>1</v>
      </c>
      <c r="B20452" t="str">
        <f>"15960388795"</f>
        <v>15960388795</v>
      </c>
      <c r="C20452" t="s">
        <v>1</v>
      </c>
      <c r="D20452" t="s">
        <v>1</v>
      </c>
      <c r="E20452" t="s">
        <v>1</v>
      </c>
      <c r="F20452" t="s">
        <v>0</v>
      </c>
      <c r="G20452" t="str">
        <f>"2018-10-08 19:09:45"</f>
        <v>2018-10-08 19:09:45</v>
      </c>
    </row>
    <row r="20453" spans="1:7" x14ac:dyDescent="0.2">
      <c r="A20453" t="s">
        <v>19162</v>
      </c>
      <c r="B20453" t="str">
        <f>"13585720158"</f>
        <v>13585720158</v>
      </c>
      <c r="C20453" t="str">
        <f>"310104197806300017"</f>
        <v>310104197806300017</v>
      </c>
      <c r="D20453" t="s">
        <v>1</v>
      </c>
      <c r="E20453" t="s">
        <v>1</v>
      </c>
      <c r="F20453" t="s">
        <v>0</v>
      </c>
      <c r="G20453" t="str">
        <f>"2018-10-08 18:42:03"</f>
        <v>2018-10-08 18:42:03</v>
      </c>
    </row>
    <row r="20454" spans="1:7" x14ac:dyDescent="0.2">
      <c r="A20454" t="s">
        <v>8895</v>
      </c>
      <c r="B20454" t="str">
        <f>"15247201416"</f>
        <v>15247201416</v>
      </c>
      <c r="C20454" t="str">
        <f>"15282419970227201X"</f>
        <v>15282419970227201X</v>
      </c>
      <c r="D20454" t="s">
        <v>19163</v>
      </c>
      <c r="E20454" t="s">
        <v>19164</v>
      </c>
      <c r="F20454" t="s">
        <v>0</v>
      </c>
      <c r="G20454" t="str">
        <f>"2018-10-08 18:27:18"</f>
        <v>2018-10-08 18:27:18</v>
      </c>
    </row>
    <row r="20455" spans="1:7" x14ac:dyDescent="0.2">
      <c r="A20455" t="s">
        <v>19165</v>
      </c>
      <c r="B20455" t="str">
        <f>"13400116924"</f>
        <v>13400116924</v>
      </c>
      <c r="C20455" t="str">
        <f>"130127198710101852"</f>
        <v>130127198710101852</v>
      </c>
      <c r="D20455" t="s">
        <v>1</v>
      </c>
      <c r="E20455" t="s">
        <v>1</v>
      </c>
      <c r="F20455" t="s">
        <v>0</v>
      </c>
      <c r="G20455" t="str">
        <f>"2018-10-08 17:58:53"</f>
        <v>2018-10-08 17:58:53</v>
      </c>
    </row>
    <row r="20456" spans="1:7" x14ac:dyDescent="0.2">
      <c r="A20456" t="s">
        <v>19166</v>
      </c>
      <c r="B20456" t="str">
        <f>"13430010500"</f>
        <v>13430010500</v>
      </c>
      <c r="C20456" t="str">
        <f>"445224198907153131"</f>
        <v>445224198907153131</v>
      </c>
      <c r="D20456" t="s">
        <v>19167</v>
      </c>
      <c r="E20456" t="s">
        <v>19168</v>
      </c>
      <c r="F20456" t="s">
        <v>0</v>
      </c>
      <c r="G20456" t="str">
        <f>"2018-10-10 10:26:18"</f>
        <v>2018-10-10 10:26:18</v>
      </c>
    </row>
    <row r="20457" spans="1:7" x14ac:dyDescent="0.2">
      <c r="A20457" t="s">
        <v>19169</v>
      </c>
      <c r="B20457" t="str">
        <f>"13928453913"</f>
        <v>13928453913</v>
      </c>
      <c r="C20457" t="str">
        <f>"420624198303180052"</f>
        <v>420624198303180052</v>
      </c>
      <c r="D20457" t="s">
        <v>19170</v>
      </c>
      <c r="E20457" t="s">
        <v>19171</v>
      </c>
      <c r="F20457" t="s">
        <v>0</v>
      </c>
      <c r="G20457" t="str">
        <f>"2018-10-08 17:08:58"</f>
        <v>2018-10-08 17:08:58</v>
      </c>
    </row>
    <row r="20458" spans="1:7" x14ac:dyDescent="0.2">
      <c r="A20458" t="s">
        <v>19172</v>
      </c>
      <c r="B20458" t="str">
        <f>"13852803331"</f>
        <v>13852803331</v>
      </c>
      <c r="C20458" t="str">
        <f>"32130219911021003X"</f>
        <v>32130219911021003X</v>
      </c>
      <c r="D20458" t="s">
        <v>1</v>
      </c>
      <c r="E20458" t="s">
        <v>1</v>
      </c>
      <c r="F20458" t="s">
        <v>0</v>
      </c>
      <c r="G20458" t="str">
        <f>"2018-10-08 17:01:51"</f>
        <v>2018-10-08 17:01:51</v>
      </c>
    </row>
    <row r="20459" spans="1:7" x14ac:dyDescent="0.2">
      <c r="A20459" t="s">
        <v>1</v>
      </c>
      <c r="B20459" t="str">
        <f>"15596898514"</f>
        <v>15596898514</v>
      </c>
      <c r="C20459" t="s">
        <v>1</v>
      </c>
      <c r="D20459" t="s">
        <v>1</v>
      </c>
      <c r="E20459" t="s">
        <v>1</v>
      </c>
      <c r="F20459" t="s">
        <v>0</v>
      </c>
      <c r="G20459" t="str">
        <f>"2018-10-08 16:59:14"</f>
        <v>2018-10-08 16:59:14</v>
      </c>
    </row>
    <row r="20460" spans="1:7" x14ac:dyDescent="0.2">
      <c r="A20460" t="s">
        <v>19173</v>
      </c>
      <c r="B20460" t="str">
        <f>"15208694966"</f>
        <v>15208694966</v>
      </c>
      <c r="C20460" t="str">
        <f>"52212119931205561X"</f>
        <v>52212119931205561X</v>
      </c>
      <c r="D20460" t="s">
        <v>1</v>
      </c>
      <c r="E20460" t="s">
        <v>1</v>
      </c>
      <c r="F20460" t="s">
        <v>0</v>
      </c>
      <c r="G20460" t="str">
        <f>"2018-10-10 20:29:21"</f>
        <v>2018-10-10 20:29:21</v>
      </c>
    </row>
    <row r="20461" spans="1:7" x14ac:dyDescent="0.2">
      <c r="A20461" t="s">
        <v>1175</v>
      </c>
      <c r="B20461" t="str">
        <f>"13700012188"</f>
        <v>13700012188</v>
      </c>
      <c r="C20461" t="str">
        <f>"210114197908120315"</f>
        <v>210114197908120315</v>
      </c>
      <c r="D20461" t="s">
        <v>19174</v>
      </c>
      <c r="E20461" t="s">
        <v>19175</v>
      </c>
      <c r="F20461" t="s">
        <v>0</v>
      </c>
      <c r="G20461" t="str">
        <f>"2018-10-21 18:38:59"</f>
        <v>2018-10-21 18:38:59</v>
      </c>
    </row>
    <row r="20462" spans="1:7" x14ac:dyDescent="0.2">
      <c r="A20462" t="s">
        <v>19176</v>
      </c>
      <c r="B20462" t="str">
        <f>"13191991000"</f>
        <v>13191991000</v>
      </c>
      <c r="C20462" t="str">
        <f>"130634199203061919"</f>
        <v>130634199203061919</v>
      </c>
      <c r="D20462" t="s">
        <v>1</v>
      </c>
      <c r="E20462" t="s">
        <v>1</v>
      </c>
      <c r="F20462" t="s">
        <v>0</v>
      </c>
      <c r="G20462" t="str">
        <f>"2018-10-08 19:05:57"</f>
        <v>2018-10-08 19:05:57</v>
      </c>
    </row>
    <row r="20463" spans="1:7" x14ac:dyDescent="0.2">
      <c r="A20463" t="s">
        <v>1</v>
      </c>
      <c r="B20463" t="str">
        <f>"13736300800"</f>
        <v>13736300800</v>
      </c>
      <c r="C20463" t="s">
        <v>1</v>
      </c>
      <c r="D20463" t="s">
        <v>1</v>
      </c>
      <c r="E20463" t="s">
        <v>1</v>
      </c>
      <c r="F20463" t="s">
        <v>0</v>
      </c>
      <c r="G20463" t="str">
        <f>"2018-10-08 16:10:49"</f>
        <v>2018-10-08 16:10:49</v>
      </c>
    </row>
    <row r="20464" spans="1:7" x14ac:dyDescent="0.2">
      <c r="A20464" t="s">
        <v>19177</v>
      </c>
      <c r="B20464" t="str">
        <f>"18755212256"</f>
        <v>18755212256</v>
      </c>
      <c r="C20464" t="str">
        <f>"340322199311105234"</f>
        <v>340322199311105234</v>
      </c>
      <c r="D20464" t="s">
        <v>1</v>
      </c>
      <c r="E20464" t="s">
        <v>1</v>
      </c>
      <c r="F20464" t="s">
        <v>0</v>
      </c>
      <c r="G20464" t="str">
        <f>"2018-10-08 15:51:39"</f>
        <v>2018-10-08 15:51:39</v>
      </c>
    </row>
    <row r="20465" spans="1:7" x14ac:dyDescent="0.2">
      <c r="A20465" t="s">
        <v>19178</v>
      </c>
      <c r="B20465" t="str">
        <f>"15221673785"</f>
        <v>15221673785</v>
      </c>
      <c r="C20465" t="str">
        <f>"410185199905039839"</f>
        <v>410185199905039839</v>
      </c>
      <c r="D20465" t="s">
        <v>1</v>
      </c>
      <c r="E20465" t="s">
        <v>1</v>
      </c>
      <c r="F20465" t="s">
        <v>0</v>
      </c>
      <c r="G20465" t="str">
        <f>"2018-10-08 15:51:53"</f>
        <v>2018-10-08 15:51:53</v>
      </c>
    </row>
    <row r="20466" spans="1:7" x14ac:dyDescent="0.2">
      <c r="A20466" t="s">
        <v>1</v>
      </c>
      <c r="B20466" t="str">
        <f>"13876828706"</f>
        <v>13876828706</v>
      </c>
      <c r="C20466" t="s">
        <v>1</v>
      </c>
      <c r="D20466" t="s">
        <v>1</v>
      </c>
      <c r="E20466" t="s">
        <v>1</v>
      </c>
      <c r="F20466" t="s">
        <v>0</v>
      </c>
      <c r="G20466" t="str">
        <f>"2018-10-08 15:38:56"</f>
        <v>2018-10-08 15:38:56</v>
      </c>
    </row>
    <row r="20467" spans="1:7" x14ac:dyDescent="0.2">
      <c r="A20467" t="s">
        <v>1486</v>
      </c>
      <c r="B20467" t="str">
        <f>"15765587935"</f>
        <v>15765587935</v>
      </c>
      <c r="C20467" t="str">
        <f>"232303198611080828"</f>
        <v>232303198611080828</v>
      </c>
      <c r="D20467" t="s">
        <v>1</v>
      </c>
      <c r="E20467" t="s">
        <v>1</v>
      </c>
      <c r="F20467" t="s">
        <v>0</v>
      </c>
      <c r="G20467" t="str">
        <f>"2018-10-08 15:41:20"</f>
        <v>2018-10-08 15:41:20</v>
      </c>
    </row>
    <row r="20468" spans="1:7" x14ac:dyDescent="0.2">
      <c r="A20468" t="s">
        <v>146</v>
      </c>
      <c r="B20468" t="str">
        <f>"18761246333"</f>
        <v>18761246333</v>
      </c>
      <c r="C20468" t="str">
        <f>"320982198612154276"</f>
        <v>320982198612154276</v>
      </c>
      <c r="D20468" t="s">
        <v>1</v>
      </c>
      <c r="E20468" t="s">
        <v>1</v>
      </c>
      <c r="F20468" t="s">
        <v>0</v>
      </c>
      <c r="G20468" t="str">
        <f>"2018-10-08 15:37:03"</f>
        <v>2018-10-08 15:37:03</v>
      </c>
    </row>
    <row r="20469" spans="1:7" x14ac:dyDescent="0.2">
      <c r="A20469" t="s">
        <v>1</v>
      </c>
      <c r="B20469" t="str">
        <f>"15826882734"</f>
        <v>15826882734</v>
      </c>
      <c r="C20469" t="s">
        <v>1</v>
      </c>
      <c r="D20469" t="s">
        <v>1</v>
      </c>
      <c r="E20469" t="s">
        <v>1</v>
      </c>
      <c r="F20469" t="s">
        <v>0</v>
      </c>
      <c r="G20469" t="str">
        <f>"2018-10-08 15:32:19"</f>
        <v>2018-10-08 15:32:19</v>
      </c>
    </row>
    <row r="20470" spans="1:7" x14ac:dyDescent="0.2">
      <c r="A20470" t="s">
        <v>1</v>
      </c>
      <c r="B20470" t="str">
        <f>"18950593632"</f>
        <v>18950593632</v>
      </c>
      <c r="C20470" t="s">
        <v>1</v>
      </c>
      <c r="D20470" t="s">
        <v>1</v>
      </c>
      <c r="E20470" t="s">
        <v>1</v>
      </c>
      <c r="F20470" t="s">
        <v>0</v>
      </c>
      <c r="G20470" t="str">
        <f>"2018-10-08 15:11:56"</f>
        <v>2018-10-08 15:11:56</v>
      </c>
    </row>
    <row r="20471" spans="1:7" x14ac:dyDescent="0.2">
      <c r="A20471" t="s">
        <v>1</v>
      </c>
      <c r="B20471" t="str">
        <f>"18775118899"</f>
        <v>18775118899</v>
      </c>
      <c r="C20471" t="s">
        <v>1</v>
      </c>
      <c r="D20471" t="s">
        <v>1</v>
      </c>
      <c r="E20471" t="s">
        <v>1</v>
      </c>
      <c r="F20471" t="s">
        <v>0</v>
      </c>
      <c r="G20471" t="str">
        <f>"2018-10-08 15:06:08"</f>
        <v>2018-10-08 15:06:08</v>
      </c>
    </row>
    <row r="20472" spans="1:7" x14ac:dyDescent="0.2">
      <c r="A20472" t="s">
        <v>19179</v>
      </c>
      <c r="B20472" t="str">
        <f>"13989430771"</f>
        <v>13989430771</v>
      </c>
      <c r="C20472" t="str">
        <f>"330726198110110935"</f>
        <v>330726198110110935</v>
      </c>
      <c r="D20472" t="s">
        <v>1</v>
      </c>
      <c r="E20472" t="s">
        <v>1</v>
      </c>
      <c r="F20472" t="s">
        <v>0</v>
      </c>
      <c r="G20472" t="str">
        <f>"2018-10-08 15:08:23"</f>
        <v>2018-10-08 15:08:23</v>
      </c>
    </row>
    <row r="20473" spans="1:7" x14ac:dyDescent="0.2">
      <c r="A20473" t="s">
        <v>103</v>
      </c>
      <c r="B20473" t="str">
        <f>"15813623253"</f>
        <v>15813623253</v>
      </c>
      <c r="C20473" t="str">
        <f>"440982199412292756"</f>
        <v>440982199412292756</v>
      </c>
      <c r="D20473" t="s">
        <v>1</v>
      </c>
      <c r="E20473" t="s">
        <v>1</v>
      </c>
      <c r="F20473" t="s">
        <v>0</v>
      </c>
      <c r="G20473" t="str">
        <f>"2018-10-08 15:04:56"</f>
        <v>2018-10-08 15:04:56</v>
      </c>
    </row>
    <row r="20474" spans="1:7" x14ac:dyDescent="0.2">
      <c r="A20474" t="s">
        <v>19180</v>
      </c>
      <c r="B20474" t="str">
        <f>"15555445913"</f>
        <v>15555445913</v>
      </c>
      <c r="C20474" t="str">
        <f>"342401199102043458"</f>
        <v>342401199102043458</v>
      </c>
      <c r="D20474" t="s">
        <v>1</v>
      </c>
      <c r="E20474" t="s">
        <v>1</v>
      </c>
      <c r="F20474" t="s">
        <v>0</v>
      </c>
      <c r="G20474" t="str">
        <f>"2018-10-08 15:03:34"</f>
        <v>2018-10-08 15:03:34</v>
      </c>
    </row>
    <row r="20475" spans="1:7" x14ac:dyDescent="0.2">
      <c r="A20475" t="s">
        <v>19181</v>
      </c>
      <c r="B20475" t="str">
        <f>"15277661411"</f>
        <v>15277661411</v>
      </c>
      <c r="C20475" t="str">
        <f>"452626199002080394"</f>
        <v>452626199002080394</v>
      </c>
      <c r="D20475" t="s">
        <v>1</v>
      </c>
      <c r="E20475" t="s">
        <v>1</v>
      </c>
      <c r="F20475" t="s">
        <v>0</v>
      </c>
      <c r="G20475" t="str">
        <f>"2018-10-08 15:03:27"</f>
        <v>2018-10-08 15:03:27</v>
      </c>
    </row>
    <row r="20476" spans="1:7" x14ac:dyDescent="0.2">
      <c r="A20476" t="s">
        <v>1</v>
      </c>
      <c r="B20476" t="str">
        <f>"13433370443"</f>
        <v>13433370443</v>
      </c>
      <c r="C20476" t="s">
        <v>1</v>
      </c>
      <c r="D20476" t="s">
        <v>1</v>
      </c>
      <c r="E20476" t="s">
        <v>1</v>
      </c>
      <c r="F20476" t="s">
        <v>0</v>
      </c>
      <c r="G20476" t="str">
        <f>"2018-10-08 14:53:50"</f>
        <v>2018-10-08 14:53:50</v>
      </c>
    </row>
    <row r="20477" spans="1:7" x14ac:dyDescent="0.2">
      <c r="A20477" t="s">
        <v>19182</v>
      </c>
      <c r="B20477" t="str">
        <f>"13537996069"</f>
        <v>13537996069</v>
      </c>
      <c r="C20477" t="str">
        <f>"440921197501256827"</f>
        <v>440921197501256827</v>
      </c>
      <c r="D20477" t="s">
        <v>1</v>
      </c>
      <c r="E20477" t="s">
        <v>1</v>
      </c>
      <c r="F20477" t="s">
        <v>0</v>
      </c>
      <c r="G20477" t="str">
        <f>"2018-10-08 14:53:28"</f>
        <v>2018-10-08 14:53:28</v>
      </c>
    </row>
    <row r="20478" spans="1:7" x14ac:dyDescent="0.2">
      <c r="A20478" t="s">
        <v>844</v>
      </c>
      <c r="B20478" t="str">
        <f>"18053633331"</f>
        <v>18053633331</v>
      </c>
      <c r="C20478" t="str">
        <f>"37078319890328039X"</f>
        <v>37078319890328039X</v>
      </c>
      <c r="D20478" t="s">
        <v>1</v>
      </c>
      <c r="E20478" t="s">
        <v>1</v>
      </c>
      <c r="F20478" t="s">
        <v>0</v>
      </c>
      <c r="G20478" t="str">
        <f>"2018-10-13 11:58:10"</f>
        <v>2018-10-13 11:58:10</v>
      </c>
    </row>
    <row r="20479" spans="1:7" x14ac:dyDescent="0.2">
      <c r="A20479" t="s">
        <v>19183</v>
      </c>
      <c r="B20479" t="str">
        <f>"15640945052"</f>
        <v>15640945052</v>
      </c>
      <c r="C20479" t="str">
        <f>"230122199307290346"</f>
        <v>230122199307290346</v>
      </c>
      <c r="D20479" t="s">
        <v>19184</v>
      </c>
      <c r="E20479" t="s">
        <v>19185</v>
      </c>
      <c r="F20479" t="s">
        <v>0</v>
      </c>
      <c r="G20479" t="str">
        <f>"2018-10-08 14:42:48"</f>
        <v>2018-10-08 14:42:48</v>
      </c>
    </row>
    <row r="20480" spans="1:7" x14ac:dyDescent="0.2">
      <c r="A20480" t="s">
        <v>1</v>
      </c>
      <c r="B20480" t="str">
        <f>"13564603772"</f>
        <v>13564603772</v>
      </c>
      <c r="C20480" t="s">
        <v>1</v>
      </c>
      <c r="D20480" t="s">
        <v>1</v>
      </c>
      <c r="E20480" t="s">
        <v>1</v>
      </c>
      <c r="F20480" t="s">
        <v>0</v>
      </c>
      <c r="G20480" t="str">
        <f>"2018-10-08 15:29:52"</f>
        <v>2018-10-08 15:29:52</v>
      </c>
    </row>
    <row r="20481" spans="1:7" x14ac:dyDescent="0.2">
      <c r="A20481" t="s">
        <v>1</v>
      </c>
      <c r="B20481" t="str">
        <f>"18385187704"</f>
        <v>18385187704</v>
      </c>
      <c r="C20481" t="s">
        <v>1</v>
      </c>
      <c r="D20481" t="s">
        <v>1</v>
      </c>
      <c r="E20481" t="s">
        <v>1</v>
      </c>
      <c r="F20481" t="s">
        <v>0</v>
      </c>
      <c r="G20481" t="str">
        <f>"2018-10-08 14:41:33"</f>
        <v>2018-10-08 14:41:33</v>
      </c>
    </row>
    <row r="20482" spans="1:7" x14ac:dyDescent="0.2">
      <c r="A20482" t="s">
        <v>638</v>
      </c>
      <c r="B20482" t="str">
        <f>"18862759667"</f>
        <v>18862759667</v>
      </c>
      <c r="C20482" t="str">
        <f>"320682199011304353"</f>
        <v>320682199011304353</v>
      </c>
      <c r="D20482" t="s">
        <v>1</v>
      </c>
      <c r="E20482" t="s">
        <v>1</v>
      </c>
      <c r="F20482" t="s">
        <v>0</v>
      </c>
      <c r="G20482" t="str">
        <f>"2018-10-08 14:48:08"</f>
        <v>2018-10-08 14:48:08</v>
      </c>
    </row>
    <row r="20483" spans="1:7" x14ac:dyDescent="0.2">
      <c r="A20483" t="s">
        <v>19186</v>
      </c>
      <c r="B20483" t="str">
        <f>"18655827566"</f>
        <v>18655827566</v>
      </c>
      <c r="C20483" t="str">
        <f>"412728198704166850"</f>
        <v>412728198704166850</v>
      </c>
      <c r="D20483" t="s">
        <v>19187</v>
      </c>
      <c r="E20483" t="s">
        <v>19188</v>
      </c>
      <c r="F20483" t="s">
        <v>0</v>
      </c>
      <c r="G20483" t="str">
        <f>"2018-10-08 14:36:31"</f>
        <v>2018-10-08 14:36:31</v>
      </c>
    </row>
    <row r="20484" spans="1:7" x14ac:dyDescent="0.2">
      <c r="A20484" t="s">
        <v>19189</v>
      </c>
      <c r="B20484" t="str">
        <f>"13896123587"</f>
        <v>13896123587</v>
      </c>
      <c r="C20484" t="str">
        <f>"362532198310150433"</f>
        <v>362532198310150433</v>
      </c>
      <c r="D20484" t="s">
        <v>1</v>
      </c>
      <c r="E20484" t="s">
        <v>1</v>
      </c>
      <c r="F20484" t="s">
        <v>0</v>
      </c>
      <c r="G20484" t="str">
        <f>"2018-10-10 14:55:49"</f>
        <v>2018-10-10 14:55:49</v>
      </c>
    </row>
    <row r="20485" spans="1:7" x14ac:dyDescent="0.2">
      <c r="A20485" t="s">
        <v>19190</v>
      </c>
      <c r="B20485" t="str">
        <f>"15963558805"</f>
        <v>15963558805</v>
      </c>
      <c r="C20485" t="str">
        <f>"370883198809101944"</f>
        <v>370883198809101944</v>
      </c>
      <c r="D20485" t="s">
        <v>1</v>
      </c>
      <c r="E20485" t="s">
        <v>1</v>
      </c>
      <c r="F20485" t="s">
        <v>0</v>
      </c>
      <c r="G20485" t="str">
        <f>"2018-10-08 14:32:02"</f>
        <v>2018-10-08 14:32:02</v>
      </c>
    </row>
    <row r="20486" spans="1:7" x14ac:dyDescent="0.2">
      <c r="A20486" t="s">
        <v>19191</v>
      </c>
      <c r="B20486" t="str">
        <f>"18719887701"</f>
        <v>18719887701</v>
      </c>
      <c r="C20486" t="str">
        <f>"620522199011253532"</f>
        <v>620522199011253532</v>
      </c>
      <c r="D20486" t="s">
        <v>1</v>
      </c>
      <c r="E20486" t="s">
        <v>1</v>
      </c>
      <c r="F20486" t="s">
        <v>0</v>
      </c>
      <c r="G20486" t="str">
        <f>"2018-10-08 14:23:28"</f>
        <v>2018-10-08 14:23:28</v>
      </c>
    </row>
    <row r="20487" spans="1:7" x14ac:dyDescent="0.2">
      <c r="A20487" t="s">
        <v>19192</v>
      </c>
      <c r="B20487" t="str">
        <f>"15292598518"</f>
        <v>15292598518</v>
      </c>
      <c r="C20487" t="str">
        <f>"652327198908284118"</f>
        <v>652327198908284118</v>
      </c>
      <c r="D20487" t="s">
        <v>1</v>
      </c>
      <c r="E20487" t="s">
        <v>1</v>
      </c>
      <c r="F20487" t="s">
        <v>0</v>
      </c>
      <c r="G20487" t="str">
        <f>"2018-11-02 21:07:27"</f>
        <v>2018-11-02 21:07:27</v>
      </c>
    </row>
    <row r="20488" spans="1:7" x14ac:dyDescent="0.2">
      <c r="A20488" t="s">
        <v>1</v>
      </c>
      <c r="B20488" t="str">
        <f>"15615296025"</f>
        <v>15615296025</v>
      </c>
      <c r="C20488" t="s">
        <v>1</v>
      </c>
      <c r="D20488" t="s">
        <v>1</v>
      </c>
      <c r="E20488" t="s">
        <v>1</v>
      </c>
      <c r="F20488" t="s">
        <v>0</v>
      </c>
      <c r="G20488" t="str">
        <f>"2018-10-08 14:21:05"</f>
        <v>2018-10-08 14:21:05</v>
      </c>
    </row>
    <row r="20489" spans="1:7" x14ac:dyDescent="0.2">
      <c r="A20489" t="s">
        <v>1</v>
      </c>
      <c r="B20489" t="str">
        <f>"13876635941"</f>
        <v>13876635941</v>
      </c>
      <c r="C20489" t="s">
        <v>1</v>
      </c>
      <c r="D20489" t="s">
        <v>1</v>
      </c>
      <c r="E20489" t="s">
        <v>1</v>
      </c>
      <c r="F20489" t="s">
        <v>0</v>
      </c>
      <c r="G20489" t="str">
        <f>"2018-10-08 14:20:57"</f>
        <v>2018-10-08 14:20:57</v>
      </c>
    </row>
    <row r="20490" spans="1:7" x14ac:dyDescent="0.2">
      <c r="A20490" t="s">
        <v>19193</v>
      </c>
      <c r="B20490" t="str">
        <f>"17755178532"</f>
        <v>17755178532</v>
      </c>
      <c r="C20490" t="str">
        <f>"341224197902031336"</f>
        <v>341224197902031336</v>
      </c>
      <c r="D20490" t="s">
        <v>19194</v>
      </c>
      <c r="E20490" t="s">
        <v>19195</v>
      </c>
      <c r="F20490" t="s">
        <v>0</v>
      </c>
      <c r="G20490" t="str">
        <f>"2018-10-30 15:07:33"</f>
        <v>2018-10-30 15:07:33</v>
      </c>
    </row>
    <row r="20491" spans="1:7" x14ac:dyDescent="0.2">
      <c r="A20491" t="s">
        <v>1</v>
      </c>
      <c r="B20491" t="str">
        <f>"13383312713"</f>
        <v>13383312713</v>
      </c>
      <c r="C20491" t="s">
        <v>1</v>
      </c>
      <c r="D20491" t="s">
        <v>1</v>
      </c>
      <c r="E20491" t="s">
        <v>1</v>
      </c>
      <c r="F20491" t="s">
        <v>0</v>
      </c>
      <c r="G20491" t="str">
        <f>"2018-10-08 14:20:02"</f>
        <v>2018-10-08 14:20:02</v>
      </c>
    </row>
    <row r="20492" spans="1:7" x14ac:dyDescent="0.2">
      <c r="A20492" t="s">
        <v>19196</v>
      </c>
      <c r="B20492" t="str">
        <f>"13662372073"</f>
        <v>13662372073</v>
      </c>
      <c r="C20492" t="str">
        <f>"445322199410244940"</f>
        <v>445322199410244940</v>
      </c>
      <c r="D20492" t="s">
        <v>1</v>
      </c>
      <c r="E20492" t="s">
        <v>1</v>
      </c>
      <c r="F20492" t="s">
        <v>0</v>
      </c>
      <c r="G20492" t="str">
        <f>"2018-10-08 14:16:59"</f>
        <v>2018-10-08 14:16:59</v>
      </c>
    </row>
    <row r="20493" spans="1:7" x14ac:dyDescent="0.2">
      <c r="A20493" t="s">
        <v>19197</v>
      </c>
      <c r="B20493" t="str">
        <f>"13531641757"</f>
        <v>13531641757</v>
      </c>
      <c r="C20493" t="str">
        <f>"440881198901025513"</f>
        <v>440881198901025513</v>
      </c>
      <c r="D20493" t="s">
        <v>1</v>
      </c>
      <c r="E20493" t="s">
        <v>1</v>
      </c>
      <c r="F20493" t="s">
        <v>0</v>
      </c>
      <c r="G20493" t="str">
        <f>"2018-10-08 14:15:26"</f>
        <v>2018-10-08 14:15:26</v>
      </c>
    </row>
    <row r="20494" spans="1:7" x14ac:dyDescent="0.2">
      <c r="A20494" t="s">
        <v>19198</v>
      </c>
      <c r="B20494" t="str">
        <f>"15957444572"</f>
        <v>15957444572</v>
      </c>
      <c r="C20494" t="str">
        <f>"411402199602166167"</f>
        <v>411402199602166167</v>
      </c>
      <c r="D20494" t="s">
        <v>1</v>
      </c>
      <c r="E20494" t="s">
        <v>1</v>
      </c>
      <c r="F20494" t="s">
        <v>0</v>
      </c>
      <c r="G20494" t="str">
        <f>"2018-10-08 14:10:13"</f>
        <v>2018-10-08 14:10:13</v>
      </c>
    </row>
    <row r="20495" spans="1:7" x14ac:dyDescent="0.2">
      <c r="A20495" t="s">
        <v>19199</v>
      </c>
      <c r="B20495" t="str">
        <f>"15630261750"</f>
        <v>15630261750</v>
      </c>
      <c r="C20495" t="str">
        <f>"130622199105136627"</f>
        <v>130622199105136627</v>
      </c>
      <c r="D20495" t="s">
        <v>1</v>
      </c>
      <c r="E20495" t="s">
        <v>1</v>
      </c>
      <c r="F20495" t="s">
        <v>0</v>
      </c>
      <c r="G20495" t="str">
        <f>"2018-10-08 15:49:55"</f>
        <v>2018-10-08 15:49:55</v>
      </c>
    </row>
    <row r="20496" spans="1:7" x14ac:dyDescent="0.2">
      <c r="A20496" t="s">
        <v>1</v>
      </c>
      <c r="B20496" t="str">
        <f>"13321635585"</f>
        <v>13321635585</v>
      </c>
      <c r="C20496" t="s">
        <v>1</v>
      </c>
      <c r="D20496" t="s">
        <v>1</v>
      </c>
      <c r="E20496" t="s">
        <v>1</v>
      </c>
      <c r="F20496" t="s">
        <v>0</v>
      </c>
      <c r="G20496" t="str">
        <f>"2018-10-08 13:41:37"</f>
        <v>2018-10-08 13:41:37</v>
      </c>
    </row>
    <row r="20497" spans="1:7" x14ac:dyDescent="0.2">
      <c r="A20497" t="s">
        <v>1</v>
      </c>
      <c r="B20497" t="str">
        <f>"13725984099"</f>
        <v>13725984099</v>
      </c>
      <c r="C20497" t="s">
        <v>1</v>
      </c>
      <c r="D20497" t="s">
        <v>1</v>
      </c>
      <c r="E20497" t="s">
        <v>1</v>
      </c>
      <c r="F20497" t="s">
        <v>0</v>
      </c>
      <c r="G20497" t="str">
        <f>"2018-10-08 13:37:17"</f>
        <v>2018-10-08 13:37:17</v>
      </c>
    </row>
    <row r="20498" spans="1:7" x14ac:dyDescent="0.2">
      <c r="A20498" t="s">
        <v>19200</v>
      </c>
      <c r="B20498" t="str">
        <f>"13588218301"</f>
        <v>13588218301</v>
      </c>
      <c r="C20498" t="str">
        <f>"362330199001050042"</f>
        <v>362330199001050042</v>
      </c>
      <c r="D20498" t="s">
        <v>1</v>
      </c>
      <c r="E20498" t="s">
        <v>1</v>
      </c>
      <c r="F20498" t="s">
        <v>0</v>
      </c>
      <c r="G20498" t="str">
        <f>"2018-10-08 13:42:04"</f>
        <v>2018-10-08 13:42:04</v>
      </c>
    </row>
    <row r="20499" spans="1:7" x14ac:dyDescent="0.2">
      <c r="A20499" t="s">
        <v>19201</v>
      </c>
      <c r="B20499" t="str">
        <f>"13790120707"</f>
        <v>13790120707</v>
      </c>
      <c r="C20499" t="str">
        <f>"441900199109060721"</f>
        <v>441900199109060721</v>
      </c>
      <c r="D20499" t="s">
        <v>1</v>
      </c>
      <c r="E20499" t="s">
        <v>1</v>
      </c>
      <c r="F20499" t="s">
        <v>0</v>
      </c>
      <c r="G20499" t="str">
        <f>"2018-10-12 02:16:31"</f>
        <v>2018-10-12 02:16:31</v>
      </c>
    </row>
    <row r="20500" spans="1:7" x14ac:dyDescent="0.2">
      <c r="A20500" t="s">
        <v>19202</v>
      </c>
      <c r="B20500" t="str">
        <f>"18204350008"</f>
        <v>18204350008</v>
      </c>
      <c r="C20500" t="str">
        <f>"220282198404275338"</f>
        <v>220282198404275338</v>
      </c>
      <c r="D20500" t="s">
        <v>1</v>
      </c>
      <c r="E20500" t="s">
        <v>1</v>
      </c>
      <c r="F20500" t="s">
        <v>0</v>
      </c>
      <c r="G20500" t="str">
        <f>"2018-10-08 13:34:01"</f>
        <v>2018-10-08 13:34:01</v>
      </c>
    </row>
    <row r="20501" spans="1:7" x14ac:dyDescent="0.2">
      <c r="A20501" t="s">
        <v>1</v>
      </c>
      <c r="B20501" t="str">
        <f>"15915928827"</f>
        <v>15915928827</v>
      </c>
      <c r="C20501" t="s">
        <v>1</v>
      </c>
      <c r="D20501" t="s">
        <v>1</v>
      </c>
      <c r="E20501" t="s">
        <v>1</v>
      </c>
      <c r="F20501" t="s">
        <v>0</v>
      </c>
      <c r="G20501" t="str">
        <f>"2018-10-08 13:28:38"</f>
        <v>2018-10-08 13:28:38</v>
      </c>
    </row>
    <row r="20502" spans="1:7" x14ac:dyDescent="0.2">
      <c r="A20502" t="s">
        <v>19203</v>
      </c>
      <c r="B20502" t="str">
        <f>"17605608030"</f>
        <v>17605608030</v>
      </c>
      <c r="C20502" t="str">
        <f>"341282199802024019"</f>
        <v>341282199802024019</v>
      </c>
      <c r="D20502" t="s">
        <v>19204</v>
      </c>
      <c r="E20502" t="s">
        <v>19205</v>
      </c>
      <c r="F20502" t="s">
        <v>0</v>
      </c>
      <c r="G20502" t="str">
        <f>"2018-10-08 13:29:47"</f>
        <v>2018-10-08 13:29:47</v>
      </c>
    </row>
    <row r="20503" spans="1:7" x14ac:dyDescent="0.2">
      <c r="A20503" t="s">
        <v>1</v>
      </c>
      <c r="B20503" t="str">
        <f>"15101171137"</f>
        <v>15101171137</v>
      </c>
      <c r="C20503" t="s">
        <v>1</v>
      </c>
      <c r="D20503" t="s">
        <v>1</v>
      </c>
      <c r="E20503" t="s">
        <v>1</v>
      </c>
      <c r="F20503" t="s">
        <v>0</v>
      </c>
      <c r="G20503" t="str">
        <f>"2018-10-08 13:26:00"</f>
        <v>2018-10-08 13:26:00</v>
      </c>
    </row>
    <row r="20504" spans="1:7" x14ac:dyDescent="0.2">
      <c r="A20504" t="s">
        <v>1</v>
      </c>
      <c r="B20504" t="str">
        <f>"15933156573"</f>
        <v>15933156573</v>
      </c>
      <c r="C20504" t="s">
        <v>1</v>
      </c>
      <c r="D20504" t="s">
        <v>1</v>
      </c>
      <c r="E20504" t="s">
        <v>1</v>
      </c>
      <c r="F20504" t="s">
        <v>0</v>
      </c>
      <c r="G20504" t="str">
        <f>"2018-10-08 13:24:13"</f>
        <v>2018-10-08 13:24:13</v>
      </c>
    </row>
    <row r="20505" spans="1:7" x14ac:dyDescent="0.2">
      <c r="A20505" t="s">
        <v>19206</v>
      </c>
      <c r="B20505" t="str">
        <f>"15753989367"</f>
        <v>15753989367</v>
      </c>
      <c r="C20505" t="str">
        <f>"371311198806033124"</f>
        <v>371311198806033124</v>
      </c>
      <c r="D20505" t="s">
        <v>19207</v>
      </c>
      <c r="E20505" t="s">
        <v>19208</v>
      </c>
      <c r="F20505" t="s">
        <v>0</v>
      </c>
      <c r="G20505" t="str">
        <f>"2018-10-08 13:22:59"</f>
        <v>2018-10-08 13:22:59</v>
      </c>
    </row>
    <row r="20506" spans="1:7" x14ac:dyDescent="0.2">
      <c r="A20506" t="s">
        <v>1</v>
      </c>
      <c r="B20506" t="str">
        <f>"15972646671"</f>
        <v>15972646671</v>
      </c>
      <c r="C20506" t="s">
        <v>1</v>
      </c>
      <c r="D20506" t="s">
        <v>1</v>
      </c>
      <c r="E20506" t="s">
        <v>1</v>
      </c>
      <c r="F20506" t="s">
        <v>0</v>
      </c>
      <c r="G20506" t="str">
        <f>"2018-10-08 13:20:59"</f>
        <v>2018-10-08 13:20:59</v>
      </c>
    </row>
    <row r="20507" spans="1:7" x14ac:dyDescent="0.2">
      <c r="A20507" t="s">
        <v>19209</v>
      </c>
      <c r="B20507" t="str">
        <f>"15067434581"</f>
        <v>15067434581</v>
      </c>
      <c r="C20507" t="str">
        <f>"330124199304241828"</f>
        <v>330124199304241828</v>
      </c>
      <c r="D20507" t="s">
        <v>1</v>
      </c>
      <c r="E20507" t="s">
        <v>1</v>
      </c>
      <c r="F20507" t="s">
        <v>0</v>
      </c>
      <c r="G20507" t="str">
        <f>"2018-10-08 13:17:58"</f>
        <v>2018-10-08 13:17:58</v>
      </c>
    </row>
    <row r="20508" spans="1:7" x14ac:dyDescent="0.2">
      <c r="A20508" t="s">
        <v>58</v>
      </c>
      <c r="B20508" t="str">
        <f>"15029043710"</f>
        <v>15029043710</v>
      </c>
      <c r="C20508" t="str">
        <f>"610331198011100412"</f>
        <v>610331198011100412</v>
      </c>
      <c r="D20508" t="s">
        <v>1</v>
      </c>
      <c r="E20508" t="s">
        <v>1</v>
      </c>
      <c r="F20508" t="s">
        <v>0</v>
      </c>
      <c r="G20508" t="str">
        <f>"2018-10-08 13:18:50"</f>
        <v>2018-10-08 13:18:50</v>
      </c>
    </row>
    <row r="20509" spans="1:7" x14ac:dyDescent="0.2">
      <c r="A20509" t="s">
        <v>1</v>
      </c>
      <c r="B20509" t="str">
        <f>"18942979000"</f>
        <v>18942979000</v>
      </c>
      <c r="C20509" t="s">
        <v>1</v>
      </c>
      <c r="D20509" t="s">
        <v>1</v>
      </c>
      <c r="E20509" t="s">
        <v>1</v>
      </c>
      <c r="F20509" t="s">
        <v>0</v>
      </c>
      <c r="G20509" t="str">
        <f>"2018-10-08 13:11:55"</f>
        <v>2018-10-08 13:11:55</v>
      </c>
    </row>
    <row r="20510" spans="1:7" x14ac:dyDescent="0.2">
      <c r="A20510" t="s">
        <v>1093</v>
      </c>
      <c r="B20510" t="str">
        <f>"15162300345"</f>
        <v>15162300345</v>
      </c>
      <c r="C20510" t="str">
        <f>"371302198309090439"</f>
        <v>371302198309090439</v>
      </c>
      <c r="D20510" t="s">
        <v>19210</v>
      </c>
      <c r="E20510" t="s">
        <v>19211</v>
      </c>
      <c r="F20510" t="s">
        <v>0</v>
      </c>
      <c r="G20510" t="str">
        <f>"2018-10-08 15:51:35"</f>
        <v>2018-10-08 15:51:35</v>
      </c>
    </row>
    <row r="20511" spans="1:7" x14ac:dyDescent="0.2">
      <c r="A20511" t="s">
        <v>1</v>
      </c>
      <c r="B20511" t="str">
        <f>"15999679778"</f>
        <v>15999679778</v>
      </c>
      <c r="C20511" t="s">
        <v>1</v>
      </c>
      <c r="D20511" t="s">
        <v>1</v>
      </c>
      <c r="E20511" t="s">
        <v>1</v>
      </c>
      <c r="F20511" t="s">
        <v>0</v>
      </c>
      <c r="G20511" t="str">
        <f>"2018-10-08 13:10:52"</f>
        <v>2018-10-08 13:10:52</v>
      </c>
    </row>
    <row r="20512" spans="1:7" x14ac:dyDescent="0.2">
      <c r="A20512" t="s">
        <v>1</v>
      </c>
      <c r="B20512" t="str">
        <f>"18314819954"</f>
        <v>18314819954</v>
      </c>
      <c r="C20512" t="s">
        <v>1</v>
      </c>
      <c r="D20512" t="s">
        <v>1</v>
      </c>
      <c r="E20512" t="s">
        <v>1</v>
      </c>
      <c r="F20512" t="s">
        <v>0</v>
      </c>
      <c r="G20512" t="str">
        <f>"2018-10-08 13:09:51"</f>
        <v>2018-10-08 13:09:51</v>
      </c>
    </row>
    <row r="20513" spans="1:7" x14ac:dyDescent="0.2">
      <c r="A20513" t="s">
        <v>1</v>
      </c>
      <c r="B20513" t="str">
        <f>"13753832082"</f>
        <v>13753832082</v>
      </c>
      <c r="C20513" t="s">
        <v>1</v>
      </c>
      <c r="D20513" t="s">
        <v>1</v>
      </c>
      <c r="E20513" t="s">
        <v>1</v>
      </c>
      <c r="F20513" t="s">
        <v>0</v>
      </c>
      <c r="G20513" t="str">
        <f>"2018-10-08 13:05:27"</f>
        <v>2018-10-08 13:05:27</v>
      </c>
    </row>
    <row r="20514" spans="1:7" x14ac:dyDescent="0.2">
      <c r="A20514" t="s">
        <v>8594</v>
      </c>
      <c r="B20514" t="str">
        <f>"13902532150"</f>
        <v>13902532150</v>
      </c>
      <c r="C20514" t="str">
        <f>"330182197905023118"</f>
        <v>330182197905023118</v>
      </c>
      <c r="D20514" t="s">
        <v>1</v>
      </c>
      <c r="E20514" t="s">
        <v>1</v>
      </c>
      <c r="F20514" t="s">
        <v>0</v>
      </c>
      <c r="G20514" t="str">
        <f>"2018-10-08 13:02:25"</f>
        <v>2018-10-08 13:02:25</v>
      </c>
    </row>
    <row r="20515" spans="1:7" x14ac:dyDescent="0.2">
      <c r="A20515" t="s">
        <v>1</v>
      </c>
      <c r="B20515" t="str">
        <f>"18265132613"</f>
        <v>18265132613</v>
      </c>
      <c r="C20515" t="s">
        <v>1</v>
      </c>
      <c r="D20515" t="s">
        <v>1</v>
      </c>
      <c r="E20515" t="s">
        <v>1</v>
      </c>
      <c r="F20515" t="s">
        <v>0</v>
      </c>
      <c r="G20515" t="str">
        <f>"2018-10-08 12:55:34"</f>
        <v>2018-10-08 12:55:34</v>
      </c>
    </row>
    <row r="20516" spans="1:7" x14ac:dyDescent="0.2">
      <c r="A20516" t="s">
        <v>19212</v>
      </c>
      <c r="B20516" t="str">
        <f>"13481970516"</f>
        <v>13481970516</v>
      </c>
      <c r="C20516" t="str">
        <f>"452323198210021014"</f>
        <v>452323198210021014</v>
      </c>
      <c r="D20516" t="s">
        <v>1</v>
      </c>
      <c r="E20516" t="s">
        <v>1</v>
      </c>
      <c r="F20516" t="s">
        <v>0</v>
      </c>
      <c r="G20516" t="str">
        <f>"2018-10-08 12:57:40"</f>
        <v>2018-10-08 12:57:40</v>
      </c>
    </row>
    <row r="20517" spans="1:7" x14ac:dyDescent="0.2">
      <c r="A20517" t="s">
        <v>250</v>
      </c>
      <c r="B20517" t="str">
        <f>"15941863157"</f>
        <v>15941863157</v>
      </c>
      <c r="C20517" t="str">
        <f>"210902199106151627"</f>
        <v>210902199106151627</v>
      </c>
      <c r="D20517" t="s">
        <v>1</v>
      </c>
      <c r="E20517" t="s">
        <v>1</v>
      </c>
      <c r="F20517" t="s">
        <v>0</v>
      </c>
      <c r="G20517" t="str">
        <f>"2018-10-08 12:56:35"</f>
        <v>2018-10-08 12:56:35</v>
      </c>
    </row>
    <row r="20518" spans="1:7" x14ac:dyDescent="0.2">
      <c r="A20518" t="s">
        <v>1</v>
      </c>
      <c r="B20518" t="str">
        <f>"13790338067"</f>
        <v>13790338067</v>
      </c>
      <c r="C20518" t="s">
        <v>1</v>
      </c>
      <c r="D20518" t="s">
        <v>1</v>
      </c>
      <c r="E20518" t="s">
        <v>1</v>
      </c>
      <c r="F20518" t="s">
        <v>0</v>
      </c>
      <c r="G20518" t="str">
        <f>"2018-10-08 12:54:06"</f>
        <v>2018-10-08 12:54:06</v>
      </c>
    </row>
    <row r="20519" spans="1:7" x14ac:dyDescent="0.2">
      <c r="A20519" t="s">
        <v>19213</v>
      </c>
      <c r="B20519" t="str">
        <f>"13573978871"</f>
        <v>13573978871</v>
      </c>
      <c r="C20519" t="str">
        <f>"612328198310071221"</f>
        <v>612328198310071221</v>
      </c>
      <c r="D20519" t="s">
        <v>1</v>
      </c>
      <c r="E20519" t="s">
        <v>1</v>
      </c>
      <c r="F20519" t="s">
        <v>0</v>
      </c>
      <c r="G20519" t="str">
        <f>"2018-10-08 12:53:39"</f>
        <v>2018-10-08 12:53:39</v>
      </c>
    </row>
    <row r="20520" spans="1:7" x14ac:dyDescent="0.2">
      <c r="A20520" t="s">
        <v>1</v>
      </c>
      <c r="B20520" t="str">
        <f>"15830490047"</f>
        <v>15830490047</v>
      </c>
      <c r="C20520" t="s">
        <v>1</v>
      </c>
      <c r="D20520" t="s">
        <v>1</v>
      </c>
      <c r="E20520" t="s">
        <v>1</v>
      </c>
      <c r="F20520" t="s">
        <v>0</v>
      </c>
      <c r="G20520" t="str">
        <f>"2018-10-08 12:47:03"</f>
        <v>2018-10-08 12:47:03</v>
      </c>
    </row>
    <row r="20521" spans="1:7" x14ac:dyDescent="0.2">
      <c r="A20521" t="s">
        <v>19214</v>
      </c>
      <c r="B20521" t="str">
        <f>"15912546479"</f>
        <v>15912546479</v>
      </c>
      <c r="C20521" t="str">
        <f>"530122198908250864"</f>
        <v>530122198908250864</v>
      </c>
      <c r="D20521" t="s">
        <v>19215</v>
      </c>
      <c r="E20521" t="s">
        <v>19216</v>
      </c>
      <c r="F20521" t="s">
        <v>0</v>
      </c>
      <c r="G20521" t="str">
        <f>"2018-10-08 12:44:45"</f>
        <v>2018-10-08 12:44:45</v>
      </c>
    </row>
    <row r="20522" spans="1:7" x14ac:dyDescent="0.2">
      <c r="A20522" t="s">
        <v>1</v>
      </c>
      <c r="B20522" t="str">
        <f>"15992738048"</f>
        <v>15992738048</v>
      </c>
      <c r="C20522" t="s">
        <v>1</v>
      </c>
      <c r="D20522" t="s">
        <v>1</v>
      </c>
      <c r="E20522" t="s">
        <v>1</v>
      </c>
      <c r="F20522" t="s">
        <v>0</v>
      </c>
      <c r="G20522" t="str">
        <f>"2018-10-08 12:45:05"</f>
        <v>2018-10-08 12:45:05</v>
      </c>
    </row>
    <row r="20523" spans="1:7" x14ac:dyDescent="0.2">
      <c r="A20523" t="s">
        <v>19217</v>
      </c>
      <c r="B20523" t="str">
        <f>"18177338901"</f>
        <v>18177338901</v>
      </c>
      <c r="C20523" t="str">
        <f>"450325198608160795"</f>
        <v>450325198608160795</v>
      </c>
      <c r="D20523" t="s">
        <v>1</v>
      </c>
      <c r="E20523" t="s">
        <v>1</v>
      </c>
      <c r="F20523" t="s">
        <v>0</v>
      </c>
      <c r="G20523" t="str">
        <f>"2018-10-08 12:41:32"</f>
        <v>2018-10-08 12:41:32</v>
      </c>
    </row>
    <row r="20524" spans="1:7" x14ac:dyDescent="0.2">
      <c r="A20524" t="s">
        <v>19218</v>
      </c>
      <c r="B20524" t="str">
        <f>"18227472779"</f>
        <v>18227472779</v>
      </c>
      <c r="C20524" t="str">
        <f>"513323199305056529"</f>
        <v>513323199305056529</v>
      </c>
      <c r="D20524" t="s">
        <v>1</v>
      </c>
      <c r="E20524" t="s">
        <v>1</v>
      </c>
      <c r="F20524" t="s">
        <v>0</v>
      </c>
      <c r="G20524" t="str">
        <f>"2018-10-08 12:42:34"</f>
        <v>2018-10-08 12:42:34</v>
      </c>
    </row>
    <row r="20525" spans="1:7" x14ac:dyDescent="0.2">
      <c r="A20525" t="s">
        <v>19219</v>
      </c>
      <c r="B20525" t="str">
        <f>"18895348489"</f>
        <v>18895348489</v>
      </c>
      <c r="C20525" t="str">
        <f>"341024199412188013"</f>
        <v>341024199412188013</v>
      </c>
      <c r="D20525" t="s">
        <v>1</v>
      </c>
      <c r="E20525" t="s">
        <v>1</v>
      </c>
      <c r="F20525" t="s">
        <v>0</v>
      </c>
      <c r="G20525" t="str">
        <f>"2018-10-08 12:36:51"</f>
        <v>2018-10-08 12:36:51</v>
      </c>
    </row>
    <row r="20526" spans="1:7" x14ac:dyDescent="0.2">
      <c r="A20526" t="s">
        <v>19220</v>
      </c>
      <c r="B20526" t="str">
        <f>"18979385050"</f>
        <v>18979385050</v>
      </c>
      <c r="C20526" t="str">
        <f>"330721198609213114"</f>
        <v>330721198609213114</v>
      </c>
      <c r="D20526" t="s">
        <v>1</v>
      </c>
      <c r="E20526" t="s">
        <v>1</v>
      </c>
      <c r="F20526" t="s">
        <v>0</v>
      </c>
      <c r="G20526" t="str">
        <f>"2018-10-08 12:35:29"</f>
        <v>2018-10-08 12:35:29</v>
      </c>
    </row>
    <row r="20527" spans="1:7" x14ac:dyDescent="0.2">
      <c r="A20527" t="s">
        <v>19221</v>
      </c>
      <c r="B20527" t="str">
        <f>"18463086292"</f>
        <v>18463086292</v>
      </c>
      <c r="C20527" t="str">
        <f>"372922198509090539"</f>
        <v>372922198509090539</v>
      </c>
      <c r="D20527" t="s">
        <v>1</v>
      </c>
      <c r="E20527" t="s">
        <v>1</v>
      </c>
      <c r="F20527" t="s">
        <v>0</v>
      </c>
      <c r="G20527" t="str">
        <f>"2018-10-08 12:29:53"</f>
        <v>2018-10-08 12:29:53</v>
      </c>
    </row>
    <row r="20528" spans="1:7" x14ac:dyDescent="0.2">
      <c r="A20528" t="s">
        <v>19222</v>
      </c>
      <c r="B20528" t="str">
        <f>"13268105678"</f>
        <v>13268105678</v>
      </c>
      <c r="C20528" t="str">
        <f>"440883199507282957"</f>
        <v>440883199507282957</v>
      </c>
      <c r="D20528" t="s">
        <v>1</v>
      </c>
      <c r="E20528" t="s">
        <v>1</v>
      </c>
      <c r="F20528" t="s">
        <v>0</v>
      </c>
      <c r="G20528" t="str">
        <f>"2018-10-08 12:28:23"</f>
        <v>2018-10-08 12:28:23</v>
      </c>
    </row>
    <row r="20529" spans="1:7" x14ac:dyDescent="0.2">
      <c r="A20529" t="s">
        <v>19223</v>
      </c>
      <c r="B20529" t="str">
        <f>"15990086230"</f>
        <v>15990086230</v>
      </c>
      <c r="C20529" t="str">
        <f>"522627199401203632"</f>
        <v>522627199401203632</v>
      </c>
      <c r="D20529" t="s">
        <v>1</v>
      </c>
      <c r="E20529" t="s">
        <v>1</v>
      </c>
      <c r="F20529" t="s">
        <v>0</v>
      </c>
      <c r="G20529" t="str">
        <f>"2018-10-08 12:28:07"</f>
        <v>2018-10-08 12:28:07</v>
      </c>
    </row>
    <row r="20530" spans="1:7" x14ac:dyDescent="0.2">
      <c r="A20530" t="s">
        <v>1588</v>
      </c>
      <c r="B20530" t="str">
        <f>"18669444893"</f>
        <v>18669444893</v>
      </c>
      <c r="C20530" t="str">
        <f>"371325198606182334"</f>
        <v>371325198606182334</v>
      </c>
      <c r="D20530" t="s">
        <v>1</v>
      </c>
      <c r="E20530" t="s">
        <v>1</v>
      </c>
      <c r="F20530" t="s">
        <v>0</v>
      </c>
      <c r="G20530" t="str">
        <f>"2018-10-08 12:26:49"</f>
        <v>2018-10-08 12:26:49</v>
      </c>
    </row>
    <row r="20531" spans="1:7" x14ac:dyDescent="0.2">
      <c r="A20531" t="s">
        <v>1</v>
      </c>
      <c r="B20531" t="str">
        <f>"15777205937"</f>
        <v>15777205937</v>
      </c>
      <c r="C20531" t="s">
        <v>1</v>
      </c>
      <c r="D20531" t="s">
        <v>1</v>
      </c>
      <c r="E20531" t="s">
        <v>1</v>
      </c>
      <c r="F20531" t="s">
        <v>0</v>
      </c>
      <c r="G20531" t="str">
        <f>"2018-10-08 12:22:10"</f>
        <v>2018-10-08 12:22:10</v>
      </c>
    </row>
    <row r="20532" spans="1:7" x14ac:dyDescent="0.2">
      <c r="A20532" t="s">
        <v>179</v>
      </c>
      <c r="B20532" t="str">
        <f>"13821266172"</f>
        <v>13821266172</v>
      </c>
      <c r="C20532" t="str">
        <f>"120109198707030016"</f>
        <v>120109198707030016</v>
      </c>
      <c r="D20532" t="s">
        <v>1</v>
      </c>
      <c r="E20532" t="s">
        <v>1</v>
      </c>
      <c r="F20532" t="s">
        <v>0</v>
      </c>
      <c r="G20532" t="str">
        <f>"2018-10-08 12:22:20"</f>
        <v>2018-10-08 12:22:20</v>
      </c>
    </row>
    <row r="20533" spans="1:7" x14ac:dyDescent="0.2">
      <c r="A20533" t="s">
        <v>19224</v>
      </c>
      <c r="B20533" t="str">
        <f>"13823167903"</f>
        <v>13823167903</v>
      </c>
      <c r="C20533" t="str">
        <f>"440306198408060051"</f>
        <v>440306198408060051</v>
      </c>
      <c r="D20533" t="s">
        <v>19225</v>
      </c>
      <c r="E20533" t="s">
        <v>19226</v>
      </c>
      <c r="F20533" t="s">
        <v>0</v>
      </c>
      <c r="G20533" t="str">
        <f>"2018-10-08 12:20:52"</f>
        <v>2018-10-08 12:20:52</v>
      </c>
    </row>
    <row r="20534" spans="1:7" x14ac:dyDescent="0.2">
      <c r="A20534" t="s">
        <v>1632</v>
      </c>
      <c r="B20534" t="str">
        <f>"15042510261"</f>
        <v>15042510261</v>
      </c>
      <c r="C20534" t="str">
        <f>"210903199507111016"</f>
        <v>210903199507111016</v>
      </c>
      <c r="D20534" t="s">
        <v>1</v>
      </c>
      <c r="E20534" t="s">
        <v>1</v>
      </c>
      <c r="F20534" t="s">
        <v>0</v>
      </c>
      <c r="G20534" t="str">
        <f>"2018-10-08 12:19:43"</f>
        <v>2018-10-08 12:19:43</v>
      </c>
    </row>
    <row r="20535" spans="1:7" x14ac:dyDescent="0.2">
      <c r="A20535" t="s">
        <v>1</v>
      </c>
      <c r="B20535" t="str">
        <f>"13645678134"</f>
        <v>13645678134</v>
      </c>
      <c r="C20535" t="s">
        <v>1</v>
      </c>
      <c r="D20535" t="s">
        <v>1</v>
      </c>
      <c r="E20535" t="s">
        <v>1</v>
      </c>
      <c r="F20535" t="s">
        <v>0</v>
      </c>
      <c r="G20535" t="str">
        <f>"2018-10-08 12:18:34"</f>
        <v>2018-10-08 12:18:34</v>
      </c>
    </row>
    <row r="20536" spans="1:7" x14ac:dyDescent="0.2">
      <c r="A20536" t="s">
        <v>19227</v>
      </c>
      <c r="B20536" t="str">
        <f>"18284829044"</f>
        <v>18284829044</v>
      </c>
      <c r="C20536" t="str">
        <f>"511527199812220033"</f>
        <v>511527199812220033</v>
      </c>
      <c r="D20536" t="s">
        <v>1</v>
      </c>
      <c r="E20536" t="s">
        <v>1</v>
      </c>
      <c r="F20536" t="s">
        <v>0</v>
      </c>
      <c r="G20536" t="str">
        <f>"2018-10-08 12:14:11"</f>
        <v>2018-10-08 12:14:11</v>
      </c>
    </row>
    <row r="20537" spans="1:7" x14ac:dyDescent="0.2">
      <c r="A20537" t="s">
        <v>19228</v>
      </c>
      <c r="B20537" t="str">
        <f>"17688971148"</f>
        <v>17688971148</v>
      </c>
      <c r="C20537" t="str">
        <f>"440825199601315096"</f>
        <v>440825199601315096</v>
      </c>
      <c r="D20537" t="s">
        <v>1</v>
      </c>
      <c r="E20537" t="s">
        <v>1</v>
      </c>
      <c r="F20537" t="s">
        <v>0</v>
      </c>
      <c r="G20537" t="str">
        <f>"2018-10-08 16:43:07"</f>
        <v>2018-10-08 16:43:07</v>
      </c>
    </row>
    <row r="20538" spans="1:7" x14ac:dyDescent="0.2">
      <c r="A20538" t="s">
        <v>19229</v>
      </c>
      <c r="B20538" t="str">
        <f>"18301769692"</f>
        <v>18301769692</v>
      </c>
      <c r="C20538" t="str">
        <f>"511181199704012911"</f>
        <v>511181199704012911</v>
      </c>
      <c r="D20538" t="s">
        <v>1</v>
      </c>
      <c r="E20538" t="s">
        <v>1</v>
      </c>
      <c r="F20538" t="s">
        <v>0</v>
      </c>
      <c r="G20538" t="str">
        <f>"2018-10-16 15:37:08"</f>
        <v>2018-10-16 15:37:08</v>
      </c>
    </row>
    <row r="20539" spans="1:7" x14ac:dyDescent="0.2">
      <c r="A20539" t="s">
        <v>19230</v>
      </c>
      <c r="B20539" t="str">
        <f>"18008974642"</f>
        <v>18008974642</v>
      </c>
      <c r="C20539" t="str">
        <f>"542522198404300026"</f>
        <v>542522198404300026</v>
      </c>
      <c r="D20539" t="s">
        <v>1</v>
      </c>
      <c r="E20539" t="s">
        <v>1</v>
      </c>
      <c r="F20539" t="s">
        <v>0</v>
      </c>
      <c r="G20539" t="str">
        <f>"2018-10-08 12:05:59"</f>
        <v>2018-10-08 12:05:59</v>
      </c>
    </row>
    <row r="20540" spans="1:7" x14ac:dyDescent="0.2">
      <c r="A20540" t="s">
        <v>19231</v>
      </c>
      <c r="B20540" t="str">
        <f>"18990401400"</f>
        <v>18990401400</v>
      </c>
      <c r="C20540" t="str">
        <f>"513227199401301627"</f>
        <v>513227199401301627</v>
      </c>
      <c r="D20540" t="s">
        <v>1</v>
      </c>
      <c r="E20540" t="s">
        <v>1</v>
      </c>
      <c r="F20540" t="s">
        <v>0</v>
      </c>
      <c r="G20540" t="str">
        <f>"2018-10-08 12:06:28"</f>
        <v>2018-10-08 12:06:28</v>
      </c>
    </row>
    <row r="20541" spans="1:7" x14ac:dyDescent="0.2">
      <c r="A20541" t="s">
        <v>19232</v>
      </c>
      <c r="B20541" t="str">
        <f>"15895682830"</f>
        <v>15895682830</v>
      </c>
      <c r="C20541" t="str">
        <f>"32068219921106821X"</f>
        <v>32068219921106821X</v>
      </c>
      <c r="D20541" t="s">
        <v>19233</v>
      </c>
      <c r="E20541" t="s">
        <v>19234</v>
      </c>
      <c r="F20541" t="s">
        <v>0</v>
      </c>
      <c r="G20541" t="str">
        <f>"2018-10-14 17:42:41"</f>
        <v>2018-10-14 17:42:41</v>
      </c>
    </row>
    <row r="20542" spans="1:7" x14ac:dyDescent="0.2">
      <c r="A20542" t="s">
        <v>894</v>
      </c>
      <c r="B20542" t="str">
        <f>"15198810367"</f>
        <v>15198810367</v>
      </c>
      <c r="C20542" t="str">
        <f>"533522199706033027"</f>
        <v>533522199706033027</v>
      </c>
      <c r="D20542" t="s">
        <v>1</v>
      </c>
      <c r="E20542" t="s">
        <v>1</v>
      </c>
      <c r="F20542" t="s">
        <v>0</v>
      </c>
      <c r="G20542" t="str">
        <f>"2018-10-08 11:59:34"</f>
        <v>2018-10-08 11:59:34</v>
      </c>
    </row>
    <row r="20543" spans="1:7" x14ac:dyDescent="0.2">
      <c r="A20543" t="s">
        <v>1</v>
      </c>
      <c r="B20543" t="str">
        <f>"18351959662"</f>
        <v>18351959662</v>
      </c>
      <c r="C20543" t="s">
        <v>1</v>
      </c>
      <c r="D20543" t="s">
        <v>1</v>
      </c>
      <c r="E20543" t="s">
        <v>1</v>
      </c>
      <c r="F20543" t="s">
        <v>0</v>
      </c>
      <c r="G20543" t="str">
        <f>"2018-10-08 11:54:45"</f>
        <v>2018-10-08 11:54:45</v>
      </c>
    </row>
    <row r="20544" spans="1:7" x14ac:dyDescent="0.2">
      <c r="A20544" t="s">
        <v>19235</v>
      </c>
      <c r="B20544" t="str">
        <f>"15947002092"</f>
        <v>15947002092</v>
      </c>
      <c r="C20544" t="str">
        <f>"152122198511020017"</f>
        <v>152122198511020017</v>
      </c>
      <c r="D20544" t="s">
        <v>1</v>
      </c>
      <c r="E20544" t="s">
        <v>1</v>
      </c>
      <c r="F20544" t="s">
        <v>0</v>
      </c>
      <c r="G20544" t="str">
        <f>"2018-10-24 16:23:53"</f>
        <v>2018-10-24 16:23:53</v>
      </c>
    </row>
    <row r="20545" spans="1:7" x14ac:dyDescent="0.2">
      <c r="A20545" t="s">
        <v>19236</v>
      </c>
      <c r="B20545" t="str">
        <f>"13764592661"</f>
        <v>13764592661</v>
      </c>
      <c r="C20545" t="str">
        <f>"510781198206289413"</f>
        <v>510781198206289413</v>
      </c>
      <c r="D20545" t="s">
        <v>1</v>
      </c>
      <c r="E20545" t="s">
        <v>1</v>
      </c>
      <c r="F20545" t="s">
        <v>0</v>
      </c>
      <c r="G20545" t="str">
        <f>"2018-10-08 11:53:04"</f>
        <v>2018-10-08 11:53:04</v>
      </c>
    </row>
    <row r="20546" spans="1:7" x14ac:dyDescent="0.2">
      <c r="A20546" t="s">
        <v>1</v>
      </c>
      <c r="B20546" t="str">
        <f>"13874645354"</f>
        <v>13874645354</v>
      </c>
      <c r="C20546" t="s">
        <v>1</v>
      </c>
      <c r="D20546" t="s">
        <v>1</v>
      </c>
      <c r="E20546" t="s">
        <v>1</v>
      </c>
      <c r="F20546" t="s">
        <v>0</v>
      </c>
      <c r="G20546" t="str">
        <f>"2018-10-08 12:11:00"</f>
        <v>2018-10-08 12:11:00</v>
      </c>
    </row>
    <row r="20547" spans="1:7" x14ac:dyDescent="0.2">
      <c r="A20547" t="s">
        <v>19237</v>
      </c>
      <c r="B20547" t="str">
        <f>"18248752774"</f>
        <v>18248752774</v>
      </c>
      <c r="C20547" t="str">
        <f>"320381199411200032"</f>
        <v>320381199411200032</v>
      </c>
      <c r="D20547" t="s">
        <v>1</v>
      </c>
      <c r="E20547" t="s">
        <v>1</v>
      </c>
      <c r="F20547" t="s">
        <v>0</v>
      </c>
      <c r="G20547" t="str">
        <f>"2018-10-08 11:47:19"</f>
        <v>2018-10-08 11:47:19</v>
      </c>
    </row>
    <row r="20548" spans="1:7" x14ac:dyDescent="0.2">
      <c r="A20548" t="s">
        <v>1</v>
      </c>
      <c r="B20548" t="str">
        <f>"15879309192"</f>
        <v>15879309192</v>
      </c>
      <c r="C20548" t="s">
        <v>1</v>
      </c>
      <c r="D20548" t="s">
        <v>1</v>
      </c>
      <c r="E20548" t="s">
        <v>1</v>
      </c>
      <c r="F20548" t="s">
        <v>0</v>
      </c>
      <c r="G20548" t="str">
        <f>"2018-10-08 11:43:19"</f>
        <v>2018-10-08 11:43:19</v>
      </c>
    </row>
    <row r="20549" spans="1:7" x14ac:dyDescent="0.2">
      <c r="A20549" t="s">
        <v>19238</v>
      </c>
      <c r="B20549" t="str">
        <f>"18384379132"</f>
        <v>18384379132</v>
      </c>
      <c r="C20549" t="str">
        <f>"510522199708257319"</f>
        <v>510522199708257319</v>
      </c>
      <c r="D20549" t="s">
        <v>19239</v>
      </c>
      <c r="E20549" t="s">
        <v>19240</v>
      </c>
      <c r="F20549" t="s">
        <v>0</v>
      </c>
      <c r="G20549" t="str">
        <f>"2018-10-08 11:42:16"</f>
        <v>2018-10-08 11:42:16</v>
      </c>
    </row>
    <row r="20550" spans="1:7" x14ac:dyDescent="0.2">
      <c r="A20550" t="s">
        <v>19241</v>
      </c>
      <c r="B20550" t="str">
        <f>"18648870408"</f>
        <v>18648870408</v>
      </c>
      <c r="C20550" t="str">
        <f>"421083199306152834"</f>
        <v>421083199306152834</v>
      </c>
      <c r="D20550" t="s">
        <v>1</v>
      </c>
      <c r="E20550" t="s">
        <v>1</v>
      </c>
      <c r="F20550" t="s">
        <v>0</v>
      </c>
      <c r="G20550" t="str">
        <f>"2018-10-08 11:33:25"</f>
        <v>2018-10-08 11:33:25</v>
      </c>
    </row>
    <row r="20551" spans="1:7" x14ac:dyDescent="0.2">
      <c r="A20551" t="s">
        <v>19242</v>
      </c>
      <c r="B20551" t="str">
        <f>"13980828468"</f>
        <v>13980828468</v>
      </c>
      <c r="C20551" t="str">
        <f>"510623197910293017"</f>
        <v>510623197910293017</v>
      </c>
      <c r="D20551" t="s">
        <v>1</v>
      </c>
      <c r="E20551" t="s">
        <v>1</v>
      </c>
      <c r="F20551" t="s">
        <v>0</v>
      </c>
      <c r="G20551" t="str">
        <f>"2018-10-08 11:33:19"</f>
        <v>2018-10-08 11:33:19</v>
      </c>
    </row>
    <row r="20552" spans="1:7" x14ac:dyDescent="0.2">
      <c r="A20552" t="s">
        <v>52</v>
      </c>
      <c r="B20552" t="str">
        <f>"15615297200"</f>
        <v>15615297200</v>
      </c>
      <c r="C20552" t="str">
        <f>"371302198909064373"</f>
        <v>371302198909064373</v>
      </c>
      <c r="D20552" t="s">
        <v>1</v>
      </c>
      <c r="E20552" t="s">
        <v>1</v>
      </c>
      <c r="F20552" t="s">
        <v>0</v>
      </c>
      <c r="G20552" t="str">
        <f>"2018-10-08 14:33:04"</f>
        <v>2018-10-08 14:33:04</v>
      </c>
    </row>
    <row r="20553" spans="1:7" x14ac:dyDescent="0.2">
      <c r="A20553" t="s">
        <v>1031</v>
      </c>
      <c r="B20553" t="str">
        <f>"18765002510"</f>
        <v>18765002510</v>
      </c>
      <c r="C20553" t="str">
        <f>"410225199907263737"</f>
        <v>410225199907263737</v>
      </c>
      <c r="D20553" t="s">
        <v>1</v>
      </c>
      <c r="E20553" t="s">
        <v>1</v>
      </c>
      <c r="F20553" t="s">
        <v>0</v>
      </c>
      <c r="G20553" t="str">
        <f>"2018-10-08 11:29:53"</f>
        <v>2018-10-08 11:29:53</v>
      </c>
    </row>
    <row r="20554" spans="1:7" x14ac:dyDescent="0.2">
      <c r="A20554" t="s">
        <v>1</v>
      </c>
      <c r="B20554" t="str">
        <f>"18382784642"</f>
        <v>18382784642</v>
      </c>
      <c r="C20554" t="s">
        <v>1</v>
      </c>
      <c r="D20554" t="s">
        <v>1</v>
      </c>
      <c r="E20554" t="s">
        <v>1</v>
      </c>
      <c r="F20554" t="s">
        <v>0</v>
      </c>
      <c r="G20554" t="str">
        <f>"2018-10-08 11:32:42"</f>
        <v>2018-10-08 11:32:42</v>
      </c>
    </row>
    <row r="20555" spans="1:7" x14ac:dyDescent="0.2">
      <c r="A20555" t="s">
        <v>1</v>
      </c>
      <c r="B20555" t="str">
        <f>"18216018010"</f>
        <v>18216018010</v>
      </c>
      <c r="C20555" t="s">
        <v>1</v>
      </c>
      <c r="D20555" t="s">
        <v>1</v>
      </c>
      <c r="E20555" t="s">
        <v>1</v>
      </c>
      <c r="F20555" t="s">
        <v>0</v>
      </c>
      <c r="G20555" t="str">
        <f>"2018-10-08 11:31:47"</f>
        <v>2018-10-08 11:31:47</v>
      </c>
    </row>
    <row r="20556" spans="1:7" x14ac:dyDescent="0.2">
      <c r="A20556" t="s">
        <v>19243</v>
      </c>
      <c r="B20556" t="str">
        <f>"13797726101"</f>
        <v>13797726101</v>
      </c>
      <c r="C20556" t="str">
        <f>"420683198801180012"</f>
        <v>420683198801180012</v>
      </c>
      <c r="D20556" t="s">
        <v>1</v>
      </c>
      <c r="E20556" t="s">
        <v>1</v>
      </c>
      <c r="F20556" t="s">
        <v>0</v>
      </c>
      <c r="G20556" t="str">
        <f>"2018-10-08 11:26:47"</f>
        <v>2018-10-08 11:26:47</v>
      </c>
    </row>
    <row r="20557" spans="1:7" x14ac:dyDescent="0.2">
      <c r="A20557" t="s">
        <v>19244</v>
      </c>
      <c r="B20557" t="str">
        <f>"13862993454"</f>
        <v>13862993454</v>
      </c>
      <c r="C20557" t="str">
        <f>"321084198904127215"</f>
        <v>321084198904127215</v>
      </c>
      <c r="D20557" t="s">
        <v>19245</v>
      </c>
      <c r="E20557" t="s">
        <v>19246</v>
      </c>
      <c r="F20557" t="s">
        <v>0</v>
      </c>
      <c r="G20557" t="str">
        <f>"2018-10-18 16:38:20"</f>
        <v>2018-10-18 16:38:20</v>
      </c>
    </row>
    <row r="20558" spans="1:7" x14ac:dyDescent="0.2">
      <c r="A20558" t="s">
        <v>19247</v>
      </c>
      <c r="B20558" t="str">
        <f>"13754655255"</f>
        <v>13754655255</v>
      </c>
      <c r="C20558" t="str">
        <f>"372321199206227150"</f>
        <v>372321199206227150</v>
      </c>
      <c r="D20558" t="s">
        <v>1</v>
      </c>
      <c r="E20558" t="s">
        <v>1</v>
      </c>
      <c r="F20558" t="s">
        <v>0</v>
      </c>
      <c r="G20558" t="str">
        <f>"2018-10-08 11:23:11"</f>
        <v>2018-10-08 11:23:11</v>
      </c>
    </row>
    <row r="20559" spans="1:7" x14ac:dyDescent="0.2">
      <c r="A20559" t="s">
        <v>1056</v>
      </c>
      <c r="B20559" t="str">
        <f>"13384916911"</f>
        <v>13384916911</v>
      </c>
      <c r="C20559" t="str">
        <f>"610112196708290018"</f>
        <v>610112196708290018</v>
      </c>
      <c r="D20559" t="s">
        <v>1</v>
      </c>
      <c r="E20559" t="s">
        <v>1</v>
      </c>
      <c r="F20559" t="s">
        <v>0</v>
      </c>
      <c r="G20559" t="str">
        <f>"2018-10-08 11:18:00"</f>
        <v>2018-10-08 11:18:00</v>
      </c>
    </row>
    <row r="20560" spans="1:7" x14ac:dyDescent="0.2">
      <c r="A20560" t="s">
        <v>950</v>
      </c>
      <c r="B20560" t="str">
        <f>"15622984298"</f>
        <v>15622984298</v>
      </c>
      <c r="C20560" t="str">
        <f>"431024199305213019"</f>
        <v>431024199305213019</v>
      </c>
      <c r="D20560" t="s">
        <v>1</v>
      </c>
      <c r="E20560" t="s">
        <v>1</v>
      </c>
      <c r="F20560" t="s">
        <v>0</v>
      </c>
      <c r="G20560" t="str">
        <f>"2018-10-08 11:12:46"</f>
        <v>2018-10-08 11:12:46</v>
      </c>
    </row>
    <row r="20561" spans="1:7" x14ac:dyDescent="0.2">
      <c r="A20561" t="s">
        <v>1</v>
      </c>
      <c r="B20561" t="str">
        <f>"18390548683"</f>
        <v>18390548683</v>
      </c>
      <c r="C20561" t="s">
        <v>1</v>
      </c>
      <c r="D20561" t="s">
        <v>1</v>
      </c>
      <c r="E20561" t="s">
        <v>1</v>
      </c>
      <c r="F20561" t="s">
        <v>0</v>
      </c>
      <c r="G20561" t="str">
        <f>"2018-10-08 11:11:41"</f>
        <v>2018-10-08 11:11:41</v>
      </c>
    </row>
    <row r="20562" spans="1:7" x14ac:dyDescent="0.2">
      <c r="A20562" t="s">
        <v>19248</v>
      </c>
      <c r="B20562" t="str">
        <f>"17710742574"</f>
        <v>17710742574</v>
      </c>
      <c r="C20562" t="str">
        <f>"140430198805116017"</f>
        <v>140430198805116017</v>
      </c>
      <c r="D20562" t="s">
        <v>1</v>
      </c>
      <c r="E20562" t="s">
        <v>1</v>
      </c>
      <c r="F20562" t="s">
        <v>0</v>
      </c>
      <c r="G20562" t="str">
        <f>"2018-10-08 11:11:53"</f>
        <v>2018-10-08 11:11:53</v>
      </c>
    </row>
    <row r="20563" spans="1:7" x14ac:dyDescent="0.2">
      <c r="A20563" t="s">
        <v>957</v>
      </c>
      <c r="B20563" t="str">
        <f>"18908706946"</f>
        <v>18908706946</v>
      </c>
      <c r="C20563" t="str">
        <f>"532129198508060910"</f>
        <v>532129198508060910</v>
      </c>
      <c r="D20563" t="s">
        <v>1</v>
      </c>
      <c r="E20563" t="s">
        <v>1</v>
      </c>
      <c r="F20563" t="s">
        <v>0</v>
      </c>
      <c r="G20563" t="str">
        <f>"2018-10-08 12:09:39"</f>
        <v>2018-10-08 12:09:39</v>
      </c>
    </row>
    <row r="20564" spans="1:7" x14ac:dyDescent="0.2">
      <c r="A20564" t="s">
        <v>1</v>
      </c>
      <c r="B20564" t="str">
        <f>"13662236597"</f>
        <v>13662236597</v>
      </c>
      <c r="C20564" t="s">
        <v>1</v>
      </c>
      <c r="D20564" t="s">
        <v>1</v>
      </c>
      <c r="E20564" t="s">
        <v>1</v>
      </c>
      <c r="F20564" t="s">
        <v>0</v>
      </c>
      <c r="G20564" t="str">
        <f>"2018-10-08 11:09:20"</f>
        <v>2018-10-08 11:09:20</v>
      </c>
    </row>
    <row r="20565" spans="1:7" x14ac:dyDescent="0.2">
      <c r="A20565" t="s">
        <v>1</v>
      </c>
      <c r="B20565" t="str">
        <f>"18222991889"</f>
        <v>18222991889</v>
      </c>
      <c r="C20565" t="s">
        <v>1</v>
      </c>
      <c r="D20565" t="s">
        <v>1</v>
      </c>
      <c r="E20565" t="s">
        <v>1</v>
      </c>
      <c r="F20565" t="s">
        <v>0</v>
      </c>
      <c r="G20565" t="str">
        <f>"2018-10-08 11:11:27"</f>
        <v>2018-10-08 11:11:27</v>
      </c>
    </row>
    <row r="20566" spans="1:7" x14ac:dyDescent="0.2">
      <c r="A20566" t="s">
        <v>1</v>
      </c>
      <c r="B20566" t="str">
        <f>"15286668846"</f>
        <v>15286668846</v>
      </c>
      <c r="C20566" t="s">
        <v>1</v>
      </c>
      <c r="D20566" t="s">
        <v>1</v>
      </c>
      <c r="E20566" t="s">
        <v>1</v>
      </c>
      <c r="F20566" t="s">
        <v>0</v>
      </c>
      <c r="G20566" t="str">
        <f>"2018-10-08 11:04:38"</f>
        <v>2018-10-08 11:04:38</v>
      </c>
    </row>
    <row r="20567" spans="1:7" x14ac:dyDescent="0.2">
      <c r="A20567" t="s">
        <v>19249</v>
      </c>
      <c r="B20567" t="str">
        <f>"15759298563"</f>
        <v>15759298563</v>
      </c>
      <c r="C20567" t="str">
        <f>"350212198902231530"</f>
        <v>350212198902231530</v>
      </c>
      <c r="D20567" t="s">
        <v>1</v>
      </c>
      <c r="E20567" t="s">
        <v>1</v>
      </c>
      <c r="F20567" t="s">
        <v>0</v>
      </c>
      <c r="G20567" t="str">
        <f>"2018-10-08 11:01:47"</f>
        <v>2018-10-08 11:01:47</v>
      </c>
    </row>
    <row r="20568" spans="1:7" x14ac:dyDescent="0.2">
      <c r="A20568" t="s">
        <v>19250</v>
      </c>
      <c r="B20568" t="str">
        <f>"13113385773"</f>
        <v>13113385773</v>
      </c>
      <c r="C20568" t="str">
        <f>"441625199111136917"</f>
        <v>441625199111136917</v>
      </c>
      <c r="D20568" t="s">
        <v>19251</v>
      </c>
      <c r="E20568" t="s">
        <v>19252</v>
      </c>
      <c r="F20568" t="s">
        <v>0</v>
      </c>
      <c r="G20568" t="str">
        <f>"2018-10-08 11:02:15"</f>
        <v>2018-10-08 11:02:15</v>
      </c>
    </row>
    <row r="20569" spans="1:7" x14ac:dyDescent="0.2">
      <c r="A20569" t="s">
        <v>19253</v>
      </c>
      <c r="B20569" t="str">
        <f>"18323875690"</f>
        <v>18323875690</v>
      </c>
      <c r="C20569" t="str">
        <f>"500383199309126653"</f>
        <v>500383199309126653</v>
      </c>
      <c r="D20569" t="s">
        <v>19254</v>
      </c>
      <c r="E20569" t="s">
        <v>19255</v>
      </c>
      <c r="F20569" t="s">
        <v>0</v>
      </c>
      <c r="G20569" t="str">
        <f>"2018-10-08 11:02:57"</f>
        <v>2018-10-08 11:02:57</v>
      </c>
    </row>
    <row r="20570" spans="1:7" x14ac:dyDescent="0.2">
      <c r="A20570" t="s">
        <v>19256</v>
      </c>
      <c r="B20570" t="str">
        <f>"15125631230"</f>
        <v>15125631230</v>
      </c>
      <c r="C20570" t="str">
        <f>"532728199201261524"</f>
        <v>532728199201261524</v>
      </c>
      <c r="D20570" t="s">
        <v>1</v>
      </c>
      <c r="E20570" t="s">
        <v>1</v>
      </c>
      <c r="F20570" t="s">
        <v>0</v>
      </c>
      <c r="G20570" t="str">
        <f>"2018-10-08 10:55:55"</f>
        <v>2018-10-08 10:55:55</v>
      </c>
    </row>
    <row r="20571" spans="1:7" x14ac:dyDescent="0.2">
      <c r="A20571" t="s">
        <v>19257</v>
      </c>
      <c r="B20571" t="str">
        <f>"15065170570"</f>
        <v>15065170570</v>
      </c>
      <c r="C20571" t="str">
        <f>"371081199902030625"</f>
        <v>371081199902030625</v>
      </c>
      <c r="D20571" t="s">
        <v>19258</v>
      </c>
      <c r="E20571" t="s">
        <v>19259</v>
      </c>
      <c r="F20571" t="s">
        <v>0</v>
      </c>
      <c r="G20571" t="str">
        <f>"2018-10-08 10:54:27"</f>
        <v>2018-10-08 10:54:27</v>
      </c>
    </row>
    <row r="20572" spans="1:7" x14ac:dyDescent="0.2">
      <c r="A20572" t="s">
        <v>1</v>
      </c>
      <c r="B20572" t="str">
        <f>"13869858825"</f>
        <v>13869858825</v>
      </c>
      <c r="C20572" t="s">
        <v>1</v>
      </c>
      <c r="D20572" t="s">
        <v>1</v>
      </c>
      <c r="E20572" t="s">
        <v>1</v>
      </c>
      <c r="F20572" t="s">
        <v>0</v>
      </c>
      <c r="G20572" t="str">
        <f>"2018-10-08 10:51:47"</f>
        <v>2018-10-08 10:51:47</v>
      </c>
    </row>
    <row r="20573" spans="1:7" x14ac:dyDescent="0.2">
      <c r="A20573" t="s">
        <v>4376</v>
      </c>
      <c r="B20573" t="str">
        <f>"15190594393"</f>
        <v>15190594393</v>
      </c>
      <c r="C20573" t="str">
        <f>"320826198903106235"</f>
        <v>320826198903106235</v>
      </c>
      <c r="D20573" t="s">
        <v>1</v>
      </c>
      <c r="E20573" t="s">
        <v>1</v>
      </c>
      <c r="F20573" t="s">
        <v>0</v>
      </c>
      <c r="G20573" t="str">
        <f>"2018-10-08 11:37:50"</f>
        <v>2018-10-08 11:37:50</v>
      </c>
    </row>
    <row r="20574" spans="1:7" x14ac:dyDescent="0.2">
      <c r="A20574" t="s">
        <v>1</v>
      </c>
      <c r="B20574" t="str">
        <f>"18313622113"</f>
        <v>18313622113</v>
      </c>
      <c r="C20574" t="s">
        <v>1</v>
      </c>
      <c r="D20574" t="s">
        <v>1</v>
      </c>
      <c r="E20574" t="s">
        <v>1</v>
      </c>
      <c r="F20574" t="s">
        <v>0</v>
      </c>
      <c r="G20574" t="str">
        <f>"2018-10-08 10:49:13"</f>
        <v>2018-10-08 10:49:13</v>
      </c>
    </row>
    <row r="20575" spans="1:7" x14ac:dyDescent="0.2">
      <c r="A20575" t="s">
        <v>19260</v>
      </c>
      <c r="B20575" t="str">
        <f>"15080560103"</f>
        <v>15080560103</v>
      </c>
      <c r="C20575" t="str">
        <f>"350723200001302115"</f>
        <v>350723200001302115</v>
      </c>
      <c r="D20575" t="s">
        <v>19261</v>
      </c>
      <c r="E20575" t="s">
        <v>19262</v>
      </c>
      <c r="F20575" t="s">
        <v>0</v>
      </c>
      <c r="G20575" t="str">
        <f>"2018-10-08 10:50:00"</f>
        <v>2018-10-08 10:50:00</v>
      </c>
    </row>
    <row r="20576" spans="1:7" x14ac:dyDescent="0.2">
      <c r="A20576" t="s">
        <v>1</v>
      </c>
      <c r="B20576" t="str">
        <f>"18761353903"</f>
        <v>18761353903</v>
      </c>
      <c r="C20576" t="s">
        <v>1</v>
      </c>
      <c r="D20576" t="s">
        <v>1</v>
      </c>
      <c r="E20576" t="s">
        <v>1</v>
      </c>
      <c r="F20576" t="s">
        <v>0</v>
      </c>
      <c r="G20576" t="str">
        <f>"2018-10-08 10:47:47"</f>
        <v>2018-10-08 10:47:47</v>
      </c>
    </row>
    <row r="20577" spans="1:7" x14ac:dyDescent="0.2">
      <c r="A20577" t="s">
        <v>19263</v>
      </c>
      <c r="B20577" t="str">
        <f>"13599270525"</f>
        <v>13599270525</v>
      </c>
      <c r="C20577" t="str">
        <f>"452323198109284952"</f>
        <v>452323198109284952</v>
      </c>
      <c r="D20577" t="s">
        <v>1</v>
      </c>
      <c r="E20577" t="s">
        <v>1</v>
      </c>
      <c r="F20577" t="s">
        <v>0</v>
      </c>
      <c r="G20577" t="str">
        <f>"2018-10-08 10:47:42"</f>
        <v>2018-10-08 10:47:42</v>
      </c>
    </row>
    <row r="20578" spans="1:7" x14ac:dyDescent="0.2">
      <c r="A20578" t="s">
        <v>1</v>
      </c>
      <c r="B20578" t="str">
        <f>"15602192496"</f>
        <v>15602192496</v>
      </c>
      <c r="C20578" t="s">
        <v>1</v>
      </c>
      <c r="D20578" t="s">
        <v>1</v>
      </c>
      <c r="E20578" t="s">
        <v>1</v>
      </c>
      <c r="F20578" t="s">
        <v>0</v>
      </c>
      <c r="G20578" t="str">
        <f>"2018-10-08 10:36:55"</f>
        <v>2018-10-08 10:36:55</v>
      </c>
    </row>
    <row r="20579" spans="1:7" x14ac:dyDescent="0.2">
      <c r="A20579" t="s">
        <v>1</v>
      </c>
      <c r="B20579" t="str">
        <f>"15169233858"</f>
        <v>15169233858</v>
      </c>
      <c r="C20579" t="s">
        <v>1</v>
      </c>
      <c r="D20579" t="s">
        <v>1</v>
      </c>
      <c r="E20579" t="s">
        <v>1</v>
      </c>
      <c r="F20579" t="s">
        <v>0</v>
      </c>
      <c r="G20579" t="str">
        <f>"2018-10-08 10:39:01"</f>
        <v>2018-10-08 10:39:01</v>
      </c>
    </row>
    <row r="20580" spans="1:7" x14ac:dyDescent="0.2">
      <c r="A20580" t="s">
        <v>19264</v>
      </c>
      <c r="B20580" t="str">
        <f>"13163992576"</f>
        <v>13163992576</v>
      </c>
      <c r="C20580" t="str">
        <f>"420624197104240089"</f>
        <v>420624197104240089</v>
      </c>
      <c r="D20580" t="s">
        <v>1</v>
      </c>
      <c r="E20580" t="s">
        <v>1</v>
      </c>
      <c r="F20580" t="s">
        <v>0</v>
      </c>
      <c r="G20580" t="str">
        <f>"2018-10-08 10:37:32"</f>
        <v>2018-10-08 10:37:32</v>
      </c>
    </row>
    <row r="20581" spans="1:7" x14ac:dyDescent="0.2">
      <c r="A20581" t="s">
        <v>1</v>
      </c>
      <c r="B20581" t="str">
        <f>"17702211069"</f>
        <v>17702211069</v>
      </c>
      <c r="C20581" t="s">
        <v>1</v>
      </c>
      <c r="D20581" t="s">
        <v>1</v>
      </c>
      <c r="E20581" t="s">
        <v>1</v>
      </c>
      <c r="F20581" t="s">
        <v>0</v>
      </c>
      <c r="G20581" t="str">
        <f>"2018-10-08 10:33:22"</f>
        <v>2018-10-08 10:33:22</v>
      </c>
    </row>
    <row r="20582" spans="1:7" x14ac:dyDescent="0.2">
      <c r="A20582" t="s">
        <v>19265</v>
      </c>
      <c r="B20582" t="str">
        <f>"13831573862"</f>
        <v>13831573862</v>
      </c>
      <c r="C20582" t="str">
        <f>"130229197806025018"</f>
        <v>130229197806025018</v>
      </c>
      <c r="D20582" t="s">
        <v>19266</v>
      </c>
      <c r="E20582" t="s">
        <v>19267</v>
      </c>
      <c r="F20582" t="s">
        <v>0</v>
      </c>
      <c r="G20582" t="str">
        <f>"2018-10-08 10:33:15"</f>
        <v>2018-10-08 10:33:15</v>
      </c>
    </row>
    <row r="20583" spans="1:7" x14ac:dyDescent="0.2">
      <c r="A20583" t="s">
        <v>19268</v>
      </c>
      <c r="B20583" t="str">
        <f>"15018842833"</f>
        <v>15018842833</v>
      </c>
      <c r="C20583" t="str">
        <f>"452231198410092575"</f>
        <v>452231198410092575</v>
      </c>
      <c r="D20583" t="s">
        <v>1</v>
      </c>
      <c r="E20583" t="s">
        <v>1</v>
      </c>
      <c r="F20583" t="s">
        <v>0</v>
      </c>
      <c r="G20583" t="str">
        <f>"2018-10-08 10:31:59"</f>
        <v>2018-10-08 10:31:59</v>
      </c>
    </row>
    <row r="20584" spans="1:7" x14ac:dyDescent="0.2">
      <c r="A20584" t="s">
        <v>19269</v>
      </c>
      <c r="B20584" t="str">
        <f>"15954644403"</f>
        <v>15954644403</v>
      </c>
      <c r="C20584" t="str">
        <f>"370502199210315217"</f>
        <v>370502199210315217</v>
      </c>
      <c r="D20584" t="s">
        <v>19270</v>
      </c>
      <c r="E20584" t="s">
        <v>19271</v>
      </c>
      <c r="F20584" t="s">
        <v>0</v>
      </c>
      <c r="G20584" t="str">
        <f>"2018-10-08 10:31:49"</f>
        <v>2018-10-08 10:31:49</v>
      </c>
    </row>
    <row r="20585" spans="1:7" x14ac:dyDescent="0.2">
      <c r="A20585" t="s">
        <v>1</v>
      </c>
      <c r="B20585" t="str">
        <f>"13187539003"</f>
        <v>13187539003</v>
      </c>
      <c r="C20585" t="s">
        <v>1</v>
      </c>
      <c r="D20585" t="s">
        <v>1</v>
      </c>
      <c r="E20585" t="s">
        <v>1</v>
      </c>
      <c r="F20585" t="s">
        <v>0</v>
      </c>
      <c r="G20585" t="str">
        <f>"2018-10-08 10:29:58"</f>
        <v>2018-10-08 10:29:58</v>
      </c>
    </row>
    <row r="20586" spans="1:7" x14ac:dyDescent="0.2">
      <c r="A20586" t="s">
        <v>19272</v>
      </c>
      <c r="B20586" t="str">
        <f>"13889031529"</f>
        <v>13889031529</v>
      </c>
      <c r="C20586" t="str">
        <f>"542221199301250048"</f>
        <v>542221199301250048</v>
      </c>
      <c r="D20586" t="s">
        <v>1</v>
      </c>
      <c r="E20586" t="s">
        <v>1</v>
      </c>
      <c r="F20586" t="s">
        <v>0</v>
      </c>
      <c r="G20586" t="str">
        <f>"2018-10-08 11:11:28"</f>
        <v>2018-10-08 11:11:28</v>
      </c>
    </row>
    <row r="20587" spans="1:7" x14ac:dyDescent="0.2">
      <c r="A20587" t="s">
        <v>19273</v>
      </c>
      <c r="B20587" t="str">
        <f>"13971819146"</f>
        <v>13971819146</v>
      </c>
      <c r="C20587" t="str">
        <f>"422302198407093911"</f>
        <v>422302198407093911</v>
      </c>
      <c r="D20587" t="s">
        <v>1</v>
      </c>
      <c r="E20587" t="s">
        <v>1</v>
      </c>
      <c r="F20587" t="s">
        <v>0</v>
      </c>
      <c r="G20587" t="str">
        <f>"2018-10-08 10:29:58"</f>
        <v>2018-10-08 10:29:58</v>
      </c>
    </row>
    <row r="20588" spans="1:7" x14ac:dyDescent="0.2">
      <c r="A20588" t="s">
        <v>1</v>
      </c>
      <c r="B20588" t="str">
        <f>"13548390181"</f>
        <v>13548390181</v>
      </c>
      <c r="C20588" t="s">
        <v>1</v>
      </c>
      <c r="D20588" t="s">
        <v>1</v>
      </c>
      <c r="E20588" t="s">
        <v>1</v>
      </c>
      <c r="F20588" t="s">
        <v>0</v>
      </c>
      <c r="G20588" t="str">
        <f>"2018-10-08 10:28:05"</f>
        <v>2018-10-08 10:28:05</v>
      </c>
    </row>
    <row r="20589" spans="1:7" x14ac:dyDescent="0.2">
      <c r="A20589" t="s">
        <v>1</v>
      </c>
      <c r="B20589" t="str">
        <f>"13984008073"</f>
        <v>13984008073</v>
      </c>
      <c r="C20589" t="s">
        <v>1</v>
      </c>
      <c r="D20589" t="s">
        <v>1</v>
      </c>
      <c r="E20589" t="s">
        <v>1</v>
      </c>
      <c r="F20589" t="s">
        <v>0</v>
      </c>
      <c r="G20589" t="str">
        <f>"2018-10-08 10:27:36"</f>
        <v>2018-10-08 10:27:36</v>
      </c>
    </row>
    <row r="20590" spans="1:7" x14ac:dyDescent="0.2">
      <c r="A20590" t="s">
        <v>1</v>
      </c>
      <c r="B20590" t="str">
        <f>"17729086765"</f>
        <v>17729086765</v>
      </c>
      <c r="C20590" t="s">
        <v>1</v>
      </c>
      <c r="D20590" t="s">
        <v>1</v>
      </c>
      <c r="E20590" t="s">
        <v>1</v>
      </c>
      <c r="F20590" t="s">
        <v>0</v>
      </c>
      <c r="G20590" t="str">
        <f>"2018-10-08 10:26:14"</f>
        <v>2018-10-08 10:26:14</v>
      </c>
    </row>
    <row r="20591" spans="1:7" x14ac:dyDescent="0.2">
      <c r="A20591" t="s">
        <v>19274</v>
      </c>
      <c r="B20591" t="str">
        <f>"13785201103"</f>
        <v>13785201103</v>
      </c>
      <c r="C20591" t="str">
        <f>"130123199610307211"</f>
        <v>130123199610307211</v>
      </c>
      <c r="D20591" t="s">
        <v>1</v>
      </c>
      <c r="E20591" t="s">
        <v>1</v>
      </c>
      <c r="F20591" t="s">
        <v>0</v>
      </c>
      <c r="G20591" t="str">
        <f>"2018-10-08 10:25:53"</f>
        <v>2018-10-08 10:25:53</v>
      </c>
    </row>
    <row r="20592" spans="1:7" x14ac:dyDescent="0.2">
      <c r="A20592" t="s">
        <v>1</v>
      </c>
      <c r="B20592" t="str">
        <f>"13307344088"</f>
        <v>13307344088</v>
      </c>
      <c r="C20592" t="s">
        <v>1</v>
      </c>
      <c r="D20592" t="s">
        <v>1</v>
      </c>
      <c r="E20592" t="s">
        <v>1</v>
      </c>
      <c r="F20592" t="s">
        <v>0</v>
      </c>
      <c r="G20592" t="str">
        <f>"2018-10-08 10:23:30"</f>
        <v>2018-10-08 10:23:30</v>
      </c>
    </row>
    <row r="20593" spans="1:7" x14ac:dyDescent="0.2">
      <c r="A20593" t="s">
        <v>19275</v>
      </c>
      <c r="B20593" t="str">
        <f>"18054986068"</f>
        <v>18054986068</v>
      </c>
      <c r="C20593" t="str">
        <f>"350881199807231372"</f>
        <v>350881199807231372</v>
      </c>
      <c r="D20593" t="s">
        <v>1</v>
      </c>
      <c r="E20593" t="s">
        <v>1</v>
      </c>
      <c r="F20593" t="s">
        <v>0</v>
      </c>
      <c r="G20593" t="str">
        <f>"2018-10-08 10:21:30"</f>
        <v>2018-10-08 10:21:30</v>
      </c>
    </row>
    <row r="20594" spans="1:7" x14ac:dyDescent="0.2">
      <c r="A20594" t="s">
        <v>19276</v>
      </c>
      <c r="B20594" t="str">
        <f>"17666242553"</f>
        <v>17666242553</v>
      </c>
      <c r="C20594" t="str">
        <f>"411503199101050715"</f>
        <v>411503199101050715</v>
      </c>
      <c r="D20594" t="s">
        <v>1</v>
      </c>
      <c r="E20594" t="s">
        <v>1</v>
      </c>
      <c r="F20594" t="s">
        <v>0</v>
      </c>
      <c r="G20594" t="str">
        <f>"2018-10-08 10:37:05"</f>
        <v>2018-10-08 10:37:05</v>
      </c>
    </row>
    <row r="20595" spans="1:7" x14ac:dyDescent="0.2">
      <c r="A20595" t="s">
        <v>652</v>
      </c>
      <c r="B20595" t="str">
        <f>"15195287796"</f>
        <v>15195287796</v>
      </c>
      <c r="C20595" t="str">
        <f>"321283198705070011"</f>
        <v>321283198705070011</v>
      </c>
      <c r="D20595" t="s">
        <v>19277</v>
      </c>
      <c r="E20595" t="s">
        <v>19278</v>
      </c>
      <c r="F20595" t="s">
        <v>0</v>
      </c>
      <c r="G20595" t="str">
        <f>"2018-10-26 14:27:57"</f>
        <v>2018-10-26 14:27:57</v>
      </c>
    </row>
    <row r="20596" spans="1:7" x14ac:dyDescent="0.2">
      <c r="A20596" t="s">
        <v>19279</v>
      </c>
      <c r="B20596" t="str">
        <f>"15920941034"</f>
        <v>15920941034</v>
      </c>
      <c r="C20596" t="str">
        <f>"450881199711067452"</f>
        <v>450881199711067452</v>
      </c>
      <c r="D20596" t="s">
        <v>1</v>
      </c>
      <c r="E20596" t="s">
        <v>1</v>
      </c>
      <c r="F20596" t="s">
        <v>0</v>
      </c>
      <c r="G20596" t="str">
        <f>"2018-10-08 11:28:11"</f>
        <v>2018-10-08 11:28:11</v>
      </c>
    </row>
    <row r="20597" spans="1:7" x14ac:dyDescent="0.2">
      <c r="A20597" t="s">
        <v>1</v>
      </c>
      <c r="B20597" t="str">
        <f>"15177951672"</f>
        <v>15177951672</v>
      </c>
      <c r="C20597" t="s">
        <v>1</v>
      </c>
      <c r="D20597" t="s">
        <v>1</v>
      </c>
      <c r="E20597" t="s">
        <v>1</v>
      </c>
      <c r="F20597" t="s">
        <v>0</v>
      </c>
      <c r="G20597" t="str">
        <f>"2018-10-08 10:16:37"</f>
        <v>2018-10-08 10:16:37</v>
      </c>
    </row>
    <row r="20598" spans="1:7" x14ac:dyDescent="0.2">
      <c r="A20598" t="s">
        <v>1</v>
      </c>
      <c r="B20598" t="str">
        <f>"15805750497"</f>
        <v>15805750497</v>
      </c>
      <c r="C20598" t="s">
        <v>1</v>
      </c>
      <c r="D20598" t="s">
        <v>1</v>
      </c>
      <c r="E20598" t="s">
        <v>1</v>
      </c>
      <c r="F20598" t="s">
        <v>0</v>
      </c>
      <c r="G20598" t="str">
        <f>"2018-10-08 10:14:30"</f>
        <v>2018-10-08 10:14:30</v>
      </c>
    </row>
    <row r="20599" spans="1:7" x14ac:dyDescent="0.2">
      <c r="A20599" t="s">
        <v>1</v>
      </c>
      <c r="B20599" t="str">
        <f>"18788771142"</f>
        <v>18788771142</v>
      </c>
      <c r="C20599" t="s">
        <v>1</v>
      </c>
      <c r="D20599" t="s">
        <v>1</v>
      </c>
      <c r="E20599" t="s">
        <v>1</v>
      </c>
      <c r="F20599" t="s">
        <v>0</v>
      </c>
      <c r="G20599" t="str">
        <f>"2018-10-08 10:13:33"</f>
        <v>2018-10-08 10:13:33</v>
      </c>
    </row>
    <row r="20600" spans="1:7" x14ac:dyDescent="0.2">
      <c r="A20600" t="s">
        <v>1</v>
      </c>
      <c r="B20600" t="str">
        <f>"13850309307"</f>
        <v>13850309307</v>
      </c>
      <c r="C20600" t="s">
        <v>1</v>
      </c>
      <c r="D20600" t="s">
        <v>1</v>
      </c>
      <c r="E20600" t="s">
        <v>1</v>
      </c>
      <c r="F20600" t="s">
        <v>0</v>
      </c>
      <c r="G20600" t="str">
        <f>"2018-10-08 10:07:18"</f>
        <v>2018-10-08 10:07:18</v>
      </c>
    </row>
    <row r="20601" spans="1:7" x14ac:dyDescent="0.2">
      <c r="A20601" t="s">
        <v>19280</v>
      </c>
      <c r="B20601" t="str">
        <f>"13196524132"</f>
        <v>13196524132</v>
      </c>
      <c r="C20601" t="str">
        <f>"321323199710203310"</f>
        <v>321323199710203310</v>
      </c>
      <c r="D20601" t="s">
        <v>1</v>
      </c>
      <c r="E20601" t="s">
        <v>1</v>
      </c>
      <c r="F20601" t="s">
        <v>0</v>
      </c>
      <c r="G20601" t="str">
        <f>"2018-11-01 09:30:29"</f>
        <v>2018-11-01 09:30:29</v>
      </c>
    </row>
    <row r="20602" spans="1:7" x14ac:dyDescent="0.2">
      <c r="A20602" t="s">
        <v>19281</v>
      </c>
      <c r="B20602" t="str">
        <f>"13559375886"</f>
        <v>13559375886</v>
      </c>
      <c r="C20602" t="str">
        <f>"350582198403312518"</f>
        <v>350582198403312518</v>
      </c>
      <c r="D20602" t="s">
        <v>1</v>
      </c>
      <c r="E20602" t="s">
        <v>1</v>
      </c>
      <c r="F20602" t="s">
        <v>0</v>
      </c>
      <c r="G20602" t="str">
        <f>"2018-10-08 10:08:55"</f>
        <v>2018-10-08 10:08:55</v>
      </c>
    </row>
    <row r="20603" spans="1:7" x14ac:dyDescent="0.2">
      <c r="A20603" t="s">
        <v>19282</v>
      </c>
      <c r="B20603" t="str">
        <f>"18611297448"</f>
        <v>18611297448</v>
      </c>
      <c r="C20603" t="str">
        <f>"110102198702280810"</f>
        <v>110102198702280810</v>
      </c>
      <c r="D20603" t="s">
        <v>19283</v>
      </c>
      <c r="E20603" t="s">
        <v>19284</v>
      </c>
      <c r="F20603" t="s">
        <v>0</v>
      </c>
      <c r="G20603" t="str">
        <f>"2018-10-08 10:19:48"</f>
        <v>2018-10-08 10:19:48</v>
      </c>
    </row>
    <row r="20604" spans="1:7" x14ac:dyDescent="0.2">
      <c r="A20604" t="s">
        <v>19285</v>
      </c>
      <c r="B20604" t="str">
        <f>"13599639663"</f>
        <v>13599639663</v>
      </c>
      <c r="C20604" t="str">
        <f>"350881199807130379"</f>
        <v>350881199807130379</v>
      </c>
      <c r="D20604" t="s">
        <v>19286</v>
      </c>
      <c r="E20604" t="s">
        <v>19287</v>
      </c>
      <c r="F20604" t="s">
        <v>0</v>
      </c>
      <c r="G20604" t="str">
        <f>"2018-10-18 15:05:36"</f>
        <v>2018-10-18 15:05:36</v>
      </c>
    </row>
    <row r="20605" spans="1:7" x14ac:dyDescent="0.2">
      <c r="A20605" t="s">
        <v>19288</v>
      </c>
      <c r="B20605" t="str">
        <f>"18785023284"</f>
        <v>18785023284</v>
      </c>
      <c r="C20605" t="str">
        <f>"520112199701142823"</f>
        <v>520112199701142823</v>
      </c>
      <c r="D20605" t="s">
        <v>1</v>
      </c>
      <c r="E20605" t="s">
        <v>1</v>
      </c>
      <c r="F20605" t="s">
        <v>0</v>
      </c>
      <c r="G20605" t="str">
        <f>"2018-10-08 10:03:01"</f>
        <v>2018-10-08 10:03:01</v>
      </c>
    </row>
    <row r="20606" spans="1:7" x14ac:dyDescent="0.2">
      <c r="A20606" t="s">
        <v>1</v>
      </c>
      <c r="B20606" t="str">
        <f>"18469752538"</f>
        <v>18469752538</v>
      </c>
      <c r="C20606" t="s">
        <v>1</v>
      </c>
      <c r="D20606" t="s">
        <v>1</v>
      </c>
      <c r="E20606" t="s">
        <v>1</v>
      </c>
      <c r="F20606" t="s">
        <v>0</v>
      </c>
      <c r="G20606" t="str">
        <f>"2018-10-08 10:00:31"</f>
        <v>2018-10-08 10:00:31</v>
      </c>
    </row>
    <row r="20607" spans="1:7" x14ac:dyDescent="0.2">
      <c r="A20607" t="s">
        <v>19289</v>
      </c>
      <c r="B20607" t="str">
        <f>"13508693935"</f>
        <v>13508693935</v>
      </c>
      <c r="C20607" t="str">
        <f>"422202197706010039"</f>
        <v>422202197706010039</v>
      </c>
      <c r="D20607" t="s">
        <v>19290</v>
      </c>
      <c r="E20607" t="s">
        <v>19291</v>
      </c>
      <c r="F20607" t="s">
        <v>0</v>
      </c>
      <c r="G20607" t="str">
        <f>"2018-10-08 10:00:46"</f>
        <v>2018-10-08 10:00:46</v>
      </c>
    </row>
    <row r="20608" spans="1:7" x14ac:dyDescent="0.2">
      <c r="A20608" t="s">
        <v>19292</v>
      </c>
      <c r="B20608" t="str">
        <f>"18861746235"</f>
        <v>18861746235</v>
      </c>
      <c r="C20608" t="str">
        <f>"372925198408104726"</f>
        <v>372925198408104726</v>
      </c>
      <c r="D20608" t="s">
        <v>1</v>
      </c>
      <c r="E20608" t="s">
        <v>1</v>
      </c>
      <c r="F20608" t="s">
        <v>0</v>
      </c>
      <c r="G20608" t="str">
        <f>"2018-10-08 11:11:23"</f>
        <v>2018-10-08 11:11:23</v>
      </c>
    </row>
    <row r="20609" spans="1:7" x14ac:dyDescent="0.2">
      <c r="A20609" t="s">
        <v>2732</v>
      </c>
      <c r="B20609" t="str">
        <f>"17771661294"</f>
        <v>17771661294</v>
      </c>
      <c r="C20609" t="str">
        <f>"422801199105244214"</f>
        <v>422801199105244214</v>
      </c>
      <c r="D20609" t="s">
        <v>1</v>
      </c>
      <c r="E20609" t="s">
        <v>1</v>
      </c>
      <c r="F20609" t="s">
        <v>0</v>
      </c>
      <c r="G20609" t="str">
        <f>"2018-10-08 09:57:52"</f>
        <v>2018-10-08 09:57:52</v>
      </c>
    </row>
    <row r="20610" spans="1:7" x14ac:dyDescent="0.2">
      <c r="A20610" t="s">
        <v>19293</v>
      </c>
      <c r="B20610" t="str">
        <f>"13867541422"</f>
        <v>13867541422</v>
      </c>
      <c r="C20610" t="str">
        <f>"612324198501078017"</f>
        <v>612324198501078017</v>
      </c>
      <c r="D20610" t="s">
        <v>1</v>
      </c>
      <c r="E20610" t="s">
        <v>1</v>
      </c>
      <c r="F20610" t="s">
        <v>0</v>
      </c>
      <c r="G20610" t="str">
        <f>"2018-10-08 09:57:16"</f>
        <v>2018-10-08 09:57:16</v>
      </c>
    </row>
    <row r="20611" spans="1:7" x14ac:dyDescent="0.2">
      <c r="A20611" t="s">
        <v>19294</v>
      </c>
      <c r="B20611" t="str">
        <f>"17601281077"</f>
        <v>17601281077</v>
      </c>
      <c r="C20611" t="str">
        <f>"310107197702270422"</f>
        <v>310107197702270422</v>
      </c>
      <c r="D20611" t="s">
        <v>1</v>
      </c>
      <c r="E20611" t="s">
        <v>1</v>
      </c>
      <c r="F20611" t="s">
        <v>0</v>
      </c>
      <c r="G20611" t="str">
        <f>"2018-10-08 09:57:14"</f>
        <v>2018-10-08 09:57:14</v>
      </c>
    </row>
    <row r="20612" spans="1:7" x14ac:dyDescent="0.2">
      <c r="A20612" t="s">
        <v>968</v>
      </c>
      <c r="B20612" t="str">
        <f>"17718557385"</f>
        <v>17718557385</v>
      </c>
      <c r="C20612" t="str">
        <f>"412724199002104419"</f>
        <v>412724199002104419</v>
      </c>
      <c r="D20612" t="s">
        <v>19295</v>
      </c>
      <c r="E20612" t="s">
        <v>19296</v>
      </c>
      <c r="F20612" t="s">
        <v>0</v>
      </c>
      <c r="G20612" t="str">
        <f>"2018-10-08 16:27:55"</f>
        <v>2018-10-08 16:27:55</v>
      </c>
    </row>
    <row r="20613" spans="1:7" x14ac:dyDescent="0.2">
      <c r="A20613" t="s">
        <v>19297</v>
      </c>
      <c r="B20613" t="str">
        <f>"13594237679"</f>
        <v>13594237679</v>
      </c>
      <c r="C20613" t="str">
        <f>"50023019910308375X"</f>
        <v>50023019910308375X</v>
      </c>
      <c r="D20613" t="s">
        <v>1</v>
      </c>
      <c r="E20613" t="s">
        <v>1</v>
      </c>
      <c r="F20613" t="s">
        <v>0</v>
      </c>
      <c r="G20613" t="str">
        <f>"2018-10-08 09:50:53"</f>
        <v>2018-10-08 09:50:53</v>
      </c>
    </row>
    <row r="20614" spans="1:7" x14ac:dyDescent="0.2">
      <c r="A20614" t="s">
        <v>19298</v>
      </c>
      <c r="B20614" t="str">
        <f>"15999686605"</f>
        <v>15999686605</v>
      </c>
      <c r="C20614" t="str">
        <f>"320283198906090210"</f>
        <v>320283198906090210</v>
      </c>
      <c r="D20614" t="s">
        <v>19299</v>
      </c>
      <c r="E20614" t="s">
        <v>19300</v>
      </c>
      <c r="F20614" t="s">
        <v>0</v>
      </c>
      <c r="G20614" t="str">
        <f>"2018-10-08 09:51:49"</f>
        <v>2018-10-08 09:51:49</v>
      </c>
    </row>
    <row r="20615" spans="1:7" x14ac:dyDescent="0.2">
      <c r="A20615" t="s">
        <v>19301</v>
      </c>
      <c r="B20615" t="str">
        <f>"18340080839"</f>
        <v>18340080839</v>
      </c>
      <c r="C20615" t="str">
        <f>"340323199308247828"</f>
        <v>340323199308247828</v>
      </c>
      <c r="D20615" t="s">
        <v>19302</v>
      </c>
      <c r="E20615" t="s">
        <v>19303</v>
      </c>
      <c r="F20615" t="s">
        <v>0</v>
      </c>
      <c r="G20615" t="str">
        <f>"2018-10-13 08:37:14"</f>
        <v>2018-10-13 08:37:14</v>
      </c>
    </row>
    <row r="20616" spans="1:7" x14ac:dyDescent="0.2">
      <c r="A20616" t="s">
        <v>1</v>
      </c>
      <c r="B20616" t="str">
        <f>"13533050098"</f>
        <v>13533050098</v>
      </c>
      <c r="C20616" t="s">
        <v>1</v>
      </c>
      <c r="D20616" t="s">
        <v>1</v>
      </c>
      <c r="E20616" t="s">
        <v>1</v>
      </c>
      <c r="F20616" t="s">
        <v>0</v>
      </c>
      <c r="G20616" t="str">
        <f>"2018-10-08 09:45:45"</f>
        <v>2018-10-08 09:45:45</v>
      </c>
    </row>
    <row r="20617" spans="1:7" x14ac:dyDescent="0.2">
      <c r="A20617" t="s">
        <v>1</v>
      </c>
      <c r="B20617" t="str">
        <f>"18565396726"</f>
        <v>18565396726</v>
      </c>
      <c r="C20617" t="s">
        <v>1</v>
      </c>
      <c r="D20617" t="s">
        <v>1</v>
      </c>
      <c r="E20617" t="s">
        <v>1</v>
      </c>
      <c r="F20617" t="s">
        <v>0</v>
      </c>
      <c r="G20617" t="str">
        <f>"2018-10-08 09:44:38"</f>
        <v>2018-10-08 09:44:38</v>
      </c>
    </row>
    <row r="20618" spans="1:7" x14ac:dyDescent="0.2">
      <c r="A20618" t="s">
        <v>19304</v>
      </c>
      <c r="B20618" t="str">
        <f>"15194249696"</f>
        <v>15194249696</v>
      </c>
      <c r="C20618" t="str">
        <f>"370283199212048919"</f>
        <v>370283199212048919</v>
      </c>
      <c r="D20618" t="s">
        <v>19305</v>
      </c>
      <c r="E20618" t="s">
        <v>19306</v>
      </c>
      <c r="F20618" t="s">
        <v>0</v>
      </c>
      <c r="G20618" t="str">
        <f>"2018-10-22 18:26:01"</f>
        <v>2018-10-22 18:26:01</v>
      </c>
    </row>
    <row r="20619" spans="1:7" x14ac:dyDescent="0.2">
      <c r="A20619" t="s">
        <v>766</v>
      </c>
      <c r="B20619" t="str">
        <f>"13893982755"</f>
        <v>13893982755</v>
      </c>
      <c r="C20619" t="str">
        <f>"62300119840324102X"</f>
        <v>62300119840324102X</v>
      </c>
      <c r="D20619" t="s">
        <v>1</v>
      </c>
      <c r="E20619" t="s">
        <v>1</v>
      </c>
      <c r="F20619" t="s">
        <v>0</v>
      </c>
      <c r="G20619" t="str">
        <f>"2018-10-08 09:42:16"</f>
        <v>2018-10-08 09:42:16</v>
      </c>
    </row>
    <row r="20620" spans="1:7" x14ac:dyDescent="0.2">
      <c r="A20620" t="s">
        <v>19307</v>
      </c>
      <c r="B20620" t="str">
        <f>"13653617722"</f>
        <v>13653617722</v>
      </c>
      <c r="C20620" t="str">
        <f>"142601199402135139"</f>
        <v>142601199402135139</v>
      </c>
      <c r="D20620" t="s">
        <v>1</v>
      </c>
      <c r="E20620" t="s">
        <v>1</v>
      </c>
      <c r="F20620" t="s">
        <v>0</v>
      </c>
      <c r="G20620" t="str">
        <f>"2018-10-08 09:39:37"</f>
        <v>2018-10-08 09:39:37</v>
      </c>
    </row>
    <row r="20621" spans="1:7" x14ac:dyDescent="0.2">
      <c r="A20621" t="s">
        <v>1</v>
      </c>
      <c r="B20621" t="str">
        <f>"18671035146"</f>
        <v>18671035146</v>
      </c>
      <c r="C20621" t="s">
        <v>1</v>
      </c>
      <c r="D20621" t="s">
        <v>1</v>
      </c>
      <c r="E20621" t="s">
        <v>1</v>
      </c>
      <c r="F20621" t="s">
        <v>0</v>
      </c>
      <c r="G20621" t="str">
        <f>"2018-10-08 09:38:07"</f>
        <v>2018-10-08 09:38:07</v>
      </c>
    </row>
    <row r="20622" spans="1:7" x14ac:dyDescent="0.2">
      <c r="A20622" t="s">
        <v>19308</v>
      </c>
      <c r="B20622" t="str">
        <f>"15315014380"</f>
        <v>15315014380</v>
      </c>
      <c r="C20622" t="str">
        <f>"370205198404262043"</f>
        <v>370205198404262043</v>
      </c>
      <c r="D20622" t="s">
        <v>19309</v>
      </c>
      <c r="E20622" t="s">
        <v>19310</v>
      </c>
      <c r="F20622" t="s">
        <v>0</v>
      </c>
      <c r="G20622" t="str">
        <f>"2018-10-08 09:48:46"</f>
        <v>2018-10-08 09:48:46</v>
      </c>
    </row>
    <row r="20623" spans="1:7" x14ac:dyDescent="0.2">
      <c r="A20623" t="s">
        <v>626</v>
      </c>
      <c r="B20623" t="str">
        <f>"13733922952"</f>
        <v>13733922952</v>
      </c>
      <c r="C20623" t="str">
        <f>"410411198105153016"</f>
        <v>410411198105153016</v>
      </c>
      <c r="D20623" t="s">
        <v>19311</v>
      </c>
      <c r="E20623" t="s">
        <v>19312</v>
      </c>
      <c r="F20623" t="s">
        <v>0</v>
      </c>
      <c r="G20623" t="str">
        <f>"2018-10-08 09:36:59"</f>
        <v>2018-10-08 09:36:59</v>
      </c>
    </row>
    <row r="20624" spans="1:7" x14ac:dyDescent="0.2">
      <c r="A20624" t="s">
        <v>19313</v>
      </c>
      <c r="B20624" t="str">
        <f>"13637679201"</f>
        <v>13637679201</v>
      </c>
      <c r="C20624" t="str">
        <f>"460200199408130288"</f>
        <v>460200199408130288</v>
      </c>
      <c r="D20624" t="s">
        <v>1</v>
      </c>
      <c r="E20624" t="s">
        <v>1</v>
      </c>
      <c r="F20624" t="s">
        <v>0</v>
      </c>
      <c r="G20624" t="str">
        <f>"2018-10-08 09:39:44"</f>
        <v>2018-10-08 09:39:44</v>
      </c>
    </row>
    <row r="20625" spans="1:7" x14ac:dyDescent="0.2">
      <c r="A20625" t="s">
        <v>19314</v>
      </c>
      <c r="B20625" t="str">
        <f>"18720055082"</f>
        <v>18720055082</v>
      </c>
      <c r="C20625" t="str">
        <f>"360103199303273119"</f>
        <v>360103199303273119</v>
      </c>
      <c r="D20625" t="s">
        <v>19315</v>
      </c>
      <c r="E20625" t="s">
        <v>19316</v>
      </c>
      <c r="F20625" t="s">
        <v>0</v>
      </c>
      <c r="G20625" t="str">
        <f>"2018-10-08 09:43:29"</f>
        <v>2018-10-08 09:43:29</v>
      </c>
    </row>
    <row r="20626" spans="1:7" x14ac:dyDescent="0.2">
      <c r="A20626" t="s">
        <v>19317</v>
      </c>
      <c r="B20626" t="str">
        <f>"13453007743"</f>
        <v>13453007743</v>
      </c>
      <c r="C20626" t="str">
        <f>"142201199403141432"</f>
        <v>142201199403141432</v>
      </c>
      <c r="D20626" t="s">
        <v>1</v>
      </c>
      <c r="E20626" t="s">
        <v>1</v>
      </c>
      <c r="F20626" t="s">
        <v>0</v>
      </c>
      <c r="G20626" t="str">
        <f>"2018-10-08 09:45:03"</f>
        <v>2018-10-08 09:45:03</v>
      </c>
    </row>
    <row r="20627" spans="1:7" x14ac:dyDescent="0.2">
      <c r="A20627" t="s">
        <v>1</v>
      </c>
      <c r="B20627" t="str">
        <f>"15855582363"</f>
        <v>15855582363</v>
      </c>
      <c r="C20627" t="s">
        <v>1</v>
      </c>
      <c r="D20627" t="s">
        <v>1</v>
      </c>
      <c r="E20627" t="s">
        <v>1</v>
      </c>
      <c r="F20627" t="s">
        <v>0</v>
      </c>
      <c r="G20627" t="str">
        <f>"2018-10-08 09:28:05"</f>
        <v>2018-10-08 09:28:05</v>
      </c>
    </row>
    <row r="20628" spans="1:7" x14ac:dyDescent="0.2">
      <c r="A20628" t="s">
        <v>19318</v>
      </c>
      <c r="B20628" t="str">
        <f>"18683063556"</f>
        <v>18683063556</v>
      </c>
      <c r="C20628" t="str">
        <f>"510503200009013055"</f>
        <v>510503200009013055</v>
      </c>
      <c r="D20628" t="s">
        <v>19319</v>
      </c>
      <c r="E20628" t="s">
        <v>19320</v>
      </c>
      <c r="F20628" t="s">
        <v>0</v>
      </c>
      <c r="G20628" t="str">
        <f>"2018-10-08 09:28:53"</f>
        <v>2018-10-08 09:28:53</v>
      </c>
    </row>
    <row r="20629" spans="1:7" x14ac:dyDescent="0.2">
      <c r="A20629" t="s">
        <v>1135</v>
      </c>
      <c r="B20629" t="str">
        <f>"18392102256"</f>
        <v>18392102256</v>
      </c>
      <c r="C20629" t="str">
        <f>"610328199205200936"</f>
        <v>610328199205200936</v>
      </c>
      <c r="D20629" t="s">
        <v>19321</v>
      </c>
      <c r="E20629" t="s">
        <v>19322</v>
      </c>
      <c r="F20629" t="s">
        <v>0</v>
      </c>
      <c r="G20629" t="str">
        <f>"2018-10-25 11:00:57"</f>
        <v>2018-10-25 11:00:57</v>
      </c>
    </row>
    <row r="20630" spans="1:7" x14ac:dyDescent="0.2">
      <c r="A20630" t="s">
        <v>19323</v>
      </c>
      <c r="B20630" t="str">
        <f>"18578455430"</f>
        <v>18578455430</v>
      </c>
      <c r="C20630" t="str">
        <f>"430723198909053411"</f>
        <v>430723198909053411</v>
      </c>
      <c r="D20630" t="s">
        <v>1</v>
      </c>
      <c r="E20630" t="s">
        <v>1</v>
      </c>
      <c r="F20630" t="s">
        <v>0</v>
      </c>
      <c r="G20630" t="str">
        <f>"2018-10-28 12:57:51"</f>
        <v>2018-10-28 12:57:51</v>
      </c>
    </row>
    <row r="20631" spans="1:7" x14ac:dyDescent="0.2">
      <c r="A20631" t="s">
        <v>19324</v>
      </c>
      <c r="B20631" t="str">
        <f>"13971369600"</f>
        <v>13971369600</v>
      </c>
      <c r="C20631" t="str">
        <f>"630105199510191018"</f>
        <v>630105199510191018</v>
      </c>
      <c r="D20631" t="s">
        <v>1</v>
      </c>
      <c r="E20631" t="s">
        <v>1</v>
      </c>
      <c r="F20631" t="s">
        <v>0</v>
      </c>
      <c r="G20631" t="str">
        <f>"2018-10-08 09:26:52"</f>
        <v>2018-10-08 09:26:52</v>
      </c>
    </row>
    <row r="20632" spans="1:7" x14ac:dyDescent="0.2">
      <c r="A20632" t="s">
        <v>19325</v>
      </c>
      <c r="B20632" t="str">
        <f>"18279373733"</f>
        <v>18279373733</v>
      </c>
      <c r="C20632" t="str">
        <f>"362329199211071110"</f>
        <v>362329199211071110</v>
      </c>
      <c r="D20632" t="s">
        <v>1</v>
      </c>
      <c r="E20632" t="s">
        <v>1</v>
      </c>
      <c r="F20632" t="s">
        <v>0</v>
      </c>
      <c r="G20632" t="str">
        <f>"2018-10-08 10:43:49"</f>
        <v>2018-10-08 10:43:49</v>
      </c>
    </row>
    <row r="20633" spans="1:7" x14ac:dyDescent="0.2">
      <c r="A20633" t="s">
        <v>19326</v>
      </c>
      <c r="B20633" t="str">
        <f>"13737011349"</f>
        <v>13737011349</v>
      </c>
      <c r="C20633" t="str">
        <f>"452122199609261818"</f>
        <v>452122199609261818</v>
      </c>
      <c r="D20633" t="s">
        <v>19327</v>
      </c>
      <c r="E20633" t="s">
        <v>19328</v>
      </c>
      <c r="F20633" t="s">
        <v>0</v>
      </c>
      <c r="G20633" t="str">
        <f>"2018-10-08 09:21:00"</f>
        <v>2018-10-08 09:21:00</v>
      </c>
    </row>
    <row r="20634" spans="1:7" x14ac:dyDescent="0.2">
      <c r="A20634" t="s">
        <v>19329</v>
      </c>
      <c r="B20634" t="str">
        <f>"13008800030"</f>
        <v>13008800030</v>
      </c>
      <c r="C20634" t="str">
        <f>"342122198108086791"</f>
        <v>342122198108086791</v>
      </c>
      <c r="D20634" t="s">
        <v>1</v>
      </c>
      <c r="E20634" t="s">
        <v>1</v>
      </c>
      <c r="F20634" t="s">
        <v>0</v>
      </c>
      <c r="G20634" t="str">
        <f>"2018-10-08 09:19:10"</f>
        <v>2018-10-08 09:19:10</v>
      </c>
    </row>
    <row r="20635" spans="1:7" x14ac:dyDescent="0.2">
      <c r="A20635" t="s">
        <v>1</v>
      </c>
      <c r="B20635" t="str">
        <f>"15044276616"</f>
        <v>15044276616</v>
      </c>
      <c r="C20635" t="s">
        <v>1</v>
      </c>
      <c r="D20635" t="s">
        <v>1</v>
      </c>
      <c r="E20635" t="s">
        <v>1</v>
      </c>
      <c r="F20635" t="s">
        <v>0</v>
      </c>
      <c r="G20635" t="str">
        <f>"2018-10-08 09:38:03"</f>
        <v>2018-10-08 09:38:03</v>
      </c>
    </row>
    <row r="20636" spans="1:7" x14ac:dyDescent="0.2">
      <c r="A20636" t="s">
        <v>19330</v>
      </c>
      <c r="B20636" t="str">
        <f>"15178755717"</f>
        <v>15178755717</v>
      </c>
      <c r="C20636" t="str">
        <f>"500238199411141350"</f>
        <v>500238199411141350</v>
      </c>
      <c r="D20636" t="s">
        <v>1</v>
      </c>
      <c r="E20636" t="s">
        <v>1</v>
      </c>
      <c r="F20636" t="s">
        <v>0</v>
      </c>
      <c r="G20636" t="str">
        <f>"2018-10-08 10:48:36"</f>
        <v>2018-10-08 10:48:36</v>
      </c>
    </row>
    <row r="20637" spans="1:7" x14ac:dyDescent="0.2">
      <c r="A20637" t="s">
        <v>19331</v>
      </c>
      <c r="B20637" t="str">
        <f>"13580990118"</f>
        <v>13580990118</v>
      </c>
      <c r="C20637" t="str">
        <f>"441900197909260036"</f>
        <v>441900197909260036</v>
      </c>
      <c r="D20637" t="s">
        <v>1</v>
      </c>
      <c r="E20637" t="s">
        <v>1</v>
      </c>
      <c r="F20637" t="s">
        <v>0</v>
      </c>
      <c r="G20637" t="str">
        <f>"2018-10-08 09:41:13"</f>
        <v>2018-10-08 09:41:13</v>
      </c>
    </row>
    <row r="20638" spans="1:7" x14ac:dyDescent="0.2">
      <c r="A20638" t="s">
        <v>19332</v>
      </c>
      <c r="B20638" t="str">
        <f>"17560620126"</f>
        <v>17560620126</v>
      </c>
      <c r="C20638" t="str">
        <f>"370782199901260035"</f>
        <v>370782199901260035</v>
      </c>
      <c r="D20638" t="s">
        <v>1</v>
      </c>
      <c r="E20638" t="s">
        <v>1</v>
      </c>
      <c r="F20638" t="s">
        <v>0</v>
      </c>
      <c r="G20638" t="str">
        <f>"2018-10-08 09:15:01"</f>
        <v>2018-10-08 09:15:01</v>
      </c>
    </row>
    <row r="20639" spans="1:7" x14ac:dyDescent="0.2">
      <c r="A20639" t="s">
        <v>19333</v>
      </c>
      <c r="B20639" t="str">
        <f>"13978453308"</f>
        <v>13978453308</v>
      </c>
      <c r="C20639" t="str">
        <f>"452402198703130917"</f>
        <v>452402198703130917</v>
      </c>
      <c r="D20639" t="s">
        <v>1</v>
      </c>
      <c r="E20639" t="s">
        <v>1</v>
      </c>
      <c r="F20639" t="s">
        <v>0</v>
      </c>
      <c r="G20639" t="str">
        <f>"2018-10-08 09:11:14"</f>
        <v>2018-10-08 09:11:14</v>
      </c>
    </row>
    <row r="20640" spans="1:7" x14ac:dyDescent="0.2">
      <c r="A20640" t="s">
        <v>19334</v>
      </c>
      <c r="B20640" t="str">
        <f>"15085937132"</f>
        <v>15085937132</v>
      </c>
      <c r="C20640" t="str">
        <f>"520112199101050917"</f>
        <v>520112199101050917</v>
      </c>
      <c r="D20640" t="s">
        <v>19335</v>
      </c>
      <c r="E20640" t="s">
        <v>19336</v>
      </c>
      <c r="F20640" t="s">
        <v>0</v>
      </c>
      <c r="G20640" t="str">
        <f>"2018-10-08 09:07:39"</f>
        <v>2018-10-08 09:07:39</v>
      </c>
    </row>
    <row r="20641" spans="1:7" x14ac:dyDescent="0.2">
      <c r="A20641" t="s">
        <v>19337</v>
      </c>
      <c r="B20641" t="str">
        <f>"15062386065"</f>
        <v>15062386065</v>
      </c>
      <c r="C20641" t="str">
        <f>"320502197712051516"</f>
        <v>320502197712051516</v>
      </c>
      <c r="D20641" t="s">
        <v>19338</v>
      </c>
      <c r="E20641" t="s">
        <v>19339</v>
      </c>
      <c r="F20641" t="s">
        <v>0</v>
      </c>
      <c r="G20641" t="str">
        <f>"2018-10-29 20:25:45"</f>
        <v>2018-10-29 20:25:45</v>
      </c>
    </row>
    <row r="20642" spans="1:7" x14ac:dyDescent="0.2">
      <c r="A20642" t="s">
        <v>1</v>
      </c>
      <c r="B20642" t="str">
        <f>"18053668737"</f>
        <v>18053668737</v>
      </c>
      <c r="C20642" t="s">
        <v>1</v>
      </c>
      <c r="D20642" t="s">
        <v>1</v>
      </c>
      <c r="E20642" t="s">
        <v>1</v>
      </c>
      <c r="F20642" t="s">
        <v>0</v>
      </c>
      <c r="G20642" t="str">
        <f>"2018-10-08 09:04:39"</f>
        <v>2018-10-08 09:04:39</v>
      </c>
    </row>
    <row r="20643" spans="1:7" x14ac:dyDescent="0.2">
      <c r="A20643" t="s">
        <v>19340</v>
      </c>
      <c r="B20643" t="str">
        <f>"13883127726"</f>
        <v>13883127726</v>
      </c>
      <c r="C20643" t="str">
        <f>"510203198301270036"</f>
        <v>510203198301270036</v>
      </c>
      <c r="D20643" t="s">
        <v>19341</v>
      </c>
      <c r="E20643" t="s">
        <v>19342</v>
      </c>
      <c r="F20643" t="s">
        <v>0</v>
      </c>
      <c r="G20643" t="str">
        <f>"2018-10-31 16:02:47"</f>
        <v>2018-10-31 16:02:47</v>
      </c>
    </row>
    <row r="20644" spans="1:7" x14ac:dyDescent="0.2">
      <c r="A20644" t="s">
        <v>1</v>
      </c>
      <c r="B20644" t="str">
        <f>"18294924767"</f>
        <v>18294924767</v>
      </c>
      <c r="C20644" t="s">
        <v>1</v>
      </c>
      <c r="D20644" t="s">
        <v>1</v>
      </c>
      <c r="E20644" t="s">
        <v>1</v>
      </c>
      <c r="F20644" t="s">
        <v>0</v>
      </c>
      <c r="G20644" t="str">
        <f>"2018-10-08 08:59:17"</f>
        <v>2018-10-08 08:59:17</v>
      </c>
    </row>
    <row r="20645" spans="1:7" x14ac:dyDescent="0.2">
      <c r="A20645" t="s">
        <v>1</v>
      </c>
      <c r="B20645" t="str">
        <f>"18621657517"</f>
        <v>18621657517</v>
      </c>
      <c r="C20645" t="s">
        <v>1</v>
      </c>
      <c r="D20645" t="s">
        <v>1</v>
      </c>
      <c r="E20645" t="s">
        <v>1</v>
      </c>
      <c r="F20645" t="s">
        <v>0</v>
      </c>
      <c r="G20645" t="str">
        <f>"2018-10-08 09:00:49"</f>
        <v>2018-10-08 09:00:49</v>
      </c>
    </row>
    <row r="20646" spans="1:7" x14ac:dyDescent="0.2">
      <c r="A20646" t="s">
        <v>1</v>
      </c>
      <c r="B20646" t="str">
        <f>"13713590534"</f>
        <v>13713590534</v>
      </c>
      <c r="C20646" t="s">
        <v>1</v>
      </c>
      <c r="D20646" t="s">
        <v>1</v>
      </c>
      <c r="E20646" t="s">
        <v>1</v>
      </c>
      <c r="F20646" t="s">
        <v>0</v>
      </c>
      <c r="G20646" t="str">
        <f>"2018-10-08 08:58:09"</f>
        <v>2018-10-08 08:58:09</v>
      </c>
    </row>
    <row r="20647" spans="1:7" x14ac:dyDescent="0.2">
      <c r="A20647" t="s">
        <v>1</v>
      </c>
      <c r="B20647" t="str">
        <f>"13177515026"</f>
        <v>13177515026</v>
      </c>
      <c r="C20647" t="s">
        <v>1</v>
      </c>
      <c r="D20647" t="s">
        <v>1</v>
      </c>
      <c r="E20647" t="s">
        <v>1</v>
      </c>
      <c r="F20647" t="s">
        <v>0</v>
      </c>
      <c r="G20647" t="str">
        <f>"2018-10-08 08:56:36"</f>
        <v>2018-10-08 08:56:36</v>
      </c>
    </row>
    <row r="20648" spans="1:7" x14ac:dyDescent="0.2">
      <c r="A20648" t="s">
        <v>19343</v>
      </c>
      <c r="B20648" t="str">
        <f>"15388236391"</f>
        <v>15388236391</v>
      </c>
      <c r="C20648" t="str">
        <f>"510181199005190515"</f>
        <v>510181199005190515</v>
      </c>
      <c r="D20648" t="s">
        <v>1</v>
      </c>
      <c r="E20648" t="s">
        <v>1</v>
      </c>
      <c r="F20648" t="s">
        <v>0</v>
      </c>
      <c r="G20648" t="str">
        <f>"2018-10-08 09:48:25"</f>
        <v>2018-10-08 09:48:25</v>
      </c>
    </row>
    <row r="20649" spans="1:7" x14ac:dyDescent="0.2">
      <c r="A20649" t="s">
        <v>1</v>
      </c>
      <c r="B20649" t="str">
        <f>"17779634541"</f>
        <v>17779634541</v>
      </c>
      <c r="C20649" t="s">
        <v>1</v>
      </c>
      <c r="D20649" t="s">
        <v>1</v>
      </c>
      <c r="E20649" t="s">
        <v>1</v>
      </c>
      <c r="F20649" t="s">
        <v>0</v>
      </c>
      <c r="G20649" t="str">
        <f>"2018-10-08 08:55:18"</f>
        <v>2018-10-08 08:55:18</v>
      </c>
    </row>
    <row r="20650" spans="1:7" x14ac:dyDescent="0.2">
      <c r="A20650" t="s">
        <v>19344</v>
      </c>
      <c r="B20650" t="str">
        <f>"18844392321"</f>
        <v>18844392321</v>
      </c>
      <c r="C20650" t="str">
        <f>"222401199011140044"</f>
        <v>222401199011140044</v>
      </c>
      <c r="D20650" t="s">
        <v>1</v>
      </c>
      <c r="E20650" t="s">
        <v>1</v>
      </c>
      <c r="F20650" t="s">
        <v>0</v>
      </c>
      <c r="G20650" t="str">
        <f>"2018-10-08 09:39:04"</f>
        <v>2018-10-08 09:39:04</v>
      </c>
    </row>
    <row r="20651" spans="1:7" x14ac:dyDescent="0.2">
      <c r="A20651" t="s">
        <v>16625</v>
      </c>
      <c r="B20651" t="str">
        <f>"15135692968"</f>
        <v>15135692968</v>
      </c>
      <c r="C20651" t="str">
        <f>"140521199312191012"</f>
        <v>140521199312191012</v>
      </c>
      <c r="D20651" t="s">
        <v>19345</v>
      </c>
      <c r="E20651" t="s">
        <v>19346</v>
      </c>
      <c r="F20651" t="s">
        <v>0</v>
      </c>
      <c r="G20651" t="str">
        <f>"2018-10-11 17:18:59"</f>
        <v>2018-10-11 17:18:59</v>
      </c>
    </row>
    <row r="20652" spans="1:7" x14ac:dyDescent="0.2">
      <c r="A20652" t="s">
        <v>19347</v>
      </c>
      <c r="B20652" t="str">
        <f>"13856447311"</f>
        <v>13856447311</v>
      </c>
      <c r="C20652" t="str">
        <f>"34240119880120691X"</f>
        <v>34240119880120691X</v>
      </c>
      <c r="D20652" t="s">
        <v>1</v>
      </c>
      <c r="E20652" t="s">
        <v>1</v>
      </c>
      <c r="F20652" t="s">
        <v>0</v>
      </c>
      <c r="G20652" t="str">
        <f>"2018-10-08 08:57:16"</f>
        <v>2018-10-08 08:57:16</v>
      </c>
    </row>
    <row r="20653" spans="1:7" x14ac:dyDescent="0.2">
      <c r="A20653" t="s">
        <v>19348</v>
      </c>
      <c r="B20653" t="str">
        <f>"13953540022"</f>
        <v>13953540022</v>
      </c>
      <c r="C20653" t="str">
        <f>"370628198312285519"</f>
        <v>370628198312285519</v>
      </c>
      <c r="D20653" t="s">
        <v>1</v>
      </c>
      <c r="E20653" t="s">
        <v>1</v>
      </c>
      <c r="F20653" t="s">
        <v>0</v>
      </c>
      <c r="G20653" t="str">
        <f>"2018-10-08 09:55:05"</f>
        <v>2018-10-08 09:55:05</v>
      </c>
    </row>
    <row r="20654" spans="1:7" x14ac:dyDescent="0.2">
      <c r="A20654" t="s">
        <v>19349</v>
      </c>
      <c r="B20654" t="str">
        <f>"15980901553"</f>
        <v>15980901553</v>
      </c>
      <c r="C20654" t="str">
        <f>"500223199109098713"</f>
        <v>500223199109098713</v>
      </c>
      <c r="D20654" t="s">
        <v>1</v>
      </c>
      <c r="E20654" t="s">
        <v>1</v>
      </c>
      <c r="F20654" t="s">
        <v>0</v>
      </c>
      <c r="G20654" t="str">
        <f>"2018-10-08 08:48:07"</f>
        <v>2018-10-08 08:48:07</v>
      </c>
    </row>
    <row r="20655" spans="1:7" x14ac:dyDescent="0.2">
      <c r="A20655" t="s">
        <v>19350</v>
      </c>
      <c r="B20655" t="str">
        <f>"15727789518"</f>
        <v>15727789518</v>
      </c>
      <c r="C20655" t="str">
        <f>"360781198310220020"</f>
        <v>360781198310220020</v>
      </c>
      <c r="D20655" t="s">
        <v>1</v>
      </c>
      <c r="E20655" t="s">
        <v>1</v>
      </c>
      <c r="F20655" t="s">
        <v>0</v>
      </c>
      <c r="G20655" t="str">
        <f>"2018-10-08 08:47:17"</f>
        <v>2018-10-08 08:47:17</v>
      </c>
    </row>
    <row r="20656" spans="1:7" x14ac:dyDescent="0.2">
      <c r="A20656" t="s">
        <v>1</v>
      </c>
      <c r="B20656" t="str">
        <f>"18650617970"</f>
        <v>18650617970</v>
      </c>
      <c r="C20656" t="s">
        <v>1</v>
      </c>
      <c r="D20656" t="s">
        <v>1</v>
      </c>
      <c r="E20656" t="s">
        <v>1</v>
      </c>
      <c r="F20656" t="s">
        <v>0</v>
      </c>
      <c r="G20656" t="str">
        <f>"2018-10-08 08:42:47"</f>
        <v>2018-10-08 08:42:47</v>
      </c>
    </row>
    <row r="20657" spans="1:7" x14ac:dyDescent="0.2">
      <c r="A20657" t="s">
        <v>19351</v>
      </c>
      <c r="B20657" t="str">
        <f>"13944865586"</f>
        <v>13944865586</v>
      </c>
      <c r="C20657" t="str">
        <f>"220104198504124110"</f>
        <v>220104198504124110</v>
      </c>
      <c r="D20657" t="s">
        <v>1</v>
      </c>
      <c r="E20657" t="s">
        <v>1</v>
      </c>
      <c r="F20657" t="s">
        <v>0</v>
      </c>
      <c r="G20657" t="str">
        <f>"2018-10-08 08:43:14"</f>
        <v>2018-10-08 08:43:14</v>
      </c>
    </row>
    <row r="20658" spans="1:7" x14ac:dyDescent="0.2">
      <c r="A20658" t="s">
        <v>19352</v>
      </c>
      <c r="B20658" t="str">
        <f>"15818335885"</f>
        <v>15818335885</v>
      </c>
      <c r="C20658" t="str">
        <f>"441521198501120835"</f>
        <v>441521198501120835</v>
      </c>
      <c r="D20658" t="s">
        <v>1</v>
      </c>
      <c r="E20658" t="s">
        <v>1</v>
      </c>
      <c r="F20658" t="s">
        <v>0</v>
      </c>
      <c r="G20658" t="str">
        <f>"2018-10-08 08:44:45"</f>
        <v>2018-10-08 08:44:45</v>
      </c>
    </row>
    <row r="20659" spans="1:7" x14ac:dyDescent="0.2">
      <c r="A20659" t="s">
        <v>1</v>
      </c>
      <c r="B20659" t="str">
        <f>"15044290626"</f>
        <v>15044290626</v>
      </c>
      <c r="C20659" t="s">
        <v>1</v>
      </c>
      <c r="D20659" t="s">
        <v>1</v>
      </c>
      <c r="E20659" t="s">
        <v>1</v>
      </c>
      <c r="F20659" t="s">
        <v>0</v>
      </c>
      <c r="G20659" t="str">
        <f>"2018-10-08 08:35:11"</f>
        <v>2018-10-08 08:35:11</v>
      </c>
    </row>
    <row r="20660" spans="1:7" x14ac:dyDescent="0.2">
      <c r="A20660" t="s">
        <v>19353</v>
      </c>
      <c r="B20660" t="str">
        <f>"17688280345"</f>
        <v>17688280345</v>
      </c>
      <c r="C20660" t="str">
        <f>"433124198701089016"</f>
        <v>433124198701089016</v>
      </c>
      <c r="D20660" t="s">
        <v>19354</v>
      </c>
      <c r="E20660" t="s">
        <v>19355</v>
      </c>
      <c r="F20660" t="s">
        <v>0</v>
      </c>
      <c r="G20660" t="str">
        <f>"2018-10-18 20:01:26"</f>
        <v>2018-10-18 20:01:26</v>
      </c>
    </row>
    <row r="20661" spans="1:7" x14ac:dyDescent="0.2">
      <c r="A20661" t="s">
        <v>19356</v>
      </c>
      <c r="B20661" t="str">
        <f>"15609002546"</f>
        <v>15609002546</v>
      </c>
      <c r="C20661" t="str">
        <f>"510623198704166927"</f>
        <v>510623198704166927</v>
      </c>
      <c r="D20661" t="s">
        <v>1</v>
      </c>
      <c r="E20661" t="s">
        <v>1</v>
      </c>
      <c r="F20661" t="s">
        <v>0</v>
      </c>
      <c r="G20661" t="str">
        <f>"2018-10-08 08:29:02"</f>
        <v>2018-10-08 08:29:02</v>
      </c>
    </row>
    <row r="20662" spans="1:7" x14ac:dyDescent="0.2">
      <c r="A20662" t="s">
        <v>19357</v>
      </c>
      <c r="B20662" t="str">
        <f>"13213365758"</f>
        <v>13213365758</v>
      </c>
      <c r="C20662" t="str">
        <f>"410224199611101011"</f>
        <v>410224199611101011</v>
      </c>
      <c r="D20662" t="s">
        <v>1</v>
      </c>
      <c r="E20662" t="s">
        <v>1</v>
      </c>
      <c r="F20662" t="s">
        <v>0</v>
      </c>
      <c r="G20662" t="str">
        <f>"2018-10-08 08:20:46"</f>
        <v>2018-10-08 08:20:46</v>
      </c>
    </row>
    <row r="20663" spans="1:7" x14ac:dyDescent="0.2">
      <c r="A20663" t="s">
        <v>1352</v>
      </c>
      <c r="B20663" t="str">
        <f>"18506575771"</f>
        <v>18506575771</v>
      </c>
      <c r="C20663" t="str">
        <f>"433023197812252617"</f>
        <v>433023197812252617</v>
      </c>
      <c r="D20663" t="s">
        <v>1</v>
      </c>
      <c r="E20663" t="s">
        <v>1</v>
      </c>
      <c r="F20663" t="s">
        <v>0</v>
      </c>
      <c r="G20663" t="str">
        <f>"2018-10-08 08:21:12"</f>
        <v>2018-10-08 08:21:12</v>
      </c>
    </row>
    <row r="20664" spans="1:7" x14ac:dyDescent="0.2">
      <c r="A20664" t="s">
        <v>19358</v>
      </c>
      <c r="B20664" t="str">
        <f>"13628786466"</f>
        <v>13628786466</v>
      </c>
      <c r="C20664" t="str">
        <f>"532324198311240044"</f>
        <v>532324198311240044</v>
      </c>
      <c r="D20664" t="s">
        <v>1</v>
      </c>
      <c r="E20664" t="s">
        <v>1</v>
      </c>
      <c r="F20664" t="s">
        <v>0</v>
      </c>
      <c r="G20664" t="str">
        <f>"2018-10-08 09:41:34"</f>
        <v>2018-10-08 09:41:34</v>
      </c>
    </row>
    <row r="20665" spans="1:7" x14ac:dyDescent="0.2">
      <c r="A20665" t="s">
        <v>19359</v>
      </c>
      <c r="B20665" t="str">
        <f>"15085638621"</f>
        <v>15085638621</v>
      </c>
      <c r="C20665" t="str">
        <f>"522125198107052517"</f>
        <v>522125198107052517</v>
      </c>
      <c r="D20665" t="s">
        <v>1</v>
      </c>
      <c r="E20665" t="s">
        <v>1</v>
      </c>
      <c r="F20665" t="s">
        <v>0</v>
      </c>
      <c r="G20665" t="str">
        <f>"2018-10-08 08:16:54"</f>
        <v>2018-10-08 08:16:54</v>
      </c>
    </row>
    <row r="20666" spans="1:7" x14ac:dyDescent="0.2">
      <c r="A20666" t="s">
        <v>1</v>
      </c>
      <c r="B20666" t="str">
        <f>"15990688689"</f>
        <v>15990688689</v>
      </c>
      <c r="C20666" t="s">
        <v>1</v>
      </c>
      <c r="D20666" t="s">
        <v>1</v>
      </c>
      <c r="E20666" t="s">
        <v>1</v>
      </c>
      <c r="F20666" t="s">
        <v>0</v>
      </c>
      <c r="G20666" t="str">
        <f>"2018-10-08 08:16:06"</f>
        <v>2018-10-08 08:16:06</v>
      </c>
    </row>
    <row r="20667" spans="1:7" x14ac:dyDescent="0.2">
      <c r="A20667" t="s">
        <v>1</v>
      </c>
      <c r="B20667" t="str">
        <f>"18387151719"</f>
        <v>18387151719</v>
      </c>
      <c r="C20667" t="s">
        <v>1</v>
      </c>
      <c r="D20667" t="s">
        <v>1</v>
      </c>
      <c r="E20667" t="s">
        <v>1</v>
      </c>
      <c r="F20667" t="s">
        <v>0</v>
      </c>
      <c r="G20667" t="str">
        <f>"2018-10-08 08:10:40"</f>
        <v>2018-10-08 08:10:40</v>
      </c>
    </row>
    <row r="20668" spans="1:7" x14ac:dyDescent="0.2">
      <c r="A20668" t="s">
        <v>19360</v>
      </c>
      <c r="B20668" t="str">
        <f>"18191206563"</f>
        <v>18191206563</v>
      </c>
      <c r="C20668" t="str">
        <f>"610528198101043610"</f>
        <v>610528198101043610</v>
      </c>
      <c r="D20668" t="s">
        <v>1</v>
      </c>
      <c r="E20668" t="s">
        <v>1</v>
      </c>
      <c r="F20668" t="s">
        <v>0</v>
      </c>
      <c r="G20668" t="str">
        <f>"2018-10-08 08:13:24"</f>
        <v>2018-10-08 08:13:24</v>
      </c>
    </row>
    <row r="20669" spans="1:7" x14ac:dyDescent="0.2">
      <c r="A20669" t="s">
        <v>19361</v>
      </c>
      <c r="B20669" t="str">
        <f>"13676691712"</f>
        <v>13676691712</v>
      </c>
      <c r="C20669" t="str">
        <f>"362425198507024415"</f>
        <v>362425198507024415</v>
      </c>
      <c r="D20669" t="s">
        <v>1</v>
      </c>
      <c r="E20669" t="s">
        <v>1</v>
      </c>
      <c r="F20669" t="s">
        <v>0</v>
      </c>
      <c r="G20669" t="str">
        <f>"2018-10-08 12:15:40"</f>
        <v>2018-10-08 12:15:40</v>
      </c>
    </row>
    <row r="20670" spans="1:7" x14ac:dyDescent="0.2">
      <c r="A20670" t="s">
        <v>19362</v>
      </c>
      <c r="B20670" t="str">
        <f>"15216753445"</f>
        <v>15216753445</v>
      </c>
      <c r="C20670" t="str">
        <f>"320821199107081914"</f>
        <v>320821199107081914</v>
      </c>
      <c r="D20670" t="s">
        <v>1</v>
      </c>
      <c r="E20670" t="s">
        <v>1</v>
      </c>
      <c r="F20670" t="s">
        <v>0</v>
      </c>
      <c r="G20670" t="str">
        <f>"2018-10-08 08:06:57"</f>
        <v>2018-10-08 08:06:57</v>
      </c>
    </row>
    <row r="20671" spans="1:7" x14ac:dyDescent="0.2">
      <c r="A20671" t="s">
        <v>19363</v>
      </c>
      <c r="B20671" t="str">
        <f>"15033181229"</f>
        <v>15033181229</v>
      </c>
      <c r="C20671" t="str">
        <f>"133022198202261935"</f>
        <v>133022198202261935</v>
      </c>
      <c r="D20671" t="s">
        <v>19364</v>
      </c>
      <c r="E20671" t="s">
        <v>19365</v>
      </c>
      <c r="F20671" t="s">
        <v>0</v>
      </c>
      <c r="G20671" t="str">
        <f>"2018-10-08 08:07:52"</f>
        <v>2018-10-08 08:07:52</v>
      </c>
    </row>
    <row r="20672" spans="1:7" x14ac:dyDescent="0.2">
      <c r="A20672" t="s">
        <v>19366</v>
      </c>
      <c r="B20672" t="str">
        <f>"13823904202"</f>
        <v>13823904202</v>
      </c>
      <c r="C20672" t="str">
        <f>"442000198010272959"</f>
        <v>442000198010272959</v>
      </c>
      <c r="D20672" t="s">
        <v>1</v>
      </c>
      <c r="E20672" t="s">
        <v>1</v>
      </c>
      <c r="F20672" t="s">
        <v>0</v>
      </c>
      <c r="G20672" t="str">
        <f>"2018-10-08 08:05:09"</f>
        <v>2018-10-08 08:05:09</v>
      </c>
    </row>
    <row r="20673" spans="1:7" x14ac:dyDescent="0.2">
      <c r="A20673" t="s">
        <v>19367</v>
      </c>
      <c r="B20673" t="str">
        <f>"13936400688"</f>
        <v>13936400688</v>
      </c>
      <c r="C20673" t="str">
        <f>"230103197908081322"</f>
        <v>230103197908081322</v>
      </c>
      <c r="D20673" t="s">
        <v>1</v>
      </c>
      <c r="E20673" t="s">
        <v>1</v>
      </c>
      <c r="F20673" t="s">
        <v>0</v>
      </c>
      <c r="G20673" t="str">
        <f>"2018-10-08 08:04:33"</f>
        <v>2018-10-08 08:04:33</v>
      </c>
    </row>
    <row r="20674" spans="1:7" x14ac:dyDescent="0.2">
      <c r="A20674" t="s">
        <v>699</v>
      </c>
      <c r="B20674" t="str">
        <f>"15190911046"</f>
        <v>15190911046</v>
      </c>
      <c r="C20674" t="str">
        <f>"320681198706167235"</f>
        <v>320681198706167235</v>
      </c>
      <c r="D20674" t="s">
        <v>1</v>
      </c>
      <c r="E20674" t="s">
        <v>1</v>
      </c>
      <c r="F20674" t="s">
        <v>0</v>
      </c>
      <c r="G20674" t="str">
        <f>"2018-10-08 07:59:44"</f>
        <v>2018-10-08 07:59:44</v>
      </c>
    </row>
    <row r="20675" spans="1:7" x14ac:dyDescent="0.2">
      <c r="A20675" t="s">
        <v>1054</v>
      </c>
      <c r="B20675" t="str">
        <f>"13452343008"</f>
        <v>13452343008</v>
      </c>
      <c r="C20675" t="str">
        <f>"510282198009195919"</f>
        <v>510282198009195919</v>
      </c>
      <c r="D20675" t="s">
        <v>1</v>
      </c>
      <c r="E20675" t="s">
        <v>1</v>
      </c>
      <c r="F20675" t="s">
        <v>0</v>
      </c>
      <c r="G20675" t="str">
        <f>"2018-10-27 18:03:06"</f>
        <v>2018-10-27 18:03:06</v>
      </c>
    </row>
    <row r="20676" spans="1:7" x14ac:dyDescent="0.2">
      <c r="A20676" t="s">
        <v>1</v>
      </c>
      <c r="B20676" t="str">
        <f>"15986704045"</f>
        <v>15986704045</v>
      </c>
      <c r="C20676" t="s">
        <v>1</v>
      </c>
      <c r="D20676" t="s">
        <v>1</v>
      </c>
      <c r="E20676" t="s">
        <v>1</v>
      </c>
      <c r="F20676" t="s">
        <v>0</v>
      </c>
      <c r="G20676" t="str">
        <f>"2018-10-08 07:57:33"</f>
        <v>2018-10-08 07:57:33</v>
      </c>
    </row>
    <row r="20677" spans="1:7" x14ac:dyDescent="0.2">
      <c r="A20677" t="s">
        <v>1</v>
      </c>
      <c r="B20677" t="str">
        <f>"15557513975"</f>
        <v>15557513975</v>
      </c>
      <c r="C20677" t="s">
        <v>1</v>
      </c>
      <c r="D20677" t="s">
        <v>1</v>
      </c>
      <c r="E20677" t="s">
        <v>1</v>
      </c>
      <c r="F20677" t="s">
        <v>0</v>
      </c>
      <c r="G20677" t="str">
        <f>"2018-10-08 07:55:56"</f>
        <v>2018-10-08 07:55:56</v>
      </c>
    </row>
    <row r="20678" spans="1:7" x14ac:dyDescent="0.2">
      <c r="A20678" t="s">
        <v>24</v>
      </c>
      <c r="B20678" t="str">
        <f>"18810966367"</f>
        <v>18810966367</v>
      </c>
      <c r="C20678" t="str">
        <f>"640522199308302618"</f>
        <v>640522199308302618</v>
      </c>
      <c r="D20678" t="s">
        <v>1</v>
      </c>
      <c r="E20678" t="s">
        <v>1</v>
      </c>
      <c r="F20678" t="s">
        <v>0</v>
      </c>
      <c r="G20678" t="str">
        <f>"2018-11-04 17:21:59"</f>
        <v>2018-11-04 17:21:59</v>
      </c>
    </row>
    <row r="20679" spans="1:7" x14ac:dyDescent="0.2">
      <c r="A20679" t="s">
        <v>19368</v>
      </c>
      <c r="B20679" t="str">
        <f>"15206827728"</f>
        <v>15206827728</v>
      </c>
      <c r="C20679" t="str">
        <f>"371327198807153735"</f>
        <v>371327198807153735</v>
      </c>
      <c r="D20679" t="s">
        <v>1</v>
      </c>
      <c r="E20679" t="s">
        <v>1</v>
      </c>
      <c r="F20679" t="s">
        <v>0</v>
      </c>
      <c r="G20679" t="str">
        <f>"2018-10-08 07:57:15"</f>
        <v>2018-10-08 07:57:15</v>
      </c>
    </row>
    <row r="20680" spans="1:7" x14ac:dyDescent="0.2">
      <c r="A20680" t="s">
        <v>931</v>
      </c>
      <c r="B20680" t="str">
        <f>"15873125478"</f>
        <v>15873125478</v>
      </c>
      <c r="C20680" t="str">
        <f>"430122198601190656"</f>
        <v>430122198601190656</v>
      </c>
      <c r="D20680" t="s">
        <v>1</v>
      </c>
      <c r="E20680" t="s">
        <v>1</v>
      </c>
      <c r="F20680" t="s">
        <v>0</v>
      </c>
      <c r="G20680" t="str">
        <f>"2018-10-08 07:53:52"</f>
        <v>2018-10-08 07:53:52</v>
      </c>
    </row>
    <row r="20681" spans="1:7" x14ac:dyDescent="0.2">
      <c r="A20681" t="s">
        <v>19369</v>
      </c>
      <c r="B20681" t="str">
        <f>"18896921028"</f>
        <v>18896921028</v>
      </c>
      <c r="C20681" t="str">
        <f>"150430198803051629"</f>
        <v>150430198803051629</v>
      </c>
      <c r="D20681" t="s">
        <v>1</v>
      </c>
      <c r="E20681" t="s">
        <v>1</v>
      </c>
      <c r="F20681" t="s">
        <v>0</v>
      </c>
      <c r="G20681" t="str">
        <f>"2018-10-08 08:03:31"</f>
        <v>2018-10-08 08:03:31</v>
      </c>
    </row>
    <row r="20682" spans="1:7" x14ac:dyDescent="0.2">
      <c r="A20682" t="s">
        <v>1</v>
      </c>
      <c r="B20682" t="str">
        <f>"15003233615"</f>
        <v>15003233615</v>
      </c>
      <c r="C20682" t="s">
        <v>1</v>
      </c>
      <c r="D20682" t="s">
        <v>1</v>
      </c>
      <c r="E20682" t="s">
        <v>1</v>
      </c>
      <c r="F20682" t="s">
        <v>0</v>
      </c>
      <c r="G20682" t="str">
        <f>"2018-10-08 07:46:19"</f>
        <v>2018-10-08 07:46:19</v>
      </c>
    </row>
    <row r="20683" spans="1:7" x14ac:dyDescent="0.2">
      <c r="A20683" t="s">
        <v>19370</v>
      </c>
      <c r="B20683" t="str">
        <f>"13803859233"</f>
        <v>13803859233</v>
      </c>
      <c r="C20683" t="str">
        <f>"410121198001176543"</f>
        <v>410121198001176543</v>
      </c>
      <c r="D20683" t="s">
        <v>1</v>
      </c>
      <c r="E20683" t="s">
        <v>1</v>
      </c>
      <c r="F20683" t="s">
        <v>0</v>
      </c>
      <c r="G20683" t="str">
        <f>"2018-10-08 07:44:36"</f>
        <v>2018-10-08 07:44:36</v>
      </c>
    </row>
    <row r="20684" spans="1:7" x14ac:dyDescent="0.2">
      <c r="A20684" t="s">
        <v>1</v>
      </c>
      <c r="B20684" t="str">
        <f>"13720585836"</f>
        <v>13720585836</v>
      </c>
      <c r="C20684" t="s">
        <v>1</v>
      </c>
      <c r="D20684" t="s">
        <v>1</v>
      </c>
      <c r="E20684" t="s">
        <v>1</v>
      </c>
      <c r="F20684" t="s">
        <v>0</v>
      </c>
      <c r="G20684" t="str">
        <f>"2018-10-08 07:40:50"</f>
        <v>2018-10-08 07:40:50</v>
      </c>
    </row>
    <row r="20685" spans="1:7" x14ac:dyDescent="0.2">
      <c r="A20685" t="s">
        <v>19371</v>
      </c>
      <c r="B20685" t="str">
        <f>"18874517437"</f>
        <v>18874517437</v>
      </c>
      <c r="C20685" t="str">
        <f>"433123198804200921"</f>
        <v>433123198804200921</v>
      </c>
      <c r="D20685" t="s">
        <v>19372</v>
      </c>
      <c r="E20685" t="s">
        <v>19373</v>
      </c>
      <c r="F20685" t="s">
        <v>0</v>
      </c>
      <c r="G20685" t="str">
        <f>"2018-10-08 08:58:57"</f>
        <v>2018-10-08 08:58:57</v>
      </c>
    </row>
    <row r="20686" spans="1:7" x14ac:dyDescent="0.2">
      <c r="A20686" t="s">
        <v>1</v>
      </c>
      <c r="B20686" t="str">
        <f>"15513135522"</f>
        <v>15513135522</v>
      </c>
      <c r="C20686" t="s">
        <v>1</v>
      </c>
      <c r="D20686" t="s">
        <v>1</v>
      </c>
      <c r="E20686" t="s">
        <v>1</v>
      </c>
      <c r="F20686" t="s">
        <v>0</v>
      </c>
      <c r="G20686" t="str">
        <f>"2018-10-08 07:36:46"</f>
        <v>2018-10-08 07:36:46</v>
      </c>
    </row>
    <row r="20687" spans="1:7" x14ac:dyDescent="0.2">
      <c r="A20687" t="s">
        <v>19374</v>
      </c>
      <c r="B20687" t="str">
        <f>"17705499110"</f>
        <v>17705499110</v>
      </c>
      <c r="C20687" t="str">
        <f>"372833197702193336"</f>
        <v>372833197702193336</v>
      </c>
      <c r="D20687" t="s">
        <v>1</v>
      </c>
      <c r="E20687" t="s">
        <v>1</v>
      </c>
      <c r="F20687" t="s">
        <v>0</v>
      </c>
      <c r="G20687" t="str">
        <f>"2018-10-08 07:37:22"</f>
        <v>2018-10-08 07:37:22</v>
      </c>
    </row>
    <row r="20688" spans="1:7" x14ac:dyDescent="0.2">
      <c r="A20688" t="s">
        <v>19375</v>
      </c>
      <c r="B20688" t="str">
        <f>"18905493815"</f>
        <v>18905493815</v>
      </c>
      <c r="C20688" t="str">
        <f>"371321198807206915"</f>
        <v>371321198807206915</v>
      </c>
      <c r="D20688" t="s">
        <v>1</v>
      </c>
      <c r="E20688" t="s">
        <v>1</v>
      </c>
      <c r="F20688" t="s">
        <v>0</v>
      </c>
      <c r="G20688" t="str">
        <f>"2018-10-08 07:34:08"</f>
        <v>2018-10-08 07:34:08</v>
      </c>
    </row>
    <row r="20689" spans="1:7" x14ac:dyDescent="0.2">
      <c r="A20689" t="s">
        <v>19376</v>
      </c>
      <c r="B20689" t="str">
        <f>"13556232755"</f>
        <v>13556232755</v>
      </c>
      <c r="C20689" t="str">
        <f>"431224198602025424"</f>
        <v>431224198602025424</v>
      </c>
      <c r="D20689" t="s">
        <v>1</v>
      </c>
      <c r="E20689" t="s">
        <v>1</v>
      </c>
      <c r="F20689" t="s">
        <v>0</v>
      </c>
      <c r="G20689" t="str">
        <f>"2018-10-08 07:36:53"</f>
        <v>2018-10-08 07:36:53</v>
      </c>
    </row>
    <row r="20690" spans="1:7" x14ac:dyDescent="0.2">
      <c r="A20690" t="s">
        <v>19377</v>
      </c>
      <c r="B20690" t="str">
        <f>"18389801207"</f>
        <v>18389801207</v>
      </c>
      <c r="C20690" t="str">
        <f>"460034199506092425"</f>
        <v>460034199506092425</v>
      </c>
      <c r="D20690" t="s">
        <v>1</v>
      </c>
      <c r="E20690" t="s">
        <v>1</v>
      </c>
      <c r="F20690" t="s">
        <v>0</v>
      </c>
      <c r="G20690" t="str">
        <f>"2018-10-26 20:59:58"</f>
        <v>2018-10-26 20:59:58</v>
      </c>
    </row>
    <row r="20691" spans="1:7" x14ac:dyDescent="0.2">
      <c r="A20691" t="s">
        <v>11733</v>
      </c>
      <c r="B20691" t="str">
        <f>"18602221600"</f>
        <v>18602221600</v>
      </c>
      <c r="C20691" t="str">
        <f>"120108199008054033"</f>
        <v>120108199008054033</v>
      </c>
      <c r="D20691" t="s">
        <v>1</v>
      </c>
      <c r="E20691" t="s">
        <v>1</v>
      </c>
      <c r="F20691" t="s">
        <v>0</v>
      </c>
      <c r="G20691" t="str">
        <f>"2018-10-08 07:31:58"</f>
        <v>2018-10-08 07:31:58</v>
      </c>
    </row>
    <row r="20692" spans="1:7" x14ac:dyDescent="0.2">
      <c r="A20692" t="s">
        <v>19378</v>
      </c>
      <c r="B20692" t="str">
        <f>"15277131592"</f>
        <v>15277131592</v>
      </c>
      <c r="C20692" t="str">
        <f>"450922199611070895"</f>
        <v>450922199611070895</v>
      </c>
      <c r="D20692" t="s">
        <v>1</v>
      </c>
      <c r="E20692" t="s">
        <v>1</v>
      </c>
      <c r="F20692" t="s">
        <v>0</v>
      </c>
      <c r="G20692" t="str">
        <f>"2018-10-08 07:27:24"</f>
        <v>2018-10-08 07:27:24</v>
      </c>
    </row>
    <row r="20693" spans="1:7" x14ac:dyDescent="0.2">
      <c r="A20693" t="s">
        <v>1</v>
      </c>
      <c r="B20693" t="str">
        <f>"13538174298"</f>
        <v>13538174298</v>
      </c>
      <c r="C20693" t="s">
        <v>1</v>
      </c>
      <c r="D20693" t="s">
        <v>1</v>
      </c>
      <c r="E20693" t="s">
        <v>1</v>
      </c>
      <c r="F20693" t="s">
        <v>0</v>
      </c>
      <c r="G20693" t="str">
        <f>"2018-10-08 07:34:23"</f>
        <v>2018-10-08 07:34:23</v>
      </c>
    </row>
    <row r="20694" spans="1:7" x14ac:dyDescent="0.2">
      <c r="A20694" t="s">
        <v>1</v>
      </c>
      <c r="B20694" t="str">
        <f>"18942023090"</f>
        <v>18942023090</v>
      </c>
      <c r="C20694" t="s">
        <v>1</v>
      </c>
      <c r="D20694" t="s">
        <v>1</v>
      </c>
      <c r="E20694" t="s">
        <v>1</v>
      </c>
      <c r="F20694" t="s">
        <v>0</v>
      </c>
      <c r="G20694" t="str">
        <f>"2018-10-08 07:02:01"</f>
        <v>2018-10-08 07:02:01</v>
      </c>
    </row>
    <row r="20695" spans="1:7" x14ac:dyDescent="0.2">
      <c r="A20695" t="s">
        <v>1</v>
      </c>
      <c r="B20695" t="str">
        <f>"15133809265"</f>
        <v>15133809265</v>
      </c>
      <c r="C20695" t="s">
        <v>1</v>
      </c>
      <c r="D20695" t="s">
        <v>1</v>
      </c>
      <c r="E20695" t="s">
        <v>1</v>
      </c>
      <c r="F20695" t="s">
        <v>0</v>
      </c>
      <c r="G20695" t="str">
        <f>"2018-10-08 07:00:10"</f>
        <v>2018-10-08 07:00:10</v>
      </c>
    </row>
    <row r="20696" spans="1:7" x14ac:dyDescent="0.2">
      <c r="A20696" t="s">
        <v>19379</v>
      </c>
      <c r="B20696" t="str">
        <f>"18113474037"</f>
        <v>18113474037</v>
      </c>
      <c r="C20696" t="str">
        <f>"510902197305159316"</f>
        <v>510902197305159316</v>
      </c>
      <c r="D20696" t="s">
        <v>1</v>
      </c>
      <c r="E20696" t="s">
        <v>1</v>
      </c>
      <c r="F20696" t="s">
        <v>0</v>
      </c>
      <c r="G20696" t="str">
        <f>"2018-10-08 07:00:00"</f>
        <v>2018-10-08 07:00:00</v>
      </c>
    </row>
    <row r="20697" spans="1:7" x14ac:dyDescent="0.2">
      <c r="A20697" t="s">
        <v>19380</v>
      </c>
      <c r="B20697" t="str">
        <f>"13967389065"</f>
        <v>13967389065</v>
      </c>
      <c r="C20697" t="str">
        <f>"330421197203032814"</f>
        <v>330421197203032814</v>
      </c>
      <c r="D20697" t="s">
        <v>1</v>
      </c>
      <c r="E20697" t="s">
        <v>1</v>
      </c>
      <c r="F20697" t="s">
        <v>0</v>
      </c>
      <c r="G20697" t="str">
        <f>"2018-10-08 06:50:22"</f>
        <v>2018-10-08 06:50:22</v>
      </c>
    </row>
    <row r="20698" spans="1:7" x14ac:dyDescent="0.2">
      <c r="A20698" t="s">
        <v>19381</v>
      </c>
      <c r="B20698" t="str">
        <f>"18878080039"</f>
        <v>18878080039</v>
      </c>
      <c r="C20698" t="str">
        <f>"452129198901031016"</f>
        <v>452129198901031016</v>
      </c>
      <c r="D20698" t="s">
        <v>1</v>
      </c>
      <c r="E20698" t="s">
        <v>1</v>
      </c>
      <c r="F20698" t="s">
        <v>0</v>
      </c>
      <c r="G20698" t="str">
        <f>"2018-10-08 06:33:29"</f>
        <v>2018-10-08 06:33:29</v>
      </c>
    </row>
    <row r="20699" spans="1:7" x14ac:dyDescent="0.2">
      <c r="A20699" t="s">
        <v>1</v>
      </c>
      <c r="B20699" t="str">
        <f>"15176611078"</f>
        <v>15176611078</v>
      </c>
      <c r="C20699" t="s">
        <v>1</v>
      </c>
      <c r="D20699" t="s">
        <v>1</v>
      </c>
      <c r="E20699" t="s">
        <v>1</v>
      </c>
      <c r="F20699" t="s">
        <v>0</v>
      </c>
      <c r="G20699" t="str">
        <f>"2018-10-08 09:13:01"</f>
        <v>2018-10-08 09:13:01</v>
      </c>
    </row>
    <row r="20700" spans="1:7" x14ac:dyDescent="0.2">
      <c r="A20700" t="s">
        <v>394</v>
      </c>
      <c r="B20700" t="str">
        <f>"13547744221"</f>
        <v>13547744221</v>
      </c>
      <c r="C20700" t="str">
        <f>"510902198703149150"</f>
        <v>510902198703149150</v>
      </c>
      <c r="D20700" t="s">
        <v>1</v>
      </c>
      <c r="E20700" t="s">
        <v>1</v>
      </c>
      <c r="F20700" t="s">
        <v>0</v>
      </c>
      <c r="G20700" t="str">
        <f>"2018-10-11 07:19:16"</f>
        <v>2018-10-11 07:19:16</v>
      </c>
    </row>
    <row r="20701" spans="1:7" x14ac:dyDescent="0.2">
      <c r="A20701" t="s">
        <v>1</v>
      </c>
      <c r="B20701" t="str">
        <f>"18308977735"</f>
        <v>18308977735</v>
      </c>
      <c r="C20701" t="s">
        <v>1</v>
      </c>
      <c r="D20701" t="s">
        <v>1</v>
      </c>
      <c r="E20701" t="s">
        <v>1</v>
      </c>
      <c r="F20701" t="s">
        <v>0</v>
      </c>
      <c r="G20701" t="str">
        <f>"2018-10-08 05:43:43"</f>
        <v>2018-10-08 05:43:43</v>
      </c>
    </row>
    <row r="20702" spans="1:7" x14ac:dyDescent="0.2">
      <c r="A20702" t="s">
        <v>19382</v>
      </c>
      <c r="B20702" t="str">
        <f>"15800222725"</f>
        <v>15800222725</v>
      </c>
      <c r="C20702" t="str">
        <f>"429004198807214252"</f>
        <v>429004198807214252</v>
      </c>
      <c r="D20702" t="s">
        <v>1</v>
      </c>
      <c r="E20702" t="s">
        <v>1</v>
      </c>
      <c r="F20702" t="s">
        <v>0</v>
      </c>
      <c r="G20702" t="str">
        <f>"2018-10-22 08:40:27"</f>
        <v>2018-10-22 08:40:27</v>
      </c>
    </row>
    <row r="20703" spans="1:7" x14ac:dyDescent="0.2">
      <c r="A20703" t="s">
        <v>1</v>
      </c>
      <c r="B20703" t="str">
        <f>"15000455517"</f>
        <v>15000455517</v>
      </c>
      <c r="C20703" t="s">
        <v>1</v>
      </c>
      <c r="D20703" t="s">
        <v>1</v>
      </c>
      <c r="E20703" t="s">
        <v>1</v>
      </c>
      <c r="F20703" t="s">
        <v>0</v>
      </c>
      <c r="G20703" t="str">
        <f>"2018-10-08 05:12:50"</f>
        <v>2018-10-08 05:12:50</v>
      </c>
    </row>
    <row r="20704" spans="1:7" x14ac:dyDescent="0.2">
      <c r="A20704" t="s">
        <v>19383</v>
      </c>
      <c r="B20704" t="str">
        <f>"18312032598"</f>
        <v>18312032598</v>
      </c>
      <c r="C20704" t="str">
        <f>"450722198911243713"</f>
        <v>450722198911243713</v>
      </c>
      <c r="D20704" t="s">
        <v>1</v>
      </c>
      <c r="E20704" t="s">
        <v>1</v>
      </c>
      <c r="F20704" t="s">
        <v>0</v>
      </c>
      <c r="G20704" t="str">
        <f>"2018-10-08 04:36:37"</f>
        <v>2018-10-08 04:36:37</v>
      </c>
    </row>
    <row r="20705" spans="1:7" x14ac:dyDescent="0.2">
      <c r="A20705" t="s">
        <v>7214</v>
      </c>
      <c r="B20705" t="str">
        <f>"15980827894"</f>
        <v>15980827894</v>
      </c>
      <c r="C20705" t="str">
        <f>"35042519930927051X"</f>
        <v>35042519930927051X</v>
      </c>
      <c r="D20705" t="s">
        <v>1</v>
      </c>
      <c r="E20705" t="s">
        <v>1</v>
      </c>
      <c r="F20705" t="s">
        <v>0</v>
      </c>
      <c r="G20705" t="str">
        <f>"2018-10-08 04:32:09"</f>
        <v>2018-10-08 04:32:09</v>
      </c>
    </row>
    <row r="20706" spans="1:7" x14ac:dyDescent="0.2">
      <c r="A20706" t="s">
        <v>1</v>
      </c>
      <c r="B20706" t="str">
        <f>"15234162281"</f>
        <v>15234162281</v>
      </c>
      <c r="C20706" t="s">
        <v>1</v>
      </c>
      <c r="D20706" t="s">
        <v>1</v>
      </c>
      <c r="E20706" t="s">
        <v>1</v>
      </c>
      <c r="F20706" t="s">
        <v>0</v>
      </c>
      <c r="G20706" t="str">
        <f>"2018-10-08 04:18:53"</f>
        <v>2018-10-08 04:18:53</v>
      </c>
    </row>
    <row r="20707" spans="1:7" x14ac:dyDescent="0.2">
      <c r="A20707" t="s">
        <v>19384</v>
      </c>
      <c r="B20707" t="str">
        <f>"13459296835"</f>
        <v>13459296835</v>
      </c>
      <c r="C20707" t="str">
        <f>"350424198209231432"</f>
        <v>350424198209231432</v>
      </c>
      <c r="D20707" t="s">
        <v>19385</v>
      </c>
      <c r="E20707" t="s">
        <v>19386</v>
      </c>
      <c r="F20707" t="s">
        <v>0</v>
      </c>
      <c r="G20707" t="str">
        <f>"2018-11-01 12:56:43"</f>
        <v>2018-11-01 12:56:43</v>
      </c>
    </row>
    <row r="20708" spans="1:7" x14ac:dyDescent="0.2">
      <c r="A20708" t="s">
        <v>19387</v>
      </c>
      <c r="B20708" t="str">
        <f>"13767736257"</f>
        <v>13767736257</v>
      </c>
      <c r="C20708" t="str">
        <f>"360782198709206438"</f>
        <v>360782198709206438</v>
      </c>
      <c r="D20708" t="s">
        <v>19388</v>
      </c>
      <c r="E20708" t="s">
        <v>19389</v>
      </c>
      <c r="F20708" t="s">
        <v>0</v>
      </c>
      <c r="G20708" t="str">
        <f>"2018-10-08 03:36:21"</f>
        <v>2018-10-08 03:36:21</v>
      </c>
    </row>
    <row r="20709" spans="1:7" x14ac:dyDescent="0.2">
      <c r="A20709" t="s">
        <v>1</v>
      </c>
      <c r="B20709" t="str">
        <f>"13983770532"</f>
        <v>13983770532</v>
      </c>
      <c r="C20709" t="s">
        <v>1</v>
      </c>
      <c r="D20709" t="s">
        <v>1</v>
      </c>
      <c r="E20709" t="s">
        <v>1</v>
      </c>
      <c r="F20709" t="s">
        <v>0</v>
      </c>
      <c r="G20709" t="str">
        <f>"2018-10-08 03:12:51"</f>
        <v>2018-10-08 03:12:51</v>
      </c>
    </row>
    <row r="20710" spans="1:7" x14ac:dyDescent="0.2">
      <c r="A20710" t="s">
        <v>19390</v>
      </c>
      <c r="B20710" t="str">
        <f>"15282067866"</f>
        <v>15282067866</v>
      </c>
      <c r="C20710" t="str">
        <f>"510823200005203873"</f>
        <v>510823200005203873</v>
      </c>
      <c r="D20710" t="s">
        <v>1</v>
      </c>
      <c r="E20710" t="s">
        <v>1</v>
      </c>
      <c r="F20710" t="s">
        <v>0</v>
      </c>
      <c r="G20710" t="str">
        <f>"2018-10-08 03:13:17"</f>
        <v>2018-10-08 03:13:17</v>
      </c>
    </row>
    <row r="20711" spans="1:7" x14ac:dyDescent="0.2">
      <c r="A20711" t="s">
        <v>755</v>
      </c>
      <c r="B20711" t="str">
        <f>"18823192400"</f>
        <v>18823192400</v>
      </c>
      <c r="C20711" t="str">
        <f>"429006199009200312"</f>
        <v>429006199009200312</v>
      </c>
      <c r="D20711" t="s">
        <v>1</v>
      </c>
      <c r="E20711" t="s">
        <v>1</v>
      </c>
      <c r="F20711" t="s">
        <v>0</v>
      </c>
      <c r="G20711" t="str">
        <f>"2018-10-08 03:00:29"</f>
        <v>2018-10-08 03:00:29</v>
      </c>
    </row>
    <row r="20712" spans="1:7" x14ac:dyDescent="0.2">
      <c r="A20712" t="s">
        <v>19391</v>
      </c>
      <c r="B20712" t="str">
        <f>"18971175935"</f>
        <v>18971175935</v>
      </c>
      <c r="C20712" t="str">
        <f>"42010719810913151X"</f>
        <v>42010719810913151X</v>
      </c>
      <c r="D20712" t="s">
        <v>19392</v>
      </c>
      <c r="E20712" t="s">
        <v>19393</v>
      </c>
      <c r="F20712" t="s">
        <v>0</v>
      </c>
      <c r="G20712" t="str">
        <f>"2018-10-08 02:58:58"</f>
        <v>2018-10-08 02:58:58</v>
      </c>
    </row>
    <row r="20713" spans="1:7" x14ac:dyDescent="0.2">
      <c r="A20713" t="s">
        <v>1</v>
      </c>
      <c r="B20713" t="str">
        <f>"13624018562"</f>
        <v>13624018562</v>
      </c>
      <c r="C20713" t="s">
        <v>1</v>
      </c>
      <c r="D20713" t="s">
        <v>1</v>
      </c>
      <c r="E20713" t="s">
        <v>1</v>
      </c>
      <c r="F20713" t="s">
        <v>0</v>
      </c>
      <c r="G20713" t="str">
        <f>"2018-10-08 02:53:17"</f>
        <v>2018-10-08 02:53:17</v>
      </c>
    </row>
    <row r="20714" spans="1:7" x14ac:dyDescent="0.2">
      <c r="A20714" t="s">
        <v>19394</v>
      </c>
      <c r="B20714" t="str">
        <f>"18670021521"</f>
        <v>18670021521</v>
      </c>
      <c r="C20714" t="str">
        <f>"430121198812180013"</f>
        <v>430121198812180013</v>
      </c>
      <c r="D20714" t="s">
        <v>19395</v>
      </c>
      <c r="E20714" t="s">
        <v>19396</v>
      </c>
      <c r="F20714" t="s">
        <v>0</v>
      </c>
      <c r="G20714" t="str">
        <f>"2018-10-08 02:50:38"</f>
        <v>2018-10-08 02:50:38</v>
      </c>
    </row>
    <row r="20715" spans="1:7" x14ac:dyDescent="0.2">
      <c r="A20715" t="s">
        <v>19397</v>
      </c>
      <c r="B20715" t="str">
        <f>"18622009392"</f>
        <v>18622009392</v>
      </c>
      <c r="C20715" t="str">
        <f>"120107198003294563"</f>
        <v>120107198003294563</v>
      </c>
      <c r="D20715" t="s">
        <v>1</v>
      </c>
      <c r="E20715" t="s">
        <v>1</v>
      </c>
      <c r="F20715" t="s">
        <v>0</v>
      </c>
      <c r="G20715" t="str">
        <f>"2018-10-08 02:43:44"</f>
        <v>2018-10-08 02:43:44</v>
      </c>
    </row>
    <row r="20716" spans="1:7" x14ac:dyDescent="0.2">
      <c r="A20716" t="s">
        <v>19398</v>
      </c>
      <c r="B20716" t="str">
        <f>"13156490877"</f>
        <v>13156490877</v>
      </c>
      <c r="C20716" t="str">
        <f>"372330198808297254"</f>
        <v>372330198808297254</v>
      </c>
      <c r="D20716" t="s">
        <v>19399</v>
      </c>
      <c r="E20716" t="s">
        <v>19400</v>
      </c>
      <c r="F20716" t="s">
        <v>0</v>
      </c>
      <c r="G20716" t="str">
        <f>"2018-10-11 09:23:32"</f>
        <v>2018-10-11 09:23:32</v>
      </c>
    </row>
    <row r="20717" spans="1:7" x14ac:dyDescent="0.2">
      <c r="A20717" t="s">
        <v>19401</v>
      </c>
      <c r="B20717" t="str">
        <f>"13773803437"</f>
        <v>13773803437</v>
      </c>
      <c r="C20717" t="str">
        <f>"320682199008058278"</f>
        <v>320682199008058278</v>
      </c>
      <c r="D20717" t="s">
        <v>19402</v>
      </c>
      <c r="E20717" t="s">
        <v>19403</v>
      </c>
      <c r="F20717" t="s">
        <v>0</v>
      </c>
      <c r="G20717" t="str">
        <f>"2018-10-08 05:32:26"</f>
        <v>2018-10-08 05:32:26</v>
      </c>
    </row>
    <row r="20718" spans="1:7" x14ac:dyDescent="0.2">
      <c r="A20718" t="s">
        <v>1589</v>
      </c>
      <c r="B20718" t="str">
        <f>"15923049530"</f>
        <v>15923049530</v>
      </c>
      <c r="C20718" t="str">
        <f>"500107199201236511"</f>
        <v>500107199201236511</v>
      </c>
      <c r="D20718" t="s">
        <v>1</v>
      </c>
      <c r="E20718" t="s">
        <v>1</v>
      </c>
      <c r="F20718" t="s">
        <v>0</v>
      </c>
      <c r="G20718" t="str">
        <f>"2018-10-08 08:59:40"</f>
        <v>2018-10-08 08:59:40</v>
      </c>
    </row>
    <row r="20719" spans="1:7" x14ac:dyDescent="0.2">
      <c r="A20719" t="s">
        <v>9636</v>
      </c>
      <c r="B20719" t="str">
        <f>"15009541659"</f>
        <v>15009541659</v>
      </c>
      <c r="C20719" t="str">
        <f>"642226199311082215"</f>
        <v>642226199311082215</v>
      </c>
      <c r="D20719" t="s">
        <v>19404</v>
      </c>
      <c r="E20719" t="s">
        <v>19405</v>
      </c>
      <c r="F20719" t="s">
        <v>0</v>
      </c>
      <c r="G20719" t="str">
        <f>"2018-10-08 02:22:17"</f>
        <v>2018-10-08 02:22:17</v>
      </c>
    </row>
    <row r="20720" spans="1:7" x14ac:dyDescent="0.2">
      <c r="A20720" t="s">
        <v>871</v>
      </c>
      <c r="B20720" t="str">
        <f>"15922721562"</f>
        <v>15922721562</v>
      </c>
      <c r="C20720" t="str">
        <f>"500381198701053527"</f>
        <v>500381198701053527</v>
      </c>
      <c r="D20720" t="s">
        <v>1</v>
      </c>
      <c r="E20720" t="s">
        <v>1</v>
      </c>
      <c r="F20720" t="s">
        <v>0</v>
      </c>
      <c r="G20720" t="str">
        <f>"2018-10-08 02:01:20"</f>
        <v>2018-10-08 02:01:20</v>
      </c>
    </row>
    <row r="20721" spans="1:7" x14ac:dyDescent="0.2">
      <c r="A20721" t="s">
        <v>19406</v>
      </c>
      <c r="B20721" t="str">
        <f>"18721781602"</f>
        <v>18721781602</v>
      </c>
      <c r="C20721" t="str">
        <f>"450221199101074429"</f>
        <v>450221199101074429</v>
      </c>
      <c r="D20721" t="s">
        <v>1</v>
      </c>
      <c r="E20721" t="s">
        <v>1</v>
      </c>
      <c r="F20721" t="s">
        <v>0</v>
      </c>
      <c r="G20721" t="str">
        <f>"2018-10-11 07:25:59"</f>
        <v>2018-10-11 07:25:59</v>
      </c>
    </row>
    <row r="20722" spans="1:7" x14ac:dyDescent="0.2">
      <c r="A20722" t="s">
        <v>1</v>
      </c>
      <c r="B20722" t="str">
        <f>"18328368123"</f>
        <v>18328368123</v>
      </c>
      <c r="C20722" t="s">
        <v>1</v>
      </c>
      <c r="D20722" t="s">
        <v>1</v>
      </c>
      <c r="E20722" t="s">
        <v>1</v>
      </c>
      <c r="F20722" t="s">
        <v>0</v>
      </c>
      <c r="G20722" t="str">
        <f>"2018-10-08 01:23:09"</f>
        <v>2018-10-08 01:23:09</v>
      </c>
    </row>
    <row r="20723" spans="1:7" x14ac:dyDescent="0.2">
      <c r="A20723" t="s">
        <v>19407</v>
      </c>
      <c r="B20723" t="str">
        <f>"13567824444"</f>
        <v>13567824444</v>
      </c>
      <c r="C20723" t="str">
        <f>"330281198807214117"</f>
        <v>330281198807214117</v>
      </c>
      <c r="D20723" t="s">
        <v>1</v>
      </c>
      <c r="E20723" t="s">
        <v>1</v>
      </c>
      <c r="F20723" t="s">
        <v>0</v>
      </c>
      <c r="G20723" t="str">
        <f>"2018-10-08 01:22:56"</f>
        <v>2018-10-08 01:22:56</v>
      </c>
    </row>
    <row r="20724" spans="1:7" x14ac:dyDescent="0.2">
      <c r="A20724" t="s">
        <v>1</v>
      </c>
      <c r="B20724" t="str">
        <f>"13541012733"</f>
        <v>13541012733</v>
      </c>
      <c r="C20724" t="s">
        <v>1</v>
      </c>
      <c r="D20724" t="s">
        <v>1</v>
      </c>
      <c r="E20724" t="s">
        <v>1</v>
      </c>
      <c r="F20724" t="s">
        <v>0</v>
      </c>
      <c r="G20724" t="str">
        <f>"2018-10-08 06:33:52"</f>
        <v>2018-10-08 06:33:52</v>
      </c>
    </row>
    <row r="20725" spans="1:7" x14ac:dyDescent="0.2">
      <c r="A20725" t="s">
        <v>19408</v>
      </c>
      <c r="B20725" t="str">
        <f>"13551203123"</f>
        <v>13551203123</v>
      </c>
      <c r="C20725" t="str">
        <f>"510182198908170074"</f>
        <v>510182198908170074</v>
      </c>
      <c r="D20725" t="s">
        <v>19409</v>
      </c>
      <c r="E20725" t="s">
        <v>19410</v>
      </c>
      <c r="F20725" t="s">
        <v>0</v>
      </c>
      <c r="G20725" t="str">
        <f>"2018-10-28 11:20:40"</f>
        <v>2018-10-28 11:20:40</v>
      </c>
    </row>
    <row r="20726" spans="1:7" x14ac:dyDescent="0.2">
      <c r="A20726" t="s">
        <v>19411</v>
      </c>
      <c r="B20726" t="str">
        <f>"15517201731"</f>
        <v>15517201731</v>
      </c>
      <c r="C20726" t="str">
        <f>"410521198905268012"</f>
        <v>410521198905268012</v>
      </c>
      <c r="D20726" t="s">
        <v>1</v>
      </c>
      <c r="E20726" t="s">
        <v>1</v>
      </c>
      <c r="F20726" t="s">
        <v>0</v>
      </c>
      <c r="G20726" t="str">
        <f>"2018-10-08 01:06:32"</f>
        <v>2018-10-08 01:06:32</v>
      </c>
    </row>
    <row r="20727" spans="1:7" x14ac:dyDescent="0.2">
      <c r="A20727" t="s">
        <v>38</v>
      </c>
      <c r="B20727" t="str">
        <f>"18786948209"</f>
        <v>18786948209</v>
      </c>
      <c r="C20727" t="str">
        <f>"522122199507127413"</f>
        <v>522122199507127413</v>
      </c>
      <c r="D20727" t="s">
        <v>19412</v>
      </c>
      <c r="E20727" t="s">
        <v>19413</v>
      </c>
      <c r="F20727" t="s">
        <v>0</v>
      </c>
      <c r="G20727" t="str">
        <f>"2018-10-08 00:59:47"</f>
        <v>2018-10-08 00:59:47</v>
      </c>
    </row>
    <row r="20728" spans="1:7" x14ac:dyDescent="0.2">
      <c r="A20728" t="s">
        <v>19414</v>
      </c>
      <c r="B20728" t="str">
        <f>"13828117760"</f>
        <v>13828117760</v>
      </c>
      <c r="C20728" t="str">
        <f>"422802198710285438"</f>
        <v>422802198710285438</v>
      </c>
      <c r="D20728" t="s">
        <v>1</v>
      </c>
      <c r="E20728" t="s">
        <v>1</v>
      </c>
      <c r="F20728" t="s">
        <v>0</v>
      </c>
      <c r="G20728" t="str">
        <f>"2018-10-08 00:57:58"</f>
        <v>2018-10-08 00:57:58</v>
      </c>
    </row>
    <row r="20729" spans="1:7" x14ac:dyDescent="0.2">
      <c r="A20729" t="s">
        <v>19415</v>
      </c>
      <c r="B20729" t="str">
        <f>"18389916123"</f>
        <v>18389916123</v>
      </c>
      <c r="C20729" t="str">
        <f>"460200199409103388"</f>
        <v>460200199409103388</v>
      </c>
      <c r="D20729" t="s">
        <v>1</v>
      </c>
      <c r="E20729" t="s">
        <v>1</v>
      </c>
      <c r="F20729" t="s">
        <v>0</v>
      </c>
      <c r="G20729" t="str">
        <f>"2018-10-08 00:54:56"</f>
        <v>2018-10-08 00:54:56</v>
      </c>
    </row>
    <row r="20730" spans="1:7" x14ac:dyDescent="0.2">
      <c r="A20730" t="s">
        <v>1</v>
      </c>
      <c r="B20730" t="str">
        <f>"18679124695"</f>
        <v>18679124695</v>
      </c>
      <c r="C20730" t="s">
        <v>1</v>
      </c>
      <c r="D20730" t="s">
        <v>1</v>
      </c>
      <c r="E20730" t="s">
        <v>1</v>
      </c>
      <c r="F20730" t="s">
        <v>0</v>
      </c>
      <c r="G20730" t="str">
        <f>"2018-10-08 00:50:22"</f>
        <v>2018-10-08 00:50:22</v>
      </c>
    </row>
    <row r="20731" spans="1:7" x14ac:dyDescent="0.2">
      <c r="A20731" t="s">
        <v>19416</v>
      </c>
      <c r="B20731" t="str">
        <f>"13433064237"</f>
        <v>13433064237</v>
      </c>
      <c r="C20731" t="str">
        <f>"522401199704058423"</f>
        <v>522401199704058423</v>
      </c>
      <c r="D20731" t="s">
        <v>1</v>
      </c>
      <c r="E20731" t="s">
        <v>1</v>
      </c>
      <c r="F20731" t="s">
        <v>0</v>
      </c>
      <c r="G20731" t="str">
        <f>"2018-10-14 12:07:21"</f>
        <v>2018-10-14 12:07:21</v>
      </c>
    </row>
    <row r="20732" spans="1:7" x14ac:dyDescent="0.2">
      <c r="A20732" t="s">
        <v>19417</v>
      </c>
      <c r="B20732" t="str">
        <f>"15311296980"</f>
        <v>15311296980</v>
      </c>
      <c r="C20732" t="str">
        <f>"231084199203170811"</f>
        <v>231084199203170811</v>
      </c>
      <c r="D20732" t="s">
        <v>19418</v>
      </c>
      <c r="E20732" t="s">
        <v>19419</v>
      </c>
      <c r="F20732" t="s">
        <v>0</v>
      </c>
      <c r="G20732" t="str">
        <f>"2018-10-08 00:48:23"</f>
        <v>2018-10-08 00:48:23</v>
      </c>
    </row>
    <row r="20733" spans="1:7" x14ac:dyDescent="0.2">
      <c r="A20733" t="s">
        <v>19420</v>
      </c>
      <c r="B20733" t="str">
        <f>"15889959914"</f>
        <v>15889959914</v>
      </c>
      <c r="C20733" t="str">
        <f>"440183199501294836"</f>
        <v>440183199501294836</v>
      </c>
      <c r="D20733" t="s">
        <v>1</v>
      </c>
      <c r="E20733" t="s">
        <v>1</v>
      </c>
      <c r="F20733" t="s">
        <v>0</v>
      </c>
      <c r="G20733" t="str">
        <f>"2018-11-01 19:26:33"</f>
        <v>2018-11-01 19:26:33</v>
      </c>
    </row>
    <row r="20734" spans="1:7" x14ac:dyDescent="0.2">
      <c r="A20734" t="s">
        <v>1</v>
      </c>
      <c r="B20734" t="str">
        <f>"15986444303"</f>
        <v>15986444303</v>
      </c>
      <c r="C20734" t="s">
        <v>1</v>
      </c>
      <c r="D20734" t="s">
        <v>1</v>
      </c>
      <c r="E20734" t="s">
        <v>1</v>
      </c>
      <c r="F20734" t="s">
        <v>0</v>
      </c>
      <c r="G20734" t="str">
        <f>"2018-10-08 00:38:05"</f>
        <v>2018-10-08 00:38:05</v>
      </c>
    </row>
    <row r="20735" spans="1:7" x14ac:dyDescent="0.2">
      <c r="A20735" t="s">
        <v>19421</v>
      </c>
      <c r="B20735" t="str">
        <f>"18388685579"</f>
        <v>18388685579</v>
      </c>
      <c r="C20735" t="str">
        <f>"532628200008282913"</f>
        <v>532628200008282913</v>
      </c>
      <c r="D20735" t="s">
        <v>1</v>
      </c>
      <c r="E20735" t="s">
        <v>1</v>
      </c>
      <c r="F20735" t="s">
        <v>0</v>
      </c>
      <c r="G20735" t="str">
        <f>"2018-10-08 00:35:19"</f>
        <v>2018-10-08 00:35:19</v>
      </c>
    </row>
    <row r="20736" spans="1:7" x14ac:dyDescent="0.2">
      <c r="A20736" t="s">
        <v>1</v>
      </c>
      <c r="B20736" t="str">
        <f>"15080083117"</f>
        <v>15080083117</v>
      </c>
      <c r="C20736" t="s">
        <v>1</v>
      </c>
      <c r="D20736" t="s">
        <v>1</v>
      </c>
      <c r="E20736" t="s">
        <v>1</v>
      </c>
      <c r="F20736" t="s">
        <v>0</v>
      </c>
      <c r="G20736" t="str">
        <f>"2018-10-08 00:33:19"</f>
        <v>2018-10-08 00:33:19</v>
      </c>
    </row>
    <row r="20737" spans="1:7" x14ac:dyDescent="0.2">
      <c r="A20737" t="s">
        <v>1</v>
      </c>
      <c r="B20737" t="str">
        <f>"13599912239"</f>
        <v>13599912239</v>
      </c>
      <c r="C20737" t="s">
        <v>1</v>
      </c>
      <c r="D20737" t="s">
        <v>1</v>
      </c>
      <c r="E20737" t="s">
        <v>1</v>
      </c>
      <c r="F20737" t="s">
        <v>0</v>
      </c>
      <c r="G20737" t="str">
        <f>"2018-10-08 00:33:03"</f>
        <v>2018-10-08 00:33:03</v>
      </c>
    </row>
    <row r="20738" spans="1:7" x14ac:dyDescent="0.2">
      <c r="A20738" t="s">
        <v>564</v>
      </c>
      <c r="B20738" t="str">
        <f>"13696489947"</f>
        <v>13696489947</v>
      </c>
      <c r="C20738" t="str">
        <f>"500103198411011855"</f>
        <v>500103198411011855</v>
      </c>
      <c r="D20738" t="s">
        <v>19422</v>
      </c>
      <c r="E20738" t="s">
        <v>19423</v>
      </c>
      <c r="F20738" t="s">
        <v>0</v>
      </c>
      <c r="G20738" t="str">
        <f>"2018-10-08 00:33:02"</f>
        <v>2018-10-08 00:33:02</v>
      </c>
    </row>
    <row r="20739" spans="1:7" x14ac:dyDescent="0.2">
      <c r="A20739" t="s">
        <v>19424</v>
      </c>
      <c r="B20739" t="str">
        <f>"18373283869"</f>
        <v>18373283869</v>
      </c>
      <c r="C20739" t="str">
        <f>"43032119960228002X"</f>
        <v>43032119960228002X</v>
      </c>
      <c r="D20739" t="s">
        <v>1</v>
      </c>
      <c r="E20739" t="s">
        <v>1</v>
      </c>
      <c r="F20739" t="s">
        <v>0</v>
      </c>
      <c r="G20739" t="str">
        <f>"2018-10-08 00:32:34"</f>
        <v>2018-10-08 00:32:34</v>
      </c>
    </row>
    <row r="20740" spans="1:7" x14ac:dyDescent="0.2">
      <c r="A20740" t="s">
        <v>19425</v>
      </c>
      <c r="B20740" t="str">
        <f>"13416989619"</f>
        <v>13416989619</v>
      </c>
      <c r="C20740" t="str">
        <f>"441521198403042159"</f>
        <v>441521198403042159</v>
      </c>
      <c r="D20740" t="s">
        <v>19426</v>
      </c>
      <c r="E20740" t="s">
        <v>19427</v>
      </c>
      <c r="F20740" t="s">
        <v>0</v>
      </c>
      <c r="G20740" t="str">
        <f>"2018-10-08 00:23:43"</f>
        <v>2018-10-08 00:23:43</v>
      </c>
    </row>
    <row r="20741" spans="1:7" x14ac:dyDescent="0.2">
      <c r="A20741" t="s">
        <v>19428</v>
      </c>
      <c r="B20741" t="str">
        <f>"18030737518"</f>
        <v>18030737518</v>
      </c>
      <c r="C20741" t="str">
        <f>"510107199410120875"</f>
        <v>510107199410120875</v>
      </c>
      <c r="D20741" t="s">
        <v>1</v>
      </c>
      <c r="E20741" t="s">
        <v>1</v>
      </c>
      <c r="F20741" t="s">
        <v>0</v>
      </c>
      <c r="G20741" t="str">
        <f>"2018-10-18 15:18:24"</f>
        <v>2018-10-18 15:18:24</v>
      </c>
    </row>
    <row r="20742" spans="1:7" x14ac:dyDescent="0.2">
      <c r="A20742" t="s">
        <v>1</v>
      </c>
      <c r="B20742" t="str">
        <f>"13683684297"</f>
        <v>13683684297</v>
      </c>
      <c r="C20742" t="s">
        <v>1</v>
      </c>
      <c r="D20742" t="s">
        <v>1</v>
      </c>
      <c r="E20742" t="s">
        <v>1</v>
      </c>
      <c r="F20742" t="s">
        <v>0</v>
      </c>
      <c r="G20742" t="str">
        <f>"2018-10-08 00:16:52"</f>
        <v>2018-10-08 00:16:52</v>
      </c>
    </row>
    <row r="20743" spans="1:7" x14ac:dyDescent="0.2">
      <c r="A20743" t="s">
        <v>1</v>
      </c>
      <c r="B20743" t="str">
        <f>"18500348688"</f>
        <v>18500348688</v>
      </c>
      <c r="C20743" t="s">
        <v>1</v>
      </c>
      <c r="D20743" t="s">
        <v>1</v>
      </c>
      <c r="E20743" t="s">
        <v>1</v>
      </c>
      <c r="F20743" t="s">
        <v>0</v>
      </c>
      <c r="G20743" t="str">
        <f>"2018-10-08 00:07:19"</f>
        <v>2018-10-08 00:07:19</v>
      </c>
    </row>
    <row r="20744" spans="1:7" x14ac:dyDescent="0.2">
      <c r="A20744" t="s">
        <v>19429</v>
      </c>
      <c r="B20744" t="str">
        <f>"18680021718"</f>
        <v>18680021718</v>
      </c>
      <c r="C20744" t="str">
        <f>"44162219840906131X"</f>
        <v>44162219840906131X</v>
      </c>
      <c r="D20744" t="s">
        <v>19430</v>
      </c>
      <c r="E20744" t="s">
        <v>19431</v>
      </c>
      <c r="F20744" t="s">
        <v>0</v>
      </c>
      <c r="G20744" t="str">
        <f>"2018-10-08 00:24:11"</f>
        <v>2018-10-08 00:24:11</v>
      </c>
    </row>
    <row r="20745" spans="1:7" x14ac:dyDescent="0.2">
      <c r="A20745" t="s">
        <v>1078</v>
      </c>
      <c r="B20745" t="str">
        <f>"18392909823"</f>
        <v>18392909823</v>
      </c>
      <c r="C20745" t="str">
        <f>"612526199710241018"</f>
        <v>612526199710241018</v>
      </c>
      <c r="D20745" t="s">
        <v>19432</v>
      </c>
      <c r="E20745" t="s">
        <v>19433</v>
      </c>
      <c r="F20745" t="s">
        <v>0</v>
      </c>
      <c r="G20745" t="str">
        <f>"2018-10-08 02:08:34"</f>
        <v>2018-10-08 02:08:34</v>
      </c>
    </row>
    <row r="20746" spans="1:7" x14ac:dyDescent="0.2">
      <c r="A20746" t="s">
        <v>19434</v>
      </c>
      <c r="B20746" t="str">
        <f>"15766121656"</f>
        <v>15766121656</v>
      </c>
      <c r="C20746" t="str">
        <f>"44528119930408356X"</f>
        <v>44528119930408356X</v>
      </c>
      <c r="D20746" t="s">
        <v>19435</v>
      </c>
      <c r="E20746" t="s">
        <v>19436</v>
      </c>
      <c r="F20746" t="s">
        <v>0</v>
      </c>
      <c r="G20746" t="str">
        <f>"2018-10-07 23:57:08"</f>
        <v>2018-10-07 23:57:08</v>
      </c>
    </row>
    <row r="20747" spans="1:7" x14ac:dyDescent="0.2">
      <c r="A20747" t="s">
        <v>1142</v>
      </c>
      <c r="B20747" t="str">
        <f>"13932123202"</f>
        <v>13932123202</v>
      </c>
      <c r="C20747" t="str">
        <f>"130324198902165158"</f>
        <v>130324198902165158</v>
      </c>
      <c r="D20747" t="s">
        <v>1</v>
      </c>
      <c r="E20747" t="s">
        <v>1</v>
      </c>
      <c r="F20747" t="s">
        <v>0</v>
      </c>
      <c r="G20747" t="str">
        <f>"2018-11-01 19:39:35"</f>
        <v>2018-11-01 19:39:35</v>
      </c>
    </row>
    <row r="20748" spans="1:7" x14ac:dyDescent="0.2">
      <c r="A20748" t="s">
        <v>19437</v>
      </c>
      <c r="B20748" t="str">
        <f>"18041817918"</f>
        <v>18041817918</v>
      </c>
      <c r="C20748" t="str">
        <f>"210902197708241073"</f>
        <v>210902197708241073</v>
      </c>
      <c r="D20748" t="s">
        <v>1</v>
      </c>
      <c r="E20748" t="s">
        <v>1</v>
      </c>
      <c r="F20748" t="s">
        <v>0</v>
      </c>
      <c r="G20748" t="str">
        <f>"2018-10-07 23:49:11"</f>
        <v>2018-10-07 23:49:11</v>
      </c>
    </row>
    <row r="20749" spans="1:7" x14ac:dyDescent="0.2">
      <c r="A20749" t="s">
        <v>1</v>
      </c>
      <c r="B20749" t="str">
        <f>"18813384755"</f>
        <v>18813384755</v>
      </c>
      <c r="C20749" t="s">
        <v>1</v>
      </c>
      <c r="D20749" t="s">
        <v>1</v>
      </c>
      <c r="E20749" t="s">
        <v>1</v>
      </c>
      <c r="F20749" t="s">
        <v>0</v>
      </c>
      <c r="G20749" t="str">
        <f>"2018-10-07 23:41:12"</f>
        <v>2018-10-07 23:41:12</v>
      </c>
    </row>
    <row r="20750" spans="1:7" x14ac:dyDescent="0.2">
      <c r="A20750" t="s">
        <v>1</v>
      </c>
      <c r="B20750" t="str">
        <f>"15982858537"</f>
        <v>15982858537</v>
      </c>
      <c r="C20750" t="s">
        <v>1</v>
      </c>
      <c r="D20750" t="s">
        <v>1</v>
      </c>
      <c r="E20750" t="s">
        <v>1</v>
      </c>
      <c r="F20750" t="s">
        <v>0</v>
      </c>
      <c r="G20750" t="str">
        <f>"2018-10-07 23:50:43"</f>
        <v>2018-10-07 23:50:43</v>
      </c>
    </row>
    <row r="20751" spans="1:7" x14ac:dyDescent="0.2">
      <c r="A20751" t="s">
        <v>19438</v>
      </c>
      <c r="B20751" t="str">
        <f>"17606696438"</f>
        <v>17606696438</v>
      </c>
      <c r="C20751" t="str">
        <f>"45022119951002297X"</f>
        <v>45022119951002297X</v>
      </c>
      <c r="D20751" t="s">
        <v>1</v>
      </c>
      <c r="E20751" t="s">
        <v>1</v>
      </c>
      <c r="F20751" t="s">
        <v>0</v>
      </c>
      <c r="G20751" t="str">
        <f>"2018-10-08 15:39:22"</f>
        <v>2018-10-08 15:39:22</v>
      </c>
    </row>
    <row r="20752" spans="1:7" x14ac:dyDescent="0.2">
      <c r="A20752" t="s">
        <v>557</v>
      </c>
      <c r="B20752" t="str">
        <f>"15174954645"</f>
        <v>15174954645</v>
      </c>
      <c r="C20752" t="str">
        <f>"150202199501171818"</f>
        <v>150202199501171818</v>
      </c>
      <c r="D20752" t="s">
        <v>1</v>
      </c>
      <c r="E20752" t="s">
        <v>1</v>
      </c>
      <c r="F20752" t="s">
        <v>0</v>
      </c>
      <c r="G20752" t="str">
        <f>"2018-10-07 23:27:12"</f>
        <v>2018-10-07 23:27:12</v>
      </c>
    </row>
    <row r="20753" spans="1:7" x14ac:dyDescent="0.2">
      <c r="A20753" t="s">
        <v>13538</v>
      </c>
      <c r="B20753" t="str">
        <f>"13577819394"</f>
        <v>13577819394</v>
      </c>
      <c r="C20753" t="str">
        <f>"532329199805180922"</f>
        <v>532329199805180922</v>
      </c>
      <c r="D20753" t="s">
        <v>19439</v>
      </c>
      <c r="E20753" t="s">
        <v>19439</v>
      </c>
      <c r="F20753" t="s">
        <v>0</v>
      </c>
      <c r="G20753" t="str">
        <f>"2018-10-07 23:20:16"</f>
        <v>2018-10-07 23:20:16</v>
      </c>
    </row>
    <row r="20754" spans="1:7" x14ac:dyDescent="0.2">
      <c r="A20754" t="s">
        <v>19440</v>
      </c>
      <c r="B20754" t="str">
        <f>"15928118078"</f>
        <v>15928118078</v>
      </c>
      <c r="C20754" t="str">
        <f>"510184198310085572"</f>
        <v>510184198310085572</v>
      </c>
      <c r="D20754" t="s">
        <v>1</v>
      </c>
      <c r="E20754" t="s">
        <v>1</v>
      </c>
      <c r="F20754" t="s">
        <v>0</v>
      </c>
      <c r="G20754" t="str">
        <f>"2018-10-07 23:18:45"</f>
        <v>2018-10-07 23:18:45</v>
      </c>
    </row>
    <row r="20755" spans="1:7" x14ac:dyDescent="0.2">
      <c r="A20755" t="s">
        <v>19441</v>
      </c>
      <c r="B20755" t="str">
        <f>"13117316191"</f>
        <v>13117316191</v>
      </c>
      <c r="C20755" t="str">
        <f>"430122198711187861"</f>
        <v>430122198711187861</v>
      </c>
      <c r="D20755" t="s">
        <v>1</v>
      </c>
      <c r="E20755" t="s">
        <v>1</v>
      </c>
      <c r="F20755" t="s">
        <v>0</v>
      </c>
      <c r="G20755" t="str">
        <f>"2018-10-07 23:05:42"</f>
        <v>2018-10-07 23:05:42</v>
      </c>
    </row>
    <row r="20756" spans="1:7" x14ac:dyDescent="0.2">
      <c r="A20756" t="s">
        <v>1</v>
      </c>
      <c r="B20756" t="str">
        <f>"15504418860"</f>
        <v>15504418860</v>
      </c>
      <c r="C20756" t="s">
        <v>1</v>
      </c>
      <c r="D20756" t="s">
        <v>1</v>
      </c>
      <c r="E20756" t="s">
        <v>1</v>
      </c>
      <c r="F20756" t="s">
        <v>0</v>
      </c>
      <c r="G20756" t="str">
        <f>"2018-10-07 23:00:47"</f>
        <v>2018-10-07 23:00:47</v>
      </c>
    </row>
    <row r="20757" spans="1:7" x14ac:dyDescent="0.2">
      <c r="A20757" t="s">
        <v>19442</v>
      </c>
      <c r="B20757" t="str">
        <f>"18551624468"</f>
        <v>18551624468</v>
      </c>
      <c r="C20757" t="str">
        <f>"320483198806163110"</f>
        <v>320483198806163110</v>
      </c>
      <c r="D20757" t="s">
        <v>1</v>
      </c>
      <c r="E20757" t="s">
        <v>1</v>
      </c>
      <c r="F20757" t="s">
        <v>0</v>
      </c>
      <c r="G20757" t="str">
        <f>"2018-10-07 23:19:50"</f>
        <v>2018-10-07 23:19:50</v>
      </c>
    </row>
    <row r="20758" spans="1:7" x14ac:dyDescent="0.2">
      <c r="A20758" t="s">
        <v>19443</v>
      </c>
      <c r="B20758" t="str">
        <f>"13427778146"</f>
        <v>13427778146</v>
      </c>
      <c r="C20758" t="str">
        <f>"43062119890404776X"</f>
        <v>43062119890404776X</v>
      </c>
      <c r="D20758" t="s">
        <v>1</v>
      </c>
      <c r="E20758" t="s">
        <v>1</v>
      </c>
      <c r="F20758" t="s">
        <v>0</v>
      </c>
      <c r="G20758" t="str">
        <f>"2018-10-08 14:39:22"</f>
        <v>2018-10-08 14:39:22</v>
      </c>
    </row>
    <row r="20759" spans="1:7" x14ac:dyDescent="0.2">
      <c r="A20759" t="s">
        <v>19444</v>
      </c>
      <c r="B20759" t="str">
        <f>"13928282265"</f>
        <v>13928282265</v>
      </c>
      <c r="C20759" t="str">
        <f>"440681198807264752"</f>
        <v>440681198807264752</v>
      </c>
      <c r="D20759" t="s">
        <v>1</v>
      </c>
      <c r="E20759" t="s">
        <v>1</v>
      </c>
      <c r="F20759" t="s">
        <v>0</v>
      </c>
      <c r="G20759" t="str">
        <f>"2018-10-07 22:59:23"</f>
        <v>2018-10-07 22:59:23</v>
      </c>
    </row>
    <row r="20760" spans="1:7" x14ac:dyDescent="0.2">
      <c r="A20760" t="s">
        <v>19445</v>
      </c>
      <c r="B20760" t="str">
        <f>"18933141006"</f>
        <v>18933141006</v>
      </c>
      <c r="C20760" t="str">
        <f>"44078319860703183X"</f>
        <v>44078319860703183X</v>
      </c>
      <c r="D20760" t="s">
        <v>19446</v>
      </c>
      <c r="E20760" t="s">
        <v>19447</v>
      </c>
      <c r="F20760" t="s">
        <v>0</v>
      </c>
      <c r="G20760" t="str">
        <f>"2018-10-07 22:51:14"</f>
        <v>2018-10-07 22:51:14</v>
      </c>
    </row>
    <row r="20761" spans="1:7" x14ac:dyDescent="0.2">
      <c r="A20761" t="s">
        <v>1</v>
      </c>
      <c r="B20761" t="str">
        <f>"13868990650"</f>
        <v>13868990650</v>
      </c>
      <c r="C20761" t="s">
        <v>1</v>
      </c>
      <c r="D20761" t="s">
        <v>1</v>
      </c>
      <c r="E20761" t="s">
        <v>1</v>
      </c>
      <c r="F20761" t="s">
        <v>0</v>
      </c>
      <c r="G20761" t="str">
        <f>"2018-10-07 22:46:44"</f>
        <v>2018-10-07 22:46:44</v>
      </c>
    </row>
    <row r="20762" spans="1:7" x14ac:dyDescent="0.2">
      <c r="A20762" t="s">
        <v>1274</v>
      </c>
      <c r="B20762" t="str">
        <f>"18382381705"</f>
        <v>18382381705</v>
      </c>
      <c r="C20762" t="str">
        <f>"513723199308170011"</f>
        <v>513723199308170011</v>
      </c>
      <c r="D20762" t="s">
        <v>1</v>
      </c>
      <c r="E20762" t="s">
        <v>1</v>
      </c>
      <c r="F20762" t="s">
        <v>0</v>
      </c>
      <c r="G20762" t="str">
        <f>"2018-10-08 12:45:11"</f>
        <v>2018-10-08 12:45:11</v>
      </c>
    </row>
    <row r="20763" spans="1:7" x14ac:dyDescent="0.2">
      <c r="A20763" t="s">
        <v>19448</v>
      </c>
      <c r="B20763" t="str">
        <f>"18678653239"</f>
        <v>18678653239</v>
      </c>
      <c r="C20763" t="str">
        <f>"37010519960507112X"</f>
        <v>37010519960507112X</v>
      </c>
      <c r="D20763" t="s">
        <v>1</v>
      </c>
      <c r="E20763" t="s">
        <v>1</v>
      </c>
      <c r="F20763" t="s">
        <v>0</v>
      </c>
      <c r="G20763" t="str">
        <f>"2018-10-07 22:46:39"</f>
        <v>2018-10-07 22:46:39</v>
      </c>
    </row>
    <row r="20764" spans="1:7" x14ac:dyDescent="0.2">
      <c r="A20764" t="s">
        <v>19449</v>
      </c>
      <c r="B20764" t="str">
        <f>"18819147704"</f>
        <v>18819147704</v>
      </c>
      <c r="C20764" t="str">
        <f>"440281200009307330"</f>
        <v>440281200009307330</v>
      </c>
      <c r="D20764" t="s">
        <v>19450</v>
      </c>
      <c r="E20764" t="s">
        <v>19451</v>
      </c>
      <c r="F20764" t="s">
        <v>0</v>
      </c>
      <c r="G20764" t="str">
        <f>"2018-10-07 22:45:53"</f>
        <v>2018-10-07 22:45:53</v>
      </c>
    </row>
    <row r="20765" spans="1:7" x14ac:dyDescent="0.2">
      <c r="A20765" t="s">
        <v>19452</v>
      </c>
      <c r="B20765" t="str">
        <f>"13437283193"</f>
        <v>13437283193</v>
      </c>
      <c r="C20765" t="str">
        <f>"420105198710300019"</f>
        <v>420105198710300019</v>
      </c>
      <c r="D20765" t="s">
        <v>19453</v>
      </c>
      <c r="E20765" t="s">
        <v>19454</v>
      </c>
      <c r="F20765" t="s">
        <v>0</v>
      </c>
      <c r="G20765" t="str">
        <f>"2018-10-07 22:52:04"</f>
        <v>2018-10-07 22:52:04</v>
      </c>
    </row>
    <row r="20766" spans="1:7" x14ac:dyDescent="0.2">
      <c r="A20766" t="s">
        <v>1119</v>
      </c>
      <c r="B20766" t="str">
        <f>"18922373304"</f>
        <v>18922373304</v>
      </c>
      <c r="C20766" t="str">
        <f>"44020219880221031X"</f>
        <v>44020219880221031X</v>
      </c>
      <c r="D20766" t="s">
        <v>1</v>
      </c>
      <c r="E20766" t="s">
        <v>1</v>
      </c>
      <c r="F20766" t="s">
        <v>0</v>
      </c>
      <c r="G20766" t="str">
        <f>"2018-10-07 22:44:44"</f>
        <v>2018-10-07 22:44:44</v>
      </c>
    </row>
    <row r="20767" spans="1:7" x14ac:dyDescent="0.2">
      <c r="A20767" t="s">
        <v>605</v>
      </c>
      <c r="B20767" t="str">
        <f>"13577026494"</f>
        <v>13577026494</v>
      </c>
      <c r="C20767" t="str">
        <f>"532528199403053140"</f>
        <v>532528199403053140</v>
      </c>
      <c r="D20767" t="s">
        <v>1</v>
      </c>
      <c r="E20767" t="s">
        <v>1</v>
      </c>
      <c r="F20767" t="s">
        <v>0</v>
      </c>
      <c r="G20767" t="str">
        <f>"2018-10-07 22:44:44"</f>
        <v>2018-10-07 22:44:44</v>
      </c>
    </row>
    <row r="20768" spans="1:7" x14ac:dyDescent="0.2">
      <c r="A20768" t="s">
        <v>1</v>
      </c>
      <c r="B20768" t="str">
        <f>"18100507644"</f>
        <v>18100507644</v>
      </c>
      <c r="C20768" t="s">
        <v>1</v>
      </c>
      <c r="D20768" t="s">
        <v>1</v>
      </c>
      <c r="E20768" t="s">
        <v>1</v>
      </c>
      <c r="F20768" t="s">
        <v>0</v>
      </c>
      <c r="G20768" t="str">
        <f>"2018-10-07 22:32:50"</f>
        <v>2018-10-07 22:32:50</v>
      </c>
    </row>
    <row r="20769" spans="1:7" x14ac:dyDescent="0.2">
      <c r="A20769" t="s">
        <v>19455</v>
      </c>
      <c r="B20769" t="str">
        <f>"15981929791"</f>
        <v>15981929791</v>
      </c>
      <c r="C20769" t="str">
        <f>"410422198402163316"</f>
        <v>410422198402163316</v>
      </c>
      <c r="D20769" t="s">
        <v>1</v>
      </c>
      <c r="E20769" t="s">
        <v>1</v>
      </c>
      <c r="F20769" t="s">
        <v>0</v>
      </c>
      <c r="G20769" t="str">
        <f>"2018-10-08 16:45:37"</f>
        <v>2018-10-08 16:45:37</v>
      </c>
    </row>
    <row r="20770" spans="1:7" x14ac:dyDescent="0.2">
      <c r="A20770" t="s">
        <v>19456</v>
      </c>
      <c r="B20770" t="str">
        <f>"17671710718"</f>
        <v>17671710718</v>
      </c>
      <c r="C20770" t="str">
        <f>"612301199705212775"</f>
        <v>612301199705212775</v>
      </c>
      <c r="D20770" t="s">
        <v>19457</v>
      </c>
      <c r="E20770" t="s">
        <v>19458</v>
      </c>
      <c r="F20770" t="s">
        <v>0</v>
      </c>
      <c r="G20770" t="str">
        <f>"2018-10-07 22:27:51"</f>
        <v>2018-10-07 22:27:51</v>
      </c>
    </row>
    <row r="20771" spans="1:7" x14ac:dyDescent="0.2">
      <c r="A20771" t="s">
        <v>19459</v>
      </c>
      <c r="B20771" t="str">
        <f>"18603288380"</f>
        <v>18603288380</v>
      </c>
      <c r="C20771" t="str">
        <f>"130123198608266938"</f>
        <v>130123198608266938</v>
      </c>
      <c r="D20771" t="s">
        <v>1</v>
      </c>
      <c r="E20771" t="s">
        <v>1</v>
      </c>
      <c r="F20771" t="s">
        <v>0</v>
      </c>
      <c r="G20771" t="str">
        <f>"2018-10-07 22:26:36"</f>
        <v>2018-10-07 22:26:36</v>
      </c>
    </row>
    <row r="20772" spans="1:7" x14ac:dyDescent="0.2">
      <c r="A20772" t="s">
        <v>1</v>
      </c>
      <c r="B20772" t="str">
        <f>"13609674929"</f>
        <v>13609674929</v>
      </c>
      <c r="C20772" t="s">
        <v>1</v>
      </c>
      <c r="D20772" t="s">
        <v>1</v>
      </c>
      <c r="E20772" t="s">
        <v>1</v>
      </c>
      <c r="F20772" t="s">
        <v>0</v>
      </c>
      <c r="G20772" t="str">
        <f>"2018-10-07 22:24:27"</f>
        <v>2018-10-07 22:24:27</v>
      </c>
    </row>
    <row r="20773" spans="1:7" x14ac:dyDescent="0.2">
      <c r="A20773" t="s">
        <v>1</v>
      </c>
      <c r="B20773" t="str">
        <f>"15210523543"</f>
        <v>15210523543</v>
      </c>
      <c r="C20773" t="s">
        <v>1</v>
      </c>
      <c r="D20773" t="s">
        <v>1</v>
      </c>
      <c r="E20773" t="s">
        <v>1</v>
      </c>
      <c r="F20773" t="s">
        <v>0</v>
      </c>
      <c r="G20773" t="str">
        <f>"2018-10-07 22:20:30"</f>
        <v>2018-10-07 22:20:30</v>
      </c>
    </row>
    <row r="20774" spans="1:7" x14ac:dyDescent="0.2">
      <c r="A20774" t="s">
        <v>19460</v>
      </c>
      <c r="B20774" t="str">
        <f>"13772433563"</f>
        <v>13772433563</v>
      </c>
      <c r="C20774" t="str">
        <f>"610524199304167217"</f>
        <v>610524199304167217</v>
      </c>
      <c r="D20774" t="s">
        <v>1</v>
      </c>
      <c r="E20774" t="s">
        <v>1</v>
      </c>
      <c r="F20774" t="s">
        <v>0</v>
      </c>
      <c r="G20774" t="str">
        <f>"2018-10-07 22:14:37"</f>
        <v>2018-10-07 22:14:37</v>
      </c>
    </row>
    <row r="20775" spans="1:7" x14ac:dyDescent="0.2">
      <c r="A20775" t="s">
        <v>19461</v>
      </c>
      <c r="B20775" t="str">
        <f>"15803450024"</f>
        <v>15803450024</v>
      </c>
      <c r="C20775" t="str">
        <f>"140481199802146418"</f>
        <v>140481199802146418</v>
      </c>
      <c r="D20775" t="s">
        <v>19462</v>
      </c>
      <c r="E20775" t="s">
        <v>19463</v>
      </c>
      <c r="F20775" t="s">
        <v>0</v>
      </c>
      <c r="G20775" t="str">
        <f>"2018-10-07 22:21:52"</f>
        <v>2018-10-07 22:21:52</v>
      </c>
    </row>
    <row r="20776" spans="1:7" x14ac:dyDescent="0.2">
      <c r="A20776" t="s">
        <v>19464</v>
      </c>
      <c r="B20776" t="str">
        <f>"13887385788"</f>
        <v>13887385788</v>
      </c>
      <c r="C20776" t="str">
        <f>"532523198811050022"</f>
        <v>532523198811050022</v>
      </c>
      <c r="D20776" t="s">
        <v>1</v>
      </c>
      <c r="E20776" t="s">
        <v>1</v>
      </c>
      <c r="F20776" t="s">
        <v>0</v>
      </c>
      <c r="G20776" t="str">
        <f>"2018-10-07 22:27:30"</f>
        <v>2018-10-07 22:27:30</v>
      </c>
    </row>
    <row r="20777" spans="1:7" x14ac:dyDescent="0.2">
      <c r="A20777" t="s">
        <v>19465</v>
      </c>
      <c r="B20777" t="str">
        <f>"18363646587"</f>
        <v>18363646587</v>
      </c>
      <c r="C20777" t="str">
        <f>"370786199109071527"</f>
        <v>370786199109071527</v>
      </c>
      <c r="D20777" t="s">
        <v>1</v>
      </c>
      <c r="E20777" t="s">
        <v>1</v>
      </c>
      <c r="F20777" t="s">
        <v>0</v>
      </c>
      <c r="G20777" t="str">
        <f>"2018-10-07 22:08:12"</f>
        <v>2018-10-07 22:08:12</v>
      </c>
    </row>
    <row r="20778" spans="1:7" x14ac:dyDescent="0.2">
      <c r="A20778" t="s">
        <v>19466</v>
      </c>
      <c r="B20778" t="str">
        <f>"15182893958"</f>
        <v>15182893958</v>
      </c>
      <c r="C20778" t="str">
        <f>"513002199704012322"</f>
        <v>513002199704012322</v>
      </c>
      <c r="D20778" t="s">
        <v>19467</v>
      </c>
      <c r="E20778" t="s">
        <v>19468</v>
      </c>
      <c r="F20778" t="s">
        <v>0</v>
      </c>
      <c r="G20778" t="str">
        <f>"2018-10-07 22:45:11"</f>
        <v>2018-10-07 22:45:11</v>
      </c>
    </row>
    <row r="20779" spans="1:7" x14ac:dyDescent="0.2">
      <c r="A20779" t="s">
        <v>1620</v>
      </c>
      <c r="B20779" t="str">
        <f>"13684124279"</f>
        <v>13684124279</v>
      </c>
      <c r="C20779" t="str">
        <f>"513902199304261492"</f>
        <v>513902199304261492</v>
      </c>
      <c r="D20779" t="s">
        <v>19469</v>
      </c>
      <c r="E20779" t="s">
        <v>19470</v>
      </c>
      <c r="F20779" t="s">
        <v>0</v>
      </c>
      <c r="G20779" t="str">
        <f>"2018-10-07 22:04:38"</f>
        <v>2018-10-07 22:04:38</v>
      </c>
    </row>
    <row r="20780" spans="1:7" x14ac:dyDescent="0.2">
      <c r="A20780" t="s">
        <v>19471</v>
      </c>
      <c r="B20780" t="str">
        <f>"18200495020"</f>
        <v>18200495020</v>
      </c>
      <c r="C20780" t="str">
        <f>"511502199201030698"</f>
        <v>511502199201030698</v>
      </c>
      <c r="D20780" t="s">
        <v>19472</v>
      </c>
      <c r="E20780" t="s">
        <v>19473</v>
      </c>
      <c r="F20780" t="s">
        <v>0</v>
      </c>
      <c r="G20780" t="str">
        <f>"2018-10-07 22:07:11"</f>
        <v>2018-10-07 22:07:11</v>
      </c>
    </row>
    <row r="20781" spans="1:7" x14ac:dyDescent="0.2">
      <c r="A20781" t="s">
        <v>1</v>
      </c>
      <c r="B20781" t="str">
        <f>"13715240587"</f>
        <v>13715240587</v>
      </c>
      <c r="C20781" t="s">
        <v>1</v>
      </c>
      <c r="D20781" t="s">
        <v>1</v>
      </c>
      <c r="E20781" t="s">
        <v>1</v>
      </c>
      <c r="F20781" t="s">
        <v>0</v>
      </c>
      <c r="G20781" t="str">
        <f>"2018-10-07 22:00:41"</f>
        <v>2018-10-07 22:00:41</v>
      </c>
    </row>
    <row r="20782" spans="1:7" x14ac:dyDescent="0.2">
      <c r="A20782" t="s">
        <v>19474</v>
      </c>
      <c r="B20782" t="str">
        <f>"18841561218"</f>
        <v>18841561218</v>
      </c>
      <c r="C20782" t="str">
        <f>"210623199005150954"</f>
        <v>210623199005150954</v>
      </c>
      <c r="D20782" t="s">
        <v>1</v>
      </c>
      <c r="E20782" t="s">
        <v>1</v>
      </c>
      <c r="F20782" t="s">
        <v>0</v>
      </c>
      <c r="G20782" t="str">
        <f>"2018-10-07 22:16:08"</f>
        <v>2018-10-07 22:16:08</v>
      </c>
    </row>
    <row r="20783" spans="1:7" x14ac:dyDescent="0.2">
      <c r="A20783" t="s">
        <v>19475</v>
      </c>
      <c r="B20783" t="str">
        <f>"17809164835"</f>
        <v>17809164835</v>
      </c>
      <c r="C20783" t="str">
        <f>"612326198603146730"</f>
        <v>612326198603146730</v>
      </c>
      <c r="D20783" t="s">
        <v>1</v>
      </c>
      <c r="E20783" t="s">
        <v>1</v>
      </c>
      <c r="F20783" t="s">
        <v>0</v>
      </c>
      <c r="G20783" t="str">
        <f>"2018-10-07 22:14:30"</f>
        <v>2018-10-07 22:14:30</v>
      </c>
    </row>
    <row r="20784" spans="1:7" x14ac:dyDescent="0.2">
      <c r="A20784" t="s">
        <v>19476</v>
      </c>
      <c r="B20784" t="str">
        <f>"18808934063"</f>
        <v>18808934063</v>
      </c>
      <c r="C20784" t="str">
        <f>"460032199702106211"</f>
        <v>460032199702106211</v>
      </c>
      <c r="D20784" t="s">
        <v>1</v>
      </c>
      <c r="E20784" t="s">
        <v>1</v>
      </c>
      <c r="F20784" t="s">
        <v>0</v>
      </c>
      <c r="G20784" t="str">
        <f>"2018-10-07 22:30:40"</f>
        <v>2018-10-07 22:30:40</v>
      </c>
    </row>
    <row r="20785" spans="1:7" x14ac:dyDescent="0.2">
      <c r="A20785" t="s">
        <v>1</v>
      </c>
      <c r="B20785" t="str">
        <f>"13390185066"</f>
        <v>13390185066</v>
      </c>
      <c r="C20785" t="s">
        <v>1</v>
      </c>
      <c r="D20785" t="s">
        <v>1</v>
      </c>
      <c r="E20785" t="s">
        <v>1</v>
      </c>
      <c r="F20785" t="s">
        <v>0</v>
      </c>
      <c r="G20785" t="str">
        <f>"2018-10-07 21:54:47"</f>
        <v>2018-10-07 21:54:47</v>
      </c>
    </row>
    <row r="20786" spans="1:7" x14ac:dyDescent="0.2">
      <c r="A20786" t="s">
        <v>19477</v>
      </c>
      <c r="B20786" t="str">
        <f>"15902056068"</f>
        <v>15902056068</v>
      </c>
      <c r="C20786" t="str">
        <f>"441223199203292920"</f>
        <v>441223199203292920</v>
      </c>
      <c r="D20786" t="s">
        <v>1</v>
      </c>
      <c r="E20786" t="s">
        <v>1</v>
      </c>
      <c r="F20786" t="s">
        <v>0</v>
      </c>
      <c r="G20786" t="str">
        <f>"2018-10-07 23:56:23"</f>
        <v>2018-10-07 23:56:23</v>
      </c>
    </row>
    <row r="20787" spans="1:7" x14ac:dyDescent="0.2">
      <c r="A20787" t="s">
        <v>19478</v>
      </c>
      <c r="B20787" t="str">
        <f>"13589298351"</f>
        <v>13589298351</v>
      </c>
      <c r="C20787" t="str">
        <f>"370283198807103556"</f>
        <v>370283198807103556</v>
      </c>
      <c r="D20787" t="s">
        <v>1</v>
      </c>
      <c r="E20787" t="s">
        <v>1</v>
      </c>
      <c r="F20787" t="s">
        <v>0</v>
      </c>
      <c r="G20787" t="str">
        <f>"2018-10-12 17:54:47"</f>
        <v>2018-10-12 17:54:47</v>
      </c>
    </row>
    <row r="20788" spans="1:7" x14ac:dyDescent="0.2">
      <c r="A20788" t="s">
        <v>19479</v>
      </c>
      <c r="B20788" t="str">
        <f>"15004629007"</f>
        <v>15004629007</v>
      </c>
      <c r="C20788" t="str">
        <f>"230128198903254038"</f>
        <v>230128198903254038</v>
      </c>
      <c r="D20788" t="s">
        <v>19480</v>
      </c>
      <c r="E20788" t="s">
        <v>19481</v>
      </c>
      <c r="F20788" t="s">
        <v>0</v>
      </c>
      <c r="G20788" t="str">
        <f>"2018-10-08 06:20:47"</f>
        <v>2018-10-08 06:20:47</v>
      </c>
    </row>
    <row r="20789" spans="1:7" x14ac:dyDescent="0.2">
      <c r="A20789" t="s">
        <v>1</v>
      </c>
      <c r="B20789" t="str">
        <f>"15871729100"</f>
        <v>15871729100</v>
      </c>
      <c r="C20789" t="s">
        <v>1</v>
      </c>
      <c r="D20789" t="s">
        <v>1</v>
      </c>
      <c r="E20789" t="s">
        <v>1</v>
      </c>
      <c r="F20789" t="s">
        <v>0</v>
      </c>
      <c r="G20789" t="str">
        <f>"2018-10-07 21:40:46"</f>
        <v>2018-10-07 21:40:46</v>
      </c>
    </row>
    <row r="20790" spans="1:7" x14ac:dyDescent="0.2">
      <c r="A20790" t="s">
        <v>19482</v>
      </c>
      <c r="B20790" t="str">
        <f>"13772830575"</f>
        <v>13772830575</v>
      </c>
      <c r="C20790" t="str">
        <f>"612326197505113914"</f>
        <v>612326197505113914</v>
      </c>
      <c r="D20790" t="s">
        <v>19483</v>
      </c>
      <c r="E20790" t="s">
        <v>19484</v>
      </c>
      <c r="F20790" t="s">
        <v>0</v>
      </c>
      <c r="G20790" t="str">
        <f>"2018-10-07 21:37:14"</f>
        <v>2018-10-07 21:37:14</v>
      </c>
    </row>
    <row r="20791" spans="1:7" x14ac:dyDescent="0.2">
      <c r="A20791" t="s">
        <v>1</v>
      </c>
      <c r="B20791" t="str">
        <f>"18650120815"</f>
        <v>18650120815</v>
      </c>
      <c r="C20791" t="s">
        <v>1</v>
      </c>
      <c r="D20791" t="s">
        <v>1</v>
      </c>
      <c r="E20791" t="s">
        <v>1</v>
      </c>
      <c r="F20791" t="s">
        <v>0</v>
      </c>
      <c r="G20791" t="str">
        <f>"2018-10-07 21:35:20"</f>
        <v>2018-10-07 21:35:20</v>
      </c>
    </row>
    <row r="20792" spans="1:7" x14ac:dyDescent="0.2">
      <c r="A20792" t="s">
        <v>19485</v>
      </c>
      <c r="B20792" t="str">
        <f>"15376784919"</f>
        <v>15376784919</v>
      </c>
      <c r="C20792" t="str">
        <f>"370212198210022010"</f>
        <v>370212198210022010</v>
      </c>
      <c r="D20792" t="s">
        <v>19486</v>
      </c>
      <c r="E20792" t="s">
        <v>19487</v>
      </c>
      <c r="F20792" t="s">
        <v>0</v>
      </c>
      <c r="G20792" t="str">
        <f>"2018-10-07 21:36:56"</f>
        <v>2018-10-07 21:36:56</v>
      </c>
    </row>
    <row r="20793" spans="1:7" x14ac:dyDescent="0.2">
      <c r="A20793" t="s">
        <v>1</v>
      </c>
      <c r="B20793" t="str">
        <f>"13211633143"</f>
        <v>13211633143</v>
      </c>
      <c r="C20793" t="s">
        <v>1</v>
      </c>
      <c r="D20793" t="s">
        <v>1</v>
      </c>
      <c r="E20793" t="s">
        <v>1</v>
      </c>
      <c r="F20793" t="s">
        <v>0</v>
      </c>
      <c r="G20793" t="str">
        <f>"2018-10-07 21:30:41"</f>
        <v>2018-10-07 21:30:41</v>
      </c>
    </row>
    <row r="20794" spans="1:7" x14ac:dyDescent="0.2">
      <c r="A20794" t="s">
        <v>1</v>
      </c>
      <c r="B20794" t="str">
        <f>"18770760525"</f>
        <v>18770760525</v>
      </c>
      <c r="C20794" t="s">
        <v>1</v>
      </c>
      <c r="D20794" t="s">
        <v>1</v>
      </c>
      <c r="E20794" t="s">
        <v>1</v>
      </c>
      <c r="F20794" t="s">
        <v>0</v>
      </c>
      <c r="G20794" t="str">
        <f>"2018-10-07 21:29:21"</f>
        <v>2018-10-07 21:29:21</v>
      </c>
    </row>
    <row r="20795" spans="1:7" x14ac:dyDescent="0.2">
      <c r="A20795" t="s">
        <v>19488</v>
      </c>
      <c r="B20795" t="str">
        <f>"13970353978"</f>
        <v>13970353978</v>
      </c>
      <c r="C20795" t="str">
        <f>"362322197811131814"</f>
        <v>362322197811131814</v>
      </c>
      <c r="D20795" t="s">
        <v>1</v>
      </c>
      <c r="E20795" t="s">
        <v>1</v>
      </c>
      <c r="F20795" t="s">
        <v>0</v>
      </c>
      <c r="G20795" t="str">
        <f>"2018-10-07 21:27:20"</f>
        <v>2018-10-07 21:27:20</v>
      </c>
    </row>
    <row r="20796" spans="1:7" x14ac:dyDescent="0.2">
      <c r="A20796" t="s">
        <v>1</v>
      </c>
      <c r="B20796" t="str">
        <f>"15513518222"</f>
        <v>15513518222</v>
      </c>
      <c r="C20796" t="s">
        <v>1</v>
      </c>
      <c r="D20796" t="s">
        <v>1</v>
      </c>
      <c r="E20796" t="s">
        <v>1</v>
      </c>
      <c r="F20796" t="s">
        <v>0</v>
      </c>
      <c r="G20796" t="str">
        <f>"2018-10-07 21:24:45"</f>
        <v>2018-10-07 21:24:45</v>
      </c>
    </row>
    <row r="20797" spans="1:7" x14ac:dyDescent="0.2">
      <c r="A20797" t="s">
        <v>19489</v>
      </c>
      <c r="B20797" t="str">
        <f>"15144229917"</f>
        <v>15144229917</v>
      </c>
      <c r="C20797" t="str">
        <f>"220221198901201628"</f>
        <v>220221198901201628</v>
      </c>
      <c r="D20797" t="s">
        <v>1</v>
      </c>
      <c r="E20797" t="s">
        <v>1</v>
      </c>
      <c r="F20797" t="s">
        <v>0</v>
      </c>
      <c r="G20797" t="str">
        <f>"2018-10-07 21:24:34"</f>
        <v>2018-10-07 21:24:34</v>
      </c>
    </row>
    <row r="20798" spans="1:7" x14ac:dyDescent="0.2">
      <c r="A20798" t="s">
        <v>19490</v>
      </c>
      <c r="B20798" t="str">
        <f>"13760200302"</f>
        <v>13760200302</v>
      </c>
      <c r="C20798" t="str">
        <f>"440301199101102117"</f>
        <v>440301199101102117</v>
      </c>
      <c r="D20798" t="s">
        <v>1</v>
      </c>
      <c r="E20798" t="s">
        <v>1</v>
      </c>
      <c r="F20798" t="s">
        <v>0</v>
      </c>
      <c r="G20798" t="str">
        <f>"2018-10-07 21:25:18"</f>
        <v>2018-10-07 21:25:18</v>
      </c>
    </row>
    <row r="20799" spans="1:7" x14ac:dyDescent="0.2">
      <c r="A20799" t="s">
        <v>19491</v>
      </c>
      <c r="B20799" t="str">
        <f>"13931095925"</f>
        <v>13931095925</v>
      </c>
      <c r="C20799" t="str">
        <f>"130435198611061513"</f>
        <v>130435198611061513</v>
      </c>
      <c r="D20799" t="s">
        <v>1</v>
      </c>
      <c r="E20799" t="s">
        <v>1</v>
      </c>
      <c r="F20799" t="s">
        <v>0</v>
      </c>
      <c r="G20799" t="str">
        <f>"2018-10-07 21:21:46"</f>
        <v>2018-10-07 21:21:46</v>
      </c>
    </row>
    <row r="20800" spans="1:7" x14ac:dyDescent="0.2">
      <c r="A20800" t="s">
        <v>1</v>
      </c>
      <c r="B20800" t="str">
        <f>"15198976984"</f>
        <v>15198976984</v>
      </c>
      <c r="C20800" t="s">
        <v>1</v>
      </c>
      <c r="D20800" t="s">
        <v>1</v>
      </c>
      <c r="E20800" t="s">
        <v>1</v>
      </c>
      <c r="F20800" t="s">
        <v>0</v>
      </c>
      <c r="G20800" t="str">
        <f>"2018-10-07 21:15:47"</f>
        <v>2018-10-07 21:15:47</v>
      </c>
    </row>
    <row r="20801" spans="1:7" x14ac:dyDescent="0.2">
      <c r="A20801" t="s">
        <v>1</v>
      </c>
      <c r="B20801" t="str">
        <f>"13697353280"</f>
        <v>13697353280</v>
      </c>
      <c r="C20801" t="s">
        <v>1</v>
      </c>
      <c r="D20801" t="s">
        <v>1</v>
      </c>
      <c r="E20801" t="s">
        <v>1</v>
      </c>
      <c r="F20801" t="s">
        <v>0</v>
      </c>
      <c r="G20801" t="str">
        <f>"2018-10-07 21:15:38"</f>
        <v>2018-10-07 21:15:38</v>
      </c>
    </row>
    <row r="20802" spans="1:7" x14ac:dyDescent="0.2">
      <c r="A20802" t="s">
        <v>19492</v>
      </c>
      <c r="B20802" t="str">
        <f>"13858801441"</f>
        <v>13858801441</v>
      </c>
      <c r="C20802" t="str">
        <f>"330329198911031951"</f>
        <v>330329198911031951</v>
      </c>
      <c r="D20802" t="s">
        <v>1</v>
      </c>
      <c r="E20802" t="s">
        <v>1</v>
      </c>
      <c r="F20802" t="s">
        <v>0</v>
      </c>
      <c r="G20802" t="str">
        <f>"2018-10-07 21:22:15"</f>
        <v>2018-10-07 21:22:15</v>
      </c>
    </row>
    <row r="20803" spans="1:7" x14ac:dyDescent="0.2">
      <c r="A20803" t="s">
        <v>1</v>
      </c>
      <c r="B20803" t="str">
        <f>"13221330767"</f>
        <v>13221330767</v>
      </c>
      <c r="C20803" t="s">
        <v>1</v>
      </c>
      <c r="D20803" t="s">
        <v>1</v>
      </c>
      <c r="E20803" t="s">
        <v>1</v>
      </c>
      <c r="F20803" t="s">
        <v>0</v>
      </c>
      <c r="G20803" t="str">
        <f>"2018-10-07 21:11:22"</f>
        <v>2018-10-07 21:11:22</v>
      </c>
    </row>
    <row r="20804" spans="1:7" x14ac:dyDescent="0.2">
      <c r="A20804" t="s">
        <v>19493</v>
      </c>
      <c r="B20804" t="str">
        <f>"18804055619"</f>
        <v>18804055619</v>
      </c>
      <c r="C20804" t="str">
        <f>"210181199508068342"</f>
        <v>210181199508068342</v>
      </c>
      <c r="D20804" t="s">
        <v>1</v>
      </c>
      <c r="E20804" t="s">
        <v>1</v>
      </c>
      <c r="F20804" t="s">
        <v>0</v>
      </c>
      <c r="G20804" t="str">
        <f>"2018-10-07 21:12:23"</f>
        <v>2018-10-07 21:12:23</v>
      </c>
    </row>
    <row r="20805" spans="1:7" x14ac:dyDescent="0.2">
      <c r="A20805" t="s">
        <v>19494</v>
      </c>
      <c r="B20805" t="str">
        <f>"13456270291"</f>
        <v>13456270291</v>
      </c>
      <c r="C20805" t="str">
        <f>"330424198408160020"</f>
        <v>330424198408160020</v>
      </c>
      <c r="D20805" t="s">
        <v>1</v>
      </c>
      <c r="E20805" t="s">
        <v>1</v>
      </c>
      <c r="F20805" t="s">
        <v>0</v>
      </c>
      <c r="G20805" t="str">
        <f>"2018-10-07 21:10:09"</f>
        <v>2018-10-07 21:10:09</v>
      </c>
    </row>
    <row r="20806" spans="1:7" x14ac:dyDescent="0.2">
      <c r="A20806" t="s">
        <v>689</v>
      </c>
      <c r="B20806" t="str">
        <f>"13735382733"</f>
        <v>13735382733</v>
      </c>
      <c r="C20806" t="str">
        <f>"330623197904220010"</f>
        <v>330623197904220010</v>
      </c>
      <c r="D20806" t="s">
        <v>1</v>
      </c>
      <c r="E20806" t="s">
        <v>1</v>
      </c>
      <c r="F20806" t="s">
        <v>0</v>
      </c>
      <c r="G20806" t="str">
        <f>"2018-10-11 16:38:21"</f>
        <v>2018-10-11 16:38:21</v>
      </c>
    </row>
    <row r="20807" spans="1:7" x14ac:dyDescent="0.2">
      <c r="A20807" t="s">
        <v>19495</v>
      </c>
      <c r="B20807" t="str">
        <f>"13839094564"</f>
        <v>13839094564</v>
      </c>
      <c r="C20807" t="str">
        <f>"410725197905032474"</f>
        <v>410725197905032474</v>
      </c>
      <c r="D20807" t="s">
        <v>1</v>
      </c>
      <c r="E20807" t="s">
        <v>1</v>
      </c>
      <c r="F20807" t="s">
        <v>0</v>
      </c>
      <c r="G20807" t="str">
        <f>"2018-10-07 22:27:10"</f>
        <v>2018-10-07 22:27:10</v>
      </c>
    </row>
    <row r="20808" spans="1:7" x14ac:dyDescent="0.2">
      <c r="A20808" t="s">
        <v>1</v>
      </c>
      <c r="B20808" t="str">
        <f>"13821983869"</f>
        <v>13821983869</v>
      </c>
      <c r="C20808" t="s">
        <v>1</v>
      </c>
      <c r="D20808" t="s">
        <v>1</v>
      </c>
      <c r="E20808" t="s">
        <v>1</v>
      </c>
      <c r="F20808" t="s">
        <v>0</v>
      </c>
      <c r="G20808" t="str">
        <f>"2018-10-07 21:02:17"</f>
        <v>2018-10-07 21:02:17</v>
      </c>
    </row>
    <row r="20809" spans="1:7" x14ac:dyDescent="0.2">
      <c r="A20809" t="s">
        <v>19496</v>
      </c>
      <c r="B20809" t="str">
        <f>"13628271097"</f>
        <v>13628271097</v>
      </c>
      <c r="C20809" t="str">
        <f>"500231198301271657"</f>
        <v>500231198301271657</v>
      </c>
      <c r="D20809" t="s">
        <v>1</v>
      </c>
      <c r="E20809" t="s">
        <v>1</v>
      </c>
      <c r="F20809" t="s">
        <v>0</v>
      </c>
      <c r="G20809" t="str">
        <f>"2018-10-07 21:01:00"</f>
        <v>2018-10-07 21:01:00</v>
      </c>
    </row>
    <row r="20810" spans="1:7" x14ac:dyDescent="0.2">
      <c r="A20810" t="s">
        <v>19497</v>
      </c>
      <c r="B20810" t="str">
        <f>"18871178523"</f>
        <v>18871178523</v>
      </c>
      <c r="C20810" t="str">
        <f>"220284198805147014"</f>
        <v>220284198805147014</v>
      </c>
      <c r="D20810" t="s">
        <v>19498</v>
      </c>
      <c r="E20810" t="s">
        <v>19499</v>
      </c>
      <c r="F20810" t="s">
        <v>0</v>
      </c>
      <c r="G20810" t="str">
        <f>"2018-10-07 21:04:48"</f>
        <v>2018-10-07 21:04:48</v>
      </c>
    </row>
    <row r="20811" spans="1:7" x14ac:dyDescent="0.2">
      <c r="A20811" t="s">
        <v>19500</v>
      </c>
      <c r="B20811" t="str">
        <f>"13372317888"</f>
        <v>13372317888</v>
      </c>
      <c r="C20811" t="str">
        <f>"362322197303296014"</f>
        <v>362322197303296014</v>
      </c>
      <c r="D20811" t="s">
        <v>1</v>
      </c>
      <c r="E20811" t="s">
        <v>1</v>
      </c>
      <c r="F20811" t="s">
        <v>0</v>
      </c>
      <c r="G20811" t="str">
        <f>"2018-10-07 21:00:34"</f>
        <v>2018-10-07 21:00:34</v>
      </c>
    </row>
    <row r="20812" spans="1:7" x14ac:dyDescent="0.2">
      <c r="A20812" t="s">
        <v>19501</v>
      </c>
      <c r="B20812" t="str">
        <f>"13355517711"</f>
        <v>13355517711</v>
      </c>
      <c r="C20812" t="str">
        <f>"340223198006168112"</f>
        <v>340223198006168112</v>
      </c>
      <c r="D20812" t="s">
        <v>19502</v>
      </c>
      <c r="E20812" t="s">
        <v>19503</v>
      </c>
      <c r="F20812" t="s">
        <v>0</v>
      </c>
      <c r="G20812" t="str">
        <f>"2018-10-16 10:42:37"</f>
        <v>2018-10-16 10:42:37</v>
      </c>
    </row>
    <row r="20813" spans="1:7" x14ac:dyDescent="0.2">
      <c r="A20813" t="s">
        <v>19504</v>
      </c>
      <c r="B20813" t="str">
        <f>"13953194307"</f>
        <v>13953194307</v>
      </c>
      <c r="C20813" t="str">
        <f>"370181199202202718"</f>
        <v>370181199202202718</v>
      </c>
      <c r="D20813" t="s">
        <v>1</v>
      </c>
      <c r="E20813" t="s">
        <v>1</v>
      </c>
      <c r="F20813" t="s">
        <v>0</v>
      </c>
      <c r="G20813" t="str">
        <f>"2018-10-07 21:10:08"</f>
        <v>2018-10-07 21:10:08</v>
      </c>
    </row>
    <row r="20814" spans="1:7" x14ac:dyDescent="0.2">
      <c r="A20814" t="s">
        <v>1</v>
      </c>
      <c r="B20814" t="str">
        <f>"13981742429"</f>
        <v>13981742429</v>
      </c>
      <c r="C20814" t="s">
        <v>1</v>
      </c>
      <c r="D20814" t="s">
        <v>1</v>
      </c>
      <c r="E20814" t="s">
        <v>1</v>
      </c>
      <c r="F20814" t="s">
        <v>0</v>
      </c>
      <c r="G20814" t="str">
        <f>"2018-10-07 20:50:19"</f>
        <v>2018-10-07 20:50:19</v>
      </c>
    </row>
    <row r="20815" spans="1:7" x14ac:dyDescent="0.2">
      <c r="A20815" t="s">
        <v>524</v>
      </c>
      <c r="B20815" t="str">
        <f>"18777951322"</f>
        <v>18777951322</v>
      </c>
      <c r="C20815" t="str">
        <f>"450521199507158733"</f>
        <v>450521199507158733</v>
      </c>
      <c r="D20815" t="s">
        <v>1</v>
      </c>
      <c r="E20815" t="s">
        <v>1</v>
      </c>
      <c r="F20815" t="s">
        <v>0</v>
      </c>
      <c r="G20815" t="str">
        <f>"2018-10-07 20:49:36"</f>
        <v>2018-10-07 20:49:36</v>
      </c>
    </row>
    <row r="20816" spans="1:7" x14ac:dyDescent="0.2">
      <c r="A20816" t="s">
        <v>19505</v>
      </c>
      <c r="B20816" t="str">
        <f>"13481649700"</f>
        <v>13481649700</v>
      </c>
      <c r="C20816" t="str">
        <f>"452627198607161359"</f>
        <v>452627198607161359</v>
      </c>
      <c r="D20816" t="s">
        <v>1</v>
      </c>
      <c r="E20816" t="s">
        <v>1</v>
      </c>
      <c r="F20816" t="s">
        <v>0</v>
      </c>
      <c r="G20816" t="str">
        <f>"2018-10-07 20:57:45"</f>
        <v>2018-10-07 20:57:45</v>
      </c>
    </row>
    <row r="20817" spans="1:7" x14ac:dyDescent="0.2">
      <c r="A20817" t="s">
        <v>19506</v>
      </c>
      <c r="B20817" t="str">
        <f>"15120781057"</f>
        <v>15120781057</v>
      </c>
      <c r="C20817" t="str">
        <f>"460033199309164497"</f>
        <v>460033199309164497</v>
      </c>
      <c r="D20817" t="s">
        <v>19507</v>
      </c>
      <c r="E20817" t="s">
        <v>19508</v>
      </c>
      <c r="F20817" t="s">
        <v>0</v>
      </c>
      <c r="G20817" t="str">
        <f>"2018-10-17 18:22:15"</f>
        <v>2018-10-17 18:22:15</v>
      </c>
    </row>
    <row r="20818" spans="1:7" x14ac:dyDescent="0.2">
      <c r="A20818" t="s">
        <v>324</v>
      </c>
      <c r="B20818" t="str">
        <f>"13735047401"</f>
        <v>13735047401</v>
      </c>
      <c r="C20818" t="str">
        <f>"330921199705032511"</f>
        <v>330921199705032511</v>
      </c>
      <c r="D20818" t="s">
        <v>1</v>
      </c>
      <c r="E20818" t="s">
        <v>1</v>
      </c>
      <c r="F20818" t="s">
        <v>0</v>
      </c>
      <c r="G20818" t="str">
        <f>"2018-10-07 20:53:41"</f>
        <v>2018-10-07 20:53:41</v>
      </c>
    </row>
    <row r="20819" spans="1:7" x14ac:dyDescent="0.2">
      <c r="A20819" t="s">
        <v>1231</v>
      </c>
      <c r="B20819" t="str">
        <f>"13450187775"</f>
        <v>13450187775</v>
      </c>
      <c r="C20819" t="str">
        <f>"441202198503310514"</f>
        <v>441202198503310514</v>
      </c>
      <c r="D20819" t="s">
        <v>1</v>
      </c>
      <c r="E20819" t="s">
        <v>1</v>
      </c>
      <c r="F20819" t="s">
        <v>0</v>
      </c>
      <c r="G20819" t="str">
        <f>"2018-10-17 10:54:33"</f>
        <v>2018-10-17 10:54:33</v>
      </c>
    </row>
    <row r="20820" spans="1:7" x14ac:dyDescent="0.2">
      <c r="A20820" t="s">
        <v>19509</v>
      </c>
      <c r="B20820" t="str">
        <f>"13232662017"</f>
        <v>13232662017</v>
      </c>
      <c r="C20820" t="str">
        <f>"440882199307213918"</f>
        <v>440882199307213918</v>
      </c>
      <c r="D20820" t="s">
        <v>1</v>
      </c>
      <c r="E20820" t="s">
        <v>1</v>
      </c>
      <c r="F20820" t="s">
        <v>0</v>
      </c>
      <c r="G20820" t="str">
        <f>"2018-10-07 20:41:45"</f>
        <v>2018-10-07 20:41:45</v>
      </c>
    </row>
    <row r="20821" spans="1:7" x14ac:dyDescent="0.2">
      <c r="A20821" t="s">
        <v>19510</v>
      </c>
      <c r="B20821" t="str">
        <f>"13773394787"</f>
        <v>13773394787</v>
      </c>
      <c r="C20821" t="str">
        <f>"321088198506144875"</f>
        <v>321088198506144875</v>
      </c>
      <c r="D20821" t="s">
        <v>1</v>
      </c>
      <c r="E20821" t="s">
        <v>1</v>
      </c>
      <c r="F20821" t="s">
        <v>0</v>
      </c>
      <c r="G20821" t="str">
        <f>"2018-10-16 12:49:18"</f>
        <v>2018-10-16 12:49:18</v>
      </c>
    </row>
    <row r="20822" spans="1:7" x14ac:dyDescent="0.2">
      <c r="A20822" t="s">
        <v>1</v>
      </c>
      <c r="B20822" t="str">
        <f>"15529927776"</f>
        <v>15529927776</v>
      </c>
      <c r="C20822" t="s">
        <v>1</v>
      </c>
      <c r="D20822" t="s">
        <v>1</v>
      </c>
      <c r="E20822" t="s">
        <v>1</v>
      </c>
      <c r="F20822" t="s">
        <v>0</v>
      </c>
      <c r="G20822" t="str">
        <f>"2018-10-07 20:34:59"</f>
        <v>2018-10-07 20:34:59</v>
      </c>
    </row>
    <row r="20823" spans="1:7" x14ac:dyDescent="0.2">
      <c r="A20823" t="s">
        <v>1</v>
      </c>
      <c r="B20823" t="str">
        <f>"15905797557"</f>
        <v>15905797557</v>
      </c>
      <c r="C20823" t="s">
        <v>1</v>
      </c>
      <c r="D20823" t="s">
        <v>1</v>
      </c>
      <c r="E20823" t="s">
        <v>1</v>
      </c>
      <c r="F20823" t="s">
        <v>0</v>
      </c>
      <c r="G20823" t="str">
        <f>"2018-10-07 20:33:16"</f>
        <v>2018-10-07 20:33:16</v>
      </c>
    </row>
    <row r="20824" spans="1:7" x14ac:dyDescent="0.2">
      <c r="A20824" t="s">
        <v>19511</v>
      </c>
      <c r="B20824" t="str">
        <f>"18758649380"</f>
        <v>18758649380</v>
      </c>
      <c r="C20824" t="str">
        <f>"341002197908280617"</f>
        <v>341002197908280617</v>
      </c>
      <c r="D20824" t="s">
        <v>1</v>
      </c>
      <c r="E20824" t="s">
        <v>1</v>
      </c>
      <c r="F20824" t="s">
        <v>0</v>
      </c>
      <c r="G20824" t="str">
        <f>"2018-10-29 16:58:16"</f>
        <v>2018-10-29 16:58:16</v>
      </c>
    </row>
    <row r="20825" spans="1:7" x14ac:dyDescent="0.2">
      <c r="A20825" t="s">
        <v>19512</v>
      </c>
      <c r="B20825" t="str">
        <f>"13178022852"</f>
        <v>13178022852</v>
      </c>
      <c r="C20825" t="str">
        <f>"35068119860617525X"</f>
        <v>35068119860617525X</v>
      </c>
      <c r="D20825" t="s">
        <v>1</v>
      </c>
      <c r="E20825" t="s">
        <v>1</v>
      </c>
      <c r="F20825" t="s">
        <v>0</v>
      </c>
      <c r="G20825" t="str">
        <f>"2018-10-07 20:19:49"</f>
        <v>2018-10-07 20:19:49</v>
      </c>
    </row>
    <row r="20826" spans="1:7" x14ac:dyDescent="0.2">
      <c r="A20826" t="s">
        <v>19513</v>
      </c>
      <c r="B20826" t="str">
        <f>"17683230406"</f>
        <v>17683230406</v>
      </c>
      <c r="C20826" t="str">
        <f>"511325199504063212"</f>
        <v>511325199504063212</v>
      </c>
      <c r="D20826" t="s">
        <v>1</v>
      </c>
      <c r="E20826" t="s">
        <v>1</v>
      </c>
      <c r="F20826" t="s">
        <v>0</v>
      </c>
      <c r="G20826" t="str">
        <f>"2018-10-07 20:18:06"</f>
        <v>2018-10-07 20:18:06</v>
      </c>
    </row>
    <row r="20827" spans="1:7" x14ac:dyDescent="0.2">
      <c r="A20827" t="s">
        <v>19514</v>
      </c>
      <c r="B20827" t="str">
        <f>"13895738777"</f>
        <v>13895738777</v>
      </c>
      <c r="C20827" t="str">
        <f>"230104198202150614"</f>
        <v>230104198202150614</v>
      </c>
      <c r="D20827" t="s">
        <v>1</v>
      </c>
      <c r="E20827" t="s">
        <v>1</v>
      </c>
      <c r="F20827" t="s">
        <v>0</v>
      </c>
      <c r="G20827" t="str">
        <f>"2018-10-07 20:32:50"</f>
        <v>2018-10-07 20:32:50</v>
      </c>
    </row>
    <row r="20828" spans="1:7" x14ac:dyDescent="0.2">
      <c r="A20828" t="s">
        <v>1</v>
      </c>
      <c r="B20828" t="str">
        <f>"15674060901"</f>
        <v>15674060901</v>
      </c>
      <c r="C20828" t="s">
        <v>1</v>
      </c>
      <c r="D20828" t="s">
        <v>1</v>
      </c>
      <c r="E20828" t="s">
        <v>1</v>
      </c>
      <c r="F20828" t="s">
        <v>0</v>
      </c>
      <c r="G20828" t="str">
        <f>"2018-10-07 20:11:08"</f>
        <v>2018-10-07 20:11:08</v>
      </c>
    </row>
    <row r="20829" spans="1:7" x14ac:dyDescent="0.2">
      <c r="A20829" t="s">
        <v>19515</v>
      </c>
      <c r="B20829" t="str">
        <f>"18616859636"</f>
        <v>18616859636</v>
      </c>
      <c r="C20829" t="str">
        <f>"51132319861010616X"</f>
        <v>51132319861010616X</v>
      </c>
      <c r="D20829" t="s">
        <v>1</v>
      </c>
      <c r="E20829" t="s">
        <v>1</v>
      </c>
      <c r="F20829" t="s">
        <v>0</v>
      </c>
      <c r="G20829" t="str">
        <f>"2018-10-07 20:28:25"</f>
        <v>2018-10-07 20:28:25</v>
      </c>
    </row>
    <row r="20830" spans="1:7" x14ac:dyDescent="0.2">
      <c r="A20830" t="s">
        <v>19516</v>
      </c>
      <c r="B20830" t="str">
        <f>"18376752217"</f>
        <v>18376752217</v>
      </c>
      <c r="C20830" t="str">
        <f>"140321198503011576"</f>
        <v>140321198503011576</v>
      </c>
      <c r="D20830" t="s">
        <v>19517</v>
      </c>
      <c r="E20830" t="s">
        <v>19518</v>
      </c>
      <c r="F20830" t="s">
        <v>0</v>
      </c>
      <c r="G20830" t="str">
        <f>"2018-10-07 20:17:01"</f>
        <v>2018-10-07 20:17:01</v>
      </c>
    </row>
    <row r="20831" spans="1:7" x14ac:dyDescent="0.2">
      <c r="A20831" t="s">
        <v>1</v>
      </c>
      <c r="B20831" t="str">
        <f>"15152343245"</f>
        <v>15152343245</v>
      </c>
      <c r="C20831" t="s">
        <v>1</v>
      </c>
      <c r="D20831" t="s">
        <v>1</v>
      </c>
      <c r="E20831" t="s">
        <v>1</v>
      </c>
      <c r="F20831" t="s">
        <v>0</v>
      </c>
      <c r="G20831" t="str">
        <f>"2018-10-07 20:06:33"</f>
        <v>2018-10-07 20:06:33</v>
      </c>
    </row>
    <row r="20832" spans="1:7" x14ac:dyDescent="0.2">
      <c r="A20832" t="s">
        <v>19519</v>
      </c>
      <c r="B20832" t="str">
        <f>"15971656141"</f>
        <v>15971656141</v>
      </c>
      <c r="C20832" t="str">
        <f>"420521199712220713"</f>
        <v>420521199712220713</v>
      </c>
      <c r="D20832" t="s">
        <v>1</v>
      </c>
      <c r="E20832" t="s">
        <v>1</v>
      </c>
      <c r="F20832" t="s">
        <v>0</v>
      </c>
      <c r="G20832" t="str">
        <f>"2018-10-07 20:05:53"</f>
        <v>2018-10-07 20:05:53</v>
      </c>
    </row>
    <row r="20833" spans="1:7" x14ac:dyDescent="0.2">
      <c r="A20833" t="s">
        <v>1</v>
      </c>
      <c r="B20833" t="str">
        <f>"13326528387"</f>
        <v>13326528387</v>
      </c>
      <c r="C20833" t="s">
        <v>1</v>
      </c>
      <c r="D20833" t="s">
        <v>1</v>
      </c>
      <c r="E20833" t="s">
        <v>1</v>
      </c>
      <c r="F20833" t="s">
        <v>0</v>
      </c>
      <c r="G20833" t="str">
        <f>"2018-10-08 07:04:15"</f>
        <v>2018-10-08 07:04:15</v>
      </c>
    </row>
    <row r="20834" spans="1:7" x14ac:dyDescent="0.2">
      <c r="A20834" t="s">
        <v>1</v>
      </c>
      <c r="B20834" t="str">
        <f>"13860985176"</f>
        <v>13860985176</v>
      </c>
      <c r="C20834" t="s">
        <v>1</v>
      </c>
      <c r="D20834" t="s">
        <v>1</v>
      </c>
      <c r="E20834" t="s">
        <v>1</v>
      </c>
      <c r="F20834" t="s">
        <v>0</v>
      </c>
      <c r="G20834" t="str">
        <f>"2018-10-07 19:58:49"</f>
        <v>2018-10-07 19:58:49</v>
      </c>
    </row>
    <row r="20835" spans="1:7" x14ac:dyDescent="0.2">
      <c r="A20835" t="s">
        <v>19520</v>
      </c>
      <c r="B20835" t="str">
        <f>"17308486549"</f>
        <v>17308486549</v>
      </c>
      <c r="C20835" t="str">
        <f>"431027199206290317"</f>
        <v>431027199206290317</v>
      </c>
      <c r="D20835" t="s">
        <v>19521</v>
      </c>
      <c r="E20835" t="s">
        <v>19522</v>
      </c>
      <c r="F20835" t="s">
        <v>0</v>
      </c>
      <c r="G20835" t="str">
        <f>"2018-10-27 20:59:56"</f>
        <v>2018-10-27 20:59:56</v>
      </c>
    </row>
    <row r="20836" spans="1:7" x14ac:dyDescent="0.2">
      <c r="A20836" t="s">
        <v>19523</v>
      </c>
      <c r="B20836" t="str">
        <f>"13468711216"</f>
        <v>13468711216</v>
      </c>
      <c r="C20836" t="str">
        <f>"610321197604212324"</f>
        <v>610321197604212324</v>
      </c>
      <c r="D20836" t="s">
        <v>1</v>
      </c>
      <c r="E20836" t="s">
        <v>1</v>
      </c>
      <c r="F20836" t="s">
        <v>0</v>
      </c>
      <c r="G20836" t="str">
        <f>"2018-10-16 22:46:57"</f>
        <v>2018-10-16 22:46:57</v>
      </c>
    </row>
    <row r="20837" spans="1:7" x14ac:dyDescent="0.2">
      <c r="A20837" t="s">
        <v>19524</v>
      </c>
      <c r="B20837" t="str">
        <f>"15185252005"</f>
        <v>15185252005</v>
      </c>
      <c r="C20837" t="str">
        <f>"520102198610014669"</f>
        <v>520102198610014669</v>
      </c>
      <c r="D20837" t="s">
        <v>19525</v>
      </c>
      <c r="E20837" t="s">
        <v>19526</v>
      </c>
      <c r="F20837" t="s">
        <v>0</v>
      </c>
      <c r="G20837" t="str">
        <f>"2018-10-07 22:24:08"</f>
        <v>2018-10-07 22:24:08</v>
      </c>
    </row>
    <row r="20838" spans="1:7" x14ac:dyDescent="0.2">
      <c r="A20838" t="s">
        <v>19527</v>
      </c>
      <c r="B20838" t="str">
        <f>"17681621689"</f>
        <v>17681621689</v>
      </c>
      <c r="C20838" t="str">
        <f>"362227199502123517"</f>
        <v>362227199502123517</v>
      </c>
      <c r="D20838" t="s">
        <v>19528</v>
      </c>
      <c r="E20838" t="s">
        <v>19529</v>
      </c>
      <c r="F20838" t="s">
        <v>0</v>
      </c>
      <c r="G20838" t="str">
        <f>"2018-10-07 19:50:51"</f>
        <v>2018-10-07 19:50:51</v>
      </c>
    </row>
    <row r="20839" spans="1:7" x14ac:dyDescent="0.2">
      <c r="A20839" t="s">
        <v>1</v>
      </c>
      <c r="B20839" t="str">
        <f>"13349478200"</f>
        <v>13349478200</v>
      </c>
      <c r="C20839" t="s">
        <v>1</v>
      </c>
      <c r="D20839" t="s">
        <v>1</v>
      </c>
      <c r="E20839" t="s">
        <v>1</v>
      </c>
      <c r="F20839" t="s">
        <v>0</v>
      </c>
      <c r="G20839" t="str">
        <f>"2018-10-07 19:48:32"</f>
        <v>2018-10-07 19:48:32</v>
      </c>
    </row>
    <row r="20840" spans="1:7" x14ac:dyDescent="0.2">
      <c r="A20840" t="s">
        <v>19530</v>
      </c>
      <c r="B20840" t="str">
        <f>"13959871218"</f>
        <v>13959871218</v>
      </c>
      <c r="C20840" t="str">
        <f>"350521199101206025"</f>
        <v>350521199101206025</v>
      </c>
      <c r="D20840" t="s">
        <v>1</v>
      </c>
      <c r="E20840" t="s">
        <v>1</v>
      </c>
      <c r="F20840" t="s">
        <v>0</v>
      </c>
      <c r="G20840" t="str">
        <f>"2018-10-07 20:13:56"</f>
        <v>2018-10-07 20:13:56</v>
      </c>
    </row>
    <row r="20841" spans="1:7" x14ac:dyDescent="0.2">
      <c r="A20841" t="s">
        <v>19531</v>
      </c>
      <c r="B20841" t="str">
        <f>"15003959862"</f>
        <v>15003959862</v>
      </c>
      <c r="C20841" t="str">
        <f>"411123199208183028"</f>
        <v>411123199208183028</v>
      </c>
      <c r="D20841" t="s">
        <v>1</v>
      </c>
      <c r="E20841" t="s">
        <v>1</v>
      </c>
      <c r="F20841" t="s">
        <v>0</v>
      </c>
      <c r="G20841" t="str">
        <f>"2018-10-07 19:48:38"</f>
        <v>2018-10-07 19:48:38</v>
      </c>
    </row>
    <row r="20842" spans="1:7" x14ac:dyDescent="0.2">
      <c r="A20842" t="s">
        <v>1</v>
      </c>
      <c r="B20842" t="str">
        <f>"18807783783"</f>
        <v>18807783783</v>
      </c>
      <c r="C20842" t="s">
        <v>1</v>
      </c>
      <c r="D20842" t="s">
        <v>1</v>
      </c>
      <c r="E20842" t="s">
        <v>1</v>
      </c>
      <c r="F20842" t="s">
        <v>0</v>
      </c>
      <c r="G20842" t="str">
        <f>"2018-10-07 19:46:43"</f>
        <v>2018-10-07 19:46:43</v>
      </c>
    </row>
    <row r="20843" spans="1:7" x14ac:dyDescent="0.2">
      <c r="A20843" t="s">
        <v>1</v>
      </c>
      <c r="B20843" t="str">
        <f>"18321222565"</f>
        <v>18321222565</v>
      </c>
      <c r="C20843" t="s">
        <v>1</v>
      </c>
      <c r="D20843" t="s">
        <v>1</v>
      </c>
      <c r="E20843" t="s">
        <v>1</v>
      </c>
      <c r="F20843" t="s">
        <v>0</v>
      </c>
      <c r="G20843" t="str">
        <f>"2018-10-07 19:45:02"</f>
        <v>2018-10-07 19:45:02</v>
      </c>
    </row>
    <row r="20844" spans="1:7" x14ac:dyDescent="0.2">
      <c r="A20844" t="s">
        <v>8052</v>
      </c>
      <c r="B20844" t="str">
        <f>"13397117288"</f>
        <v>13397117288</v>
      </c>
      <c r="C20844" t="str">
        <f>"420106198407234019"</f>
        <v>420106198407234019</v>
      </c>
      <c r="D20844" t="s">
        <v>19532</v>
      </c>
      <c r="E20844" t="s">
        <v>19533</v>
      </c>
      <c r="F20844" t="s">
        <v>0</v>
      </c>
      <c r="G20844" t="str">
        <f>"2018-10-07 19:43:51"</f>
        <v>2018-10-07 19:43:51</v>
      </c>
    </row>
    <row r="20845" spans="1:7" x14ac:dyDescent="0.2">
      <c r="A20845" t="s">
        <v>19534</v>
      </c>
      <c r="B20845" t="str">
        <f>"17607097570"</f>
        <v>17607097570</v>
      </c>
      <c r="C20845" t="str">
        <f>"362330199708245812"</f>
        <v>362330199708245812</v>
      </c>
      <c r="D20845" t="s">
        <v>1</v>
      </c>
      <c r="E20845" t="s">
        <v>1</v>
      </c>
      <c r="F20845" t="s">
        <v>0</v>
      </c>
      <c r="G20845" t="str">
        <f>"2018-10-07 19:39:00"</f>
        <v>2018-10-07 19:39:00</v>
      </c>
    </row>
    <row r="20846" spans="1:7" x14ac:dyDescent="0.2">
      <c r="A20846" t="s">
        <v>19535</v>
      </c>
      <c r="B20846" t="str">
        <f>"13705125102"</f>
        <v>13705125102</v>
      </c>
      <c r="C20846" t="str">
        <f>"320381198611238225"</f>
        <v>320381198611238225</v>
      </c>
      <c r="D20846" t="s">
        <v>1</v>
      </c>
      <c r="E20846" t="s">
        <v>1</v>
      </c>
      <c r="F20846" t="s">
        <v>0</v>
      </c>
      <c r="G20846" t="str">
        <f>"2018-10-07 19:40:01"</f>
        <v>2018-10-07 19:40:01</v>
      </c>
    </row>
    <row r="20847" spans="1:7" x14ac:dyDescent="0.2">
      <c r="A20847" t="s">
        <v>19536</v>
      </c>
      <c r="B20847" t="str">
        <f>"15556008059"</f>
        <v>15556008059</v>
      </c>
      <c r="C20847" t="str">
        <f>"342426198612060824"</f>
        <v>342426198612060824</v>
      </c>
      <c r="D20847" t="s">
        <v>1</v>
      </c>
      <c r="E20847" t="s">
        <v>1</v>
      </c>
      <c r="F20847" t="s">
        <v>0</v>
      </c>
      <c r="G20847" t="str">
        <f>"2018-10-07 19:38:16"</f>
        <v>2018-10-07 19:38:16</v>
      </c>
    </row>
    <row r="20848" spans="1:7" x14ac:dyDescent="0.2">
      <c r="A20848" t="s">
        <v>1</v>
      </c>
      <c r="B20848" t="str">
        <f>"15752328910"</f>
        <v>15752328910</v>
      </c>
      <c r="C20848" t="s">
        <v>1</v>
      </c>
      <c r="D20848" t="s">
        <v>1</v>
      </c>
      <c r="E20848" t="s">
        <v>1</v>
      </c>
      <c r="F20848" t="s">
        <v>0</v>
      </c>
      <c r="G20848" t="str">
        <f>"2018-10-07 19:36:27"</f>
        <v>2018-10-07 19:36:27</v>
      </c>
    </row>
    <row r="20849" spans="1:7" x14ac:dyDescent="0.2">
      <c r="A20849" t="s">
        <v>19537</v>
      </c>
      <c r="B20849" t="str">
        <f>"18774776358"</f>
        <v>18774776358</v>
      </c>
      <c r="C20849" t="str">
        <f>"340621198007064488"</f>
        <v>340621198007064488</v>
      </c>
      <c r="D20849" t="s">
        <v>19538</v>
      </c>
    </row>
    <row r="20850" spans="1:7" x14ac:dyDescent="0.2">
      <c r="B20850" t="s">
        <v>19539</v>
      </c>
      <c r="C20850" t="s">
        <v>0</v>
      </c>
      <c r="D20850" t="str">
        <f>"2018-10-07 19:44:28"</f>
        <v>2018-10-07 19:44:28</v>
      </c>
    </row>
    <row r="20851" spans="1:7" x14ac:dyDescent="0.2">
      <c r="A20851" t="s">
        <v>19540</v>
      </c>
      <c r="B20851" t="str">
        <f>"13643698388"</f>
        <v>13643698388</v>
      </c>
      <c r="C20851" t="str">
        <f>"140109198112273047"</f>
        <v>140109198112273047</v>
      </c>
      <c r="D20851" t="s">
        <v>19541</v>
      </c>
      <c r="E20851" t="s">
        <v>19542</v>
      </c>
      <c r="F20851" t="s">
        <v>0</v>
      </c>
      <c r="G20851" t="str">
        <f>"2018-10-07 19:31:19"</f>
        <v>2018-10-07 19:31:19</v>
      </c>
    </row>
    <row r="20852" spans="1:7" x14ac:dyDescent="0.2">
      <c r="A20852" t="s">
        <v>19543</v>
      </c>
      <c r="B20852" t="str">
        <f>"18260247103"</f>
        <v>18260247103</v>
      </c>
      <c r="C20852" t="str">
        <f>"320922199512092010"</f>
        <v>320922199512092010</v>
      </c>
      <c r="D20852" t="s">
        <v>1</v>
      </c>
      <c r="E20852" t="s">
        <v>1</v>
      </c>
      <c r="F20852" t="s">
        <v>0</v>
      </c>
      <c r="G20852" t="str">
        <f>"2018-10-07 19:32:22"</f>
        <v>2018-10-07 19:32:22</v>
      </c>
    </row>
    <row r="20853" spans="1:7" x14ac:dyDescent="0.2">
      <c r="A20853" t="s">
        <v>19544</v>
      </c>
      <c r="B20853" t="str">
        <f>"18769519900"</f>
        <v>18769519900</v>
      </c>
      <c r="C20853" t="str">
        <f>"371402197301192618"</f>
        <v>371402197301192618</v>
      </c>
      <c r="D20853" t="s">
        <v>19545</v>
      </c>
      <c r="E20853" t="s">
        <v>19546</v>
      </c>
      <c r="F20853" t="s">
        <v>0</v>
      </c>
      <c r="G20853" t="str">
        <f>"2018-10-21 08:40:59"</f>
        <v>2018-10-21 08:40:59</v>
      </c>
    </row>
    <row r="20854" spans="1:7" x14ac:dyDescent="0.2">
      <c r="A20854" t="s">
        <v>19547</v>
      </c>
      <c r="B20854" t="str">
        <f>"18635941993"</f>
        <v>18635941993</v>
      </c>
      <c r="C20854" t="str">
        <f>"142725199304164426"</f>
        <v>142725199304164426</v>
      </c>
      <c r="D20854" t="s">
        <v>19548</v>
      </c>
      <c r="E20854" t="s">
        <v>19549</v>
      </c>
      <c r="F20854" t="s">
        <v>0</v>
      </c>
      <c r="G20854" t="str">
        <f>"2018-10-07 19:29:06"</f>
        <v>2018-10-07 19:29:06</v>
      </c>
    </row>
    <row r="20855" spans="1:7" x14ac:dyDescent="0.2">
      <c r="A20855" t="s">
        <v>19550</v>
      </c>
      <c r="B20855" t="str">
        <f>"15213761000"</f>
        <v>15213761000</v>
      </c>
      <c r="C20855" t="str">
        <f>"500241199705203914"</f>
        <v>500241199705203914</v>
      </c>
      <c r="D20855" t="s">
        <v>1</v>
      </c>
      <c r="E20855" t="s">
        <v>1</v>
      </c>
      <c r="F20855" t="s">
        <v>0</v>
      </c>
      <c r="G20855" t="str">
        <f>"2018-10-31 12:43:26"</f>
        <v>2018-10-31 12:43:26</v>
      </c>
    </row>
    <row r="20856" spans="1:7" x14ac:dyDescent="0.2">
      <c r="A20856" t="s">
        <v>1</v>
      </c>
      <c r="B20856" t="str">
        <f>"13734996825"</f>
        <v>13734996825</v>
      </c>
      <c r="C20856" t="s">
        <v>1</v>
      </c>
      <c r="D20856" t="s">
        <v>1</v>
      </c>
      <c r="E20856" t="s">
        <v>1</v>
      </c>
      <c r="F20856" t="s">
        <v>0</v>
      </c>
      <c r="G20856" t="str">
        <f>"2018-10-07 19:55:45"</f>
        <v>2018-10-07 19:55:45</v>
      </c>
    </row>
    <row r="20857" spans="1:7" x14ac:dyDescent="0.2">
      <c r="A20857" t="s">
        <v>19551</v>
      </c>
      <c r="B20857" t="str">
        <f>"18551689040"</f>
        <v>18551689040</v>
      </c>
      <c r="C20857" t="str">
        <f>"340521198302163010"</f>
        <v>340521198302163010</v>
      </c>
      <c r="D20857" t="s">
        <v>1</v>
      </c>
      <c r="E20857" t="s">
        <v>1</v>
      </c>
      <c r="F20857" t="s">
        <v>0</v>
      </c>
      <c r="G20857" t="str">
        <f>"2018-10-07 19:24:20"</f>
        <v>2018-10-07 19:24:20</v>
      </c>
    </row>
    <row r="20858" spans="1:7" x14ac:dyDescent="0.2">
      <c r="A20858" t="s">
        <v>1</v>
      </c>
      <c r="B20858" t="str">
        <f>"13695877292"</f>
        <v>13695877292</v>
      </c>
      <c r="C20858" t="s">
        <v>1</v>
      </c>
      <c r="D20858" t="s">
        <v>1</v>
      </c>
      <c r="E20858" t="s">
        <v>1</v>
      </c>
      <c r="F20858" t="s">
        <v>0</v>
      </c>
      <c r="G20858" t="str">
        <f>"2018-10-07 19:21:45"</f>
        <v>2018-10-07 19:21:45</v>
      </c>
    </row>
    <row r="20859" spans="1:7" x14ac:dyDescent="0.2">
      <c r="A20859" t="s">
        <v>1</v>
      </c>
      <c r="B20859" t="str">
        <f>"13922311431"</f>
        <v>13922311431</v>
      </c>
      <c r="C20859" t="s">
        <v>1</v>
      </c>
      <c r="D20859" t="s">
        <v>1</v>
      </c>
      <c r="E20859" t="s">
        <v>1</v>
      </c>
      <c r="F20859" t="s">
        <v>0</v>
      </c>
      <c r="G20859" t="str">
        <f>"2018-10-07 19:21:23"</f>
        <v>2018-10-07 19:21:23</v>
      </c>
    </row>
    <row r="20860" spans="1:7" x14ac:dyDescent="0.2">
      <c r="A20860" t="s">
        <v>19552</v>
      </c>
      <c r="B20860" t="str">
        <f>"13868973168"</f>
        <v>13868973168</v>
      </c>
      <c r="C20860" t="str">
        <f>"330782198604090656"</f>
        <v>330782198604090656</v>
      </c>
      <c r="D20860" t="s">
        <v>19553</v>
      </c>
      <c r="E20860" t="s">
        <v>19554</v>
      </c>
      <c r="F20860" t="s">
        <v>0</v>
      </c>
      <c r="G20860" t="str">
        <f>"2018-10-07 19:24:56"</f>
        <v>2018-10-07 19:24:56</v>
      </c>
    </row>
    <row r="20861" spans="1:7" x14ac:dyDescent="0.2">
      <c r="A20861" t="s">
        <v>19555</v>
      </c>
      <c r="B20861" t="str">
        <f>"15986224676"</f>
        <v>15986224676</v>
      </c>
      <c r="C20861" t="str">
        <f>"440982199503052758"</f>
        <v>440982199503052758</v>
      </c>
      <c r="D20861" t="s">
        <v>19556</v>
      </c>
      <c r="E20861" t="s">
        <v>19557</v>
      </c>
      <c r="F20861" t="s">
        <v>0</v>
      </c>
      <c r="G20861" t="str">
        <f>"2018-10-07 22:33:57"</f>
        <v>2018-10-07 22:33:57</v>
      </c>
    </row>
    <row r="20862" spans="1:7" x14ac:dyDescent="0.2">
      <c r="A20862" t="s">
        <v>1</v>
      </c>
      <c r="B20862" t="str">
        <f>"18668706197"</f>
        <v>18668706197</v>
      </c>
      <c r="C20862" t="s">
        <v>1</v>
      </c>
      <c r="D20862" t="s">
        <v>1</v>
      </c>
      <c r="E20862" t="s">
        <v>1</v>
      </c>
      <c r="F20862" t="s">
        <v>0</v>
      </c>
      <c r="G20862" t="str">
        <f>"2018-10-07 19:16:37"</f>
        <v>2018-10-07 19:16:37</v>
      </c>
    </row>
    <row r="20863" spans="1:7" x14ac:dyDescent="0.2">
      <c r="A20863" t="s">
        <v>1</v>
      </c>
      <c r="B20863" t="str">
        <f>"15860932012"</f>
        <v>15860932012</v>
      </c>
      <c r="C20863" t="s">
        <v>1</v>
      </c>
      <c r="D20863" t="s">
        <v>1</v>
      </c>
      <c r="E20863" t="s">
        <v>1</v>
      </c>
      <c r="F20863" t="s">
        <v>0</v>
      </c>
      <c r="G20863" t="str">
        <f>"2018-10-07 19:16:25"</f>
        <v>2018-10-07 19:16:25</v>
      </c>
    </row>
    <row r="20864" spans="1:7" x14ac:dyDescent="0.2">
      <c r="A20864" t="s">
        <v>19558</v>
      </c>
      <c r="B20864" t="str">
        <f>"18057115084"</f>
        <v>18057115084</v>
      </c>
      <c r="C20864" t="str">
        <f>"339005198707083018"</f>
        <v>339005198707083018</v>
      </c>
      <c r="D20864" t="s">
        <v>1</v>
      </c>
      <c r="E20864" t="s">
        <v>1</v>
      </c>
      <c r="F20864" t="s">
        <v>0</v>
      </c>
      <c r="G20864" t="str">
        <f>"2018-10-07 19:18:37"</f>
        <v>2018-10-07 19:18:37</v>
      </c>
    </row>
    <row r="20865" spans="1:7" x14ac:dyDescent="0.2">
      <c r="A20865" t="s">
        <v>19559</v>
      </c>
      <c r="B20865" t="str">
        <f>"15848044383"</f>
        <v>15848044383</v>
      </c>
      <c r="C20865" t="str">
        <f>"152601199306100616"</f>
        <v>152601199306100616</v>
      </c>
      <c r="D20865" t="s">
        <v>19560</v>
      </c>
      <c r="E20865" t="s">
        <v>19561</v>
      </c>
      <c r="F20865" t="s">
        <v>0</v>
      </c>
      <c r="G20865" t="str">
        <f>"2018-10-07 19:16:59"</f>
        <v>2018-10-07 19:16:59</v>
      </c>
    </row>
    <row r="20866" spans="1:7" x14ac:dyDescent="0.2">
      <c r="A20866" t="s">
        <v>19562</v>
      </c>
      <c r="B20866" t="str">
        <f>"13104801197"</f>
        <v>13104801197</v>
      </c>
      <c r="C20866" t="str">
        <f>"445381199411103410"</f>
        <v>445381199411103410</v>
      </c>
      <c r="D20866" t="s">
        <v>19563</v>
      </c>
      <c r="E20866" t="s">
        <v>19564</v>
      </c>
      <c r="F20866" t="s">
        <v>0</v>
      </c>
      <c r="G20866" t="str">
        <f>"2018-10-07 19:16:27"</f>
        <v>2018-10-07 19:16:27</v>
      </c>
    </row>
    <row r="20867" spans="1:7" x14ac:dyDescent="0.2">
      <c r="A20867" t="s">
        <v>19565</v>
      </c>
      <c r="B20867" t="str">
        <f>"13807913212"</f>
        <v>13807913212</v>
      </c>
      <c r="C20867" t="str">
        <f>"36011119700203211X"</f>
        <v>36011119700203211X</v>
      </c>
      <c r="D20867" t="s">
        <v>19566</v>
      </c>
      <c r="E20867" t="s">
        <v>19567</v>
      </c>
      <c r="F20867" t="s">
        <v>0</v>
      </c>
      <c r="G20867" t="str">
        <f>"2018-10-18 13:33:13"</f>
        <v>2018-10-18 13:33:13</v>
      </c>
    </row>
    <row r="20868" spans="1:7" x14ac:dyDescent="0.2">
      <c r="A20868" t="s">
        <v>19568</v>
      </c>
      <c r="B20868" t="str">
        <f>"13952557254"</f>
        <v>13952557254</v>
      </c>
      <c r="C20868" t="str">
        <f>"321084198905130424"</f>
        <v>321084198905130424</v>
      </c>
      <c r="D20868" t="s">
        <v>1</v>
      </c>
      <c r="E20868" t="s">
        <v>1</v>
      </c>
      <c r="F20868" t="s">
        <v>0</v>
      </c>
      <c r="G20868" t="str">
        <f>"2018-10-07 19:18:20"</f>
        <v>2018-10-07 19:18:20</v>
      </c>
    </row>
    <row r="20869" spans="1:7" x14ac:dyDescent="0.2">
      <c r="A20869" t="s">
        <v>19569</v>
      </c>
      <c r="B20869" t="str">
        <f>"13690977840"</f>
        <v>13690977840</v>
      </c>
      <c r="C20869" t="str">
        <f>"441625198102187814"</f>
        <v>441625198102187814</v>
      </c>
      <c r="D20869" t="s">
        <v>19570</v>
      </c>
      <c r="E20869" t="s">
        <v>19571</v>
      </c>
      <c r="F20869" t="s">
        <v>0</v>
      </c>
      <c r="G20869" t="str">
        <f>"2018-10-27 08:19:43"</f>
        <v>2018-10-27 08:19:43</v>
      </c>
    </row>
    <row r="20870" spans="1:7" x14ac:dyDescent="0.2">
      <c r="A20870" t="s">
        <v>19572</v>
      </c>
      <c r="B20870" t="str">
        <f>"15294102772"</f>
        <v>15294102772</v>
      </c>
      <c r="C20870" t="str">
        <f>"622626199802080431"</f>
        <v>622626199802080431</v>
      </c>
      <c r="D20870" t="s">
        <v>1</v>
      </c>
      <c r="E20870" t="s">
        <v>1</v>
      </c>
      <c r="F20870" t="s">
        <v>0</v>
      </c>
      <c r="G20870" t="str">
        <f>"2018-10-07 19:09:16"</f>
        <v>2018-10-07 19:09:16</v>
      </c>
    </row>
    <row r="20871" spans="1:7" x14ac:dyDescent="0.2">
      <c r="A20871" t="s">
        <v>1</v>
      </c>
      <c r="B20871" t="str">
        <f>"18597605901"</f>
        <v>18597605901</v>
      </c>
      <c r="C20871" t="s">
        <v>1</v>
      </c>
      <c r="D20871" t="s">
        <v>1</v>
      </c>
      <c r="E20871" t="s">
        <v>1</v>
      </c>
      <c r="F20871" t="s">
        <v>0</v>
      </c>
      <c r="G20871" t="str">
        <f>"2018-10-07 19:06:16"</f>
        <v>2018-10-07 19:06:16</v>
      </c>
    </row>
    <row r="20872" spans="1:7" x14ac:dyDescent="0.2">
      <c r="A20872" t="s">
        <v>1</v>
      </c>
      <c r="B20872" t="str">
        <f>"17346606813"</f>
        <v>17346606813</v>
      </c>
      <c r="C20872" t="s">
        <v>1</v>
      </c>
      <c r="D20872" t="s">
        <v>1</v>
      </c>
      <c r="E20872" t="s">
        <v>1</v>
      </c>
      <c r="F20872" t="s">
        <v>0</v>
      </c>
      <c r="G20872" t="str">
        <f>"2018-10-07 19:08:00"</f>
        <v>2018-10-07 19:08:00</v>
      </c>
    </row>
    <row r="20873" spans="1:7" x14ac:dyDescent="0.2">
      <c r="A20873" t="s">
        <v>19573</v>
      </c>
      <c r="B20873" t="str">
        <f>"13665783281"</f>
        <v>13665783281</v>
      </c>
      <c r="C20873" t="str">
        <f>"360424199605084311"</f>
        <v>360424199605084311</v>
      </c>
      <c r="D20873" t="s">
        <v>19574</v>
      </c>
      <c r="E20873" t="s">
        <v>19575</v>
      </c>
      <c r="F20873" t="s">
        <v>0</v>
      </c>
      <c r="G20873" t="str">
        <f>"2018-10-07 19:11:51"</f>
        <v>2018-10-07 19:11:51</v>
      </c>
    </row>
    <row r="20874" spans="1:7" x14ac:dyDescent="0.2">
      <c r="A20874" t="s">
        <v>19576</v>
      </c>
      <c r="B20874" t="str">
        <f>"18697985396"</f>
        <v>18697985396</v>
      </c>
      <c r="C20874" t="str">
        <f>"450111198810083325"</f>
        <v>450111198810083325</v>
      </c>
      <c r="D20874" t="s">
        <v>1</v>
      </c>
      <c r="E20874" t="s">
        <v>1</v>
      </c>
      <c r="F20874" t="s">
        <v>0</v>
      </c>
      <c r="G20874" t="str">
        <f>"2018-10-07 19:04:25"</f>
        <v>2018-10-07 19:04:25</v>
      </c>
    </row>
    <row r="20875" spans="1:7" x14ac:dyDescent="0.2">
      <c r="A20875" t="s">
        <v>1</v>
      </c>
      <c r="B20875" t="str">
        <f>"13856071942"</f>
        <v>13856071942</v>
      </c>
      <c r="C20875" t="s">
        <v>1</v>
      </c>
      <c r="D20875" t="s">
        <v>1</v>
      </c>
      <c r="E20875" t="s">
        <v>1</v>
      </c>
      <c r="F20875" t="s">
        <v>0</v>
      </c>
      <c r="G20875" t="str">
        <f>"2018-10-27 18:30:50"</f>
        <v>2018-10-27 18:30:50</v>
      </c>
    </row>
    <row r="20876" spans="1:7" x14ac:dyDescent="0.2">
      <c r="A20876" t="s">
        <v>19577</v>
      </c>
      <c r="B20876" t="str">
        <f>"18437896166"</f>
        <v>18437896166</v>
      </c>
      <c r="C20876" t="str">
        <f>"410222199310052532"</f>
        <v>410222199310052532</v>
      </c>
      <c r="D20876" t="s">
        <v>1</v>
      </c>
      <c r="E20876" t="s">
        <v>1</v>
      </c>
      <c r="F20876" t="s">
        <v>0</v>
      </c>
      <c r="G20876" t="str">
        <f>"2018-10-07 19:02:37"</f>
        <v>2018-10-07 19:02:37</v>
      </c>
    </row>
    <row r="20877" spans="1:7" x14ac:dyDescent="0.2">
      <c r="A20877" t="s">
        <v>1</v>
      </c>
      <c r="B20877" t="str">
        <f>"15217768667"</f>
        <v>15217768667</v>
      </c>
      <c r="C20877" t="s">
        <v>1</v>
      </c>
      <c r="D20877" t="s">
        <v>1</v>
      </c>
      <c r="E20877" t="s">
        <v>1</v>
      </c>
      <c r="F20877" t="s">
        <v>0</v>
      </c>
      <c r="G20877" t="str">
        <f>"2018-10-07 19:00:20"</f>
        <v>2018-10-07 19:00:20</v>
      </c>
    </row>
    <row r="20878" spans="1:7" x14ac:dyDescent="0.2">
      <c r="A20878" t="s">
        <v>19578</v>
      </c>
      <c r="B20878" t="str">
        <f>"14704567773"</f>
        <v>14704567773</v>
      </c>
      <c r="C20878" t="str">
        <f>"231121198406180011"</f>
        <v>231121198406180011</v>
      </c>
      <c r="D20878" t="s">
        <v>1</v>
      </c>
      <c r="E20878" t="s">
        <v>1</v>
      </c>
      <c r="F20878" t="s">
        <v>0</v>
      </c>
      <c r="G20878" t="str">
        <f>"2018-10-07 19:01:36"</f>
        <v>2018-10-07 19:01:36</v>
      </c>
    </row>
    <row r="20879" spans="1:7" x14ac:dyDescent="0.2">
      <c r="A20879" t="s">
        <v>1</v>
      </c>
      <c r="B20879" t="str">
        <f>"15060952053"</f>
        <v>15060952053</v>
      </c>
      <c r="C20879" t="s">
        <v>1</v>
      </c>
      <c r="D20879" t="s">
        <v>1</v>
      </c>
      <c r="E20879" t="s">
        <v>1</v>
      </c>
      <c r="F20879" t="s">
        <v>0</v>
      </c>
      <c r="G20879" t="str">
        <f>"2018-10-07 18:59:19"</f>
        <v>2018-10-07 18:59:19</v>
      </c>
    </row>
    <row r="20880" spans="1:7" x14ac:dyDescent="0.2">
      <c r="A20880" t="s">
        <v>19579</v>
      </c>
      <c r="B20880" t="str">
        <f>"13763859490"</f>
        <v>13763859490</v>
      </c>
      <c r="C20880" t="str">
        <f>"350783198411127010"</f>
        <v>350783198411127010</v>
      </c>
      <c r="D20880" t="s">
        <v>19580</v>
      </c>
      <c r="E20880" t="s">
        <v>19581</v>
      </c>
      <c r="F20880" t="s">
        <v>0</v>
      </c>
      <c r="G20880" t="str">
        <f>"2018-10-07 19:05:44"</f>
        <v>2018-10-07 19:05:44</v>
      </c>
    </row>
    <row r="20881" spans="1:7" x14ac:dyDescent="0.2">
      <c r="A20881" t="s">
        <v>19582</v>
      </c>
      <c r="B20881" t="str">
        <f>"15160730953"</f>
        <v>15160730953</v>
      </c>
      <c r="C20881" t="str">
        <f>"350212198808155535"</f>
        <v>350212198808155535</v>
      </c>
      <c r="D20881" t="s">
        <v>1</v>
      </c>
      <c r="E20881" t="s">
        <v>1</v>
      </c>
      <c r="F20881" t="s">
        <v>0</v>
      </c>
      <c r="G20881" t="str">
        <f>"2018-10-07 18:59:18"</f>
        <v>2018-10-07 18:59:18</v>
      </c>
    </row>
    <row r="20882" spans="1:7" x14ac:dyDescent="0.2">
      <c r="A20882" t="s">
        <v>19583</v>
      </c>
      <c r="B20882" t="str">
        <f>"13402748221"</f>
        <v>13402748221</v>
      </c>
      <c r="C20882" t="str">
        <f>"422826198708074034"</f>
        <v>422826198708074034</v>
      </c>
      <c r="D20882" t="s">
        <v>19584</v>
      </c>
      <c r="E20882" t="s">
        <v>19585</v>
      </c>
      <c r="F20882" t="s">
        <v>0</v>
      </c>
      <c r="G20882" t="str">
        <f>"2018-10-07 18:57:33"</f>
        <v>2018-10-07 18:57:33</v>
      </c>
    </row>
    <row r="20883" spans="1:7" x14ac:dyDescent="0.2">
      <c r="A20883" t="s">
        <v>1</v>
      </c>
      <c r="B20883" t="str">
        <f>"15382808398"</f>
        <v>15382808398</v>
      </c>
      <c r="C20883" t="s">
        <v>1</v>
      </c>
      <c r="D20883" t="s">
        <v>1</v>
      </c>
      <c r="E20883" t="s">
        <v>1</v>
      </c>
      <c r="F20883" t="s">
        <v>0</v>
      </c>
      <c r="G20883" t="str">
        <f>"2018-10-07 18:55:45"</f>
        <v>2018-10-07 18:55:45</v>
      </c>
    </row>
    <row r="20884" spans="1:7" x14ac:dyDescent="0.2">
      <c r="A20884" t="s">
        <v>19586</v>
      </c>
      <c r="B20884" t="str">
        <f>"13861604435"</f>
        <v>13861604435</v>
      </c>
      <c r="C20884" t="str">
        <f>"320281198902065525"</f>
        <v>320281198902065525</v>
      </c>
      <c r="D20884" t="s">
        <v>1</v>
      </c>
      <c r="E20884" t="s">
        <v>1</v>
      </c>
      <c r="F20884" t="s">
        <v>0</v>
      </c>
      <c r="G20884" t="str">
        <f>"2018-10-10 15:16:51"</f>
        <v>2018-10-10 15:16:51</v>
      </c>
    </row>
    <row r="20885" spans="1:7" x14ac:dyDescent="0.2">
      <c r="A20885" t="s">
        <v>19587</v>
      </c>
      <c r="B20885" t="str">
        <f>"18088236727"</f>
        <v>18088236727</v>
      </c>
      <c r="C20885" t="str">
        <f>"530381199303160933"</f>
        <v>530381199303160933</v>
      </c>
      <c r="D20885" t="s">
        <v>1</v>
      </c>
      <c r="E20885" t="s">
        <v>1</v>
      </c>
      <c r="F20885" t="s">
        <v>0</v>
      </c>
      <c r="G20885" t="str">
        <f>"2018-10-09 09:51:06"</f>
        <v>2018-10-09 09:51:06</v>
      </c>
    </row>
    <row r="20886" spans="1:7" x14ac:dyDescent="0.2">
      <c r="A20886" t="s">
        <v>1</v>
      </c>
      <c r="B20886" t="str">
        <f>"15365699266"</f>
        <v>15365699266</v>
      </c>
      <c r="C20886" t="s">
        <v>1</v>
      </c>
      <c r="D20886" t="s">
        <v>1</v>
      </c>
      <c r="E20886" t="s">
        <v>1</v>
      </c>
      <c r="F20886" t="s">
        <v>0</v>
      </c>
      <c r="G20886" t="str">
        <f>"2018-10-07 18:52:24"</f>
        <v>2018-10-07 18:52:24</v>
      </c>
    </row>
    <row r="20887" spans="1:7" x14ac:dyDescent="0.2">
      <c r="A20887" t="s">
        <v>1</v>
      </c>
      <c r="B20887" t="str">
        <f>"13025816094"</f>
        <v>13025816094</v>
      </c>
      <c r="C20887" t="s">
        <v>1</v>
      </c>
      <c r="D20887" t="s">
        <v>1</v>
      </c>
      <c r="E20887" t="s">
        <v>1</v>
      </c>
      <c r="F20887" t="s">
        <v>0</v>
      </c>
      <c r="G20887" t="str">
        <f>"2018-10-07 18:50:20"</f>
        <v>2018-10-07 18:50:20</v>
      </c>
    </row>
    <row r="20888" spans="1:7" x14ac:dyDescent="0.2">
      <c r="A20888" t="s">
        <v>19588</v>
      </c>
      <c r="B20888" t="str">
        <f>"15986943941"</f>
        <v>15986943941</v>
      </c>
      <c r="C20888" t="str">
        <f>"441223199805033811"</f>
        <v>441223199805033811</v>
      </c>
      <c r="D20888" t="s">
        <v>19589</v>
      </c>
      <c r="E20888" t="s">
        <v>19590</v>
      </c>
      <c r="F20888" t="s">
        <v>0</v>
      </c>
      <c r="G20888" t="str">
        <f>"2018-10-07 18:52:04"</f>
        <v>2018-10-07 18:52:04</v>
      </c>
    </row>
    <row r="20889" spans="1:7" x14ac:dyDescent="0.2">
      <c r="A20889" t="s">
        <v>19591</v>
      </c>
      <c r="B20889" t="str">
        <f>"13629857211"</f>
        <v>13629857211</v>
      </c>
      <c r="C20889" t="str">
        <f>"410823198210047132"</f>
        <v>410823198210047132</v>
      </c>
      <c r="D20889" t="s">
        <v>1</v>
      </c>
      <c r="E20889" t="s">
        <v>1</v>
      </c>
      <c r="F20889" t="s">
        <v>0</v>
      </c>
      <c r="G20889" t="str">
        <f>"2018-10-09 20:41:14"</f>
        <v>2018-10-09 20:41:14</v>
      </c>
    </row>
    <row r="20890" spans="1:7" x14ac:dyDescent="0.2">
      <c r="A20890" t="s">
        <v>19592</v>
      </c>
      <c r="B20890" t="str">
        <f>"18389104383"</f>
        <v>18389104383</v>
      </c>
      <c r="C20890" t="str">
        <f>"231084197807093723"</f>
        <v>231084197807093723</v>
      </c>
      <c r="D20890" t="s">
        <v>19593</v>
      </c>
      <c r="E20890" t="s">
        <v>19594</v>
      </c>
      <c r="F20890" t="s">
        <v>0</v>
      </c>
      <c r="G20890" t="str">
        <f>"2018-10-07 18:45:00"</f>
        <v>2018-10-07 18:45:00</v>
      </c>
    </row>
    <row r="20891" spans="1:7" x14ac:dyDescent="0.2">
      <c r="A20891" t="s">
        <v>19595</v>
      </c>
      <c r="B20891" t="str">
        <f>"18915134848"</f>
        <v>18915134848</v>
      </c>
      <c r="C20891" t="str">
        <f>"320826200006141217"</f>
        <v>320826200006141217</v>
      </c>
      <c r="D20891" t="s">
        <v>1</v>
      </c>
      <c r="E20891" t="s">
        <v>1</v>
      </c>
      <c r="F20891" t="s">
        <v>0</v>
      </c>
      <c r="G20891" t="str">
        <f>"2018-10-07 18:41:16"</f>
        <v>2018-10-07 18:41:16</v>
      </c>
    </row>
    <row r="20892" spans="1:7" x14ac:dyDescent="0.2">
      <c r="A20892" t="s">
        <v>19596</v>
      </c>
      <c r="B20892" t="str">
        <f>"18580508604"</f>
        <v>18580508604</v>
      </c>
      <c r="C20892" t="str">
        <f>"420923199403030056"</f>
        <v>420923199403030056</v>
      </c>
      <c r="D20892" t="s">
        <v>1</v>
      </c>
      <c r="E20892" t="s">
        <v>1</v>
      </c>
      <c r="F20892" t="s">
        <v>0</v>
      </c>
      <c r="G20892" t="str">
        <f>"2018-10-07 18:48:25"</f>
        <v>2018-10-07 18:48:25</v>
      </c>
    </row>
    <row r="20893" spans="1:7" x14ac:dyDescent="0.2">
      <c r="A20893" t="s">
        <v>1</v>
      </c>
      <c r="B20893" t="str">
        <f>"18863009018"</f>
        <v>18863009018</v>
      </c>
      <c r="C20893" t="s">
        <v>1</v>
      </c>
      <c r="D20893" t="s">
        <v>1</v>
      </c>
      <c r="E20893" t="s">
        <v>1</v>
      </c>
      <c r="F20893" t="s">
        <v>0</v>
      </c>
      <c r="G20893" t="str">
        <f>"2018-10-07 18:38:14"</f>
        <v>2018-10-07 18:38:14</v>
      </c>
    </row>
    <row r="20894" spans="1:7" x14ac:dyDescent="0.2">
      <c r="A20894" t="s">
        <v>19597</v>
      </c>
      <c r="B20894" t="str">
        <f>"13202840646"</f>
        <v>13202840646</v>
      </c>
      <c r="C20894" t="str">
        <f>"421023199805122457"</f>
        <v>421023199805122457</v>
      </c>
      <c r="D20894" t="s">
        <v>1</v>
      </c>
      <c r="E20894" t="s">
        <v>1</v>
      </c>
      <c r="F20894" t="s">
        <v>0</v>
      </c>
      <c r="G20894" t="str">
        <f>"2018-10-07 18:38:43"</f>
        <v>2018-10-07 18:38:43</v>
      </c>
    </row>
    <row r="20895" spans="1:7" x14ac:dyDescent="0.2">
      <c r="A20895" t="s">
        <v>19598</v>
      </c>
      <c r="B20895" t="str">
        <f>"18983767848"</f>
        <v>18983767848</v>
      </c>
      <c r="C20895" t="str">
        <f>"510802197009010511"</f>
        <v>510802197009010511</v>
      </c>
      <c r="D20895" t="s">
        <v>1</v>
      </c>
      <c r="E20895" t="s">
        <v>1</v>
      </c>
      <c r="F20895" t="s">
        <v>0</v>
      </c>
      <c r="G20895" t="str">
        <f>"2018-10-07 18:44:57"</f>
        <v>2018-10-07 18:44:57</v>
      </c>
    </row>
    <row r="20896" spans="1:7" x14ac:dyDescent="0.2">
      <c r="A20896" t="s">
        <v>1</v>
      </c>
      <c r="B20896" t="str">
        <f>"15860694896"</f>
        <v>15860694896</v>
      </c>
      <c r="C20896" t="s">
        <v>1</v>
      </c>
      <c r="D20896" t="s">
        <v>1</v>
      </c>
      <c r="E20896" t="s">
        <v>1</v>
      </c>
      <c r="F20896" t="s">
        <v>0</v>
      </c>
      <c r="G20896" t="str">
        <f>"2018-10-07 18:34:58"</f>
        <v>2018-10-07 18:34:58</v>
      </c>
    </row>
    <row r="20897" spans="1:7" x14ac:dyDescent="0.2">
      <c r="A20897" t="s">
        <v>2335</v>
      </c>
      <c r="B20897" t="str">
        <f>"15125617063"</f>
        <v>15125617063</v>
      </c>
      <c r="C20897" t="str">
        <f>"532722199709141314"</f>
        <v>532722199709141314</v>
      </c>
      <c r="D20897" t="s">
        <v>19599</v>
      </c>
      <c r="E20897" t="s">
        <v>19600</v>
      </c>
      <c r="F20897" t="s">
        <v>0</v>
      </c>
      <c r="G20897" t="str">
        <f>"2018-10-07 18:34:35"</f>
        <v>2018-10-07 18:34:35</v>
      </c>
    </row>
    <row r="20898" spans="1:7" x14ac:dyDescent="0.2">
      <c r="A20898" t="s">
        <v>1</v>
      </c>
      <c r="B20898" t="str">
        <f>"15145454683"</f>
        <v>15145454683</v>
      </c>
      <c r="C20898" t="s">
        <v>1</v>
      </c>
      <c r="D20898" t="s">
        <v>1</v>
      </c>
      <c r="E20898" t="s">
        <v>1</v>
      </c>
      <c r="F20898" t="s">
        <v>0</v>
      </c>
      <c r="G20898" t="str">
        <f>"2018-10-07 18:29:25"</f>
        <v>2018-10-07 18:29:25</v>
      </c>
    </row>
    <row r="20899" spans="1:7" x14ac:dyDescent="0.2">
      <c r="A20899" t="s">
        <v>19601</v>
      </c>
      <c r="B20899" t="str">
        <f>"18787952201"</f>
        <v>18787952201</v>
      </c>
      <c r="C20899" t="str">
        <f>"532822199201013528"</f>
        <v>532822199201013528</v>
      </c>
      <c r="D20899" t="s">
        <v>1</v>
      </c>
      <c r="E20899" t="s">
        <v>1</v>
      </c>
      <c r="F20899" t="s">
        <v>0</v>
      </c>
      <c r="G20899" t="str">
        <f>"2018-10-07 22:35:47"</f>
        <v>2018-10-07 22:35:47</v>
      </c>
    </row>
    <row r="20900" spans="1:7" x14ac:dyDescent="0.2">
      <c r="A20900" t="s">
        <v>19602</v>
      </c>
      <c r="B20900" t="str">
        <f>"15555500192"</f>
        <v>15555500192</v>
      </c>
      <c r="C20900" t="str">
        <f>"341021199009120036"</f>
        <v>341021199009120036</v>
      </c>
      <c r="D20900" t="s">
        <v>1</v>
      </c>
      <c r="E20900" t="s">
        <v>1</v>
      </c>
      <c r="F20900" t="s">
        <v>0</v>
      </c>
      <c r="G20900" t="str">
        <f>"2018-10-07 18:48:24"</f>
        <v>2018-10-07 18:48:24</v>
      </c>
    </row>
    <row r="20901" spans="1:7" x14ac:dyDescent="0.2">
      <c r="A20901" t="s">
        <v>19603</v>
      </c>
      <c r="B20901" t="str">
        <f>"13759539229"</f>
        <v>13759539229</v>
      </c>
      <c r="C20901" t="str">
        <f>"222424198409023112"</f>
        <v>222424198409023112</v>
      </c>
      <c r="D20901" t="s">
        <v>19604</v>
      </c>
      <c r="E20901" t="s">
        <v>19605</v>
      </c>
      <c r="F20901" t="s">
        <v>0</v>
      </c>
      <c r="G20901" t="str">
        <f>"2018-10-07 18:24:11"</f>
        <v>2018-10-07 18:24:11</v>
      </c>
    </row>
    <row r="20902" spans="1:7" x14ac:dyDescent="0.2">
      <c r="A20902" t="s">
        <v>19606</v>
      </c>
      <c r="B20902" t="str">
        <f>"18071138052"</f>
        <v>18071138052</v>
      </c>
      <c r="C20902" t="str">
        <f>"420122198009220033"</f>
        <v>420122198009220033</v>
      </c>
      <c r="D20902" t="s">
        <v>19607</v>
      </c>
      <c r="E20902" t="s">
        <v>19608</v>
      </c>
      <c r="F20902" t="s">
        <v>0</v>
      </c>
      <c r="G20902" t="str">
        <f>"2018-10-07 18:22:01"</f>
        <v>2018-10-07 18:22:01</v>
      </c>
    </row>
    <row r="20903" spans="1:7" x14ac:dyDescent="0.2">
      <c r="A20903" t="s">
        <v>19609</v>
      </c>
      <c r="B20903" t="str">
        <f>"15733680870"</f>
        <v>15733680870</v>
      </c>
      <c r="C20903" t="str">
        <f>"131024198804234417"</f>
        <v>131024198804234417</v>
      </c>
      <c r="D20903" t="s">
        <v>19610</v>
      </c>
      <c r="E20903" t="s">
        <v>19611</v>
      </c>
      <c r="F20903" t="s">
        <v>0</v>
      </c>
      <c r="G20903" t="str">
        <f>"2018-10-07 18:17:13"</f>
        <v>2018-10-07 18:17:13</v>
      </c>
    </row>
    <row r="20904" spans="1:7" x14ac:dyDescent="0.2">
      <c r="A20904" t="s">
        <v>19612</v>
      </c>
      <c r="B20904" t="str">
        <f>"15902294355"</f>
        <v>15902294355</v>
      </c>
      <c r="C20904" t="str">
        <f>"120109198112264518"</f>
        <v>120109198112264518</v>
      </c>
      <c r="D20904" t="s">
        <v>1</v>
      </c>
      <c r="E20904" t="s">
        <v>1</v>
      </c>
      <c r="F20904" t="s">
        <v>0</v>
      </c>
      <c r="G20904" t="str">
        <f>"2018-10-07 18:17:03"</f>
        <v>2018-10-07 18:17:03</v>
      </c>
    </row>
    <row r="20905" spans="1:7" x14ac:dyDescent="0.2">
      <c r="A20905" t="s">
        <v>1</v>
      </c>
      <c r="B20905" t="str">
        <f>"18941116600"</f>
        <v>18941116600</v>
      </c>
      <c r="C20905" t="s">
        <v>1</v>
      </c>
      <c r="D20905" t="s">
        <v>1</v>
      </c>
      <c r="E20905" t="s">
        <v>1</v>
      </c>
      <c r="F20905" t="s">
        <v>0</v>
      </c>
      <c r="G20905" t="str">
        <f>"2018-10-07 18:15:20"</f>
        <v>2018-10-07 18:15:20</v>
      </c>
    </row>
    <row r="20906" spans="1:7" x14ac:dyDescent="0.2">
      <c r="A20906" t="s">
        <v>19613</v>
      </c>
      <c r="B20906" t="str">
        <f>"17640637871"</f>
        <v>17640637871</v>
      </c>
      <c r="C20906" t="str">
        <f>"211422199902033815"</f>
        <v>211422199902033815</v>
      </c>
      <c r="D20906" t="s">
        <v>19614</v>
      </c>
      <c r="E20906" t="s">
        <v>19615</v>
      </c>
      <c r="F20906" t="s">
        <v>0</v>
      </c>
      <c r="G20906" t="str">
        <f>"2018-10-07 18:16:24"</f>
        <v>2018-10-07 18:16:24</v>
      </c>
    </row>
    <row r="20907" spans="1:7" x14ac:dyDescent="0.2">
      <c r="A20907" t="s">
        <v>19616</v>
      </c>
      <c r="B20907" t="str">
        <f>"15181003600"</f>
        <v>15181003600</v>
      </c>
      <c r="C20907" t="str">
        <f>"510682199108161999"</f>
        <v>510682199108161999</v>
      </c>
      <c r="D20907" t="s">
        <v>1</v>
      </c>
      <c r="E20907" t="s">
        <v>1</v>
      </c>
      <c r="F20907" t="s">
        <v>0</v>
      </c>
      <c r="G20907" t="str">
        <f>"2018-10-07 18:09:40"</f>
        <v>2018-10-07 18:09:40</v>
      </c>
    </row>
    <row r="20908" spans="1:7" x14ac:dyDescent="0.2">
      <c r="A20908" t="s">
        <v>19617</v>
      </c>
      <c r="B20908" t="str">
        <f>"15577989010"</f>
        <v>15577989010</v>
      </c>
      <c r="C20908" t="str">
        <f>"142622198310144211"</f>
        <v>142622198310144211</v>
      </c>
      <c r="D20908" t="s">
        <v>1</v>
      </c>
      <c r="E20908" t="s">
        <v>1</v>
      </c>
      <c r="F20908" t="s">
        <v>0</v>
      </c>
      <c r="G20908" t="str">
        <f>"2018-10-07 18:07:59"</f>
        <v>2018-10-07 18:07:59</v>
      </c>
    </row>
    <row r="20909" spans="1:7" x14ac:dyDescent="0.2">
      <c r="A20909" t="s">
        <v>1</v>
      </c>
      <c r="B20909" t="str">
        <f>"18573040348"</f>
        <v>18573040348</v>
      </c>
      <c r="C20909" t="s">
        <v>1</v>
      </c>
      <c r="D20909" t="s">
        <v>1</v>
      </c>
      <c r="E20909" t="s">
        <v>1</v>
      </c>
      <c r="F20909" t="s">
        <v>0</v>
      </c>
      <c r="G20909" t="str">
        <f>"2018-10-07 18:07:53"</f>
        <v>2018-10-07 18:07:53</v>
      </c>
    </row>
    <row r="20910" spans="1:7" x14ac:dyDescent="0.2">
      <c r="A20910" t="s">
        <v>19618</v>
      </c>
      <c r="B20910" t="str">
        <f>"18602860601"</f>
        <v>18602860601</v>
      </c>
      <c r="C20910" t="str">
        <f>"51030219740104003X"</f>
        <v>51030219740104003X</v>
      </c>
      <c r="D20910" t="s">
        <v>1</v>
      </c>
      <c r="E20910" t="s">
        <v>1</v>
      </c>
      <c r="F20910" t="s">
        <v>0</v>
      </c>
      <c r="G20910" t="str">
        <f>"2018-10-22 14:54:15"</f>
        <v>2018-10-22 14:54:15</v>
      </c>
    </row>
    <row r="20911" spans="1:7" x14ac:dyDescent="0.2">
      <c r="A20911" t="s">
        <v>19619</v>
      </c>
      <c r="B20911" t="str">
        <f>"18487338274"</f>
        <v>18487338274</v>
      </c>
      <c r="C20911" t="str">
        <f>"532527199407052659"</f>
        <v>532527199407052659</v>
      </c>
      <c r="D20911" t="s">
        <v>1</v>
      </c>
      <c r="E20911" t="s">
        <v>1</v>
      </c>
      <c r="F20911" t="s">
        <v>0</v>
      </c>
      <c r="G20911" t="str">
        <f>"2018-10-07 18:07:34"</f>
        <v>2018-10-07 18:07:34</v>
      </c>
    </row>
    <row r="20912" spans="1:7" x14ac:dyDescent="0.2">
      <c r="A20912" t="s">
        <v>19620</v>
      </c>
      <c r="B20912" t="str">
        <f>"17603445240"</f>
        <v>17603445240</v>
      </c>
      <c r="C20912" t="str">
        <f>"142402197009213213"</f>
        <v>142402197009213213</v>
      </c>
      <c r="D20912" t="s">
        <v>1</v>
      </c>
      <c r="E20912" t="s">
        <v>1</v>
      </c>
      <c r="F20912" t="s">
        <v>0</v>
      </c>
      <c r="G20912" t="str">
        <f>"2018-10-07 18:08:37"</f>
        <v>2018-10-07 18:08:37</v>
      </c>
    </row>
    <row r="20913" spans="1:7" x14ac:dyDescent="0.2">
      <c r="A20913" t="s">
        <v>19621</v>
      </c>
      <c r="B20913" t="str">
        <f>"13469392991"</f>
        <v>13469392991</v>
      </c>
      <c r="C20913" t="str">
        <f>"431125199302213138"</f>
        <v>431125199302213138</v>
      </c>
      <c r="D20913" t="s">
        <v>1</v>
      </c>
      <c r="E20913" t="s">
        <v>1</v>
      </c>
      <c r="F20913" t="s">
        <v>0</v>
      </c>
      <c r="G20913" t="str">
        <f>"2018-10-07 18:04:04"</f>
        <v>2018-10-07 18:04:04</v>
      </c>
    </row>
    <row r="20914" spans="1:7" x14ac:dyDescent="0.2">
      <c r="A20914" t="s">
        <v>1074</v>
      </c>
      <c r="B20914" t="str">
        <f>"18071666807"</f>
        <v>18071666807</v>
      </c>
      <c r="C20914" t="str">
        <f>"320706199506181016"</f>
        <v>320706199506181016</v>
      </c>
      <c r="D20914" t="s">
        <v>1</v>
      </c>
      <c r="E20914" t="s">
        <v>1</v>
      </c>
      <c r="F20914" t="s">
        <v>0</v>
      </c>
      <c r="G20914" t="str">
        <f>"2018-10-22 08:38:07"</f>
        <v>2018-10-22 08:38:07</v>
      </c>
    </row>
    <row r="20915" spans="1:7" x14ac:dyDescent="0.2">
      <c r="A20915" t="s">
        <v>6819</v>
      </c>
      <c r="B20915" t="str">
        <f>"13779962994"</f>
        <v>13779962994</v>
      </c>
      <c r="C20915" t="str">
        <f>"440510199503160413"</f>
        <v>440510199503160413</v>
      </c>
      <c r="D20915" t="s">
        <v>1</v>
      </c>
      <c r="E20915" t="s">
        <v>1</v>
      </c>
      <c r="F20915" t="s">
        <v>0</v>
      </c>
      <c r="G20915" t="str">
        <f>"2018-10-07 21:18:41"</f>
        <v>2018-10-07 21:18:41</v>
      </c>
    </row>
    <row r="20916" spans="1:7" x14ac:dyDescent="0.2">
      <c r="A20916" t="s">
        <v>1299</v>
      </c>
      <c r="B20916" t="str">
        <f>"13960553317"</f>
        <v>13960553317</v>
      </c>
      <c r="C20916" t="str">
        <f>"350481198304066524"</f>
        <v>350481198304066524</v>
      </c>
      <c r="D20916" t="s">
        <v>1</v>
      </c>
      <c r="E20916" t="s">
        <v>1</v>
      </c>
      <c r="F20916" t="s">
        <v>0</v>
      </c>
      <c r="G20916" t="str">
        <f>"2018-10-11 20:18:48"</f>
        <v>2018-10-11 20:18:48</v>
      </c>
    </row>
    <row r="20917" spans="1:7" x14ac:dyDescent="0.2">
      <c r="A20917" t="s">
        <v>19622</v>
      </c>
      <c r="B20917" t="str">
        <f>"18560316667"</f>
        <v>18560316667</v>
      </c>
      <c r="C20917" t="str">
        <f>"37230119840306571X"</f>
        <v>37230119840306571X</v>
      </c>
      <c r="D20917" t="s">
        <v>1</v>
      </c>
      <c r="E20917" t="s">
        <v>1</v>
      </c>
      <c r="F20917" t="s">
        <v>0</v>
      </c>
      <c r="G20917" t="str">
        <f>"2018-10-10 13:57:41"</f>
        <v>2018-10-10 13:57:41</v>
      </c>
    </row>
    <row r="20918" spans="1:7" x14ac:dyDescent="0.2">
      <c r="A20918" t="s">
        <v>19623</v>
      </c>
      <c r="B20918" t="str">
        <f>"15072476798"</f>
        <v>15072476798</v>
      </c>
      <c r="C20918" t="str">
        <f>"42011519930906511X"</f>
        <v>42011519930906511X</v>
      </c>
      <c r="D20918" t="s">
        <v>1</v>
      </c>
      <c r="E20918" t="s">
        <v>1</v>
      </c>
      <c r="F20918" t="s">
        <v>0</v>
      </c>
      <c r="G20918" t="str">
        <f>"2018-10-07 18:08:36"</f>
        <v>2018-10-07 18:08:36</v>
      </c>
    </row>
    <row r="20919" spans="1:7" x14ac:dyDescent="0.2">
      <c r="A20919" t="s">
        <v>1827</v>
      </c>
      <c r="B20919" t="str">
        <f>"13798973201"</f>
        <v>13798973201</v>
      </c>
      <c r="C20919" t="str">
        <f>"520221199412034887"</f>
        <v>520221199412034887</v>
      </c>
      <c r="D20919" t="s">
        <v>1</v>
      </c>
      <c r="E20919" t="s">
        <v>1</v>
      </c>
      <c r="F20919" t="s">
        <v>0</v>
      </c>
      <c r="G20919" t="str">
        <f>"2018-10-07 17:55:25"</f>
        <v>2018-10-07 17:55:25</v>
      </c>
    </row>
    <row r="20920" spans="1:7" x14ac:dyDescent="0.2">
      <c r="A20920" t="s">
        <v>19624</v>
      </c>
      <c r="B20920" t="str">
        <f>"18854996535"</f>
        <v>18854996535</v>
      </c>
      <c r="C20920" t="str">
        <f>"371329197503116028"</f>
        <v>371329197503116028</v>
      </c>
      <c r="D20920" t="s">
        <v>19625</v>
      </c>
      <c r="E20920" t="s">
        <v>19626</v>
      </c>
      <c r="F20920" t="s">
        <v>0</v>
      </c>
      <c r="G20920" t="str">
        <f>"2018-10-23 10:16:29"</f>
        <v>2018-10-23 10:16:29</v>
      </c>
    </row>
    <row r="20921" spans="1:7" x14ac:dyDescent="0.2">
      <c r="A20921" t="s">
        <v>19627</v>
      </c>
      <c r="B20921" t="str">
        <f>"18302800982"</f>
        <v>18302800982</v>
      </c>
      <c r="C20921" t="str">
        <f>"430421197906196130"</f>
        <v>430421197906196130</v>
      </c>
      <c r="D20921" t="s">
        <v>1</v>
      </c>
      <c r="E20921" t="s">
        <v>1</v>
      </c>
      <c r="F20921" t="s">
        <v>0</v>
      </c>
      <c r="G20921" t="str">
        <f>"2018-10-07 17:48:50"</f>
        <v>2018-10-07 17:48:50</v>
      </c>
    </row>
    <row r="20922" spans="1:7" x14ac:dyDescent="0.2">
      <c r="A20922" t="s">
        <v>19628</v>
      </c>
      <c r="B20922" t="str">
        <f>"15097080206"</f>
        <v>15097080206</v>
      </c>
      <c r="C20922" t="str">
        <f>"62270119861006182X"</f>
        <v>62270119861006182X</v>
      </c>
      <c r="D20922" t="s">
        <v>1</v>
      </c>
      <c r="E20922" t="s">
        <v>1</v>
      </c>
      <c r="F20922" t="s">
        <v>0</v>
      </c>
      <c r="G20922" t="str">
        <f>"2018-10-07 17:52:15"</f>
        <v>2018-10-07 17:52:15</v>
      </c>
    </row>
    <row r="20923" spans="1:7" x14ac:dyDescent="0.2">
      <c r="A20923" t="s">
        <v>1222</v>
      </c>
      <c r="B20923" t="str">
        <f>"13872776655"</f>
        <v>13872776655</v>
      </c>
      <c r="C20923" t="str">
        <f>"420324198203221914"</f>
        <v>420324198203221914</v>
      </c>
      <c r="D20923" t="s">
        <v>1</v>
      </c>
      <c r="E20923" t="s">
        <v>1</v>
      </c>
      <c r="F20923" t="s">
        <v>0</v>
      </c>
      <c r="G20923" t="str">
        <f>"2018-10-09 08:23:04"</f>
        <v>2018-10-09 08:23:04</v>
      </c>
    </row>
    <row r="20924" spans="1:7" x14ac:dyDescent="0.2">
      <c r="A20924" t="s">
        <v>1</v>
      </c>
      <c r="B20924" t="str">
        <f>"18032241555"</f>
        <v>18032241555</v>
      </c>
      <c r="C20924" t="s">
        <v>1</v>
      </c>
      <c r="D20924" t="s">
        <v>1</v>
      </c>
      <c r="E20924" t="s">
        <v>1</v>
      </c>
      <c r="F20924" t="s">
        <v>0</v>
      </c>
      <c r="G20924" t="str">
        <f>"2018-10-07 17:46:46"</f>
        <v>2018-10-07 17:46:46</v>
      </c>
    </row>
    <row r="20925" spans="1:7" x14ac:dyDescent="0.2">
      <c r="A20925" t="s">
        <v>19629</v>
      </c>
      <c r="B20925" t="str">
        <f>"18692515395"</f>
        <v>18692515395</v>
      </c>
      <c r="C20925" t="str">
        <f>"431223199108306413"</f>
        <v>431223199108306413</v>
      </c>
      <c r="D20925" t="s">
        <v>1</v>
      </c>
      <c r="E20925" t="s">
        <v>1</v>
      </c>
      <c r="F20925" t="s">
        <v>0</v>
      </c>
      <c r="G20925" t="str">
        <f>"2018-10-07 17:47:58"</f>
        <v>2018-10-07 17:47:58</v>
      </c>
    </row>
    <row r="20926" spans="1:7" x14ac:dyDescent="0.2">
      <c r="A20926" t="s">
        <v>19630</v>
      </c>
      <c r="B20926" t="str">
        <f>"17634138391"</f>
        <v>17634138391</v>
      </c>
      <c r="C20926" t="str">
        <f>"142621198608071039"</f>
        <v>142621198608071039</v>
      </c>
      <c r="D20926" t="s">
        <v>1</v>
      </c>
      <c r="E20926" t="s">
        <v>1</v>
      </c>
      <c r="F20926" t="s">
        <v>0</v>
      </c>
      <c r="G20926" t="str">
        <f>"2018-10-07 17:55:11"</f>
        <v>2018-10-07 17:55:11</v>
      </c>
    </row>
    <row r="20927" spans="1:7" x14ac:dyDescent="0.2">
      <c r="A20927" t="s">
        <v>19631</v>
      </c>
      <c r="B20927" t="str">
        <f>"15877214016"</f>
        <v>15877214016</v>
      </c>
      <c r="C20927" t="str">
        <f>"452226199310250015"</f>
        <v>452226199310250015</v>
      </c>
      <c r="D20927" t="s">
        <v>19632</v>
      </c>
      <c r="E20927" t="s">
        <v>19633</v>
      </c>
      <c r="F20927" t="s">
        <v>0</v>
      </c>
      <c r="G20927" t="str">
        <f>"2018-10-07 17:48:42"</f>
        <v>2018-10-07 17:48:42</v>
      </c>
    </row>
    <row r="20928" spans="1:7" x14ac:dyDescent="0.2">
      <c r="A20928" t="s">
        <v>1587</v>
      </c>
      <c r="B20928" t="str">
        <f>"15639238806"</f>
        <v>15639238806</v>
      </c>
      <c r="C20928" t="str">
        <f>"410603198701043594"</f>
        <v>410603198701043594</v>
      </c>
      <c r="D20928" t="s">
        <v>1</v>
      </c>
      <c r="E20928" t="s">
        <v>1</v>
      </c>
      <c r="F20928" t="s">
        <v>0</v>
      </c>
      <c r="G20928" t="str">
        <f>"2018-10-21 11:48:44"</f>
        <v>2018-10-21 11:48:44</v>
      </c>
    </row>
    <row r="20929" spans="1:7" x14ac:dyDescent="0.2">
      <c r="A20929" t="s">
        <v>19634</v>
      </c>
      <c r="B20929" t="str">
        <f>"13811038600"</f>
        <v>13811038600</v>
      </c>
      <c r="C20929" t="str">
        <f>"34262319671004883X"</f>
        <v>34262319671004883X</v>
      </c>
      <c r="D20929" t="s">
        <v>1</v>
      </c>
      <c r="E20929" t="s">
        <v>1</v>
      </c>
      <c r="F20929" t="s">
        <v>0</v>
      </c>
      <c r="G20929" t="str">
        <f>"2018-10-07 17:48:20"</f>
        <v>2018-10-07 17:48:20</v>
      </c>
    </row>
    <row r="20930" spans="1:7" x14ac:dyDescent="0.2">
      <c r="A20930" t="s">
        <v>19635</v>
      </c>
      <c r="B20930" t="str">
        <f>"17703997767"</f>
        <v>17703997767</v>
      </c>
      <c r="C20930" t="str">
        <f>"411002198509172013"</f>
        <v>411002198509172013</v>
      </c>
      <c r="D20930" t="s">
        <v>1</v>
      </c>
      <c r="E20930" t="s">
        <v>1</v>
      </c>
      <c r="F20930" t="s">
        <v>0</v>
      </c>
      <c r="G20930" t="str">
        <f>"2018-10-07 17:45:16"</f>
        <v>2018-10-07 17:45:16</v>
      </c>
    </row>
    <row r="20931" spans="1:7" x14ac:dyDescent="0.2">
      <c r="A20931" t="s">
        <v>114</v>
      </c>
      <c r="B20931" t="str">
        <f>"13247775721"</f>
        <v>13247775721</v>
      </c>
      <c r="C20931" t="str">
        <f>"360782199904283839"</f>
        <v>360782199904283839</v>
      </c>
      <c r="D20931" t="s">
        <v>1</v>
      </c>
      <c r="E20931" t="s">
        <v>1</v>
      </c>
      <c r="F20931" t="s">
        <v>0</v>
      </c>
      <c r="G20931" t="str">
        <f>"2018-10-07 17:44:02"</f>
        <v>2018-10-07 17:44:02</v>
      </c>
    </row>
    <row r="20932" spans="1:7" x14ac:dyDescent="0.2">
      <c r="A20932" t="s">
        <v>19636</v>
      </c>
      <c r="B20932" t="str">
        <f>"13669730301"</f>
        <v>13669730301</v>
      </c>
      <c r="C20932" t="str">
        <f>"532523198710150016"</f>
        <v>532523198710150016</v>
      </c>
      <c r="D20932" t="s">
        <v>19637</v>
      </c>
      <c r="E20932" t="s">
        <v>19637</v>
      </c>
      <c r="F20932" t="s">
        <v>0</v>
      </c>
      <c r="G20932" t="str">
        <f>"2018-10-07 17:52:37"</f>
        <v>2018-10-07 17:52:37</v>
      </c>
    </row>
    <row r="20933" spans="1:7" x14ac:dyDescent="0.2">
      <c r="A20933" t="s">
        <v>19638</v>
      </c>
      <c r="B20933" t="str">
        <f>"18181957091"</f>
        <v>18181957091</v>
      </c>
      <c r="C20933" t="str">
        <f>"51390219920109672X"</f>
        <v>51390219920109672X</v>
      </c>
      <c r="D20933" t="s">
        <v>1</v>
      </c>
      <c r="E20933" t="s">
        <v>1</v>
      </c>
      <c r="F20933" t="s">
        <v>0</v>
      </c>
      <c r="G20933" t="str">
        <f>"2018-10-07 17:45:26"</f>
        <v>2018-10-07 17:45:26</v>
      </c>
    </row>
    <row r="20934" spans="1:7" x14ac:dyDescent="0.2">
      <c r="A20934" t="s">
        <v>1</v>
      </c>
      <c r="B20934" t="str">
        <f>"15885901250"</f>
        <v>15885901250</v>
      </c>
      <c r="C20934" t="s">
        <v>1</v>
      </c>
      <c r="D20934" t="s">
        <v>1</v>
      </c>
      <c r="E20934" t="s">
        <v>1</v>
      </c>
      <c r="F20934" t="s">
        <v>0</v>
      </c>
      <c r="G20934" t="str">
        <f>"2018-10-07 17:40:16"</f>
        <v>2018-10-07 17:40:16</v>
      </c>
    </row>
    <row r="20935" spans="1:7" x14ac:dyDescent="0.2">
      <c r="A20935" t="s">
        <v>19639</v>
      </c>
      <c r="B20935" t="str">
        <f>"13830779826"</f>
        <v>13830779826</v>
      </c>
      <c r="C20935" t="str">
        <f>"622126198802240210"</f>
        <v>622126198802240210</v>
      </c>
      <c r="D20935" t="s">
        <v>1</v>
      </c>
      <c r="E20935" t="s">
        <v>1</v>
      </c>
      <c r="F20935" t="s">
        <v>0</v>
      </c>
      <c r="G20935" t="str">
        <f>"2018-10-07 17:41:53"</f>
        <v>2018-10-07 17:41:53</v>
      </c>
    </row>
    <row r="20936" spans="1:7" x14ac:dyDescent="0.2">
      <c r="A20936" t="s">
        <v>1268</v>
      </c>
      <c r="B20936" t="str">
        <f>"15618065405"</f>
        <v>15618065405</v>
      </c>
      <c r="C20936" t="str">
        <f>"421023199406027313"</f>
        <v>421023199406027313</v>
      </c>
      <c r="D20936" t="s">
        <v>1</v>
      </c>
      <c r="E20936" t="s">
        <v>1</v>
      </c>
      <c r="F20936" t="s">
        <v>0</v>
      </c>
      <c r="G20936" t="str">
        <f>"2018-10-07 17:38:52"</f>
        <v>2018-10-07 17:38:52</v>
      </c>
    </row>
    <row r="20937" spans="1:7" x14ac:dyDescent="0.2">
      <c r="A20937" t="s">
        <v>1</v>
      </c>
      <c r="B20937" t="str">
        <f>"18692358535"</f>
        <v>18692358535</v>
      </c>
      <c r="C20937" t="s">
        <v>1</v>
      </c>
      <c r="D20937" t="s">
        <v>1</v>
      </c>
      <c r="E20937" t="s">
        <v>1</v>
      </c>
      <c r="F20937" t="s">
        <v>0</v>
      </c>
      <c r="G20937" t="str">
        <f>"2018-10-07 17:37:17"</f>
        <v>2018-10-07 17:37:17</v>
      </c>
    </row>
    <row r="20938" spans="1:7" x14ac:dyDescent="0.2">
      <c r="A20938" t="s">
        <v>1</v>
      </c>
      <c r="B20938" t="str">
        <f>"13735657390"</f>
        <v>13735657390</v>
      </c>
      <c r="C20938" t="s">
        <v>1</v>
      </c>
      <c r="D20938" t="s">
        <v>1</v>
      </c>
      <c r="E20938" t="s">
        <v>1</v>
      </c>
      <c r="F20938" t="s">
        <v>0</v>
      </c>
      <c r="G20938" t="str">
        <f>"2018-10-07 17:35:42"</f>
        <v>2018-10-07 17:35:42</v>
      </c>
    </row>
    <row r="20939" spans="1:7" x14ac:dyDescent="0.2">
      <c r="A20939" t="s">
        <v>1</v>
      </c>
      <c r="B20939" t="str">
        <f>"15738206836"</f>
        <v>15738206836</v>
      </c>
      <c r="C20939" t="s">
        <v>1</v>
      </c>
      <c r="D20939" t="s">
        <v>1</v>
      </c>
      <c r="E20939" t="s">
        <v>1</v>
      </c>
      <c r="F20939" t="s">
        <v>0</v>
      </c>
      <c r="G20939" t="str">
        <f>"2018-10-07 17:35:14"</f>
        <v>2018-10-07 17:35:14</v>
      </c>
    </row>
    <row r="20940" spans="1:7" x14ac:dyDescent="0.2">
      <c r="A20940" t="s">
        <v>1</v>
      </c>
      <c r="B20940" t="str">
        <f>"13530453096"</f>
        <v>13530453096</v>
      </c>
      <c r="C20940" t="s">
        <v>1</v>
      </c>
      <c r="D20940" t="s">
        <v>1</v>
      </c>
      <c r="E20940" t="s">
        <v>1</v>
      </c>
      <c r="F20940" t="s">
        <v>0</v>
      </c>
      <c r="G20940" t="str">
        <f>"2018-10-07 17:34:26"</f>
        <v>2018-10-07 17:34:26</v>
      </c>
    </row>
    <row r="20941" spans="1:7" x14ac:dyDescent="0.2">
      <c r="A20941" t="s">
        <v>972</v>
      </c>
      <c r="B20941" t="str">
        <f>"15884936154"</f>
        <v>15884936154</v>
      </c>
      <c r="C20941" t="str">
        <f>"511681199707011815"</f>
        <v>511681199707011815</v>
      </c>
      <c r="D20941" t="s">
        <v>1</v>
      </c>
      <c r="E20941" t="s">
        <v>1</v>
      </c>
      <c r="F20941" t="s">
        <v>0</v>
      </c>
      <c r="G20941" t="str">
        <f>"2018-10-07 17:51:37"</f>
        <v>2018-10-07 17:51:37</v>
      </c>
    </row>
    <row r="20942" spans="1:7" x14ac:dyDescent="0.2">
      <c r="A20942" t="s">
        <v>507</v>
      </c>
      <c r="B20942" t="str">
        <f>"13773344821"</f>
        <v>13773344821</v>
      </c>
      <c r="C20942" t="str">
        <f>"321023198102262818"</f>
        <v>321023198102262818</v>
      </c>
      <c r="D20942" t="s">
        <v>1</v>
      </c>
      <c r="E20942" t="s">
        <v>1</v>
      </c>
      <c r="F20942" t="s">
        <v>0</v>
      </c>
      <c r="G20942" t="str">
        <f>"2018-11-05 13:55:23"</f>
        <v>2018-11-05 13:55:23</v>
      </c>
    </row>
    <row r="20943" spans="1:7" x14ac:dyDescent="0.2">
      <c r="A20943" t="s">
        <v>19640</v>
      </c>
      <c r="B20943" t="str">
        <f>"15398781536"</f>
        <v>15398781536</v>
      </c>
      <c r="C20943" t="str">
        <f>"532322199802160016"</f>
        <v>532322199802160016</v>
      </c>
      <c r="D20943" t="s">
        <v>1</v>
      </c>
      <c r="E20943" t="s">
        <v>1</v>
      </c>
      <c r="F20943" t="s">
        <v>0</v>
      </c>
      <c r="G20943" t="str">
        <f>"2018-10-07 17:32:08"</f>
        <v>2018-10-07 17:32:08</v>
      </c>
    </row>
    <row r="20944" spans="1:7" x14ac:dyDescent="0.2">
      <c r="A20944" t="s">
        <v>8453</v>
      </c>
      <c r="B20944" t="str">
        <f>"15339873555"</f>
        <v>15339873555</v>
      </c>
      <c r="C20944" t="str">
        <f>"620202198405050424"</f>
        <v>620202198405050424</v>
      </c>
      <c r="D20944" t="s">
        <v>1</v>
      </c>
      <c r="E20944" t="s">
        <v>1</v>
      </c>
      <c r="F20944" t="s">
        <v>0</v>
      </c>
      <c r="G20944" t="str">
        <f>"2018-10-07 17:33:12"</f>
        <v>2018-10-07 17:33:12</v>
      </c>
    </row>
    <row r="20945" spans="1:7" x14ac:dyDescent="0.2">
      <c r="A20945" t="s">
        <v>19641</v>
      </c>
      <c r="B20945" t="str">
        <f>"18088375630"</f>
        <v>18088375630</v>
      </c>
      <c r="C20945" t="str">
        <f>"533526198610081252"</f>
        <v>533526198610081252</v>
      </c>
      <c r="D20945" t="s">
        <v>1</v>
      </c>
      <c r="E20945" t="s">
        <v>1</v>
      </c>
      <c r="F20945" t="s">
        <v>0</v>
      </c>
      <c r="G20945" t="str">
        <f>"2018-10-07 17:33:02"</f>
        <v>2018-10-07 17:33:02</v>
      </c>
    </row>
    <row r="20946" spans="1:7" x14ac:dyDescent="0.2">
      <c r="A20946" t="s">
        <v>19642</v>
      </c>
      <c r="B20946" t="str">
        <f>"13209485678"</f>
        <v>13209485678</v>
      </c>
      <c r="C20946" t="str">
        <f>"620202198201180016"</f>
        <v>620202198201180016</v>
      </c>
      <c r="D20946" t="s">
        <v>1</v>
      </c>
      <c r="E20946" t="s">
        <v>1</v>
      </c>
      <c r="F20946" t="s">
        <v>0</v>
      </c>
      <c r="G20946" t="str">
        <f>"2018-10-07 17:34:15"</f>
        <v>2018-10-07 17:34:15</v>
      </c>
    </row>
    <row r="20947" spans="1:7" x14ac:dyDescent="0.2">
      <c r="A20947" t="s">
        <v>1</v>
      </c>
      <c r="B20947" t="str">
        <f>"18525737079"</f>
        <v>18525737079</v>
      </c>
      <c r="C20947" t="s">
        <v>1</v>
      </c>
      <c r="D20947" t="s">
        <v>1</v>
      </c>
      <c r="E20947" t="s">
        <v>1</v>
      </c>
      <c r="F20947" t="s">
        <v>0</v>
      </c>
      <c r="G20947" t="str">
        <f>"2018-10-07 17:31:26"</f>
        <v>2018-10-07 17:31:26</v>
      </c>
    </row>
    <row r="20948" spans="1:7" x14ac:dyDescent="0.2">
      <c r="A20948" t="s">
        <v>19643</v>
      </c>
      <c r="B20948" t="str">
        <f>"18757678653"</f>
        <v>18757678653</v>
      </c>
      <c r="C20948" t="str">
        <f>"330727199010241226"</f>
        <v>330727199010241226</v>
      </c>
      <c r="D20948" t="s">
        <v>1</v>
      </c>
      <c r="E20948" t="s">
        <v>1</v>
      </c>
      <c r="F20948" t="s">
        <v>0</v>
      </c>
      <c r="G20948" t="str">
        <f>"2018-10-16 10:16:41"</f>
        <v>2018-10-16 10:16:41</v>
      </c>
    </row>
    <row r="20949" spans="1:7" x14ac:dyDescent="0.2">
      <c r="A20949" t="s">
        <v>19644</v>
      </c>
      <c r="B20949" t="str">
        <f>"17665158480"</f>
        <v>17665158480</v>
      </c>
      <c r="C20949" t="str">
        <f>"36098319980611721X"</f>
        <v>36098319980611721X</v>
      </c>
      <c r="D20949" t="s">
        <v>19645</v>
      </c>
      <c r="E20949" t="s">
        <v>19646</v>
      </c>
      <c r="F20949" t="s">
        <v>0</v>
      </c>
      <c r="G20949" t="str">
        <f>"2018-10-07 17:50:33"</f>
        <v>2018-10-07 17:50:33</v>
      </c>
    </row>
    <row r="20950" spans="1:7" x14ac:dyDescent="0.2">
      <c r="A20950" t="s">
        <v>1</v>
      </c>
      <c r="B20950" t="str">
        <f>"17806680017"</f>
        <v>17806680017</v>
      </c>
      <c r="C20950" t="s">
        <v>1</v>
      </c>
      <c r="D20950" t="s">
        <v>1</v>
      </c>
      <c r="E20950" t="s">
        <v>1</v>
      </c>
      <c r="F20950" t="s">
        <v>0</v>
      </c>
      <c r="G20950" t="str">
        <f>"2018-10-07 17:30:47"</f>
        <v>2018-10-07 17:30:47</v>
      </c>
    </row>
    <row r="20951" spans="1:7" x14ac:dyDescent="0.2">
      <c r="A20951" t="s">
        <v>19647</v>
      </c>
      <c r="B20951" t="str">
        <f>"15256105482"</f>
        <v>15256105482</v>
      </c>
      <c r="C20951" t="str">
        <f>"340602199702240442"</f>
        <v>340602199702240442</v>
      </c>
      <c r="D20951" t="s">
        <v>1</v>
      </c>
      <c r="E20951" t="s">
        <v>1</v>
      </c>
      <c r="F20951" t="s">
        <v>0</v>
      </c>
      <c r="G20951" t="str">
        <f>"2018-10-07 17:31:17"</f>
        <v>2018-10-07 17:31:17</v>
      </c>
    </row>
    <row r="20952" spans="1:7" x14ac:dyDescent="0.2">
      <c r="A20952" t="s">
        <v>19648</v>
      </c>
      <c r="B20952" t="str">
        <f>"15099595760"</f>
        <v>15099595760</v>
      </c>
      <c r="C20952" t="str">
        <f>"510623198908254558"</f>
        <v>510623198908254558</v>
      </c>
      <c r="D20952" t="s">
        <v>1</v>
      </c>
      <c r="E20952" t="s">
        <v>1</v>
      </c>
      <c r="F20952" t="s">
        <v>0</v>
      </c>
      <c r="G20952" t="str">
        <f>"2018-10-08 14:20:26"</f>
        <v>2018-10-08 14:20:26</v>
      </c>
    </row>
    <row r="20953" spans="1:7" x14ac:dyDescent="0.2">
      <c r="A20953" t="s">
        <v>920</v>
      </c>
      <c r="B20953" t="str">
        <f>"15559667985"</f>
        <v>15559667985</v>
      </c>
      <c r="C20953" t="str">
        <f>"530112198409243210"</f>
        <v>530112198409243210</v>
      </c>
      <c r="D20953" t="s">
        <v>1</v>
      </c>
      <c r="E20953" t="s">
        <v>1</v>
      </c>
      <c r="F20953" t="s">
        <v>0</v>
      </c>
      <c r="G20953" t="str">
        <f>"2018-10-07 17:28:34"</f>
        <v>2018-10-07 17:28:34</v>
      </c>
    </row>
    <row r="20954" spans="1:7" x14ac:dyDescent="0.2">
      <c r="A20954" t="s">
        <v>1</v>
      </c>
      <c r="B20954" t="str">
        <f>"15868949196"</f>
        <v>15868949196</v>
      </c>
      <c r="C20954" t="s">
        <v>1</v>
      </c>
      <c r="D20954" t="s">
        <v>1</v>
      </c>
      <c r="E20954" t="s">
        <v>1</v>
      </c>
      <c r="F20954" t="s">
        <v>0</v>
      </c>
      <c r="G20954" t="str">
        <f>"2018-10-07 17:28:33"</f>
        <v>2018-10-07 17:28:33</v>
      </c>
    </row>
    <row r="20955" spans="1:7" x14ac:dyDescent="0.2">
      <c r="A20955" t="s">
        <v>19649</v>
      </c>
      <c r="B20955" t="str">
        <f>"13797566663"</f>
        <v>13797566663</v>
      </c>
      <c r="C20955" t="str">
        <f>"420625198708283072"</f>
        <v>420625198708283072</v>
      </c>
      <c r="D20955" t="s">
        <v>1</v>
      </c>
      <c r="E20955" t="s">
        <v>1</v>
      </c>
      <c r="F20955" t="s">
        <v>0</v>
      </c>
      <c r="G20955" t="str">
        <f>"2018-10-07 17:29:29"</f>
        <v>2018-10-07 17:29:29</v>
      </c>
    </row>
    <row r="20956" spans="1:7" x14ac:dyDescent="0.2">
      <c r="A20956" t="s">
        <v>19650</v>
      </c>
      <c r="B20956" t="str">
        <f>"18824233740"</f>
        <v>18824233740</v>
      </c>
      <c r="C20956" t="str">
        <f>"360101199609255033"</f>
        <v>360101199609255033</v>
      </c>
      <c r="D20956" t="s">
        <v>1</v>
      </c>
      <c r="E20956" t="s">
        <v>1</v>
      </c>
      <c r="F20956" t="s">
        <v>0</v>
      </c>
      <c r="G20956" t="str">
        <f>"2018-10-07 22:32:52"</f>
        <v>2018-10-07 22:32:52</v>
      </c>
    </row>
    <row r="20957" spans="1:7" x14ac:dyDescent="0.2">
      <c r="A20957" t="s">
        <v>1</v>
      </c>
      <c r="B20957" t="str">
        <f>"13130231112"</f>
        <v>13130231112</v>
      </c>
      <c r="C20957" t="s">
        <v>1</v>
      </c>
      <c r="D20957" t="s">
        <v>1</v>
      </c>
      <c r="E20957" t="s">
        <v>1</v>
      </c>
      <c r="F20957" t="s">
        <v>0</v>
      </c>
      <c r="G20957" t="str">
        <f>"2018-10-07 17:29:16"</f>
        <v>2018-10-07 17:29:16</v>
      </c>
    </row>
    <row r="20958" spans="1:7" x14ac:dyDescent="0.2">
      <c r="A20958" t="s">
        <v>391</v>
      </c>
      <c r="B20958" t="str">
        <f>"13881111433"</f>
        <v>13881111433</v>
      </c>
      <c r="C20958" t="str">
        <f>"510703198203021316"</f>
        <v>510703198203021316</v>
      </c>
      <c r="D20958" t="s">
        <v>1</v>
      </c>
      <c r="E20958" t="s">
        <v>1</v>
      </c>
      <c r="F20958" t="s">
        <v>0</v>
      </c>
      <c r="G20958" t="str">
        <f>"2018-10-07 17:27:30"</f>
        <v>2018-10-07 17:27:30</v>
      </c>
    </row>
    <row r="20959" spans="1:7" x14ac:dyDescent="0.2">
      <c r="A20959" t="s">
        <v>19651</v>
      </c>
      <c r="B20959" t="str">
        <f>"15515386633"</f>
        <v>15515386633</v>
      </c>
      <c r="C20959" t="str">
        <f>"41030319890906323X"</f>
        <v>41030319890906323X</v>
      </c>
      <c r="D20959" t="s">
        <v>1</v>
      </c>
      <c r="E20959" t="s">
        <v>1</v>
      </c>
      <c r="F20959" t="s">
        <v>0</v>
      </c>
      <c r="G20959" t="str">
        <f>"2018-10-09 11:24:25"</f>
        <v>2018-10-09 11:24:25</v>
      </c>
    </row>
    <row r="20960" spans="1:7" x14ac:dyDescent="0.2">
      <c r="A20960" t="s">
        <v>19652</v>
      </c>
      <c r="B20960" t="str">
        <f>"13618689222"</f>
        <v>13618689222</v>
      </c>
      <c r="C20960" t="str">
        <f>"330382198212283158"</f>
        <v>330382198212283158</v>
      </c>
      <c r="D20960" t="s">
        <v>1</v>
      </c>
      <c r="E20960" t="s">
        <v>1</v>
      </c>
      <c r="F20960" t="s">
        <v>0</v>
      </c>
      <c r="G20960" t="str">
        <f>"2018-10-07 19:29:31"</f>
        <v>2018-10-07 19:29:31</v>
      </c>
    </row>
    <row r="20961" spans="1:7" x14ac:dyDescent="0.2">
      <c r="A20961" t="s">
        <v>1</v>
      </c>
      <c r="B20961" t="str">
        <f>"13833354592"</f>
        <v>13833354592</v>
      </c>
      <c r="C20961" t="s">
        <v>1</v>
      </c>
      <c r="D20961" t="s">
        <v>1</v>
      </c>
      <c r="E20961" t="s">
        <v>1</v>
      </c>
      <c r="F20961" t="s">
        <v>0</v>
      </c>
      <c r="G20961" t="str">
        <f>"2018-10-07 17:26:15"</f>
        <v>2018-10-07 17:26:15</v>
      </c>
    </row>
    <row r="20962" spans="1:7" x14ac:dyDescent="0.2">
      <c r="A20962" t="s">
        <v>19653</v>
      </c>
      <c r="B20962" t="str">
        <f>"13957696370"</f>
        <v>13957696370</v>
      </c>
      <c r="C20962" t="str">
        <f>"330881199311152319"</f>
        <v>330881199311152319</v>
      </c>
      <c r="D20962" t="s">
        <v>1</v>
      </c>
      <c r="E20962" t="s">
        <v>1</v>
      </c>
      <c r="F20962" t="s">
        <v>0</v>
      </c>
      <c r="G20962" t="str">
        <f>"2018-10-18 15:25:07"</f>
        <v>2018-10-18 15:25:07</v>
      </c>
    </row>
    <row r="20963" spans="1:7" x14ac:dyDescent="0.2">
      <c r="A20963" t="s">
        <v>19654</v>
      </c>
      <c r="B20963" t="str">
        <f>"18257957435"</f>
        <v>18257957435</v>
      </c>
      <c r="C20963" t="str">
        <f>"330727197112040020"</f>
        <v>330727197112040020</v>
      </c>
      <c r="D20963" t="s">
        <v>1</v>
      </c>
      <c r="E20963" t="s">
        <v>1</v>
      </c>
      <c r="F20963" t="s">
        <v>0</v>
      </c>
      <c r="G20963" t="str">
        <f>"2018-10-07 17:27:06"</f>
        <v>2018-10-07 17:27:06</v>
      </c>
    </row>
    <row r="20964" spans="1:7" x14ac:dyDescent="0.2">
      <c r="A20964" t="s">
        <v>277</v>
      </c>
      <c r="B20964" t="str">
        <f>"15555459331"</f>
        <v>15555459331</v>
      </c>
      <c r="C20964" t="str">
        <f>"342423199009157379"</f>
        <v>342423199009157379</v>
      </c>
      <c r="D20964" t="s">
        <v>1</v>
      </c>
      <c r="E20964" t="s">
        <v>1</v>
      </c>
      <c r="F20964" t="s">
        <v>0</v>
      </c>
      <c r="G20964" t="str">
        <f>"2018-10-07 17:26:52"</f>
        <v>2018-10-07 17:26:52</v>
      </c>
    </row>
    <row r="20965" spans="1:7" x14ac:dyDescent="0.2">
      <c r="A20965" t="s">
        <v>19655</v>
      </c>
      <c r="B20965" t="str">
        <f>"13172367523"</f>
        <v>13172367523</v>
      </c>
      <c r="C20965" t="str">
        <f>"440681199604173716"</f>
        <v>440681199604173716</v>
      </c>
      <c r="D20965" t="s">
        <v>1</v>
      </c>
      <c r="E20965" t="s">
        <v>1</v>
      </c>
      <c r="F20965" t="s">
        <v>0</v>
      </c>
      <c r="G20965" t="str">
        <f>"2018-10-07 17:25:57"</f>
        <v>2018-10-07 17:25:57</v>
      </c>
    </row>
    <row r="20966" spans="1:7" x14ac:dyDescent="0.2">
      <c r="A20966" t="s">
        <v>1</v>
      </c>
      <c r="B20966" t="str">
        <f>"15954962333"</f>
        <v>15954962333</v>
      </c>
      <c r="C20966" t="s">
        <v>1</v>
      </c>
      <c r="D20966" t="s">
        <v>1</v>
      </c>
      <c r="E20966" t="s">
        <v>1</v>
      </c>
      <c r="F20966" t="s">
        <v>0</v>
      </c>
      <c r="G20966" t="str">
        <f>"2018-10-07 17:26:10"</f>
        <v>2018-10-07 17:26:10</v>
      </c>
    </row>
    <row r="20967" spans="1:7" x14ac:dyDescent="0.2">
      <c r="A20967" t="s">
        <v>1</v>
      </c>
      <c r="B20967" t="str">
        <f>"18910743236"</f>
        <v>18910743236</v>
      </c>
      <c r="C20967" t="s">
        <v>1</v>
      </c>
      <c r="D20967" t="s">
        <v>1</v>
      </c>
      <c r="E20967" t="s">
        <v>1</v>
      </c>
      <c r="F20967" t="s">
        <v>0</v>
      </c>
      <c r="G20967" t="str">
        <f>"2018-10-07 17:21:49"</f>
        <v>2018-10-07 17:21:49</v>
      </c>
    </row>
    <row r="20968" spans="1:7" x14ac:dyDescent="0.2">
      <c r="A20968" t="s">
        <v>1</v>
      </c>
      <c r="B20968" t="str">
        <f>"13688067345"</f>
        <v>13688067345</v>
      </c>
      <c r="C20968" t="s">
        <v>1</v>
      </c>
      <c r="D20968" t="s">
        <v>1</v>
      </c>
      <c r="E20968" t="s">
        <v>1</v>
      </c>
      <c r="F20968" t="s">
        <v>0</v>
      </c>
      <c r="G20968" t="str">
        <f>"2018-10-07 17:22:22"</f>
        <v>2018-10-07 17:22:22</v>
      </c>
    </row>
    <row r="20969" spans="1:7" x14ac:dyDescent="0.2">
      <c r="A20969" t="s">
        <v>19656</v>
      </c>
      <c r="B20969" t="str">
        <f>"18209360883"</f>
        <v>18209360883</v>
      </c>
      <c r="C20969" t="str">
        <f>"622201198410215444"</f>
        <v>622201198410215444</v>
      </c>
      <c r="D20969" t="s">
        <v>19657</v>
      </c>
      <c r="E20969" t="s">
        <v>19658</v>
      </c>
      <c r="F20969" t="s">
        <v>0</v>
      </c>
      <c r="G20969" t="str">
        <f>"2018-10-07 17:22:53"</f>
        <v>2018-10-07 17:22:53</v>
      </c>
    </row>
    <row r="20970" spans="1:7" x14ac:dyDescent="0.2">
      <c r="A20970" t="s">
        <v>19659</v>
      </c>
      <c r="B20970" t="str">
        <f>"18753627353"</f>
        <v>18753627353</v>
      </c>
      <c r="C20970" t="str">
        <f>"370724198809260392"</f>
        <v>370724198809260392</v>
      </c>
      <c r="D20970" t="s">
        <v>1</v>
      </c>
      <c r="E20970" t="s">
        <v>1</v>
      </c>
      <c r="F20970" t="s">
        <v>0</v>
      </c>
      <c r="G20970" t="str">
        <f>"2018-10-21 08:01:06"</f>
        <v>2018-10-21 08:01:06</v>
      </c>
    </row>
    <row r="20971" spans="1:7" x14ac:dyDescent="0.2">
      <c r="A20971" t="s">
        <v>19660</v>
      </c>
      <c r="B20971" t="str">
        <f>"13547595954"</f>
        <v>13547595954</v>
      </c>
      <c r="C20971" t="str">
        <f>"511324198901290530"</f>
        <v>511324198901290530</v>
      </c>
      <c r="D20971" t="s">
        <v>1</v>
      </c>
      <c r="E20971" t="s">
        <v>1</v>
      </c>
      <c r="F20971" t="s">
        <v>0</v>
      </c>
      <c r="G20971" t="str">
        <f>"2018-10-09 11:34:11"</f>
        <v>2018-10-09 11:34:11</v>
      </c>
    </row>
    <row r="20972" spans="1:7" x14ac:dyDescent="0.2">
      <c r="A20972" t="s">
        <v>19661</v>
      </c>
      <c r="B20972" t="str">
        <f>"13978927097"</f>
        <v>13978927097</v>
      </c>
      <c r="C20972" t="str">
        <f>"450521199308216232"</f>
        <v>450521199308216232</v>
      </c>
      <c r="D20972" t="s">
        <v>1</v>
      </c>
      <c r="E20972" t="s">
        <v>1</v>
      </c>
      <c r="F20972" t="s">
        <v>0</v>
      </c>
      <c r="G20972" t="str">
        <f>"2018-10-07 17:21:04"</f>
        <v>2018-10-07 17:21:04</v>
      </c>
    </row>
    <row r="20973" spans="1:7" x14ac:dyDescent="0.2">
      <c r="A20973" t="s">
        <v>19662</v>
      </c>
      <c r="B20973" t="str">
        <f>"18131578889"</f>
        <v>18131578889</v>
      </c>
      <c r="C20973" t="str">
        <f>"130224199009060838"</f>
        <v>130224199009060838</v>
      </c>
      <c r="D20973" t="s">
        <v>1</v>
      </c>
      <c r="E20973" t="s">
        <v>1</v>
      </c>
      <c r="F20973" t="s">
        <v>0</v>
      </c>
      <c r="G20973" t="str">
        <f>"2018-10-07 17:20:46"</f>
        <v>2018-10-07 17:20:46</v>
      </c>
    </row>
    <row r="20974" spans="1:7" x14ac:dyDescent="0.2">
      <c r="A20974" t="s">
        <v>1</v>
      </c>
      <c r="B20974" t="str">
        <f>"15271897487"</f>
        <v>15271897487</v>
      </c>
      <c r="C20974" t="s">
        <v>1</v>
      </c>
      <c r="D20974" t="s">
        <v>1</v>
      </c>
      <c r="E20974" t="s">
        <v>1</v>
      </c>
      <c r="F20974" t="s">
        <v>0</v>
      </c>
      <c r="G20974" t="str">
        <f>"2018-10-07 17:19:18"</f>
        <v>2018-10-07 17:19:18</v>
      </c>
    </row>
    <row r="20975" spans="1:7" x14ac:dyDescent="0.2">
      <c r="A20975" t="s">
        <v>13530</v>
      </c>
      <c r="B20975" t="str">
        <f>"13781187021"</f>
        <v>13781187021</v>
      </c>
      <c r="C20975" t="str">
        <f>"410223199309294522"</f>
        <v>410223199309294522</v>
      </c>
      <c r="D20975" t="s">
        <v>19663</v>
      </c>
      <c r="E20975" t="s">
        <v>19664</v>
      </c>
      <c r="F20975" t="s">
        <v>0</v>
      </c>
      <c r="G20975" t="str">
        <f>"2018-10-07 17:21:14"</f>
        <v>2018-10-07 17:21:14</v>
      </c>
    </row>
    <row r="20976" spans="1:7" x14ac:dyDescent="0.2">
      <c r="A20976" t="s">
        <v>19665</v>
      </c>
      <c r="B20976" t="str">
        <f>"13931028296"</f>
        <v>13931028296</v>
      </c>
      <c r="C20976" t="str">
        <f>"130427198011133931"</f>
        <v>130427198011133931</v>
      </c>
      <c r="D20976" t="s">
        <v>1</v>
      </c>
      <c r="E20976" t="s">
        <v>1</v>
      </c>
      <c r="F20976" t="s">
        <v>0</v>
      </c>
      <c r="G20976" t="str">
        <f>"2018-10-07 17:52:50"</f>
        <v>2018-10-07 17:52:50</v>
      </c>
    </row>
    <row r="20977" spans="1:7" x14ac:dyDescent="0.2">
      <c r="A20977" t="s">
        <v>227</v>
      </c>
      <c r="B20977" t="str">
        <f>"15256448333"</f>
        <v>15256448333</v>
      </c>
      <c r="C20977" t="str">
        <f>"34242619810225045X"</f>
        <v>34242619810225045X</v>
      </c>
      <c r="D20977" t="s">
        <v>1</v>
      </c>
      <c r="E20977" t="s">
        <v>1</v>
      </c>
      <c r="F20977" t="s">
        <v>0</v>
      </c>
      <c r="G20977" t="str">
        <f>"2018-10-15 15:38:16"</f>
        <v>2018-10-15 15:38:16</v>
      </c>
    </row>
    <row r="20978" spans="1:7" x14ac:dyDescent="0.2">
      <c r="A20978" t="s">
        <v>19666</v>
      </c>
      <c r="B20978" t="str">
        <f>"13622008391"</f>
        <v>13622008391</v>
      </c>
      <c r="C20978" t="str">
        <f>"622822199302034573"</f>
        <v>622822199302034573</v>
      </c>
      <c r="D20978" t="s">
        <v>1</v>
      </c>
      <c r="E20978" t="s">
        <v>1</v>
      </c>
      <c r="F20978" t="s">
        <v>0</v>
      </c>
      <c r="G20978" t="str">
        <f>"2018-10-22 22:57:00"</f>
        <v>2018-10-22 22:57:00</v>
      </c>
    </row>
    <row r="20979" spans="1:7" x14ac:dyDescent="0.2">
      <c r="A20979" t="s">
        <v>51</v>
      </c>
      <c r="B20979" t="str">
        <f>"13736173258"</f>
        <v>13736173258</v>
      </c>
      <c r="C20979" t="str">
        <f>"420281198408266157"</f>
        <v>420281198408266157</v>
      </c>
      <c r="D20979" t="s">
        <v>19667</v>
      </c>
      <c r="E20979" t="s">
        <v>19667</v>
      </c>
      <c r="F20979" t="s">
        <v>0</v>
      </c>
      <c r="G20979" t="str">
        <f>"2018-10-07 17:24:42"</f>
        <v>2018-10-07 17:24:42</v>
      </c>
    </row>
    <row r="20980" spans="1:7" x14ac:dyDescent="0.2">
      <c r="A20980" t="s">
        <v>19668</v>
      </c>
      <c r="B20980" t="str">
        <f>"18700037594"</f>
        <v>18700037594</v>
      </c>
      <c r="C20980" t="str">
        <f>"610427199701280022"</f>
        <v>610427199701280022</v>
      </c>
      <c r="D20980" t="s">
        <v>1</v>
      </c>
      <c r="E20980" t="s">
        <v>1</v>
      </c>
      <c r="F20980" t="s">
        <v>0</v>
      </c>
      <c r="G20980" t="str">
        <f>"2018-10-07 17:20:07"</f>
        <v>2018-10-07 17:20:07</v>
      </c>
    </row>
    <row r="20981" spans="1:7" x14ac:dyDescent="0.2">
      <c r="A20981" t="s">
        <v>19669</v>
      </c>
      <c r="B20981" t="str">
        <f>"18781047937"</f>
        <v>18781047937</v>
      </c>
      <c r="C20981" t="str">
        <f>"510681199111060658"</f>
        <v>510681199111060658</v>
      </c>
      <c r="D20981" t="s">
        <v>19670</v>
      </c>
      <c r="E20981" t="s">
        <v>19671</v>
      </c>
      <c r="F20981" t="s">
        <v>0</v>
      </c>
      <c r="G20981" t="str">
        <f>"2018-10-07 17:19:34"</f>
        <v>2018-10-07 17:19:34</v>
      </c>
    </row>
    <row r="20982" spans="1:7" x14ac:dyDescent="0.2">
      <c r="A20982" t="s">
        <v>19672</v>
      </c>
      <c r="B20982" t="str">
        <f>"13647274287"</f>
        <v>13647274287</v>
      </c>
      <c r="C20982" t="str">
        <f>"420521198207180031"</f>
        <v>420521198207180031</v>
      </c>
      <c r="D20982" t="s">
        <v>1</v>
      </c>
      <c r="E20982" t="s">
        <v>1</v>
      </c>
      <c r="F20982" t="s">
        <v>0</v>
      </c>
      <c r="G20982" t="str">
        <f>"2018-10-07 17:16:41"</f>
        <v>2018-10-07 17:16:41</v>
      </c>
    </row>
    <row r="20983" spans="1:7" x14ac:dyDescent="0.2">
      <c r="A20983" t="s">
        <v>19673</v>
      </c>
      <c r="B20983" t="str">
        <f>"13826070463"</f>
        <v>13826070463</v>
      </c>
      <c r="C20983" t="str">
        <f>"440107198704080618"</f>
        <v>440107198704080618</v>
      </c>
      <c r="D20983" t="s">
        <v>1</v>
      </c>
      <c r="E20983" t="s">
        <v>1</v>
      </c>
      <c r="F20983" t="s">
        <v>0</v>
      </c>
      <c r="G20983" t="str">
        <f>"2018-10-07 17:14:11"</f>
        <v>2018-10-07 17:14:11</v>
      </c>
    </row>
    <row r="20984" spans="1:7" x14ac:dyDescent="0.2">
      <c r="A20984" t="s">
        <v>1</v>
      </c>
      <c r="B20984" t="str">
        <f>"18107939982"</f>
        <v>18107939982</v>
      </c>
      <c r="C20984" t="s">
        <v>1</v>
      </c>
      <c r="D20984" t="s">
        <v>1</v>
      </c>
      <c r="E20984" t="s">
        <v>1</v>
      </c>
      <c r="F20984" t="s">
        <v>0</v>
      </c>
      <c r="G20984" t="str">
        <f>"2018-10-07 17:12:32"</f>
        <v>2018-10-07 17:12:32</v>
      </c>
    </row>
    <row r="20985" spans="1:7" x14ac:dyDescent="0.2">
      <c r="A20985" t="s">
        <v>19674</v>
      </c>
      <c r="B20985" t="str">
        <f>"18231785001"</f>
        <v>18231785001</v>
      </c>
      <c r="C20985" t="str">
        <f>"130223198509290639"</f>
        <v>130223198509290639</v>
      </c>
      <c r="D20985" t="s">
        <v>1</v>
      </c>
      <c r="E20985" t="s">
        <v>1</v>
      </c>
      <c r="F20985" t="s">
        <v>0</v>
      </c>
      <c r="G20985" t="str">
        <f>"2018-10-07 17:12:57"</f>
        <v>2018-10-07 17:12:57</v>
      </c>
    </row>
    <row r="20986" spans="1:7" x14ac:dyDescent="0.2">
      <c r="A20986" t="s">
        <v>1</v>
      </c>
      <c r="B20986" t="str">
        <f>"15883513318"</f>
        <v>15883513318</v>
      </c>
      <c r="C20986" t="s">
        <v>1</v>
      </c>
      <c r="D20986" t="s">
        <v>1</v>
      </c>
      <c r="E20986" t="s">
        <v>1</v>
      </c>
      <c r="F20986" t="s">
        <v>0</v>
      </c>
      <c r="G20986" t="str">
        <f>"2018-10-07 17:11:39"</f>
        <v>2018-10-07 17:11:39</v>
      </c>
    </row>
    <row r="20987" spans="1:7" x14ac:dyDescent="0.2">
      <c r="A20987" t="s">
        <v>1</v>
      </c>
      <c r="B20987" t="str">
        <f>"18672049706"</f>
        <v>18672049706</v>
      </c>
      <c r="C20987" t="s">
        <v>1</v>
      </c>
      <c r="D20987" t="s">
        <v>1</v>
      </c>
      <c r="E20987" t="s">
        <v>1</v>
      </c>
      <c r="F20987" t="s">
        <v>0</v>
      </c>
      <c r="G20987" t="str">
        <f>"2018-10-07 17:11:02"</f>
        <v>2018-10-07 17:11:02</v>
      </c>
    </row>
    <row r="20988" spans="1:7" x14ac:dyDescent="0.2">
      <c r="A20988" t="s">
        <v>19675</v>
      </c>
      <c r="B20988" t="str">
        <f>"18636603667"</f>
        <v>18636603667</v>
      </c>
      <c r="C20988" t="str">
        <f>"142202199009141377"</f>
        <v>142202199009141377</v>
      </c>
      <c r="D20988" t="s">
        <v>1</v>
      </c>
      <c r="E20988" t="s">
        <v>1</v>
      </c>
      <c r="F20988" t="s">
        <v>0</v>
      </c>
      <c r="G20988" t="str">
        <f>"2018-10-07 17:11:36"</f>
        <v>2018-10-07 17:11:36</v>
      </c>
    </row>
    <row r="20989" spans="1:7" x14ac:dyDescent="0.2">
      <c r="A20989" t="s">
        <v>19676</v>
      </c>
      <c r="B20989" t="str">
        <f>"15708499547"</f>
        <v>15708499547</v>
      </c>
      <c r="C20989" t="str">
        <f>"510121200005296503"</f>
        <v>510121200005296503</v>
      </c>
      <c r="D20989" t="s">
        <v>1</v>
      </c>
      <c r="E20989" t="s">
        <v>1</v>
      </c>
      <c r="F20989" t="s">
        <v>0</v>
      </c>
      <c r="G20989" t="str">
        <f>"2018-10-07 17:09:18"</f>
        <v>2018-10-07 17:09:18</v>
      </c>
    </row>
    <row r="20990" spans="1:7" x14ac:dyDescent="0.2">
      <c r="A20990" t="s">
        <v>19677</v>
      </c>
      <c r="B20990" t="str">
        <f>"18020912513"</f>
        <v>18020912513</v>
      </c>
      <c r="C20990" t="str">
        <f>"350782199304253511"</f>
        <v>350782199304253511</v>
      </c>
      <c r="D20990" t="s">
        <v>19678</v>
      </c>
      <c r="E20990" t="s">
        <v>19679</v>
      </c>
      <c r="F20990" t="s">
        <v>0</v>
      </c>
      <c r="G20990" t="str">
        <f>"2018-10-07 17:09:16"</f>
        <v>2018-10-07 17:09:16</v>
      </c>
    </row>
    <row r="20991" spans="1:7" x14ac:dyDescent="0.2">
      <c r="A20991" t="s">
        <v>1</v>
      </c>
      <c r="B20991" t="str">
        <f>"15134707651"</f>
        <v>15134707651</v>
      </c>
      <c r="C20991" t="s">
        <v>1</v>
      </c>
      <c r="D20991" t="s">
        <v>1</v>
      </c>
      <c r="E20991" t="s">
        <v>1</v>
      </c>
      <c r="F20991" t="s">
        <v>0</v>
      </c>
      <c r="G20991" t="str">
        <f>"2018-10-07 17:09:34"</f>
        <v>2018-10-07 17:09:34</v>
      </c>
    </row>
    <row r="20992" spans="1:7" x14ac:dyDescent="0.2">
      <c r="A20992" t="s">
        <v>19680</v>
      </c>
      <c r="B20992" t="str">
        <f>"15987658492"</f>
        <v>15987658492</v>
      </c>
      <c r="C20992" t="str">
        <f>"53262419990820213X"</f>
        <v>53262419990820213X</v>
      </c>
      <c r="D20992" t="s">
        <v>19681</v>
      </c>
      <c r="E20992" t="s">
        <v>19682</v>
      </c>
      <c r="F20992" t="s">
        <v>0</v>
      </c>
      <c r="G20992" t="str">
        <f>"2018-10-07 17:08:54"</f>
        <v>2018-10-07 17:08:54</v>
      </c>
    </row>
    <row r="20993" spans="1:7" x14ac:dyDescent="0.2">
      <c r="A20993" t="s">
        <v>19683</v>
      </c>
      <c r="B20993" t="str">
        <f>"13127271702"</f>
        <v>13127271702</v>
      </c>
      <c r="C20993" t="str">
        <f>"370923199403270012"</f>
        <v>370923199403270012</v>
      </c>
      <c r="D20993" t="s">
        <v>1</v>
      </c>
      <c r="E20993" t="s">
        <v>1</v>
      </c>
      <c r="F20993" t="s">
        <v>0</v>
      </c>
      <c r="G20993" t="str">
        <f>"2018-10-07 17:03:13"</f>
        <v>2018-10-07 17:03:13</v>
      </c>
    </row>
    <row r="20994" spans="1:7" x14ac:dyDescent="0.2">
      <c r="A20994" t="s">
        <v>607</v>
      </c>
      <c r="B20994" t="str">
        <f>"13371908880"</f>
        <v>13371908880</v>
      </c>
      <c r="C20994" t="str">
        <f>"320682197808145434"</f>
        <v>320682197808145434</v>
      </c>
      <c r="D20994" t="s">
        <v>19684</v>
      </c>
      <c r="E20994" t="s">
        <v>19685</v>
      </c>
      <c r="F20994" t="s">
        <v>0</v>
      </c>
      <c r="G20994" t="str">
        <f>"2018-10-07 17:07:18"</f>
        <v>2018-10-07 17:07:18</v>
      </c>
    </row>
    <row r="20995" spans="1:7" x14ac:dyDescent="0.2">
      <c r="A20995" t="s">
        <v>19686</v>
      </c>
      <c r="B20995" t="str">
        <f>"18629232858"</f>
        <v>18629232858</v>
      </c>
      <c r="C20995" t="str">
        <f>"429004199307255714"</f>
        <v>429004199307255714</v>
      </c>
      <c r="D20995" t="s">
        <v>1</v>
      </c>
      <c r="E20995" t="s">
        <v>1</v>
      </c>
      <c r="F20995" t="s">
        <v>0</v>
      </c>
      <c r="G20995" t="str">
        <f>"2018-10-25 10:19:54"</f>
        <v>2018-10-25 10:19:54</v>
      </c>
    </row>
    <row r="20996" spans="1:7" x14ac:dyDescent="0.2">
      <c r="A20996" t="s">
        <v>19687</v>
      </c>
      <c r="B20996" t="str">
        <f>"18784717171"</f>
        <v>18784717171</v>
      </c>
      <c r="C20996" t="str">
        <f>"511302199105021416"</f>
        <v>511302199105021416</v>
      </c>
      <c r="D20996" t="s">
        <v>1</v>
      </c>
      <c r="E20996" t="s">
        <v>1</v>
      </c>
      <c r="F20996" t="s">
        <v>0</v>
      </c>
      <c r="G20996" t="str">
        <f>"2018-10-07 17:03:05"</f>
        <v>2018-10-07 17:03:05</v>
      </c>
    </row>
    <row r="20997" spans="1:7" x14ac:dyDescent="0.2">
      <c r="A20997" t="s">
        <v>19688</v>
      </c>
      <c r="B20997" t="str">
        <f>"13962246069"</f>
        <v>13962246069</v>
      </c>
      <c r="C20997" t="str">
        <f>"320582198205043614"</f>
        <v>320582198205043614</v>
      </c>
      <c r="D20997" t="s">
        <v>1</v>
      </c>
      <c r="E20997" t="s">
        <v>1</v>
      </c>
      <c r="F20997" t="s">
        <v>0</v>
      </c>
      <c r="G20997" t="str">
        <f>"2018-10-07 16:59:38"</f>
        <v>2018-10-07 16:59:38</v>
      </c>
    </row>
    <row r="20998" spans="1:7" x14ac:dyDescent="0.2">
      <c r="A20998" t="s">
        <v>1</v>
      </c>
      <c r="B20998" t="str">
        <f>"15283203150"</f>
        <v>15283203150</v>
      </c>
      <c r="C20998" t="s">
        <v>1</v>
      </c>
      <c r="D20998" t="s">
        <v>1</v>
      </c>
      <c r="E20998" t="s">
        <v>1</v>
      </c>
      <c r="F20998" t="s">
        <v>0</v>
      </c>
      <c r="G20998" t="str">
        <f>"2018-10-07 16:58:26"</f>
        <v>2018-10-07 16:58:26</v>
      </c>
    </row>
    <row r="20999" spans="1:7" x14ac:dyDescent="0.2">
      <c r="A20999" t="s">
        <v>19689</v>
      </c>
      <c r="B20999" t="str">
        <f>"17751453969"</f>
        <v>17751453969</v>
      </c>
      <c r="C20999" t="str">
        <f>"342201198510016496"</f>
        <v>342201198510016496</v>
      </c>
      <c r="D20999" t="s">
        <v>1</v>
      </c>
      <c r="E20999" t="s">
        <v>1</v>
      </c>
      <c r="F20999" t="s">
        <v>0</v>
      </c>
      <c r="G20999" t="str">
        <f>"2018-10-07 17:01:18"</f>
        <v>2018-10-07 17:01:18</v>
      </c>
    </row>
    <row r="21000" spans="1:7" x14ac:dyDescent="0.2">
      <c r="A21000" t="s">
        <v>19690</v>
      </c>
      <c r="B21000" t="str">
        <f>"13550135531"</f>
        <v>13550135531</v>
      </c>
      <c r="C21000" t="str">
        <f>"510106199206095514"</f>
        <v>510106199206095514</v>
      </c>
      <c r="D21000" t="s">
        <v>1</v>
      </c>
      <c r="E21000" t="s">
        <v>1</v>
      </c>
      <c r="F21000" t="s">
        <v>0</v>
      </c>
      <c r="G21000" t="str">
        <f>"2018-10-07 16:57:42"</f>
        <v>2018-10-07 16:57:42</v>
      </c>
    </row>
    <row r="21001" spans="1:7" x14ac:dyDescent="0.2">
      <c r="A21001" t="s">
        <v>740</v>
      </c>
      <c r="B21001" t="str">
        <f>"13668491650"</f>
        <v>13668491650</v>
      </c>
      <c r="C21001" t="str">
        <f>"500101198904086422"</f>
        <v>500101198904086422</v>
      </c>
      <c r="D21001" t="s">
        <v>1</v>
      </c>
      <c r="E21001" t="s">
        <v>1</v>
      </c>
      <c r="F21001" t="s">
        <v>0</v>
      </c>
      <c r="G21001" t="str">
        <f>"2018-10-13 16:31:25"</f>
        <v>2018-10-13 16:31:25</v>
      </c>
    </row>
    <row r="21002" spans="1:7" x14ac:dyDescent="0.2">
      <c r="A21002" t="s">
        <v>19691</v>
      </c>
      <c r="B21002" t="str">
        <f>"13030288034"</f>
        <v>13030288034</v>
      </c>
      <c r="C21002" t="str">
        <f>"445323199506091519"</f>
        <v>445323199506091519</v>
      </c>
      <c r="D21002" t="s">
        <v>1</v>
      </c>
      <c r="E21002" t="s">
        <v>1</v>
      </c>
      <c r="F21002" t="s">
        <v>0</v>
      </c>
      <c r="G21002" t="str">
        <f>"2018-10-07 16:55:51"</f>
        <v>2018-10-07 16:55:51</v>
      </c>
    </row>
    <row r="21003" spans="1:7" x14ac:dyDescent="0.2">
      <c r="A21003" t="s">
        <v>1</v>
      </c>
      <c r="B21003" t="str">
        <f>"15958265793"</f>
        <v>15958265793</v>
      </c>
      <c r="C21003" t="s">
        <v>1</v>
      </c>
      <c r="D21003" t="s">
        <v>1</v>
      </c>
      <c r="E21003" t="s">
        <v>1</v>
      </c>
      <c r="F21003" t="s">
        <v>0</v>
      </c>
      <c r="G21003" t="str">
        <f>"2018-10-07 17:52:10"</f>
        <v>2018-10-07 17:52:10</v>
      </c>
    </row>
    <row r="21004" spans="1:7" x14ac:dyDescent="0.2">
      <c r="A21004" t="s">
        <v>1314</v>
      </c>
      <c r="B21004" t="str">
        <f>"18261073232"</f>
        <v>18261073232</v>
      </c>
      <c r="C21004" t="str">
        <f>"321322199003166016"</f>
        <v>321322199003166016</v>
      </c>
      <c r="D21004" t="s">
        <v>19692</v>
      </c>
      <c r="E21004" t="s">
        <v>19693</v>
      </c>
      <c r="F21004" t="s">
        <v>0</v>
      </c>
      <c r="G21004" t="str">
        <f>"2018-10-07 16:55:25"</f>
        <v>2018-10-07 16:55:25</v>
      </c>
    </row>
    <row r="21005" spans="1:7" x14ac:dyDescent="0.2">
      <c r="A21005" t="s">
        <v>19694</v>
      </c>
      <c r="B21005" t="str">
        <f>"15880288824"</f>
        <v>15880288824</v>
      </c>
      <c r="C21005" t="str">
        <f>"350821198210183610"</f>
        <v>350821198210183610</v>
      </c>
      <c r="D21005" t="s">
        <v>19695</v>
      </c>
      <c r="E21005" t="s">
        <v>19696</v>
      </c>
      <c r="F21005" t="s">
        <v>0</v>
      </c>
      <c r="G21005" t="str">
        <f>"2018-10-07 16:55:59"</f>
        <v>2018-10-07 16:55:59</v>
      </c>
    </row>
    <row r="21006" spans="1:7" x14ac:dyDescent="0.2">
      <c r="A21006" t="s">
        <v>19697</v>
      </c>
      <c r="B21006" t="str">
        <f>"18675765478"</f>
        <v>18675765478</v>
      </c>
      <c r="C21006" t="str">
        <f>"422202197803055730"</f>
        <v>422202197803055730</v>
      </c>
      <c r="D21006" t="s">
        <v>1</v>
      </c>
      <c r="E21006" t="s">
        <v>1</v>
      </c>
      <c r="F21006" t="s">
        <v>0</v>
      </c>
      <c r="G21006" t="str">
        <f>"2018-10-07 16:59:01"</f>
        <v>2018-10-07 16:59:01</v>
      </c>
    </row>
    <row r="21007" spans="1:7" x14ac:dyDescent="0.2">
      <c r="A21007" t="s">
        <v>19698</v>
      </c>
      <c r="B21007" t="str">
        <f>"18223880261"</f>
        <v>18223880261</v>
      </c>
      <c r="C21007" t="str">
        <f>"500236199506106854"</f>
        <v>500236199506106854</v>
      </c>
      <c r="D21007" t="s">
        <v>19699</v>
      </c>
      <c r="E21007" t="s">
        <v>19700</v>
      </c>
      <c r="F21007" t="s">
        <v>0</v>
      </c>
      <c r="G21007" t="str">
        <f>"2018-10-07 16:55:48"</f>
        <v>2018-10-07 16:55:48</v>
      </c>
    </row>
    <row r="21008" spans="1:7" x14ac:dyDescent="0.2">
      <c r="A21008" t="s">
        <v>19701</v>
      </c>
      <c r="B21008" t="str">
        <f>"15146971930"</f>
        <v>15146971930</v>
      </c>
      <c r="C21008" t="str">
        <f>"23050519871108051X"</f>
        <v>23050519871108051X</v>
      </c>
      <c r="D21008" t="s">
        <v>1</v>
      </c>
      <c r="E21008" t="s">
        <v>1</v>
      </c>
      <c r="F21008" t="s">
        <v>0</v>
      </c>
      <c r="G21008" t="str">
        <f>"2018-10-07 16:58:34"</f>
        <v>2018-10-07 16:58:34</v>
      </c>
    </row>
    <row r="21009" spans="1:7" x14ac:dyDescent="0.2">
      <c r="A21009" t="s">
        <v>19702</v>
      </c>
      <c r="B21009" t="str">
        <f>"17625302984"</f>
        <v>17625302984</v>
      </c>
      <c r="C21009" t="str">
        <f>"342426199502010417"</f>
        <v>342426199502010417</v>
      </c>
      <c r="D21009" t="s">
        <v>19703</v>
      </c>
      <c r="E21009" t="s">
        <v>19704</v>
      </c>
      <c r="F21009" t="s">
        <v>0</v>
      </c>
      <c r="G21009" t="str">
        <f>"2018-10-07 17:11:24"</f>
        <v>2018-10-07 17:11:24</v>
      </c>
    </row>
    <row r="21010" spans="1:7" x14ac:dyDescent="0.2">
      <c r="A21010" t="s">
        <v>1</v>
      </c>
      <c r="B21010" t="str">
        <f>"13935014941"</f>
        <v>13935014941</v>
      </c>
      <c r="C21010" t="s">
        <v>1</v>
      </c>
      <c r="D21010" t="s">
        <v>1</v>
      </c>
      <c r="E21010" t="s">
        <v>1</v>
      </c>
      <c r="F21010" t="s">
        <v>0</v>
      </c>
      <c r="G21010" t="str">
        <f>"2018-10-07 16:53:43"</f>
        <v>2018-10-07 16:53:43</v>
      </c>
    </row>
    <row r="21011" spans="1:7" x14ac:dyDescent="0.2">
      <c r="A21011" t="s">
        <v>1</v>
      </c>
      <c r="B21011" t="str">
        <f>"13082294455"</f>
        <v>13082294455</v>
      </c>
      <c r="C21011" t="s">
        <v>1</v>
      </c>
      <c r="D21011" t="s">
        <v>1</v>
      </c>
      <c r="E21011" t="s">
        <v>1</v>
      </c>
      <c r="F21011" t="s">
        <v>0</v>
      </c>
      <c r="G21011" t="str">
        <f>"2018-10-07 16:53:40"</f>
        <v>2018-10-07 16:53:40</v>
      </c>
    </row>
    <row r="21012" spans="1:7" x14ac:dyDescent="0.2">
      <c r="A21012" t="s">
        <v>19705</v>
      </c>
      <c r="B21012" t="str">
        <f>"15720021592"</f>
        <v>15720021592</v>
      </c>
      <c r="C21012" t="str">
        <f>"130634198906231916"</f>
        <v>130634198906231916</v>
      </c>
      <c r="D21012" t="s">
        <v>1</v>
      </c>
      <c r="E21012" t="s">
        <v>1</v>
      </c>
      <c r="F21012" t="s">
        <v>0</v>
      </c>
      <c r="G21012" t="str">
        <f>"2018-10-07 16:57:29"</f>
        <v>2018-10-07 16:57:29</v>
      </c>
    </row>
    <row r="21013" spans="1:7" x14ac:dyDescent="0.2">
      <c r="A21013" t="s">
        <v>1</v>
      </c>
      <c r="B21013" t="str">
        <f>"18326057701"</f>
        <v>18326057701</v>
      </c>
      <c r="C21013" t="s">
        <v>1</v>
      </c>
      <c r="D21013" t="s">
        <v>1</v>
      </c>
      <c r="E21013" t="s">
        <v>1</v>
      </c>
      <c r="F21013" t="s">
        <v>0</v>
      </c>
      <c r="G21013" t="str">
        <f>"2018-10-07 16:53:07"</f>
        <v>2018-10-07 16:53:07</v>
      </c>
    </row>
    <row r="21014" spans="1:7" x14ac:dyDescent="0.2">
      <c r="A21014" t="s">
        <v>19706</v>
      </c>
      <c r="B21014" t="str">
        <f>"18108792456"</f>
        <v>18108792456</v>
      </c>
      <c r="C21014" t="str">
        <f>"532701198410080354"</f>
        <v>532701198410080354</v>
      </c>
      <c r="D21014" t="s">
        <v>19707</v>
      </c>
      <c r="E21014" t="s">
        <v>19708</v>
      </c>
      <c r="F21014" t="s">
        <v>0</v>
      </c>
      <c r="G21014" t="str">
        <f>"2018-10-07 16:54:11"</f>
        <v>2018-10-07 16:54:11</v>
      </c>
    </row>
    <row r="21015" spans="1:7" x14ac:dyDescent="0.2">
      <c r="A21015" t="s">
        <v>19709</v>
      </c>
      <c r="B21015" t="str">
        <f>"17585231749"</f>
        <v>17585231749</v>
      </c>
      <c r="C21015" t="str">
        <f>"522501199103182811"</f>
        <v>522501199103182811</v>
      </c>
      <c r="D21015" t="s">
        <v>19710</v>
      </c>
      <c r="E21015" t="s">
        <v>19711</v>
      </c>
      <c r="F21015" t="s">
        <v>0</v>
      </c>
      <c r="G21015" t="str">
        <f>"2018-10-07 16:54:32"</f>
        <v>2018-10-07 16:54:32</v>
      </c>
    </row>
    <row r="21016" spans="1:7" x14ac:dyDescent="0.2">
      <c r="A21016" t="s">
        <v>105</v>
      </c>
      <c r="B21016" t="str">
        <f>"15050265114"</f>
        <v>15050265114</v>
      </c>
      <c r="C21016" t="str">
        <f>"62052319910820141X"</f>
        <v>62052319910820141X</v>
      </c>
      <c r="D21016" t="s">
        <v>1</v>
      </c>
      <c r="E21016" t="s">
        <v>1</v>
      </c>
      <c r="F21016" t="s">
        <v>0</v>
      </c>
      <c r="G21016" t="str">
        <f>"2018-10-07 16:54:57"</f>
        <v>2018-10-07 16:54:57</v>
      </c>
    </row>
    <row r="21017" spans="1:7" x14ac:dyDescent="0.2">
      <c r="A21017" t="s">
        <v>19712</v>
      </c>
      <c r="B21017" t="str">
        <f>"18846631067"</f>
        <v>18846631067</v>
      </c>
      <c r="C21017" t="str">
        <f>"152322199111254426"</f>
        <v>152322199111254426</v>
      </c>
      <c r="D21017" t="s">
        <v>19713</v>
      </c>
      <c r="E21017" t="s">
        <v>19714</v>
      </c>
      <c r="F21017" t="s">
        <v>0</v>
      </c>
      <c r="G21017" t="str">
        <f>"2018-10-07 16:52:33"</f>
        <v>2018-10-07 16:52:33</v>
      </c>
    </row>
    <row r="21018" spans="1:7" x14ac:dyDescent="0.2">
      <c r="A21018" t="s">
        <v>1346</v>
      </c>
      <c r="B21018" t="str">
        <f>"15891964570"</f>
        <v>15891964570</v>
      </c>
      <c r="C21018" t="str">
        <f>"532723198601310026"</f>
        <v>532723198601310026</v>
      </c>
      <c r="D21018" t="s">
        <v>1</v>
      </c>
      <c r="E21018" t="s">
        <v>1</v>
      </c>
      <c r="F21018" t="s">
        <v>0</v>
      </c>
      <c r="G21018" t="str">
        <f>"2018-10-07 16:52:48"</f>
        <v>2018-10-07 16:52:48</v>
      </c>
    </row>
    <row r="21019" spans="1:7" x14ac:dyDescent="0.2">
      <c r="A21019" t="s">
        <v>1</v>
      </c>
      <c r="B21019" t="str">
        <f>"18372615878"</f>
        <v>18372615878</v>
      </c>
      <c r="C21019" t="s">
        <v>1</v>
      </c>
      <c r="D21019" t="s">
        <v>1</v>
      </c>
      <c r="E21019" t="s">
        <v>1</v>
      </c>
      <c r="F21019" t="s">
        <v>0</v>
      </c>
      <c r="G21019" t="str">
        <f>"2018-10-07 16:48:15"</f>
        <v>2018-10-07 16:48:15</v>
      </c>
    </row>
    <row r="21020" spans="1:7" x14ac:dyDescent="0.2">
      <c r="A21020" t="s">
        <v>19715</v>
      </c>
      <c r="B21020" t="str">
        <f>"18028540095"</f>
        <v>18028540095</v>
      </c>
      <c r="C21020" t="str">
        <f>"440181199112164576"</f>
        <v>440181199112164576</v>
      </c>
      <c r="D21020" t="s">
        <v>1</v>
      </c>
      <c r="E21020" t="s">
        <v>1</v>
      </c>
      <c r="F21020" t="s">
        <v>0</v>
      </c>
      <c r="G21020" t="str">
        <f>"2018-10-07 16:50:57"</f>
        <v>2018-10-07 16:50:57</v>
      </c>
    </row>
    <row r="21021" spans="1:7" x14ac:dyDescent="0.2">
      <c r="A21021" t="s">
        <v>19716</v>
      </c>
      <c r="B21021" t="str">
        <f>"18254937302"</f>
        <v>18254937302</v>
      </c>
      <c r="C21021" t="str">
        <f>"37132320000209172X"</f>
        <v>37132320000209172X</v>
      </c>
      <c r="D21021" t="s">
        <v>1</v>
      </c>
      <c r="E21021" t="s">
        <v>1</v>
      </c>
      <c r="F21021" t="s">
        <v>0</v>
      </c>
      <c r="G21021" t="str">
        <f>"2018-10-07 16:48:40"</f>
        <v>2018-10-07 16:48:40</v>
      </c>
    </row>
    <row r="21022" spans="1:7" x14ac:dyDescent="0.2">
      <c r="A21022" t="s">
        <v>19717</v>
      </c>
      <c r="B21022" t="str">
        <f>"13606987817"</f>
        <v>13606987817</v>
      </c>
      <c r="C21022" t="str">
        <f>"352623198001195512"</f>
        <v>352623198001195512</v>
      </c>
      <c r="D21022" t="s">
        <v>1</v>
      </c>
      <c r="E21022" t="s">
        <v>1</v>
      </c>
      <c r="F21022" t="s">
        <v>0</v>
      </c>
      <c r="G21022" t="str">
        <f>"2018-10-07 16:51:03"</f>
        <v>2018-10-07 16:51:03</v>
      </c>
    </row>
    <row r="21023" spans="1:7" x14ac:dyDescent="0.2">
      <c r="A21023" t="s">
        <v>19718</v>
      </c>
      <c r="B21023" t="str">
        <f>"13952763558"</f>
        <v>13952763558</v>
      </c>
      <c r="C21023" t="str">
        <f>"321088199509173131"</f>
        <v>321088199509173131</v>
      </c>
      <c r="D21023" t="s">
        <v>1</v>
      </c>
      <c r="E21023" t="s">
        <v>1</v>
      </c>
      <c r="F21023" t="s">
        <v>0</v>
      </c>
      <c r="G21023" t="str">
        <f>"2018-10-07 16:48:23"</f>
        <v>2018-10-07 16:48:23</v>
      </c>
    </row>
    <row r="21024" spans="1:7" x14ac:dyDescent="0.2">
      <c r="A21024" t="s">
        <v>808</v>
      </c>
      <c r="B21024" t="str">
        <f>"13759270510"</f>
        <v>13759270510</v>
      </c>
      <c r="C21024" t="str">
        <f>"532801198406250360"</f>
        <v>532801198406250360</v>
      </c>
      <c r="D21024" t="s">
        <v>1</v>
      </c>
      <c r="E21024" t="s">
        <v>1</v>
      </c>
      <c r="F21024" t="s">
        <v>0</v>
      </c>
      <c r="G21024" t="str">
        <f>"2018-10-09 16:02:26"</f>
        <v>2018-10-09 16:02:26</v>
      </c>
    </row>
    <row r="21025" spans="1:7" x14ac:dyDescent="0.2">
      <c r="A21025" t="s">
        <v>19719</v>
      </c>
      <c r="B21025" t="str">
        <f>"15977626888"</f>
        <v>15977626888</v>
      </c>
      <c r="C21025" t="str">
        <f>"450211197911091317"</f>
        <v>450211197911091317</v>
      </c>
      <c r="D21025" t="s">
        <v>1</v>
      </c>
      <c r="E21025" t="s">
        <v>1</v>
      </c>
      <c r="F21025" t="s">
        <v>0</v>
      </c>
      <c r="G21025" t="str">
        <f>"2018-10-07 16:48:23"</f>
        <v>2018-10-07 16:48:23</v>
      </c>
    </row>
    <row r="21026" spans="1:7" x14ac:dyDescent="0.2">
      <c r="A21026" t="s">
        <v>19720</v>
      </c>
      <c r="B21026" t="str">
        <f>"15041547517"</f>
        <v>15041547517</v>
      </c>
      <c r="C21026" t="str">
        <f>"210623197502024933"</f>
        <v>210623197502024933</v>
      </c>
      <c r="D21026" t="s">
        <v>1</v>
      </c>
      <c r="E21026" t="s">
        <v>1</v>
      </c>
      <c r="F21026" t="s">
        <v>0</v>
      </c>
      <c r="G21026" t="str">
        <f>"2018-10-07 16:45:26"</f>
        <v>2018-10-07 16:45:26</v>
      </c>
    </row>
    <row r="21027" spans="1:7" x14ac:dyDescent="0.2">
      <c r="A21027" t="s">
        <v>1</v>
      </c>
      <c r="B21027" t="str">
        <f>"13524775367"</f>
        <v>13524775367</v>
      </c>
      <c r="C21027" t="s">
        <v>1</v>
      </c>
      <c r="D21027" t="s">
        <v>1</v>
      </c>
      <c r="E21027" t="s">
        <v>1</v>
      </c>
      <c r="F21027" t="s">
        <v>0</v>
      </c>
      <c r="G21027" t="str">
        <f>"2018-10-07 16:42:24"</f>
        <v>2018-10-07 16:42:24</v>
      </c>
    </row>
    <row r="21028" spans="1:7" x14ac:dyDescent="0.2">
      <c r="A21028" t="s">
        <v>1</v>
      </c>
      <c r="B21028" t="str">
        <f>"13736153033"</f>
        <v>13736153033</v>
      </c>
      <c r="C21028" t="s">
        <v>1</v>
      </c>
      <c r="D21028" t="s">
        <v>1</v>
      </c>
      <c r="E21028" t="s">
        <v>1</v>
      </c>
      <c r="F21028" t="s">
        <v>0</v>
      </c>
      <c r="G21028" t="str">
        <f>"2018-10-07 16:42:14"</f>
        <v>2018-10-07 16:42:14</v>
      </c>
    </row>
    <row r="21029" spans="1:7" x14ac:dyDescent="0.2">
      <c r="A21029" t="s">
        <v>60</v>
      </c>
      <c r="B21029" t="str">
        <f>"15502725212"</f>
        <v>15502725212</v>
      </c>
      <c r="C21029" t="str">
        <f>"420923198907105053"</f>
        <v>420923198907105053</v>
      </c>
      <c r="D21029" t="s">
        <v>1</v>
      </c>
      <c r="E21029" t="s">
        <v>1</v>
      </c>
      <c r="F21029" t="s">
        <v>0</v>
      </c>
      <c r="G21029" t="str">
        <f>"2018-10-07 16:43:00"</f>
        <v>2018-10-07 16:43:00</v>
      </c>
    </row>
    <row r="21030" spans="1:7" x14ac:dyDescent="0.2">
      <c r="A21030" t="s">
        <v>19721</v>
      </c>
      <c r="B21030" t="str">
        <f>"15608088766"</f>
        <v>15608088766</v>
      </c>
      <c r="C21030" t="str">
        <f>"510823199401095186"</f>
        <v>510823199401095186</v>
      </c>
      <c r="D21030" t="s">
        <v>1</v>
      </c>
      <c r="E21030" t="s">
        <v>1</v>
      </c>
      <c r="F21030" t="s">
        <v>0</v>
      </c>
      <c r="G21030" t="str">
        <f>"2018-10-13 10:07:29"</f>
        <v>2018-10-13 10:07:29</v>
      </c>
    </row>
    <row r="21031" spans="1:7" x14ac:dyDescent="0.2">
      <c r="A21031" t="s">
        <v>19722</v>
      </c>
      <c r="B21031" t="str">
        <f>"13686698711"</f>
        <v>13686698711</v>
      </c>
      <c r="C21031" t="str">
        <f>"452133198311141519"</f>
        <v>452133198311141519</v>
      </c>
      <c r="D21031" t="s">
        <v>19723</v>
      </c>
      <c r="E21031" t="s">
        <v>19724</v>
      </c>
      <c r="F21031" t="s">
        <v>0</v>
      </c>
      <c r="G21031" t="str">
        <f>"2018-10-07 16:42:07"</f>
        <v>2018-10-07 16:42:07</v>
      </c>
    </row>
    <row r="21032" spans="1:7" x14ac:dyDescent="0.2">
      <c r="A21032" t="s">
        <v>19725</v>
      </c>
      <c r="B21032" t="str">
        <f>"15829079006"</f>
        <v>15829079006</v>
      </c>
      <c r="C21032" t="str">
        <f>"610527199402236414"</f>
        <v>610527199402236414</v>
      </c>
      <c r="D21032" t="s">
        <v>1</v>
      </c>
      <c r="E21032" t="s">
        <v>1</v>
      </c>
      <c r="F21032" t="s">
        <v>0</v>
      </c>
      <c r="G21032" t="str">
        <f>"2018-10-07 16:43:01"</f>
        <v>2018-10-07 16:43:01</v>
      </c>
    </row>
    <row r="21033" spans="1:7" x14ac:dyDescent="0.2">
      <c r="A21033" t="s">
        <v>1</v>
      </c>
      <c r="B21033" t="str">
        <f>"13799537162"</f>
        <v>13799537162</v>
      </c>
      <c r="C21033" t="s">
        <v>1</v>
      </c>
      <c r="D21033" t="s">
        <v>1</v>
      </c>
      <c r="E21033" t="s">
        <v>1</v>
      </c>
      <c r="F21033" t="s">
        <v>0</v>
      </c>
      <c r="G21033" t="str">
        <f>"2018-10-07 16:39:07"</f>
        <v>2018-10-07 16:39:07</v>
      </c>
    </row>
    <row r="21034" spans="1:7" x14ac:dyDescent="0.2">
      <c r="A21034" t="s">
        <v>19726</v>
      </c>
      <c r="B21034" t="str">
        <f>"13303676069"</f>
        <v>13303676069</v>
      </c>
      <c r="C21034" t="str">
        <f>"231027199511152714"</f>
        <v>231027199511152714</v>
      </c>
      <c r="D21034" t="s">
        <v>19727</v>
      </c>
      <c r="E21034" t="s">
        <v>19728</v>
      </c>
      <c r="F21034" t="s">
        <v>0</v>
      </c>
      <c r="G21034" t="str">
        <f>"2018-10-07 16:41:34"</f>
        <v>2018-10-07 16:41:34</v>
      </c>
    </row>
    <row r="21035" spans="1:7" x14ac:dyDescent="0.2">
      <c r="A21035" t="s">
        <v>19729</v>
      </c>
      <c r="B21035" t="str">
        <f>"18749204544"</f>
        <v>18749204544</v>
      </c>
      <c r="C21035" t="str">
        <f>"412723199805114219"</f>
        <v>412723199805114219</v>
      </c>
      <c r="D21035" t="s">
        <v>19730</v>
      </c>
      <c r="E21035" t="s">
        <v>19731</v>
      </c>
      <c r="F21035" t="s">
        <v>0</v>
      </c>
      <c r="G21035" t="str">
        <f>"2018-10-07 16:41:30"</f>
        <v>2018-10-07 16:41:30</v>
      </c>
    </row>
    <row r="21036" spans="1:7" x14ac:dyDescent="0.2">
      <c r="A21036" t="s">
        <v>19732</v>
      </c>
      <c r="B21036" t="str">
        <f>"15024170800"</f>
        <v>15024170800</v>
      </c>
      <c r="C21036" t="str">
        <f>"430422199109279035"</f>
        <v>430422199109279035</v>
      </c>
      <c r="D21036" t="s">
        <v>1</v>
      </c>
      <c r="E21036" t="s">
        <v>1</v>
      </c>
      <c r="F21036" t="s">
        <v>0</v>
      </c>
      <c r="G21036" t="str">
        <f>"2018-10-07 16:37:25"</f>
        <v>2018-10-07 16:37:25</v>
      </c>
    </row>
    <row r="21037" spans="1:7" x14ac:dyDescent="0.2">
      <c r="A21037" t="s">
        <v>19733</v>
      </c>
      <c r="B21037" t="str">
        <f>"18618178370"</f>
        <v>18618178370</v>
      </c>
      <c r="C21037" t="str">
        <f>"341125199406161473"</f>
        <v>341125199406161473</v>
      </c>
      <c r="D21037" t="s">
        <v>1</v>
      </c>
      <c r="E21037" t="s">
        <v>1</v>
      </c>
      <c r="F21037" t="s">
        <v>0</v>
      </c>
      <c r="G21037" t="str">
        <f>"2018-10-07 16:39:23"</f>
        <v>2018-10-07 16:39:23</v>
      </c>
    </row>
    <row r="21038" spans="1:7" x14ac:dyDescent="0.2">
      <c r="A21038" t="s">
        <v>19734</v>
      </c>
      <c r="B21038" t="str">
        <f>"15952836216"</f>
        <v>15952836216</v>
      </c>
      <c r="C21038" t="str">
        <f>"341125199004090553"</f>
        <v>341125199004090553</v>
      </c>
      <c r="D21038" t="s">
        <v>1</v>
      </c>
      <c r="E21038" t="s">
        <v>1</v>
      </c>
      <c r="F21038" t="s">
        <v>0</v>
      </c>
      <c r="G21038" t="str">
        <f>"2018-10-07 18:27:25"</f>
        <v>2018-10-07 18:27:25</v>
      </c>
    </row>
    <row r="21039" spans="1:7" x14ac:dyDescent="0.2">
      <c r="A21039" t="s">
        <v>1</v>
      </c>
      <c r="B21039" t="str">
        <f>"17600417539"</f>
        <v>17600417539</v>
      </c>
      <c r="C21039" t="s">
        <v>1</v>
      </c>
      <c r="D21039" t="s">
        <v>1</v>
      </c>
      <c r="E21039" t="s">
        <v>1</v>
      </c>
      <c r="F21039" t="s">
        <v>0</v>
      </c>
      <c r="G21039" t="str">
        <f>"2018-10-07 16:36:57"</f>
        <v>2018-10-07 16:36:57</v>
      </c>
    </row>
    <row r="21040" spans="1:7" x14ac:dyDescent="0.2">
      <c r="A21040" t="s">
        <v>19735</v>
      </c>
      <c r="B21040" t="str">
        <f>"18715717689"</f>
        <v>18715717689</v>
      </c>
      <c r="C21040" t="str">
        <f>"510522199709291279"</f>
        <v>510522199709291279</v>
      </c>
      <c r="D21040" t="s">
        <v>1</v>
      </c>
      <c r="E21040" t="s">
        <v>1</v>
      </c>
      <c r="F21040" t="s">
        <v>0</v>
      </c>
      <c r="G21040" t="str">
        <f>"2018-10-07 16:37:29"</f>
        <v>2018-10-07 16:37:29</v>
      </c>
    </row>
    <row r="21041" spans="1:7" x14ac:dyDescent="0.2">
      <c r="A21041" t="s">
        <v>19736</v>
      </c>
      <c r="B21041" t="str">
        <f>"13108512278"</f>
        <v>13108512278</v>
      </c>
      <c r="C21041" t="str">
        <f>"530112197406120018"</f>
        <v>530112197406120018</v>
      </c>
      <c r="D21041" t="s">
        <v>1</v>
      </c>
      <c r="E21041" t="s">
        <v>1</v>
      </c>
      <c r="F21041" t="s">
        <v>0</v>
      </c>
      <c r="G21041" t="str">
        <f>"2018-10-07 16:37:50"</f>
        <v>2018-10-07 16:37:50</v>
      </c>
    </row>
    <row r="21042" spans="1:7" x14ac:dyDescent="0.2">
      <c r="A21042" t="s">
        <v>19737</v>
      </c>
      <c r="B21042" t="str">
        <f>"13466004588"</f>
        <v>13466004588</v>
      </c>
      <c r="C21042" t="str">
        <f>"53222419820202091X"</f>
        <v>53222419820202091X</v>
      </c>
      <c r="D21042" t="s">
        <v>19738</v>
      </c>
      <c r="E21042" t="s">
        <v>19739</v>
      </c>
      <c r="F21042" t="s">
        <v>0</v>
      </c>
      <c r="G21042" t="str">
        <f>"2018-10-07 16:36:30"</f>
        <v>2018-10-07 16:36:30</v>
      </c>
    </row>
    <row r="21043" spans="1:7" x14ac:dyDescent="0.2">
      <c r="A21043" t="s">
        <v>19740</v>
      </c>
      <c r="B21043" t="str">
        <f>"13370887653"</f>
        <v>13370887653</v>
      </c>
      <c r="C21043" t="str">
        <f>"370282199509062336"</f>
        <v>370282199509062336</v>
      </c>
      <c r="D21043" t="s">
        <v>19741</v>
      </c>
      <c r="E21043" t="s">
        <v>19742</v>
      </c>
      <c r="F21043" t="s">
        <v>0</v>
      </c>
      <c r="G21043" t="str">
        <f>"2018-10-07 16:36:12"</f>
        <v>2018-10-07 16:36:12</v>
      </c>
    </row>
    <row r="21044" spans="1:7" x14ac:dyDescent="0.2">
      <c r="A21044" t="s">
        <v>19743</v>
      </c>
      <c r="B21044" t="str">
        <f>"17671372418"</f>
        <v>17671372418</v>
      </c>
      <c r="C21044" t="str">
        <f>"422828198212213937"</f>
        <v>422828198212213937</v>
      </c>
      <c r="D21044" t="s">
        <v>1</v>
      </c>
      <c r="E21044" t="s">
        <v>1</v>
      </c>
      <c r="F21044" t="s">
        <v>0</v>
      </c>
      <c r="G21044" t="str">
        <f>"2018-10-07 16:54:46"</f>
        <v>2018-10-07 16:54:46</v>
      </c>
    </row>
    <row r="21045" spans="1:7" x14ac:dyDescent="0.2">
      <c r="A21045" t="s">
        <v>19744</v>
      </c>
      <c r="B21045" t="str">
        <f>"15816456983"</f>
        <v>15816456983</v>
      </c>
      <c r="C21045" t="str">
        <f>"441323200004114321"</f>
        <v>441323200004114321</v>
      </c>
      <c r="D21045" t="s">
        <v>1</v>
      </c>
      <c r="E21045" t="s">
        <v>1</v>
      </c>
      <c r="F21045" t="s">
        <v>0</v>
      </c>
      <c r="G21045" t="str">
        <f>"2018-10-07 16:36:07"</f>
        <v>2018-10-07 16:36:07</v>
      </c>
    </row>
    <row r="21046" spans="1:7" x14ac:dyDescent="0.2">
      <c r="A21046" t="s">
        <v>1</v>
      </c>
      <c r="B21046" t="str">
        <f>"18152484758"</f>
        <v>18152484758</v>
      </c>
      <c r="C21046" t="s">
        <v>1</v>
      </c>
      <c r="D21046" t="s">
        <v>1</v>
      </c>
      <c r="E21046" t="s">
        <v>1</v>
      </c>
      <c r="F21046" t="s">
        <v>0</v>
      </c>
      <c r="G21046" t="str">
        <f>"2018-10-07 16:35:06"</f>
        <v>2018-10-07 16:35:06</v>
      </c>
    </row>
    <row r="21047" spans="1:7" x14ac:dyDescent="0.2">
      <c r="A21047" t="s">
        <v>19745</v>
      </c>
      <c r="B21047" t="str">
        <f>"15717022470"</f>
        <v>15717022470</v>
      </c>
      <c r="C21047" t="str">
        <f>"360423198812180014"</f>
        <v>360423198812180014</v>
      </c>
      <c r="D21047" t="s">
        <v>19746</v>
      </c>
      <c r="E21047" t="s">
        <v>19747</v>
      </c>
      <c r="F21047" t="s">
        <v>0</v>
      </c>
      <c r="G21047" t="str">
        <f>"2018-10-07 16:35:53"</f>
        <v>2018-10-07 16:35:53</v>
      </c>
    </row>
    <row r="21048" spans="1:7" x14ac:dyDescent="0.2">
      <c r="A21048" t="s">
        <v>19748</v>
      </c>
      <c r="B21048" t="str">
        <f>"13438225232"</f>
        <v>13438225232</v>
      </c>
      <c r="C21048" t="str">
        <f>"510105199111111781"</f>
        <v>510105199111111781</v>
      </c>
      <c r="D21048" t="s">
        <v>1</v>
      </c>
      <c r="E21048" t="s">
        <v>1</v>
      </c>
      <c r="F21048" t="s">
        <v>0</v>
      </c>
      <c r="G21048" t="str">
        <f>"2018-10-08 11:12:36"</f>
        <v>2018-10-08 11:12:36</v>
      </c>
    </row>
    <row r="21049" spans="1:7" x14ac:dyDescent="0.2">
      <c r="A21049" t="s">
        <v>928</v>
      </c>
      <c r="B21049" t="str">
        <f>"13466670489"</f>
        <v>13466670489</v>
      </c>
      <c r="C21049" t="str">
        <f>"110108198612226317"</f>
        <v>110108198612226317</v>
      </c>
      <c r="D21049" t="s">
        <v>1</v>
      </c>
      <c r="E21049" t="s">
        <v>1</v>
      </c>
      <c r="F21049" t="s">
        <v>0</v>
      </c>
      <c r="G21049" t="str">
        <f>"2018-10-31 08:57:14"</f>
        <v>2018-10-31 08:57:14</v>
      </c>
    </row>
    <row r="21050" spans="1:7" x14ac:dyDescent="0.2">
      <c r="A21050" t="s">
        <v>19749</v>
      </c>
      <c r="B21050" t="str">
        <f>"15241705513"</f>
        <v>15241705513</v>
      </c>
      <c r="C21050" t="str">
        <f>"211224199109096521"</f>
        <v>211224199109096521</v>
      </c>
      <c r="D21050" t="s">
        <v>19750</v>
      </c>
      <c r="E21050" t="s">
        <v>19751</v>
      </c>
      <c r="F21050" t="s">
        <v>0</v>
      </c>
      <c r="G21050" t="str">
        <f>"2018-10-07 17:12:20"</f>
        <v>2018-10-07 17:12:20</v>
      </c>
    </row>
    <row r="21051" spans="1:7" x14ac:dyDescent="0.2">
      <c r="A21051" t="s">
        <v>19752</v>
      </c>
      <c r="B21051" t="str">
        <f>"15288985566"</f>
        <v>15288985566</v>
      </c>
      <c r="C21051" t="str">
        <f>"220625198610252414"</f>
        <v>220625198610252414</v>
      </c>
      <c r="D21051" t="s">
        <v>1</v>
      </c>
      <c r="E21051" t="s">
        <v>1</v>
      </c>
      <c r="F21051" t="s">
        <v>0</v>
      </c>
      <c r="G21051" t="str">
        <f>"2018-10-07 16:34:12"</f>
        <v>2018-10-07 16:34:12</v>
      </c>
    </row>
    <row r="21052" spans="1:7" x14ac:dyDescent="0.2">
      <c r="A21052" t="s">
        <v>1</v>
      </c>
      <c r="B21052" t="str">
        <f>"13848532587"</f>
        <v>13848532587</v>
      </c>
      <c r="C21052" t="s">
        <v>1</v>
      </c>
      <c r="D21052" t="s">
        <v>1</v>
      </c>
      <c r="E21052" t="s">
        <v>1</v>
      </c>
      <c r="F21052" t="s">
        <v>0</v>
      </c>
      <c r="G21052" t="str">
        <f>"2018-10-07 16:30:26"</f>
        <v>2018-10-07 16:30:26</v>
      </c>
    </row>
    <row r="21053" spans="1:7" x14ac:dyDescent="0.2">
      <c r="A21053" t="s">
        <v>1372</v>
      </c>
      <c r="B21053" t="str">
        <f>"13597888556"</f>
        <v>13597888556</v>
      </c>
      <c r="C21053" t="str">
        <f>"420324199408184269"</f>
        <v>420324199408184269</v>
      </c>
      <c r="D21053" t="s">
        <v>1</v>
      </c>
      <c r="E21053" t="s">
        <v>1</v>
      </c>
      <c r="F21053" t="s">
        <v>0</v>
      </c>
      <c r="G21053" t="str">
        <f>"2018-10-07 16:38:15"</f>
        <v>2018-10-07 16:38:15</v>
      </c>
    </row>
    <row r="21054" spans="1:7" x14ac:dyDescent="0.2">
      <c r="A21054" t="s">
        <v>1</v>
      </c>
      <c r="B21054" t="str">
        <f>"18760365332"</f>
        <v>18760365332</v>
      </c>
      <c r="C21054" t="s">
        <v>1</v>
      </c>
      <c r="D21054" t="s">
        <v>1</v>
      </c>
      <c r="E21054" t="s">
        <v>1</v>
      </c>
      <c r="F21054" t="s">
        <v>0</v>
      </c>
      <c r="G21054" t="str">
        <f>"2018-10-07 16:30:57"</f>
        <v>2018-10-07 16:30:57</v>
      </c>
    </row>
    <row r="21055" spans="1:7" x14ac:dyDescent="0.2">
      <c r="A21055" t="s">
        <v>597</v>
      </c>
      <c r="B21055" t="str">
        <f>"13529229454"</f>
        <v>13529229454</v>
      </c>
      <c r="C21055" t="str">
        <f>"532621199605043523"</f>
        <v>532621199605043523</v>
      </c>
      <c r="D21055" t="s">
        <v>19753</v>
      </c>
      <c r="E21055" t="s">
        <v>19754</v>
      </c>
      <c r="F21055" t="s">
        <v>0</v>
      </c>
      <c r="G21055" t="str">
        <f>"2018-10-07 16:31:46"</f>
        <v>2018-10-07 16:31:46</v>
      </c>
    </row>
    <row r="21056" spans="1:7" x14ac:dyDescent="0.2">
      <c r="A21056" t="s">
        <v>19755</v>
      </c>
      <c r="B21056" t="str">
        <f>"17695455424"</f>
        <v>17695455424</v>
      </c>
      <c r="C21056" t="str">
        <f>"12010219970424174X"</f>
        <v>12010219970424174X</v>
      </c>
      <c r="D21056" t="s">
        <v>1</v>
      </c>
      <c r="E21056" t="s">
        <v>1</v>
      </c>
      <c r="F21056" t="s">
        <v>0</v>
      </c>
      <c r="G21056" t="str">
        <f>"2018-10-07 16:28:49"</f>
        <v>2018-10-07 16:28:49</v>
      </c>
    </row>
    <row r="21057" spans="1:7" x14ac:dyDescent="0.2">
      <c r="A21057" t="s">
        <v>19756</v>
      </c>
      <c r="B21057" t="str">
        <f>"18487101604"</f>
        <v>18487101604</v>
      </c>
      <c r="C21057" t="str">
        <f>"533024199407294521"</f>
        <v>533024199407294521</v>
      </c>
      <c r="D21057" t="s">
        <v>1</v>
      </c>
      <c r="E21057" t="s">
        <v>1</v>
      </c>
      <c r="F21057" t="s">
        <v>0</v>
      </c>
      <c r="G21057" t="str">
        <f>"2018-10-29 22:39:54"</f>
        <v>2018-10-29 22:39:54</v>
      </c>
    </row>
    <row r="21058" spans="1:7" x14ac:dyDescent="0.2">
      <c r="A21058" t="s">
        <v>104</v>
      </c>
      <c r="B21058" t="str">
        <f>"18061160563"</f>
        <v>18061160563</v>
      </c>
      <c r="C21058" t="str">
        <f>"321084198612064419"</f>
        <v>321084198612064419</v>
      </c>
      <c r="D21058" t="s">
        <v>19757</v>
      </c>
      <c r="E21058" t="s">
        <v>19758</v>
      </c>
      <c r="F21058" t="s">
        <v>0</v>
      </c>
      <c r="G21058" t="str">
        <f>"2018-10-07 16:30:30"</f>
        <v>2018-10-07 16:30:30</v>
      </c>
    </row>
    <row r="21059" spans="1:7" x14ac:dyDescent="0.2">
      <c r="A21059" t="s">
        <v>19759</v>
      </c>
      <c r="B21059" t="str">
        <f>"13133939970"</f>
        <v>13133939970</v>
      </c>
      <c r="C21059" t="str">
        <f>"362301199803132013"</f>
        <v>362301199803132013</v>
      </c>
      <c r="D21059" t="s">
        <v>1</v>
      </c>
      <c r="E21059" t="s">
        <v>1</v>
      </c>
      <c r="F21059" t="s">
        <v>0</v>
      </c>
      <c r="G21059" t="str">
        <f>"2018-10-07 16:27:47"</f>
        <v>2018-10-07 16:27:47</v>
      </c>
    </row>
    <row r="21060" spans="1:7" x14ac:dyDescent="0.2">
      <c r="A21060" t="s">
        <v>19760</v>
      </c>
      <c r="B21060" t="str">
        <f>"13738880790"</f>
        <v>13738880790</v>
      </c>
      <c r="C21060" t="str">
        <f>"330225199010118615"</f>
        <v>330225199010118615</v>
      </c>
      <c r="D21060" t="s">
        <v>1</v>
      </c>
      <c r="E21060" t="s">
        <v>1</v>
      </c>
      <c r="F21060" t="s">
        <v>0</v>
      </c>
      <c r="G21060" t="str">
        <f>"2018-10-07 17:13:50"</f>
        <v>2018-10-07 17:13:50</v>
      </c>
    </row>
    <row r="21061" spans="1:7" x14ac:dyDescent="0.2">
      <c r="A21061" t="s">
        <v>19761</v>
      </c>
      <c r="B21061" t="str">
        <f>"13980797059"</f>
        <v>13980797059</v>
      </c>
      <c r="C21061" t="str">
        <f>"510131199407264237"</f>
        <v>510131199407264237</v>
      </c>
      <c r="D21061" t="s">
        <v>19762</v>
      </c>
      <c r="E21061" t="s">
        <v>19763</v>
      </c>
      <c r="F21061" t="s">
        <v>0</v>
      </c>
      <c r="G21061" t="str">
        <f>"2018-10-07 16:28:00"</f>
        <v>2018-10-07 16:28:00</v>
      </c>
    </row>
    <row r="21062" spans="1:7" x14ac:dyDescent="0.2">
      <c r="A21062" t="s">
        <v>19764</v>
      </c>
      <c r="B21062" t="str">
        <f>"17642136383"</f>
        <v>17642136383</v>
      </c>
      <c r="C21062" t="str">
        <f>"211381199909030814"</f>
        <v>211381199909030814</v>
      </c>
      <c r="D21062" t="s">
        <v>1</v>
      </c>
      <c r="E21062" t="s">
        <v>1</v>
      </c>
      <c r="F21062" t="s">
        <v>0</v>
      </c>
      <c r="G21062" t="str">
        <f>"2018-10-11 12:13:22"</f>
        <v>2018-10-11 12:13:22</v>
      </c>
    </row>
    <row r="21063" spans="1:7" x14ac:dyDescent="0.2">
      <c r="A21063" t="s">
        <v>329</v>
      </c>
      <c r="B21063" t="str">
        <f>"13770257297"</f>
        <v>13770257297</v>
      </c>
      <c r="C21063" t="str">
        <f>"320981199902073210"</f>
        <v>320981199902073210</v>
      </c>
      <c r="D21063" t="s">
        <v>1</v>
      </c>
      <c r="E21063" t="s">
        <v>1</v>
      </c>
      <c r="F21063" t="s">
        <v>0</v>
      </c>
      <c r="G21063" t="str">
        <f>"2018-10-07 16:28:06"</f>
        <v>2018-10-07 16:28:06</v>
      </c>
    </row>
    <row r="21064" spans="1:7" x14ac:dyDescent="0.2">
      <c r="A21064" t="s">
        <v>19765</v>
      </c>
      <c r="B21064" t="str">
        <f>"13708982205"</f>
        <v>13708982205</v>
      </c>
      <c r="C21064" t="str">
        <f>"370212198610281230"</f>
        <v>370212198610281230</v>
      </c>
      <c r="D21064" t="s">
        <v>19766</v>
      </c>
      <c r="E21064" t="s">
        <v>19767</v>
      </c>
      <c r="F21064" t="s">
        <v>0</v>
      </c>
      <c r="G21064" t="str">
        <f>"2018-10-24 23:54:08"</f>
        <v>2018-10-24 23:54:08</v>
      </c>
    </row>
    <row r="21065" spans="1:7" x14ac:dyDescent="0.2">
      <c r="A21065" t="s">
        <v>19768</v>
      </c>
      <c r="B21065" t="str">
        <f>"13511238343"</f>
        <v>13511238343</v>
      </c>
      <c r="C21065" t="str">
        <f>"330501198208063454"</f>
        <v>330501198208063454</v>
      </c>
      <c r="D21065" t="s">
        <v>1</v>
      </c>
      <c r="E21065" t="s">
        <v>1</v>
      </c>
      <c r="F21065" t="s">
        <v>0</v>
      </c>
      <c r="G21065" t="str">
        <f>"2018-10-07 16:24:40"</f>
        <v>2018-10-07 16:24:40</v>
      </c>
    </row>
    <row r="21066" spans="1:7" x14ac:dyDescent="0.2">
      <c r="A21066" t="s">
        <v>19769</v>
      </c>
      <c r="B21066" t="str">
        <f>"15017091903"</f>
        <v>15017091903</v>
      </c>
      <c r="C21066" t="str">
        <f>"450481199212161418"</f>
        <v>450481199212161418</v>
      </c>
      <c r="D21066" t="s">
        <v>1</v>
      </c>
      <c r="E21066" t="s">
        <v>1</v>
      </c>
      <c r="F21066" t="s">
        <v>0</v>
      </c>
      <c r="G21066" t="str">
        <f>"2018-10-07 16:21:53"</f>
        <v>2018-10-07 16:21:53</v>
      </c>
    </row>
    <row r="21067" spans="1:7" x14ac:dyDescent="0.2">
      <c r="A21067" t="s">
        <v>19770</v>
      </c>
      <c r="B21067" t="str">
        <f>"15809576090"</f>
        <v>15809576090</v>
      </c>
      <c r="C21067" t="str">
        <f>"640122199507142125"</f>
        <v>640122199507142125</v>
      </c>
      <c r="D21067" t="s">
        <v>1</v>
      </c>
      <c r="E21067" t="s">
        <v>1</v>
      </c>
      <c r="F21067" t="s">
        <v>0</v>
      </c>
      <c r="G21067" t="str">
        <f>"2018-10-07 16:26:24"</f>
        <v>2018-10-07 16:26:24</v>
      </c>
    </row>
    <row r="21068" spans="1:7" x14ac:dyDescent="0.2">
      <c r="A21068" t="s">
        <v>19771</v>
      </c>
      <c r="B21068" t="str">
        <f>"13112799722"</f>
        <v>13112799722</v>
      </c>
      <c r="C21068" t="str">
        <f>"440603199412274214"</f>
        <v>440603199412274214</v>
      </c>
      <c r="D21068" t="s">
        <v>1</v>
      </c>
      <c r="E21068" t="s">
        <v>1</v>
      </c>
      <c r="F21068" t="s">
        <v>0</v>
      </c>
      <c r="G21068" t="str">
        <f>"2018-10-07 16:25:39"</f>
        <v>2018-10-07 16:25:39</v>
      </c>
    </row>
    <row r="21069" spans="1:7" x14ac:dyDescent="0.2">
      <c r="A21069" t="s">
        <v>19772</v>
      </c>
      <c r="B21069" t="str">
        <f>"18756052866"</f>
        <v>18756052866</v>
      </c>
      <c r="C21069" t="str">
        <f>"340621198702285688"</f>
        <v>340621198702285688</v>
      </c>
      <c r="D21069" t="s">
        <v>1</v>
      </c>
      <c r="E21069" t="s">
        <v>1</v>
      </c>
      <c r="F21069" t="s">
        <v>0</v>
      </c>
      <c r="G21069" t="str">
        <f>"2018-10-07 16:27:18"</f>
        <v>2018-10-07 16:27:18</v>
      </c>
    </row>
    <row r="21070" spans="1:7" x14ac:dyDescent="0.2">
      <c r="A21070" t="s">
        <v>19773</v>
      </c>
      <c r="B21070" t="str">
        <f>"17704515662"</f>
        <v>17704515662</v>
      </c>
      <c r="C21070" t="str">
        <f>"220182198703237213"</f>
        <v>220182198703237213</v>
      </c>
      <c r="D21070" t="s">
        <v>1</v>
      </c>
      <c r="E21070" t="s">
        <v>1</v>
      </c>
      <c r="F21070" t="s">
        <v>0</v>
      </c>
      <c r="G21070" t="str">
        <f>"2018-10-15 20:52:39"</f>
        <v>2018-10-15 20:52:39</v>
      </c>
    </row>
    <row r="21071" spans="1:7" x14ac:dyDescent="0.2">
      <c r="A21071" t="s">
        <v>1</v>
      </c>
      <c r="B21071" t="str">
        <f>"15177441009"</f>
        <v>15177441009</v>
      </c>
      <c r="C21071" t="s">
        <v>1</v>
      </c>
      <c r="D21071" t="s">
        <v>1</v>
      </c>
      <c r="E21071" t="s">
        <v>1</v>
      </c>
      <c r="F21071" t="s">
        <v>0</v>
      </c>
      <c r="G21071" t="str">
        <f>"2018-10-07 16:19:21"</f>
        <v>2018-10-07 16:19:21</v>
      </c>
    </row>
    <row r="21072" spans="1:7" x14ac:dyDescent="0.2">
      <c r="A21072" t="s">
        <v>1</v>
      </c>
      <c r="B21072" t="str">
        <f>"15973117350"</f>
        <v>15973117350</v>
      </c>
      <c r="C21072" t="s">
        <v>1</v>
      </c>
      <c r="D21072" t="s">
        <v>1</v>
      </c>
      <c r="E21072" t="s">
        <v>1</v>
      </c>
      <c r="F21072" t="s">
        <v>0</v>
      </c>
      <c r="G21072" t="str">
        <f>"2018-10-07 16:19:11"</f>
        <v>2018-10-07 16:19:11</v>
      </c>
    </row>
    <row r="21073" spans="1:7" x14ac:dyDescent="0.2">
      <c r="A21073" t="s">
        <v>919</v>
      </c>
      <c r="B21073" t="str">
        <f>"18593977243"</f>
        <v>18593977243</v>
      </c>
      <c r="C21073" t="str">
        <f>"360313199607061565"</f>
        <v>360313199607061565</v>
      </c>
      <c r="D21073" t="s">
        <v>1</v>
      </c>
      <c r="E21073" t="s">
        <v>1</v>
      </c>
      <c r="F21073" t="s">
        <v>0</v>
      </c>
      <c r="G21073" t="str">
        <f>"2018-10-10 12:53:09"</f>
        <v>2018-10-10 12:53:09</v>
      </c>
    </row>
    <row r="21074" spans="1:7" x14ac:dyDescent="0.2">
      <c r="A21074" t="s">
        <v>19774</v>
      </c>
      <c r="B21074" t="str">
        <f>"13507621858"</f>
        <v>13507621858</v>
      </c>
      <c r="C21074" t="str">
        <f>"410422197404144819"</f>
        <v>410422197404144819</v>
      </c>
      <c r="D21074" t="s">
        <v>1</v>
      </c>
      <c r="E21074" t="s">
        <v>1</v>
      </c>
      <c r="F21074" t="s">
        <v>0</v>
      </c>
      <c r="G21074" t="str">
        <f>"2018-10-07 16:20:29"</f>
        <v>2018-10-07 16:20:29</v>
      </c>
    </row>
    <row r="21075" spans="1:7" x14ac:dyDescent="0.2">
      <c r="A21075" t="s">
        <v>19775</v>
      </c>
      <c r="B21075" t="str">
        <f>"15879189214"</f>
        <v>15879189214</v>
      </c>
      <c r="C21075" t="str">
        <f>"360121199212211214"</f>
        <v>360121199212211214</v>
      </c>
      <c r="D21075" t="s">
        <v>1</v>
      </c>
      <c r="E21075" t="s">
        <v>1</v>
      </c>
      <c r="F21075" t="s">
        <v>0</v>
      </c>
      <c r="G21075" t="str">
        <f>"2018-10-16 12:29:24"</f>
        <v>2018-10-16 12:29:24</v>
      </c>
    </row>
    <row r="21076" spans="1:7" x14ac:dyDescent="0.2">
      <c r="A21076" t="s">
        <v>19776</v>
      </c>
      <c r="B21076" t="str">
        <f>"18135920838"</f>
        <v>18135920838</v>
      </c>
      <c r="C21076" t="str">
        <f>"142723198005171231"</f>
        <v>142723198005171231</v>
      </c>
      <c r="D21076" t="s">
        <v>1</v>
      </c>
      <c r="E21076" t="s">
        <v>1</v>
      </c>
      <c r="F21076" t="s">
        <v>0</v>
      </c>
      <c r="G21076" t="str">
        <f>"2018-10-07 16:18:29"</f>
        <v>2018-10-07 16:18:29</v>
      </c>
    </row>
    <row r="21077" spans="1:7" x14ac:dyDescent="0.2">
      <c r="A21077" t="s">
        <v>19777</v>
      </c>
      <c r="B21077" t="str">
        <f>"18604728998"</f>
        <v>18604728998</v>
      </c>
      <c r="C21077" t="str">
        <f>"150203196604210202"</f>
        <v>150203196604210202</v>
      </c>
      <c r="D21077" t="s">
        <v>1</v>
      </c>
      <c r="E21077" t="s">
        <v>1</v>
      </c>
      <c r="F21077" t="s">
        <v>0</v>
      </c>
      <c r="G21077" t="str">
        <f>"2018-10-07 16:19:38"</f>
        <v>2018-10-07 16:19:38</v>
      </c>
    </row>
    <row r="21078" spans="1:7" x14ac:dyDescent="0.2">
      <c r="A21078" t="s">
        <v>19778</v>
      </c>
      <c r="B21078" t="str">
        <f>"15523722537"</f>
        <v>15523722537</v>
      </c>
      <c r="C21078" t="str">
        <f>"511221198009161274"</f>
        <v>511221198009161274</v>
      </c>
      <c r="D21078" t="s">
        <v>19779</v>
      </c>
      <c r="E21078" t="s">
        <v>19780</v>
      </c>
      <c r="F21078" t="s">
        <v>0</v>
      </c>
      <c r="G21078" t="str">
        <f>"2018-10-07 16:33:46"</f>
        <v>2018-10-07 16:33:46</v>
      </c>
    </row>
    <row r="21079" spans="1:7" x14ac:dyDescent="0.2">
      <c r="A21079" t="s">
        <v>19781</v>
      </c>
      <c r="B21079" t="str">
        <f>"18756165728"</f>
        <v>18756165728</v>
      </c>
      <c r="C21079" t="str">
        <f>"342623199305224418"</f>
        <v>342623199305224418</v>
      </c>
      <c r="D21079" t="s">
        <v>19782</v>
      </c>
      <c r="E21079" t="s">
        <v>19783</v>
      </c>
      <c r="F21079" t="s">
        <v>0</v>
      </c>
      <c r="G21079" t="str">
        <f>"2018-10-26 22:31:15"</f>
        <v>2018-10-26 22:31:15</v>
      </c>
    </row>
    <row r="21080" spans="1:7" x14ac:dyDescent="0.2">
      <c r="A21080" t="s">
        <v>19784</v>
      </c>
      <c r="B21080" t="str">
        <f>"15876277119"</f>
        <v>15876277119</v>
      </c>
      <c r="C21080" t="str">
        <f>"440781198210106714"</f>
        <v>440781198210106714</v>
      </c>
      <c r="D21080" t="s">
        <v>1</v>
      </c>
      <c r="E21080" t="s">
        <v>1</v>
      </c>
      <c r="F21080" t="s">
        <v>0</v>
      </c>
      <c r="G21080" t="str">
        <f>"2018-10-07 16:17:00"</f>
        <v>2018-10-07 16:17:00</v>
      </c>
    </row>
    <row r="21081" spans="1:7" x14ac:dyDescent="0.2">
      <c r="A21081" t="s">
        <v>19785</v>
      </c>
      <c r="B21081" t="str">
        <f>"18587899165"</f>
        <v>18587899165</v>
      </c>
      <c r="C21081" t="str">
        <f>"500235198908151972"</f>
        <v>500235198908151972</v>
      </c>
      <c r="D21081" t="s">
        <v>1</v>
      </c>
      <c r="E21081" t="s">
        <v>1</v>
      </c>
      <c r="F21081" t="s">
        <v>0</v>
      </c>
      <c r="G21081" t="str">
        <f>"2018-10-07 16:15:15"</f>
        <v>2018-10-07 16:15:15</v>
      </c>
    </row>
    <row r="21082" spans="1:7" x14ac:dyDescent="0.2">
      <c r="A21082" t="s">
        <v>19786</v>
      </c>
      <c r="B21082" t="str">
        <f>"18682020935"</f>
        <v>18682020935</v>
      </c>
      <c r="C21082" t="str">
        <f>"360730199010060920"</f>
        <v>360730199010060920</v>
      </c>
      <c r="D21082" t="s">
        <v>1</v>
      </c>
      <c r="E21082" t="s">
        <v>1</v>
      </c>
      <c r="F21082" t="s">
        <v>0</v>
      </c>
      <c r="G21082" t="str">
        <f>"2018-10-07 16:19:20"</f>
        <v>2018-10-07 16:19:20</v>
      </c>
    </row>
    <row r="21083" spans="1:7" x14ac:dyDescent="0.2">
      <c r="A21083" t="s">
        <v>19787</v>
      </c>
      <c r="B21083" t="str">
        <f>"15532876507"</f>
        <v>15532876507</v>
      </c>
      <c r="C21083" t="str">
        <f>"130923199402116430"</f>
        <v>130923199402116430</v>
      </c>
      <c r="D21083" t="s">
        <v>1</v>
      </c>
      <c r="E21083" t="s">
        <v>1</v>
      </c>
      <c r="F21083" t="s">
        <v>0</v>
      </c>
      <c r="G21083" t="str">
        <f>"2018-10-07 16:17:08"</f>
        <v>2018-10-07 16:17:08</v>
      </c>
    </row>
    <row r="21084" spans="1:7" x14ac:dyDescent="0.2">
      <c r="A21084" t="s">
        <v>19788</v>
      </c>
      <c r="B21084" t="str">
        <f>"13547217657"</f>
        <v>13547217657</v>
      </c>
      <c r="C21084" t="str">
        <f>"511102198702272015"</f>
        <v>511102198702272015</v>
      </c>
      <c r="D21084" t="s">
        <v>1</v>
      </c>
      <c r="E21084" t="s">
        <v>1</v>
      </c>
      <c r="F21084" t="s">
        <v>0</v>
      </c>
      <c r="G21084" t="str">
        <f>"2018-10-07 16:20:04"</f>
        <v>2018-10-07 16:20:04</v>
      </c>
    </row>
    <row r="21085" spans="1:7" x14ac:dyDescent="0.2">
      <c r="A21085" t="s">
        <v>19789</v>
      </c>
      <c r="B21085" t="str">
        <f>"13929562054"</f>
        <v>13929562054</v>
      </c>
      <c r="C21085" t="str">
        <f>"440102197905283618"</f>
        <v>440102197905283618</v>
      </c>
      <c r="D21085" t="s">
        <v>19790</v>
      </c>
      <c r="E21085" t="s">
        <v>19791</v>
      </c>
      <c r="F21085" t="s">
        <v>0</v>
      </c>
      <c r="G21085" t="str">
        <f>"2018-10-30 12:20:42"</f>
        <v>2018-10-30 12:20:42</v>
      </c>
    </row>
    <row r="21086" spans="1:7" x14ac:dyDescent="0.2">
      <c r="A21086" t="s">
        <v>19792</v>
      </c>
      <c r="B21086" t="str">
        <f>"15918395119"</f>
        <v>15918395119</v>
      </c>
      <c r="C21086" t="str">
        <f>"360722199111234539"</f>
        <v>360722199111234539</v>
      </c>
      <c r="D21086" t="s">
        <v>1</v>
      </c>
      <c r="E21086" t="s">
        <v>1</v>
      </c>
      <c r="F21086" t="s">
        <v>0</v>
      </c>
      <c r="G21086" t="str">
        <f>"2018-10-07 16:13:26"</f>
        <v>2018-10-07 16:13:26</v>
      </c>
    </row>
    <row r="21087" spans="1:7" x14ac:dyDescent="0.2">
      <c r="A21087" t="s">
        <v>19793</v>
      </c>
      <c r="B21087" t="str">
        <f>"13542076399"</f>
        <v>13542076399</v>
      </c>
      <c r="C21087" t="str">
        <f>"440811196902280913"</f>
        <v>440811196902280913</v>
      </c>
      <c r="D21087" t="s">
        <v>19794</v>
      </c>
      <c r="E21087" t="s">
        <v>19795</v>
      </c>
      <c r="F21087" t="s">
        <v>0</v>
      </c>
      <c r="G21087" t="str">
        <f>"2018-10-07 16:15:27"</f>
        <v>2018-10-07 16:15:27</v>
      </c>
    </row>
    <row r="21088" spans="1:7" x14ac:dyDescent="0.2">
      <c r="A21088" t="s">
        <v>1</v>
      </c>
      <c r="B21088" t="str">
        <f>"13754734457"</f>
        <v>13754734457</v>
      </c>
      <c r="C21088" t="s">
        <v>1</v>
      </c>
      <c r="D21088" t="s">
        <v>1</v>
      </c>
      <c r="E21088" t="s">
        <v>1</v>
      </c>
      <c r="F21088" t="s">
        <v>0</v>
      </c>
      <c r="G21088" t="str">
        <f>"2018-10-07 16:13:11"</f>
        <v>2018-10-07 16:13:11</v>
      </c>
    </row>
    <row r="21089" spans="1:7" x14ac:dyDescent="0.2">
      <c r="A21089" t="s">
        <v>19796</v>
      </c>
      <c r="B21089" t="str">
        <f>"15873979101"</f>
        <v>15873979101</v>
      </c>
      <c r="C21089" t="str">
        <f>"430503198307170518"</f>
        <v>430503198307170518</v>
      </c>
      <c r="D21089" t="s">
        <v>19797</v>
      </c>
      <c r="E21089" t="s">
        <v>19798</v>
      </c>
      <c r="F21089" t="s">
        <v>0</v>
      </c>
      <c r="G21089" t="str">
        <f>"2018-10-07 16:15:46"</f>
        <v>2018-10-07 16:15:46</v>
      </c>
    </row>
    <row r="21090" spans="1:7" x14ac:dyDescent="0.2">
      <c r="A21090" t="s">
        <v>19799</v>
      </c>
      <c r="B21090" t="str">
        <f>"13547249398"</f>
        <v>13547249398</v>
      </c>
      <c r="C21090" t="str">
        <f>"513021199012070192"</f>
        <v>513021199012070192</v>
      </c>
      <c r="D21090" t="s">
        <v>19800</v>
      </c>
      <c r="E21090" t="s">
        <v>19801</v>
      </c>
      <c r="F21090" t="s">
        <v>0</v>
      </c>
      <c r="G21090" t="str">
        <f>"2018-10-07 16:13:49"</f>
        <v>2018-10-07 16:13:49</v>
      </c>
    </row>
    <row r="21091" spans="1:7" x14ac:dyDescent="0.2">
      <c r="A21091" t="s">
        <v>19802</v>
      </c>
      <c r="B21091" t="str">
        <f>"13551292782"</f>
        <v>13551292782</v>
      </c>
      <c r="C21091" t="str">
        <f>"511025198806052817"</f>
        <v>511025198806052817</v>
      </c>
      <c r="D21091" t="s">
        <v>1</v>
      </c>
      <c r="E21091" t="s">
        <v>1</v>
      </c>
      <c r="F21091" t="s">
        <v>0</v>
      </c>
      <c r="G21091" t="str">
        <f>"2018-10-07 16:14:01"</f>
        <v>2018-10-07 16:14:01</v>
      </c>
    </row>
    <row r="21092" spans="1:7" x14ac:dyDescent="0.2">
      <c r="A21092" t="s">
        <v>1368</v>
      </c>
      <c r="B21092" t="str">
        <f>"18158514476"</f>
        <v>18158514476</v>
      </c>
      <c r="C21092" t="str">
        <f>"331126199508095512"</f>
        <v>331126199508095512</v>
      </c>
      <c r="D21092" t="s">
        <v>1</v>
      </c>
      <c r="E21092" t="s">
        <v>1</v>
      </c>
      <c r="F21092" t="s">
        <v>0</v>
      </c>
      <c r="G21092" t="str">
        <f>"2018-10-07 16:14:27"</f>
        <v>2018-10-07 16:14:27</v>
      </c>
    </row>
    <row r="21093" spans="1:7" x14ac:dyDescent="0.2">
      <c r="A21093" t="s">
        <v>19803</v>
      </c>
      <c r="B21093" t="str">
        <f>"18700424274"</f>
        <v>18700424274</v>
      </c>
      <c r="C21093" t="str">
        <f>"610321199508222142"</f>
        <v>610321199508222142</v>
      </c>
      <c r="D21093" t="s">
        <v>19804</v>
      </c>
      <c r="E21093" t="s">
        <v>19805</v>
      </c>
      <c r="F21093" t="s">
        <v>0</v>
      </c>
      <c r="G21093" t="str">
        <f>"2018-10-07 16:15:57"</f>
        <v>2018-10-07 16:15:57</v>
      </c>
    </row>
    <row r="21094" spans="1:7" x14ac:dyDescent="0.2">
      <c r="A21094" t="s">
        <v>19806</v>
      </c>
      <c r="B21094" t="str">
        <f>"13544700749"</f>
        <v>13544700749</v>
      </c>
      <c r="C21094" t="str">
        <f>"441900199403185859"</f>
        <v>441900199403185859</v>
      </c>
      <c r="D21094" t="s">
        <v>1</v>
      </c>
      <c r="E21094" t="s">
        <v>1</v>
      </c>
      <c r="F21094" t="s">
        <v>0</v>
      </c>
      <c r="G21094" t="str">
        <f>"2018-10-07 16:47:30"</f>
        <v>2018-10-07 16:47:30</v>
      </c>
    </row>
    <row r="21095" spans="1:7" x14ac:dyDescent="0.2">
      <c r="A21095" t="s">
        <v>19807</v>
      </c>
      <c r="B21095" t="str">
        <f>"18854448898"</f>
        <v>18854448898</v>
      </c>
      <c r="C21095" t="str">
        <f>"37132219810720275X"</f>
        <v>37132219810720275X</v>
      </c>
      <c r="D21095" t="s">
        <v>1</v>
      </c>
      <c r="E21095" t="s">
        <v>1</v>
      </c>
      <c r="F21095" t="s">
        <v>0</v>
      </c>
      <c r="G21095" t="str">
        <f>"2018-10-07 16:24:42"</f>
        <v>2018-10-07 16:24:42</v>
      </c>
    </row>
    <row r="21096" spans="1:7" x14ac:dyDescent="0.2">
      <c r="A21096" t="s">
        <v>19808</v>
      </c>
      <c r="B21096" t="str">
        <f>"17665146484"</f>
        <v>17665146484</v>
      </c>
      <c r="C21096" t="str">
        <f>"430581200001264027"</f>
        <v>430581200001264027</v>
      </c>
      <c r="D21096" t="s">
        <v>1</v>
      </c>
      <c r="E21096" t="s">
        <v>1</v>
      </c>
      <c r="F21096" t="s">
        <v>0</v>
      </c>
      <c r="G21096" t="str">
        <f>"2018-10-07 16:45:52"</f>
        <v>2018-10-07 16:45:52</v>
      </c>
    </row>
    <row r="21097" spans="1:7" x14ac:dyDescent="0.2">
      <c r="A21097" t="s">
        <v>1</v>
      </c>
      <c r="B21097" t="str">
        <f>"13633405961"</f>
        <v>13633405961</v>
      </c>
      <c r="C21097" t="s">
        <v>1</v>
      </c>
      <c r="D21097" t="s">
        <v>1</v>
      </c>
      <c r="E21097" t="s">
        <v>1</v>
      </c>
      <c r="F21097" t="s">
        <v>0</v>
      </c>
      <c r="G21097" t="str">
        <f>"2018-10-07 16:12:10"</f>
        <v>2018-10-07 16:12:10</v>
      </c>
    </row>
    <row r="21098" spans="1:7" x14ac:dyDescent="0.2">
      <c r="A21098" t="s">
        <v>19809</v>
      </c>
      <c r="B21098" t="str">
        <f>"13775984747"</f>
        <v>13775984747</v>
      </c>
      <c r="C21098" t="str">
        <f>"320305198112050432"</f>
        <v>320305198112050432</v>
      </c>
      <c r="D21098" t="s">
        <v>1</v>
      </c>
      <c r="E21098" t="s">
        <v>1</v>
      </c>
      <c r="F21098" t="s">
        <v>0</v>
      </c>
      <c r="G21098" t="str">
        <f>"2018-10-07 16:10:54"</f>
        <v>2018-10-07 16:10:54</v>
      </c>
    </row>
    <row r="21099" spans="1:7" x14ac:dyDescent="0.2">
      <c r="A21099" t="s">
        <v>1</v>
      </c>
      <c r="B21099" t="str">
        <f>"13598882749"</f>
        <v>13598882749</v>
      </c>
      <c r="C21099" t="s">
        <v>1</v>
      </c>
      <c r="D21099" t="s">
        <v>1</v>
      </c>
      <c r="E21099" t="s">
        <v>1</v>
      </c>
      <c r="F21099" t="s">
        <v>0</v>
      </c>
      <c r="G21099" t="str">
        <f>"2018-10-07 16:08:18"</f>
        <v>2018-10-07 16:08:18</v>
      </c>
    </row>
    <row r="21100" spans="1:7" x14ac:dyDescent="0.2">
      <c r="A21100" t="s">
        <v>1</v>
      </c>
      <c r="B21100" t="str">
        <f>"18328575729"</f>
        <v>18328575729</v>
      </c>
      <c r="C21100" t="s">
        <v>1</v>
      </c>
      <c r="D21100" t="s">
        <v>1</v>
      </c>
      <c r="E21100" t="s">
        <v>1</v>
      </c>
      <c r="F21100" t="s">
        <v>0</v>
      </c>
      <c r="G21100" t="str">
        <f>"2018-10-07 16:08:09"</f>
        <v>2018-10-07 16:08:09</v>
      </c>
    </row>
    <row r="21101" spans="1:7" x14ac:dyDescent="0.2">
      <c r="A21101" t="s">
        <v>19810</v>
      </c>
      <c r="B21101" t="str">
        <f>"13578079615"</f>
        <v>13578079615</v>
      </c>
      <c r="C21101" t="str">
        <f>"532122197511170038"</f>
        <v>532122197511170038</v>
      </c>
      <c r="D21101" t="s">
        <v>19811</v>
      </c>
      <c r="E21101" t="s">
        <v>19812</v>
      </c>
      <c r="F21101" t="s">
        <v>0</v>
      </c>
      <c r="G21101" t="str">
        <f>"2018-10-07 16:09:52"</f>
        <v>2018-10-07 16:09:52</v>
      </c>
    </row>
    <row r="21102" spans="1:7" x14ac:dyDescent="0.2">
      <c r="A21102" t="s">
        <v>19813</v>
      </c>
      <c r="B21102" t="str">
        <f>"15096488796"</f>
        <v>15096488796</v>
      </c>
      <c r="C21102" t="str">
        <f>"532324199307060029"</f>
        <v>532324199307060029</v>
      </c>
      <c r="D21102" t="s">
        <v>1</v>
      </c>
      <c r="E21102" t="s">
        <v>1</v>
      </c>
      <c r="F21102" t="s">
        <v>0</v>
      </c>
      <c r="G21102" t="str">
        <f>"2018-10-07 16:08:22"</f>
        <v>2018-10-07 16:08:22</v>
      </c>
    </row>
    <row r="21103" spans="1:7" x14ac:dyDescent="0.2">
      <c r="A21103" t="s">
        <v>19814</v>
      </c>
      <c r="B21103" t="str">
        <f>"13555394780"</f>
        <v>13555394780</v>
      </c>
      <c r="C21103" t="str">
        <f>"232321198904051732"</f>
        <v>232321198904051732</v>
      </c>
      <c r="D21103" t="s">
        <v>1</v>
      </c>
      <c r="E21103" t="s">
        <v>1</v>
      </c>
      <c r="F21103" t="s">
        <v>0</v>
      </c>
      <c r="G21103" t="str">
        <f>"2018-10-07 16:28:36"</f>
        <v>2018-10-07 16:28:36</v>
      </c>
    </row>
    <row r="21104" spans="1:7" x14ac:dyDescent="0.2">
      <c r="A21104" t="s">
        <v>1</v>
      </c>
      <c r="B21104" t="str">
        <f>"18630061022"</f>
        <v>18630061022</v>
      </c>
      <c r="C21104" t="s">
        <v>1</v>
      </c>
      <c r="D21104" t="s">
        <v>1</v>
      </c>
      <c r="E21104" t="s">
        <v>1</v>
      </c>
      <c r="F21104" t="s">
        <v>0</v>
      </c>
      <c r="G21104" t="str">
        <f>"2018-10-07 17:11:14"</f>
        <v>2018-10-07 17:11:14</v>
      </c>
    </row>
    <row r="21105" spans="1:7" x14ac:dyDescent="0.2">
      <c r="A21105" t="s">
        <v>1</v>
      </c>
      <c r="B21105" t="str">
        <f>"15267920579"</f>
        <v>15267920579</v>
      </c>
      <c r="C21105" t="s">
        <v>1</v>
      </c>
      <c r="D21105" t="s">
        <v>1</v>
      </c>
      <c r="E21105" t="s">
        <v>1</v>
      </c>
      <c r="F21105" t="s">
        <v>0</v>
      </c>
      <c r="G21105" t="str">
        <f>"2018-10-07 16:04:38"</f>
        <v>2018-10-07 16:04:38</v>
      </c>
    </row>
    <row r="21106" spans="1:7" x14ac:dyDescent="0.2">
      <c r="A21106" t="s">
        <v>1</v>
      </c>
      <c r="B21106" t="str">
        <f>"13971666517"</f>
        <v>13971666517</v>
      </c>
      <c r="C21106" t="s">
        <v>1</v>
      </c>
      <c r="D21106" t="s">
        <v>1</v>
      </c>
      <c r="E21106" t="s">
        <v>1</v>
      </c>
      <c r="F21106" t="s">
        <v>0</v>
      </c>
      <c r="G21106" t="str">
        <f>"2018-10-07 16:04:37"</f>
        <v>2018-10-07 16:04:37</v>
      </c>
    </row>
    <row r="21107" spans="1:7" x14ac:dyDescent="0.2">
      <c r="A21107" t="s">
        <v>19815</v>
      </c>
      <c r="B21107" t="str">
        <f>"13504520578"</f>
        <v>13504520578</v>
      </c>
      <c r="C21107" t="str">
        <f>"230202198310082519"</f>
        <v>230202198310082519</v>
      </c>
      <c r="D21107" t="s">
        <v>19816</v>
      </c>
      <c r="E21107" t="s">
        <v>19817</v>
      </c>
      <c r="F21107" t="s">
        <v>0</v>
      </c>
      <c r="G21107" t="str">
        <f>"2018-10-07 16:21:36"</f>
        <v>2018-10-07 16:21:36</v>
      </c>
    </row>
    <row r="21108" spans="1:7" x14ac:dyDescent="0.2">
      <c r="A21108" t="s">
        <v>19818</v>
      </c>
      <c r="B21108" t="str">
        <f>"18216666820"</f>
        <v>18216666820</v>
      </c>
      <c r="C21108" t="str">
        <f>"520221199805034896"</f>
        <v>520221199805034896</v>
      </c>
      <c r="D21108" t="s">
        <v>19819</v>
      </c>
      <c r="E21108" t="s">
        <v>19820</v>
      </c>
      <c r="F21108" t="s">
        <v>0</v>
      </c>
      <c r="G21108" t="str">
        <f>"2018-10-07 16:04:23"</f>
        <v>2018-10-07 16:04:23</v>
      </c>
    </row>
    <row r="21109" spans="1:7" x14ac:dyDescent="0.2">
      <c r="A21109" t="s">
        <v>19821</v>
      </c>
      <c r="B21109" t="str">
        <f>"13694445033"</f>
        <v>13694445033</v>
      </c>
      <c r="C21109" t="str">
        <f>"220322197001265113"</f>
        <v>220322197001265113</v>
      </c>
      <c r="D21109" t="s">
        <v>19822</v>
      </c>
      <c r="E21109" t="s">
        <v>19823</v>
      </c>
      <c r="F21109" t="s">
        <v>0</v>
      </c>
      <c r="G21109" t="str">
        <f>"2018-10-07 16:04:27"</f>
        <v>2018-10-07 16:04:27</v>
      </c>
    </row>
    <row r="21110" spans="1:7" x14ac:dyDescent="0.2">
      <c r="A21110" t="s">
        <v>379</v>
      </c>
      <c r="B21110" t="str">
        <f>"13715154590"</f>
        <v>13715154590</v>
      </c>
      <c r="C21110" t="str">
        <f>"440881199502105510"</f>
        <v>440881199502105510</v>
      </c>
      <c r="D21110" t="s">
        <v>1</v>
      </c>
      <c r="E21110" t="s">
        <v>1</v>
      </c>
      <c r="F21110" t="s">
        <v>0</v>
      </c>
      <c r="G21110" t="str">
        <f>"2018-10-07 16:05:08"</f>
        <v>2018-10-07 16:05:08</v>
      </c>
    </row>
    <row r="21111" spans="1:7" x14ac:dyDescent="0.2">
      <c r="A21111" t="s">
        <v>19824</v>
      </c>
      <c r="B21111" t="str">
        <f>"18587233340"</f>
        <v>18587233340</v>
      </c>
      <c r="C21111" t="str">
        <f>"532530199706303057"</f>
        <v>532530199706303057</v>
      </c>
      <c r="D21111" t="s">
        <v>1</v>
      </c>
      <c r="E21111" t="s">
        <v>1</v>
      </c>
      <c r="F21111" t="s">
        <v>0</v>
      </c>
      <c r="G21111" t="str">
        <f>"2018-10-07 16:07:45"</f>
        <v>2018-10-07 16:07:45</v>
      </c>
    </row>
    <row r="21112" spans="1:7" x14ac:dyDescent="0.2">
      <c r="A21112" t="s">
        <v>19825</v>
      </c>
      <c r="B21112" t="str">
        <f>"18361650927"</f>
        <v>18361650927</v>
      </c>
      <c r="C21112" t="str">
        <f>"320925198902053919"</f>
        <v>320925198902053919</v>
      </c>
      <c r="D21112" t="s">
        <v>1</v>
      </c>
      <c r="E21112" t="s">
        <v>1</v>
      </c>
      <c r="F21112" t="s">
        <v>0</v>
      </c>
      <c r="G21112" t="str">
        <f>"2018-10-31 06:10:12"</f>
        <v>2018-10-31 06:10:12</v>
      </c>
    </row>
    <row r="21113" spans="1:7" x14ac:dyDescent="0.2">
      <c r="A21113" t="s">
        <v>19826</v>
      </c>
      <c r="B21113" t="str">
        <f>"15750150596"</f>
        <v>15750150596</v>
      </c>
      <c r="C21113" t="str">
        <f>"532130199809221917"</f>
        <v>532130199809221917</v>
      </c>
      <c r="D21113" t="s">
        <v>1</v>
      </c>
      <c r="E21113" t="s">
        <v>1</v>
      </c>
      <c r="F21113" t="s">
        <v>0</v>
      </c>
      <c r="G21113" t="str">
        <f>"2018-10-07 16:07:52"</f>
        <v>2018-10-07 16:07:52</v>
      </c>
    </row>
    <row r="21114" spans="1:7" x14ac:dyDescent="0.2">
      <c r="A21114" t="s">
        <v>19827</v>
      </c>
      <c r="B21114" t="str">
        <f>"13676568614"</f>
        <v>13676568614</v>
      </c>
      <c r="C21114" t="str">
        <f>"330327199205250817"</f>
        <v>330327199205250817</v>
      </c>
      <c r="D21114" t="s">
        <v>1</v>
      </c>
      <c r="E21114" t="s">
        <v>1</v>
      </c>
      <c r="F21114" t="s">
        <v>0</v>
      </c>
      <c r="G21114" t="str">
        <f>"2018-10-07 16:03:17"</f>
        <v>2018-10-07 16:03:17</v>
      </c>
    </row>
    <row r="21115" spans="1:7" x14ac:dyDescent="0.2">
      <c r="A21115" t="s">
        <v>19828</v>
      </c>
      <c r="B21115" t="str">
        <f>"18228105119"</f>
        <v>18228105119</v>
      </c>
      <c r="C21115" t="str">
        <f>"513029199202072472"</f>
        <v>513029199202072472</v>
      </c>
      <c r="D21115" t="s">
        <v>1</v>
      </c>
      <c r="E21115" t="s">
        <v>1</v>
      </c>
      <c r="F21115" t="s">
        <v>0</v>
      </c>
      <c r="G21115" t="str">
        <f>"2018-10-07 16:02:49"</f>
        <v>2018-10-07 16:02:49</v>
      </c>
    </row>
    <row r="21116" spans="1:7" x14ac:dyDescent="0.2">
      <c r="A21116" t="s">
        <v>19829</v>
      </c>
      <c r="B21116" t="str">
        <f>"17689492277"</f>
        <v>17689492277</v>
      </c>
      <c r="C21116" t="str">
        <f>"610431199002220674"</f>
        <v>610431199002220674</v>
      </c>
      <c r="D21116" t="s">
        <v>1</v>
      </c>
      <c r="E21116" t="s">
        <v>1</v>
      </c>
      <c r="F21116" t="s">
        <v>0</v>
      </c>
      <c r="G21116" t="str">
        <f>"2018-10-16 21:14:20"</f>
        <v>2018-10-16 21:14:20</v>
      </c>
    </row>
    <row r="21117" spans="1:7" x14ac:dyDescent="0.2">
      <c r="A21117" t="s">
        <v>19830</v>
      </c>
      <c r="B21117" t="str">
        <f>"13576742620"</f>
        <v>13576742620</v>
      </c>
      <c r="C21117" t="str">
        <f>"36070219871123003X"</f>
        <v>36070219871123003X</v>
      </c>
      <c r="D21117" t="s">
        <v>1</v>
      </c>
      <c r="E21117" t="s">
        <v>1</v>
      </c>
      <c r="F21117" t="s">
        <v>0</v>
      </c>
      <c r="G21117" t="str">
        <f>"2018-10-07 16:01:09"</f>
        <v>2018-10-07 16:01:09</v>
      </c>
    </row>
    <row r="21118" spans="1:7" x14ac:dyDescent="0.2">
      <c r="A21118" t="s">
        <v>1</v>
      </c>
      <c r="B21118" t="str">
        <f>"18738287172"</f>
        <v>18738287172</v>
      </c>
      <c r="C21118" t="s">
        <v>1</v>
      </c>
      <c r="D21118" t="s">
        <v>1</v>
      </c>
      <c r="E21118" t="s">
        <v>1</v>
      </c>
      <c r="F21118" t="s">
        <v>0</v>
      </c>
      <c r="G21118" t="str">
        <f>"2018-10-07 15:59:34"</f>
        <v>2018-10-07 15:59:34</v>
      </c>
    </row>
    <row r="21119" spans="1:7" x14ac:dyDescent="0.2">
      <c r="A21119" t="s">
        <v>1</v>
      </c>
      <c r="B21119" t="str">
        <f>"13901505831"</f>
        <v>13901505831</v>
      </c>
      <c r="C21119" t="s">
        <v>1</v>
      </c>
      <c r="D21119" t="s">
        <v>1</v>
      </c>
      <c r="E21119" t="s">
        <v>1</v>
      </c>
      <c r="F21119" t="s">
        <v>0</v>
      </c>
      <c r="G21119" t="str">
        <f>"2018-10-07 15:59:29"</f>
        <v>2018-10-07 15:59:29</v>
      </c>
    </row>
    <row r="21120" spans="1:7" x14ac:dyDescent="0.2">
      <c r="A21120" t="s">
        <v>19831</v>
      </c>
      <c r="B21120" t="str">
        <f>"17779838083"</f>
        <v>17779838083</v>
      </c>
      <c r="C21120" t="str">
        <f>"360202197902091114"</f>
        <v>360202197902091114</v>
      </c>
      <c r="D21120" t="s">
        <v>1</v>
      </c>
      <c r="E21120" t="s">
        <v>1</v>
      </c>
      <c r="F21120" t="s">
        <v>0</v>
      </c>
      <c r="G21120" t="str">
        <f>"2018-10-07 16:00:56"</f>
        <v>2018-10-07 16:00:56</v>
      </c>
    </row>
    <row r="21121" spans="1:7" x14ac:dyDescent="0.2">
      <c r="A21121" t="s">
        <v>19832</v>
      </c>
      <c r="B21121" t="str">
        <f>"15001634589"</f>
        <v>15001634589</v>
      </c>
      <c r="C21121" t="str">
        <f>"65900119931220005X"</f>
        <v>65900119931220005X</v>
      </c>
      <c r="D21121" t="s">
        <v>1</v>
      </c>
      <c r="E21121" t="s">
        <v>1</v>
      </c>
      <c r="F21121" t="s">
        <v>0</v>
      </c>
      <c r="G21121" t="str">
        <f>"2018-10-07 16:11:15"</f>
        <v>2018-10-07 16:11:15</v>
      </c>
    </row>
    <row r="21122" spans="1:7" x14ac:dyDescent="0.2">
      <c r="A21122" t="s">
        <v>19833</v>
      </c>
      <c r="B21122" t="str">
        <f>"15829760581"</f>
        <v>15829760581</v>
      </c>
      <c r="C21122" t="str">
        <f>"150430198912103977"</f>
        <v>150430198912103977</v>
      </c>
      <c r="D21122" t="s">
        <v>1</v>
      </c>
      <c r="E21122" t="s">
        <v>1</v>
      </c>
      <c r="F21122" t="s">
        <v>0</v>
      </c>
      <c r="G21122" t="str">
        <f>"2018-10-07 15:59:28"</f>
        <v>2018-10-07 15:59:28</v>
      </c>
    </row>
    <row r="21123" spans="1:7" x14ac:dyDescent="0.2">
      <c r="A21123" t="s">
        <v>19834</v>
      </c>
      <c r="B21123" t="str">
        <f>"15505343537"</f>
        <v>15505343537</v>
      </c>
      <c r="C21123" t="str">
        <f>"371425199705166110"</f>
        <v>371425199705166110</v>
      </c>
      <c r="D21123" t="s">
        <v>1</v>
      </c>
      <c r="E21123" t="s">
        <v>1</v>
      </c>
      <c r="F21123" t="s">
        <v>0</v>
      </c>
      <c r="G21123" t="str">
        <f>"2018-10-07 15:58:17"</f>
        <v>2018-10-07 15:58:17</v>
      </c>
    </row>
    <row r="21124" spans="1:7" x14ac:dyDescent="0.2">
      <c r="A21124" t="s">
        <v>19835</v>
      </c>
      <c r="B21124" t="str">
        <f>"18994830220"</f>
        <v>18994830220</v>
      </c>
      <c r="C21124" t="str">
        <f>"320723199802202228"</f>
        <v>320723199802202228</v>
      </c>
      <c r="D21124" t="s">
        <v>1</v>
      </c>
      <c r="E21124" t="s">
        <v>1</v>
      </c>
      <c r="F21124" t="s">
        <v>0</v>
      </c>
      <c r="G21124" t="str">
        <f>"2018-10-08 06:59:33"</f>
        <v>2018-10-08 06:59:33</v>
      </c>
    </row>
    <row r="21125" spans="1:7" x14ac:dyDescent="0.2">
      <c r="A21125" t="s">
        <v>19836</v>
      </c>
      <c r="B21125" t="str">
        <f>"18583390281"</f>
        <v>18583390281</v>
      </c>
      <c r="C21125" t="str">
        <f>"510922198809301101"</f>
        <v>510922198809301101</v>
      </c>
      <c r="D21125" t="s">
        <v>1</v>
      </c>
      <c r="E21125" t="s">
        <v>1</v>
      </c>
      <c r="F21125" t="s">
        <v>0</v>
      </c>
      <c r="G21125" t="str">
        <f>"2018-10-07 15:59:27"</f>
        <v>2018-10-07 15:59:27</v>
      </c>
    </row>
    <row r="21126" spans="1:7" x14ac:dyDescent="0.2">
      <c r="A21126" t="s">
        <v>1</v>
      </c>
      <c r="B21126" t="str">
        <f>"15554714614"</f>
        <v>15554714614</v>
      </c>
      <c r="C21126" t="s">
        <v>1</v>
      </c>
      <c r="D21126" t="s">
        <v>1</v>
      </c>
      <c r="E21126" t="s">
        <v>1</v>
      </c>
      <c r="F21126" t="s">
        <v>0</v>
      </c>
      <c r="G21126" t="str">
        <f>"2018-10-07 15:58:55"</f>
        <v>2018-10-07 15:58:55</v>
      </c>
    </row>
    <row r="21127" spans="1:7" x14ac:dyDescent="0.2">
      <c r="A21127" t="s">
        <v>19837</v>
      </c>
      <c r="B21127" t="str">
        <f>"13187572327"</f>
        <v>13187572327</v>
      </c>
      <c r="C21127" t="str">
        <f>"530127199111303531"</f>
        <v>530127199111303531</v>
      </c>
      <c r="D21127" t="s">
        <v>1</v>
      </c>
      <c r="E21127" t="s">
        <v>1</v>
      </c>
      <c r="F21127" t="s">
        <v>0</v>
      </c>
      <c r="G21127" t="str">
        <f>"2018-10-07 16:02:20"</f>
        <v>2018-10-07 16:02:20</v>
      </c>
    </row>
    <row r="21128" spans="1:7" x14ac:dyDescent="0.2">
      <c r="A21128" t="s">
        <v>1553</v>
      </c>
      <c r="B21128" t="str">
        <f>"13673770604"</f>
        <v>13673770604</v>
      </c>
      <c r="C21128" t="str">
        <f>"411303199110205634"</f>
        <v>411303199110205634</v>
      </c>
      <c r="D21128" t="s">
        <v>1</v>
      </c>
      <c r="E21128" t="s">
        <v>1</v>
      </c>
      <c r="F21128" t="s">
        <v>0</v>
      </c>
      <c r="G21128" t="str">
        <f>"2018-10-07 15:55:24"</f>
        <v>2018-10-07 15:55:24</v>
      </c>
    </row>
    <row r="21129" spans="1:7" x14ac:dyDescent="0.2">
      <c r="A21129" t="s">
        <v>19838</v>
      </c>
      <c r="B21129" t="str">
        <f>"18113438851"</f>
        <v>18113438851</v>
      </c>
      <c r="C21129" t="str">
        <f>"52012119931110182X"</f>
        <v>52012119931110182X</v>
      </c>
      <c r="D21129" t="s">
        <v>19839</v>
      </c>
      <c r="E21129" t="s">
        <v>19840</v>
      </c>
      <c r="F21129" t="s">
        <v>0</v>
      </c>
      <c r="G21129" t="str">
        <f>"2018-10-07 15:54:49"</f>
        <v>2018-10-07 15:54:49</v>
      </c>
    </row>
    <row r="21130" spans="1:7" x14ac:dyDescent="0.2">
      <c r="A21130" t="s">
        <v>1220</v>
      </c>
      <c r="B21130" t="str">
        <f>"18325801261"</f>
        <v>18325801261</v>
      </c>
      <c r="C21130" t="str">
        <f>"341226199302194416"</f>
        <v>341226199302194416</v>
      </c>
      <c r="D21130" t="s">
        <v>19841</v>
      </c>
      <c r="E21130" t="s">
        <v>19842</v>
      </c>
      <c r="F21130" t="s">
        <v>0</v>
      </c>
      <c r="G21130" t="str">
        <f>"2018-10-07 15:59:42"</f>
        <v>2018-10-07 15:59:42</v>
      </c>
    </row>
    <row r="21131" spans="1:7" x14ac:dyDescent="0.2">
      <c r="A21131" t="s">
        <v>19843</v>
      </c>
      <c r="B21131" t="str">
        <f>"13819914691"</f>
        <v>13819914691</v>
      </c>
      <c r="C21131" t="str">
        <f>"330719198208161614"</f>
        <v>330719198208161614</v>
      </c>
      <c r="D21131" t="s">
        <v>1</v>
      </c>
      <c r="E21131" t="s">
        <v>1</v>
      </c>
      <c r="F21131" t="s">
        <v>0</v>
      </c>
      <c r="G21131" t="str">
        <f>"2018-10-09 11:14:19"</f>
        <v>2018-10-09 11:14:19</v>
      </c>
    </row>
    <row r="21132" spans="1:7" x14ac:dyDescent="0.2">
      <c r="A21132" t="s">
        <v>19844</v>
      </c>
      <c r="B21132" t="str">
        <f>"15856440350"</f>
        <v>15856440350</v>
      </c>
      <c r="C21132" t="str">
        <f>"342426199407300096"</f>
        <v>342426199407300096</v>
      </c>
      <c r="D21132" t="s">
        <v>1</v>
      </c>
      <c r="E21132" t="s">
        <v>1</v>
      </c>
      <c r="F21132" t="s">
        <v>0</v>
      </c>
      <c r="G21132" t="str">
        <f>"2018-10-07 18:07:52"</f>
        <v>2018-10-07 18:07:52</v>
      </c>
    </row>
    <row r="21133" spans="1:7" x14ac:dyDescent="0.2">
      <c r="A21133" t="s">
        <v>19845</v>
      </c>
      <c r="B21133" t="str">
        <f>"15943003433"</f>
        <v>15943003433</v>
      </c>
      <c r="C21133" t="str">
        <f>"220104197205018225"</f>
        <v>220104197205018225</v>
      </c>
      <c r="D21133" t="s">
        <v>19846</v>
      </c>
      <c r="E21133" t="s">
        <v>19847</v>
      </c>
      <c r="F21133" t="s">
        <v>0</v>
      </c>
      <c r="G21133" t="str">
        <f>"2018-10-07 16:10:18"</f>
        <v>2018-10-07 16:10:18</v>
      </c>
    </row>
    <row r="21134" spans="1:7" x14ac:dyDescent="0.2">
      <c r="A21134" t="s">
        <v>502</v>
      </c>
      <c r="B21134" t="str">
        <f>"13768212989"</f>
        <v>13768212989</v>
      </c>
      <c r="C21134" t="str">
        <f>"452133198410140319"</f>
        <v>452133198410140319</v>
      </c>
      <c r="D21134" t="s">
        <v>1</v>
      </c>
      <c r="E21134" t="s">
        <v>1</v>
      </c>
      <c r="F21134" t="s">
        <v>0</v>
      </c>
      <c r="G21134" t="str">
        <f>"2018-10-07 15:52:11"</f>
        <v>2018-10-07 15:52:11</v>
      </c>
    </row>
    <row r="21135" spans="1:7" x14ac:dyDescent="0.2">
      <c r="A21135" t="s">
        <v>83</v>
      </c>
      <c r="B21135" t="str">
        <f>"15591514144"</f>
        <v>15591514144</v>
      </c>
      <c r="C21135" t="str">
        <f>"612427199006102410"</f>
        <v>612427199006102410</v>
      </c>
      <c r="D21135" t="s">
        <v>1</v>
      </c>
      <c r="E21135" t="s">
        <v>1</v>
      </c>
      <c r="F21135" t="s">
        <v>0</v>
      </c>
      <c r="G21135" t="str">
        <f>"2018-10-07 15:51:15"</f>
        <v>2018-10-07 15:51:15</v>
      </c>
    </row>
    <row r="21136" spans="1:7" x14ac:dyDescent="0.2">
      <c r="A21136" t="s">
        <v>1</v>
      </c>
      <c r="B21136" t="str">
        <f>"15860670336"</f>
        <v>15860670336</v>
      </c>
      <c r="C21136" t="s">
        <v>1</v>
      </c>
      <c r="D21136" t="s">
        <v>1</v>
      </c>
      <c r="E21136" t="s">
        <v>1</v>
      </c>
      <c r="F21136" t="s">
        <v>0</v>
      </c>
      <c r="G21136" t="str">
        <f>"2018-10-07 15:49:35"</f>
        <v>2018-10-07 15:49:35</v>
      </c>
    </row>
    <row r="21137" spans="1:7" x14ac:dyDescent="0.2">
      <c r="A21137" t="s">
        <v>19848</v>
      </c>
      <c r="B21137" t="str">
        <f>"18963563076"</f>
        <v>18963563076</v>
      </c>
      <c r="C21137" t="str">
        <f>"371526198610085622"</f>
        <v>371526198610085622</v>
      </c>
      <c r="D21137" t="s">
        <v>1</v>
      </c>
      <c r="E21137" t="s">
        <v>1</v>
      </c>
      <c r="F21137" t="s">
        <v>0</v>
      </c>
      <c r="G21137" t="str">
        <f>"2018-10-07 15:52:19"</f>
        <v>2018-10-07 15:52:19</v>
      </c>
    </row>
    <row r="21138" spans="1:7" x14ac:dyDescent="0.2">
      <c r="A21138" t="s">
        <v>19849</v>
      </c>
      <c r="B21138" t="str">
        <f>"18393561650"</f>
        <v>18393561650</v>
      </c>
      <c r="C21138" t="str">
        <f>"622621199003026218"</f>
        <v>622621199003026218</v>
      </c>
      <c r="D21138" t="s">
        <v>1</v>
      </c>
      <c r="E21138" t="s">
        <v>1</v>
      </c>
      <c r="F21138" t="s">
        <v>0</v>
      </c>
      <c r="G21138" t="str">
        <f>"2018-10-07 15:51:52"</f>
        <v>2018-10-07 15:51:52</v>
      </c>
    </row>
    <row r="21139" spans="1:7" x14ac:dyDescent="0.2">
      <c r="A21139" t="s">
        <v>19850</v>
      </c>
      <c r="B21139" t="str">
        <f>"13760681028"</f>
        <v>13760681028</v>
      </c>
      <c r="C21139" t="str">
        <f>"441226198312104073"</f>
        <v>441226198312104073</v>
      </c>
      <c r="D21139" t="s">
        <v>1</v>
      </c>
      <c r="E21139" t="s">
        <v>1</v>
      </c>
      <c r="F21139" t="s">
        <v>0</v>
      </c>
      <c r="G21139" t="str">
        <f>"2018-10-07 15:53:22"</f>
        <v>2018-10-07 15:53:22</v>
      </c>
    </row>
    <row r="21140" spans="1:7" x14ac:dyDescent="0.2">
      <c r="A21140" t="s">
        <v>1</v>
      </c>
      <c r="B21140" t="str">
        <f>"13463158885"</f>
        <v>13463158885</v>
      </c>
      <c r="C21140" t="s">
        <v>1</v>
      </c>
      <c r="D21140" t="s">
        <v>1</v>
      </c>
      <c r="E21140" t="s">
        <v>1</v>
      </c>
      <c r="F21140" t="s">
        <v>0</v>
      </c>
      <c r="G21140" t="str">
        <f>"2018-10-07 15:48:32"</f>
        <v>2018-10-07 15:48:32</v>
      </c>
    </row>
    <row r="21141" spans="1:7" x14ac:dyDescent="0.2">
      <c r="A21141" t="s">
        <v>1431</v>
      </c>
      <c r="B21141" t="str">
        <f>"13558787728"</f>
        <v>13558787728</v>
      </c>
      <c r="C21141" t="str">
        <f>"510183198210192147"</f>
        <v>510183198210192147</v>
      </c>
      <c r="D21141" t="s">
        <v>1</v>
      </c>
      <c r="E21141" t="s">
        <v>1</v>
      </c>
      <c r="F21141" t="s">
        <v>0</v>
      </c>
      <c r="G21141" t="str">
        <f>"2018-10-07 16:15:36"</f>
        <v>2018-10-07 16:15:36</v>
      </c>
    </row>
    <row r="21142" spans="1:7" x14ac:dyDescent="0.2">
      <c r="A21142" t="s">
        <v>19851</v>
      </c>
      <c r="B21142" t="str">
        <f>"13968280182"</f>
        <v>13968280182</v>
      </c>
      <c r="C21142" t="str">
        <f>"330282198407261113"</f>
        <v>330282198407261113</v>
      </c>
      <c r="D21142" t="s">
        <v>19852</v>
      </c>
      <c r="E21142" t="s">
        <v>19853</v>
      </c>
      <c r="F21142" t="s">
        <v>0</v>
      </c>
      <c r="G21142" t="str">
        <f>"2018-10-16 07:41:10"</f>
        <v>2018-10-16 07:41:10</v>
      </c>
    </row>
    <row r="21143" spans="1:7" x14ac:dyDescent="0.2">
      <c r="A21143" t="s">
        <v>19854</v>
      </c>
      <c r="B21143" t="str">
        <f>"18580408686"</f>
        <v>18580408686</v>
      </c>
      <c r="C21143" t="str">
        <f>"510213197110210231"</f>
        <v>510213197110210231</v>
      </c>
      <c r="D21143" t="s">
        <v>1</v>
      </c>
      <c r="E21143" t="s">
        <v>1</v>
      </c>
      <c r="F21143" t="s">
        <v>0</v>
      </c>
      <c r="G21143" t="str">
        <f>"2018-10-07 15:49:39"</f>
        <v>2018-10-07 15:49:39</v>
      </c>
    </row>
    <row r="21144" spans="1:7" x14ac:dyDescent="0.2">
      <c r="A21144" t="s">
        <v>19855</v>
      </c>
      <c r="B21144" t="str">
        <f>"13750635179"</f>
        <v>13750635179</v>
      </c>
      <c r="C21144" t="str">
        <f>"33260219790821139X"</f>
        <v>33260219790821139X</v>
      </c>
      <c r="D21144" t="s">
        <v>1</v>
      </c>
      <c r="E21144" t="s">
        <v>1</v>
      </c>
      <c r="F21144" t="s">
        <v>0</v>
      </c>
      <c r="G21144" t="str">
        <f>"2018-10-07 15:49:28"</f>
        <v>2018-10-07 15:49:28</v>
      </c>
    </row>
    <row r="21145" spans="1:7" x14ac:dyDescent="0.2">
      <c r="A21145" t="s">
        <v>1836</v>
      </c>
      <c r="B21145" t="str">
        <f>"13517377632"</f>
        <v>13517377632</v>
      </c>
      <c r="C21145" t="str">
        <f>"430921199611121330"</f>
        <v>430921199611121330</v>
      </c>
      <c r="D21145" t="s">
        <v>1</v>
      </c>
      <c r="E21145" t="s">
        <v>1</v>
      </c>
      <c r="F21145" t="s">
        <v>0</v>
      </c>
      <c r="G21145" t="str">
        <f>"2018-10-21 18:45:20"</f>
        <v>2018-10-21 18:45:20</v>
      </c>
    </row>
    <row r="21146" spans="1:7" x14ac:dyDescent="0.2">
      <c r="A21146" t="s">
        <v>19856</v>
      </c>
      <c r="B21146" t="str">
        <f>"15991913249"</f>
        <v>15991913249</v>
      </c>
      <c r="C21146" t="str">
        <f>"610622199003030455"</f>
        <v>610622199003030455</v>
      </c>
      <c r="D21146" t="s">
        <v>19857</v>
      </c>
      <c r="E21146" t="s">
        <v>19858</v>
      </c>
      <c r="F21146" t="s">
        <v>0</v>
      </c>
      <c r="G21146" t="str">
        <f>"2018-10-07 15:50:20"</f>
        <v>2018-10-07 15:50:20</v>
      </c>
    </row>
    <row r="21147" spans="1:7" x14ac:dyDescent="0.2">
      <c r="A21147" t="s">
        <v>19859</v>
      </c>
      <c r="B21147" t="str">
        <f>"18120156241"</f>
        <v>18120156241</v>
      </c>
      <c r="C21147" t="str">
        <f>"320124199804241814"</f>
        <v>320124199804241814</v>
      </c>
      <c r="D21147" t="s">
        <v>1</v>
      </c>
      <c r="E21147" t="s">
        <v>1</v>
      </c>
      <c r="F21147" t="s">
        <v>0</v>
      </c>
      <c r="G21147" t="str">
        <f>"2018-10-07 15:47:37"</f>
        <v>2018-10-07 15:47:37</v>
      </c>
    </row>
    <row r="21148" spans="1:7" x14ac:dyDescent="0.2">
      <c r="A21148" t="s">
        <v>19860</v>
      </c>
      <c r="B21148" t="str">
        <f>"18296311652"</f>
        <v>18296311652</v>
      </c>
      <c r="C21148" t="str">
        <f>"362321199409112431"</f>
        <v>362321199409112431</v>
      </c>
      <c r="D21148" t="s">
        <v>1</v>
      </c>
      <c r="E21148" t="s">
        <v>1</v>
      </c>
      <c r="F21148" t="s">
        <v>0</v>
      </c>
      <c r="G21148" t="str">
        <f>"2018-10-07 15:47:24"</f>
        <v>2018-10-07 15:47:24</v>
      </c>
    </row>
    <row r="21149" spans="1:7" x14ac:dyDescent="0.2">
      <c r="A21149" t="s">
        <v>19861</v>
      </c>
      <c r="B21149" t="str">
        <f>"18285011240"</f>
        <v>18285011240</v>
      </c>
      <c r="C21149" t="str">
        <f>"520112199409042825"</f>
        <v>520112199409042825</v>
      </c>
      <c r="D21149" t="s">
        <v>19862</v>
      </c>
      <c r="E21149" t="s">
        <v>19863</v>
      </c>
      <c r="F21149" t="s">
        <v>0</v>
      </c>
      <c r="G21149" t="str">
        <f>"2018-10-07 16:02:14"</f>
        <v>2018-10-07 16:02:14</v>
      </c>
    </row>
    <row r="21150" spans="1:7" x14ac:dyDescent="0.2">
      <c r="A21150" t="s">
        <v>19864</v>
      </c>
      <c r="B21150" t="str">
        <f>"18308982989"</f>
        <v>18308982989</v>
      </c>
      <c r="C21150" t="str">
        <f>"460104199310170310"</f>
        <v>460104199310170310</v>
      </c>
      <c r="D21150" t="s">
        <v>1</v>
      </c>
      <c r="E21150" t="s">
        <v>1</v>
      </c>
      <c r="F21150" t="s">
        <v>0</v>
      </c>
      <c r="G21150" t="str">
        <f>"2018-10-07 15:44:33"</f>
        <v>2018-10-07 15:44:33</v>
      </c>
    </row>
    <row r="21151" spans="1:7" x14ac:dyDescent="0.2">
      <c r="A21151" t="s">
        <v>19865</v>
      </c>
      <c r="B21151" t="str">
        <f>"18645476636"</f>
        <v>18645476636</v>
      </c>
      <c r="C21151" t="str">
        <f>"230822198212315815"</f>
        <v>230822198212315815</v>
      </c>
      <c r="D21151" t="s">
        <v>1</v>
      </c>
      <c r="E21151" t="s">
        <v>1</v>
      </c>
      <c r="F21151" t="s">
        <v>0</v>
      </c>
      <c r="G21151" t="str">
        <f>"2018-10-07 15:45:27"</f>
        <v>2018-10-07 15:45:27</v>
      </c>
    </row>
    <row r="21152" spans="1:7" x14ac:dyDescent="0.2">
      <c r="A21152" t="s">
        <v>19866</v>
      </c>
      <c r="B21152" t="str">
        <f>"15076155793"</f>
        <v>15076155793</v>
      </c>
      <c r="C21152" t="str">
        <f>"130133199202140697"</f>
        <v>130133199202140697</v>
      </c>
      <c r="D21152" t="s">
        <v>19867</v>
      </c>
      <c r="E21152" t="s">
        <v>19868</v>
      </c>
      <c r="F21152" t="s">
        <v>0</v>
      </c>
      <c r="G21152" t="str">
        <f>"2018-10-09 09:37:57"</f>
        <v>2018-10-09 09:37:57</v>
      </c>
    </row>
    <row r="21153" spans="1:7" x14ac:dyDescent="0.2">
      <c r="A21153" t="s">
        <v>19869</v>
      </c>
      <c r="B21153" t="str">
        <f>"13876797163"</f>
        <v>13876797163</v>
      </c>
      <c r="C21153" t="str">
        <f>"460200199110281438"</f>
        <v>460200199110281438</v>
      </c>
      <c r="D21153" t="s">
        <v>1</v>
      </c>
      <c r="E21153" t="s">
        <v>1</v>
      </c>
      <c r="F21153" t="s">
        <v>0</v>
      </c>
      <c r="G21153" t="str">
        <f>"2018-10-07 15:44:33"</f>
        <v>2018-10-07 15:44:33</v>
      </c>
    </row>
    <row r="21154" spans="1:7" x14ac:dyDescent="0.2">
      <c r="A21154" t="s">
        <v>1</v>
      </c>
      <c r="B21154" t="str">
        <f>"13564354617"</f>
        <v>13564354617</v>
      </c>
      <c r="C21154" t="s">
        <v>1</v>
      </c>
      <c r="D21154" t="s">
        <v>1</v>
      </c>
      <c r="E21154" t="s">
        <v>1</v>
      </c>
      <c r="F21154" t="s">
        <v>0</v>
      </c>
      <c r="G21154" t="str">
        <f>"2018-10-07 15:42:15"</f>
        <v>2018-10-07 15:42:15</v>
      </c>
    </row>
    <row r="21155" spans="1:7" x14ac:dyDescent="0.2">
      <c r="A21155" t="s">
        <v>1</v>
      </c>
      <c r="B21155" t="str">
        <f>"13756290429"</f>
        <v>13756290429</v>
      </c>
      <c r="C21155" t="s">
        <v>1</v>
      </c>
      <c r="D21155" t="s">
        <v>1</v>
      </c>
      <c r="E21155" t="s">
        <v>1</v>
      </c>
      <c r="F21155" t="s">
        <v>0</v>
      </c>
      <c r="G21155" t="str">
        <f>"2018-10-07 15:41:57"</f>
        <v>2018-10-07 15:41:57</v>
      </c>
    </row>
    <row r="21156" spans="1:7" x14ac:dyDescent="0.2">
      <c r="A21156" t="s">
        <v>19870</v>
      </c>
      <c r="B21156" t="str">
        <f>"15261554014"</f>
        <v>15261554014</v>
      </c>
      <c r="C21156" t="str">
        <f>"340823199511224426"</f>
        <v>340823199511224426</v>
      </c>
      <c r="D21156" t="s">
        <v>1</v>
      </c>
      <c r="E21156" t="s">
        <v>1</v>
      </c>
      <c r="F21156" t="s">
        <v>0</v>
      </c>
      <c r="G21156" t="str">
        <f>"2018-10-07 15:45:42"</f>
        <v>2018-10-07 15:45:42</v>
      </c>
    </row>
    <row r="21157" spans="1:7" x14ac:dyDescent="0.2">
      <c r="A21157" t="s">
        <v>891</v>
      </c>
      <c r="B21157" t="str">
        <f>"13572297649"</f>
        <v>13572297649</v>
      </c>
      <c r="C21157" t="str">
        <f>"622821199511040041"</f>
        <v>622821199511040041</v>
      </c>
      <c r="D21157" t="s">
        <v>1</v>
      </c>
      <c r="E21157" t="s">
        <v>1</v>
      </c>
      <c r="F21157" t="s">
        <v>0</v>
      </c>
      <c r="G21157" t="str">
        <f>"2018-10-07 15:42:46"</f>
        <v>2018-10-07 15:42:46</v>
      </c>
    </row>
    <row r="21158" spans="1:7" x14ac:dyDescent="0.2">
      <c r="A21158" t="s">
        <v>19871</v>
      </c>
      <c r="B21158" t="str">
        <f>"18820035307"</f>
        <v>18820035307</v>
      </c>
      <c r="C21158" t="str">
        <f>"440582199506132313"</f>
        <v>440582199506132313</v>
      </c>
      <c r="D21158" t="s">
        <v>1</v>
      </c>
      <c r="E21158" t="s">
        <v>1</v>
      </c>
      <c r="F21158" t="s">
        <v>0</v>
      </c>
      <c r="G21158" t="str">
        <f>"2018-10-07 15:43:00"</f>
        <v>2018-10-07 15:43:00</v>
      </c>
    </row>
    <row r="21159" spans="1:7" x14ac:dyDescent="0.2">
      <c r="A21159" t="s">
        <v>1</v>
      </c>
      <c r="B21159" t="str">
        <f>"15109632544"</f>
        <v>15109632544</v>
      </c>
      <c r="C21159" t="s">
        <v>1</v>
      </c>
      <c r="D21159" t="s">
        <v>1</v>
      </c>
      <c r="E21159" t="s">
        <v>1</v>
      </c>
      <c r="F21159" t="s">
        <v>0</v>
      </c>
      <c r="G21159" t="str">
        <f>"2018-10-07 15:41:24"</f>
        <v>2018-10-07 15:41:24</v>
      </c>
    </row>
    <row r="21160" spans="1:7" x14ac:dyDescent="0.2">
      <c r="A21160" t="s">
        <v>1678</v>
      </c>
      <c r="B21160" t="str">
        <f>"18863308874"</f>
        <v>18863308874</v>
      </c>
      <c r="C21160" t="str">
        <f>"371102199202190548"</f>
        <v>371102199202190548</v>
      </c>
      <c r="D21160" t="s">
        <v>1</v>
      </c>
      <c r="E21160" t="s">
        <v>1</v>
      </c>
      <c r="F21160" t="s">
        <v>0</v>
      </c>
      <c r="G21160" t="str">
        <f>"2018-10-07 15:40:18"</f>
        <v>2018-10-07 15:40:18</v>
      </c>
    </row>
    <row r="21161" spans="1:7" x14ac:dyDescent="0.2">
      <c r="A21161" t="s">
        <v>1</v>
      </c>
      <c r="B21161" t="str">
        <f>"15814034646"</f>
        <v>15814034646</v>
      </c>
      <c r="C21161" t="s">
        <v>1</v>
      </c>
      <c r="D21161" t="s">
        <v>1</v>
      </c>
      <c r="E21161" t="s">
        <v>1</v>
      </c>
      <c r="F21161" t="s">
        <v>0</v>
      </c>
      <c r="G21161" t="str">
        <f>"2018-10-07 15:40:15"</f>
        <v>2018-10-07 15:40:15</v>
      </c>
    </row>
    <row r="21162" spans="1:7" x14ac:dyDescent="0.2">
      <c r="A21162" t="s">
        <v>19872</v>
      </c>
      <c r="B21162" t="str">
        <f>"13839702210"</f>
        <v>13839702210</v>
      </c>
      <c r="C21162" t="str">
        <f>"411503198706290610"</f>
        <v>411503198706290610</v>
      </c>
      <c r="D21162" t="s">
        <v>19873</v>
      </c>
      <c r="E21162" t="s">
        <v>19874</v>
      </c>
      <c r="F21162" t="s">
        <v>0</v>
      </c>
      <c r="G21162" t="str">
        <f>"2018-10-07 15:45:25"</f>
        <v>2018-10-07 15:45:25</v>
      </c>
    </row>
    <row r="21163" spans="1:7" x14ac:dyDescent="0.2">
      <c r="A21163" t="s">
        <v>19875</v>
      </c>
      <c r="B21163" t="str">
        <f>"13907642737"</f>
        <v>13907642737</v>
      </c>
      <c r="C21163" t="str">
        <f>"460003199101052092"</f>
        <v>460003199101052092</v>
      </c>
      <c r="D21163" t="s">
        <v>1</v>
      </c>
      <c r="E21163" t="s">
        <v>1</v>
      </c>
      <c r="F21163" t="s">
        <v>0</v>
      </c>
      <c r="G21163" t="str">
        <f>"2018-10-07 15:44:58"</f>
        <v>2018-10-07 15:44:58</v>
      </c>
    </row>
    <row r="21164" spans="1:7" x14ac:dyDescent="0.2">
      <c r="A21164" t="s">
        <v>1472</v>
      </c>
      <c r="B21164" t="str">
        <f>"18804360414"</f>
        <v>18804360414</v>
      </c>
      <c r="C21164" t="str">
        <f>"220882199306013120"</f>
        <v>220882199306013120</v>
      </c>
      <c r="D21164" t="s">
        <v>1</v>
      </c>
      <c r="E21164" t="s">
        <v>1</v>
      </c>
      <c r="F21164" t="s">
        <v>0</v>
      </c>
      <c r="G21164" t="str">
        <f>"2018-10-07 15:40:40"</f>
        <v>2018-10-07 15:40:40</v>
      </c>
    </row>
    <row r="21165" spans="1:7" x14ac:dyDescent="0.2">
      <c r="A21165" t="s">
        <v>1377</v>
      </c>
      <c r="B21165" t="str">
        <f>"13245795517"</f>
        <v>13245795517</v>
      </c>
      <c r="C21165" t="str">
        <f>"411524199412160817"</f>
        <v>411524199412160817</v>
      </c>
      <c r="D21165" t="s">
        <v>1</v>
      </c>
      <c r="E21165" t="s">
        <v>1</v>
      </c>
      <c r="F21165" t="s">
        <v>0</v>
      </c>
      <c r="G21165" t="str">
        <f>"2018-10-07 15:40:59"</f>
        <v>2018-10-07 15:40:59</v>
      </c>
    </row>
    <row r="21166" spans="1:7" x14ac:dyDescent="0.2">
      <c r="A21166" t="s">
        <v>1</v>
      </c>
      <c r="B21166" t="str">
        <f>"15036053025"</f>
        <v>15036053025</v>
      </c>
      <c r="C21166" t="s">
        <v>1</v>
      </c>
      <c r="D21166" t="s">
        <v>1</v>
      </c>
      <c r="E21166" t="s">
        <v>1</v>
      </c>
      <c r="F21166" t="s">
        <v>0</v>
      </c>
      <c r="G21166" t="str">
        <f>"2018-10-07 15:38:52"</f>
        <v>2018-10-07 15:38:52</v>
      </c>
    </row>
    <row r="21167" spans="1:7" x14ac:dyDescent="0.2">
      <c r="A21167" t="s">
        <v>19876</v>
      </c>
      <c r="B21167" t="str">
        <f>"15761345570"</f>
        <v>15761345570</v>
      </c>
      <c r="C21167" t="str">
        <f>"522221199406281218"</f>
        <v>522221199406281218</v>
      </c>
      <c r="D21167" t="s">
        <v>19877</v>
      </c>
      <c r="E21167" t="s">
        <v>19878</v>
      </c>
      <c r="F21167" t="s">
        <v>0</v>
      </c>
      <c r="G21167" t="str">
        <f>"2018-10-07 15:45:16"</f>
        <v>2018-10-07 15:45:16</v>
      </c>
    </row>
    <row r="21168" spans="1:7" x14ac:dyDescent="0.2">
      <c r="A21168" t="s">
        <v>19879</v>
      </c>
      <c r="B21168" t="str">
        <f>"13899530760"</f>
        <v>13899530760</v>
      </c>
      <c r="C21168" t="str">
        <f>"654223197507112119"</f>
        <v>654223197507112119</v>
      </c>
      <c r="D21168" t="s">
        <v>1</v>
      </c>
      <c r="E21168" t="s">
        <v>1</v>
      </c>
      <c r="F21168" t="s">
        <v>0</v>
      </c>
      <c r="G21168" t="str">
        <f>"2018-10-07 18:05:09"</f>
        <v>2018-10-07 18:05:09</v>
      </c>
    </row>
    <row r="21169" spans="1:7" x14ac:dyDescent="0.2">
      <c r="A21169" t="s">
        <v>19880</v>
      </c>
      <c r="B21169" t="str">
        <f>"18843635776"</f>
        <v>18843635776</v>
      </c>
      <c r="C21169" t="str">
        <f>"220882198709164519"</f>
        <v>220882198709164519</v>
      </c>
      <c r="D21169" t="s">
        <v>19881</v>
      </c>
      <c r="E21169" t="s">
        <v>19882</v>
      </c>
      <c r="F21169" t="s">
        <v>0</v>
      </c>
      <c r="G21169" t="str">
        <f>"2018-10-07 16:37:51"</f>
        <v>2018-10-07 16:37:51</v>
      </c>
    </row>
    <row r="21170" spans="1:7" x14ac:dyDescent="0.2">
      <c r="A21170" t="s">
        <v>1</v>
      </c>
      <c r="B21170" t="str">
        <f>"13640133314"</f>
        <v>13640133314</v>
      </c>
      <c r="C21170" t="s">
        <v>1</v>
      </c>
      <c r="D21170" t="s">
        <v>1</v>
      </c>
      <c r="E21170" t="s">
        <v>1</v>
      </c>
      <c r="F21170" t="s">
        <v>0</v>
      </c>
      <c r="G21170" t="str">
        <f>"2018-10-07 16:16:34"</f>
        <v>2018-10-07 16:16:34</v>
      </c>
    </row>
    <row r="21171" spans="1:7" x14ac:dyDescent="0.2">
      <c r="A21171" t="s">
        <v>4</v>
      </c>
      <c r="B21171" t="str">
        <f>"13378802113"</f>
        <v>13378802113</v>
      </c>
      <c r="C21171" t="str">
        <f>"210782198602040252"</f>
        <v>210782198602040252</v>
      </c>
      <c r="D21171" t="s">
        <v>1</v>
      </c>
      <c r="E21171" t="s">
        <v>1</v>
      </c>
      <c r="F21171" t="s">
        <v>0</v>
      </c>
      <c r="G21171" t="str">
        <f>"2018-10-07 15:39:17"</f>
        <v>2018-10-07 15:39:17</v>
      </c>
    </row>
    <row r="21172" spans="1:7" x14ac:dyDescent="0.2">
      <c r="A21172" t="s">
        <v>19883</v>
      </c>
      <c r="B21172" t="str">
        <f>"15027371757"</f>
        <v>15027371757</v>
      </c>
      <c r="C21172" t="str">
        <f>"420106198609014014"</f>
        <v>420106198609014014</v>
      </c>
      <c r="D21172" t="s">
        <v>19884</v>
      </c>
      <c r="E21172" t="s">
        <v>19885</v>
      </c>
      <c r="F21172" t="s">
        <v>0</v>
      </c>
      <c r="G21172" t="str">
        <f>"2018-10-07 16:27:54"</f>
        <v>2018-10-07 16:27:54</v>
      </c>
    </row>
    <row r="21173" spans="1:7" x14ac:dyDescent="0.2">
      <c r="A21173" t="s">
        <v>19886</v>
      </c>
      <c r="B21173" t="str">
        <f>"13460360550"</f>
        <v>13460360550</v>
      </c>
      <c r="C21173" t="str">
        <f>"410181199009204554"</f>
        <v>410181199009204554</v>
      </c>
      <c r="D21173" t="s">
        <v>1</v>
      </c>
      <c r="E21173" t="s">
        <v>1</v>
      </c>
      <c r="F21173" t="s">
        <v>0</v>
      </c>
      <c r="G21173" t="str">
        <f>"2018-10-07 15:39:02"</f>
        <v>2018-10-07 15:39:02</v>
      </c>
    </row>
    <row r="21174" spans="1:7" x14ac:dyDescent="0.2">
      <c r="A21174" t="s">
        <v>1223</v>
      </c>
      <c r="B21174" t="str">
        <f>"15550944333"</f>
        <v>15550944333</v>
      </c>
      <c r="C21174" t="str">
        <f>"371329199603043312"</f>
        <v>371329199603043312</v>
      </c>
      <c r="D21174" t="s">
        <v>1</v>
      </c>
      <c r="E21174" t="s">
        <v>1</v>
      </c>
      <c r="F21174" t="s">
        <v>0</v>
      </c>
      <c r="G21174" t="str">
        <f>"2018-10-07 15:39:15"</f>
        <v>2018-10-07 15:39:15</v>
      </c>
    </row>
    <row r="21175" spans="1:7" x14ac:dyDescent="0.2">
      <c r="A21175" t="s">
        <v>1062</v>
      </c>
      <c r="B21175" t="str">
        <f>"13509846142"</f>
        <v>13509846142</v>
      </c>
      <c r="C21175" t="str">
        <f>"420821199202180711"</f>
        <v>420821199202180711</v>
      </c>
      <c r="D21175" t="s">
        <v>1</v>
      </c>
      <c r="E21175" t="s">
        <v>1</v>
      </c>
      <c r="F21175" t="s">
        <v>0</v>
      </c>
      <c r="G21175" t="str">
        <f>"2018-10-07 15:36:52"</f>
        <v>2018-10-07 15:36:52</v>
      </c>
    </row>
    <row r="21176" spans="1:7" x14ac:dyDescent="0.2">
      <c r="A21176" t="s">
        <v>19887</v>
      </c>
      <c r="B21176" t="str">
        <f>"15336434523"</f>
        <v>15336434523</v>
      </c>
      <c r="C21176" t="str">
        <f>"370303199309195169"</f>
        <v>370303199309195169</v>
      </c>
      <c r="D21176" t="s">
        <v>1</v>
      </c>
      <c r="E21176" t="s">
        <v>1</v>
      </c>
      <c r="F21176" t="s">
        <v>0</v>
      </c>
      <c r="G21176" t="str">
        <f>"2018-10-07 15:37:03"</f>
        <v>2018-10-07 15:37:03</v>
      </c>
    </row>
    <row r="21177" spans="1:7" x14ac:dyDescent="0.2">
      <c r="A21177" t="s">
        <v>577</v>
      </c>
      <c r="B21177" t="str">
        <f>"18955807992"</f>
        <v>18955807992</v>
      </c>
      <c r="C21177" t="str">
        <f>"34120319820326191X"</f>
        <v>34120319820326191X</v>
      </c>
      <c r="D21177" t="s">
        <v>1</v>
      </c>
      <c r="E21177" t="s">
        <v>1</v>
      </c>
      <c r="F21177" t="s">
        <v>0</v>
      </c>
      <c r="G21177" t="str">
        <f>"2018-10-07 15:35:19"</f>
        <v>2018-10-07 15:35:19</v>
      </c>
    </row>
    <row r="21178" spans="1:7" x14ac:dyDescent="0.2">
      <c r="A21178" t="s">
        <v>19888</v>
      </c>
      <c r="B21178" t="str">
        <f>"18851078464"</f>
        <v>18851078464</v>
      </c>
      <c r="C21178" t="str">
        <f>"320124199201093218"</f>
        <v>320124199201093218</v>
      </c>
      <c r="D21178" t="s">
        <v>1</v>
      </c>
      <c r="E21178" t="s">
        <v>1</v>
      </c>
      <c r="F21178" t="s">
        <v>0</v>
      </c>
      <c r="G21178" t="str">
        <f>"2018-10-07 15:36:47"</f>
        <v>2018-10-07 15:36:47</v>
      </c>
    </row>
    <row r="21179" spans="1:7" x14ac:dyDescent="0.2">
      <c r="A21179" t="s">
        <v>19889</v>
      </c>
      <c r="B21179" t="str">
        <f>"15187795168"</f>
        <v>15187795168</v>
      </c>
      <c r="C21179" t="str">
        <f>"530426198410170017"</f>
        <v>530426198410170017</v>
      </c>
      <c r="D21179" t="s">
        <v>1</v>
      </c>
      <c r="E21179" t="s">
        <v>1</v>
      </c>
      <c r="F21179" t="s">
        <v>0</v>
      </c>
      <c r="G21179" t="str">
        <f>"2018-10-07 15:34:31"</f>
        <v>2018-10-07 15:34:31</v>
      </c>
    </row>
    <row r="21180" spans="1:7" x14ac:dyDescent="0.2">
      <c r="A21180" t="s">
        <v>19890</v>
      </c>
      <c r="B21180" t="str">
        <f>"18655755725"</f>
        <v>18655755725</v>
      </c>
      <c r="C21180" t="str">
        <f>"340103199107182531"</f>
        <v>340103199107182531</v>
      </c>
      <c r="D21180" t="s">
        <v>1</v>
      </c>
      <c r="E21180" t="s">
        <v>1</v>
      </c>
      <c r="F21180" t="s">
        <v>0</v>
      </c>
      <c r="G21180" t="str">
        <f>"2018-10-07 15:34:27"</f>
        <v>2018-10-07 15:34:27</v>
      </c>
    </row>
    <row r="21181" spans="1:7" x14ac:dyDescent="0.2">
      <c r="A21181" t="s">
        <v>19891</v>
      </c>
      <c r="B21181" t="str">
        <f>"18680535957"</f>
        <v>18680535957</v>
      </c>
      <c r="C21181" t="str">
        <f>"44058219890112612X"</f>
        <v>44058219890112612X</v>
      </c>
      <c r="D21181" t="s">
        <v>1</v>
      </c>
      <c r="E21181" t="s">
        <v>1</v>
      </c>
      <c r="F21181" t="s">
        <v>0</v>
      </c>
      <c r="G21181" t="str">
        <f>"2018-10-17 11:20:02"</f>
        <v>2018-10-17 11:20:02</v>
      </c>
    </row>
    <row r="21182" spans="1:7" x14ac:dyDescent="0.2">
      <c r="A21182" t="s">
        <v>19892</v>
      </c>
      <c r="B21182" t="str">
        <f>"15860934967"</f>
        <v>15860934967</v>
      </c>
      <c r="C21182" t="str">
        <f>"350628198605012035"</f>
        <v>350628198605012035</v>
      </c>
      <c r="D21182" t="s">
        <v>1</v>
      </c>
      <c r="E21182" t="s">
        <v>1</v>
      </c>
      <c r="F21182" t="s">
        <v>0</v>
      </c>
      <c r="G21182" t="str">
        <f>"2018-10-07 15:45:37"</f>
        <v>2018-10-07 15:45:37</v>
      </c>
    </row>
    <row r="21183" spans="1:7" x14ac:dyDescent="0.2">
      <c r="A21183" t="s">
        <v>1</v>
      </c>
      <c r="B21183" t="str">
        <f>"18830834944"</f>
        <v>18830834944</v>
      </c>
      <c r="C21183" t="s">
        <v>1</v>
      </c>
      <c r="D21183" t="s">
        <v>1</v>
      </c>
      <c r="E21183" t="s">
        <v>1</v>
      </c>
      <c r="F21183" t="s">
        <v>0</v>
      </c>
      <c r="G21183" t="str">
        <f>"2018-10-07 15:33:54"</f>
        <v>2018-10-07 15:33:54</v>
      </c>
    </row>
    <row r="21184" spans="1:7" x14ac:dyDescent="0.2">
      <c r="A21184" t="s">
        <v>19893</v>
      </c>
      <c r="B21184" t="str">
        <f>"18875127720"</f>
        <v>18875127720</v>
      </c>
      <c r="C21184" t="str">
        <f>"622323198902170821"</f>
        <v>622323198902170821</v>
      </c>
      <c r="D21184" t="s">
        <v>19894</v>
      </c>
      <c r="E21184" t="s">
        <v>19895</v>
      </c>
      <c r="F21184" t="s">
        <v>0</v>
      </c>
      <c r="G21184" t="str">
        <f>"2018-10-07 15:34:52"</f>
        <v>2018-10-07 15:34:52</v>
      </c>
    </row>
    <row r="21185" spans="1:7" x14ac:dyDescent="0.2">
      <c r="A21185" t="s">
        <v>19896</v>
      </c>
      <c r="B21185" t="str">
        <f>"18530550521"</f>
        <v>18530550521</v>
      </c>
      <c r="C21185" t="str">
        <f>"410522199006053895"</f>
        <v>410522199006053895</v>
      </c>
      <c r="D21185" t="s">
        <v>19897</v>
      </c>
      <c r="E21185" t="s">
        <v>19898</v>
      </c>
      <c r="F21185" t="s">
        <v>0</v>
      </c>
      <c r="G21185" t="str">
        <f>"2018-10-07 16:54:27"</f>
        <v>2018-10-07 16:54:27</v>
      </c>
    </row>
    <row r="21186" spans="1:7" x14ac:dyDescent="0.2">
      <c r="A21186" t="s">
        <v>19899</v>
      </c>
      <c r="B21186" t="str">
        <f>"15910607469"</f>
        <v>15910607469</v>
      </c>
      <c r="C21186" t="str">
        <f>"110228199107060921"</f>
        <v>110228199107060921</v>
      </c>
      <c r="D21186" t="s">
        <v>1</v>
      </c>
      <c r="E21186" t="s">
        <v>1</v>
      </c>
      <c r="F21186" t="s">
        <v>0</v>
      </c>
      <c r="G21186" t="str">
        <f>"2018-10-07 15:50:56"</f>
        <v>2018-10-07 15:50:56</v>
      </c>
    </row>
    <row r="21187" spans="1:7" x14ac:dyDescent="0.2">
      <c r="A21187" t="s">
        <v>19900</v>
      </c>
      <c r="B21187" t="str">
        <f>"15333012504"</f>
        <v>15333012504</v>
      </c>
      <c r="C21187" t="str">
        <f>"140105198507161810"</f>
        <v>140105198507161810</v>
      </c>
      <c r="D21187" t="s">
        <v>1</v>
      </c>
      <c r="E21187" t="s">
        <v>1</v>
      </c>
      <c r="F21187" t="s">
        <v>0</v>
      </c>
      <c r="G21187" t="str">
        <f>"2018-10-07 15:33:47"</f>
        <v>2018-10-07 15:33:47</v>
      </c>
    </row>
    <row r="21188" spans="1:7" x14ac:dyDescent="0.2">
      <c r="A21188" t="s">
        <v>19901</v>
      </c>
      <c r="B21188" t="str">
        <f>"13636288317"</f>
        <v>13636288317</v>
      </c>
      <c r="C21188" t="str">
        <f>"411528199501021080"</f>
        <v>411528199501021080</v>
      </c>
      <c r="D21188" t="s">
        <v>19902</v>
      </c>
      <c r="E21188" t="s">
        <v>19903</v>
      </c>
      <c r="F21188" t="s">
        <v>0</v>
      </c>
      <c r="G21188" t="str">
        <f>"2018-10-07 15:35:44"</f>
        <v>2018-10-07 15:35:44</v>
      </c>
    </row>
    <row r="21189" spans="1:7" x14ac:dyDescent="0.2">
      <c r="A21189" t="s">
        <v>19904</v>
      </c>
      <c r="B21189" t="str">
        <f>"13960563138"</f>
        <v>13960563138</v>
      </c>
      <c r="C21189" t="str">
        <f>"35042519920206293X"</f>
        <v>35042519920206293X</v>
      </c>
      <c r="D21189" t="s">
        <v>19905</v>
      </c>
      <c r="E21189" t="s">
        <v>19906</v>
      </c>
      <c r="F21189" t="s">
        <v>0</v>
      </c>
      <c r="G21189" t="str">
        <f>"2018-10-07 15:35:36"</f>
        <v>2018-10-07 15:35:36</v>
      </c>
    </row>
    <row r="21190" spans="1:7" x14ac:dyDescent="0.2">
      <c r="A21190" t="s">
        <v>1</v>
      </c>
      <c r="B21190" t="str">
        <f>"15827039199"</f>
        <v>15827039199</v>
      </c>
      <c r="C21190" t="s">
        <v>1</v>
      </c>
      <c r="D21190" t="s">
        <v>1</v>
      </c>
      <c r="E21190" t="s">
        <v>1</v>
      </c>
      <c r="F21190" t="s">
        <v>0</v>
      </c>
      <c r="G21190" t="str">
        <f>"2018-10-07 15:31:16"</f>
        <v>2018-10-07 15:31:16</v>
      </c>
    </row>
    <row r="21191" spans="1:7" x14ac:dyDescent="0.2">
      <c r="A21191" t="s">
        <v>1</v>
      </c>
      <c r="B21191" t="str">
        <f>"13726906432"</f>
        <v>13726906432</v>
      </c>
      <c r="C21191" t="s">
        <v>1</v>
      </c>
      <c r="D21191" t="s">
        <v>1</v>
      </c>
      <c r="E21191" t="s">
        <v>1</v>
      </c>
      <c r="F21191" t="s">
        <v>0</v>
      </c>
      <c r="G21191" t="str">
        <f>"2018-10-07 15:30:58"</f>
        <v>2018-10-07 15:30:58</v>
      </c>
    </row>
    <row r="21192" spans="1:7" x14ac:dyDescent="0.2">
      <c r="A21192" t="s">
        <v>1</v>
      </c>
      <c r="B21192" t="str">
        <f>"15935657725"</f>
        <v>15935657725</v>
      </c>
      <c r="C21192" t="s">
        <v>1</v>
      </c>
      <c r="D21192" t="s">
        <v>1</v>
      </c>
      <c r="E21192" t="s">
        <v>1</v>
      </c>
      <c r="F21192" t="s">
        <v>0</v>
      </c>
      <c r="G21192" t="str">
        <f>"2018-10-07 15:30:30"</f>
        <v>2018-10-07 15:30:30</v>
      </c>
    </row>
    <row r="21193" spans="1:7" x14ac:dyDescent="0.2">
      <c r="A21193" t="s">
        <v>1</v>
      </c>
      <c r="B21193" t="str">
        <f>"13858188331"</f>
        <v>13858188331</v>
      </c>
      <c r="C21193" t="s">
        <v>1</v>
      </c>
      <c r="D21193" t="s">
        <v>1</v>
      </c>
      <c r="E21193" t="s">
        <v>1</v>
      </c>
      <c r="F21193" t="s">
        <v>0</v>
      </c>
      <c r="G21193" t="str">
        <f>"2018-10-07 15:30:21"</f>
        <v>2018-10-07 15:30:21</v>
      </c>
    </row>
    <row r="21194" spans="1:7" x14ac:dyDescent="0.2">
      <c r="A21194" t="s">
        <v>7284</v>
      </c>
      <c r="B21194" t="str">
        <f>"15527460868"</f>
        <v>15527460868</v>
      </c>
      <c r="C21194" t="str">
        <f>"42070419910923527X"</f>
        <v>42070419910923527X</v>
      </c>
      <c r="D21194" t="s">
        <v>1</v>
      </c>
      <c r="E21194" t="s">
        <v>1</v>
      </c>
      <c r="F21194" t="s">
        <v>0</v>
      </c>
      <c r="G21194" t="str">
        <f>"2018-11-04 23:41:06"</f>
        <v>2018-11-04 23:41:06</v>
      </c>
    </row>
    <row r="21195" spans="1:7" x14ac:dyDescent="0.2">
      <c r="A21195" t="s">
        <v>1</v>
      </c>
      <c r="B21195" t="str">
        <f>"18583942101"</f>
        <v>18583942101</v>
      </c>
      <c r="C21195" t="s">
        <v>1</v>
      </c>
      <c r="D21195" t="s">
        <v>1</v>
      </c>
      <c r="E21195" t="s">
        <v>1</v>
      </c>
      <c r="F21195" t="s">
        <v>0</v>
      </c>
      <c r="G21195" t="str">
        <f>"2018-10-07 15:30:10"</f>
        <v>2018-10-07 15:30:10</v>
      </c>
    </row>
    <row r="21196" spans="1:7" x14ac:dyDescent="0.2">
      <c r="A21196" t="s">
        <v>1</v>
      </c>
      <c r="B21196" t="str">
        <f>"18392602236"</f>
        <v>18392602236</v>
      </c>
      <c r="C21196" t="s">
        <v>1</v>
      </c>
      <c r="D21196" t="s">
        <v>1</v>
      </c>
      <c r="E21196" t="s">
        <v>1</v>
      </c>
      <c r="F21196" t="s">
        <v>0</v>
      </c>
      <c r="G21196" t="str">
        <f>"2018-10-07 15:30:06"</f>
        <v>2018-10-07 15:30:06</v>
      </c>
    </row>
    <row r="21197" spans="1:7" x14ac:dyDescent="0.2">
      <c r="A21197" t="s">
        <v>19907</v>
      </c>
      <c r="B21197" t="str">
        <f>"13692453284"</f>
        <v>13692453284</v>
      </c>
      <c r="C21197" t="str">
        <f>"440881199405041439"</f>
        <v>440881199405041439</v>
      </c>
      <c r="D21197" t="s">
        <v>1</v>
      </c>
      <c r="E21197" t="s">
        <v>1</v>
      </c>
      <c r="F21197" t="s">
        <v>0</v>
      </c>
      <c r="G21197" t="str">
        <f>"2018-10-07 16:52:08"</f>
        <v>2018-10-07 16:52:08</v>
      </c>
    </row>
    <row r="21198" spans="1:7" x14ac:dyDescent="0.2">
      <c r="A21198" t="s">
        <v>19908</v>
      </c>
      <c r="B21198" t="str">
        <f>"15854938598"</f>
        <v>15854938598</v>
      </c>
      <c r="C21198" t="str">
        <f>"372830197902280814"</f>
        <v>372830197902280814</v>
      </c>
      <c r="D21198" t="s">
        <v>1</v>
      </c>
      <c r="E21198" t="s">
        <v>1</v>
      </c>
      <c r="F21198" t="s">
        <v>0</v>
      </c>
      <c r="G21198" t="str">
        <f>"2018-10-20 12:23:14"</f>
        <v>2018-10-20 12:23:14</v>
      </c>
    </row>
    <row r="21199" spans="1:7" x14ac:dyDescent="0.2">
      <c r="A21199" t="s">
        <v>19909</v>
      </c>
      <c r="B21199" t="str">
        <f>"13424543700"</f>
        <v>13424543700</v>
      </c>
      <c r="C21199" t="str">
        <f>"442000198304066114"</f>
        <v>442000198304066114</v>
      </c>
      <c r="D21199" t="s">
        <v>1</v>
      </c>
      <c r="E21199" t="s">
        <v>1</v>
      </c>
      <c r="F21199" t="s">
        <v>0</v>
      </c>
      <c r="G21199" t="str">
        <f>"2018-10-07 15:31:30"</f>
        <v>2018-10-07 15:31:30</v>
      </c>
    </row>
    <row r="21200" spans="1:7" x14ac:dyDescent="0.2">
      <c r="A21200" t="s">
        <v>9394</v>
      </c>
      <c r="B21200" t="str">
        <f>"18816225307"</f>
        <v>18816225307</v>
      </c>
      <c r="C21200" t="str">
        <f>"320811199602041511"</f>
        <v>320811199602041511</v>
      </c>
      <c r="D21200" t="s">
        <v>19910</v>
      </c>
      <c r="E21200" t="s">
        <v>19911</v>
      </c>
      <c r="F21200" t="s">
        <v>0</v>
      </c>
      <c r="G21200" t="str">
        <f>"2018-10-07 16:37:24"</f>
        <v>2018-10-07 16:37:24</v>
      </c>
    </row>
    <row r="21201" spans="1:7" x14ac:dyDescent="0.2">
      <c r="A21201" t="s">
        <v>1</v>
      </c>
      <c r="B21201" t="str">
        <f>"13202944828"</f>
        <v>13202944828</v>
      </c>
      <c r="C21201" t="s">
        <v>1</v>
      </c>
      <c r="D21201" t="s">
        <v>1</v>
      </c>
      <c r="E21201" t="s">
        <v>1</v>
      </c>
      <c r="F21201" t="s">
        <v>0</v>
      </c>
      <c r="G21201" t="str">
        <f>"2018-10-07 15:28:22"</f>
        <v>2018-10-07 15:28:22</v>
      </c>
    </row>
    <row r="21202" spans="1:7" x14ac:dyDescent="0.2">
      <c r="A21202" t="s">
        <v>19912</v>
      </c>
      <c r="B21202" t="str">
        <f>"18604407379"</f>
        <v>18604407379</v>
      </c>
      <c r="C21202" t="str">
        <f>"220581198608280171"</f>
        <v>220581198608280171</v>
      </c>
      <c r="D21202" t="s">
        <v>1</v>
      </c>
      <c r="E21202" t="s">
        <v>1</v>
      </c>
      <c r="F21202" t="s">
        <v>0</v>
      </c>
      <c r="G21202" t="str">
        <f>"2018-10-07 15:31:08"</f>
        <v>2018-10-07 15:31:08</v>
      </c>
    </row>
    <row r="21203" spans="1:7" x14ac:dyDescent="0.2">
      <c r="A21203" t="s">
        <v>19913</v>
      </c>
      <c r="B21203" t="str">
        <f>"15755777077"</f>
        <v>15755777077</v>
      </c>
      <c r="C21203" t="str">
        <f>"342201198509303228"</f>
        <v>342201198509303228</v>
      </c>
      <c r="D21203" t="s">
        <v>1</v>
      </c>
      <c r="E21203" t="s">
        <v>1</v>
      </c>
      <c r="F21203" t="s">
        <v>0</v>
      </c>
      <c r="G21203" t="str">
        <f>"2018-10-07 15:45:19"</f>
        <v>2018-10-07 15:45:19</v>
      </c>
    </row>
    <row r="21204" spans="1:7" x14ac:dyDescent="0.2">
      <c r="A21204" t="s">
        <v>19914</v>
      </c>
      <c r="B21204" t="str">
        <f>"18641729793"</f>
        <v>18641729793</v>
      </c>
      <c r="C21204" t="str">
        <f>"231026198809090324"</f>
        <v>231026198809090324</v>
      </c>
      <c r="D21204" t="s">
        <v>1</v>
      </c>
      <c r="E21204" t="s">
        <v>1</v>
      </c>
      <c r="F21204" t="s">
        <v>0</v>
      </c>
      <c r="G21204" t="str">
        <f>"2018-10-07 15:28:01"</f>
        <v>2018-10-07 15:28:01</v>
      </c>
    </row>
    <row r="21205" spans="1:7" x14ac:dyDescent="0.2">
      <c r="A21205" t="s">
        <v>1</v>
      </c>
      <c r="B21205" t="str">
        <f>"15871768061"</f>
        <v>15871768061</v>
      </c>
      <c r="C21205" t="s">
        <v>1</v>
      </c>
      <c r="D21205" t="s">
        <v>1</v>
      </c>
      <c r="E21205" t="s">
        <v>1</v>
      </c>
      <c r="F21205" t="s">
        <v>0</v>
      </c>
      <c r="G21205" t="str">
        <f>"2018-10-07 15:27:34"</f>
        <v>2018-10-07 15:27:34</v>
      </c>
    </row>
    <row r="21206" spans="1:7" x14ac:dyDescent="0.2">
      <c r="A21206" t="s">
        <v>1</v>
      </c>
      <c r="B21206" t="str">
        <f>"15159992109"</f>
        <v>15159992109</v>
      </c>
      <c r="C21206" t="s">
        <v>1</v>
      </c>
      <c r="D21206" t="s">
        <v>1</v>
      </c>
      <c r="E21206" t="s">
        <v>1</v>
      </c>
      <c r="F21206" t="s">
        <v>0</v>
      </c>
      <c r="G21206" t="str">
        <f>"2018-10-07 15:25:40"</f>
        <v>2018-10-07 15:25:40</v>
      </c>
    </row>
    <row r="21207" spans="1:7" x14ac:dyDescent="0.2">
      <c r="A21207" t="s">
        <v>1</v>
      </c>
      <c r="B21207" t="str">
        <f>"13190525599"</f>
        <v>13190525599</v>
      </c>
      <c r="C21207" t="s">
        <v>1</v>
      </c>
      <c r="D21207" t="s">
        <v>1</v>
      </c>
      <c r="E21207" t="s">
        <v>1</v>
      </c>
      <c r="F21207" t="s">
        <v>0</v>
      </c>
      <c r="G21207" t="str">
        <f>"2018-10-07 15:25:34"</f>
        <v>2018-10-07 15:25:34</v>
      </c>
    </row>
    <row r="21208" spans="1:7" x14ac:dyDescent="0.2">
      <c r="A21208" t="s">
        <v>1</v>
      </c>
      <c r="B21208" t="str">
        <f>"15298838236"</f>
        <v>15298838236</v>
      </c>
      <c r="C21208" t="s">
        <v>1</v>
      </c>
      <c r="D21208" t="s">
        <v>1</v>
      </c>
      <c r="E21208" t="s">
        <v>1</v>
      </c>
      <c r="F21208" t="s">
        <v>0</v>
      </c>
      <c r="G21208" t="str">
        <f>"2018-10-07 15:25:20"</f>
        <v>2018-10-07 15:25:20</v>
      </c>
    </row>
    <row r="21209" spans="1:7" x14ac:dyDescent="0.2">
      <c r="A21209" t="s">
        <v>1</v>
      </c>
      <c r="B21209" t="str">
        <f>"15002543258"</f>
        <v>15002543258</v>
      </c>
      <c r="C21209" t="s">
        <v>1</v>
      </c>
      <c r="D21209" t="s">
        <v>1</v>
      </c>
      <c r="E21209" t="s">
        <v>1</v>
      </c>
      <c r="F21209" t="s">
        <v>0</v>
      </c>
      <c r="G21209" t="str">
        <f>"2018-10-07 15:24:48"</f>
        <v>2018-10-07 15:24:48</v>
      </c>
    </row>
    <row r="21210" spans="1:7" x14ac:dyDescent="0.2">
      <c r="A21210" t="s">
        <v>1326</v>
      </c>
      <c r="B21210" t="str">
        <f>"13704086163"</f>
        <v>13704086163</v>
      </c>
      <c r="C21210" t="str">
        <f>"211224197704283111"</f>
        <v>211224197704283111</v>
      </c>
      <c r="D21210" t="s">
        <v>1</v>
      </c>
      <c r="E21210" t="s">
        <v>1</v>
      </c>
      <c r="F21210" t="s">
        <v>0</v>
      </c>
      <c r="G21210" t="str">
        <f>"2018-10-07 15:29:21"</f>
        <v>2018-10-07 15:29:21</v>
      </c>
    </row>
    <row r="21211" spans="1:7" x14ac:dyDescent="0.2">
      <c r="A21211" t="s">
        <v>19915</v>
      </c>
      <c r="B21211" t="str">
        <f>"13819663937"</f>
        <v>13819663937</v>
      </c>
      <c r="C21211" t="str">
        <f>"511025199610121029"</f>
        <v>511025199610121029</v>
      </c>
      <c r="D21211" t="s">
        <v>1</v>
      </c>
      <c r="E21211" t="s">
        <v>1</v>
      </c>
      <c r="F21211" t="s">
        <v>0</v>
      </c>
      <c r="G21211" t="str">
        <f>"2018-10-07 15:28:38"</f>
        <v>2018-10-07 15:28:38</v>
      </c>
    </row>
    <row r="21212" spans="1:7" x14ac:dyDescent="0.2">
      <c r="A21212" t="s">
        <v>19916</v>
      </c>
      <c r="B21212" t="str">
        <f>"13819144635"</f>
        <v>13819144635</v>
      </c>
      <c r="C21212" t="str">
        <f>"362330199707097213"</f>
        <v>362330199707097213</v>
      </c>
      <c r="D21212" t="s">
        <v>19917</v>
      </c>
      <c r="E21212" t="s">
        <v>19918</v>
      </c>
      <c r="F21212" t="s">
        <v>0</v>
      </c>
      <c r="G21212" t="str">
        <f>"2018-10-13 16:33:04"</f>
        <v>2018-10-13 16:33:04</v>
      </c>
    </row>
    <row r="21213" spans="1:7" x14ac:dyDescent="0.2">
      <c r="A21213" t="s">
        <v>559</v>
      </c>
      <c r="B21213" t="str">
        <f>"18530189720"</f>
        <v>18530189720</v>
      </c>
      <c r="C21213" t="str">
        <f>"410822198209220026"</f>
        <v>410822198209220026</v>
      </c>
      <c r="D21213" t="s">
        <v>1</v>
      </c>
      <c r="E21213" t="s">
        <v>1</v>
      </c>
      <c r="F21213" t="s">
        <v>0</v>
      </c>
      <c r="G21213" t="str">
        <f>"2018-10-07 15:25:14"</f>
        <v>2018-10-07 15:25:14</v>
      </c>
    </row>
    <row r="21214" spans="1:7" x14ac:dyDescent="0.2">
      <c r="A21214" t="s">
        <v>1</v>
      </c>
      <c r="B21214" t="str">
        <f>"13550756251"</f>
        <v>13550756251</v>
      </c>
      <c r="C21214" t="s">
        <v>1</v>
      </c>
      <c r="D21214" t="s">
        <v>1</v>
      </c>
      <c r="E21214" t="s">
        <v>1</v>
      </c>
      <c r="F21214" t="s">
        <v>0</v>
      </c>
      <c r="G21214" t="str">
        <f>"2018-10-07 15:23:06"</f>
        <v>2018-10-07 15:23:06</v>
      </c>
    </row>
    <row r="21215" spans="1:7" x14ac:dyDescent="0.2">
      <c r="A21215" t="s">
        <v>19919</v>
      </c>
      <c r="B21215" t="str">
        <f>"15229863993"</f>
        <v>15229863993</v>
      </c>
      <c r="C21215" t="str">
        <f>"610103197003283238"</f>
        <v>610103197003283238</v>
      </c>
      <c r="D21215" t="s">
        <v>1</v>
      </c>
      <c r="E21215" t="s">
        <v>1</v>
      </c>
      <c r="F21215" t="s">
        <v>0</v>
      </c>
      <c r="G21215" t="str">
        <f>"2018-10-07 15:23:26"</f>
        <v>2018-10-07 15:23:26</v>
      </c>
    </row>
    <row r="21216" spans="1:7" x14ac:dyDescent="0.2">
      <c r="A21216" t="s">
        <v>1</v>
      </c>
      <c r="B21216" t="str">
        <f>"13844747476"</f>
        <v>13844747476</v>
      </c>
      <c r="C21216" t="s">
        <v>1</v>
      </c>
      <c r="D21216" t="s">
        <v>1</v>
      </c>
      <c r="E21216" t="s">
        <v>1</v>
      </c>
      <c r="F21216" t="s">
        <v>0</v>
      </c>
      <c r="G21216" t="str">
        <f>"2018-10-07 15:33:12"</f>
        <v>2018-10-07 15:33:12</v>
      </c>
    </row>
    <row r="21217" spans="1:7" x14ac:dyDescent="0.2">
      <c r="A21217" t="s">
        <v>1</v>
      </c>
      <c r="B21217" t="str">
        <f>"18280999543"</f>
        <v>18280999543</v>
      </c>
      <c r="C21217" t="s">
        <v>1</v>
      </c>
      <c r="D21217" t="s">
        <v>1</v>
      </c>
      <c r="E21217" t="s">
        <v>1</v>
      </c>
      <c r="F21217" t="s">
        <v>0</v>
      </c>
      <c r="G21217" t="str">
        <f>"2018-10-07 15:22:09"</f>
        <v>2018-10-07 15:22:09</v>
      </c>
    </row>
    <row r="21218" spans="1:7" x14ac:dyDescent="0.2">
      <c r="A21218" t="s">
        <v>19920</v>
      </c>
      <c r="B21218" t="str">
        <f>"13855134809"</f>
        <v>13855134809</v>
      </c>
      <c r="C21218" t="str">
        <f>"340121197308026280"</f>
        <v>340121197308026280</v>
      </c>
      <c r="D21218" t="s">
        <v>1</v>
      </c>
      <c r="E21218" t="s">
        <v>1</v>
      </c>
      <c r="F21218" t="s">
        <v>0</v>
      </c>
      <c r="G21218" t="str">
        <f>"2018-10-07 15:23:29"</f>
        <v>2018-10-07 15:23:29</v>
      </c>
    </row>
    <row r="21219" spans="1:7" x14ac:dyDescent="0.2">
      <c r="A21219" t="s">
        <v>19323</v>
      </c>
      <c r="B21219" t="str">
        <f>"15907064616"</f>
        <v>15907064616</v>
      </c>
      <c r="C21219" t="str">
        <f>"362425198611040036"</f>
        <v>362425198611040036</v>
      </c>
      <c r="D21219" t="s">
        <v>1</v>
      </c>
      <c r="E21219" t="s">
        <v>1</v>
      </c>
      <c r="F21219" t="s">
        <v>0</v>
      </c>
      <c r="G21219" t="str">
        <f>"2018-10-07 15:25:26"</f>
        <v>2018-10-07 15:25:26</v>
      </c>
    </row>
    <row r="21220" spans="1:7" x14ac:dyDescent="0.2">
      <c r="A21220" t="s">
        <v>100</v>
      </c>
      <c r="B21220" t="str">
        <f>"15268599609"</f>
        <v>15268599609</v>
      </c>
      <c r="C21220" t="str">
        <f>"339005199603243413"</f>
        <v>339005199603243413</v>
      </c>
      <c r="D21220" t="s">
        <v>19921</v>
      </c>
      <c r="E21220" t="s">
        <v>19922</v>
      </c>
      <c r="F21220" t="s">
        <v>0</v>
      </c>
      <c r="G21220" t="str">
        <f>"2018-10-07 15:22:40"</f>
        <v>2018-10-07 15:22:40</v>
      </c>
    </row>
    <row r="21221" spans="1:7" x14ac:dyDescent="0.2">
      <c r="A21221" t="s">
        <v>19923</v>
      </c>
      <c r="B21221" t="str">
        <f>"18980611996"</f>
        <v>18980611996</v>
      </c>
      <c r="C21221" t="str">
        <f>"510123199712153429"</f>
        <v>510123199712153429</v>
      </c>
      <c r="D21221" t="s">
        <v>1</v>
      </c>
      <c r="E21221" t="s">
        <v>1</v>
      </c>
      <c r="F21221" t="s">
        <v>0</v>
      </c>
      <c r="G21221" t="str">
        <f>"2018-10-07 15:23:52"</f>
        <v>2018-10-07 15:23:52</v>
      </c>
    </row>
    <row r="21222" spans="1:7" x14ac:dyDescent="0.2">
      <c r="A21222" t="s">
        <v>19924</v>
      </c>
      <c r="B21222" t="str">
        <f>"13531664036"</f>
        <v>13531664036</v>
      </c>
      <c r="C21222" t="str">
        <f>"441323199205286028"</f>
        <v>441323199205286028</v>
      </c>
      <c r="D21222" t="s">
        <v>1</v>
      </c>
      <c r="E21222" t="s">
        <v>1</v>
      </c>
      <c r="F21222" t="s">
        <v>0</v>
      </c>
      <c r="G21222" t="str">
        <f>"2018-10-07 15:22:21"</f>
        <v>2018-10-07 15:22:21</v>
      </c>
    </row>
    <row r="21223" spans="1:7" x14ac:dyDescent="0.2">
      <c r="A21223" t="s">
        <v>1418</v>
      </c>
      <c r="B21223" t="str">
        <f>"15774623210"</f>
        <v>15774623210</v>
      </c>
      <c r="C21223" t="str">
        <f>"230230198804181352"</f>
        <v>230230198804181352</v>
      </c>
      <c r="D21223" t="s">
        <v>1</v>
      </c>
      <c r="E21223" t="s">
        <v>1</v>
      </c>
      <c r="F21223" t="s">
        <v>0</v>
      </c>
      <c r="G21223" t="str">
        <f>"2018-10-07 16:46:40"</f>
        <v>2018-10-07 16:46:40</v>
      </c>
    </row>
    <row r="21224" spans="1:7" x14ac:dyDescent="0.2">
      <c r="A21224" t="s">
        <v>1</v>
      </c>
      <c r="B21224" t="str">
        <f>"17160413265"</f>
        <v>17160413265</v>
      </c>
      <c r="C21224" t="s">
        <v>1</v>
      </c>
      <c r="D21224" t="s">
        <v>1</v>
      </c>
      <c r="E21224" t="s">
        <v>1</v>
      </c>
      <c r="F21224" t="s">
        <v>0</v>
      </c>
      <c r="G21224" t="str">
        <f>"2018-10-07 15:20:24"</f>
        <v>2018-10-07 15:20:24</v>
      </c>
    </row>
    <row r="21225" spans="1:7" x14ac:dyDescent="0.2">
      <c r="A21225" t="s">
        <v>19925</v>
      </c>
      <c r="B21225" t="str">
        <f>"15088620457"</f>
        <v>15088620457</v>
      </c>
      <c r="C21225" t="str">
        <f>"362426198409080014"</f>
        <v>362426198409080014</v>
      </c>
      <c r="D21225" t="s">
        <v>1</v>
      </c>
      <c r="E21225" t="s">
        <v>1</v>
      </c>
      <c r="F21225" t="s">
        <v>0</v>
      </c>
      <c r="G21225" t="str">
        <f>"2018-10-07 15:20:11"</f>
        <v>2018-10-07 15:20:11</v>
      </c>
    </row>
    <row r="21226" spans="1:7" x14ac:dyDescent="0.2">
      <c r="A21226" t="s">
        <v>13292</v>
      </c>
      <c r="B21226" t="str">
        <f>"18883637385"</f>
        <v>18883637385</v>
      </c>
      <c r="C21226" t="str">
        <f>"500101199001308551"</f>
        <v>500101199001308551</v>
      </c>
      <c r="D21226" t="s">
        <v>1</v>
      </c>
      <c r="E21226" t="s">
        <v>1</v>
      </c>
      <c r="F21226" t="s">
        <v>0</v>
      </c>
      <c r="G21226" t="str">
        <f>"2018-10-07 15:22:52"</f>
        <v>2018-10-07 15:22:52</v>
      </c>
    </row>
    <row r="21227" spans="1:7" x14ac:dyDescent="0.2">
      <c r="A21227" t="s">
        <v>19926</v>
      </c>
      <c r="B21227" t="str">
        <f>"18397277031"</f>
        <v>18397277031</v>
      </c>
      <c r="C21227" t="str">
        <f>"431026198209240912"</f>
        <v>431026198209240912</v>
      </c>
      <c r="D21227" t="s">
        <v>19927</v>
      </c>
      <c r="E21227" t="s">
        <v>19927</v>
      </c>
      <c r="F21227" t="s">
        <v>0</v>
      </c>
      <c r="G21227" t="str">
        <f>"2018-10-07 15:21:57"</f>
        <v>2018-10-07 15:21:57</v>
      </c>
    </row>
    <row r="21228" spans="1:7" x14ac:dyDescent="0.2">
      <c r="A21228" t="s">
        <v>19928</v>
      </c>
      <c r="B21228" t="str">
        <f>"15322711114"</f>
        <v>15322711114</v>
      </c>
      <c r="C21228" t="str">
        <f>"445102198808230337"</f>
        <v>445102198808230337</v>
      </c>
      <c r="D21228" t="s">
        <v>1</v>
      </c>
      <c r="E21228" t="s">
        <v>1</v>
      </c>
      <c r="F21228" t="s">
        <v>0</v>
      </c>
      <c r="G21228" t="str">
        <f>"2018-10-07 15:19:54"</f>
        <v>2018-10-07 15:19:54</v>
      </c>
    </row>
    <row r="21229" spans="1:7" x14ac:dyDescent="0.2">
      <c r="A21229" t="s">
        <v>19929</v>
      </c>
      <c r="B21229" t="str">
        <f>"13036288915"</f>
        <v>13036288915</v>
      </c>
      <c r="C21229" t="str">
        <f>"360521198611155552"</f>
        <v>360521198611155552</v>
      </c>
      <c r="D21229" t="s">
        <v>1</v>
      </c>
      <c r="E21229" t="s">
        <v>1</v>
      </c>
      <c r="F21229" t="s">
        <v>0</v>
      </c>
      <c r="G21229" t="str">
        <f>"2018-10-07 15:21:13"</f>
        <v>2018-10-07 15:21:13</v>
      </c>
    </row>
    <row r="21230" spans="1:7" x14ac:dyDescent="0.2">
      <c r="A21230" t="s">
        <v>19930</v>
      </c>
      <c r="B21230" t="str">
        <f>"13668114973"</f>
        <v>13668114973</v>
      </c>
      <c r="C21230" t="str">
        <f>"510781199409267403"</f>
        <v>510781199409267403</v>
      </c>
      <c r="D21230" t="s">
        <v>1</v>
      </c>
      <c r="E21230" t="s">
        <v>1</v>
      </c>
      <c r="F21230" t="s">
        <v>0</v>
      </c>
      <c r="G21230" t="str">
        <f>"2018-10-07 15:22:59"</f>
        <v>2018-10-07 15:22:59</v>
      </c>
    </row>
    <row r="21231" spans="1:7" x14ac:dyDescent="0.2">
      <c r="A21231" t="s">
        <v>1</v>
      </c>
      <c r="B21231" t="str">
        <f>"13617071220"</f>
        <v>13617071220</v>
      </c>
      <c r="C21231" t="s">
        <v>1</v>
      </c>
      <c r="D21231" t="s">
        <v>1</v>
      </c>
      <c r="E21231" t="s">
        <v>1</v>
      </c>
      <c r="F21231" t="s">
        <v>0</v>
      </c>
      <c r="G21231" t="str">
        <f>"2018-10-07 15:18:58"</f>
        <v>2018-10-07 15:18:58</v>
      </c>
    </row>
    <row r="21232" spans="1:7" x14ac:dyDescent="0.2">
      <c r="A21232" t="s">
        <v>87</v>
      </c>
      <c r="B21232" t="str">
        <f>"13833292799"</f>
        <v>13833292799</v>
      </c>
      <c r="C21232" t="str">
        <f>"132440198112260318"</f>
        <v>132440198112260318</v>
      </c>
      <c r="D21232" t="s">
        <v>19931</v>
      </c>
      <c r="E21232" t="s">
        <v>19932</v>
      </c>
      <c r="F21232" t="s">
        <v>0</v>
      </c>
      <c r="G21232" t="str">
        <f>"2018-10-07 15:20:28"</f>
        <v>2018-10-07 15:20:28</v>
      </c>
    </row>
    <row r="21233" spans="1:7" x14ac:dyDescent="0.2">
      <c r="A21233" t="s">
        <v>19933</v>
      </c>
      <c r="B21233" t="str">
        <f>"18348771987"</f>
        <v>18348771987</v>
      </c>
      <c r="C21233" t="str">
        <f>"130582198712110417"</f>
        <v>130582198712110417</v>
      </c>
      <c r="D21233" t="s">
        <v>1</v>
      </c>
      <c r="E21233" t="s">
        <v>1</v>
      </c>
      <c r="F21233" t="s">
        <v>0</v>
      </c>
      <c r="G21233" t="str">
        <f>"2018-10-07 15:18:55"</f>
        <v>2018-10-07 15:18:55</v>
      </c>
    </row>
    <row r="21234" spans="1:7" x14ac:dyDescent="0.2">
      <c r="A21234" t="s">
        <v>882</v>
      </c>
      <c r="B21234" t="str">
        <f>"15828734037"</f>
        <v>15828734037</v>
      </c>
      <c r="C21234" t="str">
        <f>"511028197410112937"</f>
        <v>511028197410112937</v>
      </c>
      <c r="D21234" t="s">
        <v>1</v>
      </c>
      <c r="E21234" t="s">
        <v>1</v>
      </c>
      <c r="F21234" t="s">
        <v>0</v>
      </c>
      <c r="G21234" t="str">
        <f>"2018-10-07 15:19:18"</f>
        <v>2018-10-07 15:19:18</v>
      </c>
    </row>
    <row r="21235" spans="1:7" x14ac:dyDescent="0.2">
      <c r="A21235" t="s">
        <v>260</v>
      </c>
      <c r="B21235" t="str">
        <f>"17600929001"</f>
        <v>17600929001</v>
      </c>
      <c r="C21235" t="str">
        <f>"142621199302050053"</f>
        <v>142621199302050053</v>
      </c>
      <c r="D21235" t="s">
        <v>1</v>
      </c>
      <c r="E21235" t="s">
        <v>1</v>
      </c>
      <c r="F21235" t="s">
        <v>0</v>
      </c>
      <c r="G21235" t="str">
        <f>"2018-10-09 16:35:59"</f>
        <v>2018-10-09 16:35:59</v>
      </c>
    </row>
    <row r="21236" spans="1:7" x14ac:dyDescent="0.2">
      <c r="A21236" t="s">
        <v>1</v>
      </c>
      <c r="B21236" t="str">
        <f>"15027920221"</f>
        <v>15027920221</v>
      </c>
      <c r="C21236" t="s">
        <v>1</v>
      </c>
      <c r="D21236" t="s">
        <v>1</v>
      </c>
      <c r="E21236" t="s">
        <v>1</v>
      </c>
      <c r="F21236" t="s">
        <v>0</v>
      </c>
      <c r="G21236" t="str">
        <f>"2018-10-07 15:16:37"</f>
        <v>2018-10-07 15:16:37</v>
      </c>
    </row>
    <row r="21237" spans="1:7" x14ac:dyDescent="0.2">
      <c r="A21237" t="s">
        <v>19934</v>
      </c>
      <c r="B21237" t="str">
        <f>"18610456232"</f>
        <v>18610456232</v>
      </c>
      <c r="C21237" t="str">
        <f>"142603198311128812"</f>
        <v>142603198311128812</v>
      </c>
      <c r="D21237" t="s">
        <v>1</v>
      </c>
      <c r="E21237" t="s">
        <v>1</v>
      </c>
      <c r="F21237" t="s">
        <v>0</v>
      </c>
      <c r="G21237" t="str">
        <f>"2018-10-07 15:18:26"</f>
        <v>2018-10-07 15:18:26</v>
      </c>
    </row>
    <row r="21238" spans="1:7" x14ac:dyDescent="0.2">
      <c r="A21238" t="s">
        <v>19935</v>
      </c>
      <c r="B21238" t="str">
        <f>"13529270153"</f>
        <v>13529270153</v>
      </c>
      <c r="C21238" t="str">
        <f>"530128199104241228"</f>
        <v>530128199104241228</v>
      </c>
      <c r="D21238" t="s">
        <v>1</v>
      </c>
      <c r="E21238" t="s">
        <v>1</v>
      </c>
      <c r="F21238" t="s">
        <v>0</v>
      </c>
      <c r="G21238" t="str">
        <f>"2018-10-07 15:32:09"</f>
        <v>2018-10-07 15:32:09</v>
      </c>
    </row>
    <row r="21239" spans="1:7" x14ac:dyDescent="0.2">
      <c r="A21239" t="s">
        <v>19936</v>
      </c>
      <c r="B21239" t="str">
        <f>"15015976146"</f>
        <v>15015976146</v>
      </c>
      <c r="C21239" t="str">
        <f>"450422198603170595"</f>
        <v>450422198603170595</v>
      </c>
      <c r="D21239" t="s">
        <v>1</v>
      </c>
      <c r="E21239" t="s">
        <v>1</v>
      </c>
      <c r="F21239" t="s">
        <v>0</v>
      </c>
      <c r="G21239" t="str">
        <f>"2018-10-07 15:20:23"</f>
        <v>2018-10-07 15:20:23</v>
      </c>
    </row>
    <row r="21240" spans="1:7" x14ac:dyDescent="0.2">
      <c r="A21240" t="s">
        <v>1272</v>
      </c>
      <c r="B21240" t="str">
        <f>"15153691015"</f>
        <v>15153691015</v>
      </c>
      <c r="C21240" t="str">
        <f>"22062219860812051X"</f>
        <v>22062219860812051X</v>
      </c>
      <c r="D21240" t="s">
        <v>1</v>
      </c>
      <c r="E21240" t="s">
        <v>1</v>
      </c>
      <c r="F21240" t="s">
        <v>0</v>
      </c>
      <c r="G21240" t="str">
        <f>"2018-10-07 15:15:23"</f>
        <v>2018-10-07 15:15:23</v>
      </c>
    </row>
    <row r="21241" spans="1:7" x14ac:dyDescent="0.2">
      <c r="A21241" t="s">
        <v>19937</v>
      </c>
      <c r="B21241" t="str">
        <f>"13982318008"</f>
        <v>13982318008</v>
      </c>
      <c r="C21241" t="str">
        <f>"51112319880124277X"</f>
        <v>51112319880124277X</v>
      </c>
      <c r="D21241" t="s">
        <v>19938</v>
      </c>
      <c r="E21241" t="s">
        <v>19939</v>
      </c>
      <c r="F21241" t="s">
        <v>0</v>
      </c>
      <c r="G21241" t="str">
        <f>"2018-10-07 15:18:41"</f>
        <v>2018-10-07 15:18:41</v>
      </c>
    </row>
    <row r="21242" spans="1:7" x14ac:dyDescent="0.2">
      <c r="A21242" t="s">
        <v>1</v>
      </c>
      <c r="B21242" t="str">
        <f>"15941285926"</f>
        <v>15941285926</v>
      </c>
      <c r="C21242" t="s">
        <v>1</v>
      </c>
      <c r="D21242" t="s">
        <v>1</v>
      </c>
      <c r="E21242" t="s">
        <v>1</v>
      </c>
      <c r="F21242" t="s">
        <v>0</v>
      </c>
      <c r="G21242" t="str">
        <f>"2018-10-07 15:14:59"</f>
        <v>2018-10-07 15:14:59</v>
      </c>
    </row>
    <row r="21243" spans="1:7" x14ac:dyDescent="0.2">
      <c r="A21243" t="s">
        <v>19940</v>
      </c>
      <c r="B21243" t="str">
        <f>"18996975101"</f>
        <v>18996975101</v>
      </c>
      <c r="C21243" t="str">
        <f>"513524198305126761"</f>
        <v>513524198305126761</v>
      </c>
      <c r="D21243" t="s">
        <v>1</v>
      </c>
      <c r="E21243" t="s">
        <v>1</v>
      </c>
      <c r="F21243" t="s">
        <v>0</v>
      </c>
      <c r="G21243" t="str">
        <f>"2018-10-09 10:09:41"</f>
        <v>2018-10-09 10:09:41</v>
      </c>
    </row>
    <row r="21244" spans="1:7" x14ac:dyDescent="0.2">
      <c r="A21244" t="s">
        <v>1</v>
      </c>
      <c r="B21244" t="str">
        <f>"17695746450"</f>
        <v>17695746450</v>
      </c>
      <c r="C21244" t="s">
        <v>1</v>
      </c>
      <c r="D21244" t="s">
        <v>1</v>
      </c>
      <c r="E21244" t="s">
        <v>1</v>
      </c>
      <c r="F21244" t="s">
        <v>0</v>
      </c>
      <c r="G21244" t="str">
        <f>"2018-10-07 15:14:07"</f>
        <v>2018-10-07 15:14:07</v>
      </c>
    </row>
    <row r="21245" spans="1:7" x14ac:dyDescent="0.2">
      <c r="A21245" t="s">
        <v>19941</v>
      </c>
      <c r="B21245" t="str">
        <f>"13788686906"</f>
        <v>13788686906</v>
      </c>
      <c r="C21245" t="str">
        <f>"450122199005206517"</f>
        <v>450122199005206517</v>
      </c>
      <c r="D21245" t="s">
        <v>1</v>
      </c>
      <c r="E21245" t="s">
        <v>1</v>
      </c>
      <c r="F21245" t="s">
        <v>0</v>
      </c>
      <c r="G21245" t="str">
        <f>"2018-10-07 15:14:36"</f>
        <v>2018-10-07 15:14:36</v>
      </c>
    </row>
    <row r="21246" spans="1:7" x14ac:dyDescent="0.2">
      <c r="A21246" t="s">
        <v>19942</v>
      </c>
      <c r="B21246" t="str">
        <f>"13305968786"</f>
        <v>13305968786</v>
      </c>
      <c r="C21246" t="str">
        <f>"350525199804224911"</f>
        <v>350525199804224911</v>
      </c>
      <c r="D21246" t="s">
        <v>1</v>
      </c>
      <c r="E21246" t="s">
        <v>1</v>
      </c>
      <c r="F21246" t="s">
        <v>0</v>
      </c>
      <c r="G21246" t="str">
        <f>"2018-10-07 15:14:50"</f>
        <v>2018-10-07 15:14:50</v>
      </c>
    </row>
    <row r="21247" spans="1:7" x14ac:dyDescent="0.2">
      <c r="A21247" t="s">
        <v>19943</v>
      </c>
      <c r="B21247" t="str">
        <f>"15191911998"</f>
        <v>15191911998</v>
      </c>
      <c r="C21247" t="str">
        <f>"342222199202101636"</f>
        <v>342222199202101636</v>
      </c>
      <c r="D21247" t="s">
        <v>1</v>
      </c>
      <c r="E21247" t="s">
        <v>1</v>
      </c>
      <c r="F21247" t="s">
        <v>0</v>
      </c>
      <c r="G21247" t="str">
        <f>"2018-10-07 16:38:55"</f>
        <v>2018-10-07 16:38:55</v>
      </c>
    </row>
    <row r="21248" spans="1:7" x14ac:dyDescent="0.2">
      <c r="A21248" t="s">
        <v>19944</v>
      </c>
      <c r="B21248" t="str">
        <f>"18285444051"</f>
        <v>18285444051</v>
      </c>
      <c r="C21248" t="str">
        <f>"522727199801203012"</f>
        <v>522727199801203012</v>
      </c>
      <c r="D21248" t="s">
        <v>1</v>
      </c>
      <c r="E21248" t="s">
        <v>1</v>
      </c>
      <c r="F21248" t="s">
        <v>0</v>
      </c>
      <c r="G21248" t="str">
        <f>"2018-10-07 15:14:37"</f>
        <v>2018-10-07 15:14:37</v>
      </c>
    </row>
    <row r="21249" spans="1:7" x14ac:dyDescent="0.2">
      <c r="A21249" t="s">
        <v>19945</v>
      </c>
      <c r="B21249" t="str">
        <f>"13550860369"</f>
        <v>13550860369</v>
      </c>
      <c r="C21249" t="str">
        <f>"42232619730223581X"</f>
        <v>42232619730223581X</v>
      </c>
      <c r="D21249" t="s">
        <v>1</v>
      </c>
      <c r="E21249" t="s">
        <v>1</v>
      </c>
      <c r="F21249" t="s">
        <v>0</v>
      </c>
      <c r="G21249" t="str">
        <f>"2018-10-07 15:16:36"</f>
        <v>2018-10-07 15:16:36</v>
      </c>
    </row>
    <row r="21250" spans="1:7" x14ac:dyDescent="0.2">
      <c r="A21250" t="s">
        <v>19946</v>
      </c>
      <c r="B21250" t="str">
        <f>"13192272727"</f>
        <v>13192272727</v>
      </c>
      <c r="C21250" t="str">
        <f>"441501198609276035"</f>
        <v>441501198609276035</v>
      </c>
      <c r="D21250" t="s">
        <v>1</v>
      </c>
      <c r="E21250" t="s">
        <v>1</v>
      </c>
      <c r="F21250" t="s">
        <v>0</v>
      </c>
      <c r="G21250" t="str">
        <f>"2018-10-07 15:11:39"</f>
        <v>2018-10-07 15:11:39</v>
      </c>
    </row>
    <row r="21251" spans="1:7" x14ac:dyDescent="0.2">
      <c r="A21251" t="s">
        <v>19947</v>
      </c>
      <c r="B21251" t="str">
        <f>"18369397916"</f>
        <v>18369397916</v>
      </c>
      <c r="C21251" t="str">
        <f>"371324199102252413"</f>
        <v>371324199102252413</v>
      </c>
      <c r="D21251" t="s">
        <v>1</v>
      </c>
      <c r="E21251" t="s">
        <v>1</v>
      </c>
      <c r="F21251" t="s">
        <v>0</v>
      </c>
      <c r="G21251" t="str">
        <f>"2018-10-12 08:54:51"</f>
        <v>2018-10-12 08:54:51</v>
      </c>
    </row>
    <row r="21252" spans="1:7" x14ac:dyDescent="0.2">
      <c r="A21252" t="s">
        <v>19948</v>
      </c>
      <c r="B21252" t="str">
        <f>"17820064786"</f>
        <v>17820064786</v>
      </c>
      <c r="C21252" t="str">
        <f>"441421199610106716"</f>
        <v>441421199610106716</v>
      </c>
      <c r="D21252" t="s">
        <v>1</v>
      </c>
      <c r="E21252" t="s">
        <v>1</v>
      </c>
      <c r="F21252" t="s">
        <v>0</v>
      </c>
      <c r="G21252" t="str">
        <f>"2018-10-07 15:13:29"</f>
        <v>2018-10-07 15:13:29</v>
      </c>
    </row>
    <row r="21253" spans="1:7" x14ac:dyDescent="0.2">
      <c r="A21253" t="s">
        <v>19949</v>
      </c>
      <c r="B21253" t="str">
        <f>"15078888864"</f>
        <v>15078888864</v>
      </c>
      <c r="C21253" t="str">
        <f>"452824197708130014"</f>
        <v>452824197708130014</v>
      </c>
      <c r="D21253" t="s">
        <v>1</v>
      </c>
      <c r="E21253" t="s">
        <v>1</v>
      </c>
      <c r="F21253" t="s">
        <v>0</v>
      </c>
      <c r="G21253" t="str">
        <f>"2018-10-07 15:17:19"</f>
        <v>2018-10-07 15:17:19</v>
      </c>
    </row>
    <row r="21254" spans="1:7" x14ac:dyDescent="0.2">
      <c r="A21254" t="s">
        <v>19950</v>
      </c>
      <c r="B21254" t="str">
        <f>"18255224123"</f>
        <v>18255224123</v>
      </c>
      <c r="C21254" t="str">
        <f>"340322198904090010"</f>
        <v>340322198904090010</v>
      </c>
      <c r="D21254" t="s">
        <v>1</v>
      </c>
      <c r="E21254" t="s">
        <v>1</v>
      </c>
      <c r="F21254" t="s">
        <v>0</v>
      </c>
      <c r="G21254" t="str">
        <f>"2018-10-07 15:10:03"</f>
        <v>2018-10-07 15:10:03</v>
      </c>
    </row>
    <row r="21255" spans="1:7" x14ac:dyDescent="0.2">
      <c r="A21255" t="s">
        <v>1</v>
      </c>
      <c r="B21255" t="str">
        <f>"15024160981"</f>
        <v>15024160981</v>
      </c>
      <c r="C21255" t="s">
        <v>1</v>
      </c>
      <c r="D21255" t="s">
        <v>1</v>
      </c>
      <c r="E21255" t="s">
        <v>1</v>
      </c>
      <c r="F21255" t="s">
        <v>0</v>
      </c>
      <c r="G21255" t="str">
        <f>"2018-10-07 15:09:35"</f>
        <v>2018-10-07 15:09:35</v>
      </c>
    </row>
    <row r="21256" spans="1:7" x14ac:dyDescent="0.2">
      <c r="A21256" t="s">
        <v>19951</v>
      </c>
      <c r="B21256" t="str">
        <f>"18508103080"</f>
        <v>18508103080</v>
      </c>
      <c r="C21256" t="str">
        <f>"510823199009307252"</f>
        <v>510823199009307252</v>
      </c>
      <c r="D21256" t="s">
        <v>1</v>
      </c>
      <c r="E21256" t="s">
        <v>1</v>
      </c>
      <c r="F21256" t="s">
        <v>0</v>
      </c>
      <c r="G21256" t="str">
        <f>"2018-10-07 15:10:35"</f>
        <v>2018-10-07 15:10:35</v>
      </c>
    </row>
    <row r="21257" spans="1:7" x14ac:dyDescent="0.2">
      <c r="A21257" t="s">
        <v>19952</v>
      </c>
      <c r="B21257" t="str">
        <f>"18502309723"</f>
        <v>18502309723</v>
      </c>
      <c r="C21257" t="str">
        <f>"500106199207235417"</f>
        <v>500106199207235417</v>
      </c>
      <c r="D21257" t="s">
        <v>19953</v>
      </c>
      <c r="E21257" t="s">
        <v>19954</v>
      </c>
      <c r="F21257" t="s">
        <v>0</v>
      </c>
      <c r="G21257" t="str">
        <f>"2018-10-07 15:13:51"</f>
        <v>2018-10-07 15:13:51</v>
      </c>
    </row>
    <row r="21258" spans="1:7" x14ac:dyDescent="0.2">
      <c r="A21258" t="s">
        <v>19955</v>
      </c>
      <c r="B21258" t="str">
        <f>"13738129789"</f>
        <v>13738129789</v>
      </c>
      <c r="C21258" t="str">
        <f>"330185199310104814"</f>
        <v>330185199310104814</v>
      </c>
      <c r="D21258" t="s">
        <v>19956</v>
      </c>
      <c r="E21258" t="s">
        <v>19957</v>
      </c>
      <c r="F21258" t="s">
        <v>0</v>
      </c>
      <c r="G21258" t="str">
        <f>"2018-10-09 13:44:58"</f>
        <v>2018-10-09 13:44:58</v>
      </c>
    </row>
    <row r="21259" spans="1:7" x14ac:dyDescent="0.2">
      <c r="A21259" t="s">
        <v>19958</v>
      </c>
      <c r="B21259" t="str">
        <f>"15232731211"</f>
        <v>15232731211</v>
      </c>
      <c r="C21259" t="str">
        <f>"130283199706165731"</f>
        <v>130283199706165731</v>
      </c>
      <c r="D21259" t="s">
        <v>19959</v>
      </c>
      <c r="E21259" t="s">
        <v>19960</v>
      </c>
      <c r="F21259" t="s">
        <v>0</v>
      </c>
      <c r="G21259" t="str">
        <f>"2018-10-07 15:11:46"</f>
        <v>2018-10-07 15:11:46</v>
      </c>
    </row>
    <row r="21260" spans="1:7" x14ac:dyDescent="0.2">
      <c r="A21260" t="s">
        <v>1</v>
      </c>
      <c r="B21260" t="str">
        <f>"15826072843"</f>
        <v>15826072843</v>
      </c>
      <c r="C21260" t="s">
        <v>1</v>
      </c>
      <c r="D21260" t="s">
        <v>1</v>
      </c>
      <c r="E21260" t="s">
        <v>1</v>
      </c>
      <c r="F21260" t="s">
        <v>0</v>
      </c>
      <c r="G21260" t="str">
        <f>"2018-10-07 15:05:06"</f>
        <v>2018-10-07 15:05:06</v>
      </c>
    </row>
    <row r="21261" spans="1:7" x14ac:dyDescent="0.2">
      <c r="A21261" t="s">
        <v>876</v>
      </c>
      <c r="B21261" t="str">
        <f>"15003555620"</f>
        <v>15003555620</v>
      </c>
      <c r="C21261" t="str">
        <f>"140481199202204012"</f>
        <v>140481199202204012</v>
      </c>
      <c r="D21261" t="s">
        <v>1</v>
      </c>
      <c r="E21261" t="s">
        <v>1</v>
      </c>
      <c r="F21261" t="s">
        <v>0</v>
      </c>
      <c r="G21261" t="str">
        <f>"2018-10-07 15:15:49"</f>
        <v>2018-10-07 15:15:49</v>
      </c>
    </row>
    <row r="21262" spans="1:7" x14ac:dyDescent="0.2">
      <c r="A21262" t="s">
        <v>19961</v>
      </c>
      <c r="B21262" t="str">
        <f>"13581452177"</f>
        <v>13581452177</v>
      </c>
      <c r="C21262" t="str">
        <f>"420984199504287515"</f>
        <v>420984199504287515</v>
      </c>
      <c r="D21262" t="s">
        <v>19962</v>
      </c>
      <c r="E21262" t="s">
        <v>19963</v>
      </c>
      <c r="F21262" t="s">
        <v>0</v>
      </c>
      <c r="G21262" t="str">
        <f>"2018-10-07 15:04:57"</f>
        <v>2018-10-07 15:04:57</v>
      </c>
    </row>
    <row r="21263" spans="1:7" x14ac:dyDescent="0.2">
      <c r="A21263" t="s">
        <v>1</v>
      </c>
      <c r="B21263" t="str">
        <f>"18638485813"</f>
        <v>18638485813</v>
      </c>
      <c r="C21263" t="s">
        <v>1</v>
      </c>
      <c r="D21263" t="s">
        <v>1</v>
      </c>
      <c r="E21263" t="s">
        <v>1</v>
      </c>
      <c r="F21263" t="s">
        <v>0</v>
      </c>
      <c r="G21263" t="str">
        <f>"2018-10-07 15:04:40"</f>
        <v>2018-10-07 15:04:40</v>
      </c>
    </row>
    <row r="21264" spans="1:7" x14ac:dyDescent="0.2">
      <c r="A21264" t="s">
        <v>19964</v>
      </c>
      <c r="B21264" t="str">
        <f>"13313203081"</f>
        <v>13313203081</v>
      </c>
      <c r="C21264" t="str">
        <f>"130424198710280026"</f>
        <v>130424198710280026</v>
      </c>
      <c r="D21264" t="s">
        <v>1</v>
      </c>
      <c r="E21264" t="s">
        <v>1</v>
      </c>
      <c r="F21264" t="s">
        <v>0</v>
      </c>
      <c r="G21264" t="str">
        <f>"2018-10-07 15:10:48"</f>
        <v>2018-10-07 15:10:48</v>
      </c>
    </row>
    <row r="21265" spans="1:7" x14ac:dyDescent="0.2">
      <c r="A21265" t="s">
        <v>19965</v>
      </c>
      <c r="B21265" t="str">
        <f>"13202967248"</f>
        <v>13202967248</v>
      </c>
      <c r="C21265" t="str">
        <f>"445381199502207522"</f>
        <v>445381199502207522</v>
      </c>
      <c r="D21265" t="s">
        <v>1</v>
      </c>
      <c r="E21265" t="s">
        <v>1</v>
      </c>
      <c r="F21265" t="s">
        <v>0</v>
      </c>
      <c r="G21265" t="str">
        <f>"2018-10-07 15:05:56"</f>
        <v>2018-10-07 15:05:56</v>
      </c>
    </row>
    <row r="21266" spans="1:7" x14ac:dyDescent="0.2">
      <c r="A21266" t="s">
        <v>1</v>
      </c>
      <c r="B21266" t="str">
        <f>"18623356129"</f>
        <v>18623356129</v>
      </c>
      <c r="C21266" t="s">
        <v>1</v>
      </c>
      <c r="D21266" t="s">
        <v>1</v>
      </c>
      <c r="E21266" t="s">
        <v>1</v>
      </c>
      <c r="F21266" t="s">
        <v>0</v>
      </c>
      <c r="G21266" t="str">
        <f>"2018-10-07 15:03:29"</f>
        <v>2018-10-07 15:03:29</v>
      </c>
    </row>
    <row r="21267" spans="1:7" x14ac:dyDescent="0.2">
      <c r="A21267" t="s">
        <v>7664</v>
      </c>
      <c r="B21267" t="str">
        <f>"17645635297"</f>
        <v>17645635297</v>
      </c>
      <c r="C21267" t="str">
        <f>"23232119890911291X"</f>
        <v>23232119890911291X</v>
      </c>
      <c r="D21267" t="s">
        <v>19966</v>
      </c>
      <c r="E21267" t="s">
        <v>19966</v>
      </c>
      <c r="F21267" t="s">
        <v>0</v>
      </c>
      <c r="G21267" t="str">
        <f>"2018-10-07 16:10:53"</f>
        <v>2018-10-07 16:10:53</v>
      </c>
    </row>
    <row r="21268" spans="1:7" x14ac:dyDescent="0.2">
      <c r="A21268" t="s">
        <v>19967</v>
      </c>
      <c r="B21268" t="str">
        <f>"15187682826"</f>
        <v>15187682826</v>
      </c>
      <c r="C21268" t="str">
        <f>"532621199808263710"</f>
        <v>532621199808263710</v>
      </c>
      <c r="D21268" t="s">
        <v>1</v>
      </c>
      <c r="E21268" t="s">
        <v>1</v>
      </c>
      <c r="F21268" t="s">
        <v>0</v>
      </c>
      <c r="G21268" t="str">
        <f>"2018-10-07 15:08:53"</f>
        <v>2018-10-07 15:08:53</v>
      </c>
    </row>
    <row r="21269" spans="1:7" x14ac:dyDescent="0.2">
      <c r="A21269" t="s">
        <v>19968</v>
      </c>
      <c r="B21269" t="str">
        <f>"18647761509"</f>
        <v>18647761509</v>
      </c>
      <c r="C21269" t="str">
        <f>"152801198512180924"</f>
        <v>152801198512180924</v>
      </c>
      <c r="D21269" t="s">
        <v>19969</v>
      </c>
      <c r="E21269" t="s">
        <v>19970</v>
      </c>
      <c r="F21269" t="s">
        <v>0</v>
      </c>
      <c r="G21269" t="str">
        <f>"2018-10-09 11:23:29"</f>
        <v>2018-10-09 11:23:29</v>
      </c>
    </row>
    <row r="21270" spans="1:7" x14ac:dyDescent="0.2">
      <c r="A21270" t="s">
        <v>19971</v>
      </c>
      <c r="B21270" t="str">
        <f>"17308026470"</f>
        <v>17308026470</v>
      </c>
      <c r="C21270" t="str">
        <f>"510182199108202634"</f>
        <v>510182199108202634</v>
      </c>
      <c r="D21270" t="s">
        <v>1</v>
      </c>
      <c r="E21270" t="s">
        <v>1</v>
      </c>
      <c r="F21270" t="s">
        <v>0</v>
      </c>
      <c r="G21270" t="str">
        <f>"2018-10-07 15:04:40"</f>
        <v>2018-10-07 15:04:40</v>
      </c>
    </row>
    <row r="21271" spans="1:7" x14ac:dyDescent="0.2">
      <c r="A21271" t="s">
        <v>1</v>
      </c>
      <c r="B21271" t="str">
        <f>"13696163732"</f>
        <v>13696163732</v>
      </c>
      <c r="C21271" t="s">
        <v>1</v>
      </c>
      <c r="D21271" t="s">
        <v>1</v>
      </c>
      <c r="E21271" t="s">
        <v>1</v>
      </c>
      <c r="F21271" t="s">
        <v>0</v>
      </c>
      <c r="G21271" t="str">
        <f>"2018-10-07 15:02:00"</f>
        <v>2018-10-07 15:02:00</v>
      </c>
    </row>
    <row r="21272" spans="1:7" x14ac:dyDescent="0.2">
      <c r="A21272" t="s">
        <v>759</v>
      </c>
      <c r="B21272" t="str">
        <f>"18868378311"</f>
        <v>18868378311</v>
      </c>
      <c r="C21272" t="str">
        <f>"411527199601251055"</f>
        <v>411527199601251055</v>
      </c>
      <c r="D21272" t="s">
        <v>1</v>
      </c>
      <c r="E21272" t="s">
        <v>1</v>
      </c>
      <c r="F21272" t="s">
        <v>0</v>
      </c>
      <c r="G21272" t="str">
        <f>"2018-10-07 15:33:22"</f>
        <v>2018-10-07 15:33:22</v>
      </c>
    </row>
    <row r="21273" spans="1:7" x14ac:dyDescent="0.2">
      <c r="A21273" t="s">
        <v>374</v>
      </c>
      <c r="B21273" t="str">
        <f>"17392101120"</f>
        <v>17392101120</v>
      </c>
      <c r="C21273" t="str">
        <f>"610523199104063054"</f>
        <v>610523199104063054</v>
      </c>
      <c r="D21273" t="s">
        <v>1</v>
      </c>
      <c r="E21273" t="s">
        <v>1</v>
      </c>
      <c r="F21273" t="s">
        <v>0</v>
      </c>
      <c r="G21273" t="str">
        <f>"2018-10-07 15:03:53"</f>
        <v>2018-10-07 15:03:53</v>
      </c>
    </row>
    <row r="21274" spans="1:7" x14ac:dyDescent="0.2">
      <c r="A21274" t="s">
        <v>19972</v>
      </c>
      <c r="B21274" t="str">
        <f>"13611065923"</f>
        <v>13611065923</v>
      </c>
      <c r="C21274" t="str">
        <f>"330382198304034319"</f>
        <v>330382198304034319</v>
      </c>
      <c r="D21274" t="s">
        <v>1</v>
      </c>
      <c r="E21274" t="s">
        <v>1</v>
      </c>
      <c r="F21274" t="s">
        <v>0</v>
      </c>
      <c r="G21274" t="str">
        <f>"2018-10-07 15:02:57"</f>
        <v>2018-10-07 15:02:57</v>
      </c>
    </row>
    <row r="21275" spans="1:7" x14ac:dyDescent="0.2">
      <c r="A21275" t="s">
        <v>19973</v>
      </c>
      <c r="B21275" t="str">
        <f>"18081028373"</f>
        <v>18081028373</v>
      </c>
      <c r="C21275" t="str">
        <f>"513436198703010019"</f>
        <v>513436198703010019</v>
      </c>
      <c r="D21275" t="s">
        <v>1</v>
      </c>
      <c r="E21275" t="s">
        <v>1</v>
      </c>
      <c r="F21275" t="s">
        <v>0</v>
      </c>
      <c r="G21275" t="str">
        <f>"2018-10-08 11:38:57"</f>
        <v>2018-10-08 11:38:57</v>
      </c>
    </row>
    <row r="21276" spans="1:7" x14ac:dyDescent="0.2">
      <c r="A21276" t="s">
        <v>699</v>
      </c>
      <c r="B21276" t="str">
        <f>"18318518604"</f>
        <v>18318518604</v>
      </c>
      <c r="C21276" t="str">
        <f>"44538119920215043X"</f>
        <v>44538119920215043X</v>
      </c>
      <c r="D21276" t="s">
        <v>1</v>
      </c>
      <c r="E21276" t="s">
        <v>1</v>
      </c>
      <c r="F21276" t="s">
        <v>0</v>
      </c>
      <c r="G21276" t="str">
        <f>"2018-10-07 15:03:50"</f>
        <v>2018-10-07 15:03:50</v>
      </c>
    </row>
    <row r="21277" spans="1:7" x14ac:dyDescent="0.2">
      <c r="A21277" t="s">
        <v>19974</v>
      </c>
      <c r="B21277" t="str">
        <f>"18855938210"</f>
        <v>18855938210</v>
      </c>
      <c r="C21277" t="str">
        <f>"341023198808173511"</f>
        <v>341023198808173511</v>
      </c>
      <c r="D21277" t="s">
        <v>19975</v>
      </c>
      <c r="E21277" t="s">
        <v>19976</v>
      </c>
      <c r="F21277" t="s">
        <v>0</v>
      </c>
      <c r="G21277" t="str">
        <f>"2018-10-07 15:01:03"</f>
        <v>2018-10-07 15:01:03</v>
      </c>
    </row>
    <row r="21278" spans="1:7" x14ac:dyDescent="0.2">
      <c r="A21278" t="s">
        <v>19977</v>
      </c>
      <c r="B21278" t="str">
        <f>"13147112787"</f>
        <v>13147112787</v>
      </c>
      <c r="C21278" t="str">
        <f>"412724199308112139"</f>
        <v>412724199308112139</v>
      </c>
      <c r="D21278" t="s">
        <v>1</v>
      </c>
      <c r="E21278" t="s">
        <v>1</v>
      </c>
      <c r="F21278" t="s">
        <v>0</v>
      </c>
      <c r="G21278" t="str">
        <f>"2018-10-07 15:00:13"</f>
        <v>2018-10-07 15:00:13</v>
      </c>
    </row>
    <row r="21279" spans="1:7" x14ac:dyDescent="0.2">
      <c r="A21279" t="s">
        <v>19978</v>
      </c>
      <c r="B21279" t="str">
        <f>"18914759792"</f>
        <v>18914759792</v>
      </c>
      <c r="C21279" t="str">
        <f>"320123198910164815"</f>
        <v>320123198910164815</v>
      </c>
      <c r="D21279" t="s">
        <v>19979</v>
      </c>
      <c r="E21279" t="s">
        <v>19980</v>
      </c>
      <c r="F21279" t="s">
        <v>0</v>
      </c>
      <c r="G21279" t="str">
        <f>"2018-10-08 16:11:50"</f>
        <v>2018-10-08 16:11:50</v>
      </c>
    </row>
    <row r="21280" spans="1:7" x14ac:dyDescent="0.2">
      <c r="A21280" t="s">
        <v>19981</v>
      </c>
      <c r="B21280" t="str">
        <f>"17621322814"</f>
        <v>17621322814</v>
      </c>
      <c r="C21280" t="str">
        <f>"620122199602260628"</f>
        <v>620122199602260628</v>
      </c>
      <c r="D21280" t="s">
        <v>1</v>
      </c>
      <c r="E21280" t="s">
        <v>1</v>
      </c>
      <c r="F21280" t="s">
        <v>0</v>
      </c>
      <c r="G21280" t="str">
        <f>"2018-10-07 14:59:24"</f>
        <v>2018-10-07 14:59:24</v>
      </c>
    </row>
    <row r="21281" spans="1:7" x14ac:dyDescent="0.2">
      <c r="A21281" t="s">
        <v>92</v>
      </c>
      <c r="B21281" t="str">
        <f>"13939764174"</f>
        <v>13939764174</v>
      </c>
      <c r="C21281" t="str">
        <f>"413026199204282112"</f>
        <v>413026199204282112</v>
      </c>
      <c r="D21281" t="s">
        <v>1</v>
      </c>
      <c r="E21281" t="s">
        <v>1</v>
      </c>
      <c r="F21281" t="s">
        <v>0</v>
      </c>
      <c r="G21281" t="str">
        <f>"2018-10-07 14:57:27"</f>
        <v>2018-10-07 14:57:27</v>
      </c>
    </row>
    <row r="21282" spans="1:7" x14ac:dyDescent="0.2">
      <c r="A21282" t="s">
        <v>19982</v>
      </c>
      <c r="B21282" t="str">
        <f>"13510227561"</f>
        <v>13510227561</v>
      </c>
      <c r="C21282" t="str">
        <f>"500234198802205438"</f>
        <v>500234198802205438</v>
      </c>
      <c r="D21282" t="s">
        <v>1</v>
      </c>
      <c r="E21282" t="s">
        <v>1</v>
      </c>
      <c r="F21282" t="s">
        <v>0</v>
      </c>
      <c r="G21282" t="str">
        <f>"2018-10-07 15:30:32"</f>
        <v>2018-10-07 15:30:32</v>
      </c>
    </row>
    <row r="21283" spans="1:7" x14ac:dyDescent="0.2">
      <c r="A21283" t="s">
        <v>19983</v>
      </c>
      <c r="B21283" t="str">
        <f>"15370420021"</f>
        <v>15370420021</v>
      </c>
      <c r="C21283" t="str">
        <f>"321322199202246457"</f>
        <v>321322199202246457</v>
      </c>
      <c r="D21283" t="s">
        <v>1</v>
      </c>
      <c r="E21283" t="s">
        <v>1</v>
      </c>
      <c r="F21283" t="s">
        <v>0</v>
      </c>
      <c r="G21283" t="str">
        <f>"2018-10-07 15:01:35"</f>
        <v>2018-10-07 15:01:35</v>
      </c>
    </row>
    <row r="21284" spans="1:7" x14ac:dyDescent="0.2">
      <c r="A21284" t="s">
        <v>1</v>
      </c>
      <c r="B21284" t="str">
        <f>"13387850282"</f>
        <v>13387850282</v>
      </c>
      <c r="C21284" t="s">
        <v>1</v>
      </c>
      <c r="D21284" t="s">
        <v>1</v>
      </c>
      <c r="E21284" t="s">
        <v>1</v>
      </c>
      <c r="F21284" t="s">
        <v>0</v>
      </c>
      <c r="G21284" t="str">
        <f>"2018-10-07 14:55:34"</f>
        <v>2018-10-07 14:55:34</v>
      </c>
    </row>
    <row r="21285" spans="1:7" x14ac:dyDescent="0.2">
      <c r="A21285" t="s">
        <v>1</v>
      </c>
      <c r="B21285" t="str">
        <f>"18172219823"</f>
        <v>18172219823</v>
      </c>
      <c r="C21285" t="s">
        <v>1</v>
      </c>
      <c r="D21285" t="s">
        <v>1</v>
      </c>
      <c r="E21285" t="s">
        <v>1</v>
      </c>
      <c r="F21285" t="s">
        <v>0</v>
      </c>
      <c r="G21285" t="str">
        <f>"2018-10-07 14:55:32"</f>
        <v>2018-10-07 14:55:32</v>
      </c>
    </row>
    <row r="21286" spans="1:7" x14ac:dyDescent="0.2">
      <c r="A21286" t="s">
        <v>19984</v>
      </c>
      <c r="B21286" t="str">
        <f>"18778833666"</f>
        <v>18778833666</v>
      </c>
      <c r="C21286" t="str">
        <f>"450311198309073511"</f>
        <v>450311198309073511</v>
      </c>
      <c r="D21286" t="s">
        <v>1</v>
      </c>
      <c r="E21286" t="s">
        <v>1</v>
      </c>
      <c r="F21286" t="s">
        <v>0</v>
      </c>
      <c r="G21286" t="str">
        <f>"2018-10-07 14:58:40"</f>
        <v>2018-10-07 14:58:40</v>
      </c>
    </row>
    <row r="21287" spans="1:7" x14ac:dyDescent="0.2">
      <c r="A21287" t="s">
        <v>1136</v>
      </c>
      <c r="B21287" t="str">
        <f>"17783094320"</f>
        <v>17783094320</v>
      </c>
      <c r="C21287" t="str">
        <f>"500113198812217611"</f>
        <v>500113198812217611</v>
      </c>
      <c r="D21287" t="s">
        <v>19985</v>
      </c>
      <c r="E21287" t="s">
        <v>19986</v>
      </c>
      <c r="F21287" t="s">
        <v>0</v>
      </c>
      <c r="G21287" t="str">
        <f>"2018-10-22 02:22:57"</f>
        <v>2018-10-22 02:22:57</v>
      </c>
    </row>
    <row r="21288" spans="1:7" x14ac:dyDescent="0.2">
      <c r="A21288" t="s">
        <v>1</v>
      </c>
      <c r="B21288" t="str">
        <f>"13380346164"</f>
        <v>13380346164</v>
      </c>
      <c r="C21288" t="s">
        <v>1</v>
      </c>
      <c r="D21288" t="s">
        <v>1</v>
      </c>
      <c r="E21288" t="s">
        <v>1</v>
      </c>
      <c r="F21288" t="s">
        <v>0</v>
      </c>
      <c r="G21288" t="str">
        <f>"2018-10-07 14:55:15"</f>
        <v>2018-10-07 14:55:15</v>
      </c>
    </row>
    <row r="21289" spans="1:7" x14ac:dyDescent="0.2">
      <c r="A21289" t="s">
        <v>19987</v>
      </c>
      <c r="B21289" t="str">
        <f>"13855929373"</f>
        <v>13855929373</v>
      </c>
      <c r="C21289" t="str">
        <f>"341022198803201118"</f>
        <v>341022198803201118</v>
      </c>
      <c r="D21289" t="s">
        <v>1</v>
      </c>
      <c r="E21289" t="s">
        <v>1</v>
      </c>
      <c r="F21289" t="s">
        <v>0</v>
      </c>
      <c r="G21289" t="str">
        <f>"2018-10-07 14:54:10"</f>
        <v>2018-10-07 14:54:10</v>
      </c>
    </row>
    <row r="21290" spans="1:7" x14ac:dyDescent="0.2">
      <c r="A21290" t="s">
        <v>19988</v>
      </c>
      <c r="B21290" t="str">
        <f>"15395151988"</f>
        <v>15395151988</v>
      </c>
      <c r="C21290" t="str">
        <f>"342426198306051030"</f>
        <v>342426198306051030</v>
      </c>
      <c r="D21290" t="s">
        <v>1</v>
      </c>
      <c r="E21290" t="s">
        <v>1</v>
      </c>
      <c r="F21290" t="s">
        <v>0</v>
      </c>
      <c r="G21290" t="str">
        <f>"2018-10-07 16:04:34"</f>
        <v>2018-10-07 16:04:34</v>
      </c>
    </row>
    <row r="21291" spans="1:7" x14ac:dyDescent="0.2">
      <c r="A21291" t="s">
        <v>1</v>
      </c>
      <c r="B21291" t="str">
        <f>"18235778402"</f>
        <v>18235778402</v>
      </c>
      <c r="C21291" t="s">
        <v>1</v>
      </c>
      <c r="D21291" t="s">
        <v>1</v>
      </c>
      <c r="E21291" t="s">
        <v>1</v>
      </c>
      <c r="F21291" t="s">
        <v>0</v>
      </c>
      <c r="G21291" t="str">
        <f>"2018-10-07 14:52:20"</f>
        <v>2018-10-07 14:52:20</v>
      </c>
    </row>
    <row r="21292" spans="1:7" x14ac:dyDescent="0.2">
      <c r="A21292" t="s">
        <v>19989</v>
      </c>
      <c r="B21292" t="str">
        <f>"15239131080"</f>
        <v>15239131080</v>
      </c>
      <c r="C21292" t="str">
        <f>"410882199103158587"</f>
        <v>410882199103158587</v>
      </c>
      <c r="D21292" t="s">
        <v>1</v>
      </c>
      <c r="E21292" t="s">
        <v>1</v>
      </c>
      <c r="F21292" t="s">
        <v>0</v>
      </c>
      <c r="G21292" t="str">
        <f>"2018-10-07 14:52:13"</f>
        <v>2018-10-07 14:52:13</v>
      </c>
    </row>
    <row r="21293" spans="1:7" x14ac:dyDescent="0.2">
      <c r="A21293" t="s">
        <v>1</v>
      </c>
      <c r="B21293" t="str">
        <f>"15278622185"</f>
        <v>15278622185</v>
      </c>
      <c r="C21293" t="s">
        <v>1</v>
      </c>
      <c r="D21293" t="s">
        <v>1</v>
      </c>
      <c r="E21293" t="s">
        <v>1</v>
      </c>
      <c r="F21293" t="s">
        <v>0</v>
      </c>
      <c r="G21293" t="str">
        <f>"2018-10-07 14:54:54"</f>
        <v>2018-10-07 14:54:54</v>
      </c>
    </row>
    <row r="21294" spans="1:7" x14ac:dyDescent="0.2">
      <c r="A21294" t="s">
        <v>19990</v>
      </c>
      <c r="B21294" t="str">
        <f>"18235919339"</f>
        <v>18235919339</v>
      </c>
      <c r="C21294" t="str">
        <f>"142724198405272126"</f>
        <v>142724198405272126</v>
      </c>
      <c r="D21294" t="s">
        <v>1</v>
      </c>
      <c r="E21294" t="s">
        <v>1</v>
      </c>
      <c r="F21294" t="s">
        <v>0</v>
      </c>
      <c r="G21294" t="str">
        <f>"2018-10-07 15:20:28"</f>
        <v>2018-10-07 15:20:28</v>
      </c>
    </row>
    <row r="21295" spans="1:7" x14ac:dyDescent="0.2">
      <c r="A21295" t="s">
        <v>836</v>
      </c>
      <c r="B21295" t="str">
        <f>"13094225003"</f>
        <v>13094225003</v>
      </c>
      <c r="C21295" t="str">
        <f>"421002197905050015"</f>
        <v>421002197905050015</v>
      </c>
      <c r="D21295" t="s">
        <v>19991</v>
      </c>
      <c r="E21295" t="s">
        <v>19992</v>
      </c>
      <c r="F21295" t="s">
        <v>0</v>
      </c>
      <c r="G21295" t="str">
        <f>"2018-10-07 15:07:20"</f>
        <v>2018-10-07 15:07:20</v>
      </c>
    </row>
    <row r="21296" spans="1:7" x14ac:dyDescent="0.2">
      <c r="A21296" t="s">
        <v>19993</v>
      </c>
      <c r="B21296" t="str">
        <f>"18603807297"</f>
        <v>18603807297</v>
      </c>
      <c r="C21296" t="str">
        <f>"410781198704281613"</f>
        <v>410781198704281613</v>
      </c>
      <c r="D21296" t="s">
        <v>1</v>
      </c>
      <c r="E21296" t="s">
        <v>1</v>
      </c>
      <c r="F21296" t="s">
        <v>0</v>
      </c>
      <c r="G21296" t="str">
        <f>"2018-10-07 15:08:53"</f>
        <v>2018-10-07 15:08:53</v>
      </c>
    </row>
    <row r="21297" spans="1:7" x14ac:dyDescent="0.2">
      <c r="A21297" t="s">
        <v>19994</v>
      </c>
      <c r="B21297" t="str">
        <f>"13522996593"</f>
        <v>13522996593</v>
      </c>
      <c r="C21297" t="str">
        <f>"110226198009092818"</f>
        <v>110226198009092818</v>
      </c>
      <c r="D21297" t="s">
        <v>1</v>
      </c>
      <c r="E21297" t="s">
        <v>1</v>
      </c>
      <c r="F21297" t="s">
        <v>0</v>
      </c>
      <c r="G21297" t="str">
        <f>"2018-10-07 14:52:16"</f>
        <v>2018-10-07 14:52:16</v>
      </c>
    </row>
    <row r="21298" spans="1:7" x14ac:dyDescent="0.2">
      <c r="A21298" t="s">
        <v>19995</v>
      </c>
      <c r="B21298" t="str">
        <f>"15133525288"</f>
        <v>15133525288</v>
      </c>
      <c r="C21298" t="str">
        <f>"130322198107275013"</f>
        <v>130322198107275013</v>
      </c>
      <c r="D21298" t="s">
        <v>1</v>
      </c>
      <c r="E21298" t="s">
        <v>1</v>
      </c>
      <c r="F21298" t="s">
        <v>0</v>
      </c>
      <c r="G21298" t="str">
        <f>"2018-10-07 14:52:39"</f>
        <v>2018-10-07 14:52:39</v>
      </c>
    </row>
    <row r="21299" spans="1:7" x14ac:dyDescent="0.2">
      <c r="A21299" t="s">
        <v>19996</v>
      </c>
      <c r="B21299" t="str">
        <f>"18213367156"</f>
        <v>18213367156</v>
      </c>
      <c r="C21299" t="str">
        <f>"53293219971219113X"</f>
        <v>53293219971219113X</v>
      </c>
      <c r="D21299" t="s">
        <v>1</v>
      </c>
      <c r="E21299" t="s">
        <v>1</v>
      </c>
      <c r="F21299" t="s">
        <v>0</v>
      </c>
      <c r="G21299" t="str">
        <f>"2018-10-07 14:49:54"</f>
        <v>2018-10-07 14:49:54</v>
      </c>
    </row>
    <row r="21300" spans="1:7" x14ac:dyDescent="0.2">
      <c r="A21300" t="s">
        <v>209</v>
      </c>
      <c r="B21300" t="str">
        <f>"13765546555"</f>
        <v>13765546555</v>
      </c>
      <c r="C21300" t="str">
        <f>"522632198410100017"</f>
        <v>522632198410100017</v>
      </c>
      <c r="D21300" t="s">
        <v>1</v>
      </c>
      <c r="E21300" t="s">
        <v>1</v>
      </c>
      <c r="F21300" t="s">
        <v>0</v>
      </c>
      <c r="G21300" t="str">
        <f>"2018-10-07 14:51:07"</f>
        <v>2018-10-07 14:51:07</v>
      </c>
    </row>
    <row r="21301" spans="1:7" x14ac:dyDescent="0.2">
      <c r="A21301" t="s">
        <v>19997</v>
      </c>
      <c r="B21301" t="str">
        <f>"18931096491"</f>
        <v>18931096491</v>
      </c>
      <c r="C21301" t="str">
        <f>"130428199509281326"</f>
        <v>130428199509281326</v>
      </c>
      <c r="D21301" t="s">
        <v>1</v>
      </c>
      <c r="E21301" t="s">
        <v>1</v>
      </c>
      <c r="F21301" t="s">
        <v>0</v>
      </c>
      <c r="G21301" t="str">
        <f>"2018-10-07 14:52:21"</f>
        <v>2018-10-07 14:52:21</v>
      </c>
    </row>
    <row r="21302" spans="1:7" x14ac:dyDescent="0.2">
      <c r="A21302" t="s">
        <v>19998</v>
      </c>
      <c r="B21302" t="str">
        <f>"13119603432"</f>
        <v>13119603432</v>
      </c>
      <c r="C21302" t="str">
        <f>"441721199109252011"</f>
        <v>441721199109252011</v>
      </c>
      <c r="D21302" t="s">
        <v>1</v>
      </c>
      <c r="E21302" t="s">
        <v>1</v>
      </c>
      <c r="F21302" t="s">
        <v>0</v>
      </c>
      <c r="G21302" t="str">
        <f>"2018-10-07 14:51:02"</f>
        <v>2018-10-07 14:51:02</v>
      </c>
    </row>
    <row r="21303" spans="1:7" x14ac:dyDescent="0.2">
      <c r="A21303" t="s">
        <v>19999</v>
      </c>
      <c r="B21303" t="str">
        <f>"18230732124"</f>
        <v>18230732124</v>
      </c>
      <c r="C21303" t="str">
        <f>"522635199003060074"</f>
        <v>522635199003060074</v>
      </c>
      <c r="D21303" t="s">
        <v>20000</v>
      </c>
      <c r="E21303" t="s">
        <v>20001</v>
      </c>
      <c r="F21303" t="s">
        <v>0</v>
      </c>
      <c r="G21303" t="str">
        <f>"2018-10-07 14:48:09"</f>
        <v>2018-10-07 14:48:09</v>
      </c>
    </row>
    <row r="21304" spans="1:7" x14ac:dyDescent="0.2">
      <c r="A21304" t="s">
        <v>20002</v>
      </c>
      <c r="B21304" t="str">
        <f>"15928491178"</f>
        <v>15928491178</v>
      </c>
      <c r="C21304" t="str">
        <f>"51092219940510750X"</f>
        <v>51092219940510750X</v>
      </c>
      <c r="D21304" t="s">
        <v>1</v>
      </c>
      <c r="E21304" t="s">
        <v>1</v>
      </c>
      <c r="F21304" t="s">
        <v>0</v>
      </c>
      <c r="G21304" t="str">
        <f>"2018-10-07 14:50:07"</f>
        <v>2018-10-07 14:50:07</v>
      </c>
    </row>
    <row r="21305" spans="1:7" x14ac:dyDescent="0.2">
      <c r="A21305" t="s">
        <v>20003</v>
      </c>
      <c r="B21305" t="str">
        <f>"13890888014"</f>
        <v>13890888014</v>
      </c>
      <c r="C21305" t="str">
        <f>"511302198303261424"</f>
        <v>511302198303261424</v>
      </c>
      <c r="D21305" t="s">
        <v>20004</v>
      </c>
      <c r="E21305" t="s">
        <v>20005</v>
      </c>
      <c r="F21305" t="s">
        <v>0</v>
      </c>
      <c r="G21305" t="str">
        <f>"2018-10-07 14:52:10"</f>
        <v>2018-10-07 14:52:10</v>
      </c>
    </row>
    <row r="21306" spans="1:7" x14ac:dyDescent="0.2">
      <c r="A21306" t="s">
        <v>1</v>
      </c>
      <c r="B21306" t="str">
        <f>"17789255208"</f>
        <v>17789255208</v>
      </c>
      <c r="C21306" t="s">
        <v>1</v>
      </c>
      <c r="D21306" t="s">
        <v>1</v>
      </c>
      <c r="E21306" t="s">
        <v>1</v>
      </c>
      <c r="F21306" t="s">
        <v>0</v>
      </c>
      <c r="G21306" t="str">
        <f>"2018-10-07 14:47:22"</f>
        <v>2018-10-07 14:47:22</v>
      </c>
    </row>
    <row r="21307" spans="1:7" x14ac:dyDescent="0.2">
      <c r="A21307" t="s">
        <v>1</v>
      </c>
      <c r="B21307" t="str">
        <f>"13966405198"</f>
        <v>13966405198</v>
      </c>
      <c r="C21307" t="s">
        <v>1</v>
      </c>
      <c r="D21307" t="s">
        <v>1</v>
      </c>
      <c r="E21307" t="s">
        <v>1</v>
      </c>
      <c r="F21307" t="s">
        <v>0</v>
      </c>
      <c r="G21307" t="str">
        <f>"2018-10-07 14:50:06"</f>
        <v>2018-10-07 14:50:06</v>
      </c>
    </row>
    <row r="21308" spans="1:7" x14ac:dyDescent="0.2">
      <c r="A21308" t="s">
        <v>20006</v>
      </c>
      <c r="B21308" t="str">
        <f>"13820838084"</f>
        <v>13820838084</v>
      </c>
      <c r="C21308" t="str">
        <f>"150426197701072390"</f>
        <v>150426197701072390</v>
      </c>
      <c r="D21308" t="s">
        <v>1</v>
      </c>
      <c r="E21308" t="s">
        <v>1</v>
      </c>
      <c r="F21308" t="s">
        <v>0</v>
      </c>
      <c r="G21308" t="str">
        <f>"2018-10-07 14:55:54"</f>
        <v>2018-10-07 14:55:54</v>
      </c>
    </row>
    <row r="21309" spans="1:7" x14ac:dyDescent="0.2">
      <c r="A21309" t="s">
        <v>20007</v>
      </c>
      <c r="B21309" t="str">
        <f>"18333152511"</f>
        <v>18333152511</v>
      </c>
      <c r="C21309" t="str">
        <f>"130185199111290039"</f>
        <v>130185199111290039</v>
      </c>
      <c r="D21309" t="s">
        <v>1</v>
      </c>
      <c r="E21309" t="s">
        <v>1</v>
      </c>
      <c r="F21309" t="s">
        <v>0</v>
      </c>
      <c r="G21309" t="str">
        <f>"2018-10-07 14:48:42"</f>
        <v>2018-10-07 14:48:42</v>
      </c>
    </row>
    <row r="21310" spans="1:7" x14ac:dyDescent="0.2">
      <c r="A21310" t="s">
        <v>20008</v>
      </c>
      <c r="B21310" t="str">
        <f>"13022269369"</f>
        <v>13022269369</v>
      </c>
      <c r="C21310" t="str">
        <f>"120105197911074243"</f>
        <v>120105197911074243</v>
      </c>
      <c r="D21310" t="s">
        <v>20009</v>
      </c>
      <c r="E21310" t="s">
        <v>20010</v>
      </c>
      <c r="F21310" t="s">
        <v>0</v>
      </c>
      <c r="G21310" t="str">
        <f>"2018-10-07 14:45:36"</f>
        <v>2018-10-07 14:45:36</v>
      </c>
    </row>
    <row r="21311" spans="1:7" x14ac:dyDescent="0.2">
      <c r="A21311" t="s">
        <v>1</v>
      </c>
      <c r="B21311" t="str">
        <f>"18354466656"</f>
        <v>18354466656</v>
      </c>
      <c r="C21311" t="s">
        <v>1</v>
      </c>
      <c r="D21311" t="s">
        <v>1</v>
      </c>
      <c r="E21311" t="s">
        <v>1</v>
      </c>
      <c r="F21311" t="s">
        <v>0</v>
      </c>
      <c r="G21311" t="str">
        <f>"2018-10-07 14:45:32"</f>
        <v>2018-10-07 14:45:32</v>
      </c>
    </row>
    <row r="21312" spans="1:7" x14ac:dyDescent="0.2">
      <c r="A21312" t="s">
        <v>1</v>
      </c>
      <c r="B21312" t="str">
        <f>"15980648222"</f>
        <v>15980648222</v>
      </c>
      <c r="C21312" t="s">
        <v>1</v>
      </c>
      <c r="D21312" t="s">
        <v>1</v>
      </c>
      <c r="E21312" t="s">
        <v>1</v>
      </c>
      <c r="F21312" t="s">
        <v>0</v>
      </c>
      <c r="G21312" t="str">
        <f>"2018-10-07 14:44:32"</f>
        <v>2018-10-07 14:44:32</v>
      </c>
    </row>
    <row r="21313" spans="1:7" x14ac:dyDescent="0.2">
      <c r="A21313" t="s">
        <v>567</v>
      </c>
      <c r="B21313" t="str">
        <f>"13927777941"</f>
        <v>13927777941</v>
      </c>
      <c r="C21313" t="str">
        <f>"511325198406084912"</f>
        <v>511325198406084912</v>
      </c>
      <c r="D21313" t="s">
        <v>20011</v>
      </c>
      <c r="E21313" t="s">
        <v>20012</v>
      </c>
      <c r="F21313" t="s">
        <v>0</v>
      </c>
      <c r="G21313" t="str">
        <f>"2018-10-07 14:45:35"</f>
        <v>2018-10-07 14:45:35</v>
      </c>
    </row>
    <row r="21314" spans="1:7" x14ac:dyDescent="0.2">
      <c r="A21314" t="s">
        <v>1</v>
      </c>
      <c r="B21314" t="str">
        <f>"13653636203"</f>
        <v>13653636203</v>
      </c>
      <c r="C21314" t="s">
        <v>1</v>
      </c>
      <c r="D21314" t="s">
        <v>1</v>
      </c>
      <c r="E21314" t="s">
        <v>1</v>
      </c>
      <c r="F21314" t="s">
        <v>0</v>
      </c>
      <c r="G21314" t="str">
        <f>"2018-10-07 14:44:18"</f>
        <v>2018-10-07 14:44:18</v>
      </c>
    </row>
    <row r="21315" spans="1:7" x14ac:dyDescent="0.2">
      <c r="A21315" t="s">
        <v>20013</v>
      </c>
      <c r="B21315" t="str">
        <f>"18637799588"</f>
        <v>18637799588</v>
      </c>
      <c r="C21315" t="str">
        <f>"411303198908182959"</f>
        <v>411303198908182959</v>
      </c>
      <c r="D21315" t="s">
        <v>1</v>
      </c>
      <c r="E21315" t="s">
        <v>1</v>
      </c>
      <c r="F21315" t="s">
        <v>0</v>
      </c>
      <c r="G21315" t="str">
        <f>"2018-10-29 11:44:10"</f>
        <v>2018-10-29 11:44:10</v>
      </c>
    </row>
    <row r="21316" spans="1:7" x14ac:dyDescent="0.2">
      <c r="A21316" t="s">
        <v>20014</v>
      </c>
      <c r="B21316" t="str">
        <f>"13510178157"</f>
        <v>13510178157</v>
      </c>
      <c r="C21316" t="str">
        <f>"445122200005311518"</f>
        <v>445122200005311518</v>
      </c>
      <c r="D21316" t="s">
        <v>1</v>
      </c>
      <c r="E21316" t="s">
        <v>1</v>
      </c>
      <c r="F21316" t="s">
        <v>0</v>
      </c>
      <c r="G21316" t="str">
        <f>"2018-10-07 14:48:53"</f>
        <v>2018-10-07 14:48:53</v>
      </c>
    </row>
    <row r="21317" spans="1:7" x14ac:dyDescent="0.2">
      <c r="A21317" t="s">
        <v>1</v>
      </c>
      <c r="B21317" t="str">
        <f>"18605160905"</f>
        <v>18605160905</v>
      </c>
      <c r="C21317" t="s">
        <v>1</v>
      </c>
      <c r="D21317" t="s">
        <v>1</v>
      </c>
      <c r="E21317" t="s">
        <v>1</v>
      </c>
      <c r="F21317" t="s">
        <v>0</v>
      </c>
      <c r="G21317" t="str">
        <f>"2018-10-07 14:41:58"</f>
        <v>2018-10-07 14:41:58</v>
      </c>
    </row>
    <row r="21318" spans="1:7" x14ac:dyDescent="0.2">
      <c r="A21318" t="s">
        <v>20015</v>
      </c>
      <c r="B21318" t="str">
        <f>"13972791905"</f>
        <v>13972791905</v>
      </c>
      <c r="C21318" t="str">
        <f>"420221197405110041"</f>
        <v>420221197405110041</v>
      </c>
      <c r="D21318" t="s">
        <v>1</v>
      </c>
      <c r="E21318" t="s">
        <v>1</v>
      </c>
      <c r="F21318" t="s">
        <v>0</v>
      </c>
      <c r="G21318" t="str">
        <f>"2018-10-07 14:43:38"</f>
        <v>2018-10-07 14:43:38</v>
      </c>
    </row>
    <row r="21319" spans="1:7" x14ac:dyDescent="0.2">
      <c r="A21319" t="s">
        <v>20016</v>
      </c>
      <c r="B21319" t="str">
        <f>"13428900529"</f>
        <v>13428900529</v>
      </c>
      <c r="C21319" t="str">
        <f>"440582199212171536"</f>
        <v>440582199212171536</v>
      </c>
      <c r="D21319" t="s">
        <v>1</v>
      </c>
      <c r="E21319" t="s">
        <v>1</v>
      </c>
      <c r="F21319" t="s">
        <v>0</v>
      </c>
      <c r="G21319" t="str">
        <f>"2018-10-07 14:43:38"</f>
        <v>2018-10-07 14:43:38</v>
      </c>
    </row>
    <row r="21320" spans="1:7" x14ac:dyDescent="0.2">
      <c r="A21320" t="s">
        <v>20017</v>
      </c>
      <c r="B21320" t="str">
        <f>"13578597405"</f>
        <v>13578597405</v>
      </c>
      <c r="C21320" t="str">
        <f>"220283198901103111"</f>
        <v>220283198901103111</v>
      </c>
      <c r="D21320" t="s">
        <v>1</v>
      </c>
      <c r="E21320" t="s">
        <v>1</v>
      </c>
      <c r="F21320" t="s">
        <v>0</v>
      </c>
      <c r="G21320" t="str">
        <f>"2018-10-07 14:42:52"</f>
        <v>2018-10-07 14:42:52</v>
      </c>
    </row>
    <row r="21321" spans="1:7" x14ac:dyDescent="0.2">
      <c r="A21321" t="s">
        <v>20018</v>
      </c>
      <c r="B21321" t="str">
        <f>"15912851255"</f>
        <v>15912851255</v>
      </c>
      <c r="C21321" t="str">
        <f>"532524198712243626"</f>
        <v>532524198712243626</v>
      </c>
      <c r="D21321" t="s">
        <v>1</v>
      </c>
      <c r="E21321" t="s">
        <v>1</v>
      </c>
      <c r="F21321" t="s">
        <v>0</v>
      </c>
      <c r="G21321" t="str">
        <f>"2018-10-07 14:50:00"</f>
        <v>2018-10-07 14:50:00</v>
      </c>
    </row>
    <row r="21322" spans="1:7" x14ac:dyDescent="0.2">
      <c r="A21322" t="s">
        <v>20019</v>
      </c>
      <c r="B21322" t="str">
        <f>"13715602529"</f>
        <v>13715602529</v>
      </c>
      <c r="C21322" t="str">
        <f>"442000199611307365"</f>
        <v>442000199611307365</v>
      </c>
      <c r="D21322" t="s">
        <v>1</v>
      </c>
      <c r="E21322" t="s">
        <v>1</v>
      </c>
      <c r="F21322" t="s">
        <v>0</v>
      </c>
      <c r="G21322" t="str">
        <f>"2018-10-07 14:43:13"</f>
        <v>2018-10-07 14:43:13</v>
      </c>
    </row>
    <row r="21323" spans="1:7" x14ac:dyDescent="0.2">
      <c r="A21323" t="s">
        <v>20020</v>
      </c>
      <c r="B21323" t="str">
        <f>"13863357236"</f>
        <v>13863357236</v>
      </c>
      <c r="C21323" t="str">
        <f>"371321198807066342"</f>
        <v>371321198807066342</v>
      </c>
      <c r="D21323" t="s">
        <v>1</v>
      </c>
      <c r="E21323" t="s">
        <v>1</v>
      </c>
      <c r="F21323" t="s">
        <v>0</v>
      </c>
      <c r="G21323" t="str">
        <f>"2018-10-07 14:43:53"</f>
        <v>2018-10-07 14:43:53</v>
      </c>
    </row>
    <row r="21324" spans="1:7" x14ac:dyDescent="0.2">
      <c r="A21324" t="s">
        <v>20021</v>
      </c>
      <c r="B21324" t="str">
        <f>"13433766311"</f>
        <v>13433766311</v>
      </c>
      <c r="C21324" t="str">
        <f>"445121198404083915"</f>
        <v>445121198404083915</v>
      </c>
      <c r="D21324" t="s">
        <v>20022</v>
      </c>
      <c r="E21324" t="s">
        <v>20023</v>
      </c>
      <c r="F21324" t="s">
        <v>0</v>
      </c>
      <c r="G21324" t="str">
        <f>"2018-10-07 14:39:46"</f>
        <v>2018-10-07 14:39:46</v>
      </c>
    </row>
    <row r="21325" spans="1:7" x14ac:dyDescent="0.2">
      <c r="A21325" t="s">
        <v>1</v>
      </c>
      <c r="B21325" t="str">
        <f>"18919022021"</f>
        <v>18919022021</v>
      </c>
      <c r="C21325" t="s">
        <v>1</v>
      </c>
      <c r="D21325" t="s">
        <v>1</v>
      </c>
      <c r="E21325" t="s">
        <v>1</v>
      </c>
      <c r="F21325" t="s">
        <v>0</v>
      </c>
      <c r="G21325" t="str">
        <f>"2018-10-07 14:37:16"</f>
        <v>2018-10-07 14:37:16</v>
      </c>
    </row>
    <row r="21326" spans="1:7" x14ac:dyDescent="0.2">
      <c r="A21326" t="s">
        <v>1</v>
      </c>
      <c r="B21326" t="str">
        <f>"13765655204"</f>
        <v>13765655204</v>
      </c>
      <c r="C21326" t="s">
        <v>1</v>
      </c>
      <c r="D21326" t="s">
        <v>1</v>
      </c>
      <c r="E21326" t="s">
        <v>1</v>
      </c>
      <c r="F21326" t="s">
        <v>0</v>
      </c>
      <c r="G21326" t="str">
        <f>"2018-10-07 14:36:08"</f>
        <v>2018-10-07 14:36:08</v>
      </c>
    </row>
    <row r="21327" spans="1:7" x14ac:dyDescent="0.2">
      <c r="A21327" t="s">
        <v>1</v>
      </c>
      <c r="B21327" t="str">
        <f>"13875831689"</f>
        <v>13875831689</v>
      </c>
      <c r="C21327" t="s">
        <v>1</v>
      </c>
      <c r="D21327" t="s">
        <v>1</v>
      </c>
      <c r="E21327" t="s">
        <v>1</v>
      </c>
      <c r="F21327" t="s">
        <v>0</v>
      </c>
      <c r="G21327" t="str">
        <f>"2018-10-07 19:18:53"</f>
        <v>2018-10-07 19:18:53</v>
      </c>
    </row>
    <row r="21328" spans="1:7" x14ac:dyDescent="0.2">
      <c r="A21328" t="s">
        <v>20024</v>
      </c>
      <c r="B21328" t="str">
        <f>"15157091135"</f>
        <v>15157091135</v>
      </c>
      <c r="C21328" t="str">
        <f>"321322199405175820"</f>
        <v>321322199405175820</v>
      </c>
      <c r="D21328" t="s">
        <v>1</v>
      </c>
      <c r="E21328" t="s">
        <v>1</v>
      </c>
      <c r="F21328" t="s">
        <v>0</v>
      </c>
      <c r="G21328" t="str">
        <f>"2018-10-07 14:50:27"</f>
        <v>2018-10-07 14:50:27</v>
      </c>
    </row>
    <row r="21329" spans="1:7" x14ac:dyDescent="0.2">
      <c r="A21329" t="s">
        <v>1</v>
      </c>
      <c r="B21329" t="str">
        <f>"13535738164"</f>
        <v>13535738164</v>
      </c>
      <c r="C21329" t="s">
        <v>1</v>
      </c>
      <c r="D21329" t="s">
        <v>1</v>
      </c>
      <c r="E21329" t="s">
        <v>1</v>
      </c>
      <c r="F21329" t="s">
        <v>0</v>
      </c>
      <c r="G21329" t="str">
        <f>"2018-10-07 14:41:06"</f>
        <v>2018-10-07 14:41:06</v>
      </c>
    </row>
    <row r="21330" spans="1:7" x14ac:dyDescent="0.2">
      <c r="A21330" t="s">
        <v>146</v>
      </c>
      <c r="B21330" t="str">
        <f>"13110073230"</f>
        <v>13110073230</v>
      </c>
      <c r="C21330" t="str">
        <f>"120102198110131610"</f>
        <v>120102198110131610</v>
      </c>
      <c r="D21330" t="s">
        <v>1</v>
      </c>
      <c r="E21330" t="s">
        <v>1</v>
      </c>
      <c r="F21330" t="s">
        <v>0</v>
      </c>
      <c r="G21330" t="str">
        <f>"2018-10-07 14:36:57"</f>
        <v>2018-10-07 14:36:57</v>
      </c>
    </row>
    <row r="21331" spans="1:7" x14ac:dyDescent="0.2">
      <c r="A21331" t="s">
        <v>50</v>
      </c>
      <c r="B21331" t="str">
        <f>"15722485886"</f>
        <v>15722485886</v>
      </c>
      <c r="C21331" t="str">
        <f>"320923199007021242"</f>
        <v>320923199007021242</v>
      </c>
      <c r="D21331" t="s">
        <v>1</v>
      </c>
      <c r="E21331" t="s">
        <v>1</v>
      </c>
      <c r="F21331" t="s">
        <v>0</v>
      </c>
      <c r="G21331" t="str">
        <f>"2018-10-09 16:32:58"</f>
        <v>2018-10-09 16:32:58</v>
      </c>
    </row>
    <row r="21332" spans="1:7" x14ac:dyDescent="0.2">
      <c r="A21332" t="s">
        <v>1439</v>
      </c>
      <c r="B21332" t="str">
        <f>"18569141859"</f>
        <v>18569141859</v>
      </c>
      <c r="C21332" t="str">
        <f>"43062420000114949X"</f>
        <v>43062420000114949X</v>
      </c>
      <c r="D21332" t="s">
        <v>1</v>
      </c>
      <c r="E21332" t="s">
        <v>1</v>
      </c>
      <c r="F21332" t="s">
        <v>0</v>
      </c>
      <c r="G21332" t="str">
        <f>"2018-10-07 14:35:54"</f>
        <v>2018-10-07 14:35:54</v>
      </c>
    </row>
    <row r="21333" spans="1:7" x14ac:dyDescent="0.2">
      <c r="A21333" t="s">
        <v>20025</v>
      </c>
      <c r="B21333" t="str">
        <f>"13607855912"</f>
        <v>13607855912</v>
      </c>
      <c r="C21333" t="str">
        <f>"45252319680914002X"</f>
        <v>45252319680914002X</v>
      </c>
      <c r="D21333" t="s">
        <v>1</v>
      </c>
      <c r="E21333" t="s">
        <v>1</v>
      </c>
      <c r="F21333" t="s">
        <v>0</v>
      </c>
      <c r="G21333" t="str">
        <f>"2018-10-07 14:36:04"</f>
        <v>2018-10-07 14:36:04</v>
      </c>
    </row>
    <row r="21334" spans="1:7" x14ac:dyDescent="0.2">
      <c r="A21334" t="s">
        <v>20026</v>
      </c>
      <c r="B21334" t="str">
        <f>"13403400681"</f>
        <v>13403400681</v>
      </c>
      <c r="C21334" t="str">
        <f>"140109199303073018"</f>
        <v>140109199303073018</v>
      </c>
      <c r="D21334" t="s">
        <v>20027</v>
      </c>
      <c r="E21334" t="s">
        <v>20028</v>
      </c>
      <c r="F21334" t="s">
        <v>0</v>
      </c>
      <c r="G21334" t="str">
        <f>"2018-10-07 22:52:14"</f>
        <v>2018-10-07 22:52:14</v>
      </c>
    </row>
    <row r="21335" spans="1:7" x14ac:dyDescent="0.2">
      <c r="A21335" t="s">
        <v>20029</v>
      </c>
      <c r="B21335" t="str">
        <f>"18575407217"</f>
        <v>18575407217</v>
      </c>
      <c r="C21335" t="str">
        <f>"511526199806275816"</f>
        <v>511526199806275816</v>
      </c>
      <c r="D21335" t="s">
        <v>1</v>
      </c>
      <c r="E21335" t="s">
        <v>1</v>
      </c>
      <c r="F21335" t="s">
        <v>0</v>
      </c>
      <c r="G21335" t="str">
        <f>"2018-10-07 21:05:20"</f>
        <v>2018-10-07 21:05:20</v>
      </c>
    </row>
    <row r="21336" spans="1:7" x14ac:dyDescent="0.2">
      <c r="A21336" t="s">
        <v>20030</v>
      </c>
      <c r="B21336" t="str">
        <f>"13201341876"</f>
        <v>13201341876</v>
      </c>
      <c r="C21336" t="str">
        <f>"654001198903150315"</f>
        <v>654001198903150315</v>
      </c>
      <c r="D21336" t="s">
        <v>1</v>
      </c>
      <c r="E21336" t="s">
        <v>1</v>
      </c>
      <c r="F21336" t="s">
        <v>0</v>
      </c>
      <c r="G21336" t="str">
        <f>"2018-10-07 14:37:36"</f>
        <v>2018-10-07 14:37:36</v>
      </c>
    </row>
    <row r="21337" spans="1:7" x14ac:dyDescent="0.2">
      <c r="A21337" t="s">
        <v>20031</v>
      </c>
      <c r="B21337" t="str">
        <f>"13893447666"</f>
        <v>13893447666</v>
      </c>
      <c r="C21337" t="str">
        <f>"620522198209243511"</f>
        <v>620522198209243511</v>
      </c>
      <c r="D21337" t="s">
        <v>1</v>
      </c>
      <c r="E21337" t="s">
        <v>1</v>
      </c>
      <c r="F21337" t="s">
        <v>0</v>
      </c>
      <c r="G21337" t="str">
        <f>"2018-10-07 14:33:00"</f>
        <v>2018-10-07 14:33:00</v>
      </c>
    </row>
    <row r="21338" spans="1:7" x14ac:dyDescent="0.2">
      <c r="A21338" t="s">
        <v>1</v>
      </c>
      <c r="B21338" t="str">
        <f>"18623697600"</f>
        <v>18623697600</v>
      </c>
      <c r="C21338" t="s">
        <v>1</v>
      </c>
      <c r="D21338" t="s">
        <v>1</v>
      </c>
      <c r="E21338" t="s">
        <v>1</v>
      </c>
      <c r="F21338" t="s">
        <v>0</v>
      </c>
      <c r="G21338" t="str">
        <f>"2018-10-07 14:32:10"</f>
        <v>2018-10-07 14:32:10</v>
      </c>
    </row>
    <row r="21339" spans="1:7" x14ac:dyDescent="0.2">
      <c r="A21339" t="s">
        <v>1487</v>
      </c>
      <c r="B21339" t="str">
        <f>"18714581182"</f>
        <v>18714581182</v>
      </c>
      <c r="C21339" t="str">
        <f>"23070919830715013X"</f>
        <v>23070919830715013X</v>
      </c>
      <c r="D21339" t="s">
        <v>20032</v>
      </c>
      <c r="E21339" t="s">
        <v>20033</v>
      </c>
      <c r="F21339" t="s">
        <v>0</v>
      </c>
      <c r="G21339" t="str">
        <f>"2018-10-07 14:33:50"</f>
        <v>2018-10-07 14:33:50</v>
      </c>
    </row>
    <row r="21340" spans="1:7" x14ac:dyDescent="0.2">
      <c r="A21340" t="s">
        <v>20034</v>
      </c>
      <c r="B21340" t="str">
        <f>"15368233415"</f>
        <v>15368233415</v>
      </c>
      <c r="C21340" t="str">
        <f>"530128199305170315"</f>
        <v>530128199305170315</v>
      </c>
      <c r="D21340" t="s">
        <v>1</v>
      </c>
      <c r="E21340" t="s">
        <v>1</v>
      </c>
      <c r="F21340" t="s">
        <v>0</v>
      </c>
      <c r="G21340" t="str">
        <f>"2018-10-07 14:34:43"</f>
        <v>2018-10-07 14:34:43</v>
      </c>
    </row>
    <row r="21341" spans="1:7" x14ac:dyDescent="0.2">
      <c r="A21341" t="s">
        <v>1244</v>
      </c>
      <c r="B21341" t="str">
        <f>"13386818885"</f>
        <v>13386818885</v>
      </c>
      <c r="C21341" t="str">
        <f>"211103198506242519"</f>
        <v>211103198506242519</v>
      </c>
      <c r="D21341" t="s">
        <v>1</v>
      </c>
      <c r="E21341" t="s">
        <v>1</v>
      </c>
      <c r="F21341" t="s">
        <v>0</v>
      </c>
      <c r="G21341" t="str">
        <f>"2018-10-07 14:56:42"</f>
        <v>2018-10-07 14:56:42</v>
      </c>
    </row>
    <row r="21342" spans="1:7" x14ac:dyDescent="0.2">
      <c r="A21342" t="s">
        <v>895</v>
      </c>
      <c r="B21342" t="str">
        <f>"13505341213"</f>
        <v>13505341213</v>
      </c>
      <c r="C21342" t="str">
        <f>"371402198403082326"</f>
        <v>371402198403082326</v>
      </c>
      <c r="D21342" t="s">
        <v>1</v>
      </c>
      <c r="E21342" t="s">
        <v>1</v>
      </c>
      <c r="F21342" t="s">
        <v>0</v>
      </c>
      <c r="G21342" t="str">
        <f>"2018-10-07 14:30:47"</f>
        <v>2018-10-07 14:30:47</v>
      </c>
    </row>
    <row r="21343" spans="1:7" x14ac:dyDescent="0.2">
      <c r="A21343" t="s">
        <v>83</v>
      </c>
      <c r="B21343" t="str">
        <f>"18943193522"</f>
        <v>18943193522</v>
      </c>
      <c r="C21343" t="str">
        <f>"220103199308060015"</f>
        <v>220103199308060015</v>
      </c>
      <c r="D21343" t="s">
        <v>1</v>
      </c>
      <c r="E21343" t="s">
        <v>1</v>
      </c>
      <c r="F21343" t="s">
        <v>0</v>
      </c>
      <c r="G21343" t="str">
        <f>"2018-10-07 14:33:12"</f>
        <v>2018-10-07 14:33:12</v>
      </c>
    </row>
    <row r="21344" spans="1:7" x14ac:dyDescent="0.2">
      <c r="A21344" t="s">
        <v>20035</v>
      </c>
      <c r="B21344" t="str">
        <f>"18222176679"</f>
        <v>18222176679</v>
      </c>
      <c r="C21344" t="str">
        <f>"23022319870328181X"</f>
        <v>23022319870328181X</v>
      </c>
      <c r="D21344" t="s">
        <v>1</v>
      </c>
      <c r="E21344" t="s">
        <v>1</v>
      </c>
      <c r="F21344" t="s">
        <v>0</v>
      </c>
      <c r="G21344" t="str">
        <f>"2018-10-07 14:31:43"</f>
        <v>2018-10-07 14:31:43</v>
      </c>
    </row>
    <row r="21345" spans="1:7" x14ac:dyDescent="0.2">
      <c r="A21345" t="s">
        <v>20036</v>
      </c>
      <c r="B21345" t="str">
        <f>"18785464139"</f>
        <v>18785464139</v>
      </c>
      <c r="C21345" t="str">
        <f>"522731197906159199"</f>
        <v>522731197906159199</v>
      </c>
      <c r="D21345" t="s">
        <v>1</v>
      </c>
      <c r="E21345" t="s">
        <v>1</v>
      </c>
      <c r="F21345" t="s">
        <v>0</v>
      </c>
      <c r="G21345" t="str">
        <f>"2018-10-07 14:29:50"</f>
        <v>2018-10-07 14:29:50</v>
      </c>
    </row>
    <row r="21346" spans="1:7" x14ac:dyDescent="0.2">
      <c r="A21346" t="s">
        <v>1</v>
      </c>
      <c r="B21346" t="str">
        <f>"15723626939"</f>
        <v>15723626939</v>
      </c>
      <c r="C21346" t="s">
        <v>1</v>
      </c>
      <c r="D21346" t="s">
        <v>1</v>
      </c>
      <c r="E21346" t="s">
        <v>1</v>
      </c>
      <c r="F21346" t="s">
        <v>0</v>
      </c>
      <c r="G21346" t="str">
        <f>"2018-10-07 14:29:46"</f>
        <v>2018-10-07 14:29:46</v>
      </c>
    </row>
    <row r="21347" spans="1:7" x14ac:dyDescent="0.2">
      <c r="A21347" t="s">
        <v>1</v>
      </c>
      <c r="B21347" t="str">
        <f>"18077882806"</f>
        <v>18077882806</v>
      </c>
      <c r="C21347" t="s">
        <v>1</v>
      </c>
      <c r="D21347" t="s">
        <v>1</v>
      </c>
      <c r="E21347" t="s">
        <v>1</v>
      </c>
      <c r="F21347" t="s">
        <v>0</v>
      </c>
      <c r="G21347" t="str">
        <f>"2018-10-07 14:29:24"</f>
        <v>2018-10-07 14:29:24</v>
      </c>
    </row>
    <row r="21348" spans="1:7" x14ac:dyDescent="0.2">
      <c r="A21348" t="s">
        <v>20037</v>
      </c>
      <c r="B21348" t="str">
        <f>"13581603674"</f>
        <v>13581603674</v>
      </c>
      <c r="C21348" t="str">
        <f>"110227199411160031"</f>
        <v>110227199411160031</v>
      </c>
      <c r="D21348" t="s">
        <v>1</v>
      </c>
      <c r="E21348" t="s">
        <v>1</v>
      </c>
      <c r="F21348" t="s">
        <v>0</v>
      </c>
      <c r="G21348" t="str">
        <f>"2018-10-07 14:29:51"</f>
        <v>2018-10-07 14:29:51</v>
      </c>
    </row>
    <row r="21349" spans="1:7" x14ac:dyDescent="0.2">
      <c r="A21349" t="s">
        <v>20038</v>
      </c>
      <c r="B21349" t="str">
        <f>"13542323121"</f>
        <v>13542323121</v>
      </c>
      <c r="C21349" t="str">
        <f>"440981197904145124"</f>
        <v>440981197904145124</v>
      </c>
      <c r="D21349" t="s">
        <v>20039</v>
      </c>
      <c r="E21349" t="s">
        <v>20040</v>
      </c>
      <c r="F21349" t="s">
        <v>0</v>
      </c>
      <c r="G21349" t="str">
        <f>"2018-10-07 14:40:02"</f>
        <v>2018-10-07 14:40:02</v>
      </c>
    </row>
    <row r="21350" spans="1:7" x14ac:dyDescent="0.2">
      <c r="A21350" t="s">
        <v>256</v>
      </c>
      <c r="B21350" t="str">
        <f>"18676583344"</f>
        <v>18676583344</v>
      </c>
      <c r="C21350" t="str">
        <f>"522401199204141511"</f>
        <v>522401199204141511</v>
      </c>
      <c r="D21350" t="s">
        <v>1</v>
      </c>
      <c r="E21350" t="s">
        <v>1</v>
      </c>
      <c r="F21350" t="s">
        <v>0</v>
      </c>
      <c r="G21350" t="str">
        <f>"2018-10-25 08:09:55"</f>
        <v>2018-10-25 08:09:55</v>
      </c>
    </row>
    <row r="21351" spans="1:7" x14ac:dyDescent="0.2">
      <c r="A21351" t="s">
        <v>20041</v>
      </c>
      <c r="B21351" t="str">
        <f>"18898921383"</f>
        <v>18898921383</v>
      </c>
      <c r="C21351" t="str">
        <f>"460006199112022015"</f>
        <v>460006199112022015</v>
      </c>
      <c r="D21351" t="s">
        <v>1</v>
      </c>
      <c r="E21351" t="s">
        <v>1</v>
      </c>
      <c r="F21351" t="s">
        <v>0</v>
      </c>
      <c r="G21351" t="str">
        <f>"2018-10-07 14:28:10"</f>
        <v>2018-10-07 14:28:10</v>
      </c>
    </row>
    <row r="21352" spans="1:7" x14ac:dyDescent="0.2">
      <c r="A21352" t="s">
        <v>1838</v>
      </c>
      <c r="B21352" t="str">
        <f>"17710172852"</f>
        <v>17710172852</v>
      </c>
      <c r="C21352" t="str">
        <f>"420116198912315226"</f>
        <v>420116198912315226</v>
      </c>
      <c r="D21352" t="s">
        <v>1</v>
      </c>
      <c r="E21352" t="s">
        <v>1</v>
      </c>
      <c r="F21352" t="s">
        <v>0</v>
      </c>
      <c r="G21352" t="str">
        <f>"2018-10-07 14:33:29"</f>
        <v>2018-10-07 14:33:29</v>
      </c>
    </row>
    <row r="21353" spans="1:7" x14ac:dyDescent="0.2">
      <c r="A21353" t="s">
        <v>20042</v>
      </c>
      <c r="B21353" t="str">
        <f>"17716649848"</f>
        <v>17716649848</v>
      </c>
      <c r="C21353" t="str">
        <f>"522121198604091618"</f>
        <v>522121198604091618</v>
      </c>
      <c r="D21353" t="s">
        <v>20043</v>
      </c>
      <c r="E21353" t="s">
        <v>20044</v>
      </c>
      <c r="F21353" t="s">
        <v>0</v>
      </c>
      <c r="G21353" t="str">
        <f>"2018-10-07 14:29:14"</f>
        <v>2018-10-07 14:29:14</v>
      </c>
    </row>
    <row r="21354" spans="1:7" x14ac:dyDescent="0.2">
      <c r="A21354" t="s">
        <v>20045</v>
      </c>
      <c r="B21354" t="str">
        <f>"13761612358"</f>
        <v>13761612358</v>
      </c>
      <c r="C21354" t="str">
        <f>"31010519880902002X"</f>
        <v>31010519880902002X</v>
      </c>
      <c r="D21354" t="s">
        <v>20046</v>
      </c>
      <c r="E21354" t="s">
        <v>20047</v>
      </c>
      <c r="F21354" t="s">
        <v>0</v>
      </c>
      <c r="G21354" t="str">
        <f>"2018-10-08 13:47:00"</f>
        <v>2018-10-08 13:47:00</v>
      </c>
    </row>
    <row r="21355" spans="1:7" x14ac:dyDescent="0.2">
      <c r="A21355" t="s">
        <v>628</v>
      </c>
      <c r="B21355" t="str">
        <f>"13545877790"</f>
        <v>13545877790</v>
      </c>
      <c r="C21355" t="str">
        <f>"420102198708280013"</f>
        <v>420102198708280013</v>
      </c>
      <c r="D21355" t="s">
        <v>20048</v>
      </c>
      <c r="E21355" t="s">
        <v>20049</v>
      </c>
      <c r="F21355" t="s">
        <v>0</v>
      </c>
      <c r="G21355" t="str">
        <f>"2018-10-07 14:26:50"</f>
        <v>2018-10-07 14:26:50</v>
      </c>
    </row>
    <row r="21356" spans="1:7" x14ac:dyDescent="0.2">
      <c r="A21356" t="s">
        <v>20050</v>
      </c>
      <c r="B21356" t="str">
        <f>"15010393303"</f>
        <v>15010393303</v>
      </c>
      <c r="C21356" t="str">
        <f>"410224198010055924"</f>
        <v>410224198010055924</v>
      </c>
      <c r="D21356" t="s">
        <v>1</v>
      </c>
      <c r="E21356" t="s">
        <v>1</v>
      </c>
      <c r="F21356" t="s">
        <v>0</v>
      </c>
      <c r="G21356" t="str">
        <f>"2018-10-07 14:26:38"</f>
        <v>2018-10-07 14:26:38</v>
      </c>
    </row>
    <row r="21357" spans="1:7" x14ac:dyDescent="0.2">
      <c r="A21357" t="s">
        <v>20051</v>
      </c>
      <c r="B21357" t="str">
        <f>"15280054434"</f>
        <v>15280054434</v>
      </c>
      <c r="C21357" t="str">
        <f>"350128199702013264"</f>
        <v>350128199702013264</v>
      </c>
      <c r="D21357" t="s">
        <v>20052</v>
      </c>
      <c r="E21357" t="s">
        <v>20053</v>
      </c>
      <c r="F21357" t="s">
        <v>0</v>
      </c>
      <c r="G21357" t="str">
        <f>"2018-10-07 14:28:04"</f>
        <v>2018-10-07 14:28:04</v>
      </c>
    </row>
    <row r="21358" spans="1:7" x14ac:dyDescent="0.2">
      <c r="A21358" t="s">
        <v>1</v>
      </c>
      <c r="B21358" t="str">
        <f>"15205960648"</f>
        <v>15205960648</v>
      </c>
      <c r="C21358" t="s">
        <v>1</v>
      </c>
      <c r="D21358" t="s">
        <v>1</v>
      </c>
      <c r="E21358" t="s">
        <v>1</v>
      </c>
      <c r="F21358" t="s">
        <v>0</v>
      </c>
      <c r="G21358" t="str">
        <f>"2018-10-07 14:25:31"</f>
        <v>2018-10-07 14:25:31</v>
      </c>
    </row>
    <row r="21359" spans="1:7" x14ac:dyDescent="0.2">
      <c r="A21359" t="s">
        <v>20054</v>
      </c>
      <c r="B21359" t="str">
        <f>"13536968895"</f>
        <v>13536968895</v>
      </c>
      <c r="C21359" t="str">
        <f>"441225198708152534"</f>
        <v>441225198708152534</v>
      </c>
      <c r="D21359" t="s">
        <v>1</v>
      </c>
      <c r="E21359" t="s">
        <v>1</v>
      </c>
      <c r="F21359" t="s">
        <v>0</v>
      </c>
      <c r="G21359" t="str">
        <f>"2018-10-07 14:25:15"</f>
        <v>2018-10-07 14:25:15</v>
      </c>
    </row>
    <row r="21360" spans="1:7" x14ac:dyDescent="0.2">
      <c r="A21360" t="s">
        <v>20055</v>
      </c>
      <c r="B21360" t="str">
        <f>"15086696868"</f>
        <v>15086696868</v>
      </c>
      <c r="C21360" t="str">
        <f>"210381198106016220"</f>
        <v>210381198106016220</v>
      </c>
      <c r="D21360" t="s">
        <v>1</v>
      </c>
      <c r="E21360" t="s">
        <v>1</v>
      </c>
      <c r="F21360" t="s">
        <v>0</v>
      </c>
      <c r="G21360" t="str">
        <f>"2018-10-07 15:07:44"</f>
        <v>2018-10-07 15:07:44</v>
      </c>
    </row>
    <row r="21361" spans="1:7" x14ac:dyDescent="0.2">
      <c r="A21361" t="s">
        <v>1</v>
      </c>
      <c r="B21361" t="str">
        <f>"15262970600"</f>
        <v>15262970600</v>
      </c>
      <c r="C21361" t="s">
        <v>1</v>
      </c>
      <c r="D21361" t="s">
        <v>1</v>
      </c>
      <c r="E21361" t="s">
        <v>1</v>
      </c>
      <c r="F21361" t="s">
        <v>0</v>
      </c>
      <c r="G21361" t="str">
        <f>"2018-10-07 14:25:06"</f>
        <v>2018-10-07 14:25:06</v>
      </c>
    </row>
    <row r="21362" spans="1:7" x14ac:dyDescent="0.2">
      <c r="A21362" t="s">
        <v>20056</v>
      </c>
      <c r="B21362" t="str">
        <f>"18791134263"</f>
        <v>18791134263</v>
      </c>
      <c r="C21362" t="str">
        <f>"610303198812173034"</f>
        <v>610303198812173034</v>
      </c>
      <c r="D21362" t="s">
        <v>1</v>
      </c>
      <c r="E21362" t="s">
        <v>1</v>
      </c>
      <c r="F21362" t="s">
        <v>0</v>
      </c>
      <c r="G21362" t="str">
        <f>"2018-10-07 14:26:48"</f>
        <v>2018-10-07 14:26:48</v>
      </c>
    </row>
    <row r="21363" spans="1:7" x14ac:dyDescent="0.2">
      <c r="A21363" t="s">
        <v>769</v>
      </c>
      <c r="B21363" t="str">
        <f>"15128763703"</f>
        <v>15128763703</v>
      </c>
      <c r="C21363" t="str">
        <f>"130922199103136013"</f>
        <v>130922199103136013</v>
      </c>
      <c r="D21363" t="s">
        <v>1</v>
      </c>
      <c r="E21363" t="s">
        <v>1</v>
      </c>
      <c r="F21363" t="s">
        <v>0</v>
      </c>
      <c r="G21363" t="str">
        <f>"2018-11-05 10:34:13"</f>
        <v>2018-11-05 10:34:13</v>
      </c>
    </row>
    <row r="21364" spans="1:7" x14ac:dyDescent="0.2">
      <c r="A21364" t="s">
        <v>20057</v>
      </c>
      <c r="B21364" t="str">
        <f>"15019608303"</f>
        <v>15019608303</v>
      </c>
      <c r="C21364" t="str">
        <f>"441225199107093238"</f>
        <v>441225199107093238</v>
      </c>
      <c r="D21364" t="s">
        <v>1</v>
      </c>
      <c r="E21364" t="s">
        <v>1</v>
      </c>
      <c r="F21364" t="s">
        <v>0</v>
      </c>
      <c r="G21364" t="str">
        <f>"2018-10-07 14:28:38"</f>
        <v>2018-10-07 14:28:38</v>
      </c>
    </row>
    <row r="21365" spans="1:7" x14ac:dyDescent="0.2">
      <c r="A21365" t="s">
        <v>20058</v>
      </c>
      <c r="B21365" t="str">
        <f>"18073730600"</f>
        <v>18073730600</v>
      </c>
      <c r="C21365" t="str">
        <f>"430902198705010021"</f>
        <v>430902198705010021</v>
      </c>
      <c r="D21365" t="s">
        <v>1</v>
      </c>
      <c r="E21365" t="s">
        <v>1</v>
      </c>
      <c r="F21365" t="s">
        <v>0</v>
      </c>
      <c r="G21365" t="str">
        <f>"2018-10-07 17:16:51"</f>
        <v>2018-10-07 17:16:51</v>
      </c>
    </row>
    <row r="21366" spans="1:7" x14ac:dyDescent="0.2">
      <c r="A21366" t="s">
        <v>20059</v>
      </c>
      <c r="B21366" t="str">
        <f>"15302635319"</f>
        <v>15302635319</v>
      </c>
      <c r="C21366" t="str">
        <f>"431102198907198330"</f>
        <v>431102198907198330</v>
      </c>
      <c r="D21366" t="s">
        <v>1</v>
      </c>
      <c r="E21366" t="s">
        <v>1</v>
      </c>
      <c r="F21366" t="s">
        <v>0</v>
      </c>
      <c r="G21366" t="str">
        <f>"2018-10-07 14:26:38"</f>
        <v>2018-10-07 14:26:38</v>
      </c>
    </row>
    <row r="21367" spans="1:7" x14ac:dyDescent="0.2">
      <c r="A21367" t="s">
        <v>20060</v>
      </c>
      <c r="B21367" t="str">
        <f>"13695812725"</f>
        <v>13695812725</v>
      </c>
      <c r="C21367" t="str">
        <f>"330382197607134013"</f>
        <v>330382197607134013</v>
      </c>
      <c r="D21367" t="s">
        <v>20061</v>
      </c>
      <c r="E21367" t="s">
        <v>20062</v>
      </c>
      <c r="F21367" t="s">
        <v>0</v>
      </c>
      <c r="G21367" t="str">
        <f>"2018-10-07 18:54:50"</f>
        <v>2018-10-07 18:54:50</v>
      </c>
    </row>
    <row r="21368" spans="1:7" x14ac:dyDescent="0.2">
      <c r="A21368" t="s">
        <v>20063</v>
      </c>
      <c r="B21368" t="str">
        <f>"13781012283"</f>
        <v>13781012283</v>
      </c>
      <c r="C21368" t="str">
        <f>"411221196806141513"</f>
        <v>411221196806141513</v>
      </c>
      <c r="D21368" t="s">
        <v>20064</v>
      </c>
      <c r="E21368" t="s">
        <v>20065</v>
      </c>
      <c r="F21368" t="s">
        <v>0</v>
      </c>
      <c r="G21368" t="str">
        <f>"2018-10-07 18:40:32"</f>
        <v>2018-10-07 18:40:32</v>
      </c>
    </row>
    <row r="21369" spans="1:7" x14ac:dyDescent="0.2">
      <c r="A21369" t="s">
        <v>20066</v>
      </c>
      <c r="B21369" t="str">
        <f>"13858283032"</f>
        <v>13858283032</v>
      </c>
      <c r="C21369" t="str">
        <f>"330206199106251411"</f>
        <v>330206199106251411</v>
      </c>
      <c r="D21369" t="s">
        <v>1</v>
      </c>
      <c r="E21369" t="s">
        <v>1</v>
      </c>
      <c r="F21369" t="s">
        <v>0</v>
      </c>
      <c r="G21369" t="str">
        <f>"2018-10-07 14:24:56"</f>
        <v>2018-10-07 14:24:56</v>
      </c>
    </row>
    <row r="21370" spans="1:7" x14ac:dyDescent="0.2">
      <c r="A21370" t="s">
        <v>20067</v>
      </c>
      <c r="B21370" t="str">
        <f>"15068456751"</f>
        <v>15068456751</v>
      </c>
      <c r="C21370" t="str">
        <f>"330329199105053093"</f>
        <v>330329199105053093</v>
      </c>
      <c r="D21370" t="s">
        <v>1</v>
      </c>
      <c r="E21370" t="s">
        <v>1</v>
      </c>
      <c r="F21370" t="s">
        <v>0</v>
      </c>
      <c r="G21370" t="str">
        <f>"2018-10-16 17:02:56"</f>
        <v>2018-10-16 17:02:56</v>
      </c>
    </row>
    <row r="21371" spans="1:7" x14ac:dyDescent="0.2">
      <c r="A21371" t="s">
        <v>20068</v>
      </c>
      <c r="B21371" t="str">
        <f>"17717781328"</f>
        <v>17717781328</v>
      </c>
      <c r="C21371" t="str">
        <f>"130106199406210328"</f>
        <v>130106199406210328</v>
      </c>
      <c r="D21371" t="s">
        <v>20069</v>
      </c>
      <c r="E21371" t="s">
        <v>20070</v>
      </c>
      <c r="F21371" t="s">
        <v>0</v>
      </c>
      <c r="G21371" t="str">
        <f>"2018-10-07 14:26:47"</f>
        <v>2018-10-07 14:26:47</v>
      </c>
    </row>
    <row r="21372" spans="1:7" x14ac:dyDescent="0.2">
      <c r="A21372" t="s">
        <v>20071</v>
      </c>
      <c r="B21372" t="str">
        <f>"15848892232"</f>
        <v>15848892232</v>
      </c>
      <c r="C21372" t="str">
        <f>"150426199111064859"</f>
        <v>150426199111064859</v>
      </c>
      <c r="D21372" t="s">
        <v>1</v>
      </c>
      <c r="E21372" t="s">
        <v>1</v>
      </c>
      <c r="F21372" t="s">
        <v>0</v>
      </c>
      <c r="G21372" t="str">
        <f>"2018-10-07 14:29:53"</f>
        <v>2018-10-07 14:29:53</v>
      </c>
    </row>
    <row r="21373" spans="1:7" x14ac:dyDescent="0.2">
      <c r="A21373" t="s">
        <v>20072</v>
      </c>
      <c r="B21373" t="str">
        <f>"13390758211"</f>
        <v>13390758211</v>
      </c>
      <c r="C21373" t="str">
        <f>"340222198703142616"</f>
        <v>340222198703142616</v>
      </c>
      <c r="D21373" t="s">
        <v>20073</v>
      </c>
      <c r="E21373" t="s">
        <v>20074</v>
      </c>
      <c r="F21373" t="s">
        <v>0</v>
      </c>
      <c r="G21373" t="str">
        <f>"2018-10-07 14:31:53"</f>
        <v>2018-10-07 14:31:53</v>
      </c>
    </row>
    <row r="21374" spans="1:7" x14ac:dyDescent="0.2">
      <c r="A21374" t="s">
        <v>20075</v>
      </c>
      <c r="B21374" t="str">
        <f>"18782484189"</f>
        <v>18782484189</v>
      </c>
      <c r="C21374" t="str">
        <f>"510623199202114611"</f>
        <v>510623199202114611</v>
      </c>
      <c r="D21374" t="s">
        <v>20076</v>
      </c>
      <c r="E21374" t="s">
        <v>20077</v>
      </c>
      <c r="F21374" t="s">
        <v>0</v>
      </c>
      <c r="G21374" t="str">
        <f>"2018-10-07 14:20:32"</f>
        <v>2018-10-07 14:20:32</v>
      </c>
    </row>
    <row r="21375" spans="1:7" x14ac:dyDescent="0.2">
      <c r="A21375" t="s">
        <v>475</v>
      </c>
      <c r="B21375" t="str">
        <f>"15522069088"</f>
        <v>15522069088</v>
      </c>
      <c r="C21375" t="str">
        <f>"321088199106170016"</f>
        <v>321088199106170016</v>
      </c>
      <c r="D21375" t="s">
        <v>20078</v>
      </c>
      <c r="E21375" t="s">
        <v>20079</v>
      </c>
      <c r="F21375" t="s">
        <v>0</v>
      </c>
      <c r="G21375" t="str">
        <f>"2018-10-15 10:18:19"</f>
        <v>2018-10-15 10:18:19</v>
      </c>
    </row>
    <row r="21376" spans="1:7" x14ac:dyDescent="0.2">
      <c r="A21376" t="s">
        <v>1</v>
      </c>
      <c r="B21376" t="str">
        <f>"13434796621"</f>
        <v>13434796621</v>
      </c>
      <c r="C21376" t="s">
        <v>1</v>
      </c>
      <c r="D21376" t="s">
        <v>1</v>
      </c>
      <c r="E21376" t="s">
        <v>1</v>
      </c>
      <c r="F21376" t="s">
        <v>0</v>
      </c>
      <c r="G21376" t="str">
        <f>"2018-10-07 14:21:51"</f>
        <v>2018-10-07 14:21:51</v>
      </c>
    </row>
    <row r="21377" spans="1:7" x14ac:dyDescent="0.2">
      <c r="A21377" t="s">
        <v>1</v>
      </c>
      <c r="B21377" t="str">
        <f>"13617655353"</f>
        <v>13617655353</v>
      </c>
      <c r="C21377" t="s">
        <v>1</v>
      </c>
      <c r="D21377" t="s">
        <v>1</v>
      </c>
      <c r="E21377" t="s">
        <v>1</v>
      </c>
      <c r="F21377" t="s">
        <v>0</v>
      </c>
      <c r="G21377" t="str">
        <f>"2018-10-07 14:18:24"</f>
        <v>2018-10-07 14:18:24</v>
      </c>
    </row>
    <row r="21378" spans="1:7" x14ac:dyDescent="0.2">
      <c r="A21378" t="s">
        <v>20080</v>
      </c>
      <c r="B21378" t="str">
        <f>"18524795571"</f>
        <v>18524795571</v>
      </c>
      <c r="C21378" t="str">
        <f>"211022199202203914"</f>
        <v>211022199202203914</v>
      </c>
      <c r="D21378" t="s">
        <v>20081</v>
      </c>
      <c r="E21378" t="s">
        <v>20082</v>
      </c>
      <c r="F21378" t="s">
        <v>0</v>
      </c>
      <c r="G21378" t="str">
        <f>"2018-10-07 14:17:54"</f>
        <v>2018-10-07 14:17:54</v>
      </c>
    </row>
    <row r="21379" spans="1:7" x14ac:dyDescent="0.2">
      <c r="A21379" t="s">
        <v>20083</v>
      </c>
      <c r="B21379" t="str">
        <f>"15907351837"</f>
        <v>15907351837</v>
      </c>
      <c r="C21379" t="str">
        <f>"431002198411194330"</f>
        <v>431002198411194330</v>
      </c>
      <c r="D21379" t="s">
        <v>20084</v>
      </c>
      <c r="E21379" t="s">
        <v>20085</v>
      </c>
      <c r="F21379" t="s">
        <v>0</v>
      </c>
      <c r="G21379" t="str">
        <f>"2018-10-27 10:39:59"</f>
        <v>2018-10-27 10:39:59</v>
      </c>
    </row>
    <row r="21380" spans="1:7" x14ac:dyDescent="0.2">
      <c r="A21380" t="s">
        <v>565</v>
      </c>
      <c r="B21380" t="str">
        <f>"18196652999"</f>
        <v>18196652999</v>
      </c>
      <c r="C21380" t="str">
        <f>"34030219890322101X"</f>
        <v>34030219890322101X</v>
      </c>
      <c r="D21380" t="s">
        <v>1</v>
      </c>
      <c r="E21380" t="s">
        <v>1</v>
      </c>
      <c r="F21380" t="s">
        <v>0</v>
      </c>
      <c r="G21380" t="str">
        <f>"2018-10-07 14:19:59"</f>
        <v>2018-10-07 14:19:59</v>
      </c>
    </row>
    <row r="21381" spans="1:7" x14ac:dyDescent="0.2">
      <c r="A21381" t="s">
        <v>1322</v>
      </c>
      <c r="B21381" t="str">
        <f>"15976851807"</f>
        <v>15976851807</v>
      </c>
      <c r="C21381" t="str">
        <f>"513030198704045010"</f>
        <v>513030198704045010</v>
      </c>
      <c r="D21381" t="s">
        <v>1</v>
      </c>
      <c r="E21381" t="s">
        <v>1</v>
      </c>
      <c r="F21381" t="s">
        <v>0</v>
      </c>
      <c r="G21381" t="str">
        <f>"2018-10-07 14:18:04"</f>
        <v>2018-10-07 14:18:04</v>
      </c>
    </row>
    <row r="21382" spans="1:7" x14ac:dyDescent="0.2">
      <c r="A21382" t="s">
        <v>1</v>
      </c>
      <c r="B21382" t="str">
        <f>"15056061818"</f>
        <v>15056061818</v>
      </c>
      <c r="C21382" t="s">
        <v>1</v>
      </c>
      <c r="D21382" t="s">
        <v>1</v>
      </c>
      <c r="E21382" t="s">
        <v>1</v>
      </c>
      <c r="F21382" t="s">
        <v>0</v>
      </c>
      <c r="G21382" t="str">
        <f>"2018-10-07 14:16:23"</f>
        <v>2018-10-07 14:16:23</v>
      </c>
    </row>
    <row r="21383" spans="1:7" x14ac:dyDescent="0.2">
      <c r="A21383" t="s">
        <v>20086</v>
      </c>
      <c r="B21383" t="str">
        <f>"13695567487"</f>
        <v>13695567487</v>
      </c>
      <c r="C21383" t="str">
        <f>"340826198201181816"</f>
        <v>340826198201181816</v>
      </c>
      <c r="D21383" t="s">
        <v>1</v>
      </c>
      <c r="E21383" t="s">
        <v>1</v>
      </c>
      <c r="F21383" t="s">
        <v>0</v>
      </c>
      <c r="G21383" t="str">
        <f>"2018-10-07 14:19:10"</f>
        <v>2018-10-07 14:19:10</v>
      </c>
    </row>
    <row r="21384" spans="1:7" x14ac:dyDescent="0.2">
      <c r="A21384" t="s">
        <v>20087</v>
      </c>
      <c r="B21384" t="str">
        <f>"17601571352"</f>
        <v>17601571352</v>
      </c>
      <c r="C21384" t="str">
        <f>"412827199007102564"</f>
        <v>412827199007102564</v>
      </c>
      <c r="D21384" t="s">
        <v>1</v>
      </c>
      <c r="E21384" t="s">
        <v>1</v>
      </c>
      <c r="F21384" t="s">
        <v>0</v>
      </c>
      <c r="G21384" t="str">
        <f>"2018-10-07 14:18:41"</f>
        <v>2018-10-07 14:18:41</v>
      </c>
    </row>
    <row r="21385" spans="1:7" x14ac:dyDescent="0.2">
      <c r="A21385" t="s">
        <v>20088</v>
      </c>
      <c r="B21385" t="str">
        <f>"18616669055"</f>
        <v>18616669055</v>
      </c>
      <c r="C21385" t="str">
        <f>"230225198607310521"</f>
        <v>230225198607310521</v>
      </c>
      <c r="D21385" t="s">
        <v>1</v>
      </c>
      <c r="E21385" t="s">
        <v>1</v>
      </c>
      <c r="F21385" t="s">
        <v>0</v>
      </c>
      <c r="G21385" t="str">
        <f>"2018-10-15 11:10:47"</f>
        <v>2018-10-15 11:10:47</v>
      </c>
    </row>
    <row r="21386" spans="1:7" x14ac:dyDescent="0.2">
      <c r="A21386" t="s">
        <v>1</v>
      </c>
      <c r="B21386" t="str">
        <f>"18615636326"</f>
        <v>18615636326</v>
      </c>
      <c r="C21386" t="s">
        <v>1</v>
      </c>
      <c r="D21386" t="s">
        <v>1</v>
      </c>
      <c r="E21386" t="s">
        <v>1</v>
      </c>
      <c r="F21386" t="s">
        <v>0</v>
      </c>
      <c r="G21386" t="str">
        <f>"2018-10-07 14:14:17"</f>
        <v>2018-10-07 14:14:17</v>
      </c>
    </row>
    <row r="21387" spans="1:7" x14ac:dyDescent="0.2">
      <c r="A21387" t="s">
        <v>20089</v>
      </c>
      <c r="B21387" t="str">
        <f>"18239888088"</f>
        <v>18239888088</v>
      </c>
      <c r="C21387" t="str">
        <f>"411282198906030564"</f>
        <v>411282198906030564</v>
      </c>
      <c r="D21387" t="s">
        <v>1</v>
      </c>
      <c r="E21387" t="s">
        <v>1</v>
      </c>
      <c r="F21387" t="s">
        <v>0</v>
      </c>
      <c r="G21387" t="str">
        <f>"2018-10-07 14:14:08"</f>
        <v>2018-10-07 14:14:08</v>
      </c>
    </row>
    <row r="21388" spans="1:7" x14ac:dyDescent="0.2">
      <c r="A21388" t="s">
        <v>20090</v>
      </c>
      <c r="B21388" t="str">
        <f>"18769566750"</f>
        <v>18769566750</v>
      </c>
      <c r="C21388" t="str">
        <f>"371525198810155035"</f>
        <v>371525198810155035</v>
      </c>
      <c r="D21388" t="s">
        <v>1</v>
      </c>
      <c r="E21388" t="s">
        <v>1</v>
      </c>
      <c r="F21388" t="s">
        <v>0</v>
      </c>
      <c r="G21388" t="str">
        <f>"2018-10-07 14:18:11"</f>
        <v>2018-10-07 14:18:11</v>
      </c>
    </row>
    <row r="21389" spans="1:7" x14ac:dyDescent="0.2">
      <c r="A21389" t="s">
        <v>1</v>
      </c>
      <c r="B21389" t="str">
        <f>"18288918215"</f>
        <v>18288918215</v>
      </c>
      <c r="C21389" t="s">
        <v>1</v>
      </c>
      <c r="D21389" t="s">
        <v>1</v>
      </c>
      <c r="E21389" t="s">
        <v>1</v>
      </c>
      <c r="F21389" t="s">
        <v>0</v>
      </c>
      <c r="G21389" t="str">
        <f>"2018-10-07 14:12:56"</f>
        <v>2018-10-07 14:12:56</v>
      </c>
    </row>
    <row r="21390" spans="1:7" x14ac:dyDescent="0.2">
      <c r="A21390" t="s">
        <v>20091</v>
      </c>
      <c r="B21390" t="str">
        <f>"13987436827"</f>
        <v>13987436827</v>
      </c>
      <c r="C21390" t="str">
        <f>"530381199106112545"</f>
        <v>530381199106112545</v>
      </c>
      <c r="D21390" t="s">
        <v>20092</v>
      </c>
      <c r="E21390" t="s">
        <v>20093</v>
      </c>
      <c r="F21390" t="s">
        <v>0</v>
      </c>
      <c r="G21390" t="str">
        <f>"2018-10-07 14:17:46"</f>
        <v>2018-10-07 14:17:46</v>
      </c>
    </row>
    <row r="21391" spans="1:7" x14ac:dyDescent="0.2">
      <c r="A21391" t="s">
        <v>11771</v>
      </c>
      <c r="B21391" t="str">
        <f>"13591859466"</f>
        <v>13591859466</v>
      </c>
      <c r="C21391" t="str">
        <f>"211382199606280222"</f>
        <v>211382199606280222</v>
      </c>
      <c r="D21391" t="s">
        <v>1</v>
      </c>
      <c r="E21391" t="s">
        <v>1</v>
      </c>
      <c r="F21391" t="s">
        <v>0</v>
      </c>
      <c r="G21391" t="str">
        <f>"2018-10-07 14:23:12"</f>
        <v>2018-10-07 14:23:12</v>
      </c>
    </row>
    <row r="21392" spans="1:7" x14ac:dyDescent="0.2">
      <c r="A21392" t="s">
        <v>1</v>
      </c>
      <c r="B21392" t="str">
        <f>"18799117710"</f>
        <v>18799117710</v>
      </c>
      <c r="C21392" t="s">
        <v>1</v>
      </c>
      <c r="D21392" t="s">
        <v>1</v>
      </c>
      <c r="E21392" t="s">
        <v>1</v>
      </c>
      <c r="F21392" t="s">
        <v>0</v>
      </c>
      <c r="G21392" t="str">
        <f>"2018-10-07 14:09:24"</f>
        <v>2018-10-07 14:09:24</v>
      </c>
    </row>
    <row r="21393" spans="1:7" x14ac:dyDescent="0.2">
      <c r="A21393" t="s">
        <v>20094</v>
      </c>
      <c r="B21393" t="str">
        <f>"18786744868"</f>
        <v>18786744868</v>
      </c>
      <c r="C21393" t="str">
        <f>"520103198311104011"</f>
        <v>520103198311104011</v>
      </c>
      <c r="D21393" t="s">
        <v>20095</v>
      </c>
      <c r="E21393" t="s">
        <v>20096</v>
      </c>
      <c r="F21393" t="s">
        <v>0</v>
      </c>
      <c r="G21393" t="str">
        <f>"2018-10-07 14:11:26"</f>
        <v>2018-10-07 14:11:26</v>
      </c>
    </row>
    <row r="21394" spans="1:7" x14ac:dyDescent="0.2">
      <c r="A21394" t="s">
        <v>20097</v>
      </c>
      <c r="B21394" t="str">
        <f>"13621687932"</f>
        <v>13621687932</v>
      </c>
      <c r="C21394" t="str">
        <f>"310114198507184244"</f>
        <v>310114198507184244</v>
      </c>
      <c r="D21394" t="s">
        <v>1</v>
      </c>
      <c r="E21394" t="s">
        <v>1</v>
      </c>
      <c r="F21394" t="s">
        <v>0</v>
      </c>
      <c r="G21394" t="str">
        <f>"2018-10-07 14:09:49"</f>
        <v>2018-10-07 14:09:49</v>
      </c>
    </row>
    <row r="21395" spans="1:7" x14ac:dyDescent="0.2">
      <c r="A21395" t="s">
        <v>247</v>
      </c>
      <c r="B21395" t="str">
        <f>"18881986096"</f>
        <v>18881986096</v>
      </c>
      <c r="C21395" t="str">
        <f>"511523199401141597"</f>
        <v>511523199401141597</v>
      </c>
      <c r="D21395" t="s">
        <v>1</v>
      </c>
      <c r="E21395" t="s">
        <v>1</v>
      </c>
      <c r="F21395" t="s">
        <v>0</v>
      </c>
      <c r="G21395" t="str">
        <f>"2018-10-07 14:09:50"</f>
        <v>2018-10-07 14:09:50</v>
      </c>
    </row>
    <row r="21396" spans="1:7" x14ac:dyDescent="0.2">
      <c r="A21396" t="s">
        <v>20098</v>
      </c>
      <c r="B21396" t="str">
        <f>"13879718631"</f>
        <v>13879718631</v>
      </c>
      <c r="C21396" t="str">
        <f>"360721199102222812"</f>
        <v>360721199102222812</v>
      </c>
      <c r="D21396" t="s">
        <v>1</v>
      </c>
      <c r="E21396" t="s">
        <v>1</v>
      </c>
      <c r="F21396" t="s">
        <v>0</v>
      </c>
      <c r="G21396" t="str">
        <f>"2018-10-07 14:23:46"</f>
        <v>2018-10-07 14:23:46</v>
      </c>
    </row>
    <row r="21397" spans="1:7" x14ac:dyDescent="0.2">
      <c r="A21397" t="s">
        <v>356</v>
      </c>
      <c r="B21397" t="str">
        <f>"18784955664"</f>
        <v>18784955664</v>
      </c>
      <c r="C21397" t="str">
        <f>"511024199006285637"</f>
        <v>511024199006285637</v>
      </c>
      <c r="D21397" t="s">
        <v>1</v>
      </c>
      <c r="E21397" t="s">
        <v>1</v>
      </c>
      <c r="F21397" t="s">
        <v>0</v>
      </c>
      <c r="G21397" t="str">
        <f>"2018-10-07 14:19:35"</f>
        <v>2018-10-07 14:19:35</v>
      </c>
    </row>
    <row r="21398" spans="1:7" x14ac:dyDescent="0.2">
      <c r="A21398" t="s">
        <v>20099</v>
      </c>
      <c r="B21398" t="str">
        <f>"15110105664"</f>
        <v>15110105664</v>
      </c>
      <c r="C21398" t="str">
        <f>"110101198707040545"</f>
        <v>110101198707040545</v>
      </c>
      <c r="D21398" t="s">
        <v>1</v>
      </c>
      <c r="E21398" t="s">
        <v>1</v>
      </c>
      <c r="F21398" t="s">
        <v>0</v>
      </c>
      <c r="G21398" t="str">
        <f>"2018-10-19 11:02:11"</f>
        <v>2018-10-19 11:02:11</v>
      </c>
    </row>
    <row r="21399" spans="1:7" x14ac:dyDescent="0.2">
      <c r="A21399" t="s">
        <v>20100</v>
      </c>
      <c r="B21399" t="str">
        <f>"18526226707"</f>
        <v>18526226707</v>
      </c>
      <c r="C21399" t="str">
        <f>"612424199402020418"</f>
        <v>612424199402020418</v>
      </c>
      <c r="D21399" t="s">
        <v>1</v>
      </c>
      <c r="E21399" t="s">
        <v>1</v>
      </c>
      <c r="F21399" t="s">
        <v>0</v>
      </c>
      <c r="G21399" t="str">
        <f>"2018-10-07 14:06:51"</f>
        <v>2018-10-07 14:06:51</v>
      </c>
    </row>
    <row r="21400" spans="1:7" x14ac:dyDescent="0.2">
      <c r="A21400" t="s">
        <v>20101</v>
      </c>
      <c r="B21400" t="str">
        <f>"15997779078"</f>
        <v>15997779078</v>
      </c>
      <c r="C21400" t="str">
        <f>"422802198304284819"</f>
        <v>422802198304284819</v>
      </c>
      <c r="D21400" t="s">
        <v>20102</v>
      </c>
      <c r="E21400" t="s">
        <v>20103</v>
      </c>
      <c r="F21400" t="s">
        <v>0</v>
      </c>
      <c r="G21400" t="str">
        <f>"2018-10-07 14:09:14"</f>
        <v>2018-10-07 14:09:14</v>
      </c>
    </row>
    <row r="21401" spans="1:7" x14ac:dyDescent="0.2">
      <c r="A21401" t="s">
        <v>20104</v>
      </c>
      <c r="B21401" t="str">
        <f>"18503536542"</f>
        <v>18503536542</v>
      </c>
      <c r="C21401" t="str">
        <f>"140311199503291215"</f>
        <v>140311199503291215</v>
      </c>
      <c r="D21401" t="s">
        <v>20105</v>
      </c>
      <c r="E21401" t="s">
        <v>20106</v>
      </c>
      <c r="F21401" t="s">
        <v>0</v>
      </c>
      <c r="G21401" t="str">
        <f>"2018-10-07 14:05:43"</f>
        <v>2018-10-07 14:05:43</v>
      </c>
    </row>
    <row r="21402" spans="1:7" x14ac:dyDescent="0.2">
      <c r="A21402" t="s">
        <v>1</v>
      </c>
      <c r="B21402" t="str">
        <f>"15878376669"</f>
        <v>15878376669</v>
      </c>
      <c r="C21402" t="s">
        <v>1</v>
      </c>
      <c r="D21402" t="s">
        <v>1</v>
      </c>
      <c r="E21402" t="s">
        <v>1</v>
      </c>
      <c r="F21402" t="s">
        <v>0</v>
      </c>
      <c r="G21402" t="str">
        <f>"2018-10-07 14:04:22"</f>
        <v>2018-10-07 14:04:22</v>
      </c>
    </row>
    <row r="21403" spans="1:7" x14ac:dyDescent="0.2">
      <c r="A21403" t="s">
        <v>1598</v>
      </c>
      <c r="B21403" t="str">
        <f>"13521404298"</f>
        <v>13521404298</v>
      </c>
      <c r="C21403" t="str">
        <f>"422326198701063730"</f>
        <v>422326198701063730</v>
      </c>
      <c r="D21403" t="s">
        <v>20107</v>
      </c>
      <c r="E21403" t="s">
        <v>20108</v>
      </c>
      <c r="F21403" t="s">
        <v>0</v>
      </c>
      <c r="G21403" t="str">
        <f>"2018-10-21 08:25:07"</f>
        <v>2018-10-21 08:25:07</v>
      </c>
    </row>
    <row r="21404" spans="1:7" x14ac:dyDescent="0.2">
      <c r="A21404" t="s">
        <v>20109</v>
      </c>
      <c r="B21404" t="str">
        <f>"15880281390"</f>
        <v>15880281390</v>
      </c>
      <c r="C21404" t="str">
        <f>"35021219840824351X"</f>
        <v>35021219840824351X</v>
      </c>
      <c r="D21404" t="s">
        <v>20110</v>
      </c>
      <c r="E21404" t="s">
        <v>20111</v>
      </c>
      <c r="F21404" t="s">
        <v>0</v>
      </c>
      <c r="G21404" t="str">
        <f>"2018-10-09 15:04:43"</f>
        <v>2018-10-09 15:04:43</v>
      </c>
    </row>
    <row r="21405" spans="1:7" x14ac:dyDescent="0.2">
      <c r="A21405" t="s">
        <v>20112</v>
      </c>
      <c r="B21405" t="str">
        <f>"13631155293"</f>
        <v>13631155293</v>
      </c>
      <c r="C21405" t="str">
        <f>"442000198712224249"</f>
        <v>442000198712224249</v>
      </c>
      <c r="D21405" t="s">
        <v>1</v>
      </c>
      <c r="E21405" t="s">
        <v>1</v>
      </c>
      <c r="F21405" t="s">
        <v>0</v>
      </c>
      <c r="G21405" t="str">
        <f>"2018-10-07 14:06:25"</f>
        <v>2018-10-07 14:06:25</v>
      </c>
    </row>
    <row r="21406" spans="1:7" x14ac:dyDescent="0.2">
      <c r="A21406" t="s">
        <v>20113</v>
      </c>
      <c r="B21406" t="str">
        <f>"13960368757"</f>
        <v>13960368757</v>
      </c>
      <c r="C21406" t="str">
        <f>"35052519790203221X"</f>
        <v>35052519790203221X</v>
      </c>
      <c r="D21406" t="s">
        <v>20114</v>
      </c>
      <c r="E21406" t="s">
        <v>20115</v>
      </c>
      <c r="F21406" t="s">
        <v>0</v>
      </c>
      <c r="G21406" t="str">
        <f>"2018-10-07 14:14:04"</f>
        <v>2018-10-07 14:14:04</v>
      </c>
    </row>
    <row r="21407" spans="1:7" x14ac:dyDescent="0.2">
      <c r="A21407" t="s">
        <v>20116</v>
      </c>
      <c r="B21407" t="str">
        <f>"15051817921"</f>
        <v>15051817921</v>
      </c>
      <c r="C21407" t="str">
        <f>"34082219750910071X"</f>
        <v>34082219750910071X</v>
      </c>
      <c r="D21407" t="s">
        <v>20117</v>
      </c>
      <c r="E21407" t="s">
        <v>20118</v>
      </c>
      <c r="F21407" t="s">
        <v>0</v>
      </c>
      <c r="G21407" t="str">
        <f>"2018-10-07 14:07:09"</f>
        <v>2018-10-07 14:07:09</v>
      </c>
    </row>
    <row r="21408" spans="1:7" x14ac:dyDescent="0.2">
      <c r="A21408" t="s">
        <v>20119</v>
      </c>
      <c r="B21408" t="str">
        <f>"13555736209"</f>
        <v>13555736209</v>
      </c>
      <c r="C21408" t="str">
        <f>"210106197801293048"</f>
        <v>210106197801293048</v>
      </c>
      <c r="D21408" t="s">
        <v>1</v>
      </c>
      <c r="E21408" t="s">
        <v>1</v>
      </c>
      <c r="F21408" t="s">
        <v>0</v>
      </c>
      <c r="G21408" t="str">
        <f>"2018-10-07 14:04:43"</f>
        <v>2018-10-07 14:04:43</v>
      </c>
    </row>
    <row r="21409" spans="1:7" x14ac:dyDescent="0.2">
      <c r="A21409" t="s">
        <v>20120</v>
      </c>
      <c r="B21409" t="str">
        <f>"15034722909"</f>
        <v>15034722909</v>
      </c>
      <c r="C21409" t="str">
        <f>"61243019880825214X"</f>
        <v>61243019880825214X</v>
      </c>
      <c r="D21409" t="s">
        <v>1</v>
      </c>
      <c r="E21409" t="s">
        <v>1</v>
      </c>
      <c r="F21409" t="s">
        <v>0</v>
      </c>
      <c r="G21409" t="str">
        <f>"2018-10-07 14:04:27"</f>
        <v>2018-10-07 14:04:27</v>
      </c>
    </row>
    <row r="21410" spans="1:7" x14ac:dyDescent="0.2">
      <c r="A21410" t="s">
        <v>813</v>
      </c>
      <c r="B21410" t="str">
        <f>"15909307571"</f>
        <v>15909307571</v>
      </c>
      <c r="C21410" t="str">
        <f>"510202198103184456"</f>
        <v>510202198103184456</v>
      </c>
      <c r="D21410" t="s">
        <v>1</v>
      </c>
      <c r="E21410" t="s">
        <v>1</v>
      </c>
      <c r="F21410" t="s">
        <v>0</v>
      </c>
      <c r="G21410" t="str">
        <f>"2018-10-22 14:11:42"</f>
        <v>2018-10-22 14:11:42</v>
      </c>
    </row>
    <row r="21411" spans="1:7" x14ac:dyDescent="0.2">
      <c r="A21411" t="s">
        <v>20121</v>
      </c>
      <c r="B21411" t="str">
        <f>"18759229728"</f>
        <v>18759229728</v>
      </c>
      <c r="C21411" t="str">
        <f>"420323199202213777"</f>
        <v>420323199202213777</v>
      </c>
      <c r="D21411" t="s">
        <v>1</v>
      </c>
      <c r="E21411" t="s">
        <v>1</v>
      </c>
      <c r="F21411" t="s">
        <v>0</v>
      </c>
      <c r="G21411" t="str">
        <f>"2018-10-07 14:14:06"</f>
        <v>2018-10-07 14:14:06</v>
      </c>
    </row>
    <row r="21412" spans="1:7" x14ac:dyDescent="0.2">
      <c r="A21412" t="s">
        <v>20122</v>
      </c>
      <c r="B21412" t="str">
        <f>"15366579198"</f>
        <v>15366579198</v>
      </c>
      <c r="C21412" t="str">
        <f>"320911198909101217"</f>
        <v>320911198909101217</v>
      </c>
      <c r="D21412" t="s">
        <v>1</v>
      </c>
      <c r="E21412" t="s">
        <v>1</v>
      </c>
      <c r="F21412" t="s">
        <v>0</v>
      </c>
      <c r="G21412" t="str">
        <f>"2018-10-07 14:04:07"</f>
        <v>2018-10-07 14:04:07</v>
      </c>
    </row>
    <row r="21413" spans="1:7" x14ac:dyDescent="0.2">
      <c r="A21413" t="s">
        <v>1</v>
      </c>
      <c r="B21413" t="str">
        <f>"18300027822"</f>
        <v>18300027822</v>
      </c>
      <c r="C21413" t="s">
        <v>1</v>
      </c>
      <c r="D21413" t="s">
        <v>1</v>
      </c>
      <c r="E21413" t="s">
        <v>1</v>
      </c>
      <c r="F21413" t="s">
        <v>0</v>
      </c>
      <c r="G21413" t="str">
        <f>"2018-10-07 14:00:58"</f>
        <v>2018-10-07 14:00:58</v>
      </c>
    </row>
    <row r="21414" spans="1:7" x14ac:dyDescent="0.2">
      <c r="A21414" t="s">
        <v>20123</v>
      </c>
      <c r="B21414" t="str">
        <f>"13840896731"</f>
        <v>13840896731</v>
      </c>
      <c r="C21414" t="str">
        <f>"210211197904301422"</f>
        <v>210211197904301422</v>
      </c>
      <c r="D21414" t="s">
        <v>20124</v>
      </c>
      <c r="E21414" t="s">
        <v>20125</v>
      </c>
      <c r="F21414" t="s">
        <v>0</v>
      </c>
      <c r="G21414" t="str">
        <f>"2018-10-09 16:56:02"</f>
        <v>2018-10-09 16:56:02</v>
      </c>
    </row>
    <row r="21415" spans="1:7" x14ac:dyDescent="0.2">
      <c r="A21415" t="s">
        <v>1</v>
      </c>
      <c r="B21415" t="str">
        <f>"17817996112"</f>
        <v>17817996112</v>
      </c>
      <c r="C21415" t="s">
        <v>1</v>
      </c>
      <c r="D21415" t="s">
        <v>1</v>
      </c>
      <c r="E21415" t="s">
        <v>1</v>
      </c>
      <c r="F21415" t="s">
        <v>0</v>
      </c>
      <c r="G21415" t="str">
        <f>"2018-10-07 14:00:04"</f>
        <v>2018-10-07 14:00:04</v>
      </c>
    </row>
    <row r="21416" spans="1:7" x14ac:dyDescent="0.2">
      <c r="A21416" t="s">
        <v>1</v>
      </c>
      <c r="B21416" t="str">
        <f>"13226730555"</f>
        <v>13226730555</v>
      </c>
      <c r="C21416" t="s">
        <v>1</v>
      </c>
      <c r="D21416" t="s">
        <v>1</v>
      </c>
      <c r="E21416" t="s">
        <v>1</v>
      </c>
      <c r="F21416" t="s">
        <v>0</v>
      </c>
      <c r="G21416" t="str">
        <f>"2018-10-07 13:59:59"</f>
        <v>2018-10-07 13:59:59</v>
      </c>
    </row>
    <row r="21417" spans="1:7" x14ac:dyDescent="0.2">
      <c r="A21417" t="s">
        <v>20126</v>
      </c>
      <c r="B21417" t="str">
        <f>"13531008844"</f>
        <v>13531008844</v>
      </c>
      <c r="C21417" t="str">
        <f>"440882198308031193"</f>
        <v>440882198308031193</v>
      </c>
      <c r="D21417" t="s">
        <v>20127</v>
      </c>
      <c r="E21417" t="s">
        <v>20128</v>
      </c>
      <c r="F21417" t="s">
        <v>0</v>
      </c>
      <c r="G21417" t="str">
        <f>"2018-10-08 14:21:02"</f>
        <v>2018-10-08 14:21:02</v>
      </c>
    </row>
    <row r="21418" spans="1:7" x14ac:dyDescent="0.2">
      <c r="A21418" t="s">
        <v>380</v>
      </c>
      <c r="B21418" t="str">
        <f>"18505644925"</f>
        <v>18505644925</v>
      </c>
      <c r="C21418" t="str">
        <f>"342401198611075461"</f>
        <v>342401198611075461</v>
      </c>
      <c r="D21418" t="s">
        <v>20129</v>
      </c>
      <c r="E21418" t="s">
        <v>20130</v>
      </c>
      <c r="F21418" t="s">
        <v>0</v>
      </c>
      <c r="G21418" t="str">
        <f>"2018-10-07 14:07:19"</f>
        <v>2018-10-07 14:07:19</v>
      </c>
    </row>
    <row r="21419" spans="1:7" x14ac:dyDescent="0.2">
      <c r="A21419" t="s">
        <v>20131</v>
      </c>
      <c r="B21419" t="str">
        <f>"13922195882"</f>
        <v>13922195882</v>
      </c>
      <c r="C21419" t="str">
        <f>"420984199101086014"</f>
        <v>420984199101086014</v>
      </c>
      <c r="D21419" t="s">
        <v>20132</v>
      </c>
      <c r="E21419" t="s">
        <v>20133</v>
      </c>
      <c r="F21419" t="s">
        <v>0</v>
      </c>
      <c r="G21419" t="str">
        <f>"2018-10-08 03:49:37"</f>
        <v>2018-10-08 03:49:37</v>
      </c>
    </row>
    <row r="21420" spans="1:7" x14ac:dyDescent="0.2">
      <c r="A21420" t="s">
        <v>1</v>
      </c>
      <c r="B21420" t="str">
        <f>"18257888589"</f>
        <v>18257888589</v>
      </c>
      <c r="C21420" t="s">
        <v>1</v>
      </c>
      <c r="D21420" t="s">
        <v>1</v>
      </c>
      <c r="E21420" t="s">
        <v>1</v>
      </c>
      <c r="F21420" t="s">
        <v>0</v>
      </c>
      <c r="G21420" t="str">
        <f>"2018-10-07 13:59:07"</f>
        <v>2018-10-07 13:59:07</v>
      </c>
    </row>
    <row r="21421" spans="1:7" x14ac:dyDescent="0.2">
      <c r="A21421" t="s">
        <v>399</v>
      </c>
      <c r="B21421" t="str">
        <f>"15203516969"</f>
        <v>15203516969</v>
      </c>
      <c r="C21421" t="str">
        <f>"140402199403022420"</f>
        <v>140402199403022420</v>
      </c>
      <c r="D21421" t="s">
        <v>1</v>
      </c>
      <c r="E21421" t="s">
        <v>1</v>
      </c>
      <c r="F21421" t="s">
        <v>0</v>
      </c>
      <c r="G21421" t="str">
        <f>"2018-10-07 19:20:03"</f>
        <v>2018-10-07 19:20:03</v>
      </c>
    </row>
    <row r="21422" spans="1:7" x14ac:dyDescent="0.2">
      <c r="A21422" t="s">
        <v>20134</v>
      </c>
      <c r="B21422" t="str">
        <f>"15818094318"</f>
        <v>15818094318</v>
      </c>
      <c r="C21422" t="str">
        <f>"440681198909275428"</f>
        <v>440681198909275428</v>
      </c>
      <c r="D21422" t="s">
        <v>1</v>
      </c>
      <c r="E21422" t="s">
        <v>1</v>
      </c>
      <c r="F21422" t="s">
        <v>0</v>
      </c>
      <c r="G21422" t="str">
        <f>"2018-10-07 14:00:21"</f>
        <v>2018-10-07 14:00:21</v>
      </c>
    </row>
    <row r="21423" spans="1:7" x14ac:dyDescent="0.2">
      <c r="A21423" t="s">
        <v>125</v>
      </c>
      <c r="B21423" t="str">
        <f>"18758266263"</f>
        <v>18758266263</v>
      </c>
      <c r="C21423" t="str">
        <f>"339005199601019055"</f>
        <v>339005199601019055</v>
      </c>
      <c r="D21423" t="s">
        <v>20135</v>
      </c>
      <c r="E21423" t="s">
        <v>20136</v>
      </c>
      <c r="F21423" t="s">
        <v>0</v>
      </c>
      <c r="G21423" t="str">
        <f>"2018-10-07 14:02:15"</f>
        <v>2018-10-07 14:02:15</v>
      </c>
    </row>
    <row r="21424" spans="1:7" x14ac:dyDescent="0.2">
      <c r="A21424" t="s">
        <v>20137</v>
      </c>
      <c r="B21424" t="str">
        <f>"15802581585"</f>
        <v>15802581585</v>
      </c>
      <c r="C21424" t="str">
        <f>"43012119870116001X"</f>
        <v>43012119870116001X</v>
      </c>
      <c r="D21424" t="s">
        <v>1</v>
      </c>
      <c r="E21424" t="s">
        <v>1</v>
      </c>
      <c r="F21424" t="s">
        <v>0</v>
      </c>
      <c r="G21424" t="str">
        <f>"2018-10-07 13:59:31"</f>
        <v>2018-10-07 13:59:31</v>
      </c>
    </row>
    <row r="21425" spans="1:7" x14ac:dyDescent="0.2">
      <c r="A21425" t="s">
        <v>20138</v>
      </c>
      <c r="B21425" t="str">
        <f>"18888624580"</f>
        <v>18888624580</v>
      </c>
      <c r="C21425" t="str">
        <f>"330204199312286014"</f>
        <v>330204199312286014</v>
      </c>
      <c r="D21425" t="s">
        <v>1</v>
      </c>
      <c r="E21425" t="s">
        <v>1</v>
      </c>
      <c r="F21425" t="s">
        <v>0</v>
      </c>
      <c r="G21425" t="str">
        <f>"2018-10-07 14:04:48"</f>
        <v>2018-10-07 14:04:48</v>
      </c>
    </row>
    <row r="21426" spans="1:7" x14ac:dyDescent="0.2">
      <c r="A21426" t="s">
        <v>20139</v>
      </c>
      <c r="B21426" t="str">
        <f>"15303198912"</f>
        <v>15303198912</v>
      </c>
      <c r="C21426" t="str">
        <f>"130502199207081523"</f>
        <v>130502199207081523</v>
      </c>
      <c r="D21426" t="s">
        <v>1</v>
      </c>
      <c r="E21426" t="s">
        <v>1</v>
      </c>
      <c r="F21426" t="s">
        <v>0</v>
      </c>
      <c r="G21426" t="str">
        <f>"2018-10-07 13:58:28"</f>
        <v>2018-10-07 13:58:28</v>
      </c>
    </row>
    <row r="21427" spans="1:7" x14ac:dyDescent="0.2">
      <c r="A21427" t="s">
        <v>20140</v>
      </c>
      <c r="B21427" t="str">
        <f>"15905939223"</f>
        <v>15905939223</v>
      </c>
      <c r="C21427" t="str">
        <f>"350521198410131042"</f>
        <v>350521198410131042</v>
      </c>
      <c r="D21427" t="s">
        <v>1</v>
      </c>
      <c r="E21427" t="s">
        <v>1</v>
      </c>
      <c r="F21427" t="s">
        <v>0</v>
      </c>
      <c r="G21427" t="str">
        <f>"2018-10-09 14:11:15"</f>
        <v>2018-10-09 14:11:15</v>
      </c>
    </row>
    <row r="21428" spans="1:7" x14ac:dyDescent="0.2">
      <c r="A21428" t="s">
        <v>1</v>
      </c>
      <c r="B21428" t="str">
        <f>"13456720395"</f>
        <v>13456720395</v>
      </c>
      <c r="C21428" t="s">
        <v>1</v>
      </c>
      <c r="D21428" t="s">
        <v>1</v>
      </c>
      <c r="E21428" t="s">
        <v>1</v>
      </c>
      <c r="F21428" t="s">
        <v>0</v>
      </c>
      <c r="G21428" t="str">
        <f>"2018-10-07 13:56:36"</f>
        <v>2018-10-07 13:56:36</v>
      </c>
    </row>
    <row r="21429" spans="1:7" x14ac:dyDescent="0.2">
      <c r="A21429" t="s">
        <v>1</v>
      </c>
      <c r="B21429" t="str">
        <f>"15200041541"</f>
        <v>15200041541</v>
      </c>
      <c r="C21429" t="s">
        <v>1</v>
      </c>
      <c r="D21429" t="s">
        <v>1</v>
      </c>
      <c r="E21429" t="s">
        <v>1</v>
      </c>
      <c r="F21429" t="s">
        <v>0</v>
      </c>
      <c r="G21429" t="str">
        <f>"2018-10-07 13:55:46"</f>
        <v>2018-10-07 13:55:46</v>
      </c>
    </row>
    <row r="21430" spans="1:7" x14ac:dyDescent="0.2">
      <c r="A21430" t="s">
        <v>1</v>
      </c>
      <c r="B21430" t="str">
        <f>"15221216571"</f>
        <v>15221216571</v>
      </c>
      <c r="C21430" t="s">
        <v>1</v>
      </c>
      <c r="D21430" t="s">
        <v>1</v>
      </c>
      <c r="E21430" t="s">
        <v>1</v>
      </c>
      <c r="F21430" t="s">
        <v>0</v>
      </c>
      <c r="G21430" t="str">
        <f>"2018-10-07 13:55:25"</f>
        <v>2018-10-07 13:55:25</v>
      </c>
    </row>
    <row r="21431" spans="1:7" x14ac:dyDescent="0.2">
      <c r="A21431" t="s">
        <v>20141</v>
      </c>
      <c r="B21431" t="str">
        <f>"13359463662"</f>
        <v>13359463662</v>
      </c>
      <c r="C21431" t="str">
        <f>"620403198609150045"</f>
        <v>620403198609150045</v>
      </c>
      <c r="D21431" t="s">
        <v>1</v>
      </c>
      <c r="E21431" t="s">
        <v>1</v>
      </c>
      <c r="F21431" t="s">
        <v>0</v>
      </c>
      <c r="G21431" t="str">
        <f>"2018-10-07 13:56:01"</f>
        <v>2018-10-07 13:56:01</v>
      </c>
    </row>
    <row r="21432" spans="1:7" x14ac:dyDescent="0.2">
      <c r="A21432" t="s">
        <v>1</v>
      </c>
      <c r="B21432" t="str">
        <f>"15214065292"</f>
        <v>15214065292</v>
      </c>
      <c r="C21432" t="s">
        <v>1</v>
      </c>
      <c r="D21432" t="s">
        <v>1</v>
      </c>
      <c r="E21432" t="s">
        <v>1</v>
      </c>
      <c r="F21432" t="s">
        <v>0</v>
      </c>
      <c r="G21432" t="str">
        <f>"2018-10-07 13:53:59"</f>
        <v>2018-10-07 13:53:59</v>
      </c>
    </row>
    <row r="21433" spans="1:7" x14ac:dyDescent="0.2">
      <c r="A21433" t="s">
        <v>20142</v>
      </c>
      <c r="B21433" t="str">
        <f>"15108939019"</f>
        <v>15108939019</v>
      </c>
      <c r="C21433" t="str">
        <f>"460006198308100914"</f>
        <v>460006198308100914</v>
      </c>
      <c r="D21433" t="s">
        <v>1</v>
      </c>
      <c r="E21433" t="s">
        <v>1</v>
      </c>
      <c r="F21433" t="s">
        <v>0</v>
      </c>
      <c r="G21433" t="str">
        <f>"2018-10-07 13:56:07"</f>
        <v>2018-10-07 13:56:07</v>
      </c>
    </row>
    <row r="21434" spans="1:7" x14ac:dyDescent="0.2">
      <c r="A21434" t="s">
        <v>20143</v>
      </c>
      <c r="B21434" t="str">
        <f>"18257038901"</f>
        <v>18257038901</v>
      </c>
      <c r="C21434" t="str">
        <f>"450332198906111530"</f>
        <v>450332198906111530</v>
      </c>
      <c r="D21434" t="s">
        <v>1</v>
      </c>
      <c r="E21434" t="s">
        <v>1</v>
      </c>
      <c r="F21434" t="s">
        <v>0</v>
      </c>
      <c r="G21434" t="str">
        <f>"2018-10-07 13:54:17"</f>
        <v>2018-10-07 13:54:17</v>
      </c>
    </row>
    <row r="21435" spans="1:7" x14ac:dyDescent="0.2">
      <c r="A21435" t="s">
        <v>20144</v>
      </c>
      <c r="B21435" t="str">
        <f>"18551649766"</f>
        <v>18551649766</v>
      </c>
      <c r="C21435" t="str">
        <f>"342626199210081572"</f>
        <v>342626199210081572</v>
      </c>
      <c r="D21435" t="s">
        <v>20145</v>
      </c>
      <c r="E21435" t="s">
        <v>20146</v>
      </c>
      <c r="F21435" t="s">
        <v>0</v>
      </c>
      <c r="G21435" t="str">
        <f>"2018-10-07 13:54:03"</f>
        <v>2018-10-07 13:54:03</v>
      </c>
    </row>
    <row r="21436" spans="1:7" x14ac:dyDescent="0.2">
      <c r="A21436" t="s">
        <v>1</v>
      </c>
      <c r="B21436" t="str">
        <f>"13055892639"</f>
        <v>13055892639</v>
      </c>
      <c r="C21436" t="s">
        <v>1</v>
      </c>
      <c r="D21436" t="s">
        <v>1</v>
      </c>
      <c r="E21436" t="s">
        <v>1</v>
      </c>
      <c r="F21436" t="s">
        <v>0</v>
      </c>
      <c r="G21436" t="str">
        <f>"2018-10-07 13:51:16"</f>
        <v>2018-10-07 13:51:16</v>
      </c>
    </row>
    <row r="21437" spans="1:7" x14ac:dyDescent="0.2">
      <c r="A21437" t="s">
        <v>1</v>
      </c>
      <c r="B21437" t="str">
        <f>"15169693252"</f>
        <v>15169693252</v>
      </c>
      <c r="C21437" t="s">
        <v>1</v>
      </c>
      <c r="D21437" t="s">
        <v>1</v>
      </c>
      <c r="E21437" t="s">
        <v>1</v>
      </c>
      <c r="F21437" t="s">
        <v>0</v>
      </c>
      <c r="G21437" t="str">
        <f>"2018-10-07 13:50:00"</f>
        <v>2018-10-07 13:50:00</v>
      </c>
    </row>
    <row r="21438" spans="1:7" x14ac:dyDescent="0.2">
      <c r="A21438" t="s">
        <v>1</v>
      </c>
      <c r="B21438" t="str">
        <f>"13518339112"</f>
        <v>13518339112</v>
      </c>
      <c r="C21438" t="s">
        <v>1</v>
      </c>
      <c r="D21438" t="s">
        <v>1</v>
      </c>
      <c r="E21438" t="s">
        <v>1</v>
      </c>
      <c r="F21438" t="s">
        <v>0</v>
      </c>
      <c r="G21438" t="str">
        <f>"2018-10-07 13:49:23"</f>
        <v>2018-10-07 13:49:23</v>
      </c>
    </row>
    <row r="21439" spans="1:7" x14ac:dyDescent="0.2">
      <c r="A21439" t="s">
        <v>20147</v>
      </c>
      <c r="B21439" t="str">
        <f>"15734144721"</f>
        <v>15734144721</v>
      </c>
      <c r="C21439" t="str">
        <f>"210204198102243524"</f>
        <v>210204198102243524</v>
      </c>
      <c r="D21439" t="s">
        <v>1</v>
      </c>
      <c r="E21439" t="s">
        <v>1</v>
      </c>
      <c r="F21439" t="s">
        <v>0</v>
      </c>
      <c r="G21439" t="str">
        <f>"2018-10-07 13:51:50"</f>
        <v>2018-10-07 13:51:50</v>
      </c>
    </row>
    <row r="21440" spans="1:7" x14ac:dyDescent="0.2">
      <c r="A21440" t="s">
        <v>1</v>
      </c>
      <c r="B21440" t="str">
        <f>"13790049815"</f>
        <v>13790049815</v>
      </c>
      <c r="C21440" t="s">
        <v>1</v>
      </c>
      <c r="D21440" t="s">
        <v>1</v>
      </c>
      <c r="E21440" t="s">
        <v>1</v>
      </c>
      <c r="F21440" t="s">
        <v>0</v>
      </c>
      <c r="G21440" t="str">
        <f>"2018-10-07 13:49:17"</f>
        <v>2018-10-07 13:49:17</v>
      </c>
    </row>
    <row r="21441" spans="1:7" x14ac:dyDescent="0.2">
      <c r="A21441" t="s">
        <v>473</v>
      </c>
      <c r="B21441" t="str">
        <f>"15861502024"</f>
        <v>15861502024</v>
      </c>
      <c r="C21441" t="str">
        <f>"320282199312177966"</f>
        <v>320282199312177966</v>
      </c>
      <c r="D21441" t="s">
        <v>1</v>
      </c>
      <c r="E21441" t="s">
        <v>1</v>
      </c>
      <c r="F21441" t="s">
        <v>0</v>
      </c>
      <c r="G21441" t="str">
        <f>"2018-10-07 13:49:50"</f>
        <v>2018-10-07 13:49:50</v>
      </c>
    </row>
    <row r="21442" spans="1:7" x14ac:dyDescent="0.2">
      <c r="A21442" t="s">
        <v>20148</v>
      </c>
      <c r="B21442" t="str">
        <f>"18350025037"</f>
        <v>18350025037</v>
      </c>
      <c r="C21442" t="str">
        <f>"350721199405092910"</f>
        <v>350721199405092910</v>
      </c>
      <c r="D21442" t="s">
        <v>1</v>
      </c>
      <c r="E21442" t="s">
        <v>1</v>
      </c>
      <c r="F21442" t="s">
        <v>0</v>
      </c>
      <c r="G21442" t="str">
        <f>"2018-10-07 13:46:20"</f>
        <v>2018-10-07 13:46:20</v>
      </c>
    </row>
    <row r="21443" spans="1:7" x14ac:dyDescent="0.2">
      <c r="A21443" t="s">
        <v>20149</v>
      </c>
      <c r="B21443" t="str">
        <f>"18601700452"</f>
        <v>18601700452</v>
      </c>
      <c r="C21443" t="str">
        <f>"341021199611072268"</f>
        <v>341021199611072268</v>
      </c>
      <c r="D21443" t="s">
        <v>1</v>
      </c>
      <c r="E21443" t="s">
        <v>1</v>
      </c>
      <c r="F21443" t="s">
        <v>0</v>
      </c>
      <c r="G21443" t="str">
        <f>"2018-10-07 14:11:51"</f>
        <v>2018-10-07 14:11:51</v>
      </c>
    </row>
    <row r="21444" spans="1:7" x14ac:dyDescent="0.2">
      <c r="A21444" t="s">
        <v>1</v>
      </c>
      <c r="B21444" t="str">
        <f>"13950999861"</f>
        <v>13950999861</v>
      </c>
      <c r="C21444" t="s">
        <v>1</v>
      </c>
      <c r="D21444" t="s">
        <v>1</v>
      </c>
      <c r="E21444" t="s">
        <v>1</v>
      </c>
      <c r="F21444" t="s">
        <v>0</v>
      </c>
      <c r="G21444" t="str">
        <f>"2018-10-07 13:45:10"</f>
        <v>2018-10-07 13:45:10</v>
      </c>
    </row>
    <row r="21445" spans="1:7" x14ac:dyDescent="0.2">
      <c r="A21445" t="s">
        <v>20150</v>
      </c>
      <c r="B21445" t="str">
        <f>"18999982855"</f>
        <v>18999982855</v>
      </c>
      <c r="C21445" t="str">
        <f>"650105198111251318"</f>
        <v>650105198111251318</v>
      </c>
      <c r="D21445" t="s">
        <v>20151</v>
      </c>
      <c r="E21445" t="s">
        <v>20152</v>
      </c>
      <c r="F21445" t="s">
        <v>0</v>
      </c>
      <c r="G21445" t="str">
        <f>"2018-10-07 13:44:51"</f>
        <v>2018-10-07 13:44:51</v>
      </c>
    </row>
    <row r="21446" spans="1:7" x14ac:dyDescent="0.2">
      <c r="A21446" t="s">
        <v>1</v>
      </c>
      <c r="B21446" t="str">
        <f>"18773451006"</f>
        <v>18773451006</v>
      </c>
      <c r="C21446" t="s">
        <v>1</v>
      </c>
      <c r="D21446" t="s">
        <v>1</v>
      </c>
      <c r="E21446" t="s">
        <v>1</v>
      </c>
      <c r="F21446" t="s">
        <v>0</v>
      </c>
      <c r="G21446" t="str">
        <f>"2018-10-07 13:44:46"</f>
        <v>2018-10-07 13:44:46</v>
      </c>
    </row>
    <row r="21447" spans="1:7" x14ac:dyDescent="0.2">
      <c r="A21447" t="s">
        <v>748</v>
      </c>
      <c r="B21447" t="str">
        <f>"15509599828"</f>
        <v>15509599828</v>
      </c>
      <c r="C21447" t="str">
        <f>"640103198311281234"</f>
        <v>640103198311281234</v>
      </c>
      <c r="D21447" t="s">
        <v>20153</v>
      </c>
      <c r="E21447" t="s">
        <v>20154</v>
      </c>
      <c r="F21447" t="s">
        <v>0</v>
      </c>
      <c r="G21447" t="str">
        <f>"2018-10-09 14:01:33"</f>
        <v>2018-10-09 14:01:33</v>
      </c>
    </row>
    <row r="21448" spans="1:7" x14ac:dyDescent="0.2">
      <c r="A21448" t="s">
        <v>20155</v>
      </c>
      <c r="B21448" t="str">
        <f>"13196165525"</f>
        <v>13196165525</v>
      </c>
      <c r="C21448" t="str">
        <f>"220581199006293076"</f>
        <v>220581199006293076</v>
      </c>
      <c r="D21448" t="s">
        <v>1</v>
      </c>
      <c r="E21448" t="s">
        <v>1</v>
      </c>
      <c r="F21448" t="s">
        <v>0</v>
      </c>
      <c r="G21448" t="str">
        <f>"2018-10-07 14:46:31"</f>
        <v>2018-10-07 14:46:31</v>
      </c>
    </row>
    <row r="21449" spans="1:7" x14ac:dyDescent="0.2">
      <c r="A21449" t="s">
        <v>20156</v>
      </c>
      <c r="B21449" t="str">
        <f>"13480176090"</f>
        <v>13480176090</v>
      </c>
      <c r="C21449" t="str">
        <f>"430281199307099077"</f>
        <v>430281199307099077</v>
      </c>
      <c r="D21449" t="s">
        <v>20157</v>
      </c>
      <c r="E21449" t="s">
        <v>20157</v>
      </c>
      <c r="F21449" t="s">
        <v>0</v>
      </c>
      <c r="G21449" t="str">
        <f>"2018-10-07 14:20:31"</f>
        <v>2018-10-07 14:20:31</v>
      </c>
    </row>
    <row r="21450" spans="1:7" x14ac:dyDescent="0.2">
      <c r="A21450" t="s">
        <v>20158</v>
      </c>
      <c r="B21450" t="str">
        <f>"18112122301"</f>
        <v>18112122301</v>
      </c>
      <c r="C21450" t="str">
        <f>"321084198608173815"</f>
        <v>321084198608173815</v>
      </c>
      <c r="D21450" t="s">
        <v>1</v>
      </c>
      <c r="E21450" t="s">
        <v>1</v>
      </c>
      <c r="F21450" t="s">
        <v>0</v>
      </c>
      <c r="G21450" t="str">
        <f>"2018-10-07 13:51:29"</f>
        <v>2018-10-07 13:51:29</v>
      </c>
    </row>
    <row r="21451" spans="1:7" x14ac:dyDescent="0.2">
      <c r="A21451" t="s">
        <v>6349</v>
      </c>
      <c r="B21451" t="str">
        <f>"18682903152"</f>
        <v>18682903152</v>
      </c>
      <c r="C21451" t="str">
        <f>"610527199510044217"</f>
        <v>610527199510044217</v>
      </c>
      <c r="D21451" t="s">
        <v>1</v>
      </c>
      <c r="E21451" t="s">
        <v>1</v>
      </c>
      <c r="F21451" t="s">
        <v>0</v>
      </c>
      <c r="G21451" t="str">
        <f>"2018-10-07 13:43:11"</f>
        <v>2018-10-07 13:43:11</v>
      </c>
    </row>
    <row r="21452" spans="1:7" x14ac:dyDescent="0.2">
      <c r="A21452" t="s">
        <v>28</v>
      </c>
      <c r="B21452" t="str">
        <f>"18838072683"</f>
        <v>18838072683</v>
      </c>
      <c r="C21452" t="str">
        <f>"411527199206072014"</f>
        <v>411527199206072014</v>
      </c>
      <c r="D21452" t="s">
        <v>1</v>
      </c>
      <c r="E21452" t="s">
        <v>1</v>
      </c>
      <c r="F21452" t="s">
        <v>0</v>
      </c>
      <c r="G21452" t="str">
        <f>"2018-10-07 13:55:50"</f>
        <v>2018-10-07 13:55:50</v>
      </c>
    </row>
    <row r="21453" spans="1:7" x14ac:dyDescent="0.2">
      <c r="A21453" t="s">
        <v>20159</v>
      </c>
      <c r="B21453" t="str">
        <f>"18321016515"</f>
        <v>18321016515</v>
      </c>
      <c r="C21453" t="str">
        <f>"342422199112292206"</f>
        <v>342422199112292206</v>
      </c>
      <c r="D21453" t="s">
        <v>1</v>
      </c>
      <c r="E21453" t="s">
        <v>1</v>
      </c>
      <c r="F21453" t="s">
        <v>0</v>
      </c>
      <c r="G21453" t="str">
        <f>"2018-10-22 16:14:09"</f>
        <v>2018-10-22 16:14:09</v>
      </c>
    </row>
    <row r="21454" spans="1:7" x14ac:dyDescent="0.2">
      <c r="A21454" t="s">
        <v>20160</v>
      </c>
      <c r="B21454" t="str">
        <f>"18689106211"</f>
        <v>18689106211</v>
      </c>
      <c r="C21454" t="str">
        <f>"410311199404153031"</f>
        <v>410311199404153031</v>
      </c>
      <c r="D21454" t="s">
        <v>1</v>
      </c>
      <c r="E21454" t="s">
        <v>1</v>
      </c>
      <c r="F21454" t="s">
        <v>0</v>
      </c>
      <c r="G21454" t="str">
        <f>"2018-10-07 13:40:24"</f>
        <v>2018-10-07 13:40:24</v>
      </c>
    </row>
    <row r="21455" spans="1:7" x14ac:dyDescent="0.2">
      <c r="A21455" t="s">
        <v>20161</v>
      </c>
      <c r="B21455" t="str">
        <f>"13195765805"</f>
        <v>13195765805</v>
      </c>
      <c r="C21455" t="str">
        <f>"632801199302102433"</f>
        <v>632801199302102433</v>
      </c>
      <c r="D21455" t="s">
        <v>20162</v>
      </c>
      <c r="E21455" t="s">
        <v>20163</v>
      </c>
      <c r="F21455" t="s">
        <v>0</v>
      </c>
      <c r="G21455" t="str">
        <f>"2018-10-07 13:53:30"</f>
        <v>2018-10-07 13:53:30</v>
      </c>
    </row>
    <row r="21456" spans="1:7" x14ac:dyDescent="0.2">
      <c r="A21456" t="s">
        <v>20164</v>
      </c>
      <c r="B21456" t="str">
        <f>"13345646676"</f>
        <v>13345646676</v>
      </c>
      <c r="C21456" t="str">
        <f>"350181198912232016"</f>
        <v>350181198912232016</v>
      </c>
      <c r="D21456" t="s">
        <v>1</v>
      </c>
      <c r="E21456" t="s">
        <v>1</v>
      </c>
      <c r="F21456" t="s">
        <v>0</v>
      </c>
      <c r="G21456" t="str">
        <f>"2018-10-07 13:42:17"</f>
        <v>2018-10-07 13:42:17</v>
      </c>
    </row>
    <row r="21457" spans="1:7" x14ac:dyDescent="0.2">
      <c r="A21457" t="s">
        <v>20165</v>
      </c>
      <c r="B21457" t="str">
        <f>"15013530082"</f>
        <v>15013530082</v>
      </c>
      <c r="C21457" t="str">
        <f>"440306199107172011"</f>
        <v>440306199107172011</v>
      </c>
      <c r="D21457" t="s">
        <v>1</v>
      </c>
      <c r="E21457" t="s">
        <v>1</v>
      </c>
      <c r="F21457" t="s">
        <v>0</v>
      </c>
      <c r="G21457" t="str">
        <f>"2018-10-07 13:40:19"</f>
        <v>2018-10-07 13:40:19</v>
      </c>
    </row>
    <row r="21458" spans="1:7" x14ac:dyDescent="0.2">
      <c r="A21458" t="s">
        <v>20166</v>
      </c>
      <c r="B21458" t="str">
        <f>"13726660650"</f>
        <v>13726660650</v>
      </c>
      <c r="C21458" t="str">
        <f>"441224198909193256"</f>
        <v>441224198909193256</v>
      </c>
      <c r="D21458" t="s">
        <v>1</v>
      </c>
      <c r="E21458" t="s">
        <v>1</v>
      </c>
      <c r="F21458" t="s">
        <v>0</v>
      </c>
      <c r="G21458" t="str">
        <f>"2018-10-07 15:13:42"</f>
        <v>2018-10-07 15:13:42</v>
      </c>
    </row>
    <row r="21459" spans="1:7" x14ac:dyDescent="0.2">
      <c r="A21459" t="s">
        <v>1</v>
      </c>
      <c r="B21459" t="str">
        <f>"13912731233"</f>
        <v>13912731233</v>
      </c>
      <c r="C21459" t="s">
        <v>1</v>
      </c>
      <c r="D21459" t="s">
        <v>1</v>
      </c>
      <c r="E21459" t="s">
        <v>1</v>
      </c>
      <c r="F21459" t="s">
        <v>0</v>
      </c>
      <c r="G21459" t="str">
        <f>"2018-10-07 13:39:27"</f>
        <v>2018-10-07 13:39:27</v>
      </c>
    </row>
    <row r="21460" spans="1:7" x14ac:dyDescent="0.2">
      <c r="A21460" t="s">
        <v>626</v>
      </c>
      <c r="B21460" t="str">
        <f>"13712164400"</f>
        <v>13712164400</v>
      </c>
      <c r="C21460" t="str">
        <f>"430422198509137314"</f>
        <v>430422198509137314</v>
      </c>
      <c r="D21460" t="s">
        <v>1</v>
      </c>
      <c r="E21460" t="s">
        <v>1</v>
      </c>
      <c r="F21460" t="s">
        <v>0</v>
      </c>
      <c r="G21460" t="str">
        <f>"2018-10-08 08:25:08"</f>
        <v>2018-10-08 08:25:08</v>
      </c>
    </row>
    <row r="21461" spans="1:7" x14ac:dyDescent="0.2">
      <c r="A21461" t="s">
        <v>20167</v>
      </c>
      <c r="B21461" t="str">
        <f>"13918844484"</f>
        <v>13918844484</v>
      </c>
      <c r="C21461" t="str">
        <f>"310107198112074418"</f>
        <v>310107198112074418</v>
      </c>
      <c r="D21461" t="s">
        <v>20168</v>
      </c>
      <c r="E21461" t="s">
        <v>20169</v>
      </c>
      <c r="F21461" t="s">
        <v>0</v>
      </c>
      <c r="G21461" t="str">
        <f>"2018-10-07 13:40:28"</f>
        <v>2018-10-07 13:40:28</v>
      </c>
    </row>
    <row r="21462" spans="1:7" x14ac:dyDescent="0.2">
      <c r="A21462" t="s">
        <v>20170</v>
      </c>
      <c r="B21462" t="str">
        <f>"18543722225"</f>
        <v>18543722225</v>
      </c>
      <c r="C21462" t="str">
        <f>"222403198910075619"</f>
        <v>222403198910075619</v>
      </c>
      <c r="D21462" t="s">
        <v>1</v>
      </c>
      <c r="E21462" t="s">
        <v>1</v>
      </c>
      <c r="F21462" t="s">
        <v>0</v>
      </c>
      <c r="G21462" t="str">
        <f>"2018-10-07 13:38:27"</f>
        <v>2018-10-07 13:38:27</v>
      </c>
    </row>
    <row r="21463" spans="1:7" x14ac:dyDescent="0.2">
      <c r="A21463" t="s">
        <v>20171</v>
      </c>
      <c r="B21463" t="str">
        <f>"15567283260"</f>
        <v>15567283260</v>
      </c>
      <c r="C21463" t="str">
        <f>"220702199308204222"</f>
        <v>220702199308204222</v>
      </c>
      <c r="D21463" t="s">
        <v>1</v>
      </c>
      <c r="E21463" t="s">
        <v>1</v>
      </c>
      <c r="F21463" t="s">
        <v>0</v>
      </c>
      <c r="G21463" t="str">
        <f>"2018-10-07 13:40:13"</f>
        <v>2018-10-07 13:40:13</v>
      </c>
    </row>
    <row r="21464" spans="1:7" x14ac:dyDescent="0.2">
      <c r="A21464" t="s">
        <v>20172</v>
      </c>
      <c r="B21464" t="str">
        <f>"15913918041"</f>
        <v>15913918041</v>
      </c>
      <c r="C21464" t="str">
        <f>"440583199002134282"</f>
        <v>440583199002134282</v>
      </c>
      <c r="D21464" t="s">
        <v>1</v>
      </c>
      <c r="E21464" t="s">
        <v>1</v>
      </c>
      <c r="F21464" t="s">
        <v>0</v>
      </c>
      <c r="G21464" t="str">
        <f>"2018-10-07 14:05:39"</f>
        <v>2018-10-07 14:05:39</v>
      </c>
    </row>
    <row r="21465" spans="1:7" x14ac:dyDescent="0.2">
      <c r="A21465" t="s">
        <v>20173</v>
      </c>
      <c r="B21465" t="str">
        <f>"13687478980"</f>
        <v>13687478980</v>
      </c>
      <c r="C21465" t="str">
        <f>"445281199201023791"</f>
        <v>445281199201023791</v>
      </c>
      <c r="D21465" t="s">
        <v>1</v>
      </c>
      <c r="E21465" t="s">
        <v>1</v>
      </c>
      <c r="F21465" t="s">
        <v>0</v>
      </c>
      <c r="G21465" t="str">
        <f>"2018-10-07 13:39:55"</f>
        <v>2018-10-07 13:39:55</v>
      </c>
    </row>
    <row r="21466" spans="1:7" x14ac:dyDescent="0.2">
      <c r="A21466" t="s">
        <v>20174</v>
      </c>
      <c r="B21466" t="str">
        <f>"18261387186"</f>
        <v>18261387186</v>
      </c>
      <c r="C21466" t="str">
        <f>"321283199508164427"</f>
        <v>321283199508164427</v>
      </c>
      <c r="D21466" t="s">
        <v>1</v>
      </c>
      <c r="E21466" t="s">
        <v>1</v>
      </c>
      <c r="F21466" t="s">
        <v>0</v>
      </c>
      <c r="G21466" t="str">
        <f>"2018-10-07 13:38:26"</f>
        <v>2018-10-07 13:38:26</v>
      </c>
    </row>
    <row r="21467" spans="1:7" x14ac:dyDescent="0.2">
      <c r="A21467" t="s">
        <v>20175</v>
      </c>
      <c r="B21467" t="str">
        <f>"13826120937"</f>
        <v>13826120937</v>
      </c>
      <c r="C21467" t="str">
        <f>"533123199008203919"</f>
        <v>533123199008203919</v>
      </c>
      <c r="D21467" t="s">
        <v>1</v>
      </c>
      <c r="E21467" t="s">
        <v>1</v>
      </c>
      <c r="F21467" t="s">
        <v>0</v>
      </c>
      <c r="G21467" t="str">
        <f>"2018-10-26 16:24:07"</f>
        <v>2018-10-26 16:24:07</v>
      </c>
    </row>
    <row r="21468" spans="1:7" x14ac:dyDescent="0.2">
      <c r="A21468" t="s">
        <v>20176</v>
      </c>
      <c r="B21468" t="str">
        <f>"15004719662"</f>
        <v>15004719662</v>
      </c>
      <c r="C21468" t="str">
        <f>"150104199309031185"</f>
        <v>150104199309031185</v>
      </c>
      <c r="D21468" t="s">
        <v>1</v>
      </c>
      <c r="E21468" t="s">
        <v>1</v>
      </c>
      <c r="F21468" t="s">
        <v>0</v>
      </c>
      <c r="G21468" t="str">
        <f>"2018-10-07 13:36:18"</f>
        <v>2018-10-07 13:36:18</v>
      </c>
    </row>
    <row r="21469" spans="1:7" x14ac:dyDescent="0.2">
      <c r="A21469" t="s">
        <v>1</v>
      </c>
      <c r="B21469" t="str">
        <f>"13557339024"</f>
        <v>13557339024</v>
      </c>
      <c r="C21469" t="s">
        <v>1</v>
      </c>
      <c r="D21469" t="s">
        <v>1</v>
      </c>
      <c r="E21469" t="s">
        <v>1</v>
      </c>
      <c r="F21469" t="s">
        <v>0</v>
      </c>
      <c r="G21469" t="str">
        <f>"2018-10-07 13:35:26"</f>
        <v>2018-10-07 13:35:26</v>
      </c>
    </row>
    <row r="21470" spans="1:7" x14ac:dyDescent="0.2">
      <c r="A21470" t="s">
        <v>1</v>
      </c>
      <c r="B21470" t="str">
        <f>"15927680003"</f>
        <v>15927680003</v>
      </c>
      <c r="C21470" t="s">
        <v>1</v>
      </c>
      <c r="D21470" t="s">
        <v>1</v>
      </c>
      <c r="E21470" t="s">
        <v>1</v>
      </c>
      <c r="F21470" t="s">
        <v>0</v>
      </c>
      <c r="G21470" t="str">
        <f>"2018-10-07 13:34:36"</f>
        <v>2018-10-07 13:34:36</v>
      </c>
    </row>
    <row r="21471" spans="1:7" x14ac:dyDescent="0.2">
      <c r="A21471" t="s">
        <v>20177</v>
      </c>
      <c r="B21471" t="str">
        <f>"18669850503"</f>
        <v>18669850503</v>
      </c>
      <c r="C21471" t="str">
        <f>"370282198505287314"</f>
        <v>370282198505287314</v>
      </c>
      <c r="D21471" t="s">
        <v>1</v>
      </c>
      <c r="E21471" t="s">
        <v>1</v>
      </c>
      <c r="F21471" t="s">
        <v>0</v>
      </c>
      <c r="G21471" t="str">
        <f>"2018-10-07 13:35:55"</f>
        <v>2018-10-07 13:35:55</v>
      </c>
    </row>
    <row r="21472" spans="1:7" x14ac:dyDescent="0.2">
      <c r="A21472" t="s">
        <v>20178</v>
      </c>
      <c r="B21472" t="str">
        <f>"18194462343"</f>
        <v>18194462343</v>
      </c>
      <c r="C21472" t="str">
        <f>"622623199209170015"</f>
        <v>622623199209170015</v>
      </c>
      <c r="D21472" t="s">
        <v>1</v>
      </c>
      <c r="E21472" t="s">
        <v>1</v>
      </c>
      <c r="F21472" t="s">
        <v>0</v>
      </c>
      <c r="G21472" t="str">
        <f>"2018-10-07 13:35:32"</f>
        <v>2018-10-07 13:35:32</v>
      </c>
    </row>
    <row r="21473" spans="1:7" x14ac:dyDescent="0.2">
      <c r="A21473" t="s">
        <v>20179</v>
      </c>
      <c r="B21473" t="str">
        <f>"15093385234"</f>
        <v>15093385234</v>
      </c>
      <c r="C21473" t="str">
        <f>"410182199502134154"</f>
        <v>410182199502134154</v>
      </c>
      <c r="D21473" t="s">
        <v>20180</v>
      </c>
      <c r="E21473" t="s">
        <v>20181</v>
      </c>
      <c r="F21473" t="s">
        <v>0</v>
      </c>
      <c r="G21473" t="str">
        <f>"2018-10-07 14:10:23"</f>
        <v>2018-10-07 14:10:23</v>
      </c>
    </row>
    <row r="21474" spans="1:7" x14ac:dyDescent="0.2">
      <c r="A21474" t="s">
        <v>20182</v>
      </c>
      <c r="B21474" t="str">
        <f>"13992802886"</f>
        <v>13992802886</v>
      </c>
      <c r="C21474" t="str">
        <f>"610102198605252752"</f>
        <v>610102198605252752</v>
      </c>
      <c r="D21474" t="s">
        <v>1</v>
      </c>
      <c r="E21474" t="s">
        <v>1</v>
      </c>
      <c r="F21474" t="s">
        <v>0</v>
      </c>
      <c r="G21474" t="str">
        <f>"2018-11-02 11:27:58"</f>
        <v>2018-11-02 11:27:58</v>
      </c>
    </row>
    <row r="21475" spans="1:7" x14ac:dyDescent="0.2">
      <c r="A21475" t="s">
        <v>1</v>
      </c>
      <c r="B21475" t="str">
        <f>"13117991053"</f>
        <v>13117991053</v>
      </c>
      <c r="C21475" t="s">
        <v>1</v>
      </c>
      <c r="D21475" t="s">
        <v>1</v>
      </c>
      <c r="E21475" t="s">
        <v>1</v>
      </c>
      <c r="F21475" t="s">
        <v>0</v>
      </c>
      <c r="G21475" t="str">
        <f>"2018-10-07 13:33:02"</f>
        <v>2018-10-07 13:33:02</v>
      </c>
    </row>
    <row r="21476" spans="1:7" x14ac:dyDescent="0.2">
      <c r="A21476" t="s">
        <v>20183</v>
      </c>
      <c r="B21476" t="str">
        <f>"15201500941"</f>
        <v>15201500941</v>
      </c>
      <c r="C21476" t="str">
        <f>"110223199602258765"</f>
        <v>110223199602258765</v>
      </c>
      <c r="D21476" t="s">
        <v>1</v>
      </c>
      <c r="E21476" t="s">
        <v>1</v>
      </c>
      <c r="F21476" t="s">
        <v>0</v>
      </c>
      <c r="G21476" t="str">
        <f>"2018-10-07 13:34:45"</f>
        <v>2018-10-07 13:34:45</v>
      </c>
    </row>
    <row r="21477" spans="1:7" x14ac:dyDescent="0.2">
      <c r="A21477" t="s">
        <v>784</v>
      </c>
      <c r="B21477" t="str">
        <f>"18988108188"</f>
        <v>18988108188</v>
      </c>
      <c r="C21477" t="str">
        <f>"532801198512020016"</f>
        <v>532801198512020016</v>
      </c>
      <c r="D21477" t="s">
        <v>20184</v>
      </c>
      <c r="E21477" t="s">
        <v>20185</v>
      </c>
      <c r="F21477" t="s">
        <v>0</v>
      </c>
      <c r="G21477" t="str">
        <f>"2018-10-07 13:35:11"</f>
        <v>2018-10-07 13:35:11</v>
      </c>
    </row>
    <row r="21478" spans="1:7" x14ac:dyDescent="0.2">
      <c r="A21478" t="s">
        <v>1503</v>
      </c>
      <c r="B21478" t="str">
        <f>"17716796996"</f>
        <v>17716796996</v>
      </c>
      <c r="C21478" t="str">
        <f>"431102199009173451"</f>
        <v>431102199009173451</v>
      </c>
      <c r="D21478" t="s">
        <v>1</v>
      </c>
      <c r="E21478" t="s">
        <v>1</v>
      </c>
      <c r="F21478" t="s">
        <v>0</v>
      </c>
      <c r="G21478" t="str">
        <f>"2018-10-07 13:32:39"</f>
        <v>2018-10-07 13:32:39</v>
      </c>
    </row>
    <row r="21479" spans="1:7" x14ac:dyDescent="0.2">
      <c r="A21479" t="s">
        <v>1</v>
      </c>
      <c r="B21479" t="str">
        <f>"13476763516"</f>
        <v>13476763516</v>
      </c>
      <c r="C21479" t="s">
        <v>1</v>
      </c>
      <c r="D21479" t="s">
        <v>1</v>
      </c>
      <c r="E21479" t="s">
        <v>1</v>
      </c>
      <c r="F21479" t="s">
        <v>0</v>
      </c>
      <c r="G21479" t="str">
        <f>"2018-10-07 13:34:24"</f>
        <v>2018-10-07 13:34:24</v>
      </c>
    </row>
    <row r="21480" spans="1:7" x14ac:dyDescent="0.2">
      <c r="A21480" t="s">
        <v>20186</v>
      </c>
      <c r="B21480" t="str">
        <f>"15870738689"</f>
        <v>15870738689</v>
      </c>
      <c r="C21480" t="str">
        <f>"362135198201192738"</f>
        <v>362135198201192738</v>
      </c>
      <c r="D21480" t="s">
        <v>1</v>
      </c>
      <c r="E21480" t="s">
        <v>1</v>
      </c>
      <c r="F21480" t="s">
        <v>0</v>
      </c>
      <c r="G21480" t="str">
        <f>"2018-10-07 13:33:40"</f>
        <v>2018-10-07 13:33:40</v>
      </c>
    </row>
    <row r="21481" spans="1:7" x14ac:dyDescent="0.2">
      <c r="A21481" t="s">
        <v>1</v>
      </c>
      <c r="B21481" t="str">
        <f>"15350097322"</f>
        <v>15350097322</v>
      </c>
      <c r="C21481" t="s">
        <v>1</v>
      </c>
      <c r="D21481" t="s">
        <v>1</v>
      </c>
      <c r="E21481" t="s">
        <v>1</v>
      </c>
      <c r="F21481" t="s">
        <v>0</v>
      </c>
      <c r="G21481" t="str">
        <f>"2018-10-07 13:32:20"</f>
        <v>2018-10-07 13:32:20</v>
      </c>
    </row>
    <row r="21482" spans="1:7" x14ac:dyDescent="0.2">
      <c r="A21482" t="s">
        <v>20187</v>
      </c>
      <c r="B21482" t="str">
        <f>"15026764962"</f>
        <v>15026764962</v>
      </c>
      <c r="C21482" t="str">
        <f>"340827198712283415"</f>
        <v>340827198712283415</v>
      </c>
      <c r="D21482" t="s">
        <v>1</v>
      </c>
      <c r="E21482" t="s">
        <v>1</v>
      </c>
      <c r="F21482" t="s">
        <v>0</v>
      </c>
      <c r="G21482" t="str">
        <f>"2018-10-07 13:33:10"</f>
        <v>2018-10-07 13:33:10</v>
      </c>
    </row>
    <row r="21483" spans="1:7" x14ac:dyDescent="0.2">
      <c r="A21483" t="s">
        <v>93</v>
      </c>
      <c r="B21483" t="str">
        <f>"13127977113"</f>
        <v>13127977113</v>
      </c>
      <c r="C21483" t="str">
        <f>"430124199207105617"</f>
        <v>430124199207105617</v>
      </c>
      <c r="D21483" t="s">
        <v>1</v>
      </c>
      <c r="E21483" t="s">
        <v>1</v>
      </c>
      <c r="F21483" t="s">
        <v>0</v>
      </c>
      <c r="G21483" t="str">
        <f>"2018-10-07 13:33:12"</f>
        <v>2018-10-07 13:33:12</v>
      </c>
    </row>
    <row r="21484" spans="1:7" x14ac:dyDescent="0.2">
      <c r="A21484" t="s">
        <v>20188</v>
      </c>
      <c r="B21484" t="str">
        <f>"15117965611"</f>
        <v>15117965611</v>
      </c>
      <c r="C21484" t="str">
        <f>"130421198806173314"</f>
        <v>130421198806173314</v>
      </c>
      <c r="D21484" t="s">
        <v>1</v>
      </c>
      <c r="E21484" t="s">
        <v>1</v>
      </c>
      <c r="F21484" t="s">
        <v>0</v>
      </c>
      <c r="G21484" t="str">
        <f>"2018-10-07 13:31:53"</f>
        <v>2018-10-07 13:31:53</v>
      </c>
    </row>
    <row r="21485" spans="1:7" x14ac:dyDescent="0.2">
      <c r="A21485" t="s">
        <v>1</v>
      </c>
      <c r="B21485" t="str">
        <f>"13591752465"</f>
        <v>13591752465</v>
      </c>
      <c r="C21485" t="s">
        <v>1</v>
      </c>
      <c r="D21485" t="s">
        <v>1</v>
      </c>
      <c r="E21485" t="s">
        <v>1</v>
      </c>
      <c r="F21485" t="s">
        <v>0</v>
      </c>
      <c r="G21485" t="str">
        <f>"2018-10-07 13:40:24"</f>
        <v>2018-10-07 13:40:24</v>
      </c>
    </row>
    <row r="21486" spans="1:7" x14ac:dyDescent="0.2">
      <c r="A21486" t="s">
        <v>1</v>
      </c>
      <c r="B21486" t="str">
        <f>"13804489138"</f>
        <v>13804489138</v>
      </c>
      <c r="C21486" t="s">
        <v>1</v>
      </c>
      <c r="D21486" t="s">
        <v>1</v>
      </c>
      <c r="E21486" t="s">
        <v>1</v>
      </c>
      <c r="F21486" t="s">
        <v>0</v>
      </c>
      <c r="G21486" t="str">
        <f>"2018-10-07 13:31:12"</f>
        <v>2018-10-07 13:31:12</v>
      </c>
    </row>
    <row r="21487" spans="1:7" x14ac:dyDescent="0.2">
      <c r="A21487" t="s">
        <v>20189</v>
      </c>
      <c r="B21487" t="str">
        <f>"18078784844"</f>
        <v>18078784844</v>
      </c>
      <c r="C21487" t="str">
        <f>"450881199705042611"</f>
        <v>450881199705042611</v>
      </c>
      <c r="D21487" t="s">
        <v>1</v>
      </c>
      <c r="E21487" t="s">
        <v>1</v>
      </c>
      <c r="F21487" t="s">
        <v>0</v>
      </c>
      <c r="G21487" t="str">
        <f>"2018-10-07 13:53:48"</f>
        <v>2018-10-07 13:53:48</v>
      </c>
    </row>
    <row r="21488" spans="1:7" x14ac:dyDescent="0.2">
      <c r="A21488" t="s">
        <v>1</v>
      </c>
      <c r="B21488" t="str">
        <f>"15275429108"</f>
        <v>15275429108</v>
      </c>
      <c r="C21488" t="s">
        <v>1</v>
      </c>
      <c r="D21488" t="s">
        <v>1</v>
      </c>
      <c r="E21488" t="s">
        <v>1</v>
      </c>
      <c r="F21488" t="s">
        <v>0</v>
      </c>
      <c r="G21488" t="str">
        <f>"2018-10-07 13:29:07"</f>
        <v>2018-10-07 13:29:07</v>
      </c>
    </row>
    <row r="21489" spans="1:7" x14ac:dyDescent="0.2">
      <c r="A21489" t="s">
        <v>1</v>
      </c>
      <c r="B21489" t="str">
        <f>"15134037939"</f>
        <v>15134037939</v>
      </c>
      <c r="C21489" t="s">
        <v>1</v>
      </c>
      <c r="D21489" t="s">
        <v>1</v>
      </c>
      <c r="E21489" t="s">
        <v>1</v>
      </c>
      <c r="F21489" t="s">
        <v>0</v>
      </c>
      <c r="G21489" t="str">
        <f>"2018-10-07 13:28:11"</f>
        <v>2018-10-07 13:28:11</v>
      </c>
    </row>
    <row r="21490" spans="1:7" x14ac:dyDescent="0.2">
      <c r="A21490" t="s">
        <v>20190</v>
      </c>
      <c r="B21490" t="str">
        <f>"13884449888"</f>
        <v>13884449888</v>
      </c>
      <c r="C21490" t="str">
        <f>"330282198210120536"</f>
        <v>330282198210120536</v>
      </c>
      <c r="D21490" t="s">
        <v>1</v>
      </c>
      <c r="E21490" t="s">
        <v>1</v>
      </c>
      <c r="F21490" t="s">
        <v>0</v>
      </c>
      <c r="G21490" t="str">
        <f>"2018-10-07 13:30:44"</f>
        <v>2018-10-07 13:30:44</v>
      </c>
    </row>
    <row r="21491" spans="1:7" x14ac:dyDescent="0.2">
      <c r="A21491" t="s">
        <v>1</v>
      </c>
      <c r="B21491" t="str">
        <f>"18097398785"</f>
        <v>18097398785</v>
      </c>
      <c r="C21491" t="s">
        <v>1</v>
      </c>
      <c r="D21491" t="s">
        <v>1</v>
      </c>
      <c r="E21491" t="s">
        <v>1</v>
      </c>
      <c r="F21491" t="s">
        <v>0</v>
      </c>
      <c r="G21491" t="str">
        <f>"2018-10-07 13:27:08"</f>
        <v>2018-10-07 13:27:08</v>
      </c>
    </row>
    <row r="21492" spans="1:7" x14ac:dyDescent="0.2">
      <c r="A21492" t="s">
        <v>1</v>
      </c>
      <c r="B21492" t="str">
        <f>"18000232113"</f>
        <v>18000232113</v>
      </c>
      <c r="C21492" t="s">
        <v>1</v>
      </c>
      <c r="D21492" t="s">
        <v>1</v>
      </c>
      <c r="E21492" t="s">
        <v>1</v>
      </c>
      <c r="F21492" t="s">
        <v>0</v>
      </c>
      <c r="G21492" t="str">
        <f>"2018-10-07 15:00:30"</f>
        <v>2018-10-07 15:00:30</v>
      </c>
    </row>
    <row r="21493" spans="1:7" x14ac:dyDescent="0.2">
      <c r="A21493" t="s">
        <v>20191</v>
      </c>
      <c r="B21493" t="str">
        <f>"13771192492"</f>
        <v>13771192492</v>
      </c>
      <c r="C21493" t="str">
        <f>"341182199411033617"</f>
        <v>341182199411033617</v>
      </c>
      <c r="D21493" t="s">
        <v>1</v>
      </c>
      <c r="E21493" t="s">
        <v>1</v>
      </c>
      <c r="F21493" t="s">
        <v>0</v>
      </c>
      <c r="G21493" t="str">
        <f>"2018-10-09 16:07:41"</f>
        <v>2018-10-09 16:07:41</v>
      </c>
    </row>
    <row r="21494" spans="1:7" x14ac:dyDescent="0.2">
      <c r="A21494" t="s">
        <v>1</v>
      </c>
      <c r="B21494" t="str">
        <f>"18982464568"</f>
        <v>18982464568</v>
      </c>
      <c r="C21494" t="s">
        <v>1</v>
      </c>
      <c r="D21494" t="s">
        <v>1</v>
      </c>
      <c r="E21494" t="s">
        <v>1</v>
      </c>
      <c r="F21494" t="s">
        <v>0</v>
      </c>
      <c r="G21494" t="str">
        <f>"2018-10-07 13:26:15"</f>
        <v>2018-10-07 13:26:15</v>
      </c>
    </row>
    <row r="21495" spans="1:7" x14ac:dyDescent="0.2">
      <c r="A21495" t="s">
        <v>20192</v>
      </c>
      <c r="B21495" t="str">
        <f>"18099401508"</f>
        <v>18099401508</v>
      </c>
      <c r="C21495" t="str">
        <f>"654122199008170012"</f>
        <v>654122199008170012</v>
      </c>
      <c r="D21495" t="s">
        <v>1</v>
      </c>
      <c r="E21495" t="s">
        <v>1</v>
      </c>
      <c r="F21495" t="s">
        <v>0</v>
      </c>
      <c r="G21495" t="str">
        <f>"2018-10-29 21:02:56"</f>
        <v>2018-10-29 21:02:56</v>
      </c>
    </row>
    <row r="21496" spans="1:7" x14ac:dyDescent="0.2">
      <c r="A21496" t="s">
        <v>1</v>
      </c>
      <c r="B21496" t="str">
        <f>"15280536159"</f>
        <v>15280536159</v>
      </c>
      <c r="C21496" t="s">
        <v>1</v>
      </c>
      <c r="D21496" t="s">
        <v>1</v>
      </c>
      <c r="E21496" t="s">
        <v>1</v>
      </c>
      <c r="F21496" t="s">
        <v>0</v>
      </c>
      <c r="G21496" t="str">
        <f>"2018-10-07 13:25:57"</f>
        <v>2018-10-07 13:25:57</v>
      </c>
    </row>
    <row r="21497" spans="1:7" x14ac:dyDescent="0.2">
      <c r="A21497" t="s">
        <v>1024</v>
      </c>
      <c r="B21497" t="str">
        <f>"15386559157"</f>
        <v>15386559157</v>
      </c>
      <c r="C21497" t="str">
        <f>"511102197008142013"</f>
        <v>511102197008142013</v>
      </c>
      <c r="D21497" t="s">
        <v>1</v>
      </c>
      <c r="E21497" t="s">
        <v>1</v>
      </c>
      <c r="F21497" t="s">
        <v>0</v>
      </c>
      <c r="G21497" t="str">
        <f>"2018-10-07 13:31:05"</f>
        <v>2018-10-07 13:31:05</v>
      </c>
    </row>
    <row r="21498" spans="1:7" x14ac:dyDescent="0.2">
      <c r="A21498" t="s">
        <v>20193</v>
      </c>
      <c r="B21498" t="str">
        <f>"18507743685"</f>
        <v>18507743685</v>
      </c>
      <c r="C21498" t="str">
        <f>"450422198505290673"</f>
        <v>450422198505290673</v>
      </c>
      <c r="D21498" t="s">
        <v>1</v>
      </c>
      <c r="E21498" t="s">
        <v>1</v>
      </c>
      <c r="F21498" t="s">
        <v>0</v>
      </c>
      <c r="G21498" t="str">
        <f>"2018-10-07 13:26:33"</f>
        <v>2018-10-07 13:26:33</v>
      </c>
    </row>
    <row r="21499" spans="1:7" x14ac:dyDescent="0.2">
      <c r="A21499" t="s">
        <v>1</v>
      </c>
      <c r="B21499" t="str">
        <f>"17614922757"</f>
        <v>17614922757</v>
      </c>
      <c r="C21499" t="s">
        <v>1</v>
      </c>
      <c r="D21499" t="s">
        <v>1</v>
      </c>
      <c r="E21499" t="s">
        <v>1</v>
      </c>
      <c r="F21499" t="s">
        <v>0</v>
      </c>
      <c r="G21499" t="str">
        <f>"2018-10-07 13:25:22"</f>
        <v>2018-10-07 13:25:22</v>
      </c>
    </row>
    <row r="21500" spans="1:7" x14ac:dyDescent="0.2">
      <c r="A21500" t="s">
        <v>20194</v>
      </c>
      <c r="B21500" t="str">
        <f>"13519841910"</f>
        <v>13519841910</v>
      </c>
      <c r="C21500" t="str">
        <f>"469024196510180411"</f>
        <v>469024196510180411</v>
      </c>
      <c r="D21500" t="s">
        <v>1</v>
      </c>
      <c r="E21500" t="s">
        <v>1</v>
      </c>
      <c r="F21500" t="s">
        <v>0</v>
      </c>
      <c r="G21500" t="str">
        <f>"2018-10-07 13:25:09"</f>
        <v>2018-10-07 13:25:09</v>
      </c>
    </row>
    <row r="21501" spans="1:7" x14ac:dyDescent="0.2">
      <c r="A21501" t="s">
        <v>1</v>
      </c>
      <c r="B21501" t="str">
        <f>"13657505489"</f>
        <v>13657505489</v>
      </c>
      <c r="C21501" t="s">
        <v>1</v>
      </c>
      <c r="D21501" t="s">
        <v>1</v>
      </c>
      <c r="E21501" t="s">
        <v>1</v>
      </c>
      <c r="F21501" t="s">
        <v>0</v>
      </c>
      <c r="G21501" t="str">
        <f>"2018-10-07 13:24:48"</f>
        <v>2018-10-07 13:24:48</v>
      </c>
    </row>
    <row r="21502" spans="1:7" x14ac:dyDescent="0.2">
      <c r="A21502" t="s">
        <v>1</v>
      </c>
      <c r="B21502" t="str">
        <f>"17568069940"</f>
        <v>17568069940</v>
      </c>
      <c r="C21502" t="s">
        <v>1</v>
      </c>
      <c r="D21502" t="s">
        <v>1</v>
      </c>
      <c r="E21502" t="s">
        <v>1</v>
      </c>
      <c r="F21502" t="s">
        <v>0</v>
      </c>
      <c r="G21502" t="str">
        <f>"2018-10-07 13:27:45"</f>
        <v>2018-10-07 13:27:45</v>
      </c>
    </row>
    <row r="21503" spans="1:7" x14ac:dyDescent="0.2">
      <c r="A21503" t="s">
        <v>20195</v>
      </c>
      <c r="B21503" t="str">
        <f>"15100593966"</f>
        <v>15100593966</v>
      </c>
      <c r="C21503" t="str">
        <f>"130221199108020058"</f>
        <v>130221199108020058</v>
      </c>
      <c r="D21503" t="s">
        <v>1</v>
      </c>
      <c r="E21503" t="s">
        <v>1</v>
      </c>
      <c r="F21503" t="s">
        <v>0</v>
      </c>
      <c r="G21503" t="str">
        <f>"2018-10-07 13:25:46"</f>
        <v>2018-10-07 13:25:46</v>
      </c>
    </row>
    <row r="21504" spans="1:7" x14ac:dyDescent="0.2">
      <c r="A21504" t="s">
        <v>1</v>
      </c>
      <c r="B21504" t="str">
        <f>"18936836534"</f>
        <v>18936836534</v>
      </c>
      <c r="C21504" t="s">
        <v>1</v>
      </c>
      <c r="D21504" t="s">
        <v>1</v>
      </c>
      <c r="E21504" t="s">
        <v>1</v>
      </c>
      <c r="F21504" t="s">
        <v>0</v>
      </c>
      <c r="G21504" t="str">
        <f>"2018-10-07 13:24:23"</f>
        <v>2018-10-07 13:24:23</v>
      </c>
    </row>
    <row r="21505" spans="1:7" x14ac:dyDescent="0.2">
      <c r="A21505" t="s">
        <v>1</v>
      </c>
      <c r="B21505" t="str">
        <f>"18975997219"</f>
        <v>18975997219</v>
      </c>
      <c r="C21505" t="s">
        <v>1</v>
      </c>
      <c r="D21505" t="s">
        <v>1</v>
      </c>
      <c r="E21505" t="s">
        <v>1</v>
      </c>
      <c r="F21505" t="s">
        <v>0</v>
      </c>
      <c r="G21505" t="str">
        <f>"2018-10-07 13:25:06"</f>
        <v>2018-10-07 13:25:06</v>
      </c>
    </row>
    <row r="21506" spans="1:7" x14ac:dyDescent="0.2">
      <c r="A21506" t="s">
        <v>20196</v>
      </c>
      <c r="B21506" t="str">
        <f>"18347741888"</f>
        <v>18347741888</v>
      </c>
      <c r="C21506" t="str">
        <f>"152723199002144218"</f>
        <v>152723199002144218</v>
      </c>
      <c r="D21506" t="s">
        <v>1</v>
      </c>
      <c r="E21506" t="s">
        <v>1</v>
      </c>
      <c r="F21506" t="s">
        <v>0</v>
      </c>
      <c r="G21506" t="str">
        <f>"2018-10-07 13:24:38"</f>
        <v>2018-10-07 13:24:38</v>
      </c>
    </row>
    <row r="21507" spans="1:7" x14ac:dyDescent="0.2">
      <c r="A21507" t="s">
        <v>1660</v>
      </c>
      <c r="B21507" t="str">
        <f>"15104541492"</f>
        <v>15104541492</v>
      </c>
      <c r="C21507" t="str">
        <f>"232101199503052054"</f>
        <v>232101199503052054</v>
      </c>
      <c r="D21507" t="s">
        <v>20197</v>
      </c>
      <c r="E21507" t="s">
        <v>20198</v>
      </c>
      <c r="F21507" t="s">
        <v>0</v>
      </c>
      <c r="G21507" t="str">
        <f>"2018-10-07 13:26:15"</f>
        <v>2018-10-07 13:26:15</v>
      </c>
    </row>
    <row r="21508" spans="1:7" x14ac:dyDescent="0.2">
      <c r="A21508" t="s">
        <v>20199</v>
      </c>
      <c r="B21508" t="str">
        <f>"13815498146"</f>
        <v>13815498146</v>
      </c>
      <c r="C21508" t="str">
        <f>"32118119850704747X"</f>
        <v>32118119850704747X</v>
      </c>
      <c r="D21508" t="s">
        <v>1</v>
      </c>
      <c r="E21508" t="s">
        <v>1</v>
      </c>
      <c r="F21508" t="s">
        <v>0</v>
      </c>
      <c r="G21508" t="str">
        <f>"2018-10-07 13:25:25"</f>
        <v>2018-10-07 13:25:25</v>
      </c>
    </row>
    <row r="21509" spans="1:7" x14ac:dyDescent="0.2">
      <c r="A21509" t="s">
        <v>533</v>
      </c>
      <c r="B21509" t="str">
        <f>"13253063209"</f>
        <v>13253063209</v>
      </c>
      <c r="C21509" t="str">
        <f>"410522198709015815"</f>
        <v>410522198709015815</v>
      </c>
      <c r="D21509" t="s">
        <v>1</v>
      </c>
      <c r="E21509" t="s">
        <v>1</v>
      </c>
      <c r="F21509" t="s">
        <v>0</v>
      </c>
      <c r="G21509" t="str">
        <f>"2018-10-07 13:24:32"</f>
        <v>2018-10-07 13:24:32</v>
      </c>
    </row>
    <row r="21510" spans="1:7" x14ac:dyDescent="0.2">
      <c r="A21510" t="s">
        <v>20200</v>
      </c>
      <c r="B21510" t="str">
        <f>"15952333154"</f>
        <v>15952333154</v>
      </c>
      <c r="C21510" t="str">
        <f>"320826199201213655"</f>
        <v>320826199201213655</v>
      </c>
      <c r="D21510" t="s">
        <v>1</v>
      </c>
      <c r="E21510" t="s">
        <v>1</v>
      </c>
      <c r="F21510" t="s">
        <v>0</v>
      </c>
      <c r="G21510" t="str">
        <f>"2018-10-07 13:24:58"</f>
        <v>2018-10-07 13:24:58</v>
      </c>
    </row>
    <row r="21511" spans="1:7" x14ac:dyDescent="0.2">
      <c r="A21511" t="s">
        <v>20201</v>
      </c>
      <c r="B21511" t="str">
        <f>"13951283734"</f>
        <v>13951283734</v>
      </c>
      <c r="C21511" t="str">
        <f>"321102197606290053"</f>
        <v>321102197606290053</v>
      </c>
      <c r="D21511" t="s">
        <v>1</v>
      </c>
      <c r="E21511" t="s">
        <v>1</v>
      </c>
      <c r="F21511" t="s">
        <v>0</v>
      </c>
      <c r="G21511" t="str">
        <f>"2018-10-28 19:17:42"</f>
        <v>2018-10-28 19:17:42</v>
      </c>
    </row>
    <row r="21512" spans="1:7" x14ac:dyDescent="0.2">
      <c r="A21512" t="s">
        <v>20202</v>
      </c>
      <c r="B21512" t="str">
        <f>"13276265939"</f>
        <v>13276265939</v>
      </c>
      <c r="C21512" t="str">
        <f>"342221199011091010"</f>
        <v>342221199011091010</v>
      </c>
      <c r="D21512" t="s">
        <v>1</v>
      </c>
      <c r="E21512" t="s">
        <v>1</v>
      </c>
      <c r="F21512" t="s">
        <v>0</v>
      </c>
      <c r="G21512" t="str">
        <f>"2018-10-07 13:25:13"</f>
        <v>2018-10-07 13:25:13</v>
      </c>
    </row>
    <row r="21513" spans="1:7" x14ac:dyDescent="0.2">
      <c r="A21513" t="s">
        <v>20203</v>
      </c>
      <c r="B21513" t="str">
        <f>"15859469017"</f>
        <v>15859469017</v>
      </c>
      <c r="C21513" t="str">
        <f>"362330198903094891"</f>
        <v>362330198903094891</v>
      </c>
      <c r="D21513" t="s">
        <v>1</v>
      </c>
      <c r="E21513" t="s">
        <v>1</v>
      </c>
      <c r="F21513" t="s">
        <v>0</v>
      </c>
      <c r="G21513" t="str">
        <f>"2018-10-07 13:20:54"</f>
        <v>2018-10-07 13:20:54</v>
      </c>
    </row>
    <row r="21514" spans="1:7" x14ac:dyDescent="0.2">
      <c r="A21514" t="s">
        <v>1</v>
      </c>
      <c r="B21514" t="str">
        <f>"18787749756"</f>
        <v>18787749756</v>
      </c>
      <c r="C21514" t="s">
        <v>1</v>
      </c>
      <c r="D21514" t="s">
        <v>1</v>
      </c>
      <c r="E21514" t="s">
        <v>1</v>
      </c>
      <c r="F21514" t="s">
        <v>0</v>
      </c>
      <c r="G21514" t="str">
        <f>"2018-10-07 13:22:21"</f>
        <v>2018-10-07 13:22:21</v>
      </c>
    </row>
    <row r="21515" spans="1:7" x14ac:dyDescent="0.2">
      <c r="A21515" t="s">
        <v>1</v>
      </c>
      <c r="B21515" t="str">
        <f>"13345498745"</f>
        <v>13345498745</v>
      </c>
      <c r="C21515" t="s">
        <v>1</v>
      </c>
      <c r="D21515" t="s">
        <v>1</v>
      </c>
      <c r="E21515" t="s">
        <v>1</v>
      </c>
      <c r="F21515" t="s">
        <v>0</v>
      </c>
      <c r="G21515" t="str">
        <f>"2018-10-07 13:20:30"</f>
        <v>2018-10-07 13:20:30</v>
      </c>
    </row>
    <row r="21516" spans="1:7" x14ac:dyDescent="0.2">
      <c r="A21516" t="s">
        <v>1560</v>
      </c>
      <c r="B21516" t="str">
        <f>"15864088101"</f>
        <v>15864088101</v>
      </c>
      <c r="C21516" t="str">
        <f>"370405198712071397"</f>
        <v>370405198712071397</v>
      </c>
      <c r="D21516" t="s">
        <v>20204</v>
      </c>
      <c r="E21516" t="s">
        <v>20205</v>
      </c>
      <c r="F21516" t="s">
        <v>0</v>
      </c>
      <c r="G21516" t="str">
        <f>"2018-10-07 16:38:35"</f>
        <v>2018-10-07 16:38:35</v>
      </c>
    </row>
    <row r="21517" spans="1:7" x14ac:dyDescent="0.2">
      <c r="A21517" t="s">
        <v>20206</v>
      </c>
      <c r="B21517" t="str">
        <f>"15521221785"</f>
        <v>15521221785</v>
      </c>
      <c r="C21517" t="str">
        <f>"445202199505217717"</f>
        <v>445202199505217717</v>
      </c>
      <c r="D21517" t="s">
        <v>1</v>
      </c>
      <c r="E21517" t="s">
        <v>1</v>
      </c>
      <c r="F21517" t="s">
        <v>0</v>
      </c>
      <c r="G21517" t="str">
        <f>"2018-10-07 13:20:14"</f>
        <v>2018-10-07 13:20:14</v>
      </c>
    </row>
    <row r="21518" spans="1:7" x14ac:dyDescent="0.2">
      <c r="A21518" t="s">
        <v>1193</v>
      </c>
      <c r="B21518" t="str">
        <f>"15802945795"</f>
        <v>15802945795</v>
      </c>
      <c r="C21518" t="str">
        <f>"612321198705286222"</f>
        <v>612321198705286222</v>
      </c>
      <c r="D21518" t="s">
        <v>1</v>
      </c>
      <c r="E21518" t="s">
        <v>1</v>
      </c>
      <c r="F21518" t="s">
        <v>0</v>
      </c>
      <c r="G21518" t="str">
        <f>"2018-10-07 13:23:21"</f>
        <v>2018-10-07 13:23:21</v>
      </c>
    </row>
    <row r="21519" spans="1:7" x14ac:dyDescent="0.2">
      <c r="A21519" t="s">
        <v>20207</v>
      </c>
      <c r="B21519" t="str">
        <f>"18393546840"</f>
        <v>18393546840</v>
      </c>
      <c r="C21519" t="str">
        <f>"360281198906161466"</f>
        <v>360281198906161466</v>
      </c>
      <c r="D21519" t="s">
        <v>1</v>
      </c>
      <c r="E21519" t="s">
        <v>1</v>
      </c>
      <c r="F21519" t="s">
        <v>0</v>
      </c>
      <c r="G21519" t="str">
        <f>"2018-10-10 23:34:00"</f>
        <v>2018-10-10 23:34:00</v>
      </c>
    </row>
    <row r="21520" spans="1:7" x14ac:dyDescent="0.2">
      <c r="A21520" t="s">
        <v>20208</v>
      </c>
      <c r="B21520" t="str">
        <f>"13799675642"</f>
        <v>13799675642</v>
      </c>
      <c r="C21520" t="str">
        <f>"350521199111167816"</f>
        <v>350521199111167816</v>
      </c>
      <c r="D21520" t="s">
        <v>1</v>
      </c>
      <c r="E21520" t="s">
        <v>1</v>
      </c>
      <c r="F21520" t="s">
        <v>0</v>
      </c>
      <c r="G21520" t="str">
        <f>"2018-10-07 13:25:16"</f>
        <v>2018-10-07 13:25:16</v>
      </c>
    </row>
    <row r="21521" spans="1:7" x14ac:dyDescent="0.2">
      <c r="A21521" t="s">
        <v>20209</v>
      </c>
      <c r="B21521" t="str">
        <f>"13190301183"</f>
        <v>13190301183</v>
      </c>
      <c r="C21521" t="str">
        <f>"211103197411301112"</f>
        <v>211103197411301112</v>
      </c>
      <c r="D21521" t="s">
        <v>1</v>
      </c>
      <c r="E21521" t="s">
        <v>1</v>
      </c>
      <c r="F21521" t="s">
        <v>0</v>
      </c>
      <c r="G21521" t="str">
        <f>"2018-10-07 13:20:18"</f>
        <v>2018-10-07 13:20:18</v>
      </c>
    </row>
    <row r="21522" spans="1:7" x14ac:dyDescent="0.2">
      <c r="A21522" t="s">
        <v>1</v>
      </c>
      <c r="B21522" t="str">
        <f>"15724893213"</f>
        <v>15724893213</v>
      </c>
      <c r="C21522" t="s">
        <v>1</v>
      </c>
      <c r="D21522" t="s">
        <v>1</v>
      </c>
      <c r="E21522" t="s">
        <v>1</v>
      </c>
      <c r="F21522" t="s">
        <v>0</v>
      </c>
      <c r="G21522" t="str">
        <f>"2018-10-07 13:18:43"</f>
        <v>2018-10-07 13:18:43</v>
      </c>
    </row>
    <row r="21523" spans="1:7" x14ac:dyDescent="0.2">
      <c r="A21523" t="s">
        <v>20210</v>
      </c>
      <c r="B21523" t="str">
        <f>"13514533556"</f>
        <v>13514533556</v>
      </c>
      <c r="C21523" t="str">
        <f>"231025199401202511"</f>
        <v>231025199401202511</v>
      </c>
      <c r="D21523" t="s">
        <v>1</v>
      </c>
      <c r="E21523" t="s">
        <v>1</v>
      </c>
      <c r="F21523" t="s">
        <v>0</v>
      </c>
      <c r="G21523" t="str">
        <f>"2018-10-07 13:19:42"</f>
        <v>2018-10-07 13:19:42</v>
      </c>
    </row>
    <row r="21524" spans="1:7" x14ac:dyDescent="0.2">
      <c r="A21524" t="s">
        <v>20211</v>
      </c>
      <c r="B21524" t="str">
        <f>"15327231668"</f>
        <v>15327231668</v>
      </c>
      <c r="C21524" t="str">
        <f>"420103197210234935"</f>
        <v>420103197210234935</v>
      </c>
      <c r="D21524" t="s">
        <v>1</v>
      </c>
      <c r="E21524" t="s">
        <v>1</v>
      </c>
      <c r="F21524" t="s">
        <v>0</v>
      </c>
      <c r="G21524" t="str">
        <f>"2018-10-07 14:53:20"</f>
        <v>2018-10-07 14:53:20</v>
      </c>
    </row>
    <row r="21525" spans="1:7" x14ac:dyDescent="0.2">
      <c r="A21525" t="s">
        <v>1</v>
      </c>
      <c r="B21525" t="str">
        <f>"15376788791"</f>
        <v>15376788791</v>
      </c>
      <c r="C21525" t="s">
        <v>1</v>
      </c>
      <c r="D21525" t="s">
        <v>1</v>
      </c>
      <c r="E21525" t="s">
        <v>1</v>
      </c>
      <c r="F21525" t="s">
        <v>0</v>
      </c>
      <c r="G21525" t="str">
        <f>"2018-10-07 13:19:19"</f>
        <v>2018-10-07 13:19:19</v>
      </c>
    </row>
    <row r="21526" spans="1:7" x14ac:dyDescent="0.2">
      <c r="A21526" t="s">
        <v>1</v>
      </c>
      <c r="B21526" t="str">
        <f>"13976896038"</f>
        <v>13976896038</v>
      </c>
      <c r="C21526" t="s">
        <v>1</v>
      </c>
      <c r="D21526" t="s">
        <v>1</v>
      </c>
      <c r="E21526" t="s">
        <v>1</v>
      </c>
      <c r="F21526" t="s">
        <v>0</v>
      </c>
      <c r="G21526" t="str">
        <f>"2018-10-07 13:17:29"</f>
        <v>2018-10-07 13:17:29</v>
      </c>
    </row>
    <row r="21527" spans="1:7" x14ac:dyDescent="0.2">
      <c r="A21527" t="s">
        <v>20212</v>
      </c>
      <c r="B21527" t="str">
        <f>"18017893395"</f>
        <v>18017893395</v>
      </c>
      <c r="C21527" t="str">
        <f>"310107197710180814"</f>
        <v>310107197710180814</v>
      </c>
      <c r="D21527" t="s">
        <v>20213</v>
      </c>
      <c r="E21527" t="s">
        <v>20214</v>
      </c>
      <c r="F21527" t="s">
        <v>0</v>
      </c>
      <c r="G21527" t="str">
        <f>"2018-10-07 13:19:26"</f>
        <v>2018-10-07 13:19:26</v>
      </c>
    </row>
    <row r="21528" spans="1:7" x14ac:dyDescent="0.2">
      <c r="A21528" t="s">
        <v>20215</v>
      </c>
      <c r="B21528" t="str">
        <f>"18708856569"</f>
        <v>18708856569</v>
      </c>
      <c r="C21528" t="str">
        <f>"532726199706112732"</f>
        <v>532726199706112732</v>
      </c>
      <c r="D21528" t="s">
        <v>1</v>
      </c>
      <c r="E21528" t="s">
        <v>1</v>
      </c>
      <c r="F21528" t="s">
        <v>0</v>
      </c>
      <c r="G21528" t="str">
        <f>"2018-10-07 13:26:42"</f>
        <v>2018-10-07 13:26:42</v>
      </c>
    </row>
    <row r="21529" spans="1:7" x14ac:dyDescent="0.2">
      <c r="A21529" t="s">
        <v>1</v>
      </c>
      <c r="B21529" t="str">
        <f>"18712315578"</f>
        <v>18712315578</v>
      </c>
      <c r="C21529" t="s">
        <v>1</v>
      </c>
      <c r="D21529" t="s">
        <v>1</v>
      </c>
      <c r="E21529" t="s">
        <v>1</v>
      </c>
      <c r="F21529" t="s">
        <v>0</v>
      </c>
      <c r="G21529" t="str">
        <f>"2018-10-07 13:14:59"</f>
        <v>2018-10-07 13:14:59</v>
      </c>
    </row>
    <row r="21530" spans="1:7" x14ac:dyDescent="0.2">
      <c r="A21530" t="s">
        <v>20216</v>
      </c>
      <c r="B21530" t="str">
        <f>"18787154240"</f>
        <v>18787154240</v>
      </c>
      <c r="C21530" t="str">
        <f>"530111199510076718"</f>
        <v>530111199510076718</v>
      </c>
      <c r="D21530" t="s">
        <v>20217</v>
      </c>
      <c r="E21530" t="s">
        <v>20218</v>
      </c>
      <c r="F21530" t="s">
        <v>0</v>
      </c>
      <c r="G21530" t="str">
        <f>"2018-10-07 13:14:48"</f>
        <v>2018-10-07 13:14:48</v>
      </c>
    </row>
    <row r="21531" spans="1:7" x14ac:dyDescent="0.2">
      <c r="A21531" t="s">
        <v>1</v>
      </c>
      <c r="B21531" t="str">
        <f>"18203002317"</f>
        <v>18203002317</v>
      </c>
      <c r="C21531" t="s">
        <v>1</v>
      </c>
      <c r="D21531" t="s">
        <v>1</v>
      </c>
      <c r="E21531" t="s">
        <v>1</v>
      </c>
      <c r="F21531" t="s">
        <v>0</v>
      </c>
      <c r="G21531" t="str">
        <f>"2018-10-07 13:14:37"</f>
        <v>2018-10-07 13:14:37</v>
      </c>
    </row>
    <row r="21532" spans="1:7" x14ac:dyDescent="0.2">
      <c r="A21532" t="s">
        <v>20219</v>
      </c>
      <c r="B21532" t="str">
        <f>"18286678389"</f>
        <v>18286678389</v>
      </c>
      <c r="C21532" t="str">
        <f>"522625198209220080"</f>
        <v>522625198209220080</v>
      </c>
      <c r="D21532" t="s">
        <v>1</v>
      </c>
      <c r="E21532" t="s">
        <v>1</v>
      </c>
      <c r="F21532" t="s">
        <v>0</v>
      </c>
      <c r="G21532" t="str">
        <f>"2018-10-07 13:15:39"</f>
        <v>2018-10-07 13:15:39</v>
      </c>
    </row>
    <row r="21533" spans="1:7" x14ac:dyDescent="0.2">
      <c r="A21533" t="s">
        <v>20220</v>
      </c>
      <c r="B21533" t="str">
        <f>"18111353319"</f>
        <v>18111353319</v>
      </c>
      <c r="C21533" t="str">
        <f>"510824199004154871"</f>
        <v>510824199004154871</v>
      </c>
      <c r="D21533" t="s">
        <v>20221</v>
      </c>
      <c r="E21533" t="s">
        <v>20222</v>
      </c>
      <c r="F21533" t="s">
        <v>0</v>
      </c>
      <c r="G21533" t="str">
        <f>"2018-10-07 13:16:10"</f>
        <v>2018-10-07 13:16:10</v>
      </c>
    </row>
    <row r="21534" spans="1:7" x14ac:dyDescent="0.2">
      <c r="A21534" t="s">
        <v>1826</v>
      </c>
      <c r="B21534" t="str">
        <f>"15869506105"</f>
        <v>15869506105</v>
      </c>
      <c r="C21534" t="str">
        <f>"41132719930913394X"</f>
        <v>41132719930913394X</v>
      </c>
      <c r="D21534" t="s">
        <v>1</v>
      </c>
      <c r="E21534" t="s">
        <v>1</v>
      </c>
      <c r="F21534" t="s">
        <v>0</v>
      </c>
      <c r="G21534" t="str">
        <f>"2018-10-07 13:16:18"</f>
        <v>2018-10-07 13:16:18</v>
      </c>
    </row>
    <row r="21535" spans="1:7" x14ac:dyDescent="0.2">
      <c r="A21535" t="s">
        <v>1</v>
      </c>
      <c r="B21535" t="str">
        <f>"15328935864"</f>
        <v>15328935864</v>
      </c>
      <c r="C21535" t="s">
        <v>1</v>
      </c>
      <c r="D21535" t="s">
        <v>1</v>
      </c>
      <c r="E21535" t="s">
        <v>1</v>
      </c>
      <c r="F21535" t="s">
        <v>0</v>
      </c>
      <c r="G21535" t="str">
        <f>"2018-10-07 13:10:56"</f>
        <v>2018-10-07 13:10:56</v>
      </c>
    </row>
    <row r="21536" spans="1:7" x14ac:dyDescent="0.2">
      <c r="A21536" t="s">
        <v>1</v>
      </c>
      <c r="B21536" t="str">
        <f>"18728521104"</f>
        <v>18728521104</v>
      </c>
      <c r="C21536" t="s">
        <v>1</v>
      </c>
      <c r="D21536" t="s">
        <v>1</v>
      </c>
      <c r="E21536" t="s">
        <v>1</v>
      </c>
      <c r="F21536" t="s">
        <v>0</v>
      </c>
      <c r="G21536" t="str">
        <f>"2018-10-07 13:10:52"</f>
        <v>2018-10-07 13:10:52</v>
      </c>
    </row>
    <row r="21537" spans="1:7" x14ac:dyDescent="0.2">
      <c r="A21537" t="s">
        <v>112</v>
      </c>
      <c r="B21537" t="str">
        <f>"18759381376"</f>
        <v>18759381376</v>
      </c>
      <c r="C21537" t="str">
        <f>"350981199709130039"</f>
        <v>350981199709130039</v>
      </c>
      <c r="D21537" t="s">
        <v>1</v>
      </c>
      <c r="E21537" t="s">
        <v>1</v>
      </c>
      <c r="F21537" t="s">
        <v>0</v>
      </c>
      <c r="G21537" t="str">
        <f>"2018-10-07 13:10:17"</f>
        <v>2018-10-07 13:10:17</v>
      </c>
    </row>
    <row r="21538" spans="1:7" x14ac:dyDescent="0.2">
      <c r="A21538" t="s">
        <v>20223</v>
      </c>
      <c r="B21538" t="str">
        <f>"18319279979"</f>
        <v>18319279979</v>
      </c>
      <c r="C21538" t="str">
        <f>"440823199611303918"</f>
        <v>440823199611303918</v>
      </c>
      <c r="D21538" t="s">
        <v>1</v>
      </c>
      <c r="E21538" t="s">
        <v>1</v>
      </c>
      <c r="F21538" t="s">
        <v>0</v>
      </c>
      <c r="G21538" t="str">
        <f>"2018-10-07 14:08:26"</f>
        <v>2018-10-07 14:08:26</v>
      </c>
    </row>
    <row r="21539" spans="1:7" x14ac:dyDescent="0.2">
      <c r="A21539" t="s">
        <v>1</v>
      </c>
      <c r="B21539" t="str">
        <f>"15799015571"</f>
        <v>15799015571</v>
      </c>
      <c r="C21539" t="s">
        <v>1</v>
      </c>
      <c r="D21539" t="s">
        <v>1</v>
      </c>
      <c r="E21539" t="s">
        <v>1</v>
      </c>
      <c r="F21539" t="s">
        <v>0</v>
      </c>
      <c r="G21539" t="str">
        <f>"2018-10-07 13:09:56"</f>
        <v>2018-10-07 13:09:56</v>
      </c>
    </row>
    <row r="21540" spans="1:7" x14ac:dyDescent="0.2">
      <c r="A21540" t="s">
        <v>530</v>
      </c>
      <c r="B21540" t="str">
        <f>"15035487801"</f>
        <v>15035487801</v>
      </c>
      <c r="C21540" t="str">
        <f>"142727199310090534"</f>
        <v>142727199310090534</v>
      </c>
      <c r="D21540" t="s">
        <v>1</v>
      </c>
      <c r="E21540" t="s">
        <v>1</v>
      </c>
      <c r="F21540" t="s">
        <v>0</v>
      </c>
      <c r="G21540" t="str">
        <f>"2018-10-09 16:40:41"</f>
        <v>2018-10-09 16:40:41</v>
      </c>
    </row>
    <row r="21541" spans="1:7" x14ac:dyDescent="0.2">
      <c r="A21541" t="s">
        <v>20224</v>
      </c>
      <c r="B21541" t="str">
        <f>"13500478136"</f>
        <v>13500478136</v>
      </c>
      <c r="C21541" t="str">
        <f>"210881199005134879"</f>
        <v>210881199005134879</v>
      </c>
      <c r="D21541" t="s">
        <v>1</v>
      </c>
      <c r="E21541" t="s">
        <v>1</v>
      </c>
      <c r="F21541" t="s">
        <v>0</v>
      </c>
      <c r="G21541" t="str">
        <f>"2018-10-07 14:30:14"</f>
        <v>2018-10-07 14:30:14</v>
      </c>
    </row>
    <row r="21542" spans="1:7" x14ac:dyDescent="0.2">
      <c r="A21542" t="s">
        <v>1</v>
      </c>
      <c r="B21542" t="str">
        <f>"15118841317"</f>
        <v>15118841317</v>
      </c>
      <c r="C21542" t="s">
        <v>1</v>
      </c>
      <c r="D21542" t="s">
        <v>1</v>
      </c>
      <c r="E21542" t="s">
        <v>1</v>
      </c>
      <c r="F21542" t="s">
        <v>0</v>
      </c>
      <c r="G21542" t="str">
        <f>"2018-10-07 13:09:40"</f>
        <v>2018-10-07 13:09:40</v>
      </c>
    </row>
    <row r="21543" spans="1:7" x14ac:dyDescent="0.2">
      <c r="A21543" t="s">
        <v>20225</v>
      </c>
      <c r="B21543" t="str">
        <f>"18794304863"</f>
        <v>18794304863</v>
      </c>
      <c r="C21543" t="str">
        <f>"620421198204065152"</f>
        <v>620421198204065152</v>
      </c>
      <c r="D21543" t="s">
        <v>1</v>
      </c>
      <c r="E21543" t="s">
        <v>1</v>
      </c>
      <c r="F21543" t="s">
        <v>0</v>
      </c>
      <c r="G21543" t="str">
        <f>"2018-10-07 13:07:39"</f>
        <v>2018-10-07 13:07:39</v>
      </c>
    </row>
    <row r="21544" spans="1:7" x14ac:dyDescent="0.2">
      <c r="A21544" t="s">
        <v>1</v>
      </c>
      <c r="B21544" t="str">
        <f>"17802165014"</f>
        <v>17802165014</v>
      </c>
      <c r="C21544" t="s">
        <v>1</v>
      </c>
      <c r="D21544" t="s">
        <v>1</v>
      </c>
      <c r="E21544" t="s">
        <v>1</v>
      </c>
      <c r="F21544" t="s">
        <v>0</v>
      </c>
      <c r="G21544" t="str">
        <f>"2018-10-07 13:07:28"</f>
        <v>2018-10-07 13:07:28</v>
      </c>
    </row>
    <row r="21545" spans="1:7" x14ac:dyDescent="0.2">
      <c r="A21545" t="s">
        <v>20226</v>
      </c>
      <c r="B21545" t="str">
        <f>"13457335991"</f>
        <v>13457335991</v>
      </c>
      <c r="C21545" t="str">
        <f>"450332199007211815"</f>
        <v>450332199007211815</v>
      </c>
      <c r="D21545" t="s">
        <v>1</v>
      </c>
      <c r="E21545" t="s">
        <v>1</v>
      </c>
      <c r="F21545" t="s">
        <v>0</v>
      </c>
      <c r="G21545" t="str">
        <f>"2018-10-25 18:40:02"</f>
        <v>2018-10-25 18:40:02</v>
      </c>
    </row>
    <row r="21546" spans="1:7" x14ac:dyDescent="0.2">
      <c r="A21546" t="s">
        <v>20227</v>
      </c>
      <c r="B21546" t="str">
        <f>"15665841393"</f>
        <v>15665841393</v>
      </c>
      <c r="C21546" t="str">
        <f>"37292619961006145X"</f>
        <v>37292619961006145X</v>
      </c>
      <c r="D21546" t="s">
        <v>1</v>
      </c>
      <c r="E21546" t="s">
        <v>1</v>
      </c>
      <c r="F21546" t="s">
        <v>0</v>
      </c>
      <c r="G21546" t="str">
        <f>"2018-10-07 16:58:45"</f>
        <v>2018-10-07 16:58:45</v>
      </c>
    </row>
    <row r="21547" spans="1:7" x14ac:dyDescent="0.2">
      <c r="A21547" t="s">
        <v>20228</v>
      </c>
      <c r="B21547" t="str">
        <f>"15549116666"</f>
        <v>15549116666</v>
      </c>
      <c r="C21547" t="str">
        <f>"422801198410291426"</f>
        <v>422801198410291426</v>
      </c>
      <c r="D21547" t="s">
        <v>1</v>
      </c>
      <c r="E21547" t="s">
        <v>1</v>
      </c>
      <c r="F21547" t="s">
        <v>0</v>
      </c>
      <c r="G21547" t="str">
        <f>"2018-10-07 13:07:00"</f>
        <v>2018-10-07 13:07:00</v>
      </c>
    </row>
    <row r="21548" spans="1:7" x14ac:dyDescent="0.2">
      <c r="A21548" t="s">
        <v>20229</v>
      </c>
      <c r="B21548" t="str">
        <f>"18920230055"</f>
        <v>18920230055</v>
      </c>
      <c r="C21548" t="str">
        <f>"120225199106050011"</f>
        <v>120225199106050011</v>
      </c>
      <c r="D21548" t="s">
        <v>1</v>
      </c>
      <c r="E21548" t="s">
        <v>1</v>
      </c>
      <c r="F21548" t="s">
        <v>0</v>
      </c>
      <c r="G21548" t="str">
        <f>"2018-10-07 13:09:28"</f>
        <v>2018-10-07 13:09:28</v>
      </c>
    </row>
    <row r="21549" spans="1:7" x14ac:dyDescent="0.2">
      <c r="A21549" t="s">
        <v>20230</v>
      </c>
      <c r="B21549" t="str">
        <f>"13905234755"</f>
        <v>13905234755</v>
      </c>
      <c r="C21549" t="str">
        <f>"320830197003290057"</f>
        <v>320830197003290057</v>
      </c>
      <c r="D21549" t="s">
        <v>1</v>
      </c>
      <c r="E21549" t="s">
        <v>1</v>
      </c>
      <c r="F21549" t="s">
        <v>0</v>
      </c>
      <c r="G21549" t="str">
        <f>"2018-10-07 13:09:52"</f>
        <v>2018-10-07 13:09:52</v>
      </c>
    </row>
    <row r="21550" spans="1:7" x14ac:dyDescent="0.2">
      <c r="A21550" t="s">
        <v>20231</v>
      </c>
      <c r="B21550" t="str">
        <f>"13294422255"</f>
        <v>13294422255</v>
      </c>
      <c r="C21550" t="str">
        <f>"220223196811170622"</f>
        <v>220223196811170622</v>
      </c>
      <c r="D21550" t="s">
        <v>1</v>
      </c>
      <c r="E21550" t="s">
        <v>1</v>
      </c>
      <c r="F21550" t="s">
        <v>0</v>
      </c>
      <c r="G21550" t="str">
        <f>"2018-10-07 13:08:07"</f>
        <v>2018-10-07 13:08:07</v>
      </c>
    </row>
    <row r="21551" spans="1:7" x14ac:dyDescent="0.2">
      <c r="A21551" t="s">
        <v>20232</v>
      </c>
      <c r="B21551" t="str">
        <f>"15178555683"</f>
        <v>15178555683</v>
      </c>
      <c r="C21551" t="str">
        <f>"340223198607130013"</f>
        <v>340223198607130013</v>
      </c>
      <c r="D21551" t="s">
        <v>1</v>
      </c>
      <c r="E21551" t="s">
        <v>1</v>
      </c>
      <c r="F21551" t="s">
        <v>0</v>
      </c>
      <c r="G21551" t="str">
        <f>"2018-10-07 13:09:48"</f>
        <v>2018-10-07 13:09:48</v>
      </c>
    </row>
    <row r="21552" spans="1:7" x14ac:dyDescent="0.2">
      <c r="A21552" t="s">
        <v>20233</v>
      </c>
      <c r="B21552" t="str">
        <f>"13355055881"</f>
        <v>13355055881</v>
      </c>
      <c r="C21552" t="str">
        <f>"371325198407087318"</f>
        <v>371325198407087318</v>
      </c>
      <c r="D21552" t="s">
        <v>1</v>
      </c>
      <c r="E21552" t="s">
        <v>1</v>
      </c>
      <c r="F21552" t="s">
        <v>0</v>
      </c>
      <c r="G21552" t="str">
        <f>"2018-10-08 22:10:26"</f>
        <v>2018-10-08 22:10:26</v>
      </c>
    </row>
    <row r="21553" spans="1:7" x14ac:dyDescent="0.2">
      <c r="A21553" t="s">
        <v>20234</v>
      </c>
      <c r="B21553" t="str">
        <f>"13600206551"</f>
        <v>13600206551</v>
      </c>
      <c r="C21553" t="str">
        <f>"441521199610312320"</f>
        <v>441521199610312320</v>
      </c>
      <c r="D21553" t="s">
        <v>1</v>
      </c>
      <c r="E21553" t="s">
        <v>1</v>
      </c>
      <c r="F21553" t="s">
        <v>0</v>
      </c>
      <c r="G21553" t="str">
        <f>"2018-10-07 13:26:57"</f>
        <v>2018-10-07 13:26:57</v>
      </c>
    </row>
    <row r="21554" spans="1:7" x14ac:dyDescent="0.2">
      <c r="A21554" t="s">
        <v>1</v>
      </c>
      <c r="B21554" t="str">
        <f>"17853486028"</f>
        <v>17853486028</v>
      </c>
      <c r="C21554" t="s">
        <v>1</v>
      </c>
      <c r="D21554" t="s">
        <v>1</v>
      </c>
      <c r="E21554" t="s">
        <v>1</v>
      </c>
      <c r="F21554" t="s">
        <v>0</v>
      </c>
      <c r="G21554" t="str">
        <f>"2018-10-07 13:04:00"</f>
        <v>2018-10-07 13:04:00</v>
      </c>
    </row>
    <row r="21555" spans="1:7" x14ac:dyDescent="0.2">
      <c r="A21555" t="s">
        <v>1</v>
      </c>
      <c r="B21555" t="str">
        <f>"13813862320"</f>
        <v>13813862320</v>
      </c>
      <c r="C21555" t="s">
        <v>1</v>
      </c>
      <c r="D21555" t="s">
        <v>1</v>
      </c>
      <c r="E21555" t="s">
        <v>1</v>
      </c>
      <c r="F21555" t="s">
        <v>0</v>
      </c>
      <c r="G21555" t="str">
        <f>"2018-10-07 13:03:25"</f>
        <v>2018-10-07 13:03:25</v>
      </c>
    </row>
    <row r="21556" spans="1:7" x14ac:dyDescent="0.2">
      <c r="A21556" t="s">
        <v>20235</v>
      </c>
      <c r="B21556" t="str">
        <f>"18256370575"</f>
        <v>18256370575</v>
      </c>
      <c r="C21556" t="str">
        <f>"342531198809184317"</f>
        <v>342531198809184317</v>
      </c>
      <c r="D21556" t="s">
        <v>1</v>
      </c>
      <c r="E21556" t="s">
        <v>1</v>
      </c>
      <c r="F21556" t="s">
        <v>0</v>
      </c>
      <c r="G21556" t="str">
        <f>"2018-10-07 13:03:07"</f>
        <v>2018-10-07 13:03:07</v>
      </c>
    </row>
    <row r="21557" spans="1:7" x14ac:dyDescent="0.2">
      <c r="A21557" t="s">
        <v>20236</v>
      </c>
      <c r="B21557" t="str">
        <f>"18085571778"</f>
        <v>18085571778</v>
      </c>
      <c r="C21557" t="str">
        <f>"522631198307082555"</f>
        <v>522631198307082555</v>
      </c>
      <c r="D21557" t="s">
        <v>1</v>
      </c>
      <c r="E21557" t="s">
        <v>1</v>
      </c>
      <c r="F21557" t="s">
        <v>0</v>
      </c>
      <c r="G21557" t="str">
        <f>"2018-10-07 13:07:13"</f>
        <v>2018-10-07 13:07:13</v>
      </c>
    </row>
    <row r="21558" spans="1:7" x14ac:dyDescent="0.2">
      <c r="A21558" t="s">
        <v>20237</v>
      </c>
      <c r="B21558" t="str">
        <f>"13317427889"</f>
        <v>13317427889</v>
      </c>
      <c r="C21558" t="str">
        <f>"430122197708171119"</f>
        <v>430122197708171119</v>
      </c>
      <c r="D21558" t="s">
        <v>1</v>
      </c>
      <c r="E21558" t="s">
        <v>1</v>
      </c>
      <c r="F21558" t="s">
        <v>0</v>
      </c>
      <c r="G21558" t="str">
        <f>"2018-10-07 13:05:03"</f>
        <v>2018-10-07 13:05:03</v>
      </c>
    </row>
    <row r="21559" spans="1:7" x14ac:dyDescent="0.2">
      <c r="A21559" t="s">
        <v>20238</v>
      </c>
      <c r="B21559" t="str">
        <f>"18032786052"</f>
        <v>18032786052</v>
      </c>
      <c r="C21559" t="str">
        <f>"13052819811011245X"</f>
        <v>13052819811011245X</v>
      </c>
      <c r="D21559" t="s">
        <v>20239</v>
      </c>
      <c r="E21559" t="s">
        <v>20240</v>
      </c>
      <c r="F21559" t="s">
        <v>0</v>
      </c>
      <c r="G21559" t="str">
        <f>"2018-10-07 13:02:42"</f>
        <v>2018-10-07 13:02:42</v>
      </c>
    </row>
    <row r="21560" spans="1:7" x14ac:dyDescent="0.2">
      <c r="A21560" t="s">
        <v>1</v>
      </c>
      <c r="B21560" t="str">
        <f>"17379499366"</f>
        <v>17379499366</v>
      </c>
      <c r="C21560" t="s">
        <v>1</v>
      </c>
      <c r="D21560" t="s">
        <v>1</v>
      </c>
      <c r="E21560" t="s">
        <v>1</v>
      </c>
      <c r="F21560" t="s">
        <v>0</v>
      </c>
      <c r="G21560" t="str">
        <f>"2018-10-07 13:09:31"</f>
        <v>2018-10-07 13:09:31</v>
      </c>
    </row>
    <row r="21561" spans="1:7" x14ac:dyDescent="0.2">
      <c r="A21561" t="s">
        <v>20241</v>
      </c>
      <c r="B21561" t="str">
        <f>"13514438800"</f>
        <v>13514438800</v>
      </c>
      <c r="C21561" t="str">
        <f>"222401198006230649"</f>
        <v>222401198006230649</v>
      </c>
      <c r="D21561" t="s">
        <v>1</v>
      </c>
      <c r="E21561" t="s">
        <v>1</v>
      </c>
      <c r="F21561" t="s">
        <v>0</v>
      </c>
      <c r="G21561" t="str">
        <f>"2018-10-07 13:21:11"</f>
        <v>2018-10-07 13:21:11</v>
      </c>
    </row>
    <row r="21562" spans="1:7" x14ac:dyDescent="0.2">
      <c r="A21562" t="s">
        <v>12</v>
      </c>
      <c r="B21562" t="str">
        <f>"15045634362"</f>
        <v>15045634362</v>
      </c>
      <c r="C21562" t="str">
        <f>"23010619940516321X"</f>
        <v>23010619940516321X</v>
      </c>
      <c r="D21562" t="s">
        <v>1</v>
      </c>
      <c r="E21562" t="s">
        <v>1</v>
      </c>
      <c r="F21562" t="s">
        <v>0</v>
      </c>
      <c r="G21562" t="str">
        <f>"2018-10-07 13:02:02"</f>
        <v>2018-10-07 13:02:02</v>
      </c>
    </row>
    <row r="21563" spans="1:7" x14ac:dyDescent="0.2">
      <c r="A21563" t="s">
        <v>302</v>
      </c>
      <c r="B21563" t="str">
        <f>"18151996961"</f>
        <v>18151996961</v>
      </c>
      <c r="C21563" t="str">
        <f>"320723199802285414"</f>
        <v>320723199802285414</v>
      </c>
      <c r="D21563" t="s">
        <v>1</v>
      </c>
      <c r="E21563" t="s">
        <v>1</v>
      </c>
      <c r="F21563" t="s">
        <v>0</v>
      </c>
      <c r="G21563" t="str">
        <f>"2018-10-07 13:02:25"</f>
        <v>2018-10-07 13:02:25</v>
      </c>
    </row>
    <row r="21564" spans="1:7" x14ac:dyDescent="0.2">
      <c r="A21564" t="s">
        <v>20242</v>
      </c>
      <c r="B21564" t="str">
        <f>"18126970017"</f>
        <v>18126970017</v>
      </c>
      <c r="C21564" t="str">
        <f>"511602199407040010"</f>
        <v>511602199407040010</v>
      </c>
      <c r="D21564" t="s">
        <v>20243</v>
      </c>
      <c r="E21564" t="s">
        <v>20244</v>
      </c>
      <c r="F21564" t="s">
        <v>0</v>
      </c>
      <c r="G21564" t="str">
        <f>"2018-10-07 13:02:48"</f>
        <v>2018-10-07 13:02:48</v>
      </c>
    </row>
    <row r="21565" spans="1:7" x14ac:dyDescent="0.2">
      <c r="A21565" t="s">
        <v>1</v>
      </c>
      <c r="B21565" t="str">
        <f>"18573507729"</f>
        <v>18573507729</v>
      </c>
      <c r="C21565" t="s">
        <v>1</v>
      </c>
      <c r="D21565" t="s">
        <v>1</v>
      </c>
      <c r="E21565" t="s">
        <v>1</v>
      </c>
      <c r="F21565" t="s">
        <v>0</v>
      </c>
      <c r="G21565" t="str">
        <f>"2018-10-07 12:59:43"</f>
        <v>2018-10-07 12:59:43</v>
      </c>
    </row>
    <row r="21566" spans="1:7" x14ac:dyDescent="0.2">
      <c r="A21566" t="s">
        <v>20245</v>
      </c>
      <c r="B21566" t="str">
        <f>"17768563336"</f>
        <v>17768563336</v>
      </c>
      <c r="C21566" t="str">
        <f>"321023199408260422"</f>
        <v>321023199408260422</v>
      </c>
      <c r="D21566" t="s">
        <v>1</v>
      </c>
      <c r="E21566" t="s">
        <v>1</v>
      </c>
      <c r="F21566" t="s">
        <v>0</v>
      </c>
      <c r="G21566" t="str">
        <f>"2018-10-07 13:00:22"</f>
        <v>2018-10-07 13:00:22</v>
      </c>
    </row>
    <row r="21567" spans="1:7" x14ac:dyDescent="0.2">
      <c r="A21567" t="s">
        <v>20246</v>
      </c>
      <c r="B21567" t="str">
        <f>"13736960376"</f>
        <v>13736960376</v>
      </c>
      <c r="C21567" t="str">
        <f>"330324198803260202"</f>
        <v>330324198803260202</v>
      </c>
      <c r="D21567" t="s">
        <v>20247</v>
      </c>
      <c r="E21567" t="s">
        <v>20248</v>
      </c>
      <c r="F21567" t="s">
        <v>0</v>
      </c>
      <c r="G21567" t="str">
        <f>"2018-10-07 13:00:28"</f>
        <v>2018-10-07 13:00:28</v>
      </c>
    </row>
    <row r="21568" spans="1:7" x14ac:dyDescent="0.2">
      <c r="A21568" t="s">
        <v>20249</v>
      </c>
      <c r="B21568" t="str">
        <f>"13567737039"</f>
        <v>13567737039</v>
      </c>
      <c r="C21568" t="str">
        <f>"330329199905161148"</f>
        <v>330329199905161148</v>
      </c>
      <c r="D21568" t="s">
        <v>20250</v>
      </c>
      <c r="E21568" t="s">
        <v>20251</v>
      </c>
      <c r="F21568" t="s">
        <v>0</v>
      </c>
      <c r="G21568" t="str">
        <f>"2018-10-07 13:01:49"</f>
        <v>2018-10-07 13:01:49</v>
      </c>
    </row>
    <row r="21569" spans="1:7" x14ac:dyDescent="0.2">
      <c r="A21569" t="s">
        <v>20252</v>
      </c>
      <c r="B21569" t="str">
        <f>"13232482858"</f>
        <v>13232482858</v>
      </c>
      <c r="C21569" t="str">
        <f>"445381199312062879"</f>
        <v>445381199312062879</v>
      </c>
      <c r="D21569" t="s">
        <v>20253</v>
      </c>
      <c r="E21569" t="s">
        <v>20254</v>
      </c>
      <c r="F21569" t="s">
        <v>0</v>
      </c>
      <c r="G21569" t="str">
        <f>"2018-10-07 12:59:47"</f>
        <v>2018-10-07 12:59:47</v>
      </c>
    </row>
    <row r="21570" spans="1:7" x14ac:dyDescent="0.2">
      <c r="A21570" t="s">
        <v>1</v>
      </c>
      <c r="B21570" t="str">
        <f>"13357601307"</f>
        <v>13357601307</v>
      </c>
      <c r="C21570" t="s">
        <v>1</v>
      </c>
      <c r="D21570" t="s">
        <v>1</v>
      </c>
      <c r="E21570" t="s">
        <v>1</v>
      </c>
      <c r="F21570" t="s">
        <v>0</v>
      </c>
      <c r="G21570" t="str">
        <f>"2018-10-07 12:59:07"</f>
        <v>2018-10-07 12:59:07</v>
      </c>
    </row>
    <row r="21571" spans="1:7" x14ac:dyDescent="0.2">
      <c r="A21571" t="s">
        <v>1</v>
      </c>
      <c r="B21571" t="str">
        <f>"18093794812"</f>
        <v>18093794812</v>
      </c>
      <c r="C21571" t="s">
        <v>1</v>
      </c>
      <c r="D21571" t="s">
        <v>1</v>
      </c>
      <c r="E21571" t="s">
        <v>1</v>
      </c>
      <c r="F21571" t="s">
        <v>0</v>
      </c>
      <c r="G21571" t="str">
        <f>"2018-10-07 12:59:51"</f>
        <v>2018-10-07 12:59:51</v>
      </c>
    </row>
    <row r="21572" spans="1:7" x14ac:dyDescent="0.2">
      <c r="A21572" t="s">
        <v>1</v>
      </c>
      <c r="B21572" t="str">
        <f>"15127339081"</f>
        <v>15127339081</v>
      </c>
      <c r="C21572" t="s">
        <v>1</v>
      </c>
      <c r="D21572" t="s">
        <v>1</v>
      </c>
      <c r="E21572" t="s">
        <v>1</v>
      </c>
      <c r="F21572" t="s">
        <v>0</v>
      </c>
      <c r="G21572" t="str">
        <f>"2018-10-07 12:57:33"</f>
        <v>2018-10-07 12:57:33</v>
      </c>
    </row>
    <row r="21573" spans="1:7" x14ac:dyDescent="0.2">
      <c r="A21573" t="s">
        <v>22</v>
      </c>
      <c r="B21573" t="str">
        <f>"18857782502"</f>
        <v>18857782502</v>
      </c>
      <c r="C21573" t="str">
        <f>"330326199407296016"</f>
        <v>330326199407296016</v>
      </c>
      <c r="D21573" t="s">
        <v>1</v>
      </c>
      <c r="E21573" t="s">
        <v>1</v>
      </c>
      <c r="F21573" t="s">
        <v>0</v>
      </c>
      <c r="G21573" t="str">
        <f>"2018-10-07 12:58:00"</f>
        <v>2018-10-07 12:58:00</v>
      </c>
    </row>
    <row r="21574" spans="1:7" x14ac:dyDescent="0.2">
      <c r="A21574" t="s">
        <v>1</v>
      </c>
      <c r="B21574" t="str">
        <f>"13566178712"</f>
        <v>13566178712</v>
      </c>
      <c r="C21574" t="s">
        <v>1</v>
      </c>
      <c r="D21574" t="s">
        <v>1</v>
      </c>
      <c r="E21574" t="s">
        <v>1</v>
      </c>
      <c r="F21574" t="s">
        <v>0</v>
      </c>
      <c r="G21574" t="str">
        <f>"2018-10-07 12:56:46"</f>
        <v>2018-10-07 12:56:46</v>
      </c>
    </row>
    <row r="21575" spans="1:7" x14ac:dyDescent="0.2">
      <c r="A21575" t="s">
        <v>20255</v>
      </c>
      <c r="B21575" t="str">
        <f>"15911160617"</f>
        <v>15911160617</v>
      </c>
      <c r="C21575" t="str">
        <f>"530124199601120026"</f>
        <v>530124199601120026</v>
      </c>
      <c r="D21575" t="s">
        <v>1</v>
      </c>
      <c r="E21575" t="s">
        <v>1</v>
      </c>
      <c r="F21575" t="s">
        <v>0</v>
      </c>
      <c r="G21575" t="str">
        <f>"2018-10-07 12:56:43"</f>
        <v>2018-10-07 12:56:43</v>
      </c>
    </row>
    <row r="21576" spans="1:7" x14ac:dyDescent="0.2">
      <c r="A21576" t="s">
        <v>20256</v>
      </c>
      <c r="B21576" t="str">
        <f>"17666490123"</f>
        <v>17666490123</v>
      </c>
      <c r="C21576" t="str">
        <f>"230227199508251711"</f>
        <v>230227199508251711</v>
      </c>
      <c r="D21576" t="s">
        <v>1</v>
      </c>
      <c r="E21576" t="s">
        <v>1</v>
      </c>
      <c r="F21576" t="s">
        <v>0</v>
      </c>
      <c r="G21576" t="str">
        <f>"2018-10-07 12:56:41"</f>
        <v>2018-10-07 12:56:41</v>
      </c>
    </row>
    <row r="21577" spans="1:7" x14ac:dyDescent="0.2">
      <c r="A21577" t="s">
        <v>1</v>
      </c>
      <c r="B21577" t="str">
        <f>"18093851838"</f>
        <v>18093851838</v>
      </c>
      <c r="C21577" t="s">
        <v>1</v>
      </c>
      <c r="D21577" t="s">
        <v>1</v>
      </c>
      <c r="E21577" t="s">
        <v>1</v>
      </c>
      <c r="F21577" t="s">
        <v>0</v>
      </c>
      <c r="G21577" t="str">
        <f>"2018-10-07 12:55:30"</f>
        <v>2018-10-07 12:55:30</v>
      </c>
    </row>
    <row r="21578" spans="1:7" x14ac:dyDescent="0.2">
      <c r="A21578" t="s">
        <v>1</v>
      </c>
      <c r="B21578" t="str">
        <f>"18089379969"</f>
        <v>18089379969</v>
      </c>
      <c r="C21578" t="s">
        <v>1</v>
      </c>
      <c r="D21578" t="s">
        <v>1</v>
      </c>
      <c r="E21578" t="s">
        <v>1</v>
      </c>
      <c r="F21578" t="s">
        <v>0</v>
      </c>
      <c r="G21578" t="str">
        <f>"2018-10-07 12:55:13"</f>
        <v>2018-10-07 12:55:13</v>
      </c>
    </row>
    <row r="21579" spans="1:7" x14ac:dyDescent="0.2">
      <c r="A21579" t="s">
        <v>1</v>
      </c>
      <c r="B21579" t="str">
        <f>"18982516900"</f>
        <v>18982516900</v>
      </c>
      <c r="C21579" t="s">
        <v>1</v>
      </c>
      <c r="D21579" t="s">
        <v>1</v>
      </c>
      <c r="E21579" t="s">
        <v>1</v>
      </c>
      <c r="F21579" t="s">
        <v>0</v>
      </c>
      <c r="G21579" t="str">
        <f>"2018-10-07 12:56:24"</f>
        <v>2018-10-07 12:56:24</v>
      </c>
    </row>
    <row r="21580" spans="1:7" x14ac:dyDescent="0.2">
      <c r="A21580" t="s">
        <v>1</v>
      </c>
      <c r="B21580" t="str">
        <f>"13655965513"</f>
        <v>13655965513</v>
      </c>
      <c r="C21580" t="s">
        <v>1</v>
      </c>
      <c r="D21580" t="s">
        <v>1</v>
      </c>
      <c r="E21580" t="s">
        <v>1</v>
      </c>
      <c r="F21580" t="s">
        <v>0</v>
      </c>
      <c r="G21580" t="str">
        <f>"2018-10-07 12:55:05"</f>
        <v>2018-10-07 12:55:05</v>
      </c>
    </row>
    <row r="21581" spans="1:7" x14ac:dyDescent="0.2">
      <c r="A21581" t="s">
        <v>20257</v>
      </c>
      <c r="B21581" t="str">
        <f>"13649653549"</f>
        <v>13649653549</v>
      </c>
      <c r="C21581" t="str">
        <f>"532233196709163335"</f>
        <v>532233196709163335</v>
      </c>
      <c r="D21581" t="s">
        <v>20258</v>
      </c>
      <c r="E21581" t="s">
        <v>20259</v>
      </c>
      <c r="F21581" t="s">
        <v>0</v>
      </c>
      <c r="G21581" t="str">
        <f>"2018-10-07 12:57:18"</f>
        <v>2018-10-07 12:57:18</v>
      </c>
    </row>
    <row r="21582" spans="1:7" x14ac:dyDescent="0.2">
      <c r="A21582" t="s">
        <v>20260</v>
      </c>
      <c r="B21582" t="str">
        <f>"15700309354"</f>
        <v>15700309354</v>
      </c>
      <c r="C21582" t="str">
        <f>"511602199409082310"</f>
        <v>511602199409082310</v>
      </c>
      <c r="D21582" t="s">
        <v>1</v>
      </c>
      <c r="E21582" t="s">
        <v>1</v>
      </c>
      <c r="F21582" t="s">
        <v>0</v>
      </c>
      <c r="G21582" t="str">
        <f>"2018-10-07 13:05:26"</f>
        <v>2018-10-07 13:05:26</v>
      </c>
    </row>
    <row r="21583" spans="1:7" x14ac:dyDescent="0.2">
      <c r="A21583" t="s">
        <v>1</v>
      </c>
      <c r="B21583" t="str">
        <f>"13777037881"</f>
        <v>13777037881</v>
      </c>
      <c r="C21583" t="s">
        <v>1</v>
      </c>
      <c r="D21583" t="s">
        <v>1</v>
      </c>
      <c r="E21583" t="s">
        <v>1</v>
      </c>
      <c r="F21583" t="s">
        <v>0</v>
      </c>
      <c r="G21583" t="str">
        <f>"2018-10-07 12:53:21"</f>
        <v>2018-10-07 12:53:21</v>
      </c>
    </row>
    <row r="21584" spans="1:7" x14ac:dyDescent="0.2">
      <c r="A21584" t="s">
        <v>20261</v>
      </c>
      <c r="B21584" t="str">
        <f>"13322279773"</f>
        <v>13322279773</v>
      </c>
      <c r="C21584" t="str">
        <f>"211382198910263924"</f>
        <v>211382198910263924</v>
      </c>
      <c r="D21584" t="s">
        <v>1</v>
      </c>
      <c r="E21584" t="s">
        <v>1</v>
      </c>
      <c r="F21584" t="s">
        <v>0</v>
      </c>
      <c r="G21584" t="str">
        <f>"2018-10-07 12:54:45"</f>
        <v>2018-10-07 12:54:45</v>
      </c>
    </row>
    <row r="21585" spans="1:7" x14ac:dyDescent="0.2">
      <c r="A21585" t="s">
        <v>20262</v>
      </c>
      <c r="B21585" t="str">
        <f>"15870801707"</f>
        <v>15870801707</v>
      </c>
      <c r="C21585" t="str">
        <f>"360423198612112025"</f>
        <v>360423198612112025</v>
      </c>
      <c r="D21585" t="s">
        <v>1</v>
      </c>
      <c r="E21585" t="s">
        <v>1</v>
      </c>
      <c r="F21585" t="s">
        <v>0</v>
      </c>
      <c r="G21585" t="str">
        <f>"2018-10-07 13:04:54"</f>
        <v>2018-10-07 13:04:54</v>
      </c>
    </row>
    <row r="21586" spans="1:7" x14ac:dyDescent="0.2">
      <c r="A21586" t="s">
        <v>1</v>
      </c>
      <c r="B21586" t="str">
        <f>"15319795535"</f>
        <v>15319795535</v>
      </c>
      <c r="C21586" t="s">
        <v>1</v>
      </c>
      <c r="D21586" t="s">
        <v>1</v>
      </c>
      <c r="E21586" t="s">
        <v>1</v>
      </c>
      <c r="F21586" t="s">
        <v>0</v>
      </c>
      <c r="G21586" t="str">
        <f>"2018-10-07 12:52:48"</f>
        <v>2018-10-07 12:52:48</v>
      </c>
    </row>
    <row r="21587" spans="1:7" x14ac:dyDescent="0.2">
      <c r="A21587" t="s">
        <v>20263</v>
      </c>
      <c r="B21587" t="str">
        <f>"15626663686"</f>
        <v>15626663686</v>
      </c>
      <c r="C21587" t="str">
        <f>"441802198507311410"</f>
        <v>441802198507311410</v>
      </c>
      <c r="D21587" t="s">
        <v>20264</v>
      </c>
      <c r="E21587" t="s">
        <v>20265</v>
      </c>
      <c r="F21587" t="s">
        <v>0</v>
      </c>
      <c r="G21587" t="str">
        <f>"2018-10-07 12:53:51"</f>
        <v>2018-10-07 12:53:51</v>
      </c>
    </row>
    <row r="21588" spans="1:7" x14ac:dyDescent="0.2">
      <c r="A21588" t="s">
        <v>1</v>
      </c>
      <c r="B21588" t="str">
        <f>"18048430851"</f>
        <v>18048430851</v>
      </c>
      <c r="C21588" t="s">
        <v>1</v>
      </c>
      <c r="D21588" t="s">
        <v>1</v>
      </c>
      <c r="E21588" t="s">
        <v>1</v>
      </c>
      <c r="F21588" t="s">
        <v>0</v>
      </c>
      <c r="G21588" t="str">
        <f>"2018-10-07 12:52:10"</f>
        <v>2018-10-07 12:52:10</v>
      </c>
    </row>
    <row r="21589" spans="1:7" x14ac:dyDescent="0.2">
      <c r="A21589" t="s">
        <v>1</v>
      </c>
      <c r="B21589" t="str">
        <f>"18905226333"</f>
        <v>18905226333</v>
      </c>
      <c r="C21589" t="s">
        <v>1</v>
      </c>
      <c r="D21589" t="s">
        <v>1</v>
      </c>
      <c r="E21589" t="s">
        <v>1</v>
      </c>
      <c r="F21589" t="s">
        <v>0</v>
      </c>
      <c r="G21589" t="str">
        <f>"2018-10-07 12:51:18"</f>
        <v>2018-10-07 12:51:18</v>
      </c>
    </row>
    <row r="21590" spans="1:7" x14ac:dyDescent="0.2">
      <c r="A21590" t="s">
        <v>1729</v>
      </c>
      <c r="B21590" t="str">
        <f>"15980418785"</f>
        <v>15980418785</v>
      </c>
      <c r="C21590" t="str">
        <f>"350521198705287271"</f>
        <v>350521198705287271</v>
      </c>
      <c r="D21590" t="s">
        <v>1</v>
      </c>
      <c r="E21590" t="s">
        <v>1</v>
      </c>
      <c r="F21590" t="s">
        <v>0</v>
      </c>
      <c r="G21590" t="str">
        <f>"2018-10-07 12:53:47"</f>
        <v>2018-10-07 12:53:47</v>
      </c>
    </row>
    <row r="21591" spans="1:7" x14ac:dyDescent="0.2">
      <c r="A21591" t="s">
        <v>20266</v>
      </c>
      <c r="B21591" t="str">
        <f>"13568728393"</f>
        <v>13568728393</v>
      </c>
      <c r="C21591" t="str">
        <f>"510902198404249012"</f>
        <v>510902198404249012</v>
      </c>
      <c r="D21591" t="s">
        <v>20267</v>
      </c>
      <c r="E21591" t="s">
        <v>20268</v>
      </c>
      <c r="F21591" t="s">
        <v>0</v>
      </c>
      <c r="G21591" t="str">
        <f>"2018-10-07 12:52:16"</f>
        <v>2018-10-07 12:52:16</v>
      </c>
    </row>
    <row r="21592" spans="1:7" x14ac:dyDescent="0.2">
      <c r="A21592" t="s">
        <v>1</v>
      </c>
      <c r="B21592" t="str">
        <f>"13990166523"</f>
        <v>13990166523</v>
      </c>
      <c r="C21592" t="s">
        <v>1</v>
      </c>
      <c r="D21592" t="s">
        <v>1</v>
      </c>
      <c r="E21592" t="s">
        <v>1</v>
      </c>
      <c r="F21592" t="s">
        <v>0</v>
      </c>
      <c r="G21592" t="str">
        <f>"2018-10-07 12:50:44"</f>
        <v>2018-10-07 12:50:44</v>
      </c>
    </row>
    <row r="21593" spans="1:7" x14ac:dyDescent="0.2">
      <c r="A21593" t="s">
        <v>311</v>
      </c>
      <c r="B21593" t="str">
        <f>"18774520896"</f>
        <v>18774520896</v>
      </c>
      <c r="C21593" t="str">
        <f>"430821199501180617"</f>
        <v>430821199501180617</v>
      </c>
      <c r="D21593" t="s">
        <v>1</v>
      </c>
      <c r="E21593" t="s">
        <v>1</v>
      </c>
      <c r="F21593" t="s">
        <v>0</v>
      </c>
      <c r="G21593" t="str">
        <f>"2018-10-07 12:53:24"</f>
        <v>2018-10-07 12:53:24</v>
      </c>
    </row>
    <row r="21594" spans="1:7" x14ac:dyDescent="0.2">
      <c r="A21594" t="s">
        <v>922</v>
      </c>
      <c r="B21594" t="str">
        <f>"17692307784"</f>
        <v>17692307784</v>
      </c>
      <c r="C21594" t="str">
        <f>"130705199212281896"</f>
        <v>130705199212281896</v>
      </c>
      <c r="D21594" t="s">
        <v>1</v>
      </c>
      <c r="E21594" t="s">
        <v>1</v>
      </c>
      <c r="F21594" t="s">
        <v>0</v>
      </c>
      <c r="G21594" t="str">
        <f>"2018-10-07 12:52:08"</f>
        <v>2018-10-07 12:52:08</v>
      </c>
    </row>
    <row r="21595" spans="1:7" x14ac:dyDescent="0.2">
      <c r="A21595" t="s">
        <v>20269</v>
      </c>
      <c r="B21595" t="str">
        <f>"15206372349"</f>
        <v>15206372349</v>
      </c>
      <c r="C21595" t="str">
        <f>"370827199211121813"</f>
        <v>370827199211121813</v>
      </c>
      <c r="D21595" t="s">
        <v>1</v>
      </c>
      <c r="E21595" t="s">
        <v>1</v>
      </c>
      <c r="F21595" t="s">
        <v>0</v>
      </c>
      <c r="G21595" t="str">
        <f>"2018-10-07 12:53:10"</f>
        <v>2018-10-07 12:53:10</v>
      </c>
    </row>
    <row r="21596" spans="1:7" x14ac:dyDescent="0.2">
      <c r="A21596" t="s">
        <v>20270</v>
      </c>
      <c r="B21596" t="str">
        <f>"18959082792"</f>
        <v>18959082792</v>
      </c>
      <c r="C21596" t="str">
        <f>"350626198606040035"</f>
        <v>350626198606040035</v>
      </c>
      <c r="D21596" t="s">
        <v>1</v>
      </c>
      <c r="E21596" t="s">
        <v>1</v>
      </c>
      <c r="F21596" t="s">
        <v>0</v>
      </c>
      <c r="G21596" t="str">
        <f>"2018-10-07 12:53:06"</f>
        <v>2018-10-07 12:53:06</v>
      </c>
    </row>
    <row r="21597" spans="1:7" x14ac:dyDescent="0.2">
      <c r="A21597" t="s">
        <v>20271</v>
      </c>
      <c r="B21597" t="str">
        <f>"18275123424"</f>
        <v>18275123424</v>
      </c>
      <c r="C21597" t="str">
        <f>"522128199407171116"</f>
        <v>522128199407171116</v>
      </c>
      <c r="D21597" t="s">
        <v>1</v>
      </c>
      <c r="E21597" t="s">
        <v>1</v>
      </c>
      <c r="F21597" t="s">
        <v>0</v>
      </c>
      <c r="G21597" t="str">
        <f>"2018-10-07 12:53:46"</f>
        <v>2018-10-07 12:53:46</v>
      </c>
    </row>
    <row r="21598" spans="1:7" x14ac:dyDescent="0.2">
      <c r="A21598" t="s">
        <v>20272</v>
      </c>
      <c r="B21598" t="str">
        <f>"15569672801"</f>
        <v>15569672801</v>
      </c>
      <c r="C21598" t="str">
        <f>"622727198912125319"</f>
        <v>622727198912125319</v>
      </c>
      <c r="D21598" t="s">
        <v>1</v>
      </c>
      <c r="E21598" t="s">
        <v>1</v>
      </c>
      <c r="F21598" t="s">
        <v>0</v>
      </c>
      <c r="G21598" t="str">
        <f>"2018-10-07 12:49:29"</f>
        <v>2018-10-07 12:49:29</v>
      </c>
    </row>
    <row r="21599" spans="1:7" x14ac:dyDescent="0.2">
      <c r="A21599" t="s">
        <v>20273</v>
      </c>
      <c r="B21599" t="str">
        <f>"18820329246"</f>
        <v>18820329246</v>
      </c>
      <c r="C21599" t="str">
        <f>"513021199311277222"</f>
        <v>513021199311277222</v>
      </c>
      <c r="D21599" t="s">
        <v>1</v>
      </c>
      <c r="E21599" t="s">
        <v>1</v>
      </c>
      <c r="F21599" t="s">
        <v>0</v>
      </c>
      <c r="G21599" t="str">
        <f>"2018-10-07 12:50:42"</f>
        <v>2018-10-07 12:50:42</v>
      </c>
    </row>
    <row r="21600" spans="1:7" x14ac:dyDescent="0.2">
      <c r="A21600" t="s">
        <v>20274</v>
      </c>
      <c r="B21600" t="str">
        <f>"18288502457"</f>
        <v>18288502457</v>
      </c>
      <c r="C21600" t="str">
        <f>"533025199708022120"</f>
        <v>533025199708022120</v>
      </c>
      <c r="D21600" t="s">
        <v>20275</v>
      </c>
      <c r="E21600" t="s">
        <v>20276</v>
      </c>
      <c r="F21600" t="s">
        <v>0</v>
      </c>
      <c r="G21600" t="str">
        <f>"2018-10-07 14:32:23"</f>
        <v>2018-10-07 14:32:23</v>
      </c>
    </row>
    <row r="21601" spans="1:7" x14ac:dyDescent="0.2">
      <c r="A21601" t="s">
        <v>20277</v>
      </c>
      <c r="B21601" t="str">
        <f>"18942875206"</f>
        <v>18942875206</v>
      </c>
      <c r="C21601" t="str">
        <f>"513101197907265813"</f>
        <v>513101197907265813</v>
      </c>
      <c r="D21601" t="s">
        <v>1</v>
      </c>
      <c r="E21601" t="s">
        <v>1</v>
      </c>
      <c r="F21601" t="s">
        <v>0</v>
      </c>
      <c r="G21601" t="str">
        <f>"2018-10-08 19:41:38"</f>
        <v>2018-10-08 19:41:38</v>
      </c>
    </row>
    <row r="21602" spans="1:7" x14ac:dyDescent="0.2">
      <c r="A21602" t="s">
        <v>20278</v>
      </c>
      <c r="B21602" t="str">
        <f>"13523568492"</f>
        <v>13523568492</v>
      </c>
      <c r="C21602" t="str">
        <f>"412701197809222519"</f>
        <v>412701197809222519</v>
      </c>
      <c r="D21602" t="s">
        <v>1</v>
      </c>
      <c r="E21602" t="s">
        <v>1</v>
      </c>
      <c r="F21602" t="s">
        <v>0</v>
      </c>
      <c r="G21602" t="str">
        <f>"2018-10-23 14:18:24"</f>
        <v>2018-10-23 14:18:24</v>
      </c>
    </row>
    <row r="21603" spans="1:7" x14ac:dyDescent="0.2">
      <c r="A21603" t="s">
        <v>1</v>
      </c>
      <c r="B21603" t="str">
        <f>"13967060506"</f>
        <v>13967060506</v>
      </c>
      <c r="C21603" t="s">
        <v>1</v>
      </c>
      <c r="D21603" t="s">
        <v>1</v>
      </c>
      <c r="E21603" t="s">
        <v>1</v>
      </c>
      <c r="F21603" t="s">
        <v>0</v>
      </c>
      <c r="G21603" t="str">
        <f>"2018-10-07 12:49:52"</f>
        <v>2018-10-07 12:49:52</v>
      </c>
    </row>
    <row r="21604" spans="1:7" x14ac:dyDescent="0.2">
      <c r="A21604" t="s">
        <v>1</v>
      </c>
      <c r="B21604" t="str">
        <f>"15208253932"</f>
        <v>15208253932</v>
      </c>
      <c r="C21604" t="s">
        <v>1</v>
      </c>
      <c r="D21604" t="s">
        <v>1</v>
      </c>
      <c r="E21604" t="s">
        <v>1</v>
      </c>
      <c r="F21604" t="s">
        <v>0</v>
      </c>
      <c r="G21604" t="str">
        <f>"2018-10-07 12:47:49"</f>
        <v>2018-10-07 12:47:49</v>
      </c>
    </row>
    <row r="21605" spans="1:7" x14ac:dyDescent="0.2">
      <c r="A21605" t="s">
        <v>20279</v>
      </c>
      <c r="B21605" t="str">
        <f>"13155251589"</f>
        <v>13155251589</v>
      </c>
      <c r="C21605" t="str">
        <f>"340303198910201216"</f>
        <v>340303198910201216</v>
      </c>
      <c r="D21605" t="s">
        <v>1</v>
      </c>
      <c r="E21605" t="s">
        <v>1</v>
      </c>
      <c r="F21605" t="s">
        <v>0</v>
      </c>
      <c r="G21605" t="str">
        <f>"2018-10-07 12:51:09"</f>
        <v>2018-10-07 12:51:09</v>
      </c>
    </row>
    <row r="21606" spans="1:7" x14ac:dyDescent="0.2">
      <c r="A21606" t="s">
        <v>1</v>
      </c>
      <c r="B21606" t="str">
        <f>"13617247009"</f>
        <v>13617247009</v>
      </c>
      <c r="C21606" t="s">
        <v>1</v>
      </c>
      <c r="D21606" t="s">
        <v>1</v>
      </c>
      <c r="E21606" t="s">
        <v>1</v>
      </c>
      <c r="F21606" t="s">
        <v>0</v>
      </c>
      <c r="G21606" t="str">
        <f>"2018-10-07 12:47:15"</f>
        <v>2018-10-07 12:47:15</v>
      </c>
    </row>
    <row r="21607" spans="1:7" x14ac:dyDescent="0.2">
      <c r="A21607" t="s">
        <v>1</v>
      </c>
      <c r="B21607" t="str">
        <f>"15885526053"</f>
        <v>15885526053</v>
      </c>
      <c r="C21607" t="s">
        <v>1</v>
      </c>
      <c r="D21607" t="s">
        <v>1</v>
      </c>
      <c r="E21607" t="s">
        <v>1</v>
      </c>
      <c r="F21607" t="s">
        <v>0</v>
      </c>
      <c r="G21607" t="str">
        <f>"2018-10-07 12:47:09"</f>
        <v>2018-10-07 12:47:09</v>
      </c>
    </row>
    <row r="21608" spans="1:7" x14ac:dyDescent="0.2">
      <c r="A21608" t="s">
        <v>729</v>
      </c>
      <c r="B21608" t="str">
        <f>"13987239214"</f>
        <v>13987239214</v>
      </c>
      <c r="C21608" t="str">
        <f>"532931198907250338"</f>
        <v>532931198907250338</v>
      </c>
      <c r="D21608" t="s">
        <v>1</v>
      </c>
      <c r="E21608" t="s">
        <v>1</v>
      </c>
      <c r="F21608" t="s">
        <v>0</v>
      </c>
      <c r="G21608" t="str">
        <f>"2018-10-07 12:57:52"</f>
        <v>2018-10-07 12:57:52</v>
      </c>
    </row>
    <row r="21609" spans="1:7" x14ac:dyDescent="0.2">
      <c r="A21609" t="s">
        <v>20280</v>
      </c>
      <c r="B21609" t="str">
        <f>"18100828610"</f>
        <v>18100828610</v>
      </c>
      <c r="C21609" t="str">
        <f>"511321199101108476"</f>
        <v>511321199101108476</v>
      </c>
      <c r="D21609" t="s">
        <v>1</v>
      </c>
      <c r="E21609" t="s">
        <v>1</v>
      </c>
      <c r="F21609" t="s">
        <v>0</v>
      </c>
      <c r="G21609" t="str">
        <f>"2018-10-07 12:48:04"</f>
        <v>2018-10-07 12:48:04</v>
      </c>
    </row>
    <row r="21610" spans="1:7" x14ac:dyDescent="0.2">
      <c r="A21610" t="s">
        <v>1</v>
      </c>
      <c r="B21610" t="str">
        <f>"13333010330"</f>
        <v>13333010330</v>
      </c>
      <c r="C21610" t="s">
        <v>1</v>
      </c>
      <c r="D21610" t="s">
        <v>1</v>
      </c>
      <c r="E21610" t="s">
        <v>1</v>
      </c>
      <c r="F21610" t="s">
        <v>0</v>
      </c>
      <c r="G21610" t="str">
        <f>"2018-10-07 12:47:10"</f>
        <v>2018-10-07 12:47:10</v>
      </c>
    </row>
    <row r="21611" spans="1:7" x14ac:dyDescent="0.2">
      <c r="A21611" t="s">
        <v>20281</v>
      </c>
      <c r="B21611" t="str">
        <f>"18691838728"</f>
        <v>18691838728</v>
      </c>
      <c r="C21611" t="str">
        <f>"612526197609180071"</f>
        <v>612526197609180071</v>
      </c>
      <c r="D21611" t="s">
        <v>20282</v>
      </c>
      <c r="E21611" t="s">
        <v>20283</v>
      </c>
      <c r="F21611" t="s">
        <v>0</v>
      </c>
      <c r="G21611" t="str">
        <f>"2018-10-07 12:48:23"</f>
        <v>2018-10-07 12:48:23</v>
      </c>
    </row>
    <row r="21612" spans="1:7" x14ac:dyDescent="0.2">
      <c r="A21612" t="s">
        <v>823</v>
      </c>
      <c r="B21612" t="str">
        <f>"15893163839"</f>
        <v>15893163839</v>
      </c>
      <c r="C21612" t="str">
        <f>"412829197803250019"</f>
        <v>412829197803250019</v>
      </c>
      <c r="D21612" t="s">
        <v>1</v>
      </c>
      <c r="E21612" t="s">
        <v>1</v>
      </c>
      <c r="F21612" t="s">
        <v>0</v>
      </c>
      <c r="G21612" t="str">
        <f>"2018-10-07 12:48:02"</f>
        <v>2018-10-07 12:48:02</v>
      </c>
    </row>
    <row r="21613" spans="1:7" x14ac:dyDescent="0.2">
      <c r="A21613" t="s">
        <v>94</v>
      </c>
      <c r="B21613" t="str">
        <f>"18757508866"</f>
        <v>18757508866</v>
      </c>
      <c r="C21613" t="str">
        <f>"330681198501228390"</f>
        <v>330681198501228390</v>
      </c>
      <c r="D21613" t="s">
        <v>1</v>
      </c>
      <c r="E21613" t="s">
        <v>1</v>
      </c>
      <c r="F21613" t="s">
        <v>0</v>
      </c>
      <c r="G21613" t="str">
        <f>"2018-10-07 12:46:19"</f>
        <v>2018-10-07 12:46:19</v>
      </c>
    </row>
    <row r="21614" spans="1:7" x14ac:dyDescent="0.2">
      <c r="A21614" t="s">
        <v>1</v>
      </c>
      <c r="B21614" t="str">
        <f>"18058099259"</f>
        <v>18058099259</v>
      </c>
      <c r="C21614" t="s">
        <v>1</v>
      </c>
      <c r="D21614" t="s">
        <v>1</v>
      </c>
      <c r="E21614" t="s">
        <v>1</v>
      </c>
      <c r="F21614" t="s">
        <v>0</v>
      </c>
      <c r="G21614" t="str">
        <f>"2018-10-07 13:26:10"</f>
        <v>2018-10-07 13:26:10</v>
      </c>
    </row>
    <row r="21615" spans="1:7" x14ac:dyDescent="0.2">
      <c r="A21615" t="s">
        <v>1161</v>
      </c>
      <c r="B21615" t="str">
        <f>"18643628989"</f>
        <v>18643628989</v>
      </c>
      <c r="C21615" t="str">
        <f>"220821199607104525"</f>
        <v>220821199607104525</v>
      </c>
      <c r="D21615" t="s">
        <v>1</v>
      </c>
      <c r="E21615" t="s">
        <v>1</v>
      </c>
      <c r="F21615" t="s">
        <v>0</v>
      </c>
      <c r="G21615" t="str">
        <f>"2018-10-07 12:44:49"</f>
        <v>2018-10-07 12:44:49</v>
      </c>
    </row>
    <row r="21616" spans="1:7" x14ac:dyDescent="0.2">
      <c r="A21616" t="s">
        <v>1</v>
      </c>
      <c r="B21616" t="str">
        <f>"13026946476"</f>
        <v>13026946476</v>
      </c>
      <c r="C21616" t="s">
        <v>1</v>
      </c>
      <c r="D21616" t="s">
        <v>1</v>
      </c>
      <c r="E21616" t="s">
        <v>1</v>
      </c>
      <c r="F21616" t="s">
        <v>0</v>
      </c>
      <c r="G21616" t="str">
        <f>"2018-10-07 12:43:14"</f>
        <v>2018-10-07 12:43:14</v>
      </c>
    </row>
    <row r="21617" spans="1:7" x14ac:dyDescent="0.2">
      <c r="A21617" t="s">
        <v>20284</v>
      </c>
      <c r="B21617" t="str">
        <f>"15087067381"</f>
        <v>15087067381</v>
      </c>
      <c r="C21617" t="str">
        <f>"532130198301010014"</f>
        <v>532130198301010014</v>
      </c>
      <c r="D21617" t="s">
        <v>1</v>
      </c>
      <c r="E21617" t="s">
        <v>1</v>
      </c>
      <c r="F21617" t="s">
        <v>0</v>
      </c>
      <c r="G21617" t="str">
        <f>"2018-10-09 14:45:24"</f>
        <v>2018-10-09 14:45:24</v>
      </c>
    </row>
    <row r="21618" spans="1:7" x14ac:dyDescent="0.2">
      <c r="A21618" t="s">
        <v>20285</v>
      </c>
      <c r="B21618" t="str">
        <f>"13801508703"</f>
        <v>13801508703</v>
      </c>
      <c r="C21618" t="str">
        <f>"32048319890428571X"</f>
        <v>32048319890428571X</v>
      </c>
      <c r="D21618" t="s">
        <v>1</v>
      </c>
      <c r="E21618" t="s">
        <v>1</v>
      </c>
      <c r="F21618" t="s">
        <v>0</v>
      </c>
      <c r="G21618" t="str">
        <f>"2018-10-07 12:42:11"</f>
        <v>2018-10-07 12:42:11</v>
      </c>
    </row>
    <row r="21619" spans="1:7" x14ac:dyDescent="0.2">
      <c r="A21619" t="s">
        <v>1</v>
      </c>
      <c r="B21619" t="str">
        <f>"15566382803"</f>
        <v>15566382803</v>
      </c>
      <c r="C21619" t="s">
        <v>1</v>
      </c>
      <c r="D21619" t="s">
        <v>1</v>
      </c>
      <c r="E21619" t="s">
        <v>1</v>
      </c>
      <c r="F21619" t="s">
        <v>0</v>
      </c>
      <c r="G21619" t="str">
        <f>"2018-10-07 12:41:53"</f>
        <v>2018-10-07 12:41:53</v>
      </c>
    </row>
    <row r="21620" spans="1:7" x14ac:dyDescent="0.2">
      <c r="A21620" t="s">
        <v>1</v>
      </c>
      <c r="B21620" t="str">
        <f>"13279403405"</f>
        <v>13279403405</v>
      </c>
      <c r="C21620" t="s">
        <v>1</v>
      </c>
      <c r="D21620" t="s">
        <v>1</v>
      </c>
      <c r="E21620" t="s">
        <v>1</v>
      </c>
      <c r="F21620" t="s">
        <v>0</v>
      </c>
      <c r="G21620" t="str">
        <f>"2018-10-07 12:41:20"</f>
        <v>2018-10-07 12:41:20</v>
      </c>
    </row>
    <row r="21621" spans="1:7" x14ac:dyDescent="0.2">
      <c r="A21621" t="s">
        <v>1</v>
      </c>
      <c r="B21621" t="str">
        <f>"13990847409"</f>
        <v>13990847409</v>
      </c>
      <c r="C21621" t="s">
        <v>1</v>
      </c>
      <c r="D21621" t="s">
        <v>1</v>
      </c>
      <c r="E21621" t="s">
        <v>1</v>
      </c>
      <c r="F21621" t="s">
        <v>0</v>
      </c>
      <c r="G21621" t="str">
        <f>"2018-10-07 12:40:42"</f>
        <v>2018-10-07 12:40:42</v>
      </c>
    </row>
    <row r="21622" spans="1:7" x14ac:dyDescent="0.2">
      <c r="A21622" t="s">
        <v>20286</v>
      </c>
      <c r="B21622" t="str">
        <f>"18180040322"</f>
        <v>18180040322</v>
      </c>
      <c r="C21622" t="str">
        <f>"513821199503227469"</f>
        <v>513821199503227469</v>
      </c>
      <c r="D21622" t="s">
        <v>20287</v>
      </c>
      <c r="E21622" t="s">
        <v>20288</v>
      </c>
      <c r="F21622" t="s">
        <v>0</v>
      </c>
      <c r="G21622" t="str">
        <f>"2018-10-25 09:13:34"</f>
        <v>2018-10-25 09:13:34</v>
      </c>
    </row>
    <row r="21623" spans="1:7" x14ac:dyDescent="0.2">
      <c r="A21623" t="s">
        <v>1</v>
      </c>
      <c r="B21623" t="str">
        <f>"18932201597"</f>
        <v>18932201597</v>
      </c>
      <c r="C21623" t="s">
        <v>1</v>
      </c>
      <c r="D21623" t="s">
        <v>1</v>
      </c>
      <c r="E21623" t="s">
        <v>1</v>
      </c>
      <c r="F21623" t="s">
        <v>0</v>
      </c>
      <c r="G21623" t="str">
        <f>"2018-10-07 12:40:39"</f>
        <v>2018-10-07 12:40:39</v>
      </c>
    </row>
    <row r="21624" spans="1:7" x14ac:dyDescent="0.2">
      <c r="A21624" t="s">
        <v>20289</v>
      </c>
      <c r="B21624" t="str">
        <f>"13546277210"</f>
        <v>13546277210</v>
      </c>
      <c r="C21624" t="str">
        <f>"142322198607214552"</f>
        <v>142322198607214552</v>
      </c>
      <c r="D21624" t="s">
        <v>1</v>
      </c>
      <c r="E21624" t="s">
        <v>1</v>
      </c>
      <c r="F21624" t="s">
        <v>0</v>
      </c>
      <c r="G21624" t="str">
        <f>"2018-10-07 13:23:39"</f>
        <v>2018-10-07 13:23:39</v>
      </c>
    </row>
    <row r="21625" spans="1:7" x14ac:dyDescent="0.2">
      <c r="A21625" t="s">
        <v>20290</v>
      </c>
      <c r="B21625" t="str">
        <f>"17512013178"</f>
        <v>17512013178</v>
      </c>
      <c r="C21625" t="str">
        <f>"440921199508034257"</f>
        <v>440921199508034257</v>
      </c>
      <c r="D21625" t="s">
        <v>1</v>
      </c>
      <c r="E21625" t="s">
        <v>1</v>
      </c>
      <c r="F21625" t="s">
        <v>0</v>
      </c>
      <c r="G21625" t="str">
        <f>"2018-10-31 23:54:14"</f>
        <v>2018-10-31 23:54:14</v>
      </c>
    </row>
    <row r="21626" spans="1:7" x14ac:dyDescent="0.2">
      <c r="A21626" t="s">
        <v>1</v>
      </c>
      <c r="B21626" t="str">
        <f>"18905592098"</f>
        <v>18905592098</v>
      </c>
      <c r="C21626" t="s">
        <v>1</v>
      </c>
      <c r="D21626" t="s">
        <v>1</v>
      </c>
      <c r="E21626" t="s">
        <v>1</v>
      </c>
      <c r="F21626" t="s">
        <v>0</v>
      </c>
      <c r="G21626" t="str">
        <f>"2018-10-07 12:40:14"</f>
        <v>2018-10-07 12:40:14</v>
      </c>
    </row>
    <row r="21627" spans="1:7" x14ac:dyDescent="0.2">
      <c r="A21627" t="s">
        <v>20291</v>
      </c>
      <c r="B21627" t="str">
        <f>"18878415379"</f>
        <v>18878415379</v>
      </c>
      <c r="C21627" t="str">
        <f>"452228198605165019"</f>
        <v>452228198605165019</v>
      </c>
      <c r="D21627" t="s">
        <v>1</v>
      </c>
      <c r="E21627" t="s">
        <v>1</v>
      </c>
      <c r="F21627" t="s">
        <v>0</v>
      </c>
      <c r="G21627" t="str">
        <f>"2018-10-07 12:42:05"</f>
        <v>2018-10-07 12:42:05</v>
      </c>
    </row>
    <row r="21628" spans="1:7" x14ac:dyDescent="0.2">
      <c r="A21628" t="s">
        <v>1</v>
      </c>
      <c r="B21628" t="str">
        <f>"15770479255"</f>
        <v>15770479255</v>
      </c>
      <c r="C21628" t="s">
        <v>1</v>
      </c>
      <c r="D21628" t="s">
        <v>1</v>
      </c>
      <c r="E21628" t="s">
        <v>1</v>
      </c>
      <c r="F21628" t="s">
        <v>0</v>
      </c>
      <c r="G21628" t="str">
        <f>"2018-10-07 12:42:11"</f>
        <v>2018-10-07 12:42:11</v>
      </c>
    </row>
    <row r="21629" spans="1:7" x14ac:dyDescent="0.2">
      <c r="A21629" t="s">
        <v>1</v>
      </c>
      <c r="B21629" t="str">
        <f>"15177478287"</f>
        <v>15177478287</v>
      </c>
      <c r="C21629" t="s">
        <v>1</v>
      </c>
      <c r="D21629" t="s">
        <v>1</v>
      </c>
      <c r="E21629" t="s">
        <v>1</v>
      </c>
      <c r="F21629" t="s">
        <v>0</v>
      </c>
      <c r="G21629" t="str">
        <f>"2018-10-07 12:38:56"</f>
        <v>2018-10-07 12:38:56</v>
      </c>
    </row>
    <row r="21630" spans="1:7" x14ac:dyDescent="0.2">
      <c r="A21630" t="s">
        <v>1</v>
      </c>
      <c r="B21630" t="str">
        <f>"18176445165"</f>
        <v>18176445165</v>
      </c>
      <c r="C21630" t="s">
        <v>1</v>
      </c>
      <c r="D21630" t="s">
        <v>1</v>
      </c>
      <c r="E21630" t="s">
        <v>1</v>
      </c>
      <c r="F21630" t="s">
        <v>0</v>
      </c>
      <c r="G21630" t="str">
        <f>"2018-10-07 12:38:24"</f>
        <v>2018-10-07 12:38:24</v>
      </c>
    </row>
    <row r="21631" spans="1:7" x14ac:dyDescent="0.2">
      <c r="A21631" t="s">
        <v>1</v>
      </c>
      <c r="B21631" t="str">
        <f>"15152345986"</f>
        <v>15152345986</v>
      </c>
      <c r="C21631" t="s">
        <v>1</v>
      </c>
      <c r="D21631" t="s">
        <v>1</v>
      </c>
      <c r="E21631" t="s">
        <v>1</v>
      </c>
      <c r="F21631" t="s">
        <v>0</v>
      </c>
      <c r="G21631" t="str">
        <f>"2018-10-07 12:38:12"</f>
        <v>2018-10-07 12:38:12</v>
      </c>
    </row>
    <row r="21632" spans="1:7" x14ac:dyDescent="0.2">
      <c r="A21632" t="s">
        <v>1</v>
      </c>
      <c r="B21632" t="str">
        <f>"15872321728"</f>
        <v>15872321728</v>
      </c>
      <c r="C21632" t="s">
        <v>1</v>
      </c>
      <c r="D21632" t="s">
        <v>1</v>
      </c>
      <c r="E21632" t="s">
        <v>1</v>
      </c>
      <c r="F21632" t="s">
        <v>0</v>
      </c>
      <c r="G21632" t="str">
        <f>"2018-10-07 12:37:43"</f>
        <v>2018-10-07 12:37:43</v>
      </c>
    </row>
    <row r="21633" spans="1:7" x14ac:dyDescent="0.2">
      <c r="A21633" t="s">
        <v>20292</v>
      </c>
      <c r="B21633" t="str">
        <f>"18938662480"</f>
        <v>18938662480</v>
      </c>
      <c r="C21633" t="str">
        <f>"440301198107013313"</f>
        <v>440301198107013313</v>
      </c>
      <c r="D21633" t="s">
        <v>20293</v>
      </c>
      <c r="E21633" t="s">
        <v>20294</v>
      </c>
      <c r="F21633" t="s">
        <v>0</v>
      </c>
      <c r="G21633" t="str">
        <f>"2018-10-26 12:18:35"</f>
        <v>2018-10-26 12:18:35</v>
      </c>
    </row>
    <row r="21634" spans="1:7" x14ac:dyDescent="0.2">
      <c r="A21634" t="s">
        <v>20295</v>
      </c>
      <c r="B21634" t="str">
        <f>"15035953854"</f>
        <v>15035953854</v>
      </c>
      <c r="C21634" t="str">
        <f>"142731198905040923"</f>
        <v>142731198905040923</v>
      </c>
      <c r="D21634" t="s">
        <v>1</v>
      </c>
      <c r="E21634" t="s">
        <v>1</v>
      </c>
      <c r="F21634" t="s">
        <v>0</v>
      </c>
      <c r="G21634" t="str">
        <f>"2018-10-07 12:38:56"</f>
        <v>2018-10-07 12:38:56</v>
      </c>
    </row>
    <row r="21635" spans="1:7" x14ac:dyDescent="0.2">
      <c r="A21635" t="s">
        <v>20296</v>
      </c>
      <c r="B21635" t="str">
        <f>"15225589899"</f>
        <v>15225589899</v>
      </c>
      <c r="C21635" t="str">
        <f>"410322198909297713"</f>
        <v>410322198909297713</v>
      </c>
      <c r="D21635" t="s">
        <v>20297</v>
      </c>
      <c r="E21635" t="s">
        <v>20298</v>
      </c>
      <c r="F21635" t="s">
        <v>0</v>
      </c>
      <c r="G21635" t="str">
        <f>"2018-10-07 12:37:55"</f>
        <v>2018-10-07 12:37:55</v>
      </c>
    </row>
    <row r="21636" spans="1:7" x14ac:dyDescent="0.2">
      <c r="A21636" t="s">
        <v>1</v>
      </c>
      <c r="B21636" t="str">
        <f>"13209434009"</f>
        <v>13209434009</v>
      </c>
      <c r="C21636" t="s">
        <v>1</v>
      </c>
      <c r="D21636" t="s">
        <v>1</v>
      </c>
      <c r="E21636" t="s">
        <v>1</v>
      </c>
      <c r="F21636" t="s">
        <v>0</v>
      </c>
      <c r="G21636" t="str">
        <f>"2018-10-07 12:35:22"</f>
        <v>2018-10-07 12:35:22</v>
      </c>
    </row>
    <row r="21637" spans="1:7" x14ac:dyDescent="0.2">
      <c r="A21637" t="s">
        <v>20299</v>
      </c>
      <c r="B21637" t="str">
        <f>"13358329550"</f>
        <v>13358329550</v>
      </c>
      <c r="C21637" t="str">
        <f>"350627199805204531"</f>
        <v>350627199805204531</v>
      </c>
      <c r="D21637" t="s">
        <v>1</v>
      </c>
      <c r="E21637" t="s">
        <v>1</v>
      </c>
      <c r="F21637" t="s">
        <v>0</v>
      </c>
      <c r="G21637" t="str">
        <f>"2018-10-07 12:36:22"</f>
        <v>2018-10-07 12:36:22</v>
      </c>
    </row>
    <row r="21638" spans="1:7" x14ac:dyDescent="0.2">
      <c r="A21638" t="s">
        <v>1</v>
      </c>
      <c r="B21638" t="str">
        <f>"13145723145"</f>
        <v>13145723145</v>
      </c>
      <c r="C21638" t="s">
        <v>1</v>
      </c>
      <c r="D21638" t="s">
        <v>1</v>
      </c>
      <c r="E21638" t="s">
        <v>1</v>
      </c>
      <c r="F21638" t="s">
        <v>0</v>
      </c>
      <c r="G21638" t="str">
        <f>"2018-10-07 12:35:05"</f>
        <v>2018-10-07 12:35:05</v>
      </c>
    </row>
    <row r="21639" spans="1:7" x14ac:dyDescent="0.2">
      <c r="A21639" t="s">
        <v>728</v>
      </c>
      <c r="B21639" t="str">
        <f>"18628167322"</f>
        <v>18628167322</v>
      </c>
      <c r="C21639" t="str">
        <f>"420106197703221218"</f>
        <v>420106197703221218</v>
      </c>
      <c r="D21639" t="s">
        <v>1</v>
      </c>
      <c r="E21639" t="s">
        <v>1</v>
      </c>
      <c r="F21639" t="s">
        <v>0</v>
      </c>
      <c r="G21639" t="str">
        <f>"2018-10-07 12:35:19"</f>
        <v>2018-10-07 12:35:19</v>
      </c>
    </row>
    <row r="21640" spans="1:7" x14ac:dyDescent="0.2">
      <c r="A21640" t="s">
        <v>705</v>
      </c>
      <c r="B21640" t="str">
        <f>"17355029888"</f>
        <v>17355029888</v>
      </c>
      <c r="C21640" t="str">
        <f>"341181199408202436"</f>
        <v>341181199408202436</v>
      </c>
      <c r="D21640" t="s">
        <v>1</v>
      </c>
      <c r="E21640" t="s">
        <v>1</v>
      </c>
      <c r="F21640" t="s">
        <v>0</v>
      </c>
      <c r="G21640" t="str">
        <f>"2018-10-07 12:36:56"</f>
        <v>2018-10-07 12:36:56</v>
      </c>
    </row>
    <row r="21641" spans="1:7" x14ac:dyDescent="0.2">
      <c r="A21641" t="s">
        <v>20300</v>
      </c>
      <c r="B21641" t="str">
        <f>"18899196723"</f>
        <v>18899196723</v>
      </c>
      <c r="C21641" t="str">
        <f>"654221198507230029"</f>
        <v>654221198507230029</v>
      </c>
      <c r="D21641" t="s">
        <v>1</v>
      </c>
      <c r="E21641" t="s">
        <v>1</v>
      </c>
      <c r="F21641" t="s">
        <v>0</v>
      </c>
      <c r="G21641" t="str">
        <f>"2018-10-07 12:34:30"</f>
        <v>2018-10-07 12:34:30</v>
      </c>
    </row>
    <row r="21642" spans="1:7" x14ac:dyDescent="0.2">
      <c r="A21642" t="s">
        <v>1</v>
      </c>
      <c r="B21642" t="str">
        <f>"13936960799"</f>
        <v>13936960799</v>
      </c>
      <c r="C21642" t="s">
        <v>1</v>
      </c>
      <c r="D21642" t="s">
        <v>1</v>
      </c>
      <c r="E21642" t="s">
        <v>1</v>
      </c>
      <c r="F21642" t="s">
        <v>0</v>
      </c>
      <c r="G21642" t="str">
        <f>"2018-10-07 12:34:01"</f>
        <v>2018-10-07 12:34:01</v>
      </c>
    </row>
    <row r="21643" spans="1:7" x14ac:dyDescent="0.2">
      <c r="A21643" t="s">
        <v>445</v>
      </c>
      <c r="B21643" t="str">
        <f>"18595168922"</f>
        <v>18595168922</v>
      </c>
      <c r="C21643" t="str">
        <f>"640121199709221116"</f>
        <v>640121199709221116</v>
      </c>
      <c r="D21643" t="s">
        <v>1</v>
      </c>
      <c r="E21643" t="s">
        <v>1</v>
      </c>
      <c r="F21643" t="s">
        <v>0</v>
      </c>
      <c r="G21643" t="str">
        <f>"2018-10-07 12:35:08"</f>
        <v>2018-10-07 12:35:08</v>
      </c>
    </row>
    <row r="21644" spans="1:7" x14ac:dyDescent="0.2">
      <c r="A21644" t="s">
        <v>1</v>
      </c>
      <c r="B21644" t="str">
        <f>"13047887496"</f>
        <v>13047887496</v>
      </c>
      <c r="C21644" t="s">
        <v>1</v>
      </c>
      <c r="D21644" t="s">
        <v>1</v>
      </c>
      <c r="E21644" t="s">
        <v>1</v>
      </c>
      <c r="F21644" t="s">
        <v>0</v>
      </c>
      <c r="G21644" t="str">
        <f>"2018-10-07 12:33:44"</f>
        <v>2018-10-07 12:33:44</v>
      </c>
    </row>
    <row r="21645" spans="1:7" x14ac:dyDescent="0.2">
      <c r="A21645" t="s">
        <v>1</v>
      </c>
      <c r="B21645" t="str">
        <f>"18049158481"</f>
        <v>18049158481</v>
      </c>
      <c r="C21645" t="s">
        <v>1</v>
      </c>
      <c r="D21645" t="s">
        <v>1</v>
      </c>
      <c r="E21645" t="s">
        <v>1</v>
      </c>
      <c r="F21645" t="s">
        <v>0</v>
      </c>
      <c r="G21645" t="str">
        <f>"2018-10-07 12:34:34"</f>
        <v>2018-10-07 12:34:34</v>
      </c>
    </row>
    <row r="21646" spans="1:7" x14ac:dyDescent="0.2">
      <c r="A21646" t="s">
        <v>1</v>
      </c>
      <c r="B21646" t="str">
        <f>"13004263128"</f>
        <v>13004263128</v>
      </c>
      <c r="C21646" t="s">
        <v>1</v>
      </c>
      <c r="D21646" t="s">
        <v>1</v>
      </c>
      <c r="E21646" t="s">
        <v>1</v>
      </c>
      <c r="F21646" t="s">
        <v>0</v>
      </c>
      <c r="G21646" t="str">
        <f>"2018-10-07 12:32:47"</f>
        <v>2018-10-07 12:32:47</v>
      </c>
    </row>
    <row r="21647" spans="1:7" x14ac:dyDescent="0.2">
      <c r="A21647" t="s">
        <v>20301</v>
      </c>
      <c r="B21647" t="str">
        <f>"13944902262"</f>
        <v>13944902262</v>
      </c>
      <c r="C21647" t="str">
        <f>"22018319880214027X"</f>
        <v>22018319880214027X</v>
      </c>
      <c r="D21647" t="s">
        <v>1</v>
      </c>
      <c r="E21647" t="s">
        <v>1</v>
      </c>
      <c r="F21647" t="s">
        <v>0</v>
      </c>
      <c r="G21647" t="str">
        <f>"2018-10-09 16:12:52"</f>
        <v>2018-10-09 16:12:52</v>
      </c>
    </row>
    <row r="21648" spans="1:7" x14ac:dyDescent="0.2">
      <c r="A21648" t="s">
        <v>1</v>
      </c>
      <c r="B21648" t="str">
        <f>"13414059104"</f>
        <v>13414059104</v>
      </c>
      <c r="C21648" t="s">
        <v>1</v>
      </c>
      <c r="D21648" t="s">
        <v>1</v>
      </c>
      <c r="E21648" t="s">
        <v>1</v>
      </c>
      <c r="F21648" t="s">
        <v>0</v>
      </c>
      <c r="G21648" t="str">
        <f>"2018-10-07 12:32:33"</f>
        <v>2018-10-07 12:32:33</v>
      </c>
    </row>
    <row r="21649" spans="1:7" x14ac:dyDescent="0.2">
      <c r="A21649" t="s">
        <v>5207</v>
      </c>
      <c r="B21649" t="str">
        <f>"18693557773"</f>
        <v>18693557773</v>
      </c>
      <c r="C21649" t="str">
        <f>"130683198601230338"</f>
        <v>130683198601230338</v>
      </c>
      <c r="D21649" t="s">
        <v>20302</v>
      </c>
      <c r="E21649" t="s">
        <v>20303</v>
      </c>
      <c r="F21649" t="s">
        <v>0</v>
      </c>
      <c r="G21649" t="str">
        <f>"2018-10-07 12:39:24"</f>
        <v>2018-10-07 12:39:24</v>
      </c>
    </row>
    <row r="21650" spans="1:7" x14ac:dyDescent="0.2">
      <c r="A21650" t="s">
        <v>1</v>
      </c>
      <c r="B21650" t="str">
        <f>"18299090899"</f>
        <v>18299090899</v>
      </c>
      <c r="C21650" t="s">
        <v>1</v>
      </c>
      <c r="D21650" t="s">
        <v>1</v>
      </c>
      <c r="E21650" t="s">
        <v>1</v>
      </c>
      <c r="F21650" t="s">
        <v>0</v>
      </c>
      <c r="G21650" t="str">
        <f>"2018-10-07 12:32:20"</f>
        <v>2018-10-07 12:32:20</v>
      </c>
    </row>
    <row r="21651" spans="1:7" x14ac:dyDescent="0.2">
      <c r="A21651" t="s">
        <v>20304</v>
      </c>
      <c r="B21651" t="str">
        <f>"15267232832"</f>
        <v>15267232832</v>
      </c>
      <c r="C21651" t="str">
        <f>"33102319920720141X"</f>
        <v>33102319920720141X</v>
      </c>
      <c r="D21651" t="s">
        <v>20305</v>
      </c>
      <c r="E21651" t="s">
        <v>20306</v>
      </c>
      <c r="F21651" t="s">
        <v>0</v>
      </c>
      <c r="G21651" t="str">
        <f>"2018-10-07 12:49:20"</f>
        <v>2018-10-07 12:49:20</v>
      </c>
    </row>
    <row r="21652" spans="1:7" x14ac:dyDescent="0.2">
      <c r="A21652" t="s">
        <v>20307</v>
      </c>
      <c r="B21652" t="str">
        <f>"15238355253"</f>
        <v>15238355253</v>
      </c>
      <c r="C21652" t="str">
        <f>"412726199201071210"</f>
        <v>412726199201071210</v>
      </c>
      <c r="D21652" t="s">
        <v>20308</v>
      </c>
      <c r="E21652" t="s">
        <v>20309</v>
      </c>
      <c r="F21652" t="s">
        <v>0</v>
      </c>
      <c r="G21652" t="str">
        <f>"2018-10-09 15:43:34"</f>
        <v>2018-10-09 15:43:34</v>
      </c>
    </row>
    <row r="21653" spans="1:7" x14ac:dyDescent="0.2">
      <c r="A21653" t="s">
        <v>14490</v>
      </c>
      <c r="B21653" t="str">
        <f>"15169642921"</f>
        <v>15169642921</v>
      </c>
      <c r="C21653" t="str">
        <f>"370782199611051630"</f>
        <v>370782199611051630</v>
      </c>
      <c r="D21653" t="s">
        <v>1</v>
      </c>
      <c r="E21653" t="s">
        <v>1</v>
      </c>
      <c r="F21653" t="s">
        <v>0</v>
      </c>
      <c r="G21653" t="str">
        <f>"2018-10-07 12:33:42"</f>
        <v>2018-10-07 12:33:42</v>
      </c>
    </row>
    <row r="21654" spans="1:7" x14ac:dyDescent="0.2">
      <c r="A21654" t="s">
        <v>20310</v>
      </c>
      <c r="B21654" t="str">
        <f>"18337433098"</f>
        <v>18337433098</v>
      </c>
      <c r="C21654" t="str">
        <f>"411082199011301822"</f>
        <v>411082199011301822</v>
      </c>
      <c r="D21654" t="s">
        <v>1</v>
      </c>
      <c r="E21654" t="s">
        <v>1</v>
      </c>
      <c r="F21654" t="s">
        <v>0</v>
      </c>
      <c r="G21654" t="str">
        <f>"2018-10-07 12:44:08"</f>
        <v>2018-10-07 12:44:08</v>
      </c>
    </row>
    <row r="21655" spans="1:7" x14ac:dyDescent="0.2">
      <c r="A21655" t="s">
        <v>1</v>
      </c>
      <c r="B21655" t="str">
        <f>"17763767317"</f>
        <v>17763767317</v>
      </c>
      <c r="C21655" t="s">
        <v>1</v>
      </c>
      <c r="D21655" t="s">
        <v>1</v>
      </c>
      <c r="E21655" t="s">
        <v>1</v>
      </c>
      <c r="F21655" t="s">
        <v>0</v>
      </c>
      <c r="G21655" t="str">
        <f>"2018-10-07 14:56:05"</f>
        <v>2018-10-07 14:56:05</v>
      </c>
    </row>
    <row r="21656" spans="1:7" x14ac:dyDescent="0.2">
      <c r="A21656" t="s">
        <v>20311</v>
      </c>
      <c r="B21656" t="str">
        <f>"13733376781"</f>
        <v>13733376781</v>
      </c>
      <c r="C21656" t="str">
        <f>"130625198706222410"</f>
        <v>130625198706222410</v>
      </c>
      <c r="D21656" t="s">
        <v>1</v>
      </c>
      <c r="E21656" t="s">
        <v>1</v>
      </c>
      <c r="F21656" t="s">
        <v>0</v>
      </c>
      <c r="G21656" t="str">
        <f>"2018-10-16 10:13:08"</f>
        <v>2018-10-16 10:13:08</v>
      </c>
    </row>
    <row r="21657" spans="1:7" x14ac:dyDescent="0.2">
      <c r="A21657" t="s">
        <v>20312</v>
      </c>
      <c r="B21657" t="str">
        <f>"15589563405"</f>
        <v>15589563405</v>
      </c>
      <c r="C21657" t="str">
        <f>"370611198808010028"</f>
        <v>370611198808010028</v>
      </c>
      <c r="D21657" t="s">
        <v>1</v>
      </c>
      <c r="E21657" t="s">
        <v>1</v>
      </c>
      <c r="F21657" t="s">
        <v>0</v>
      </c>
      <c r="G21657" t="str">
        <f>"2018-10-07 12:30:07"</f>
        <v>2018-10-07 12:30:07</v>
      </c>
    </row>
    <row r="21658" spans="1:7" x14ac:dyDescent="0.2">
      <c r="A21658" t="s">
        <v>1</v>
      </c>
      <c r="B21658" t="str">
        <f>"15857783193"</f>
        <v>15857783193</v>
      </c>
      <c r="C21658" t="s">
        <v>1</v>
      </c>
      <c r="D21658" t="s">
        <v>1</v>
      </c>
      <c r="E21658" t="s">
        <v>1</v>
      </c>
      <c r="F21658" t="s">
        <v>0</v>
      </c>
      <c r="G21658" t="str">
        <f>"2018-10-07 12:30:05"</f>
        <v>2018-10-07 12:30:05</v>
      </c>
    </row>
    <row r="21659" spans="1:7" x14ac:dyDescent="0.2">
      <c r="A21659" t="s">
        <v>1</v>
      </c>
      <c r="B21659" t="str">
        <f>"18943699003"</f>
        <v>18943699003</v>
      </c>
      <c r="C21659" t="s">
        <v>1</v>
      </c>
      <c r="D21659" t="s">
        <v>1</v>
      </c>
      <c r="E21659" t="s">
        <v>1</v>
      </c>
      <c r="F21659" t="s">
        <v>0</v>
      </c>
      <c r="G21659" t="str">
        <f>"2018-10-07 12:29:36"</f>
        <v>2018-10-07 12:29:36</v>
      </c>
    </row>
    <row r="21660" spans="1:7" x14ac:dyDescent="0.2">
      <c r="A21660" t="s">
        <v>20313</v>
      </c>
      <c r="B21660" t="str">
        <f>"18062042440"</f>
        <v>18062042440</v>
      </c>
      <c r="C21660" t="str">
        <f>"42010419870218121X"</f>
        <v>42010419870218121X</v>
      </c>
      <c r="D21660" t="s">
        <v>1</v>
      </c>
      <c r="E21660" t="s">
        <v>1</v>
      </c>
      <c r="F21660" t="s">
        <v>0</v>
      </c>
      <c r="G21660" t="str">
        <f>"2018-10-07 12:29:44"</f>
        <v>2018-10-07 12:29:44</v>
      </c>
    </row>
    <row r="21661" spans="1:7" x14ac:dyDescent="0.2">
      <c r="A21661" t="s">
        <v>415</v>
      </c>
      <c r="B21661" t="str">
        <f>"17311235606"</f>
        <v>17311235606</v>
      </c>
      <c r="C21661" t="str">
        <f>"211223198108162215"</f>
        <v>211223198108162215</v>
      </c>
      <c r="D21661" t="s">
        <v>1</v>
      </c>
      <c r="E21661" t="s">
        <v>1</v>
      </c>
      <c r="F21661" t="s">
        <v>0</v>
      </c>
      <c r="G21661" t="str">
        <f>"2018-10-07 12:33:57"</f>
        <v>2018-10-07 12:33:57</v>
      </c>
    </row>
    <row r="21662" spans="1:7" x14ac:dyDescent="0.2">
      <c r="A21662" t="s">
        <v>1</v>
      </c>
      <c r="B21662" t="str">
        <f>"18180668826"</f>
        <v>18180668826</v>
      </c>
      <c r="C21662" t="s">
        <v>1</v>
      </c>
      <c r="D21662" t="s">
        <v>1</v>
      </c>
      <c r="E21662" t="s">
        <v>1</v>
      </c>
      <c r="F21662" t="s">
        <v>0</v>
      </c>
      <c r="G21662" t="str">
        <f>"2018-10-07 12:31:28"</f>
        <v>2018-10-07 12:31:28</v>
      </c>
    </row>
    <row r="21663" spans="1:7" x14ac:dyDescent="0.2">
      <c r="A21663" t="s">
        <v>24</v>
      </c>
      <c r="B21663" t="str">
        <f>"17773284200"</f>
        <v>17773284200</v>
      </c>
      <c r="C21663" t="str">
        <f>"430304198401081285"</f>
        <v>430304198401081285</v>
      </c>
      <c r="D21663" t="s">
        <v>20314</v>
      </c>
      <c r="E21663" t="s">
        <v>20315</v>
      </c>
      <c r="F21663" t="s">
        <v>0</v>
      </c>
      <c r="G21663" t="str">
        <f>"2018-10-07 12:29:30"</f>
        <v>2018-10-07 12:29:30</v>
      </c>
    </row>
    <row r="21664" spans="1:7" x14ac:dyDescent="0.2">
      <c r="A21664" t="s">
        <v>20316</v>
      </c>
      <c r="B21664" t="str">
        <f>"13148880035"</f>
        <v>13148880035</v>
      </c>
      <c r="C21664" t="str">
        <f>"440921199608072939"</f>
        <v>440921199608072939</v>
      </c>
      <c r="D21664" t="s">
        <v>1</v>
      </c>
      <c r="E21664" t="s">
        <v>1</v>
      </c>
      <c r="F21664" t="s">
        <v>0</v>
      </c>
      <c r="G21664" t="str">
        <f>"2018-10-07 14:30:07"</f>
        <v>2018-10-07 14:30:07</v>
      </c>
    </row>
    <row r="21665" spans="1:7" x14ac:dyDescent="0.2">
      <c r="A21665" t="s">
        <v>1</v>
      </c>
      <c r="B21665" t="str">
        <f>"17793624605"</f>
        <v>17793624605</v>
      </c>
      <c r="C21665" t="s">
        <v>1</v>
      </c>
      <c r="D21665" t="s">
        <v>1</v>
      </c>
      <c r="E21665" t="s">
        <v>1</v>
      </c>
      <c r="F21665" t="s">
        <v>0</v>
      </c>
      <c r="G21665" t="str">
        <f>"2018-10-07 12:29:42"</f>
        <v>2018-10-07 12:29:42</v>
      </c>
    </row>
    <row r="21666" spans="1:7" x14ac:dyDescent="0.2">
      <c r="A21666" t="s">
        <v>20317</v>
      </c>
      <c r="B21666" t="str">
        <f>"15383487033"</f>
        <v>15383487033</v>
      </c>
      <c r="C21666" t="str">
        <f>"142332198907210011"</f>
        <v>142332198907210011</v>
      </c>
      <c r="D21666" t="s">
        <v>1</v>
      </c>
      <c r="E21666" t="s">
        <v>1</v>
      </c>
      <c r="F21666" t="s">
        <v>0</v>
      </c>
      <c r="G21666" t="str">
        <f>"2018-10-07 16:13:33"</f>
        <v>2018-10-07 16:13:33</v>
      </c>
    </row>
    <row r="21667" spans="1:7" x14ac:dyDescent="0.2">
      <c r="A21667" t="s">
        <v>1</v>
      </c>
      <c r="B21667" t="str">
        <f>"18684170843"</f>
        <v>18684170843</v>
      </c>
      <c r="C21667" t="s">
        <v>1</v>
      </c>
      <c r="D21667" t="s">
        <v>1</v>
      </c>
      <c r="E21667" t="s">
        <v>1</v>
      </c>
      <c r="F21667" t="s">
        <v>0</v>
      </c>
      <c r="G21667" t="str">
        <f>"2018-10-07 12:28:54"</f>
        <v>2018-10-07 12:28:54</v>
      </c>
    </row>
    <row r="21668" spans="1:7" x14ac:dyDescent="0.2">
      <c r="A21668" t="s">
        <v>193</v>
      </c>
      <c r="B21668" t="str">
        <f>"18160589056"</f>
        <v>18160589056</v>
      </c>
      <c r="C21668" t="str">
        <f>"622101198804180736"</f>
        <v>622101198804180736</v>
      </c>
      <c r="D21668" t="s">
        <v>20318</v>
      </c>
      <c r="E21668" t="s">
        <v>20319</v>
      </c>
      <c r="F21668" t="s">
        <v>0</v>
      </c>
      <c r="G21668" t="str">
        <f>"2018-10-07 12:26:41"</f>
        <v>2018-10-07 12:26:41</v>
      </c>
    </row>
    <row r="21669" spans="1:7" x14ac:dyDescent="0.2">
      <c r="A21669" t="s">
        <v>216</v>
      </c>
      <c r="B21669" t="str">
        <f>"15951437778"</f>
        <v>15951437778</v>
      </c>
      <c r="C21669" t="str">
        <f>"321023198801270411"</f>
        <v>321023198801270411</v>
      </c>
      <c r="D21669" t="s">
        <v>20320</v>
      </c>
      <c r="E21669" t="s">
        <v>20321</v>
      </c>
      <c r="F21669" t="s">
        <v>0</v>
      </c>
      <c r="G21669" t="str">
        <f>"2018-10-08 17:58:36"</f>
        <v>2018-10-08 17:58:36</v>
      </c>
    </row>
    <row r="21670" spans="1:7" x14ac:dyDescent="0.2">
      <c r="A21670" t="s">
        <v>1</v>
      </c>
      <c r="B21670" t="str">
        <f>"18042497891"</f>
        <v>18042497891</v>
      </c>
      <c r="C21670" t="s">
        <v>1</v>
      </c>
      <c r="D21670" t="s">
        <v>1</v>
      </c>
      <c r="E21670" t="s">
        <v>1</v>
      </c>
      <c r="F21670" t="s">
        <v>0</v>
      </c>
      <c r="G21670" t="str">
        <f>"2018-10-07 12:26:25"</f>
        <v>2018-10-07 12:26:25</v>
      </c>
    </row>
    <row r="21671" spans="1:7" x14ac:dyDescent="0.2">
      <c r="A21671" t="s">
        <v>1</v>
      </c>
      <c r="B21671" t="str">
        <f>"13610831141"</f>
        <v>13610831141</v>
      </c>
      <c r="C21671" t="s">
        <v>1</v>
      </c>
      <c r="D21671" t="s">
        <v>1</v>
      </c>
      <c r="E21671" t="s">
        <v>1</v>
      </c>
      <c r="F21671" t="s">
        <v>0</v>
      </c>
      <c r="G21671" t="str">
        <f>"2018-10-07 12:25:00"</f>
        <v>2018-10-07 12:25:00</v>
      </c>
    </row>
    <row r="21672" spans="1:7" x14ac:dyDescent="0.2">
      <c r="A21672" t="s">
        <v>1379</v>
      </c>
      <c r="B21672" t="str">
        <f>"15020268959"</f>
        <v>15020268959</v>
      </c>
      <c r="C21672" t="str">
        <f>"372929199807063626"</f>
        <v>372929199807063626</v>
      </c>
      <c r="D21672" t="s">
        <v>1</v>
      </c>
      <c r="E21672" t="s">
        <v>1</v>
      </c>
      <c r="F21672" t="s">
        <v>0</v>
      </c>
      <c r="G21672" t="str">
        <f>"2018-10-07 12:26:19"</f>
        <v>2018-10-07 12:26:19</v>
      </c>
    </row>
    <row r="21673" spans="1:7" x14ac:dyDescent="0.2">
      <c r="A21673" t="s">
        <v>1</v>
      </c>
      <c r="B21673" t="str">
        <f>"13229721613"</f>
        <v>13229721613</v>
      </c>
      <c r="C21673" t="s">
        <v>1</v>
      </c>
      <c r="D21673" t="s">
        <v>1</v>
      </c>
      <c r="E21673" t="s">
        <v>1</v>
      </c>
      <c r="F21673" t="s">
        <v>0</v>
      </c>
      <c r="G21673" t="str">
        <f>"2018-10-07 12:24:13"</f>
        <v>2018-10-07 12:24:13</v>
      </c>
    </row>
    <row r="21674" spans="1:7" x14ac:dyDescent="0.2">
      <c r="A21674" t="s">
        <v>1</v>
      </c>
      <c r="B21674" t="str">
        <f>"18023759198"</f>
        <v>18023759198</v>
      </c>
      <c r="C21674" t="s">
        <v>1</v>
      </c>
      <c r="D21674" t="s">
        <v>1</v>
      </c>
      <c r="E21674" t="s">
        <v>1</v>
      </c>
      <c r="F21674" t="s">
        <v>0</v>
      </c>
      <c r="G21674" t="str">
        <f>"2018-10-07 12:24:05"</f>
        <v>2018-10-07 12:24:05</v>
      </c>
    </row>
    <row r="21675" spans="1:7" x14ac:dyDescent="0.2">
      <c r="A21675" t="s">
        <v>1</v>
      </c>
      <c r="B21675" t="str">
        <f>"18349997719"</f>
        <v>18349997719</v>
      </c>
      <c r="C21675" t="s">
        <v>1</v>
      </c>
      <c r="D21675" t="s">
        <v>1</v>
      </c>
      <c r="E21675" t="s">
        <v>1</v>
      </c>
      <c r="F21675" t="s">
        <v>0</v>
      </c>
      <c r="G21675" t="str">
        <f>"2018-10-07 12:23:39"</f>
        <v>2018-10-07 12:23:39</v>
      </c>
    </row>
    <row r="21676" spans="1:7" x14ac:dyDescent="0.2">
      <c r="A21676" t="s">
        <v>20322</v>
      </c>
      <c r="B21676" t="str">
        <f>"13664743335"</f>
        <v>13664743335</v>
      </c>
      <c r="C21676" t="str">
        <f>"150103198401301132"</f>
        <v>150103198401301132</v>
      </c>
      <c r="D21676" t="s">
        <v>1</v>
      </c>
      <c r="E21676" t="s">
        <v>1</v>
      </c>
      <c r="F21676" t="s">
        <v>0</v>
      </c>
      <c r="G21676" t="str">
        <f>"2018-10-09 16:33:53"</f>
        <v>2018-10-09 16:33:53</v>
      </c>
    </row>
    <row r="21677" spans="1:7" x14ac:dyDescent="0.2">
      <c r="A21677" t="s">
        <v>20323</v>
      </c>
      <c r="B21677" t="str">
        <f>"18106598351"</f>
        <v>18106598351</v>
      </c>
      <c r="C21677" t="str">
        <f>"430524198701032932"</f>
        <v>430524198701032932</v>
      </c>
      <c r="D21677" t="s">
        <v>1</v>
      </c>
      <c r="E21677" t="s">
        <v>1</v>
      </c>
      <c r="F21677" t="s">
        <v>0</v>
      </c>
      <c r="G21677" t="str">
        <f>"2018-10-07 12:23:59"</f>
        <v>2018-10-07 12:23:59</v>
      </c>
    </row>
    <row r="21678" spans="1:7" x14ac:dyDescent="0.2">
      <c r="A21678" t="s">
        <v>1</v>
      </c>
      <c r="B21678" t="str">
        <f>"13457396179"</f>
        <v>13457396179</v>
      </c>
      <c r="C21678" t="s">
        <v>1</v>
      </c>
      <c r="D21678" t="s">
        <v>1</v>
      </c>
      <c r="E21678" t="s">
        <v>1</v>
      </c>
      <c r="F21678" t="s">
        <v>0</v>
      </c>
      <c r="G21678" t="str">
        <f>"2018-10-07 12:22:10"</f>
        <v>2018-10-07 12:22:10</v>
      </c>
    </row>
    <row r="21679" spans="1:7" x14ac:dyDescent="0.2">
      <c r="A21679" t="s">
        <v>1</v>
      </c>
      <c r="B21679" t="str">
        <f>"18157538323"</f>
        <v>18157538323</v>
      </c>
      <c r="C21679" t="s">
        <v>1</v>
      </c>
      <c r="D21679" t="s">
        <v>1</v>
      </c>
      <c r="E21679" t="s">
        <v>1</v>
      </c>
      <c r="F21679" t="s">
        <v>0</v>
      </c>
      <c r="G21679" t="str">
        <f>"2018-10-07 12:24:29"</f>
        <v>2018-10-07 12:24:29</v>
      </c>
    </row>
    <row r="21680" spans="1:7" x14ac:dyDescent="0.2">
      <c r="A21680" t="s">
        <v>20324</v>
      </c>
      <c r="B21680" t="str">
        <f>"15828823768"</f>
        <v>15828823768</v>
      </c>
      <c r="C21680" t="str">
        <f>"511002198512241212"</f>
        <v>511002198512241212</v>
      </c>
      <c r="D21680" t="s">
        <v>1</v>
      </c>
      <c r="E21680" t="s">
        <v>1</v>
      </c>
      <c r="F21680" t="s">
        <v>0</v>
      </c>
      <c r="G21680" t="str">
        <f>"2018-10-07 12:22:45"</f>
        <v>2018-10-07 12:22:45</v>
      </c>
    </row>
    <row r="21681" spans="1:7" x14ac:dyDescent="0.2">
      <c r="A21681" t="s">
        <v>1</v>
      </c>
      <c r="B21681" t="str">
        <f>"13881080428"</f>
        <v>13881080428</v>
      </c>
      <c r="C21681" t="s">
        <v>1</v>
      </c>
      <c r="D21681" t="s">
        <v>1</v>
      </c>
      <c r="E21681" t="s">
        <v>1</v>
      </c>
      <c r="F21681" t="s">
        <v>0</v>
      </c>
      <c r="G21681" t="str">
        <f>"2018-10-07 12:24:18"</f>
        <v>2018-10-07 12:24:18</v>
      </c>
    </row>
    <row r="21682" spans="1:7" x14ac:dyDescent="0.2">
      <c r="A21682" t="s">
        <v>20325</v>
      </c>
      <c r="B21682" t="str">
        <f>"15802064776"</f>
        <v>15802064776</v>
      </c>
      <c r="C21682" t="str">
        <f>"445224199306060954"</f>
        <v>445224199306060954</v>
      </c>
      <c r="D21682" t="s">
        <v>1</v>
      </c>
      <c r="E21682" t="s">
        <v>1</v>
      </c>
      <c r="F21682" t="s">
        <v>0</v>
      </c>
      <c r="G21682" t="str">
        <f>"2018-10-07 12:26:03"</f>
        <v>2018-10-07 12:26:03</v>
      </c>
    </row>
    <row r="21683" spans="1:7" x14ac:dyDescent="0.2">
      <c r="A21683" t="s">
        <v>1</v>
      </c>
      <c r="B21683" t="str">
        <f>"18717359079"</f>
        <v>18717359079</v>
      </c>
      <c r="C21683" t="s">
        <v>1</v>
      </c>
      <c r="D21683" t="s">
        <v>1</v>
      </c>
      <c r="E21683" t="s">
        <v>1</v>
      </c>
      <c r="F21683" t="s">
        <v>0</v>
      </c>
      <c r="G21683" t="str">
        <f>"2018-10-07 12:29:59"</f>
        <v>2018-10-07 12:29:59</v>
      </c>
    </row>
    <row r="21684" spans="1:7" x14ac:dyDescent="0.2">
      <c r="A21684" t="s">
        <v>987</v>
      </c>
      <c r="B21684" t="str">
        <f>"13638161680"</f>
        <v>13638161680</v>
      </c>
      <c r="C21684" t="str">
        <f>"522427199003060014"</f>
        <v>522427199003060014</v>
      </c>
      <c r="D21684" t="s">
        <v>1</v>
      </c>
      <c r="E21684" t="s">
        <v>1</v>
      </c>
      <c r="F21684" t="s">
        <v>0</v>
      </c>
      <c r="G21684" t="str">
        <f>"2018-10-15 18:06:31"</f>
        <v>2018-10-15 18:06:31</v>
      </c>
    </row>
    <row r="21685" spans="1:7" x14ac:dyDescent="0.2">
      <c r="A21685" t="s">
        <v>1050</v>
      </c>
      <c r="B21685" t="str">
        <f>"18586654681"</f>
        <v>18586654681</v>
      </c>
      <c r="C21685" t="str">
        <f>"522221199801304328"</f>
        <v>522221199801304328</v>
      </c>
      <c r="D21685" t="s">
        <v>1</v>
      </c>
      <c r="E21685" t="s">
        <v>1</v>
      </c>
      <c r="F21685" t="s">
        <v>0</v>
      </c>
      <c r="G21685" t="str">
        <f>"2018-10-07 12:22:59"</f>
        <v>2018-10-07 12:22:59</v>
      </c>
    </row>
    <row r="21686" spans="1:7" x14ac:dyDescent="0.2">
      <c r="A21686" t="s">
        <v>20326</v>
      </c>
      <c r="B21686" t="str">
        <f>"13398879180"</f>
        <v>13398879180</v>
      </c>
      <c r="C21686" t="str">
        <f>"533421199411200084"</f>
        <v>533421199411200084</v>
      </c>
      <c r="D21686" t="s">
        <v>1</v>
      </c>
      <c r="E21686" t="s">
        <v>1</v>
      </c>
      <c r="F21686" t="s">
        <v>0</v>
      </c>
      <c r="G21686" t="str">
        <f>"2018-10-07 12:20:10"</f>
        <v>2018-10-07 12:20:10</v>
      </c>
    </row>
    <row r="21687" spans="1:7" x14ac:dyDescent="0.2">
      <c r="A21687" t="s">
        <v>20327</v>
      </c>
      <c r="B21687" t="str">
        <f>"15697367379"</f>
        <v>15697367379</v>
      </c>
      <c r="C21687" t="str">
        <f>"430723198112217423"</f>
        <v>430723198112217423</v>
      </c>
      <c r="D21687" t="s">
        <v>1</v>
      </c>
      <c r="E21687" t="s">
        <v>1</v>
      </c>
      <c r="F21687" t="s">
        <v>0</v>
      </c>
      <c r="G21687" t="str">
        <f>"2018-10-07 12:18:47"</f>
        <v>2018-10-07 12:18:47</v>
      </c>
    </row>
    <row r="21688" spans="1:7" x14ac:dyDescent="0.2">
      <c r="A21688" t="s">
        <v>20328</v>
      </c>
      <c r="B21688" t="str">
        <f>"15038087856"</f>
        <v>15038087856</v>
      </c>
      <c r="C21688" t="str">
        <f>"410183199604233811"</f>
        <v>410183199604233811</v>
      </c>
      <c r="D21688" t="s">
        <v>20329</v>
      </c>
      <c r="E21688" t="s">
        <v>20330</v>
      </c>
      <c r="F21688" t="s">
        <v>0</v>
      </c>
      <c r="G21688" t="str">
        <f>"2018-10-30 20:16:37"</f>
        <v>2018-10-30 20:16:37</v>
      </c>
    </row>
    <row r="21689" spans="1:7" x14ac:dyDescent="0.2">
      <c r="A21689" t="s">
        <v>1</v>
      </c>
      <c r="B21689" t="str">
        <f>"18151613988"</f>
        <v>18151613988</v>
      </c>
      <c r="C21689" t="s">
        <v>1</v>
      </c>
      <c r="D21689" t="s">
        <v>1</v>
      </c>
      <c r="E21689" t="s">
        <v>1</v>
      </c>
      <c r="F21689" t="s">
        <v>0</v>
      </c>
      <c r="G21689" t="str">
        <f>"2018-10-07 12:19:34"</f>
        <v>2018-10-07 12:19:34</v>
      </c>
    </row>
    <row r="21690" spans="1:7" x14ac:dyDescent="0.2">
      <c r="A21690" t="s">
        <v>20331</v>
      </c>
      <c r="B21690" t="str">
        <f>"15802417501"</f>
        <v>15802417501</v>
      </c>
      <c r="C21690" t="str">
        <f>"211223199603211226"</f>
        <v>211223199603211226</v>
      </c>
      <c r="D21690" t="s">
        <v>1</v>
      </c>
      <c r="E21690" t="s">
        <v>1</v>
      </c>
      <c r="F21690" t="s">
        <v>0</v>
      </c>
      <c r="G21690" t="str">
        <f>"2018-10-07 12:18:37"</f>
        <v>2018-10-07 12:18:37</v>
      </c>
    </row>
    <row r="21691" spans="1:7" x14ac:dyDescent="0.2">
      <c r="A21691" t="s">
        <v>20332</v>
      </c>
      <c r="B21691" t="str">
        <f>"13435198799"</f>
        <v>13435198799</v>
      </c>
      <c r="C21691" t="str">
        <f>"450421199503048013"</f>
        <v>450421199503048013</v>
      </c>
      <c r="D21691" t="s">
        <v>1</v>
      </c>
      <c r="E21691" t="s">
        <v>1</v>
      </c>
      <c r="F21691" t="s">
        <v>0</v>
      </c>
      <c r="G21691" t="str">
        <f>"2018-10-07 12:19:23"</f>
        <v>2018-10-07 12:19:23</v>
      </c>
    </row>
    <row r="21692" spans="1:7" x14ac:dyDescent="0.2">
      <c r="A21692" t="s">
        <v>20333</v>
      </c>
      <c r="B21692" t="str">
        <f>"13824525017"</f>
        <v>13824525017</v>
      </c>
      <c r="C21692" t="str">
        <f>"440681198608053610"</f>
        <v>440681198608053610</v>
      </c>
      <c r="D21692" t="s">
        <v>1</v>
      </c>
      <c r="E21692" t="s">
        <v>1</v>
      </c>
      <c r="F21692" t="s">
        <v>0</v>
      </c>
      <c r="G21692" t="str">
        <f>"2018-10-07 12:25:34"</f>
        <v>2018-10-07 12:25:34</v>
      </c>
    </row>
    <row r="21693" spans="1:7" x14ac:dyDescent="0.2">
      <c r="A21693" t="s">
        <v>1</v>
      </c>
      <c r="B21693" t="str">
        <f>"18098694464"</f>
        <v>18098694464</v>
      </c>
      <c r="C21693" t="s">
        <v>1</v>
      </c>
      <c r="D21693" t="s">
        <v>1</v>
      </c>
      <c r="E21693" t="s">
        <v>1</v>
      </c>
      <c r="F21693" t="s">
        <v>0</v>
      </c>
      <c r="G21693" t="str">
        <f>"2018-10-07 12:17:16"</f>
        <v>2018-10-07 12:17:16</v>
      </c>
    </row>
    <row r="21694" spans="1:7" x14ac:dyDescent="0.2">
      <c r="A21694" t="s">
        <v>20334</v>
      </c>
      <c r="B21694" t="str">
        <f>"17797592787"</f>
        <v>17797592787</v>
      </c>
      <c r="C21694" t="str">
        <f>"62292119821201213X"</f>
        <v>62292119821201213X</v>
      </c>
      <c r="D21694" t="s">
        <v>1</v>
      </c>
      <c r="E21694" t="s">
        <v>1</v>
      </c>
      <c r="F21694" t="s">
        <v>0</v>
      </c>
      <c r="G21694" t="str">
        <f>"2018-10-07 12:19:48"</f>
        <v>2018-10-07 12:19:48</v>
      </c>
    </row>
    <row r="21695" spans="1:7" x14ac:dyDescent="0.2">
      <c r="A21695" t="s">
        <v>20335</v>
      </c>
      <c r="B21695" t="str">
        <f>"18217764407"</f>
        <v>18217764407</v>
      </c>
      <c r="C21695" t="str">
        <f>"513721199308205226"</f>
        <v>513721199308205226</v>
      </c>
      <c r="D21695" t="s">
        <v>1</v>
      </c>
      <c r="E21695" t="s">
        <v>1</v>
      </c>
      <c r="F21695" t="s">
        <v>0</v>
      </c>
      <c r="G21695" t="str">
        <f>"2018-10-07 12:17:25"</f>
        <v>2018-10-07 12:17:25</v>
      </c>
    </row>
    <row r="21696" spans="1:7" x14ac:dyDescent="0.2">
      <c r="A21696" t="s">
        <v>1</v>
      </c>
      <c r="B21696" t="str">
        <f>"18039613888"</f>
        <v>18039613888</v>
      </c>
      <c r="C21696" t="s">
        <v>1</v>
      </c>
      <c r="D21696" t="s">
        <v>1</v>
      </c>
      <c r="E21696" t="s">
        <v>1</v>
      </c>
      <c r="F21696" t="s">
        <v>0</v>
      </c>
      <c r="G21696" t="str">
        <f>"2018-10-07 12:16:44"</f>
        <v>2018-10-07 12:16:44</v>
      </c>
    </row>
    <row r="21697" spans="1:7" x14ac:dyDescent="0.2">
      <c r="A21697" t="s">
        <v>16834</v>
      </c>
      <c r="B21697" t="str">
        <f>"17600104697"</f>
        <v>17600104697</v>
      </c>
      <c r="C21697" t="str">
        <f>"211202198410062037"</f>
        <v>211202198410062037</v>
      </c>
      <c r="D21697" t="s">
        <v>1</v>
      </c>
      <c r="E21697" t="s">
        <v>1</v>
      </c>
      <c r="F21697" t="s">
        <v>0</v>
      </c>
      <c r="G21697" t="str">
        <f>"2018-10-28 22:05:09"</f>
        <v>2018-10-28 22:05:09</v>
      </c>
    </row>
    <row r="21698" spans="1:7" x14ac:dyDescent="0.2">
      <c r="A21698" t="s">
        <v>1</v>
      </c>
      <c r="B21698" t="str">
        <f>"13535340674"</f>
        <v>13535340674</v>
      </c>
      <c r="C21698" t="s">
        <v>1</v>
      </c>
      <c r="D21698" t="s">
        <v>1</v>
      </c>
      <c r="E21698" t="s">
        <v>1</v>
      </c>
      <c r="F21698" t="s">
        <v>0</v>
      </c>
      <c r="G21698" t="str">
        <f>"2018-10-07 12:15:58"</f>
        <v>2018-10-07 12:15:58</v>
      </c>
    </row>
    <row r="21699" spans="1:7" x14ac:dyDescent="0.2">
      <c r="A21699" t="s">
        <v>1</v>
      </c>
      <c r="B21699" t="str">
        <f>"18176841431"</f>
        <v>18176841431</v>
      </c>
      <c r="C21699" t="s">
        <v>1</v>
      </c>
      <c r="D21699" t="s">
        <v>1</v>
      </c>
      <c r="E21699" t="s">
        <v>1</v>
      </c>
      <c r="F21699" t="s">
        <v>0</v>
      </c>
      <c r="G21699" t="str">
        <f>"2018-10-07 12:15:46"</f>
        <v>2018-10-07 12:15:46</v>
      </c>
    </row>
    <row r="21700" spans="1:7" x14ac:dyDescent="0.2">
      <c r="A21700" t="s">
        <v>20336</v>
      </c>
      <c r="B21700" t="str">
        <f>"15616864567"</f>
        <v>15616864567</v>
      </c>
      <c r="C21700" t="str">
        <f>"231024199105202019"</f>
        <v>231024199105202019</v>
      </c>
      <c r="D21700" t="s">
        <v>1</v>
      </c>
      <c r="E21700" t="s">
        <v>1</v>
      </c>
      <c r="F21700" t="s">
        <v>0</v>
      </c>
      <c r="G21700" t="str">
        <f>"2018-10-07 12:21:40"</f>
        <v>2018-10-07 12:21:40</v>
      </c>
    </row>
    <row r="21701" spans="1:7" x14ac:dyDescent="0.2">
      <c r="A21701" t="s">
        <v>20337</v>
      </c>
      <c r="B21701" t="str">
        <f>"17687244082"</f>
        <v>17687244082</v>
      </c>
      <c r="C21701" t="str">
        <f>"450922199307104616"</f>
        <v>450922199307104616</v>
      </c>
      <c r="D21701" t="s">
        <v>20338</v>
      </c>
      <c r="E21701" t="s">
        <v>20339</v>
      </c>
      <c r="F21701" t="s">
        <v>0</v>
      </c>
      <c r="G21701" t="str">
        <f>"2018-10-07 13:36:59"</f>
        <v>2018-10-07 13:36:59</v>
      </c>
    </row>
    <row r="21702" spans="1:7" x14ac:dyDescent="0.2">
      <c r="A21702" t="s">
        <v>20340</v>
      </c>
      <c r="B21702" t="str">
        <f>"13592650580"</f>
        <v>13592650580</v>
      </c>
      <c r="C21702" t="str">
        <f>"411325198202087819"</f>
        <v>411325198202087819</v>
      </c>
      <c r="D21702" t="s">
        <v>1</v>
      </c>
      <c r="E21702" t="s">
        <v>1</v>
      </c>
      <c r="F21702" t="s">
        <v>0</v>
      </c>
      <c r="G21702" t="str">
        <f>"2018-10-15 15:17:05"</f>
        <v>2018-10-15 15:17:05</v>
      </c>
    </row>
    <row r="21703" spans="1:7" x14ac:dyDescent="0.2">
      <c r="A21703" t="s">
        <v>1</v>
      </c>
      <c r="B21703" t="str">
        <f>"13568991039"</f>
        <v>13568991039</v>
      </c>
      <c r="C21703" t="s">
        <v>1</v>
      </c>
      <c r="D21703" t="s">
        <v>1</v>
      </c>
      <c r="E21703" t="s">
        <v>1</v>
      </c>
      <c r="F21703" t="s">
        <v>0</v>
      </c>
      <c r="G21703" t="str">
        <f>"2018-10-07 12:32:25"</f>
        <v>2018-10-07 12:32:25</v>
      </c>
    </row>
    <row r="21704" spans="1:7" x14ac:dyDescent="0.2">
      <c r="A21704" t="s">
        <v>20341</v>
      </c>
      <c r="B21704" t="str">
        <f>"13980230478"</f>
        <v>13980230478</v>
      </c>
      <c r="C21704" t="str">
        <f>"511024198903090376"</f>
        <v>511024198903090376</v>
      </c>
      <c r="D21704" t="s">
        <v>1</v>
      </c>
      <c r="E21704" t="s">
        <v>1</v>
      </c>
      <c r="F21704" t="s">
        <v>0</v>
      </c>
      <c r="G21704" t="str">
        <f>"2018-10-07 12:16:05"</f>
        <v>2018-10-07 12:16:05</v>
      </c>
    </row>
    <row r="21705" spans="1:7" x14ac:dyDescent="0.2">
      <c r="A21705" t="s">
        <v>1</v>
      </c>
      <c r="B21705" t="str">
        <f>"13057841429"</f>
        <v>13057841429</v>
      </c>
      <c r="C21705" t="s">
        <v>1</v>
      </c>
      <c r="D21705" t="s">
        <v>1</v>
      </c>
      <c r="E21705" t="s">
        <v>1</v>
      </c>
      <c r="F21705" t="s">
        <v>0</v>
      </c>
      <c r="G21705" t="str">
        <f>"2018-10-07 12:14:14"</f>
        <v>2018-10-07 12:14:14</v>
      </c>
    </row>
    <row r="21706" spans="1:7" x14ac:dyDescent="0.2">
      <c r="A21706" t="s">
        <v>384</v>
      </c>
      <c r="B21706" t="str">
        <f>"13613369226"</f>
        <v>13613369226</v>
      </c>
      <c r="C21706" t="str">
        <f>"13102219940509261X"</f>
        <v>13102219940509261X</v>
      </c>
      <c r="D21706" t="s">
        <v>20342</v>
      </c>
      <c r="E21706" t="s">
        <v>20343</v>
      </c>
      <c r="F21706" t="s">
        <v>0</v>
      </c>
      <c r="G21706" t="str">
        <f>"2018-10-09 13:52:04"</f>
        <v>2018-10-09 13:52:04</v>
      </c>
    </row>
    <row r="21707" spans="1:7" x14ac:dyDescent="0.2">
      <c r="A21707" t="s">
        <v>20344</v>
      </c>
      <c r="B21707" t="str">
        <f>"13766362146"</f>
        <v>13766362146</v>
      </c>
      <c r="C21707" t="str">
        <f>"360782198310122232"</f>
        <v>360782198310122232</v>
      </c>
      <c r="D21707" t="s">
        <v>1</v>
      </c>
      <c r="E21707" t="s">
        <v>1</v>
      </c>
      <c r="F21707" t="s">
        <v>0</v>
      </c>
      <c r="G21707" t="str">
        <f>"2018-10-07 12:20:41"</f>
        <v>2018-10-07 12:20:41</v>
      </c>
    </row>
    <row r="21708" spans="1:7" x14ac:dyDescent="0.2">
      <c r="A21708" t="s">
        <v>20345</v>
      </c>
      <c r="B21708" t="str">
        <f>"18987501461"</f>
        <v>18987501461</v>
      </c>
      <c r="C21708" t="str">
        <f>"53302219980320031X"</f>
        <v>53302219980320031X</v>
      </c>
      <c r="D21708" t="s">
        <v>1</v>
      </c>
      <c r="E21708" t="s">
        <v>1</v>
      </c>
      <c r="F21708" t="s">
        <v>0</v>
      </c>
      <c r="G21708" t="str">
        <f>"2018-10-07 12:17:07"</f>
        <v>2018-10-07 12:17:07</v>
      </c>
    </row>
    <row r="21709" spans="1:7" x14ac:dyDescent="0.2">
      <c r="A21709" t="s">
        <v>1435</v>
      </c>
      <c r="B21709" t="str">
        <f>"13018961079"</f>
        <v>13018961079</v>
      </c>
      <c r="C21709" t="str">
        <f>"342626199311083315"</f>
        <v>342626199311083315</v>
      </c>
      <c r="D21709" t="s">
        <v>1</v>
      </c>
      <c r="E21709" t="s">
        <v>1</v>
      </c>
      <c r="F21709" t="s">
        <v>0</v>
      </c>
      <c r="G21709" t="str">
        <f>"2018-10-07 12:14:26"</f>
        <v>2018-10-07 12:14:26</v>
      </c>
    </row>
    <row r="21710" spans="1:7" x14ac:dyDescent="0.2">
      <c r="A21710" t="s">
        <v>20346</v>
      </c>
      <c r="B21710" t="str">
        <f>"15689757598"</f>
        <v>15689757598</v>
      </c>
      <c r="C21710" t="str">
        <f>"370802198310214810"</f>
        <v>370802198310214810</v>
      </c>
      <c r="D21710" t="s">
        <v>20347</v>
      </c>
      <c r="E21710" t="s">
        <v>20348</v>
      </c>
      <c r="F21710" t="s">
        <v>0</v>
      </c>
      <c r="G21710" t="str">
        <f>"2018-10-07 12:14:52"</f>
        <v>2018-10-07 12:14:52</v>
      </c>
    </row>
    <row r="21711" spans="1:7" x14ac:dyDescent="0.2">
      <c r="A21711" t="s">
        <v>20349</v>
      </c>
      <c r="B21711" t="str">
        <f>"13426822628"</f>
        <v>13426822628</v>
      </c>
      <c r="C21711" t="str">
        <f>"440781199306295526"</f>
        <v>440781199306295526</v>
      </c>
      <c r="D21711" t="s">
        <v>1</v>
      </c>
      <c r="E21711" t="s">
        <v>1</v>
      </c>
      <c r="F21711" t="s">
        <v>0</v>
      </c>
      <c r="G21711" t="str">
        <f>"2018-10-07 12:23:41"</f>
        <v>2018-10-07 12:23:41</v>
      </c>
    </row>
    <row r="21712" spans="1:7" x14ac:dyDescent="0.2">
      <c r="A21712" t="s">
        <v>20350</v>
      </c>
      <c r="B21712" t="str">
        <f>"15704203433"</f>
        <v>15704203433</v>
      </c>
      <c r="C21712" t="str">
        <f>"210703199211202225"</f>
        <v>210703199211202225</v>
      </c>
      <c r="D21712" t="s">
        <v>1</v>
      </c>
      <c r="E21712" t="s">
        <v>1</v>
      </c>
      <c r="F21712" t="s">
        <v>0</v>
      </c>
      <c r="G21712" t="str">
        <f>"2018-10-07 12:14:08"</f>
        <v>2018-10-07 12:14:08</v>
      </c>
    </row>
    <row r="21713" spans="1:7" x14ac:dyDescent="0.2">
      <c r="A21713" t="s">
        <v>20351</v>
      </c>
      <c r="B21713" t="str">
        <f>"15158078815"</f>
        <v>15158078815</v>
      </c>
      <c r="C21713" t="str">
        <f>"622421198907252618"</f>
        <v>622421198907252618</v>
      </c>
      <c r="D21713" t="s">
        <v>1</v>
      </c>
      <c r="E21713" t="s">
        <v>1</v>
      </c>
      <c r="F21713" t="s">
        <v>0</v>
      </c>
      <c r="G21713" t="str">
        <f>"2018-10-07 12:13:55"</f>
        <v>2018-10-07 12:13:55</v>
      </c>
    </row>
    <row r="21714" spans="1:7" x14ac:dyDescent="0.2">
      <c r="A21714" t="s">
        <v>1</v>
      </c>
      <c r="B21714" t="str">
        <f>"13321612115"</f>
        <v>13321612115</v>
      </c>
      <c r="C21714" t="s">
        <v>1</v>
      </c>
      <c r="D21714" t="s">
        <v>1</v>
      </c>
      <c r="E21714" t="s">
        <v>1</v>
      </c>
      <c r="F21714" t="s">
        <v>0</v>
      </c>
      <c r="G21714" t="str">
        <f>"2018-10-07 12:11:59"</f>
        <v>2018-10-07 12:11:59</v>
      </c>
    </row>
    <row r="21715" spans="1:7" x14ac:dyDescent="0.2">
      <c r="A21715" t="s">
        <v>20352</v>
      </c>
      <c r="B21715" t="str">
        <f>"17686935521"</f>
        <v>17686935521</v>
      </c>
      <c r="C21715" t="str">
        <f>"371324199502260711"</f>
        <v>371324199502260711</v>
      </c>
      <c r="D21715" t="s">
        <v>1</v>
      </c>
      <c r="E21715" t="s">
        <v>1</v>
      </c>
      <c r="F21715" t="s">
        <v>0</v>
      </c>
      <c r="G21715" t="str">
        <f>"2018-10-08 17:13:09"</f>
        <v>2018-10-08 17:13:09</v>
      </c>
    </row>
    <row r="21716" spans="1:7" x14ac:dyDescent="0.2">
      <c r="A21716" t="s">
        <v>1</v>
      </c>
      <c r="B21716" t="str">
        <f>"18627679524"</f>
        <v>18627679524</v>
      </c>
      <c r="C21716" t="s">
        <v>1</v>
      </c>
      <c r="D21716" t="s">
        <v>1</v>
      </c>
      <c r="E21716" t="s">
        <v>1</v>
      </c>
      <c r="F21716" t="s">
        <v>0</v>
      </c>
      <c r="G21716" t="str">
        <f>"2018-10-07 12:11:27"</f>
        <v>2018-10-07 12:11:27</v>
      </c>
    </row>
    <row r="21717" spans="1:7" x14ac:dyDescent="0.2">
      <c r="A21717" t="s">
        <v>20353</v>
      </c>
      <c r="B21717" t="str">
        <f>"15833994909"</f>
        <v>15833994909</v>
      </c>
      <c r="C21717" t="str">
        <f>"130132198812132861"</f>
        <v>130132198812132861</v>
      </c>
      <c r="D21717" t="s">
        <v>1</v>
      </c>
      <c r="E21717" t="s">
        <v>1</v>
      </c>
      <c r="F21717" t="s">
        <v>0</v>
      </c>
      <c r="G21717" t="str">
        <f>"2018-10-07 12:10:32"</f>
        <v>2018-10-07 12:10:32</v>
      </c>
    </row>
    <row r="21718" spans="1:7" x14ac:dyDescent="0.2">
      <c r="A21718" t="s">
        <v>20354</v>
      </c>
      <c r="B21718" t="str">
        <f>"18376702780"</f>
        <v>18376702780</v>
      </c>
      <c r="C21718" t="str">
        <f>"450521199211245248"</f>
        <v>450521199211245248</v>
      </c>
      <c r="D21718" t="s">
        <v>1</v>
      </c>
      <c r="E21718" t="s">
        <v>1</v>
      </c>
      <c r="F21718" t="s">
        <v>0</v>
      </c>
      <c r="G21718" t="str">
        <f>"2018-10-07 12:13:14"</f>
        <v>2018-10-07 12:13:14</v>
      </c>
    </row>
    <row r="21719" spans="1:7" x14ac:dyDescent="0.2">
      <c r="A21719" t="s">
        <v>1</v>
      </c>
      <c r="B21719" t="str">
        <f>"15809589565"</f>
        <v>15809589565</v>
      </c>
      <c r="C21719" t="s">
        <v>1</v>
      </c>
      <c r="D21719" t="s">
        <v>1</v>
      </c>
      <c r="E21719" t="s">
        <v>1</v>
      </c>
      <c r="F21719" t="s">
        <v>0</v>
      </c>
      <c r="G21719" t="str">
        <f>"2018-10-07 13:17:34"</f>
        <v>2018-10-07 13:17:34</v>
      </c>
    </row>
    <row r="21720" spans="1:7" x14ac:dyDescent="0.2">
      <c r="A21720" t="s">
        <v>1</v>
      </c>
      <c r="B21720" t="str">
        <f>"13320856297"</f>
        <v>13320856297</v>
      </c>
      <c r="C21720" t="s">
        <v>1</v>
      </c>
      <c r="D21720" t="s">
        <v>1</v>
      </c>
      <c r="E21720" t="s">
        <v>1</v>
      </c>
      <c r="F21720" t="s">
        <v>0</v>
      </c>
      <c r="G21720" t="str">
        <f>"2018-10-07 12:09:46"</f>
        <v>2018-10-07 12:09:46</v>
      </c>
    </row>
    <row r="21721" spans="1:7" x14ac:dyDescent="0.2">
      <c r="A21721" t="s">
        <v>501</v>
      </c>
      <c r="B21721" t="str">
        <f>"18721165038"</f>
        <v>18721165038</v>
      </c>
      <c r="C21721" t="str">
        <f>"340827199007112359"</f>
        <v>340827199007112359</v>
      </c>
      <c r="D21721" t="s">
        <v>20355</v>
      </c>
      <c r="E21721" t="s">
        <v>20356</v>
      </c>
      <c r="F21721" t="s">
        <v>0</v>
      </c>
      <c r="G21721" t="str">
        <f>"2018-10-11 18:20:28"</f>
        <v>2018-10-11 18:20:28</v>
      </c>
    </row>
    <row r="21722" spans="1:7" x14ac:dyDescent="0.2">
      <c r="A21722" t="s">
        <v>505</v>
      </c>
      <c r="B21722" t="str">
        <f>"18360645550"</f>
        <v>18360645550</v>
      </c>
      <c r="C21722" t="str">
        <f>"32072119930707481X"</f>
        <v>32072119930707481X</v>
      </c>
      <c r="D21722" t="s">
        <v>20357</v>
      </c>
      <c r="E21722" t="s">
        <v>20358</v>
      </c>
      <c r="F21722" t="s">
        <v>0</v>
      </c>
      <c r="G21722" t="str">
        <f>"2018-10-07 12:10:34"</f>
        <v>2018-10-07 12:10:34</v>
      </c>
    </row>
    <row r="21723" spans="1:7" x14ac:dyDescent="0.2">
      <c r="A21723" t="s">
        <v>1</v>
      </c>
      <c r="B21723" t="str">
        <f>"17351282150"</f>
        <v>17351282150</v>
      </c>
      <c r="C21723" t="s">
        <v>1</v>
      </c>
      <c r="D21723" t="s">
        <v>1</v>
      </c>
      <c r="E21723" t="s">
        <v>1</v>
      </c>
      <c r="F21723" t="s">
        <v>0</v>
      </c>
      <c r="G21723" t="str">
        <f>"2018-10-18 10:55:59"</f>
        <v>2018-10-18 10:55:59</v>
      </c>
    </row>
    <row r="21724" spans="1:7" x14ac:dyDescent="0.2">
      <c r="A21724" t="s">
        <v>20359</v>
      </c>
      <c r="B21724" t="str">
        <f>"18882865926"</f>
        <v>18882865926</v>
      </c>
      <c r="C21724" t="str">
        <f>"513424197509220020"</f>
        <v>513424197509220020</v>
      </c>
      <c r="D21724" t="s">
        <v>1</v>
      </c>
      <c r="E21724" t="s">
        <v>1</v>
      </c>
      <c r="F21724" t="s">
        <v>0</v>
      </c>
      <c r="G21724" t="str">
        <f>"2018-10-07 12:09:53"</f>
        <v>2018-10-07 12:09:53</v>
      </c>
    </row>
    <row r="21725" spans="1:7" x14ac:dyDescent="0.2">
      <c r="A21725" t="s">
        <v>20360</v>
      </c>
      <c r="B21725" t="str">
        <f>"18003138855"</f>
        <v>18003138855</v>
      </c>
      <c r="C21725" t="str">
        <f>"130730199005311817"</f>
        <v>130730199005311817</v>
      </c>
      <c r="D21725" t="s">
        <v>1</v>
      </c>
      <c r="E21725" t="s">
        <v>1</v>
      </c>
      <c r="F21725" t="s">
        <v>0</v>
      </c>
      <c r="G21725" t="str">
        <f>"2018-10-20 10:40:43"</f>
        <v>2018-10-20 10:40:43</v>
      </c>
    </row>
    <row r="21726" spans="1:7" x14ac:dyDescent="0.2">
      <c r="A21726" t="s">
        <v>20361</v>
      </c>
      <c r="B21726" t="str">
        <f>"13331020521"</f>
        <v>13331020521</v>
      </c>
      <c r="C21726" t="str">
        <f>"130927199302032710"</f>
        <v>130927199302032710</v>
      </c>
      <c r="D21726" t="s">
        <v>20362</v>
      </c>
      <c r="E21726" t="s">
        <v>20363</v>
      </c>
      <c r="F21726" t="s">
        <v>0</v>
      </c>
      <c r="G21726" t="str">
        <f>"2018-10-17 20:54:06"</f>
        <v>2018-10-17 20:54:06</v>
      </c>
    </row>
    <row r="21727" spans="1:7" x14ac:dyDescent="0.2">
      <c r="A21727" t="s">
        <v>20364</v>
      </c>
      <c r="B21727" t="str">
        <f>"18079066777"</f>
        <v>18079066777</v>
      </c>
      <c r="C21727" t="str">
        <f>"410421198605025558"</f>
        <v>410421198605025558</v>
      </c>
      <c r="D21727" t="s">
        <v>1</v>
      </c>
      <c r="E21727" t="s">
        <v>1</v>
      </c>
      <c r="F21727" t="s">
        <v>0</v>
      </c>
      <c r="G21727" t="str">
        <f>"2018-10-07 12:07:15"</f>
        <v>2018-10-07 12:07:15</v>
      </c>
    </row>
    <row r="21728" spans="1:7" x14ac:dyDescent="0.2">
      <c r="A21728" t="s">
        <v>1</v>
      </c>
      <c r="B21728" t="str">
        <f>"13893066692"</f>
        <v>13893066692</v>
      </c>
      <c r="C21728" t="s">
        <v>1</v>
      </c>
      <c r="D21728" t="s">
        <v>1</v>
      </c>
      <c r="E21728" t="s">
        <v>1</v>
      </c>
      <c r="F21728" t="s">
        <v>0</v>
      </c>
      <c r="G21728" t="str">
        <f>"2018-10-07 12:07:10"</f>
        <v>2018-10-07 12:07:10</v>
      </c>
    </row>
    <row r="21729" spans="1:7" x14ac:dyDescent="0.2">
      <c r="A21729" t="s">
        <v>20365</v>
      </c>
      <c r="B21729" t="str">
        <f>"13669381116"</f>
        <v>13669381116</v>
      </c>
      <c r="C21729" t="str">
        <f>"620121198902284612"</f>
        <v>620121198902284612</v>
      </c>
      <c r="D21729" t="s">
        <v>1</v>
      </c>
      <c r="E21729" t="s">
        <v>1</v>
      </c>
      <c r="F21729" t="s">
        <v>0</v>
      </c>
      <c r="G21729" t="str">
        <f>"2018-10-07 12:08:01"</f>
        <v>2018-10-07 12:08:01</v>
      </c>
    </row>
    <row r="21730" spans="1:7" x14ac:dyDescent="0.2">
      <c r="A21730" t="s">
        <v>1</v>
      </c>
      <c r="B21730" t="str">
        <f>"18642389416"</f>
        <v>18642389416</v>
      </c>
      <c r="C21730" t="s">
        <v>1</v>
      </c>
      <c r="D21730" t="s">
        <v>1</v>
      </c>
      <c r="E21730" t="s">
        <v>1</v>
      </c>
      <c r="F21730" t="s">
        <v>0</v>
      </c>
      <c r="G21730" t="str">
        <f>"2018-10-07 12:06:15"</f>
        <v>2018-10-07 12:06:15</v>
      </c>
    </row>
    <row r="21731" spans="1:7" x14ac:dyDescent="0.2">
      <c r="A21731" t="s">
        <v>629</v>
      </c>
      <c r="B21731" t="str">
        <f>"13285392650"</f>
        <v>13285392650</v>
      </c>
      <c r="C21731" t="str">
        <f>"37132919890916573X"</f>
        <v>37132919890916573X</v>
      </c>
      <c r="D21731" t="s">
        <v>1</v>
      </c>
      <c r="E21731" t="s">
        <v>1</v>
      </c>
      <c r="F21731" t="s">
        <v>0</v>
      </c>
      <c r="G21731" t="str">
        <f>"2018-10-07 12:37:34"</f>
        <v>2018-10-07 12:37:34</v>
      </c>
    </row>
    <row r="21732" spans="1:7" x14ac:dyDescent="0.2">
      <c r="A21732" t="s">
        <v>1</v>
      </c>
      <c r="B21732" t="str">
        <f>"17681181141"</f>
        <v>17681181141</v>
      </c>
      <c r="C21732" t="s">
        <v>1</v>
      </c>
      <c r="D21732" t="s">
        <v>1</v>
      </c>
      <c r="E21732" t="s">
        <v>1</v>
      </c>
      <c r="F21732" t="s">
        <v>0</v>
      </c>
      <c r="G21732" t="str">
        <f>"2018-10-07 12:05:52"</f>
        <v>2018-10-07 12:05:52</v>
      </c>
    </row>
    <row r="21733" spans="1:7" x14ac:dyDescent="0.2">
      <c r="A21733" t="s">
        <v>1</v>
      </c>
      <c r="B21733" t="str">
        <f>"18225588500"</f>
        <v>18225588500</v>
      </c>
      <c r="C21733" t="s">
        <v>1</v>
      </c>
      <c r="D21733" t="s">
        <v>1</v>
      </c>
      <c r="E21733" t="s">
        <v>1</v>
      </c>
      <c r="F21733" t="s">
        <v>0</v>
      </c>
      <c r="G21733" t="str">
        <f>"2018-10-07 12:05:49"</f>
        <v>2018-10-07 12:05:49</v>
      </c>
    </row>
    <row r="21734" spans="1:7" x14ac:dyDescent="0.2">
      <c r="A21734" t="s">
        <v>1</v>
      </c>
      <c r="B21734" t="str">
        <f>"13883940221"</f>
        <v>13883940221</v>
      </c>
      <c r="C21734" t="s">
        <v>1</v>
      </c>
      <c r="D21734" t="s">
        <v>1</v>
      </c>
      <c r="E21734" t="s">
        <v>1</v>
      </c>
      <c r="F21734" t="s">
        <v>0</v>
      </c>
      <c r="G21734" t="str">
        <f>"2018-10-07 12:05:41"</f>
        <v>2018-10-07 12:05:41</v>
      </c>
    </row>
    <row r="21735" spans="1:7" x14ac:dyDescent="0.2">
      <c r="A21735" t="s">
        <v>1</v>
      </c>
      <c r="B21735" t="str">
        <f>"18458907517"</f>
        <v>18458907517</v>
      </c>
      <c r="C21735" t="s">
        <v>1</v>
      </c>
      <c r="D21735" t="s">
        <v>1</v>
      </c>
      <c r="E21735" t="s">
        <v>1</v>
      </c>
      <c r="F21735" t="s">
        <v>0</v>
      </c>
      <c r="G21735" t="str">
        <f>"2018-10-07 12:04:50"</f>
        <v>2018-10-07 12:04:50</v>
      </c>
    </row>
    <row r="21736" spans="1:7" x14ac:dyDescent="0.2">
      <c r="A21736" t="s">
        <v>15372</v>
      </c>
      <c r="B21736" t="str">
        <f>"13400409885"</f>
        <v>13400409885</v>
      </c>
      <c r="C21736" t="str">
        <f>"130431198003010610"</f>
        <v>130431198003010610</v>
      </c>
      <c r="D21736" t="s">
        <v>1</v>
      </c>
      <c r="E21736" t="s">
        <v>1</v>
      </c>
      <c r="F21736" t="s">
        <v>0</v>
      </c>
      <c r="G21736" t="str">
        <f>"2018-10-07 12:06:52"</f>
        <v>2018-10-07 12:06:52</v>
      </c>
    </row>
    <row r="21737" spans="1:7" x14ac:dyDescent="0.2">
      <c r="A21737" t="s">
        <v>20366</v>
      </c>
      <c r="B21737" t="str">
        <f>"17530155857"</f>
        <v>17530155857</v>
      </c>
      <c r="C21737" t="str">
        <f>"410823199912230358"</f>
        <v>410823199912230358</v>
      </c>
      <c r="D21737" t="s">
        <v>20367</v>
      </c>
      <c r="E21737" t="s">
        <v>20368</v>
      </c>
      <c r="F21737" t="s">
        <v>0</v>
      </c>
      <c r="G21737" t="str">
        <f>"2018-10-07 12:15:00"</f>
        <v>2018-10-07 12:15:00</v>
      </c>
    </row>
    <row r="21738" spans="1:7" x14ac:dyDescent="0.2">
      <c r="A21738" t="s">
        <v>1</v>
      </c>
      <c r="B21738" t="str">
        <f>"15362523029"</f>
        <v>15362523029</v>
      </c>
      <c r="C21738" t="s">
        <v>1</v>
      </c>
      <c r="D21738" t="s">
        <v>1</v>
      </c>
      <c r="E21738" t="s">
        <v>1</v>
      </c>
      <c r="F21738" t="s">
        <v>0</v>
      </c>
      <c r="G21738" t="str">
        <f>"2018-10-07 12:04:29"</f>
        <v>2018-10-07 12:04:29</v>
      </c>
    </row>
    <row r="21739" spans="1:7" x14ac:dyDescent="0.2">
      <c r="A21739" t="s">
        <v>20369</v>
      </c>
      <c r="B21739" t="str">
        <f>"13750354227"</f>
        <v>13750354227</v>
      </c>
      <c r="C21739" t="str">
        <f>"44071119860703422X"</f>
        <v>44071119860703422X</v>
      </c>
      <c r="D21739" t="s">
        <v>1</v>
      </c>
      <c r="E21739" t="s">
        <v>1</v>
      </c>
      <c r="F21739" t="s">
        <v>0</v>
      </c>
      <c r="G21739" t="str">
        <f>"2018-10-07 12:06:02"</f>
        <v>2018-10-07 12:06:02</v>
      </c>
    </row>
    <row r="21740" spans="1:7" x14ac:dyDescent="0.2">
      <c r="A21740" t="s">
        <v>20370</v>
      </c>
      <c r="B21740" t="str">
        <f>"13588466559"</f>
        <v>13588466559</v>
      </c>
      <c r="C21740" t="str">
        <f>"362525198602282119"</f>
        <v>362525198602282119</v>
      </c>
      <c r="D21740" t="s">
        <v>1</v>
      </c>
      <c r="E21740" t="s">
        <v>1</v>
      </c>
      <c r="F21740" t="s">
        <v>0</v>
      </c>
      <c r="G21740" t="str">
        <f>"2018-10-08 15:45:27"</f>
        <v>2018-10-08 15:45:27</v>
      </c>
    </row>
    <row r="21741" spans="1:7" x14ac:dyDescent="0.2">
      <c r="A21741" t="s">
        <v>20371</v>
      </c>
      <c r="B21741" t="str">
        <f>"17664556475"</f>
        <v>17664556475</v>
      </c>
      <c r="C21741" t="str">
        <f>"220203198907070910"</f>
        <v>220203198907070910</v>
      </c>
      <c r="D21741" t="s">
        <v>1</v>
      </c>
      <c r="E21741" t="s">
        <v>1</v>
      </c>
      <c r="F21741" t="s">
        <v>0</v>
      </c>
      <c r="G21741" t="str">
        <f>"2018-10-07 12:06:57"</f>
        <v>2018-10-07 12:06:57</v>
      </c>
    </row>
    <row r="21742" spans="1:7" x14ac:dyDescent="0.2">
      <c r="A21742" t="s">
        <v>1</v>
      </c>
      <c r="B21742" t="str">
        <f>"17683069998"</f>
        <v>17683069998</v>
      </c>
      <c r="C21742" t="s">
        <v>1</v>
      </c>
      <c r="D21742" t="s">
        <v>1</v>
      </c>
      <c r="E21742" t="s">
        <v>1</v>
      </c>
      <c r="F21742" t="s">
        <v>0</v>
      </c>
      <c r="G21742" t="str">
        <f>"2018-10-07 12:03:31"</f>
        <v>2018-10-07 12:03:31</v>
      </c>
    </row>
    <row r="21743" spans="1:7" x14ac:dyDescent="0.2">
      <c r="A21743" t="s">
        <v>20372</v>
      </c>
      <c r="B21743" t="str">
        <f>"13924998448"</f>
        <v>13924998448</v>
      </c>
      <c r="C21743" t="str">
        <f>"442000198308067413"</f>
        <v>442000198308067413</v>
      </c>
      <c r="D21743" t="s">
        <v>1</v>
      </c>
      <c r="E21743" t="s">
        <v>1</v>
      </c>
      <c r="F21743" t="s">
        <v>0</v>
      </c>
      <c r="G21743" t="str">
        <f>"2018-10-07 12:04:25"</f>
        <v>2018-10-07 12:04:25</v>
      </c>
    </row>
    <row r="21744" spans="1:7" x14ac:dyDescent="0.2">
      <c r="A21744" t="s">
        <v>20373</v>
      </c>
      <c r="B21744" t="str">
        <f>"17717070766"</f>
        <v>17717070766</v>
      </c>
      <c r="C21744" t="str">
        <f>"511322199512277553"</f>
        <v>511322199512277553</v>
      </c>
      <c r="D21744" t="s">
        <v>1</v>
      </c>
      <c r="E21744" t="s">
        <v>1</v>
      </c>
      <c r="F21744" t="s">
        <v>0</v>
      </c>
      <c r="G21744" t="str">
        <f>"2018-10-07 12:06:29"</f>
        <v>2018-10-07 12:06:29</v>
      </c>
    </row>
    <row r="21745" spans="1:7" x14ac:dyDescent="0.2">
      <c r="A21745" t="s">
        <v>20374</v>
      </c>
      <c r="B21745" t="str">
        <f>"18782392653"</f>
        <v>18782392653</v>
      </c>
      <c r="C21745" t="str">
        <f>"510411199702062719"</f>
        <v>510411199702062719</v>
      </c>
      <c r="D21745" t="s">
        <v>1</v>
      </c>
      <c r="E21745" t="s">
        <v>1</v>
      </c>
      <c r="F21745" t="s">
        <v>0</v>
      </c>
      <c r="G21745" t="str">
        <f>"2018-10-07 12:03:58"</f>
        <v>2018-10-07 12:03:58</v>
      </c>
    </row>
    <row r="21746" spans="1:7" x14ac:dyDescent="0.2">
      <c r="A21746" t="s">
        <v>1</v>
      </c>
      <c r="B21746" t="str">
        <f>"15946869142"</f>
        <v>15946869142</v>
      </c>
      <c r="C21746" t="s">
        <v>1</v>
      </c>
      <c r="D21746" t="s">
        <v>1</v>
      </c>
      <c r="E21746" t="s">
        <v>1</v>
      </c>
      <c r="F21746" t="s">
        <v>0</v>
      </c>
      <c r="G21746" t="str">
        <f>"2018-10-07 12:02:51"</f>
        <v>2018-10-07 12:02:51</v>
      </c>
    </row>
    <row r="21747" spans="1:7" x14ac:dyDescent="0.2">
      <c r="A21747" t="s">
        <v>1</v>
      </c>
      <c r="B21747" t="str">
        <f>"18224048933"</f>
        <v>18224048933</v>
      </c>
      <c r="C21747" t="s">
        <v>1</v>
      </c>
      <c r="D21747" t="s">
        <v>1</v>
      </c>
      <c r="E21747" t="s">
        <v>1</v>
      </c>
      <c r="F21747" t="s">
        <v>0</v>
      </c>
      <c r="G21747" t="str">
        <f>"2018-10-07 12:02:30"</f>
        <v>2018-10-07 12:02:30</v>
      </c>
    </row>
    <row r="21748" spans="1:7" x14ac:dyDescent="0.2">
      <c r="A21748" t="s">
        <v>20375</v>
      </c>
      <c r="B21748" t="str">
        <f>"18172964544"</f>
        <v>18172964544</v>
      </c>
      <c r="C21748" t="str">
        <f>"362423199511124015"</f>
        <v>362423199511124015</v>
      </c>
      <c r="D21748" t="s">
        <v>1</v>
      </c>
      <c r="E21748" t="s">
        <v>1</v>
      </c>
      <c r="F21748" t="s">
        <v>0</v>
      </c>
      <c r="G21748" t="str">
        <f>"2018-10-07 12:07:28"</f>
        <v>2018-10-07 12:07:28</v>
      </c>
    </row>
    <row r="21749" spans="1:7" x14ac:dyDescent="0.2">
      <c r="A21749" t="s">
        <v>1</v>
      </c>
      <c r="B21749" t="str">
        <f>"13811535368"</f>
        <v>13811535368</v>
      </c>
      <c r="C21749" t="s">
        <v>1</v>
      </c>
      <c r="D21749" t="s">
        <v>1</v>
      </c>
      <c r="E21749" t="s">
        <v>1</v>
      </c>
      <c r="F21749" t="s">
        <v>0</v>
      </c>
      <c r="G21749" t="str">
        <f>"2018-10-07 12:02:06"</f>
        <v>2018-10-07 12:02:06</v>
      </c>
    </row>
    <row r="21750" spans="1:7" x14ac:dyDescent="0.2">
      <c r="A21750" t="s">
        <v>20376</v>
      </c>
      <c r="B21750" t="str">
        <f>"18925137159"</f>
        <v>18925137159</v>
      </c>
      <c r="C21750" t="str">
        <f>"440104197008254713"</f>
        <v>440104197008254713</v>
      </c>
      <c r="D21750" t="s">
        <v>1</v>
      </c>
      <c r="E21750" t="s">
        <v>1</v>
      </c>
      <c r="F21750" t="s">
        <v>0</v>
      </c>
      <c r="G21750" t="str">
        <f>"2018-10-07 12:02:47"</f>
        <v>2018-10-07 12:02:47</v>
      </c>
    </row>
    <row r="21751" spans="1:7" x14ac:dyDescent="0.2">
      <c r="A21751" t="s">
        <v>20377</v>
      </c>
      <c r="B21751" t="str">
        <f>"18409320033"</f>
        <v>18409320033</v>
      </c>
      <c r="C21751" t="str">
        <f>"622421198506074814"</f>
        <v>622421198506074814</v>
      </c>
      <c r="D21751" t="s">
        <v>20378</v>
      </c>
      <c r="E21751" t="s">
        <v>20379</v>
      </c>
      <c r="F21751" t="s">
        <v>0</v>
      </c>
      <c r="G21751" t="str">
        <f>"2018-10-07 12:02:24"</f>
        <v>2018-10-07 12:02:24</v>
      </c>
    </row>
    <row r="21752" spans="1:7" x14ac:dyDescent="0.2">
      <c r="A21752" t="s">
        <v>1</v>
      </c>
      <c r="B21752" t="str">
        <f>"18039266338"</f>
        <v>18039266338</v>
      </c>
      <c r="C21752" t="s">
        <v>1</v>
      </c>
      <c r="D21752" t="s">
        <v>1</v>
      </c>
      <c r="E21752" t="s">
        <v>1</v>
      </c>
      <c r="F21752" t="s">
        <v>0</v>
      </c>
      <c r="G21752" t="str">
        <f>"2018-10-07 12:02:09"</f>
        <v>2018-10-07 12:02:09</v>
      </c>
    </row>
    <row r="21753" spans="1:7" x14ac:dyDescent="0.2">
      <c r="A21753" t="s">
        <v>20380</v>
      </c>
      <c r="B21753" t="str">
        <f>"15935290460"</f>
        <v>15935290460</v>
      </c>
      <c r="C21753" t="str">
        <f>"140224198906120615"</f>
        <v>140224198906120615</v>
      </c>
      <c r="D21753" t="s">
        <v>20381</v>
      </c>
      <c r="E21753" t="s">
        <v>20382</v>
      </c>
      <c r="F21753" t="s">
        <v>0</v>
      </c>
      <c r="G21753" t="str">
        <f>"2018-10-07 12:08:13"</f>
        <v>2018-10-07 12:08:13</v>
      </c>
    </row>
    <row r="21754" spans="1:7" x14ac:dyDescent="0.2">
      <c r="A21754" t="s">
        <v>20383</v>
      </c>
      <c r="B21754" t="str">
        <f>"18078382018"</f>
        <v>18078382018</v>
      </c>
      <c r="C21754" t="str">
        <f>"45032519940710066X"</f>
        <v>45032519940710066X</v>
      </c>
      <c r="D21754" t="s">
        <v>20384</v>
      </c>
      <c r="E21754" t="s">
        <v>20385</v>
      </c>
      <c r="F21754" t="s">
        <v>0</v>
      </c>
      <c r="G21754" t="str">
        <f>"2018-11-02 10:15:41"</f>
        <v>2018-11-02 10:15:41</v>
      </c>
    </row>
    <row r="21755" spans="1:7" x14ac:dyDescent="0.2">
      <c r="A21755" t="s">
        <v>20386</v>
      </c>
      <c r="B21755" t="str">
        <f>"18299631883"</f>
        <v>18299631883</v>
      </c>
      <c r="C21755" t="str">
        <f>"653130199202180088"</f>
        <v>653130199202180088</v>
      </c>
      <c r="D21755" t="s">
        <v>20387</v>
      </c>
      <c r="E21755" t="s">
        <v>20388</v>
      </c>
      <c r="F21755" t="s">
        <v>0</v>
      </c>
      <c r="G21755" t="str">
        <f>"2018-10-07 12:04:52"</f>
        <v>2018-10-07 12:04:52</v>
      </c>
    </row>
    <row r="21756" spans="1:7" x14ac:dyDescent="0.2">
      <c r="A21756" t="s">
        <v>20389</v>
      </c>
      <c r="B21756" t="str">
        <f>"18195299052"</f>
        <v>18195299052</v>
      </c>
      <c r="C21756" t="str">
        <f>"642224197907194013"</f>
        <v>642224197907194013</v>
      </c>
      <c r="D21756" t="s">
        <v>1</v>
      </c>
      <c r="E21756" t="s">
        <v>1</v>
      </c>
      <c r="F21756" t="s">
        <v>0</v>
      </c>
      <c r="G21756" t="str">
        <f>"2018-10-08 05:24:47"</f>
        <v>2018-10-08 05:24:47</v>
      </c>
    </row>
    <row r="21757" spans="1:7" x14ac:dyDescent="0.2">
      <c r="A21757" t="s">
        <v>703</v>
      </c>
      <c r="B21757" t="str">
        <f>"18095012079"</f>
        <v>18095012079</v>
      </c>
      <c r="C21757" t="str">
        <f>"513701199207232414"</f>
        <v>513701199207232414</v>
      </c>
      <c r="D21757" t="s">
        <v>1</v>
      </c>
      <c r="E21757" t="s">
        <v>1</v>
      </c>
      <c r="F21757" t="s">
        <v>0</v>
      </c>
      <c r="G21757" t="str">
        <f>"2018-10-07 12:06:29"</f>
        <v>2018-10-07 12:06:29</v>
      </c>
    </row>
    <row r="21758" spans="1:7" x14ac:dyDescent="0.2">
      <c r="A21758" t="s">
        <v>1</v>
      </c>
      <c r="B21758" t="str">
        <f>"18046868168"</f>
        <v>18046868168</v>
      </c>
      <c r="C21758" t="s">
        <v>1</v>
      </c>
      <c r="D21758" t="s">
        <v>1</v>
      </c>
      <c r="E21758" t="s">
        <v>1</v>
      </c>
      <c r="F21758" t="s">
        <v>0</v>
      </c>
      <c r="G21758" t="str">
        <f>"2018-10-07 11:57:14"</f>
        <v>2018-10-07 11:57:14</v>
      </c>
    </row>
    <row r="21759" spans="1:7" x14ac:dyDescent="0.2">
      <c r="A21759" t="s">
        <v>20390</v>
      </c>
      <c r="B21759" t="str">
        <f>"13276988879"</f>
        <v>13276988879</v>
      </c>
      <c r="C21759" t="str">
        <f>"513021198003117812"</f>
        <v>513021198003117812</v>
      </c>
      <c r="D21759" t="s">
        <v>1</v>
      </c>
      <c r="E21759" t="s">
        <v>1</v>
      </c>
      <c r="F21759" t="s">
        <v>0</v>
      </c>
      <c r="G21759" t="str">
        <f>"2018-10-08 18:40:19"</f>
        <v>2018-10-08 18:40:19</v>
      </c>
    </row>
    <row r="21760" spans="1:7" x14ac:dyDescent="0.2">
      <c r="A21760" t="s">
        <v>20391</v>
      </c>
      <c r="B21760" t="str">
        <f>"17709563111"</f>
        <v>17709563111</v>
      </c>
      <c r="C21760" t="str">
        <f>"642222198007250819"</f>
        <v>642222198007250819</v>
      </c>
      <c r="D21760" t="s">
        <v>1</v>
      </c>
      <c r="E21760" t="s">
        <v>1</v>
      </c>
      <c r="F21760" t="s">
        <v>0</v>
      </c>
      <c r="G21760" t="str">
        <f>"2018-10-07 12:00:48"</f>
        <v>2018-10-07 12:00:48</v>
      </c>
    </row>
    <row r="21761" spans="1:7" x14ac:dyDescent="0.2">
      <c r="A21761" t="s">
        <v>1</v>
      </c>
      <c r="B21761" t="str">
        <f>"15772056328"</f>
        <v>15772056328</v>
      </c>
      <c r="C21761" t="s">
        <v>1</v>
      </c>
      <c r="D21761" t="s">
        <v>1</v>
      </c>
      <c r="E21761" t="s">
        <v>1</v>
      </c>
      <c r="F21761" t="s">
        <v>0</v>
      </c>
      <c r="G21761" t="str">
        <f>"2018-10-07 12:06:33"</f>
        <v>2018-10-07 12:06:33</v>
      </c>
    </row>
    <row r="21762" spans="1:7" x14ac:dyDescent="0.2">
      <c r="A21762" t="s">
        <v>20392</v>
      </c>
      <c r="B21762" t="str">
        <f>"15716381399"</f>
        <v>15716381399</v>
      </c>
      <c r="C21762" t="str">
        <f>"412723199702153899"</f>
        <v>412723199702153899</v>
      </c>
      <c r="D21762" t="s">
        <v>1</v>
      </c>
      <c r="E21762" t="s">
        <v>1</v>
      </c>
      <c r="F21762" t="s">
        <v>0</v>
      </c>
      <c r="G21762" t="str">
        <f>"2018-11-04 13:48:54"</f>
        <v>2018-11-04 13:48:54</v>
      </c>
    </row>
    <row r="21763" spans="1:7" x14ac:dyDescent="0.2">
      <c r="A21763" t="s">
        <v>1</v>
      </c>
      <c r="B21763" t="str">
        <f>"13984144402"</f>
        <v>13984144402</v>
      </c>
      <c r="C21763" t="s">
        <v>1</v>
      </c>
      <c r="D21763" t="s">
        <v>1</v>
      </c>
      <c r="E21763" t="s">
        <v>1</v>
      </c>
      <c r="F21763" t="s">
        <v>0</v>
      </c>
      <c r="G21763" t="str">
        <f>"2018-10-07 11:56:09"</f>
        <v>2018-10-07 11:56:09</v>
      </c>
    </row>
    <row r="21764" spans="1:7" x14ac:dyDescent="0.2">
      <c r="A21764" t="s">
        <v>20393</v>
      </c>
      <c r="B21764" t="str">
        <f>"18636368830"</f>
        <v>18636368830</v>
      </c>
      <c r="C21764" t="str">
        <f>"142701199007210018"</f>
        <v>142701199007210018</v>
      </c>
      <c r="D21764" t="s">
        <v>1</v>
      </c>
      <c r="E21764" t="s">
        <v>1</v>
      </c>
      <c r="F21764" t="s">
        <v>0</v>
      </c>
      <c r="G21764" t="str">
        <f>"2018-10-07 11:57:09"</f>
        <v>2018-10-07 11:57:09</v>
      </c>
    </row>
    <row r="21765" spans="1:7" x14ac:dyDescent="0.2">
      <c r="A21765" t="s">
        <v>20394</v>
      </c>
      <c r="B21765" t="str">
        <f>"13858881566"</f>
        <v>13858881566</v>
      </c>
      <c r="C21765" t="str">
        <f>"330321197709212737"</f>
        <v>330321197709212737</v>
      </c>
      <c r="D21765" t="s">
        <v>1</v>
      </c>
      <c r="E21765" t="s">
        <v>1</v>
      </c>
      <c r="F21765" t="s">
        <v>0</v>
      </c>
      <c r="G21765" t="str">
        <f>"2018-10-14 12:25:15"</f>
        <v>2018-10-14 12:25:15</v>
      </c>
    </row>
    <row r="21766" spans="1:7" x14ac:dyDescent="0.2">
      <c r="A21766" t="s">
        <v>20395</v>
      </c>
      <c r="B21766" t="str">
        <f>"13195899190"</f>
        <v>13195899190</v>
      </c>
      <c r="C21766" t="str">
        <f>"622727198804143819"</f>
        <v>622727198804143819</v>
      </c>
      <c r="D21766" t="s">
        <v>1</v>
      </c>
      <c r="E21766" t="s">
        <v>1</v>
      </c>
      <c r="F21766" t="s">
        <v>0</v>
      </c>
      <c r="G21766" t="str">
        <f>"2018-10-07 11:56:38"</f>
        <v>2018-10-07 11:56:38</v>
      </c>
    </row>
    <row r="21767" spans="1:7" x14ac:dyDescent="0.2">
      <c r="A21767" t="s">
        <v>20396</v>
      </c>
      <c r="B21767" t="str">
        <f>"18008369883"</f>
        <v>18008369883</v>
      </c>
      <c r="C21767" t="str">
        <f>"511525198304123299"</f>
        <v>511525198304123299</v>
      </c>
      <c r="D21767" t="s">
        <v>1</v>
      </c>
      <c r="E21767" t="s">
        <v>1</v>
      </c>
      <c r="F21767" t="s">
        <v>0</v>
      </c>
      <c r="G21767" t="str">
        <f>"2018-10-07 11:57:06"</f>
        <v>2018-10-07 11:57:06</v>
      </c>
    </row>
    <row r="21768" spans="1:7" x14ac:dyDescent="0.2">
      <c r="A21768" t="s">
        <v>1</v>
      </c>
      <c r="B21768" t="str">
        <f>"18097912122"</f>
        <v>18097912122</v>
      </c>
      <c r="C21768" t="s">
        <v>1</v>
      </c>
      <c r="D21768" t="s">
        <v>1</v>
      </c>
      <c r="E21768" t="s">
        <v>1</v>
      </c>
      <c r="F21768" t="s">
        <v>0</v>
      </c>
      <c r="G21768" t="str">
        <f>"2018-10-07 11:55:30"</f>
        <v>2018-10-07 11:55:30</v>
      </c>
    </row>
    <row r="21769" spans="1:7" x14ac:dyDescent="0.2">
      <c r="A21769" t="s">
        <v>20397</v>
      </c>
      <c r="B21769" t="str">
        <f>"18030115237"</f>
        <v>18030115237</v>
      </c>
      <c r="C21769" t="str">
        <f>"350822198304173313"</f>
        <v>350822198304173313</v>
      </c>
      <c r="D21769" t="s">
        <v>20398</v>
      </c>
      <c r="E21769" t="s">
        <v>20399</v>
      </c>
      <c r="F21769" t="s">
        <v>0</v>
      </c>
      <c r="G21769" t="str">
        <f>"2018-10-07 11:58:08"</f>
        <v>2018-10-07 11:58:08</v>
      </c>
    </row>
    <row r="21770" spans="1:7" x14ac:dyDescent="0.2">
      <c r="A21770" t="s">
        <v>20400</v>
      </c>
      <c r="B21770" t="str">
        <f>"13905052574"</f>
        <v>13905052574</v>
      </c>
      <c r="C21770" t="str">
        <f>"350525199301211916"</f>
        <v>350525199301211916</v>
      </c>
      <c r="D21770" t="s">
        <v>1</v>
      </c>
      <c r="E21770" t="s">
        <v>1</v>
      </c>
      <c r="F21770" t="s">
        <v>0</v>
      </c>
      <c r="G21770" t="str">
        <f>"2018-10-21 10:37:20"</f>
        <v>2018-10-21 10:37:20</v>
      </c>
    </row>
    <row r="21771" spans="1:7" x14ac:dyDescent="0.2">
      <c r="A21771" t="s">
        <v>1</v>
      </c>
      <c r="B21771" t="str">
        <f>"18147132805"</f>
        <v>18147132805</v>
      </c>
      <c r="C21771" t="s">
        <v>1</v>
      </c>
      <c r="D21771" t="s">
        <v>1</v>
      </c>
      <c r="E21771" t="s">
        <v>1</v>
      </c>
      <c r="F21771" t="s">
        <v>0</v>
      </c>
      <c r="G21771" t="str">
        <f>"2018-10-07 11:54:16"</f>
        <v>2018-10-07 11:54:16</v>
      </c>
    </row>
    <row r="21772" spans="1:7" x14ac:dyDescent="0.2">
      <c r="A21772" t="s">
        <v>1839</v>
      </c>
      <c r="B21772" t="str">
        <f>"17733675563"</f>
        <v>17733675563</v>
      </c>
      <c r="C21772" t="str">
        <f>"23071419910901022X"</f>
        <v>23071419910901022X</v>
      </c>
      <c r="D21772" t="s">
        <v>1</v>
      </c>
      <c r="E21772" t="s">
        <v>1</v>
      </c>
      <c r="F21772" t="s">
        <v>0</v>
      </c>
      <c r="G21772" t="str">
        <f>"2018-10-07 11:56:19"</f>
        <v>2018-10-07 11:56:19</v>
      </c>
    </row>
    <row r="21773" spans="1:7" x14ac:dyDescent="0.2">
      <c r="A21773" t="s">
        <v>730</v>
      </c>
      <c r="B21773" t="str">
        <f>"17769302518"</f>
        <v>17769302518</v>
      </c>
      <c r="C21773" t="str">
        <f>"430681199210240910"</f>
        <v>430681199210240910</v>
      </c>
      <c r="D21773" t="s">
        <v>1</v>
      </c>
      <c r="E21773" t="s">
        <v>1</v>
      </c>
      <c r="F21773" t="s">
        <v>0</v>
      </c>
      <c r="G21773" t="str">
        <f>"2018-10-07 11:55:34"</f>
        <v>2018-10-07 11:55:34</v>
      </c>
    </row>
    <row r="21774" spans="1:7" x14ac:dyDescent="0.2">
      <c r="A21774" t="s">
        <v>20401</v>
      </c>
      <c r="B21774" t="str">
        <f>"18972139285"</f>
        <v>18972139285</v>
      </c>
      <c r="C21774" t="str">
        <f>"421003199203202657"</f>
        <v>421003199203202657</v>
      </c>
      <c r="D21774" t="s">
        <v>1</v>
      </c>
      <c r="E21774" t="s">
        <v>1</v>
      </c>
      <c r="F21774" t="s">
        <v>0</v>
      </c>
      <c r="G21774" t="str">
        <f>"2018-10-07 11:54:58"</f>
        <v>2018-10-07 11:54:58</v>
      </c>
    </row>
    <row r="21775" spans="1:7" x14ac:dyDescent="0.2">
      <c r="A21775" t="s">
        <v>1</v>
      </c>
      <c r="B21775" t="str">
        <f>"13978404556"</f>
        <v>13978404556</v>
      </c>
      <c r="C21775" t="s">
        <v>1</v>
      </c>
      <c r="D21775" t="s">
        <v>1</v>
      </c>
      <c r="E21775" t="s">
        <v>1</v>
      </c>
      <c r="F21775" t="s">
        <v>0</v>
      </c>
      <c r="G21775" t="str">
        <f>"2018-10-07 11:53:50"</f>
        <v>2018-10-07 11:53:50</v>
      </c>
    </row>
    <row r="21776" spans="1:7" x14ac:dyDescent="0.2">
      <c r="A21776" t="s">
        <v>1</v>
      </c>
      <c r="B21776" t="str">
        <f>"18679981158"</f>
        <v>18679981158</v>
      </c>
      <c r="C21776" t="s">
        <v>1</v>
      </c>
      <c r="D21776" t="s">
        <v>1</v>
      </c>
      <c r="E21776" t="s">
        <v>1</v>
      </c>
      <c r="F21776" t="s">
        <v>0</v>
      </c>
      <c r="G21776" t="str">
        <f>"2018-10-07 11:53:45"</f>
        <v>2018-10-07 11:53:45</v>
      </c>
    </row>
    <row r="21777" spans="1:7" x14ac:dyDescent="0.2">
      <c r="A21777" t="s">
        <v>1</v>
      </c>
      <c r="B21777" t="str">
        <f>"13476549741"</f>
        <v>13476549741</v>
      </c>
      <c r="C21777" t="s">
        <v>1</v>
      </c>
      <c r="D21777" t="s">
        <v>1</v>
      </c>
      <c r="E21777" t="s">
        <v>1</v>
      </c>
      <c r="F21777" t="s">
        <v>0</v>
      </c>
      <c r="G21777" t="str">
        <f>"2018-10-07 12:07:32"</f>
        <v>2018-10-07 12:07:32</v>
      </c>
    </row>
    <row r="21778" spans="1:7" x14ac:dyDescent="0.2">
      <c r="A21778" t="s">
        <v>20402</v>
      </c>
      <c r="B21778" t="str">
        <f>"18819579024"</f>
        <v>18819579024</v>
      </c>
      <c r="C21778" t="str">
        <f>"441522199306160680"</f>
        <v>441522199306160680</v>
      </c>
      <c r="D21778" t="s">
        <v>1</v>
      </c>
      <c r="E21778" t="s">
        <v>1</v>
      </c>
      <c r="F21778" t="s">
        <v>0</v>
      </c>
      <c r="G21778" t="str">
        <f>"2018-10-28 14:25:54"</f>
        <v>2018-10-28 14:25:54</v>
      </c>
    </row>
    <row r="21779" spans="1:7" x14ac:dyDescent="0.2">
      <c r="A21779" t="s">
        <v>20403</v>
      </c>
      <c r="B21779" t="str">
        <f>"15290727035"</f>
        <v>15290727035</v>
      </c>
      <c r="C21779" t="str">
        <f>"41110219951122007X"</f>
        <v>41110219951122007X</v>
      </c>
      <c r="D21779" t="s">
        <v>1</v>
      </c>
      <c r="E21779" t="s">
        <v>1</v>
      </c>
      <c r="F21779" t="s">
        <v>0</v>
      </c>
      <c r="G21779" t="str">
        <f>"2018-10-07 11:54:40"</f>
        <v>2018-10-07 11:54:40</v>
      </c>
    </row>
    <row r="21780" spans="1:7" x14ac:dyDescent="0.2">
      <c r="A21780" t="s">
        <v>1</v>
      </c>
      <c r="B21780" t="str">
        <f>"13359908997"</f>
        <v>13359908997</v>
      </c>
      <c r="C21780" t="s">
        <v>1</v>
      </c>
      <c r="D21780" t="s">
        <v>1</v>
      </c>
      <c r="E21780" t="s">
        <v>1</v>
      </c>
      <c r="F21780" t="s">
        <v>0</v>
      </c>
      <c r="G21780" t="str">
        <f>"2018-10-07 11:53:18"</f>
        <v>2018-10-07 11:53:18</v>
      </c>
    </row>
    <row r="21781" spans="1:7" x14ac:dyDescent="0.2">
      <c r="A21781" t="s">
        <v>1</v>
      </c>
      <c r="B21781" t="str">
        <f>"17392028651"</f>
        <v>17392028651</v>
      </c>
      <c r="C21781" t="s">
        <v>1</v>
      </c>
      <c r="D21781" t="s">
        <v>1</v>
      </c>
      <c r="E21781" t="s">
        <v>1</v>
      </c>
      <c r="F21781" t="s">
        <v>0</v>
      </c>
      <c r="G21781" t="str">
        <f>"2018-10-07 11:59:40"</f>
        <v>2018-10-07 11:59:40</v>
      </c>
    </row>
    <row r="21782" spans="1:7" x14ac:dyDescent="0.2">
      <c r="A21782" t="s">
        <v>95</v>
      </c>
      <c r="B21782" t="str">
        <f>"18689206113"</f>
        <v>18689206113</v>
      </c>
      <c r="C21782" t="str">
        <f>"142703198511192478"</f>
        <v>142703198511192478</v>
      </c>
      <c r="D21782" t="s">
        <v>20404</v>
      </c>
      <c r="E21782" t="s">
        <v>20405</v>
      </c>
      <c r="F21782" t="s">
        <v>0</v>
      </c>
      <c r="G21782" t="str">
        <f>"2018-10-07 11:53:02"</f>
        <v>2018-10-07 11:53:02</v>
      </c>
    </row>
    <row r="21783" spans="1:7" x14ac:dyDescent="0.2">
      <c r="A21783" t="s">
        <v>20406</v>
      </c>
      <c r="B21783" t="str">
        <f>"13582015397"</f>
        <v>13582015397</v>
      </c>
      <c r="C21783" t="str">
        <f>"130182199210016239"</f>
        <v>130182199210016239</v>
      </c>
      <c r="D21783" t="s">
        <v>1</v>
      </c>
      <c r="E21783" t="s">
        <v>1</v>
      </c>
      <c r="F21783" t="s">
        <v>0</v>
      </c>
      <c r="G21783" t="str">
        <f>"2018-10-07 14:12:44"</f>
        <v>2018-10-07 14:12:44</v>
      </c>
    </row>
    <row r="21784" spans="1:7" x14ac:dyDescent="0.2">
      <c r="A21784" t="s">
        <v>20407</v>
      </c>
      <c r="B21784" t="str">
        <f>"15867020668"</f>
        <v>15867020668</v>
      </c>
      <c r="C21784" t="str">
        <f>"331022198910201293"</f>
        <v>331022198910201293</v>
      </c>
      <c r="D21784" t="s">
        <v>1</v>
      </c>
      <c r="E21784" t="s">
        <v>1</v>
      </c>
      <c r="F21784" t="s">
        <v>0</v>
      </c>
      <c r="G21784" t="str">
        <f>"2018-10-07 12:22:07"</f>
        <v>2018-10-07 12:22:07</v>
      </c>
    </row>
    <row r="21785" spans="1:7" x14ac:dyDescent="0.2">
      <c r="A21785" t="s">
        <v>1</v>
      </c>
      <c r="B21785" t="str">
        <f>"17694284758"</f>
        <v>17694284758</v>
      </c>
      <c r="C21785" t="s">
        <v>1</v>
      </c>
      <c r="D21785" t="s">
        <v>1</v>
      </c>
      <c r="E21785" t="s">
        <v>1</v>
      </c>
      <c r="F21785" t="s">
        <v>0</v>
      </c>
      <c r="G21785" t="str">
        <f>"2018-10-07 11:52:19"</f>
        <v>2018-10-07 11:52:19</v>
      </c>
    </row>
    <row r="21786" spans="1:7" x14ac:dyDescent="0.2">
      <c r="A21786" t="s">
        <v>19054</v>
      </c>
      <c r="B21786" t="str">
        <f>"18932495836"</f>
        <v>18932495836</v>
      </c>
      <c r="C21786" t="str">
        <f>"432930197807249271"</f>
        <v>432930197807249271</v>
      </c>
      <c r="D21786" t="s">
        <v>20408</v>
      </c>
      <c r="E21786" t="s">
        <v>20409</v>
      </c>
      <c r="F21786" t="s">
        <v>0</v>
      </c>
      <c r="G21786" t="str">
        <f>"2018-10-07 11:53:36"</f>
        <v>2018-10-07 11:53:36</v>
      </c>
    </row>
    <row r="21787" spans="1:7" x14ac:dyDescent="0.2">
      <c r="A21787" t="s">
        <v>20410</v>
      </c>
      <c r="B21787" t="str">
        <f>"15821077495"</f>
        <v>15821077495</v>
      </c>
      <c r="C21787" t="str">
        <f>"360721198603146016"</f>
        <v>360721198603146016</v>
      </c>
      <c r="D21787" t="s">
        <v>1</v>
      </c>
      <c r="E21787" t="s">
        <v>1</v>
      </c>
      <c r="F21787" t="s">
        <v>0</v>
      </c>
      <c r="G21787" t="str">
        <f>"2018-10-07 11:52:47"</f>
        <v>2018-10-07 11:52:47</v>
      </c>
    </row>
    <row r="21788" spans="1:7" x14ac:dyDescent="0.2">
      <c r="A21788" t="s">
        <v>170</v>
      </c>
      <c r="B21788" t="str">
        <f>"13337853385"</f>
        <v>13337853385</v>
      </c>
      <c r="C21788" t="str">
        <f>"321324199103280433"</f>
        <v>321324199103280433</v>
      </c>
      <c r="D21788" t="s">
        <v>1</v>
      </c>
      <c r="E21788" t="s">
        <v>1</v>
      </c>
      <c r="F21788" t="s">
        <v>0</v>
      </c>
      <c r="G21788" t="str">
        <f>"2018-10-07 11:57:30"</f>
        <v>2018-10-07 11:57:30</v>
      </c>
    </row>
    <row r="21789" spans="1:7" x14ac:dyDescent="0.2">
      <c r="A21789" t="s">
        <v>20411</v>
      </c>
      <c r="B21789" t="str">
        <f>"13169228551"</f>
        <v>13169228551</v>
      </c>
      <c r="C21789" t="str">
        <f>"441424199506120795"</f>
        <v>441424199506120795</v>
      </c>
      <c r="D21789" t="s">
        <v>20412</v>
      </c>
      <c r="E21789" t="s">
        <v>20413</v>
      </c>
      <c r="F21789" t="s">
        <v>0</v>
      </c>
      <c r="G21789" t="str">
        <f>"2018-11-01 15:33:35"</f>
        <v>2018-11-01 15:33:35</v>
      </c>
    </row>
    <row r="21790" spans="1:7" x14ac:dyDescent="0.2">
      <c r="A21790" t="s">
        <v>1</v>
      </c>
      <c r="B21790" t="str">
        <f>"18320579653"</f>
        <v>18320579653</v>
      </c>
      <c r="C21790" t="s">
        <v>1</v>
      </c>
      <c r="D21790" t="s">
        <v>1</v>
      </c>
      <c r="E21790" t="s">
        <v>1</v>
      </c>
      <c r="F21790" t="s">
        <v>0</v>
      </c>
      <c r="G21790" t="str">
        <f>"2018-10-07 11:51:02"</f>
        <v>2018-10-07 11:51:02</v>
      </c>
    </row>
    <row r="21791" spans="1:7" x14ac:dyDescent="0.2">
      <c r="A21791" t="s">
        <v>1</v>
      </c>
      <c r="B21791" t="str">
        <f>"18684110411"</f>
        <v>18684110411</v>
      </c>
      <c r="C21791" t="s">
        <v>1</v>
      </c>
      <c r="D21791" t="s">
        <v>1</v>
      </c>
      <c r="E21791" t="s">
        <v>1</v>
      </c>
      <c r="F21791" t="s">
        <v>0</v>
      </c>
      <c r="G21791" t="str">
        <f>"2018-10-07 11:51:00"</f>
        <v>2018-10-07 11:51:00</v>
      </c>
    </row>
    <row r="21792" spans="1:7" x14ac:dyDescent="0.2">
      <c r="A21792" t="s">
        <v>20414</v>
      </c>
      <c r="B21792" t="str">
        <f>"18032002559"</f>
        <v>18032002559</v>
      </c>
      <c r="C21792" t="str">
        <f>"130123199101113910"</f>
        <v>130123199101113910</v>
      </c>
      <c r="D21792" t="s">
        <v>1</v>
      </c>
      <c r="E21792" t="s">
        <v>1</v>
      </c>
      <c r="F21792" t="s">
        <v>0</v>
      </c>
      <c r="G21792" t="str">
        <f>"2018-10-17 09:35:13"</f>
        <v>2018-10-17 09:35:13</v>
      </c>
    </row>
    <row r="21793" spans="1:7" x14ac:dyDescent="0.2">
      <c r="A21793" t="s">
        <v>20415</v>
      </c>
      <c r="B21793" t="str">
        <f>"15071443884"</f>
        <v>15071443884</v>
      </c>
      <c r="C21793" t="str">
        <f>"421023199512123413"</f>
        <v>421023199512123413</v>
      </c>
      <c r="D21793" t="s">
        <v>1</v>
      </c>
      <c r="E21793" t="s">
        <v>1</v>
      </c>
      <c r="F21793" t="s">
        <v>0</v>
      </c>
      <c r="G21793" t="str">
        <f>"2018-10-07 11:50:12"</f>
        <v>2018-10-07 11:50:12</v>
      </c>
    </row>
    <row r="21794" spans="1:7" x14ac:dyDescent="0.2">
      <c r="A21794" t="s">
        <v>1</v>
      </c>
      <c r="B21794" t="str">
        <f>"13579921776"</f>
        <v>13579921776</v>
      </c>
      <c r="C21794" t="s">
        <v>1</v>
      </c>
      <c r="D21794" t="s">
        <v>1</v>
      </c>
      <c r="E21794" t="s">
        <v>1</v>
      </c>
      <c r="F21794" t="s">
        <v>0</v>
      </c>
      <c r="G21794" t="str">
        <f>"2018-10-07 11:50:09"</f>
        <v>2018-10-07 11:50:09</v>
      </c>
    </row>
    <row r="21795" spans="1:7" x14ac:dyDescent="0.2">
      <c r="A21795" t="s">
        <v>969</v>
      </c>
      <c r="B21795" t="str">
        <f>"13368665257"</f>
        <v>13368665257</v>
      </c>
      <c r="C21795" t="str">
        <f>"522122199310130037"</f>
        <v>522122199310130037</v>
      </c>
      <c r="D21795" t="s">
        <v>1</v>
      </c>
      <c r="E21795" t="s">
        <v>1</v>
      </c>
      <c r="F21795" t="s">
        <v>0</v>
      </c>
      <c r="G21795" t="str">
        <f>"2018-10-07 11:48:43"</f>
        <v>2018-10-07 11:48:43</v>
      </c>
    </row>
    <row r="21796" spans="1:7" x14ac:dyDescent="0.2">
      <c r="A21796" t="s">
        <v>20416</v>
      </c>
      <c r="B21796" t="str">
        <f>"13685829642"</f>
        <v>13685829642</v>
      </c>
      <c r="C21796" t="str">
        <f>"341024198109281720"</f>
        <v>341024198109281720</v>
      </c>
      <c r="D21796" t="s">
        <v>1</v>
      </c>
      <c r="E21796" t="s">
        <v>1</v>
      </c>
      <c r="F21796" t="s">
        <v>0</v>
      </c>
      <c r="G21796" t="str">
        <f>"2018-10-07 11:54:47"</f>
        <v>2018-10-07 11:54:47</v>
      </c>
    </row>
    <row r="21797" spans="1:7" x14ac:dyDescent="0.2">
      <c r="A21797" t="s">
        <v>1357</v>
      </c>
      <c r="B21797" t="str">
        <f>"18275236063"</f>
        <v>18275236063</v>
      </c>
      <c r="C21797" t="str">
        <f>"52012319960419484X"</f>
        <v>52012319960419484X</v>
      </c>
      <c r="D21797" t="s">
        <v>1</v>
      </c>
      <c r="E21797" t="s">
        <v>1</v>
      </c>
      <c r="F21797" t="s">
        <v>0</v>
      </c>
      <c r="G21797" t="str">
        <f>"2018-10-07 11:52:09"</f>
        <v>2018-10-07 11:52:09</v>
      </c>
    </row>
    <row r="21798" spans="1:7" x14ac:dyDescent="0.2">
      <c r="A21798" t="s">
        <v>439</v>
      </c>
      <c r="B21798" t="str">
        <f>"17783759167"</f>
        <v>17783759167</v>
      </c>
      <c r="C21798" t="str">
        <f>"500102198603020813"</f>
        <v>500102198603020813</v>
      </c>
      <c r="D21798" t="s">
        <v>20417</v>
      </c>
      <c r="E21798" t="s">
        <v>20418</v>
      </c>
      <c r="F21798" t="s">
        <v>0</v>
      </c>
      <c r="G21798" t="str">
        <f>"2018-10-07 11:49:58"</f>
        <v>2018-10-07 11:49:58</v>
      </c>
    </row>
    <row r="21799" spans="1:7" x14ac:dyDescent="0.2">
      <c r="A21799" t="s">
        <v>1</v>
      </c>
      <c r="B21799" t="str">
        <f>"13735501312"</f>
        <v>13735501312</v>
      </c>
      <c r="C21799" t="s">
        <v>1</v>
      </c>
      <c r="D21799" t="s">
        <v>1</v>
      </c>
      <c r="E21799" t="s">
        <v>1</v>
      </c>
      <c r="F21799" t="s">
        <v>0</v>
      </c>
      <c r="G21799" t="str">
        <f>"2018-10-07 11:48:18"</f>
        <v>2018-10-07 11:48:18</v>
      </c>
    </row>
    <row r="21800" spans="1:7" x14ac:dyDescent="0.2">
      <c r="A21800" t="s">
        <v>20419</v>
      </c>
      <c r="B21800" t="str">
        <f>"18347135440"</f>
        <v>18347135440</v>
      </c>
      <c r="C21800" t="str">
        <f>"150122199105164114"</f>
        <v>150122199105164114</v>
      </c>
      <c r="D21800" t="s">
        <v>1</v>
      </c>
      <c r="E21800" t="s">
        <v>1</v>
      </c>
      <c r="F21800" t="s">
        <v>0</v>
      </c>
      <c r="G21800" t="str">
        <f>"2018-10-07 12:13:16"</f>
        <v>2018-10-07 12:13:16</v>
      </c>
    </row>
    <row r="21801" spans="1:7" x14ac:dyDescent="0.2">
      <c r="A21801" t="s">
        <v>20420</v>
      </c>
      <c r="B21801" t="str">
        <f>"13456816876"</f>
        <v>13456816876</v>
      </c>
      <c r="C21801" t="str">
        <f>"341226198801025911"</f>
        <v>341226198801025911</v>
      </c>
      <c r="D21801" t="s">
        <v>1</v>
      </c>
      <c r="E21801" t="s">
        <v>1</v>
      </c>
      <c r="F21801" t="s">
        <v>0</v>
      </c>
      <c r="G21801" t="str">
        <f>"2018-10-08 18:52:47"</f>
        <v>2018-10-08 18:52:47</v>
      </c>
    </row>
    <row r="21802" spans="1:7" x14ac:dyDescent="0.2">
      <c r="A21802" t="s">
        <v>1</v>
      </c>
      <c r="B21802" t="str">
        <f>"15006192091"</f>
        <v>15006192091</v>
      </c>
      <c r="C21802" t="s">
        <v>1</v>
      </c>
      <c r="D21802" t="s">
        <v>1</v>
      </c>
      <c r="E21802" t="s">
        <v>1</v>
      </c>
      <c r="F21802" t="s">
        <v>0</v>
      </c>
      <c r="G21802" t="str">
        <f>"2018-10-07 11:47:38"</f>
        <v>2018-10-07 11:47:38</v>
      </c>
    </row>
    <row r="21803" spans="1:7" x14ac:dyDescent="0.2">
      <c r="A21803" t="s">
        <v>18010</v>
      </c>
      <c r="B21803" t="str">
        <f>"13623211838"</f>
        <v>13623211838</v>
      </c>
      <c r="C21803" t="str">
        <f>"130182199109255358"</f>
        <v>130182199109255358</v>
      </c>
      <c r="D21803" t="s">
        <v>1</v>
      </c>
      <c r="E21803" t="s">
        <v>1</v>
      </c>
      <c r="F21803" t="s">
        <v>0</v>
      </c>
      <c r="G21803" t="str">
        <f>"2018-10-07 11:49:23"</f>
        <v>2018-10-07 11:49:23</v>
      </c>
    </row>
    <row r="21804" spans="1:7" x14ac:dyDescent="0.2">
      <c r="A21804" t="s">
        <v>733</v>
      </c>
      <c r="B21804" t="str">
        <f>"13905015590"</f>
        <v>13905015590</v>
      </c>
      <c r="C21804" t="str">
        <f>"42088119900709622X"</f>
        <v>42088119900709622X</v>
      </c>
      <c r="D21804" t="s">
        <v>1</v>
      </c>
      <c r="E21804" t="s">
        <v>1</v>
      </c>
      <c r="F21804" t="s">
        <v>0</v>
      </c>
      <c r="G21804" t="str">
        <f>"2018-10-07 11:50:32"</f>
        <v>2018-10-07 11:50:32</v>
      </c>
    </row>
    <row r="21805" spans="1:7" x14ac:dyDescent="0.2">
      <c r="A21805" t="s">
        <v>11013</v>
      </c>
      <c r="B21805" t="str">
        <f>"13398650160"</f>
        <v>13398650160</v>
      </c>
      <c r="C21805" t="str">
        <f>"130302198502172916"</f>
        <v>130302198502172916</v>
      </c>
      <c r="D21805" t="s">
        <v>1</v>
      </c>
      <c r="E21805" t="s">
        <v>1</v>
      </c>
      <c r="F21805" t="s">
        <v>0</v>
      </c>
      <c r="G21805" t="str">
        <f>"2018-10-07 11:49:36"</f>
        <v>2018-10-07 11:49:36</v>
      </c>
    </row>
    <row r="21806" spans="1:7" x14ac:dyDescent="0.2">
      <c r="A21806" t="s">
        <v>20421</v>
      </c>
      <c r="B21806" t="str">
        <f>"13716622598"</f>
        <v>13716622598</v>
      </c>
      <c r="C21806" t="str">
        <f>"110111199205118215"</f>
        <v>110111199205118215</v>
      </c>
      <c r="D21806" t="s">
        <v>20422</v>
      </c>
      <c r="E21806" t="s">
        <v>20423</v>
      </c>
      <c r="F21806" t="s">
        <v>0</v>
      </c>
      <c r="G21806" t="str">
        <f>"2018-10-07 14:44:55"</f>
        <v>2018-10-07 14:44:55</v>
      </c>
    </row>
    <row r="21807" spans="1:7" x14ac:dyDescent="0.2">
      <c r="A21807" t="s">
        <v>1</v>
      </c>
      <c r="B21807" t="str">
        <f>"13110446094"</f>
        <v>13110446094</v>
      </c>
      <c r="C21807" t="s">
        <v>1</v>
      </c>
      <c r="D21807" t="s">
        <v>1</v>
      </c>
      <c r="E21807" t="s">
        <v>1</v>
      </c>
      <c r="F21807" t="s">
        <v>0</v>
      </c>
      <c r="G21807" t="str">
        <f>"2018-10-07 11:46:21"</f>
        <v>2018-10-07 11:46:21</v>
      </c>
    </row>
    <row r="21808" spans="1:7" x14ac:dyDescent="0.2">
      <c r="A21808" t="s">
        <v>20424</v>
      </c>
      <c r="B21808" t="str">
        <f>"17634022066"</f>
        <v>17634022066</v>
      </c>
      <c r="C21808" t="str">
        <f>"142701199805224537"</f>
        <v>142701199805224537</v>
      </c>
      <c r="D21808" t="s">
        <v>1047</v>
      </c>
      <c r="E21808" t="s">
        <v>20425</v>
      </c>
      <c r="F21808" t="s">
        <v>0</v>
      </c>
      <c r="G21808" t="str">
        <f>"2018-10-07 12:24:30"</f>
        <v>2018-10-07 12:24:30</v>
      </c>
    </row>
    <row r="21809" spans="1:7" x14ac:dyDescent="0.2">
      <c r="A21809" t="s">
        <v>1</v>
      </c>
      <c r="B21809" t="str">
        <f>"13898850533"</f>
        <v>13898850533</v>
      </c>
      <c r="C21809" t="s">
        <v>1</v>
      </c>
      <c r="D21809" t="s">
        <v>1</v>
      </c>
      <c r="E21809" t="s">
        <v>1</v>
      </c>
      <c r="F21809" t="s">
        <v>0</v>
      </c>
      <c r="G21809" t="str">
        <f>"2018-10-07 11:45:24"</f>
        <v>2018-10-07 11:45:24</v>
      </c>
    </row>
    <row r="21810" spans="1:7" x14ac:dyDescent="0.2">
      <c r="A21810" t="s">
        <v>20426</v>
      </c>
      <c r="B21810" t="str">
        <f>"13904908179"</f>
        <v>13904908179</v>
      </c>
      <c r="C21810" t="str">
        <f>"21120219820318279X"</f>
        <v>21120219820318279X</v>
      </c>
      <c r="D21810" t="s">
        <v>1</v>
      </c>
      <c r="E21810" t="s">
        <v>1</v>
      </c>
      <c r="F21810" t="s">
        <v>0</v>
      </c>
      <c r="G21810" t="str">
        <f>"2018-10-07 11:46:03"</f>
        <v>2018-10-07 11:46:03</v>
      </c>
    </row>
    <row r="21811" spans="1:7" x14ac:dyDescent="0.2">
      <c r="A21811" t="s">
        <v>20427</v>
      </c>
      <c r="B21811" t="str">
        <f>"18963040062"</f>
        <v>18963040062</v>
      </c>
      <c r="C21811" t="str">
        <f>"371102200008012532"</f>
        <v>371102200008012532</v>
      </c>
      <c r="D21811" t="s">
        <v>1</v>
      </c>
      <c r="E21811" t="s">
        <v>1</v>
      </c>
      <c r="F21811" t="s">
        <v>0</v>
      </c>
      <c r="G21811" t="str">
        <f>"2018-10-07 11:46:55"</f>
        <v>2018-10-07 11:46:55</v>
      </c>
    </row>
    <row r="21812" spans="1:7" x14ac:dyDescent="0.2">
      <c r="A21812" t="s">
        <v>20428</v>
      </c>
      <c r="B21812" t="str">
        <f>"15187865767"</f>
        <v>15187865767</v>
      </c>
      <c r="C21812" t="str">
        <f>"530381199312160310"</f>
        <v>530381199312160310</v>
      </c>
      <c r="D21812" t="s">
        <v>1</v>
      </c>
      <c r="E21812" t="s">
        <v>1</v>
      </c>
      <c r="F21812" t="s">
        <v>0</v>
      </c>
      <c r="G21812" t="str">
        <f>"2018-10-07 11:46:15"</f>
        <v>2018-10-07 11:46:15</v>
      </c>
    </row>
    <row r="21813" spans="1:7" x14ac:dyDescent="0.2">
      <c r="A21813" t="s">
        <v>1</v>
      </c>
      <c r="B21813" t="str">
        <f>"13017446635"</f>
        <v>13017446635</v>
      </c>
      <c r="C21813" t="s">
        <v>1</v>
      </c>
      <c r="D21813" t="s">
        <v>1</v>
      </c>
      <c r="E21813" t="s">
        <v>1</v>
      </c>
      <c r="F21813" t="s">
        <v>0</v>
      </c>
      <c r="G21813" t="str">
        <f>"2018-10-07 11:46:16"</f>
        <v>2018-10-07 11:46:16</v>
      </c>
    </row>
    <row r="21814" spans="1:7" x14ac:dyDescent="0.2">
      <c r="A21814" t="s">
        <v>20429</v>
      </c>
      <c r="B21814" t="str">
        <f>"18210217442"</f>
        <v>18210217442</v>
      </c>
      <c r="C21814" t="str">
        <f>"110228199607221517"</f>
        <v>110228199607221517</v>
      </c>
      <c r="D21814" t="s">
        <v>1</v>
      </c>
      <c r="E21814" t="s">
        <v>1</v>
      </c>
      <c r="F21814" t="s">
        <v>0</v>
      </c>
      <c r="G21814" t="str">
        <f>"2018-10-07 11:46:11"</f>
        <v>2018-10-07 11:46:11</v>
      </c>
    </row>
    <row r="21815" spans="1:7" x14ac:dyDescent="0.2">
      <c r="A21815" t="s">
        <v>20430</v>
      </c>
      <c r="B21815" t="str">
        <f>"18534532495"</f>
        <v>18534532495</v>
      </c>
      <c r="C21815" t="str">
        <f>"140511199510112319"</f>
        <v>140511199510112319</v>
      </c>
      <c r="D21815" t="s">
        <v>1</v>
      </c>
      <c r="E21815" t="s">
        <v>1</v>
      </c>
      <c r="F21815" t="s">
        <v>0</v>
      </c>
      <c r="G21815" t="str">
        <f>"2018-10-07 11:45:01"</f>
        <v>2018-10-07 11:45:01</v>
      </c>
    </row>
    <row r="21816" spans="1:7" x14ac:dyDescent="0.2">
      <c r="A21816" t="s">
        <v>20431</v>
      </c>
      <c r="B21816" t="str">
        <f>"13628499779"</f>
        <v>13628499779</v>
      </c>
      <c r="C21816" t="str">
        <f>"500102199203158148"</f>
        <v>500102199203158148</v>
      </c>
      <c r="D21816" t="s">
        <v>1</v>
      </c>
      <c r="E21816" t="s">
        <v>1</v>
      </c>
      <c r="F21816" t="s">
        <v>0</v>
      </c>
      <c r="G21816" t="str">
        <f>"2018-10-07 11:45:14"</f>
        <v>2018-10-07 11:45:14</v>
      </c>
    </row>
    <row r="21817" spans="1:7" x14ac:dyDescent="0.2">
      <c r="A21817" t="s">
        <v>1</v>
      </c>
      <c r="B21817" t="str">
        <f>"18223330363"</f>
        <v>18223330363</v>
      </c>
      <c r="C21817" t="s">
        <v>1</v>
      </c>
      <c r="D21817" t="s">
        <v>1</v>
      </c>
      <c r="E21817" t="s">
        <v>1</v>
      </c>
      <c r="F21817" t="s">
        <v>0</v>
      </c>
      <c r="G21817" t="str">
        <f>"2018-10-07 11:45:53"</f>
        <v>2018-10-07 11:45:53</v>
      </c>
    </row>
    <row r="21818" spans="1:7" x14ac:dyDescent="0.2">
      <c r="A21818" t="s">
        <v>20432</v>
      </c>
      <c r="B21818" t="str">
        <f>"18971920062"</f>
        <v>18971920062</v>
      </c>
      <c r="C21818" t="str">
        <f>"420323198908294711"</f>
        <v>420323198908294711</v>
      </c>
      <c r="D21818" t="s">
        <v>1</v>
      </c>
      <c r="E21818" t="s">
        <v>1</v>
      </c>
      <c r="F21818" t="s">
        <v>0</v>
      </c>
      <c r="G21818" t="str">
        <f>"2018-10-07 13:13:25"</f>
        <v>2018-10-07 13:13:25</v>
      </c>
    </row>
    <row r="21819" spans="1:7" x14ac:dyDescent="0.2">
      <c r="A21819" t="s">
        <v>1791</v>
      </c>
      <c r="B21819" t="str">
        <f>"13219970129"</f>
        <v>13219970129</v>
      </c>
      <c r="C21819" t="str">
        <f>"512922199701295957"</f>
        <v>512922199701295957</v>
      </c>
      <c r="D21819" t="s">
        <v>1</v>
      </c>
      <c r="E21819" t="s">
        <v>1</v>
      </c>
      <c r="F21819" t="s">
        <v>0</v>
      </c>
      <c r="G21819" t="str">
        <f>"2018-10-07 11:42:43"</f>
        <v>2018-10-07 11:42:43</v>
      </c>
    </row>
    <row r="21820" spans="1:7" x14ac:dyDescent="0.2">
      <c r="A21820" t="s">
        <v>20433</v>
      </c>
      <c r="B21820" t="str">
        <f>"13925683332"</f>
        <v>13925683332</v>
      </c>
      <c r="C21820" t="str">
        <f>"452524198003114311"</f>
        <v>452524198003114311</v>
      </c>
      <c r="D21820" t="s">
        <v>20434</v>
      </c>
      <c r="E21820" t="s">
        <v>20435</v>
      </c>
      <c r="F21820" t="s">
        <v>0</v>
      </c>
      <c r="G21820" t="str">
        <f>"2018-10-07 13:57:19"</f>
        <v>2018-10-07 13:57:19</v>
      </c>
    </row>
    <row r="21821" spans="1:7" x14ac:dyDescent="0.2">
      <c r="A21821" t="s">
        <v>20436</v>
      </c>
      <c r="B21821" t="str">
        <f>"13948644432"</f>
        <v>13948644432</v>
      </c>
      <c r="C21821" t="str">
        <f>"150426199004295811"</f>
        <v>150426199004295811</v>
      </c>
      <c r="D21821" t="s">
        <v>1</v>
      </c>
      <c r="E21821" t="s">
        <v>1</v>
      </c>
      <c r="F21821" t="s">
        <v>0</v>
      </c>
      <c r="G21821" t="str">
        <f>"2018-10-07 11:41:04"</f>
        <v>2018-10-07 11:41:04</v>
      </c>
    </row>
    <row r="21822" spans="1:7" x14ac:dyDescent="0.2">
      <c r="A21822" t="s">
        <v>1</v>
      </c>
      <c r="B21822" t="str">
        <f>"18008552660"</f>
        <v>18008552660</v>
      </c>
      <c r="C21822" t="s">
        <v>1</v>
      </c>
      <c r="D21822" t="s">
        <v>1</v>
      </c>
      <c r="E21822" t="s">
        <v>1</v>
      </c>
      <c r="F21822" t="s">
        <v>0</v>
      </c>
      <c r="G21822" t="str">
        <f>"2018-10-07 11:40:20"</f>
        <v>2018-10-07 11:40:20</v>
      </c>
    </row>
    <row r="21823" spans="1:7" x14ac:dyDescent="0.2">
      <c r="A21823" t="s">
        <v>20437</v>
      </c>
      <c r="B21823" t="str">
        <f>"15546066800"</f>
        <v>15546066800</v>
      </c>
      <c r="C21823" t="str">
        <f>"230125197901040737"</f>
        <v>230125197901040737</v>
      </c>
      <c r="D21823" t="s">
        <v>1</v>
      </c>
      <c r="E21823" t="s">
        <v>1</v>
      </c>
      <c r="F21823" t="s">
        <v>0</v>
      </c>
      <c r="G21823" t="str">
        <f>"2018-10-07 11:40:30"</f>
        <v>2018-10-07 11:40:30</v>
      </c>
    </row>
    <row r="21824" spans="1:7" x14ac:dyDescent="0.2">
      <c r="A21824" t="s">
        <v>20438</v>
      </c>
      <c r="B21824" t="str">
        <f>"17762707835"</f>
        <v>17762707835</v>
      </c>
      <c r="C21824" t="str">
        <f>"421122198102261033"</f>
        <v>421122198102261033</v>
      </c>
      <c r="D21824" t="s">
        <v>20439</v>
      </c>
      <c r="E21824" t="s">
        <v>20440</v>
      </c>
      <c r="F21824" t="s">
        <v>0</v>
      </c>
      <c r="G21824" t="str">
        <f>"2018-10-07 11:41:22"</f>
        <v>2018-10-07 11:41:22</v>
      </c>
    </row>
    <row r="21825" spans="1:7" x14ac:dyDescent="0.2">
      <c r="A21825" t="s">
        <v>20441</v>
      </c>
      <c r="B21825" t="str">
        <f>"13874687732"</f>
        <v>13874687732</v>
      </c>
      <c r="C21825" t="str">
        <f>"432922198204080029"</f>
        <v>432922198204080029</v>
      </c>
      <c r="D21825" t="s">
        <v>1</v>
      </c>
      <c r="E21825" t="s">
        <v>1</v>
      </c>
      <c r="F21825" t="s">
        <v>0</v>
      </c>
      <c r="G21825" t="str">
        <f>"2018-10-07 11:40:31"</f>
        <v>2018-10-07 11:40:31</v>
      </c>
    </row>
    <row r="21826" spans="1:7" x14ac:dyDescent="0.2">
      <c r="A21826" t="s">
        <v>1</v>
      </c>
      <c r="B21826" t="str">
        <f>"13996112279"</f>
        <v>13996112279</v>
      </c>
      <c r="C21826" t="s">
        <v>1</v>
      </c>
      <c r="D21826" t="s">
        <v>1</v>
      </c>
      <c r="E21826" t="s">
        <v>1</v>
      </c>
      <c r="F21826" t="s">
        <v>0</v>
      </c>
      <c r="G21826" t="str">
        <f>"2018-10-07 11:42:10"</f>
        <v>2018-10-07 11:42:10</v>
      </c>
    </row>
    <row r="21827" spans="1:7" x14ac:dyDescent="0.2">
      <c r="A21827" t="s">
        <v>371</v>
      </c>
      <c r="B21827" t="str">
        <f>"18932860909"</f>
        <v>18932860909</v>
      </c>
      <c r="C21827" t="str">
        <f>"130828199303080635"</f>
        <v>130828199303080635</v>
      </c>
      <c r="D21827" t="s">
        <v>20442</v>
      </c>
      <c r="E21827" t="s">
        <v>20443</v>
      </c>
      <c r="F21827" t="s">
        <v>0</v>
      </c>
      <c r="G21827" t="str">
        <f>"2018-10-09 14:10:35"</f>
        <v>2018-10-09 14:10:35</v>
      </c>
    </row>
    <row r="21828" spans="1:7" x14ac:dyDescent="0.2">
      <c r="A21828" t="s">
        <v>20444</v>
      </c>
      <c r="B21828" t="str">
        <f>"15318778812"</f>
        <v>15318778812</v>
      </c>
      <c r="C21828" t="str">
        <f>"370284198403270813"</f>
        <v>370284198403270813</v>
      </c>
      <c r="D21828" t="s">
        <v>1</v>
      </c>
      <c r="E21828" t="s">
        <v>1</v>
      </c>
      <c r="F21828" t="s">
        <v>0</v>
      </c>
      <c r="G21828" t="str">
        <f>"2018-10-07 12:14:58"</f>
        <v>2018-10-07 12:14:58</v>
      </c>
    </row>
    <row r="21829" spans="1:7" x14ac:dyDescent="0.2">
      <c r="A21829" t="s">
        <v>1</v>
      </c>
      <c r="B21829" t="str">
        <f>"15927409780"</f>
        <v>15927409780</v>
      </c>
      <c r="C21829" t="s">
        <v>1</v>
      </c>
      <c r="D21829" t="s">
        <v>1</v>
      </c>
      <c r="E21829" t="s">
        <v>1</v>
      </c>
      <c r="F21829" t="s">
        <v>0</v>
      </c>
      <c r="G21829" t="str">
        <f>"2018-10-07 11:38:00"</f>
        <v>2018-10-07 11:38:00</v>
      </c>
    </row>
    <row r="21830" spans="1:7" x14ac:dyDescent="0.2">
      <c r="A21830" t="s">
        <v>1</v>
      </c>
      <c r="B21830" t="str">
        <f>"13054367933"</f>
        <v>13054367933</v>
      </c>
      <c r="C21830" t="s">
        <v>1</v>
      </c>
      <c r="D21830" t="s">
        <v>1</v>
      </c>
      <c r="E21830" t="s">
        <v>1</v>
      </c>
      <c r="F21830" t="s">
        <v>0</v>
      </c>
      <c r="G21830" t="str">
        <f>"2018-10-07 11:37:25"</f>
        <v>2018-10-07 11:37:25</v>
      </c>
    </row>
    <row r="21831" spans="1:7" x14ac:dyDescent="0.2">
      <c r="A21831" t="s">
        <v>20445</v>
      </c>
      <c r="B21831" t="str">
        <f>"13808433589"</f>
        <v>13808433589</v>
      </c>
      <c r="C21831" t="str">
        <f>"430103199303300023"</f>
        <v>430103199303300023</v>
      </c>
      <c r="D21831" t="s">
        <v>1</v>
      </c>
      <c r="E21831" t="s">
        <v>1</v>
      </c>
      <c r="F21831" t="s">
        <v>0</v>
      </c>
      <c r="G21831" t="str">
        <f>"2018-10-07 11:46:42"</f>
        <v>2018-10-07 11:46:42</v>
      </c>
    </row>
    <row r="21832" spans="1:7" x14ac:dyDescent="0.2">
      <c r="A21832" t="s">
        <v>1</v>
      </c>
      <c r="B21832" t="str">
        <f>"18173529715"</f>
        <v>18173529715</v>
      </c>
      <c r="C21832" t="s">
        <v>1</v>
      </c>
      <c r="D21832" t="s">
        <v>1</v>
      </c>
      <c r="E21832" t="s">
        <v>1</v>
      </c>
      <c r="F21832" t="s">
        <v>0</v>
      </c>
      <c r="G21832" t="str">
        <f>"2018-10-07 11:40:46"</f>
        <v>2018-10-07 11:40:46</v>
      </c>
    </row>
    <row r="21833" spans="1:7" x14ac:dyDescent="0.2">
      <c r="A21833" t="s">
        <v>20446</v>
      </c>
      <c r="B21833" t="str">
        <f>"13752175173"</f>
        <v>13752175173</v>
      </c>
      <c r="C21833" t="str">
        <f>"120105199008306019"</f>
        <v>120105199008306019</v>
      </c>
      <c r="D21833" t="s">
        <v>1</v>
      </c>
      <c r="E21833" t="s">
        <v>1</v>
      </c>
      <c r="F21833" t="s">
        <v>0</v>
      </c>
      <c r="G21833" t="str">
        <f>"2018-10-22 14:33:37"</f>
        <v>2018-10-22 14:33:37</v>
      </c>
    </row>
    <row r="21834" spans="1:7" x14ac:dyDescent="0.2">
      <c r="A21834" t="s">
        <v>20447</v>
      </c>
      <c r="B21834" t="str">
        <f>"13941838771"</f>
        <v>13941838771</v>
      </c>
      <c r="C21834" t="str">
        <f>"210921199404080029"</f>
        <v>210921199404080029</v>
      </c>
      <c r="D21834" t="s">
        <v>1</v>
      </c>
      <c r="E21834" t="s">
        <v>1</v>
      </c>
      <c r="F21834" t="s">
        <v>0</v>
      </c>
      <c r="G21834" t="str">
        <f>"2018-10-07 11:36:35"</f>
        <v>2018-10-07 11:36:35</v>
      </c>
    </row>
    <row r="21835" spans="1:7" x14ac:dyDescent="0.2">
      <c r="A21835" t="s">
        <v>20448</v>
      </c>
      <c r="B21835" t="str">
        <f>"18207699238"</f>
        <v>18207699238</v>
      </c>
      <c r="C21835" t="str">
        <f>"513022198712026979"</f>
        <v>513022198712026979</v>
      </c>
      <c r="D21835" t="s">
        <v>20449</v>
      </c>
      <c r="E21835" t="s">
        <v>20450</v>
      </c>
      <c r="F21835" t="s">
        <v>0</v>
      </c>
      <c r="G21835" t="str">
        <f>"2018-10-30 13:27:31"</f>
        <v>2018-10-30 13:27:31</v>
      </c>
    </row>
    <row r="21836" spans="1:7" x14ac:dyDescent="0.2">
      <c r="A21836" t="s">
        <v>14809</v>
      </c>
      <c r="B21836" t="str">
        <f>"18929376683"</f>
        <v>18929376683</v>
      </c>
      <c r="C21836" t="str">
        <f>"511303198710012456"</f>
        <v>511303198710012456</v>
      </c>
      <c r="D21836" t="s">
        <v>1</v>
      </c>
      <c r="E21836" t="s">
        <v>1</v>
      </c>
      <c r="F21836" t="s">
        <v>0</v>
      </c>
      <c r="G21836" t="str">
        <f>"2018-10-07 13:32:43"</f>
        <v>2018-10-07 13:32:43</v>
      </c>
    </row>
    <row r="21837" spans="1:7" x14ac:dyDescent="0.2">
      <c r="A21837" t="s">
        <v>1</v>
      </c>
      <c r="B21837" t="str">
        <f>"13979345661"</f>
        <v>13979345661</v>
      </c>
      <c r="C21837" t="s">
        <v>1</v>
      </c>
      <c r="D21837" t="s">
        <v>1</v>
      </c>
      <c r="E21837" t="s">
        <v>1</v>
      </c>
      <c r="F21837" t="s">
        <v>0</v>
      </c>
      <c r="G21837" t="str">
        <f>"2018-10-07 11:34:59"</f>
        <v>2018-10-07 11:34:59</v>
      </c>
    </row>
    <row r="21838" spans="1:7" x14ac:dyDescent="0.2">
      <c r="A21838" t="s">
        <v>1427</v>
      </c>
      <c r="B21838" t="str">
        <f>"13886662251"</f>
        <v>13886662251</v>
      </c>
      <c r="C21838" t="str">
        <f>"420526198608111012"</f>
        <v>420526198608111012</v>
      </c>
      <c r="D21838" t="s">
        <v>1</v>
      </c>
      <c r="E21838" t="s">
        <v>1</v>
      </c>
      <c r="F21838" t="s">
        <v>0</v>
      </c>
      <c r="G21838" t="str">
        <f>"2018-10-07 11:45:05"</f>
        <v>2018-10-07 11:45:05</v>
      </c>
    </row>
    <row r="21839" spans="1:7" x14ac:dyDescent="0.2">
      <c r="A21839" t="s">
        <v>1</v>
      </c>
      <c r="B21839" t="str">
        <f>"13982737948"</f>
        <v>13982737948</v>
      </c>
      <c r="C21839" t="s">
        <v>1</v>
      </c>
      <c r="D21839" t="s">
        <v>1</v>
      </c>
      <c r="E21839" t="s">
        <v>1</v>
      </c>
      <c r="F21839" t="s">
        <v>0</v>
      </c>
      <c r="G21839" t="str">
        <f>"2018-10-07 11:35:43"</f>
        <v>2018-10-07 11:35:43</v>
      </c>
    </row>
    <row r="21840" spans="1:7" x14ac:dyDescent="0.2">
      <c r="A21840" t="s">
        <v>1</v>
      </c>
      <c r="B21840" t="str">
        <f>"18079886833"</f>
        <v>18079886833</v>
      </c>
      <c r="C21840" t="s">
        <v>1</v>
      </c>
      <c r="D21840" t="s">
        <v>1</v>
      </c>
      <c r="E21840" t="s">
        <v>1</v>
      </c>
      <c r="F21840" t="s">
        <v>0</v>
      </c>
      <c r="G21840" t="str">
        <f>"2018-10-07 11:37:37"</f>
        <v>2018-10-07 11:37:37</v>
      </c>
    </row>
    <row r="21841" spans="1:7" x14ac:dyDescent="0.2">
      <c r="A21841" t="s">
        <v>924</v>
      </c>
      <c r="B21841" t="str">
        <f>"13611588579"</f>
        <v>13611588579</v>
      </c>
      <c r="C21841" t="str">
        <f>"320113198507091211"</f>
        <v>320113198507091211</v>
      </c>
      <c r="D21841" t="s">
        <v>1</v>
      </c>
      <c r="E21841" t="s">
        <v>1</v>
      </c>
      <c r="F21841" t="s">
        <v>0</v>
      </c>
      <c r="G21841" t="str">
        <f>"2018-10-09 10:06:40"</f>
        <v>2018-10-09 10:06:40</v>
      </c>
    </row>
    <row r="21842" spans="1:7" x14ac:dyDescent="0.2">
      <c r="A21842" t="s">
        <v>1868</v>
      </c>
      <c r="B21842" t="str">
        <f>"15385855662"</f>
        <v>15385855662</v>
      </c>
      <c r="C21842" t="str">
        <f>"340304198809120012"</f>
        <v>340304198809120012</v>
      </c>
      <c r="D21842" t="s">
        <v>20451</v>
      </c>
      <c r="E21842" t="s">
        <v>20452</v>
      </c>
      <c r="F21842" t="s">
        <v>0</v>
      </c>
      <c r="G21842" t="str">
        <f>"2018-10-07 11:33:16"</f>
        <v>2018-10-07 11:33:16</v>
      </c>
    </row>
    <row r="21843" spans="1:7" x14ac:dyDescent="0.2">
      <c r="A21843" t="s">
        <v>407</v>
      </c>
      <c r="B21843" t="str">
        <f>"18053666575"</f>
        <v>18053666575</v>
      </c>
      <c r="C21843" t="str">
        <f>"370781199403197516"</f>
        <v>370781199403197516</v>
      </c>
      <c r="D21843" t="s">
        <v>20453</v>
      </c>
      <c r="E21843" t="s">
        <v>20454</v>
      </c>
      <c r="F21843" t="s">
        <v>0</v>
      </c>
      <c r="G21843" t="str">
        <f>"2018-10-07 11:33:34"</f>
        <v>2018-10-07 11:33:34</v>
      </c>
    </row>
    <row r="21844" spans="1:7" x14ac:dyDescent="0.2">
      <c r="A21844" t="s">
        <v>1</v>
      </c>
      <c r="B21844" t="str">
        <f>"18957601230"</f>
        <v>18957601230</v>
      </c>
      <c r="C21844" t="s">
        <v>1</v>
      </c>
      <c r="D21844" t="s">
        <v>1</v>
      </c>
      <c r="E21844" t="s">
        <v>1</v>
      </c>
      <c r="F21844" t="s">
        <v>0</v>
      </c>
      <c r="G21844" t="str">
        <f>"2018-10-07 11:32:03"</f>
        <v>2018-10-07 11:32:03</v>
      </c>
    </row>
    <row r="21845" spans="1:7" x14ac:dyDescent="0.2">
      <c r="A21845" t="s">
        <v>813</v>
      </c>
      <c r="B21845" t="str">
        <f>"13365795670"</f>
        <v>13365795670</v>
      </c>
      <c r="C21845" t="str">
        <f>"342422198703047590"</f>
        <v>342422198703047590</v>
      </c>
      <c r="D21845" t="s">
        <v>1</v>
      </c>
      <c r="E21845" t="s">
        <v>1</v>
      </c>
      <c r="F21845" t="s">
        <v>0</v>
      </c>
      <c r="G21845" t="str">
        <f>"2018-10-07 11:32:52"</f>
        <v>2018-10-07 11:32:52</v>
      </c>
    </row>
    <row r="21846" spans="1:7" x14ac:dyDescent="0.2">
      <c r="A21846" t="s">
        <v>20455</v>
      </c>
      <c r="B21846" t="str">
        <f>"13832226144"</f>
        <v>13832226144</v>
      </c>
      <c r="C21846" t="str">
        <f>"13062319811003271X"</f>
        <v>13062319811003271X</v>
      </c>
      <c r="D21846" t="s">
        <v>1</v>
      </c>
      <c r="E21846" t="s">
        <v>1</v>
      </c>
      <c r="F21846" t="s">
        <v>0</v>
      </c>
      <c r="G21846" t="str">
        <f>"2018-10-07 11:51:17"</f>
        <v>2018-10-07 11:51:17</v>
      </c>
    </row>
    <row r="21847" spans="1:7" x14ac:dyDescent="0.2">
      <c r="A21847" t="s">
        <v>20456</v>
      </c>
      <c r="B21847" t="str">
        <f>"18751999452"</f>
        <v>18751999452</v>
      </c>
      <c r="C21847" t="str">
        <f>"320114199402122115"</f>
        <v>320114199402122115</v>
      </c>
      <c r="D21847" t="s">
        <v>20457</v>
      </c>
      <c r="E21847" t="s">
        <v>20458</v>
      </c>
      <c r="F21847" t="s">
        <v>0</v>
      </c>
      <c r="G21847" t="str">
        <f>"2018-10-07 11:31:26"</f>
        <v>2018-10-07 11:31:26</v>
      </c>
    </row>
    <row r="21848" spans="1:7" x14ac:dyDescent="0.2">
      <c r="A21848" t="s">
        <v>1</v>
      </c>
      <c r="B21848" t="str">
        <f>"13779552550"</f>
        <v>13779552550</v>
      </c>
      <c r="C21848" t="s">
        <v>1</v>
      </c>
      <c r="D21848" t="s">
        <v>1</v>
      </c>
      <c r="E21848" t="s">
        <v>1</v>
      </c>
      <c r="F21848" t="s">
        <v>0</v>
      </c>
      <c r="G21848" t="str">
        <f>"2018-10-07 11:32:42"</f>
        <v>2018-10-07 11:32:42</v>
      </c>
    </row>
    <row r="21849" spans="1:7" x14ac:dyDescent="0.2">
      <c r="A21849" t="s">
        <v>20459</v>
      </c>
      <c r="B21849" t="str">
        <f>"18183950043"</f>
        <v>18183950043</v>
      </c>
      <c r="C21849" t="str">
        <f>"533025198909110325"</f>
        <v>533025198909110325</v>
      </c>
      <c r="D21849" t="s">
        <v>20460</v>
      </c>
      <c r="E21849" t="s">
        <v>20461</v>
      </c>
      <c r="F21849" t="s">
        <v>0</v>
      </c>
      <c r="G21849" t="str">
        <f>"2018-10-07 11:32:12"</f>
        <v>2018-10-07 11:32:12</v>
      </c>
    </row>
    <row r="21850" spans="1:7" x14ac:dyDescent="0.2">
      <c r="A21850" t="s">
        <v>20462</v>
      </c>
      <c r="B21850" t="str">
        <f>"15271000054"</f>
        <v>15271000054</v>
      </c>
      <c r="C21850" t="str">
        <f>"420684199211235512"</f>
        <v>420684199211235512</v>
      </c>
      <c r="D21850" t="s">
        <v>1</v>
      </c>
      <c r="E21850" t="s">
        <v>1</v>
      </c>
      <c r="F21850" t="s">
        <v>0</v>
      </c>
      <c r="G21850" t="str">
        <f>"2018-10-07 12:43:18"</f>
        <v>2018-10-07 12:43:18</v>
      </c>
    </row>
    <row r="21851" spans="1:7" x14ac:dyDescent="0.2">
      <c r="A21851" t="s">
        <v>20463</v>
      </c>
      <c r="B21851" t="str">
        <f>"13381224061"</f>
        <v>13381224061</v>
      </c>
      <c r="C21851" t="str">
        <f>"150202199012271527"</f>
        <v>150202199012271527</v>
      </c>
      <c r="D21851" t="s">
        <v>1</v>
      </c>
      <c r="E21851" t="s">
        <v>1</v>
      </c>
      <c r="F21851" t="s">
        <v>0</v>
      </c>
      <c r="G21851" t="str">
        <f>"2018-10-07 11:31:10"</f>
        <v>2018-10-07 11:31:10</v>
      </c>
    </row>
    <row r="21852" spans="1:7" x14ac:dyDescent="0.2">
      <c r="A21852" t="s">
        <v>1</v>
      </c>
      <c r="B21852" t="str">
        <f>"18627485738"</f>
        <v>18627485738</v>
      </c>
      <c r="C21852" t="s">
        <v>1</v>
      </c>
      <c r="D21852" t="s">
        <v>1</v>
      </c>
      <c r="E21852" t="s">
        <v>1</v>
      </c>
      <c r="F21852" t="s">
        <v>0</v>
      </c>
      <c r="G21852" t="str">
        <f>"2018-10-07 11:29:24"</f>
        <v>2018-10-07 11:29:24</v>
      </c>
    </row>
    <row r="21853" spans="1:7" x14ac:dyDescent="0.2">
      <c r="A21853" t="s">
        <v>20464</v>
      </c>
      <c r="B21853" t="str">
        <f>"18077068868"</f>
        <v>18077068868</v>
      </c>
      <c r="C21853" t="str">
        <f>"452822198308120951"</f>
        <v>452822198308120951</v>
      </c>
      <c r="D21853" t="s">
        <v>1</v>
      </c>
      <c r="E21853" t="s">
        <v>1</v>
      </c>
      <c r="F21853" t="s">
        <v>0</v>
      </c>
      <c r="G21853" t="str">
        <f>"2018-10-07 11:36:50"</f>
        <v>2018-10-07 11:36:50</v>
      </c>
    </row>
    <row r="21854" spans="1:7" x14ac:dyDescent="0.2">
      <c r="A21854" t="s">
        <v>20465</v>
      </c>
      <c r="B21854" t="str">
        <f>"18969787090"</f>
        <v>18969787090</v>
      </c>
      <c r="C21854" t="str">
        <f>"620502197404185855"</f>
        <v>620502197404185855</v>
      </c>
      <c r="D21854" t="s">
        <v>1</v>
      </c>
      <c r="E21854" t="s">
        <v>1</v>
      </c>
      <c r="F21854" t="s">
        <v>0</v>
      </c>
      <c r="G21854" t="str">
        <f>"2018-10-07 11:45:39"</f>
        <v>2018-10-07 11:45:39</v>
      </c>
    </row>
    <row r="21855" spans="1:7" x14ac:dyDescent="0.2">
      <c r="A21855" t="s">
        <v>12118</v>
      </c>
      <c r="B21855" t="str">
        <f>"13176718991"</f>
        <v>13176718991</v>
      </c>
      <c r="C21855" t="str">
        <f>"370782199503175513"</f>
        <v>370782199503175513</v>
      </c>
      <c r="D21855" t="s">
        <v>1</v>
      </c>
      <c r="E21855" t="s">
        <v>1</v>
      </c>
      <c r="F21855" t="s">
        <v>0</v>
      </c>
      <c r="G21855" t="str">
        <f>"2018-10-07 11:30:36"</f>
        <v>2018-10-07 11:30:36</v>
      </c>
    </row>
    <row r="21856" spans="1:7" x14ac:dyDescent="0.2">
      <c r="A21856" t="s">
        <v>994</v>
      </c>
      <c r="B21856" t="str">
        <f>"18166214052"</f>
        <v>18166214052</v>
      </c>
      <c r="C21856" t="str">
        <f>"431224197608240016"</f>
        <v>431224197608240016</v>
      </c>
      <c r="D21856" t="s">
        <v>1</v>
      </c>
      <c r="E21856" t="s">
        <v>1</v>
      </c>
      <c r="F21856" t="s">
        <v>0</v>
      </c>
      <c r="G21856" t="str">
        <f>"2018-10-07 11:29:50"</f>
        <v>2018-10-07 11:29:50</v>
      </c>
    </row>
    <row r="21857" spans="1:7" x14ac:dyDescent="0.2">
      <c r="A21857" t="s">
        <v>20466</v>
      </c>
      <c r="B21857" t="str">
        <f>"18941833737"</f>
        <v>18941833737</v>
      </c>
      <c r="C21857" t="str">
        <f>"210921199111136113"</f>
        <v>210921199111136113</v>
      </c>
      <c r="D21857" t="s">
        <v>20467</v>
      </c>
      <c r="E21857" t="s">
        <v>20468</v>
      </c>
      <c r="F21857" t="s">
        <v>0</v>
      </c>
      <c r="G21857" t="str">
        <f>"2018-10-07 12:15:54"</f>
        <v>2018-10-07 12:15:54</v>
      </c>
    </row>
    <row r="21858" spans="1:7" x14ac:dyDescent="0.2">
      <c r="A21858" t="s">
        <v>20469</v>
      </c>
      <c r="B21858" t="str">
        <f>"13288735848"</f>
        <v>13288735848</v>
      </c>
      <c r="C21858" t="str">
        <f>"445381198808207811"</f>
        <v>445381198808207811</v>
      </c>
      <c r="D21858" t="s">
        <v>1</v>
      </c>
      <c r="E21858" t="s">
        <v>1</v>
      </c>
      <c r="F21858" t="s">
        <v>0</v>
      </c>
      <c r="G21858" t="str">
        <f>"2018-10-07 11:34:09"</f>
        <v>2018-10-07 11:34:09</v>
      </c>
    </row>
    <row r="21859" spans="1:7" x14ac:dyDescent="0.2">
      <c r="A21859" t="s">
        <v>757</v>
      </c>
      <c r="B21859" t="str">
        <f>"18787471251"</f>
        <v>18787471251</v>
      </c>
      <c r="C21859" t="str">
        <f>"532627199601080341"</f>
        <v>532627199601080341</v>
      </c>
      <c r="D21859" t="s">
        <v>1</v>
      </c>
      <c r="E21859" t="s">
        <v>1</v>
      </c>
      <c r="F21859" t="s">
        <v>0</v>
      </c>
      <c r="G21859" t="str">
        <f>"2018-10-07 12:37:21"</f>
        <v>2018-10-07 12:37:21</v>
      </c>
    </row>
    <row r="21860" spans="1:7" x14ac:dyDescent="0.2">
      <c r="A21860" t="s">
        <v>20470</v>
      </c>
      <c r="B21860" t="str">
        <f>"13693627158"</f>
        <v>13693627158</v>
      </c>
      <c r="C21860" t="str">
        <f>"654122199710020049"</f>
        <v>654122199710020049</v>
      </c>
      <c r="D21860" t="s">
        <v>1</v>
      </c>
      <c r="E21860" t="s">
        <v>1</v>
      </c>
      <c r="F21860" t="s">
        <v>0</v>
      </c>
      <c r="G21860" t="str">
        <f>"2018-10-07 11:42:49"</f>
        <v>2018-10-07 11:42:49</v>
      </c>
    </row>
    <row r="21861" spans="1:7" x14ac:dyDescent="0.2">
      <c r="A21861" t="s">
        <v>20471</v>
      </c>
      <c r="B21861" t="str">
        <f>"18185616675"</f>
        <v>18185616675</v>
      </c>
      <c r="C21861" t="str">
        <f>"522224199504210017"</f>
        <v>522224199504210017</v>
      </c>
      <c r="D21861" t="s">
        <v>1</v>
      </c>
      <c r="E21861" t="s">
        <v>1</v>
      </c>
      <c r="F21861" t="s">
        <v>0</v>
      </c>
      <c r="G21861" t="str">
        <f>"2018-10-07 11:29:20"</f>
        <v>2018-10-07 11:29:20</v>
      </c>
    </row>
    <row r="21862" spans="1:7" x14ac:dyDescent="0.2">
      <c r="A21862" t="s">
        <v>20472</v>
      </c>
      <c r="B21862" t="str">
        <f>"18357952260"</f>
        <v>18357952260</v>
      </c>
      <c r="C21862" t="str">
        <f>"410221199410212736"</f>
        <v>410221199410212736</v>
      </c>
      <c r="D21862" t="s">
        <v>1</v>
      </c>
      <c r="E21862" t="s">
        <v>1</v>
      </c>
      <c r="F21862" t="s">
        <v>0</v>
      </c>
      <c r="G21862" t="str">
        <f>"2018-10-07 11:26:48"</f>
        <v>2018-10-07 11:26:48</v>
      </c>
    </row>
    <row r="21863" spans="1:7" x14ac:dyDescent="0.2">
      <c r="A21863" t="s">
        <v>1</v>
      </c>
      <c r="B21863" t="str">
        <f>"18008679592"</f>
        <v>18008679592</v>
      </c>
      <c r="C21863" t="s">
        <v>1</v>
      </c>
      <c r="D21863" t="s">
        <v>1</v>
      </c>
      <c r="E21863" t="s">
        <v>1</v>
      </c>
      <c r="F21863" t="s">
        <v>0</v>
      </c>
      <c r="G21863" t="str">
        <f>"2018-10-07 11:27:50"</f>
        <v>2018-10-07 11:27:50</v>
      </c>
    </row>
    <row r="21864" spans="1:7" x14ac:dyDescent="0.2">
      <c r="A21864" t="s">
        <v>1</v>
      </c>
      <c r="B21864" t="str">
        <f>"13125167418"</f>
        <v>13125167418</v>
      </c>
      <c r="C21864" t="s">
        <v>1</v>
      </c>
      <c r="D21864" t="s">
        <v>1</v>
      </c>
      <c r="E21864" t="s">
        <v>1</v>
      </c>
      <c r="F21864" t="s">
        <v>0</v>
      </c>
      <c r="G21864" t="str">
        <f>"2018-10-07 11:26:15"</f>
        <v>2018-10-07 11:26:15</v>
      </c>
    </row>
    <row r="21865" spans="1:7" x14ac:dyDescent="0.2">
      <c r="A21865" t="s">
        <v>1</v>
      </c>
      <c r="B21865" t="str">
        <f>"18722332588"</f>
        <v>18722332588</v>
      </c>
      <c r="C21865" t="s">
        <v>1</v>
      </c>
      <c r="D21865" t="s">
        <v>1</v>
      </c>
      <c r="E21865" t="s">
        <v>1</v>
      </c>
      <c r="F21865" t="s">
        <v>0</v>
      </c>
      <c r="G21865" t="str">
        <f>"2018-10-07 11:26:14"</f>
        <v>2018-10-07 11:26:14</v>
      </c>
    </row>
    <row r="21866" spans="1:7" x14ac:dyDescent="0.2">
      <c r="A21866" t="s">
        <v>20473</v>
      </c>
      <c r="B21866" t="str">
        <f>"13755455026"</f>
        <v>13755455026</v>
      </c>
      <c r="C21866" t="str">
        <f>"362421199701215919"</f>
        <v>362421199701215919</v>
      </c>
      <c r="D21866" t="s">
        <v>1</v>
      </c>
      <c r="E21866" t="s">
        <v>1</v>
      </c>
      <c r="F21866" t="s">
        <v>0</v>
      </c>
      <c r="G21866" t="str">
        <f>"2018-10-07 11:26:39"</f>
        <v>2018-10-07 11:26:39</v>
      </c>
    </row>
    <row r="21867" spans="1:7" x14ac:dyDescent="0.2">
      <c r="A21867" t="s">
        <v>1251</v>
      </c>
      <c r="B21867" t="str">
        <f>"18303290439"</f>
        <v>18303290439</v>
      </c>
      <c r="C21867" t="str">
        <f>"130926199002010839"</f>
        <v>130926199002010839</v>
      </c>
      <c r="D21867" t="s">
        <v>1</v>
      </c>
      <c r="E21867" t="s">
        <v>1</v>
      </c>
      <c r="F21867" t="s">
        <v>0</v>
      </c>
      <c r="G21867" t="str">
        <f>"2018-10-07 11:27:50"</f>
        <v>2018-10-07 11:27:50</v>
      </c>
    </row>
    <row r="21868" spans="1:7" x14ac:dyDescent="0.2">
      <c r="A21868" t="s">
        <v>1</v>
      </c>
      <c r="B21868" t="str">
        <f>"15842239444"</f>
        <v>15842239444</v>
      </c>
      <c r="C21868" t="s">
        <v>1</v>
      </c>
      <c r="D21868" t="s">
        <v>1</v>
      </c>
      <c r="E21868" t="s">
        <v>1</v>
      </c>
      <c r="F21868" t="s">
        <v>0</v>
      </c>
      <c r="G21868" t="str">
        <f>"2018-10-07 11:24:42"</f>
        <v>2018-10-07 11:24:42</v>
      </c>
    </row>
    <row r="21869" spans="1:7" x14ac:dyDescent="0.2">
      <c r="A21869" t="s">
        <v>1</v>
      </c>
      <c r="B21869" t="str">
        <f>"18841690111"</f>
        <v>18841690111</v>
      </c>
      <c r="C21869" t="s">
        <v>1</v>
      </c>
      <c r="D21869" t="s">
        <v>1</v>
      </c>
      <c r="E21869" t="s">
        <v>1</v>
      </c>
      <c r="F21869" t="s">
        <v>0</v>
      </c>
      <c r="G21869" t="str">
        <f>"2018-10-07 11:41:07"</f>
        <v>2018-10-07 11:41:07</v>
      </c>
    </row>
    <row r="21870" spans="1:7" x14ac:dyDescent="0.2">
      <c r="A21870" t="s">
        <v>1</v>
      </c>
      <c r="B21870" t="str">
        <f>"15208626125"</f>
        <v>15208626125</v>
      </c>
      <c r="C21870" t="s">
        <v>1</v>
      </c>
      <c r="D21870" t="s">
        <v>1</v>
      </c>
      <c r="E21870" t="s">
        <v>1</v>
      </c>
      <c r="F21870" t="s">
        <v>0</v>
      </c>
      <c r="G21870" t="str">
        <f>"2018-10-07 11:23:44"</f>
        <v>2018-10-07 11:23:44</v>
      </c>
    </row>
    <row r="21871" spans="1:7" x14ac:dyDescent="0.2">
      <c r="A21871" t="s">
        <v>1</v>
      </c>
      <c r="B21871" t="str">
        <f>"13808513769"</f>
        <v>13808513769</v>
      </c>
      <c r="C21871" t="s">
        <v>1</v>
      </c>
      <c r="D21871" t="s">
        <v>1</v>
      </c>
      <c r="E21871" t="s">
        <v>1</v>
      </c>
      <c r="F21871" t="s">
        <v>0</v>
      </c>
      <c r="G21871" t="str">
        <f>"2018-10-07 11:23:23"</f>
        <v>2018-10-07 11:23:23</v>
      </c>
    </row>
    <row r="21872" spans="1:7" x14ac:dyDescent="0.2">
      <c r="A21872" t="s">
        <v>20474</v>
      </c>
      <c r="B21872" t="str">
        <f>"15104021513"</f>
        <v>15104021513</v>
      </c>
      <c r="C21872" t="str">
        <f>"372924199808130040"</f>
        <v>372924199808130040</v>
      </c>
      <c r="D21872" t="s">
        <v>1</v>
      </c>
      <c r="E21872" t="s">
        <v>1</v>
      </c>
      <c r="F21872" t="s">
        <v>0</v>
      </c>
      <c r="G21872" t="str">
        <f>"2018-10-07 11:24:56"</f>
        <v>2018-10-07 11:24:56</v>
      </c>
    </row>
    <row r="21873" spans="1:7" x14ac:dyDescent="0.2">
      <c r="A21873" t="s">
        <v>20475</v>
      </c>
      <c r="B21873" t="str">
        <f>"18914577466"</f>
        <v>18914577466</v>
      </c>
      <c r="C21873" t="str">
        <f>"321111197910232970"</f>
        <v>321111197910232970</v>
      </c>
      <c r="D21873" t="s">
        <v>1</v>
      </c>
      <c r="E21873" t="s">
        <v>1</v>
      </c>
      <c r="F21873" t="s">
        <v>0</v>
      </c>
      <c r="G21873" t="str">
        <f>"2018-10-08 07:39:10"</f>
        <v>2018-10-08 07:39:10</v>
      </c>
    </row>
    <row r="21874" spans="1:7" x14ac:dyDescent="0.2">
      <c r="A21874" t="s">
        <v>20476</v>
      </c>
      <c r="B21874" t="str">
        <f>"15254252689"</f>
        <v>15254252689</v>
      </c>
      <c r="C21874" t="str">
        <f>"370283197902133986"</f>
        <v>370283197902133986</v>
      </c>
      <c r="D21874" t="s">
        <v>1</v>
      </c>
      <c r="E21874" t="s">
        <v>1</v>
      </c>
      <c r="F21874" t="s">
        <v>0</v>
      </c>
      <c r="G21874" t="str">
        <f>"2018-10-07 11:24:14"</f>
        <v>2018-10-07 11:24:14</v>
      </c>
    </row>
    <row r="21875" spans="1:7" x14ac:dyDescent="0.2">
      <c r="A21875" t="s">
        <v>1</v>
      </c>
      <c r="B21875" t="str">
        <f>"13934883622"</f>
        <v>13934883622</v>
      </c>
      <c r="C21875" t="s">
        <v>1</v>
      </c>
      <c r="D21875" t="s">
        <v>1</v>
      </c>
      <c r="E21875" t="s">
        <v>1</v>
      </c>
      <c r="F21875" t="s">
        <v>0</v>
      </c>
      <c r="G21875" t="str">
        <f>"2018-10-07 11:22:58"</f>
        <v>2018-10-07 11:22:58</v>
      </c>
    </row>
    <row r="21876" spans="1:7" x14ac:dyDescent="0.2">
      <c r="A21876" t="s">
        <v>20477</v>
      </c>
      <c r="B21876" t="str">
        <f>"13310790137"</f>
        <v>13310790137</v>
      </c>
      <c r="C21876" t="str">
        <f>"522321198905257379"</f>
        <v>522321198905257379</v>
      </c>
      <c r="D21876" t="s">
        <v>1</v>
      </c>
      <c r="E21876" t="s">
        <v>1</v>
      </c>
      <c r="F21876" t="s">
        <v>0</v>
      </c>
      <c r="G21876" t="str">
        <f>"2018-10-07 11:22:09"</f>
        <v>2018-10-07 11:22:09</v>
      </c>
    </row>
    <row r="21877" spans="1:7" x14ac:dyDescent="0.2">
      <c r="A21877" t="s">
        <v>20478</v>
      </c>
      <c r="B21877" t="str">
        <f>"15580669298"</f>
        <v>15580669298</v>
      </c>
      <c r="C21877" t="str">
        <f>"431224198811237570"</f>
        <v>431224198811237570</v>
      </c>
      <c r="D21877" t="s">
        <v>20479</v>
      </c>
      <c r="E21877" t="s">
        <v>20480</v>
      </c>
      <c r="F21877" t="s">
        <v>0</v>
      </c>
      <c r="G21877" t="str">
        <f>"2018-10-07 12:50:27"</f>
        <v>2018-10-07 12:50:27</v>
      </c>
    </row>
    <row r="21878" spans="1:7" x14ac:dyDescent="0.2">
      <c r="A21878" t="s">
        <v>1</v>
      </c>
      <c r="B21878" t="str">
        <f>"18993047762"</f>
        <v>18993047762</v>
      </c>
      <c r="C21878" t="s">
        <v>1</v>
      </c>
      <c r="D21878" t="s">
        <v>1</v>
      </c>
      <c r="E21878" t="s">
        <v>1</v>
      </c>
      <c r="F21878" t="s">
        <v>0</v>
      </c>
      <c r="G21878" t="str">
        <f>"2018-10-07 11:23:23"</f>
        <v>2018-10-07 11:23:23</v>
      </c>
    </row>
    <row r="21879" spans="1:7" x14ac:dyDescent="0.2">
      <c r="A21879" t="s">
        <v>1</v>
      </c>
      <c r="B21879" t="str">
        <f>"18321380735"</f>
        <v>18321380735</v>
      </c>
      <c r="C21879" t="s">
        <v>1</v>
      </c>
      <c r="D21879" t="s">
        <v>1</v>
      </c>
      <c r="E21879" t="s">
        <v>1</v>
      </c>
      <c r="F21879" t="s">
        <v>0</v>
      </c>
      <c r="G21879" t="str">
        <f>"2018-10-07 11:20:34"</f>
        <v>2018-10-07 11:20:34</v>
      </c>
    </row>
    <row r="21880" spans="1:7" x14ac:dyDescent="0.2">
      <c r="A21880" t="s">
        <v>20481</v>
      </c>
      <c r="B21880" t="str">
        <f>"15931994756"</f>
        <v>15931994756</v>
      </c>
      <c r="C21880" t="str">
        <f>"130532198105173017"</f>
        <v>130532198105173017</v>
      </c>
      <c r="D21880" t="s">
        <v>1</v>
      </c>
      <c r="E21880" t="s">
        <v>1</v>
      </c>
      <c r="F21880" t="s">
        <v>0</v>
      </c>
      <c r="G21880" t="str">
        <f>"2018-10-10 18:45:05"</f>
        <v>2018-10-10 18:45:05</v>
      </c>
    </row>
    <row r="21881" spans="1:7" x14ac:dyDescent="0.2">
      <c r="A21881" t="s">
        <v>1</v>
      </c>
      <c r="B21881" t="str">
        <f>"18871174329"</f>
        <v>18871174329</v>
      </c>
      <c r="C21881" t="s">
        <v>1</v>
      </c>
      <c r="D21881" t="s">
        <v>1</v>
      </c>
      <c r="E21881" t="s">
        <v>1</v>
      </c>
      <c r="F21881" t="s">
        <v>0</v>
      </c>
      <c r="G21881" t="str">
        <f>"2018-10-07 11:19:05"</f>
        <v>2018-10-07 11:19:05</v>
      </c>
    </row>
    <row r="21882" spans="1:7" x14ac:dyDescent="0.2">
      <c r="A21882" t="s">
        <v>1</v>
      </c>
      <c r="B21882" t="str">
        <f>"15096759691"</f>
        <v>15096759691</v>
      </c>
      <c r="C21882" t="s">
        <v>1</v>
      </c>
      <c r="D21882" t="s">
        <v>1</v>
      </c>
      <c r="E21882" t="s">
        <v>1</v>
      </c>
      <c r="F21882" t="s">
        <v>0</v>
      </c>
      <c r="G21882" t="str">
        <f>"2018-10-07 11:21:38"</f>
        <v>2018-10-07 11:21:38</v>
      </c>
    </row>
    <row r="21883" spans="1:7" x14ac:dyDescent="0.2">
      <c r="A21883" t="s">
        <v>1</v>
      </c>
      <c r="B21883" t="str">
        <f>"13153875183"</f>
        <v>13153875183</v>
      </c>
      <c r="C21883" t="s">
        <v>1</v>
      </c>
      <c r="D21883" t="s">
        <v>1</v>
      </c>
      <c r="E21883" t="s">
        <v>1</v>
      </c>
      <c r="F21883" t="s">
        <v>0</v>
      </c>
      <c r="G21883" t="str">
        <f>"2018-10-07 11:18:46"</f>
        <v>2018-10-07 11:18:46</v>
      </c>
    </row>
    <row r="21884" spans="1:7" x14ac:dyDescent="0.2">
      <c r="A21884" t="s">
        <v>20482</v>
      </c>
      <c r="B21884" t="str">
        <f>"15972286303"</f>
        <v>15972286303</v>
      </c>
      <c r="C21884" t="str">
        <f>"429004199212295713"</f>
        <v>429004199212295713</v>
      </c>
      <c r="D21884" t="s">
        <v>1</v>
      </c>
      <c r="E21884" t="s">
        <v>1</v>
      </c>
      <c r="F21884" t="s">
        <v>0</v>
      </c>
      <c r="G21884" t="str">
        <f>"2018-10-07 11:19:41"</f>
        <v>2018-10-07 11:19:41</v>
      </c>
    </row>
    <row r="21885" spans="1:7" x14ac:dyDescent="0.2">
      <c r="A21885" t="s">
        <v>1</v>
      </c>
      <c r="B21885" t="str">
        <f>"13618160010"</f>
        <v>13618160010</v>
      </c>
      <c r="C21885" t="s">
        <v>1</v>
      </c>
      <c r="D21885" t="s">
        <v>1</v>
      </c>
      <c r="E21885" t="s">
        <v>1</v>
      </c>
      <c r="F21885" t="s">
        <v>0</v>
      </c>
      <c r="G21885" t="str">
        <f>"2018-10-07 11:18:07"</f>
        <v>2018-10-07 11:18:07</v>
      </c>
    </row>
    <row r="21886" spans="1:7" x14ac:dyDescent="0.2">
      <c r="A21886" t="s">
        <v>20483</v>
      </c>
      <c r="B21886" t="str">
        <f>"18602832100"</f>
        <v>18602832100</v>
      </c>
      <c r="C21886" t="str">
        <f>"513001198311190215"</f>
        <v>513001198311190215</v>
      </c>
      <c r="D21886" t="s">
        <v>1</v>
      </c>
      <c r="E21886" t="s">
        <v>1</v>
      </c>
      <c r="F21886" t="s">
        <v>0</v>
      </c>
      <c r="G21886" t="str">
        <f>"2018-10-07 11:17:47"</f>
        <v>2018-10-07 11:17:47</v>
      </c>
    </row>
    <row r="21887" spans="1:7" x14ac:dyDescent="0.2">
      <c r="A21887" t="s">
        <v>46</v>
      </c>
      <c r="B21887" t="str">
        <f>"15261793761"</f>
        <v>15261793761</v>
      </c>
      <c r="C21887" t="str">
        <f>"320804199409220311"</f>
        <v>320804199409220311</v>
      </c>
      <c r="D21887" t="s">
        <v>1</v>
      </c>
      <c r="E21887" t="s">
        <v>1</v>
      </c>
      <c r="F21887" t="s">
        <v>0</v>
      </c>
      <c r="G21887" t="str">
        <f>"2018-10-07 11:18:47"</f>
        <v>2018-10-07 11:18:47</v>
      </c>
    </row>
    <row r="21888" spans="1:7" x14ac:dyDescent="0.2">
      <c r="A21888" t="s">
        <v>20484</v>
      </c>
      <c r="B21888" t="str">
        <f>"18204056040"</f>
        <v>18204056040</v>
      </c>
      <c r="C21888" t="str">
        <f>"210103198707220972"</f>
        <v>210103198707220972</v>
      </c>
      <c r="D21888" t="s">
        <v>20485</v>
      </c>
      <c r="E21888" t="s">
        <v>20486</v>
      </c>
      <c r="F21888" t="s">
        <v>0</v>
      </c>
      <c r="G21888" t="str">
        <f>"2018-10-07 11:18:20"</f>
        <v>2018-10-07 11:18:20</v>
      </c>
    </row>
    <row r="21889" spans="1:7" x14ac:dyDescent="0.2">
      <c r="A21889" t="s">
        <v>1798</v>
      </c>
      <c r="B21889" t="str">
        <f>"15355889158"</f>
        <v>15355889158</v>
      </c>
      <c r="C21889" t="str">
        <f>"330206198508140015"</f>
        <v>330206198508140015</v>
      </c>
      <c r="D21889" t="s">
        <v>1</v>
      </c>
      <c r="E21889" t="s">
        <v>1</v>
      </c>
      <c r="F21889" t="s">
        <v>0</v>
      </c>
      <c r="G21889" t="str">
        <f>"2018-11-02 16:02:16"</f>
        <v>2018-11-02 16:02:16</v>
      </c>
    </row>
    <row r="21890" spans="1:7" x14ac:dyDescent="0.2">
      <c r="A21890" t="s">
        <v>1</v>
      </c>
      <c r="B21890" t="str">
        <f>"13641849161"</f>
        <v>13641849161</v>
      </c>
      <c r="C21890" t="s">
        <v>1</v>
      </c>
      <c r="D21890" t="s">
        <v>1</v>
      </c>
      <c r="E21890" t="s">
        <v>1</v>
      </c>
      <c r="F21890" t="s">
        <v>0</v>
      </c>
      <c r="G21890" t="str">
        <f>"2018-10-07 11:16:25"</f>
        <v>2018-10-07 11:16:25</v>
      </c>
    </row>
    <row r="21891" spans="1:7" x14ac:dyDescent="0.2">
      <c r="A21891" t="s">
        <v>1</v>
      </c>
      <c r="B21891" t="str">
        <f>"15315251237"</f>
        <v>15315251237</v>
      </c>
      <c r="C21891" t="s">
        <v>1</v>
      </c>
      <c r="D21891" t="s">
        <v>1</v>
      </c>
      <c r="E21891" t="s">
        <v>1</v>
      </c>
      <c r="F21891" t="s">
        <v>0</v>
      </c>
      <c r="G21891" t="str">
        <f>"2018-10-07 11:20:34"</f>
        <v>2018-10-07 11:20:34</v>
      </c>
    </row>
    <row r="21892" spans="1:7" x14ac:dyDescent="0.2">
      <c r="A21892" t="s">
        <v>20487</v>
      </c>
      <c r="B21892" t="str">
        <f>"13487027123"</f>
        <v>13487027123</v>
      </c>
      <c r="C21892" t="str">
        <f>"422130198708120017"</f>
        <v>422130198708120017</v>
      </c>
      <c r="D21892" t="s">
        <v>1</v>
      </c>
      <c r="E21892" t="s">
        <v>1</v>
      </c>
      <c r="F21892" t="s">
        <v>0</v>
      </c>
      <c r="G21892" t="str">
        <f>"2018-10-07 11:17:07"</f>
        <v>2018-10-07 11:17:07</v>
      </c>
    </row>
    <row r="21893" spans="1:7" x14ac:dyDescent="0.2">
      <c r="A21893" t="s">
        <v>20488</v>
      </c>
      <c r="B21893" t="str">
        <f>"18875133567"</f>
        <v>18875133567</v>
      </c>
      <c r="C21893" t="str">
        <f>"500102199101124078"</f>
        <v>500102199101124078</v>
      </c>
      <c r="D21893" t="s">
        <v>1</v>
      </c>
      <c r="E21893" t="s">
        <v>1</v>
      </c>
      <c r="F21893" t="s">
        <v>0</v>
      </c>
      <c r="G21893" t="str">
        <f>"2018-10-07 11:17:29"</f>
        <v>2018-10-07 11:17:29</v>
      </c>
    </row>
    <row r="21894" spans="1:7" x14ac:dyDescent="0.2">
      <c r="A21894" t="s">
        <v>1023</v>
      </c>
      <c r="B21894" t="str">
        <f>"13655513107"</f>
        <v>13655513107</v>
      </c>
      <c r="C21894" t="str">
        <f>"340102199010085018"</f>
        <v>340102199010085018</v>
      </c>
      <c r="D21894" t="s">
        <v>1</v>
      </c>
      <c r="E21894" t="s">
        <v>1</v>
      </c>
      <c r="F21894" t="s">
        <v>0</v>
      </c>
      <c r="G21894" t="str">
        <f>"2018-10-07 11:16:59"</f>
        <v>2018-10-07 11:16:59</v>
      </c>
    </row>
    <row r="21895" spans="1:7" x14ac:dyDescent="0.2">
      <c r="A21895" t="s">
        <v>1</v>
      </c>
      <c r="B21895" t="str">
        <f>"13842076770"</f>
        <v>13842076770</v>
      </c>
      <c r="C21895" t="s">
        <v>1</v>
      </c>
      <c r="D21895" t="s">
        <v>1</v>
      </c>
      <c r="E21895" t="s">
        <v>1</v>
      </c>
      <c r="F21895" t="s">
        <v>0</v>
      </c>
      <c r="G21895" t="str">
        <f>"2018-10-07 11:16:47"</f>
        <v>2018-10-07 11:16:47</v>
      </c>
    </row>
    <row r="21896" spans="1:7" x14ac:dyDescent="0.2">
      <c r="A21896" t="s">
        <v>20489</v>
      </c>
      <c r="B21896" t="str">
        <f>"15693727669"</f>
        <v>15693727669</v>
      </c>
      <c r="C21896" t="str">
        <f>"622123199006250050"</f>
        <v>622123199006250050</v>
      </c>
      <c r="D21896" t="s">
        <v>1</v>
      </c>
      <c r="E21896" t="s">
        <v>1</v>
      </c>
      <c r="F21896" t="s">
        <v>0</v>
      </c>
      <c r="G21896" t="str">
        <f>"2018-10-07 11:17:38"</f>
        <v>2018-10-07 11:17:38</v>
      </c>
    </row>
    <row r="21897" spans="1:7" x14ac:dyDescent="0.2">
      <c r="A21897" t="s">
        <v>1</v>
      </c>
      <c r="B21897" t="str">
        <f>"13076656620"</f>
        <v>13076656620</v>
      </c>
      <c r="C21897" t="s">
        <v>1</v>
      </c>
      <c r="D21897" t="s">
        <v>1</v>
      </c>
      <c r="E21897" t="s">
        <v>1</v>
      </c>
      <c r="F21897" t="s">
        <v>0</v>
      </c>
      <c r="G21897" t="str">
        <f>"2018-10-07 11:15:20"</f>
        <v>2018-10-07 11:15:20</v>
      </c>
    </row>
    <row r="21898" spans="1:7" x14ac:dyDescent="0.2">
      <c r="A21898" t="s">
        <v>1</v>
      </c>
      <c r="B21898" t="str">
        <f>"15113716319"</f>
        <v>15113716319</v>
      </c>
      <c r="C21898" t="s">
        <v>1</v>
      </c>
      <c r="D21898" t="s">
        <v>1</v>
      </c>
      <c r="E21898" t="s">
        <v>1</v>
      </c>
      <c r="F21898" t="s">
        <v>0</v>
      </c>
      <c r="G21898" t="str">
        <f>"2018-10-07 11:15:16"</f>
        <v>2018-10-07 11:15:16</v>
      </c>
    </row>
    <row r="21899" spans="1:7" x14ac:dyDescent="0.2">
      <c r="A21899" t="s">
        <v>1</v>
      </c>
      <c r="B21899" t="str">
        <f>"15003550547"</f>
        <v>15003550547</v>
      </c>
      <c r="C21899" t="s">
        <v>1</v>
      </c>
      <c r="D21899" t="s">
        <v>1</v>
      </c>
      <c r="E21899" t="s">
        <v>1</v>
      </c>
      <c r="F21899" t="s">
        <v>0</v>
      </c>
      <c r="G21899" t="str">
        <f>"2018-10-07 11:15:15"</f>
        <v>2018-10-07 11:15:15</v>
      </c>
    </row>
    <row r="21900" spans="1:7" x14ac:dyDescent="0.2">
      <c r="A21900" t="s">
        <v>20490</v>
      </c>
      <c r="B21900" t="str">
        <f>"15398095968"</f>
        <v>15398095968</v>
      </c>
      <c r="C21900" t="str">
        <f>"412930197404275615"</f>
        <v>412930197404275615</v>
      </c>
      <c r="D21900" t="s">
        <v>20491</v>
      </c>
      <c r="E21900" t="s">
        <v>20492</v>
      </c>
      <c r="F21900" t="s">
        <v>0</v>
      </c>
      <c r="G21900" t="str">
        <f>"2018-10-07 11:47:19"</f>
        <v>2018-10-07 11:47:19</v>
      </c>
    </row>
    <row r="21901" spans="1:7" x14ac:dyDescent="0.2">
      <c r="A21901" t="s">
        <v>20493</v>
      </c>
      <c r="B21901" t="str">
        <f>"18039848853"</f>
        <v>18039848853</v>
      </c>
      <c r="C21901" t="str">
        <f>"350822198711165310"</f>
        <v>350822198711165310</v>
      </c>
      <c r="D21901" t="s">
        <v>1</v>
      </c>
      <c r="E21901" t="s">
        <v>1</v>
      </c>
      <c r="F21901" t="s">
        <v>0</v>
      </c>
      <c r="G21901" t="str">
        <f>"2018-10-07 11:15:53"</f>
        <v>2018-10-07 11:15:53</v>
      </c>
    </row>
    <row r="21902" spans="1:7" x14ac:dyDescent="0.2">
      <c r="A21902" t="s">
        <v>20494</v>
      </c>
      <c r="B21902" t="str">
        <f>"13339334088"</f>
        <v>13339334088</v>
      </c>
      <c r="C21902" t="str">
        <f>"230506198106300023"</f>
        <v>230506198106300023</v>
      </c>
      <c r="D21902" t="s">
        <v>1</v>
      </c>
      <c r="E21902" t="s">
        <v>1</v>
      </c>
      <c r="F21902" t="s">
        <v>0</v>
      </c>
      <c r="G21902" t="str">
        <f>"2018-10-07 11:14:31"</f>
        <v>2018-10-07 11:14:31</v>
      </c>
    </row>
    <row r="21903" spans="1:7" x14ac:dyDescent="0.2">
      <c r="A21903" t="s">
        <v>1</v>
      </c>
      <c r="B21903" t="str">
        <f>"13147852728"</f>
        <v>13147852728</v>
      </c>
      <c r="C21903" t="s">
        <v>1</v>
      </c>
      <c r="D21903" t="s">
        <v>1</v>
      </c>
      <c r="E21903" t="s">
        <v>1</v>
      </c>
      <c r="F21903" t="s">
        <v>0</v>
      </c>
      <c r="G21903" t="str">
        <f>"2018-10-07 11:14:25"</f>
        <v>2018-10-07 11:14:25</v>
      </c>
    </row>
    <row r="21904" spans="1:7" x14ac:dyDescent="0.2">
      <c r="A21904" t="s">
        <v>20495</v>
      </c>
      <c r="B21904" t="str">
        <f>"18253188623"</f>
        <v>18253188623</v>
      </c>
      <c r="C21904" t="str">
        <f>"37120219910620153X"</f>
        <v>37120219910620153X</v>
      </c>
      <c r="D21904" t="s">
        <v>20496</v>
      </c>
      <c r="E21904" t="s">
        <v>20497</v>
      </c>
      <c r="F21904" t="s">
        <v>0</v>
      </c>
      <c r="G21904" t="str">
        <f>"2018-10-07 11:15:25"</f>
        <v>2018-10-07 11:15:25</v>
      </c>
    </row>
    <row r="21905" spans="1:7" x14ac:dyDescent="0.2">
      <c r="A21905" t="s">
        <v>20498</v>
      </c>
      <c r="B21905" t="str">
        <f>"13070220505"</f>
        <v>13070220505</v>
      </c>
      <c r="C21905" t="str">
        <f>"43022419840512422X"</f>
        <v>43022419840512422X</v>
      </c>
      <c r="D21905" t="s">
        <v>1</v>
      </c>
      <c r="E21905" t="s">
        <v>1</v>
      </c>
      <c r="F21905" t="s">
        <v>0</v>
      </c>
      <c r="G21905" t="str">
        <f>"2018-10-15 10:54:57"</f>
        <v>2018-10-15 10:54:57</v>
      </c>
    </row>
    <row r="21906" spans="1:7" x14ac:dyDescent="0.2">
      <c r="A21906" t="s">
        <v>1</v>
      </c>
      <c r="B21906" t="str">
        <f>"18671256975"</f>
        <v>18671256975</v>
      </c>
      <c r="C21906" t="s">
        <v>1</v>
      </c>
      <c r="D21906" t="s">
        <v>1</v>
      </c>
      <c r="E21906" t="s">
        <v>1</v>
      </c>
      <c r="F21906" t="s">
        <v>0</v>
      </c>
      <c r="G21906" t="str">
        <f>"2018-10-07 11:13:49"</f>
        <v>2018-10-07 11:13:49</v>
      </c>
    </row>
    <row r="21907" spans="1:7" x14ac:dyDescent="0.2">
      <c r="A21907" t="s">
        <v>20499</v>
      </c>
      <c r="B21907" t="str">
        <f>"15031277270"</f>
        <v>15031277270</v>
      </c>
      <c r="C21907" t="str">
        <f>"130604199202032122"</f>
        <v>130604199202032122</v>
      </c>
      <c r="D21907" t="s">
        <v>1</v>
      </c>
      <c r="E21907" t="s">
        <v>1</v>
      </c>
      <c r="F21907" t="s">
        <v>0</v>
      </c>
      <c r="G21907" t="str">
        <f>"2018-10-07 11:14:55"</f>
        <v>2018-10-07 11:14:55</v>
      </c>
    </row>
    <row r="21908" spans="1:7" x14ac:dyDescent="0.2">
      <c r="A21908" t="s">
        <v>20500</v>
      </c>
      <c r="B21908" t="str">
        <f>"18579260090"</f>
        <v>18579260090</v>
      </c>
      <c r="C21908" t="str">
        <f>"360302199508243532"</f>
        <v>360302199508243532</v>
      </c>
      <c r="D21908" t="s">
        <v>1</v>
      </c>
      <c r="E21908" t="s">
        <v>1</v>
      </c>
      <c r="F21908" t="s">
        <v>0</v>
      </c>
      <c r="G21908" t="str">
        <f>"2018-10-07 11:13:38"</f>
        <v>2018-10-07 11:13:38</v>
      </c>
    </row>
    <row r="21909" spans="1:7" x14ac:dyDescent="0.2">
      <c r="A21909" t="s">
        <v>20501</v>
      </c>
      <c r="B21909" t="str">
        <f>"13765410029"</f>
        <v>13765410029</v>
      </c>
      <c r="C21909" t="str">
        <f>"522701196905210324"</f>
        <v>522701196905210324</v>
      </c>
      <c r="D21909" t="s">
        <v>20502</v>
      </c>
      <c r="E21909" t="s">
        <v>20503</v>
      </c>
      <c r="F21909" t="s">
        <v>0</v>
      </c>
      <c r="G21909" t="str">
        <f>"2018-10-07 11:15:42"</f>
        <v>2018-10-07 11:15:42</v>
      </c>
    </row>
    <row r="21910" spans="1:7" x14ac:dyDescent="0.2">
      <c r="A21910" t="s">
        <v>1</v>
      </c>
      <c r="B21910" t="str">
        <f>"13614335260"</f>
        <v>13614335260</v>
      </c>
      <c r="C21910" t="s">
        <v>1</v>
      </c>
      <c r="D21910" t="s">
        <v>1</v>
      </c>
      <c r="E21910" t="s">
        <v>1</v>
      </c>
      <c r="F21910" t="s">
        <v>0</v>
      </c>
      <c r="G21910" t="str">
        <f>"2018-10-07 11:13:32"</f>
        <v>2018-10-07 11:13:32</v>
      </c>
    </row>
    <row r="21911" spans="1:7" x14ac:dyDescent="0.2">
      <c r="A21911" t="s">
        <v>1</v>
      </c>
      <c r="B21911" t="str">
        <f>"18258389033"</f>
        <v>18258389033</v>
      </c>
      <c r="C21911" t="s">
        <v>1</v>
      </c>
      <c r="D21911" t="s">
        <v>1</v>
      </c>
      <c r="E21911" t="s">
        <v>1</v>
      </c>
      <c r="F21911" t="s">
        <v>0</v>
      </c>
      <c r="G21911" t="str">
        <f>"2018-10-07 11:13:24"</f>
        <v>2018-10-07 11:13:24</v>
      </c>
    </row>
    <row r="21912" spans="1:7" x14ac:dyDescent="0.2">
      <c r="A21912" t="s">
        <v>1</v>
      </c>
      <c r="B21912" t="str">
        <f>"18908378534"</f>
        <v>18908378534</v>
      </c>
      <c r="C21912" t="s">
        <v>1</v>
      </c>
      <c r="D21912" t="s">
        <v>1</v>
      </c>
      <c r="E21912" t="s">
        <v>1</v>
      </c>
      <c r="F21912" t="s">
        <v>0</v>
      </c>
      <c r="G21912" t="str">
        <f>"2018-10-07 11:13:21"</f>
        <v>2018-10-07 11:13:21</v>
      </c>
    </row>
    <row r="21913" spans="1:7" x14ac:dyDescent="0.2">
      <c r="A21913" t="s">
        <v>20504</v>
      </c>
      <c r="B21913" t="str">
        <f>"18284554411"</f>
        <v>18284554411</v>
      </c>
      <c r="C21913" t="str">
        <f>"510182198612020819"</f>
        <v>510182198612020819</v>
      </c>
      <c r="D21913" t="s">
        <v>20505</v>
      </c>
      <c r="E21913" t="s">
        <v>20506</v>
      </c>
      <c r="F21913" t="s">
        <v>0</v>
      </c>
      <c r="G21913" t="str">
        <f>"2018-10-07 11:13:02"</f>
        <v>2018-10-07 11:13:02</v>
      </c>
    </row>
    <row r="21914" spans="1:7" x14ac:dyDescent="0.2">
      <c r="A21914" t="s">
        <v>767</v>
      </c>
      <c r="B21914" t="str">
        <f>"13373993330"</f>
        <v>13373993330</v>
      </c>
      <c r="C21914" t="str">
        <f>"411224199801082414"</f>
        <v>411224199801082414</v>
      </c>
      <c r="D21914" t="s">
        <v>1</v>
      </c>
      <c r="E21914" t="s">
        <v>1</v>
      </c>
      <c r="F21914" t="s">
        <v>0</v>
      </c>
      <c r="G21914" t="str">
        <f>"2018-10-07 11:18:21"</f>
        <v>2018-10-07 11:18:21</v>
      </c>
    </row>
    <row r="21915" spans="1:7" x14ac:dyDescent="0.2">
      <c r="A21915" t="s">
        <v>20507</v>
      </c>
      <c r="B21915" t="str">
        <f>"17782292209"</f>
        <v>17782292209</v>
      </c>
      <c r="C21915" t="str">
        <f>"500108198502091514"</f>
        <v>500108198502091514</v>
      </c>
      <c r="D21915" t="s">
        <v>1</v>
      </c>
      <c r="E21915" t="s">
        <v>1</v>
      </c>
      <c r="F21915" t="s">
        <v>0</v>
      </c>
      <c r="G21915" t="str">
        <f>"2018-10-07 11:12:29"</f>
        <v>2018-10-07 11:12:29</v>
      </c>
    </row>
    <row r="21916" spans="1:7" x14ac:dyDescent="0.2">
      <c r="A21916" t="s">
        <v>1</v>
      </c>
      <c r="B21916" t="str">
        <f>"13483545575"</f>
        <v>13483545575</v>
      </c>
      <c r="C21916" t="s">
        <v>1</v>
      </c>
      <c r="D21916" t="s">
        <v>1</v>
      </c>
      <c r="E21916" t="s">
        <v>1</v>
      </c>
      <c r="F21916" t="s">
        <v>0</v>
      </c>
      <c r="G21916" t="str">
        <f>"2018-10-07 11:12:15"</f>
        <v>2018-10-07 11:12:15</v>
      </c>
    </row>
    <row r="21917" spans="1:7" x14ac:dyDescent="0.2">
      <c r="A21917" t="s">
        <v>20508</v>
      </c>
      <c r="B21917" t="str">
        <f>"13421132342"</f>
        <v>13421132342</v>
      </c>
      <c r="C21917" t="str">
        <f>"445281199405180967"</f>
        <v>445281199405180967</v>
      </c>
      <c r="D21917" t="s">
        <v>1</v>
      </c>
      <c r="E21917" t="s">
        <v>1</v>
      </c>
      <c r="F21917" t="s">
        <v>0</v>
      </c>
      <c r="G21917" t="str">
        <f>"2018-10-07 12:35:20"</f>
        <v>2018-10-07 12:35:20</v>
      </c>
    </row>
    <row r="21918" spans="1:7" x14ac:dyDescent="0.2">
      <c r="A21918" t="s">
        <v>20509</v>
      </c>
      <c r="B21918" t="str">
        <f>"18388465670"</f>
        <v>18388465670</v>
      </c>
      <c r="C21918" t="str">
        <f>"530324199502162395"</f>
        <v>530324199502162395</v>
      </c>
      <c r="D21918" t="s">
        <v>20510</v>
      </c>
      <c r="E21918" t="s">
        <v>20510</v>
      </c>
      <c r="F21918" t="s">
        <v>0</v>
      </c>
      <c r="G21918" t="str">
        <f>"2018-10-07 11:13:25"</f>
        <v>2018-10-07 11:13:25</v>
      </c>
    </row>
    <row r="21919" spans="1:7" x14ac:dyDescent="0.2">
      <c r="A21919" t="s">
        <v>20511</v>
      </c>
      <c r="B21919" t="str">
        <f>"13954312727"</f>
        <v>13954312727</v>
      </c>
      <c r="C21919" t="str">
        <f>"37232519790529405X"</f>
        <v>37232519790529405X</v>
      </c>
      <c r="D21919" t="s">
        <v>1</v>
      </c>
      <c r="E21919" t="s">
        <v>1</v>
      </c>
      <c r="F21919" t="s">
        <v>0</v>
      </c>
      <c r="G21919" t="str">
        <f>"2018-10-07 11:15:44"</f>
        <v>2018-10-07 11:15:44</v>
      </c>
    </row>
    <row r="21920" spans="1:7" x14ac:dyDescent="0.2">
      <c r="A21920" t="s">
        <v>1</v>
      </c>
      <c r="B21920" t="str">
        <f>"18949185880"</f>
        <v>18949185880</v>
      </c>
      <c r="C21920" t="s">
        <v>1</v>
      </c>
      <c r="D21920" t="s">
        <v>1</v>
      </c>
      <c r="E21920" t="s">
        <v>1</v>
      </c>
      <c r="F21920" t="s">
        <v>0</v>
      </c>
      <c r="G21920" t="str">
        <f>"2018-10-07 11:11:10"</f>
        <v>2018-10-07 11:11:10</v>
      </c>
    </row>
    <row r="21921" spans="1:7" x14ac:dyDescent="0.2">
      <c r="A21921" t="s">
        <v>20512</v>
      </c>
      <c r="B21921" t="str">
        <f>"18487823556"</f>
        <v>18487823556</v>
      </c>
      <c r="C21921" t="str">
        <f>"532621198201101323"</f>
        <v>532621198201101323</v>
      </c>
      <c r="D21921" t="s">
        <v>1</v>
      </c>
      <c r="E21921" t="s">
        <v>1</v>
      </c>
      <c r="F21921" t="s">
        <v>0</v>
      </c>
      <c r="G21921" t="str">
        <f>"2018-10-07 11:12:00"</f>
        <v>2018-10-07 11:12:00</v>
      </c>
    </row>
    <row r="21922" spans="1:7" x14ac:dyDescent="0.2">
      <c r="A21922" t="s">
        <v>20513</v>
      </c>
      <c r="B21922" t="str">
        <f>"13704348270"</f>
        <v>13704348270</v>
      </c>
      <c r="C21922" t="str">
        <f>"22028219801208003X"</f>
        <v>22028219801208003X</v>
      </c>
      <c r="D21922" t="s">
        <v>1</v>
      </c>
      <c r="E21922" t="s">
        <v>1</v>
      </c>
      <c r="F21922" t="s">
        <v>0</v>
      </c>
      <c r="G21922" t="str">
        <f>"2018-10-07 11:10:19"</f>
        <v>2018-10-07 11:10:19</v>
      </c>
    </row>
    <row r="21923" spans="1:7" x14ac:dyDescent="0.2">
      <c r="A21923" t="s">
        <v>2</v>
      </c>
      <c r="B21923" t="str">
        <f>"13402989298"</f>
        <v>13402989298</v>
      </c>
      <c r="C21923" t="str">
        <f>"610126199106245641"</f>
        <v>610126199106245641</v>
      </c>
      <c r="D21923" t="s">
        <v>20514</v>
      </c>
      <c r="E21923" t="s">
        <v>20515</v>
      </c>
      <c r="F21923" t="s">
        <v>0</v>
      </c>
      <c r="G21923" t="str">
        <f>"2018-10-07 11:11:44"</f>
        <v>2018-10-07 11:11:44</v>
      </c>
    </row>
    <row r="21924" spans="1:7" x14ac:dyDescent="0.2">
      <c r="A21924" t="s">
        <v>20516</v>
      </c>
      <c r="B21924" t="str">
        <f>"18736025527"</f>
        <v>18736025527</v>
      </c>
      <c r="C21924" t="str">
        <f>"410481198603200515"</f>
        <v>410481198603200515</v>
      </c>
      <c r="D21924" t="s">
        <v>1</v>
      </c>
      <c r="E21924" t="s">
        <v>1</v>
      </c>
      <c r="F21924" t="s">
        <v>0</v>
      </c>
      <c r="G21924" t="str">
        <f>"2018-10-07 11:10:58"</f>
        <v>2018-10-07 11:10:58</v>
      </c>
    </row>
    <row r="21925" spans="1:7" x14ac:dyDescent="0.2">
      <c r="A21925" t="s">
        <v>20517</v>
      </c>
      <c r="B21925" t="str">
        <f>"18051966838"</f>
        <v>18051966838</v>
      </c>
      <c r="C21925" t="str">
        <f>"320121199308042112"</f>
        <v>320121199308042112</v>
      </c>
      <c r="D21925" t="s">
        <v>20518</v>
      </c>
      <c r="E21925" t="s">
        <v>20519</v>
      </c>
      <c r="F21925" t="s">
        <v>0</v>
      </c>
      <c r="G21925" t="str">
        <f>"2018-10-28 20:14:11"</f>
        <v>2018-10-28 20:14:11</v>
      </c>
    </row>
    <row r="21926" spans="1:7" x14ac:dyDescent="0.2">
      <c r="A21926" t="s">
        <v>1</v>
      </c>
      <c r="B21926" t="str">
        <f>"13781590115"</f>
        <v>13781590115</v>
      </c>
      <c r="C21926" t="s">
        <v>1</v>
      </c>
      <c r="D21926" t="s">
        <v>1</v>
      </c>
      <c r="E21926" t="s">
        <v>1</v>
      </c>
      <c r="F21926" t="s">
        <v>0</v>
      </c>
      <c r="G21926" t="str">
        <f>"2018-10-07 11:09:56"</f>
        <v>2018-10-07 11:09:56</v>
      </c>
    </row>
    <row r="21927" spans="1:7" x14ac:dyDescent="0.2">
      <c r="A21927" t="s">
        <v>1</v>
      </c>
      <c r="B21927" t="str">
        <f>"18977019622"</f>
        <v>18977019622</v>
      </c>
      <c r="C21927" t="s">
        <v>1</v>
      </c>
      <c r="D21927" t="s">
        <v>1</v>
      </c>
      <c r="E21927" t="s">
        <v>1</v>
      </c>
      <c r="F21927" t="s">
        <v>0</v>
      </c>
      <c r="G21927" t="str">
        <f>"2018-10-07 11:08:51"</f>
        <v>2018-10-07 11:08:51</v>
      </c>
    </row>
    <row r="21928" spans="1:7" x14ac:dyDescent="0.2">
      <c r="A21928" t="s">
        <v>20520</v>
      </c>
      <c r="B21928" t="str">
        <f>"18261489888"</f>
        <v>18261489888</v>
      </c>
      <c r="C21928" t="str">
        <f>"320322199206150873"</f>
        <v>320322199206150873</v>
      </c>
      <c r="D21928" t="s">
        <v>1</v>
      </c>
      <c r="E21928" t="s">
        <v>1</v>
      </c>
      <c r="F21928" t="s">
        <v>0</v>
      </c>
      <c r="G21928" t="str">
        <f>"2018-10-07 11:10:10"</f>
        <v>2018-10-07 11:10:10</v>
      </c>
    </row>
    <row r="21929" spans="1:7" x14ac:dyDescent="0.2">
      <c r="A21929" t="s">
        <v>20521</v>
      </c>
      <c r="B21929" t="str">
        <f>"18561077291"</f>
        <v>18561077291</v>
      </c>
      <c r="C21929" t="str">
        <f>"370685199803240616"</f>
        <v>370685199803240616</v>
      </c>
      <c r="D21929" t="s">
        <v>1</v>
      </c>
      <c r="E21929" t="s">
        <v>1</v>
      </c>
      <c r="F21929" t="s">
        <v>0</v>
      </c>
      <c r="G21929" t="str">
        <f>"2018-10-07 11:09:47"</f>
        <v>2018-10-07 11:09:47</v>
      </c>
    </row>
    <row r="21930" spans="1:7" x14ac:dyDescent="0.2">
      <c r="A21930" t="s">
        <v>1</v>
      </c>
      <c r="B21930" t="str">
        <f>"15595225650"</f>
        <v>15595225650</v>
      </c>
      <c r="C21930" t="s">
        <v>1</v>
      </c>
      <c r="D21930" t="s">
        <v>1</v>
      </c>
      <c r="E21930" t="s">
        <v>1</v>
      </c>
      <c r="F21930" t="s">
        <v>0</v>
      </c>
      <c r="G21930" t="str">
        <f>"2018-10-07 11:05:42"</f>
        <v>2018-10-07 11:05:42</v>
      </c>
    </row>
    <row r="21931" spans="1:7" x14ac:dyDescent="0.2">
      <c r="A21931" t="s">
        <v>20522</v>
      </c>
      <c r="B21931" t="str">
        <f>"13911551137"</f>
        <v>13911551137</v>
      </c>
      <c r="C21931" t="str">
        <f>"210381198610061696"</f>
        <v>210381198610061696</v>
      </c>
      <c r="D21931" t="s">
        <v>1</v>
      </c>
      <c r="E21931" t="s">
        <v>1</v>
      </c>
      <c r="F21931" t="s">
        <v>0</v>
      </c>
      <c r="G21931" t="str">
        <f>"2018-10-27 11:01:43"</f>
        <v>2018-10-27 11:01:43</v>
      </c>
    </row>
    <row r="21932" spans="1:7" x14ac:dyDescent="0.2">
      <c r="A21932" t="s">
        <v>20523</v>
      </c>
      <c r="B21932" t="str">
        <f>"18955109448"</f>
        <v>18955109448</v>
      </c>
      <c r="C21932" t="str">
        <f>"340123198808152619"</f>
        <v>340123198808152619</v>
      </c>
      <c r="D21932" t="s">
        <v>1</v>
      </c>
      <c r="E21932" t="s">
        <v>1</v>
      </c>
      <c r="F21932" t="s">
        <v>0</v>
      </c>
      <c r="G21932" t="str">
        <f>"2018-10-07 11:05:18"</f>
        <v>2018-10-07 11:05:18</v>
      </c>
    </row>
    <row r="21933" spans="1:7" x14ac:dyDescent="0.2">
      <c r="A21933" t="s">
        <v>20524</v>
      </c>
      <c r="B21933" t="str">
        <f>"15314780988"</f>
        <v>15314780988</v>
      </c>
      <c r="C21933" t="str">
        <f>"330624198410054973"</f>
        <v>330624198410054973</v>
      </c>
      <c r="D21933" t="s">
        <v>1</v>
      </c>
      <c r="E21933" t="s">
        <v>1</v>
      </c>
      <c r="F21933" t="s">
        <v>0</v>
      </c>
      <c r="G21933" t="str">
        <f>"2018-10-08 11:10:02"</f>
        <v>2018-10-08 11:10:02</v>
      </c>
    </row>
    <row r="21934" spans="1:7" x14ac:dyDescent="0.2">
      <c r="A21934" t="s">
        <v>20525</v>
      </c>
      <c r="B21934" t="str">
        <f>"18069066889"</f>
        <v>18069066889</v>
      </c>
      <c r="C21934" t="str">
        <f>"330225197712171796"</f>
        <v>330225197712171796</v>
      </c>
      <c r="D21934" t="s">
        <v>1</v>
      </c>
      <c r="E21934" t="s">
        <v>1</v>
      </c>
      <c r="F21934" t="s">
        <v>0</v>
      </c>
      <c r="G21934" t="str">
        <f>"2018-10-07 12:09:20"</f>
        <v>2018-10-07 12:09:20</v>
      </c>
    </row>
    <row r="21935" spans="1:7" x14ac:dyDescent="0.2">
      <c r="A21935" t="s">
        <v>20526</v>
      </c>
      <c r="B21935" t="str">
        <f>"17785431047"</f>
        <v>17785431047</v>
      </c>
      <c r="C21935" t="str">
        <f>"522528199402011625"</f>
        <v>522528199402011625</v>
      </c>
      <c r="D21935" t="s">
        <v>1</v>
      </c>
      <c r="E21935" t="s">
        <v>1</v>
      </c>
      <c r="F21935" t="s">
        <v>0</v>
      </c>
      <c r="G21935" t="str">
        <f>"2018-10-07 12:54:17"</f>
        <v>2018-10-07 12:54:17</v>
      </c>
    </row>
    <row r="21936" spans="1:7" x14ac:dyDescent="0.2">
      <c r="A21936" t="s">
        <v>568</v>
      </c>
      <c r="B21936" t="str">
        <f>"13757018110"</f>
        <v>13757018110</v>
      </c>
      <c r="C21936" t="str">
        <f>"330824199803101510"</f>
        <v>330824199803101510</v>
      </c>
      <c r="D21936" t="s">
        <v>1</v>
      </c>
      <c r="E21936" t="s">
        <v>1</v>
      </c>
      <c r="F21936" t="s">
        <v>0</v>
      </c>
      <c r="G21936" t="str">
        <f>"2018-10-07 11:05:13"</f>
        <v>2018-10-07 11:05:13</v>
      </c>
    </row>
    <row r="21937" spans="1:7" x14ac:dyDescent="0.2">
      <c r="A21937" t="s">
        <v>529</v>
      </c>
      <c r="B21937" t="str">
        <f>"13605127198"</f>
        <v>13605127198</v>
      </c>
      <c r="C21937" t="str">
        <f>"320721198008103065"</f>
        <v>320721198008103065</v>
      </c>
      <c r="D21937" t="s">
        <v>1</v>
      </c>
      <c r="E21937" t="s">
        <v>1</v>
      </c>
      <c r="F21937" t="s">
        <v>0</v>
      </c>
      <c r="G21937" t="str">
        <f>"2018-10-07 11:06:52"</f>
        <v>2018-10-07 11:06:52</v>
      </c>
    </row>
    <row r="21938" spans="1:7" x14ac:dyDescent="0.2">
      <c r="A21938" t="s">
        <v>1</v>
      </c>
      <c r="B21938" t="str">
        <f>"13335448270"</f>
        <v>13335448270</v>
      </c>
      <c r="C21938" t="s">
        <v>1</v>
      </c>
      <c r="D21938" t="s">
        <v>1</v>
      </c>
      <c r="E21938" t="s">
        <v>1</v>
      </c>
      <c r="F21938" t="s">
        <v>0</v>
      </c>
      <c r="G21938" t="str">
        <f>"2018-10-07 11:04:33"</f>
        <v>2018-10-07 11:04:33</v>
      </c>
    </row>
    <row r="21939" spans="1:7" x14ac:dyDescent="0.2">
      <c r="A21939" t="s">
        <v>20527</v>
      </c>
      <c r="B21939" t="str">
        <f>"13154157092"</f>
        <v>13154157092</v>
      </c>
      <c r="C21939" t="str">
        <f>"21062319900424764X"</f>
        <v>21062319900424764X</v>
      </c>
      <c r="D21939" t="s">
        <v>20528</v>
      </c>
      <c r="E21939" t="s">
        <v>20529</v>
      </c>
      <c r="F21939" t="s">
        <v>0</v>
      </c>
      <c r="G21939" t="str">
        <f>"2018-10-07 11:39:57"</f>
        <v>2018-10-07 11:39:57</v>
      </c>
    </row>
    <row r="21940" spans="1:7" x14ac:dyDescent="0.2">
      <c r="A21940" t="s">
        <v>20530</v>
      </c>
      <c r="B21940" t="str">
        <f>"18610352056"</f>
        <v>18610352056</v>
      </c>
      <c r="C21940" t="str">
        <f>"14262219860228155X"</f>
        <v>14262219860228155X</v>
      </c>
      <c r="D21940" t="s">
        <v>1</v>
      </c>
      <c r="E21940" t="s">
        <v>1</v>
      </c>
      <c r="F21940" t="s">
        <v>0</v>
      </c>
      <c r="G21940" t="str">
        <f>"2018-10-07 11:03:49"</f>
        <v>2018-10-07 11:03:49</v>
      </c>
    </row>
    <row r="21941" spans="1:7" x14ac:dyDescent="0.2">
      <c r="A21941" t="s">
        <v>1</v>
      </c>
      <c r="B21941" t="str">
        <f>"18650905427"</f>
        <v>18650905427</v>
      </c>
      <c r="C21941" t="s">
        <v>1</v>
      </c>
      <c r="D21941" t="s">
        <v>1</v>
      </c>
      <c r="E21941" t="s">
        <v>1</v>
      </c>
      <c r="F21941" t="s">
        <v>0</v>
      </c>
      <c r="G21941" t="str">
        <f>"2018-10-07 11:04:06"</f>
        <v>2018-10-07 11:04:06</v>
      </c>
    </row>
    <row r="21942" spans="1:7" x14ac:dyDescent="0.2">
      <c r="A21942" t="s">
        <v>1</v>
      </c>
      <c r="B21942" t="str">
        <f>"18722336283"</f>
        <v>18722336283</v>
      </c>
      <c r="C21942" t="s">
        <v>1</v>
      </c>
      <c r="D21942" t="s">
        <v>1</v>
      </c>
      <c r="E21942" t="s">
        <v>1</v>
      </c>
      <c r="F21942" t="s">
        <v>0</v>
      </c>
      <c r="G21942" t="str">
        <f>"2018-10-07 11:03:29"</f>
        <v>2018-10-07 11:03:29</v>
      </c>
    </row>
    <row r="21943" spans="1:7" x14ac:dyDescent="0.2">
      <c r="A21943" t="s">
        <v>1</v>
      </c>
      <c r="B21943" t="str">
        <f>"18329574159"</f>
        <v>18329574159</v>
      </c>
      <c r="C21943" t="s">
        <v>1</v>
      </c>
      <c r="D21943" t="s">
        <v>1</v>
      </c>
      <c r="E21943" t="s">
        <v>1</v>
      </c>
      <c r="F21943" t="s">
        <v>0</v>
      </c>
      <c r="G21943" t="str">
        <f>"2018-10-07 11:02:11"</f>
        <v>2018-10-07 11:02:11</v>
      </c>
    </row>
    <row r="21944" spans="1:7" x14ac:dyDescent="0.2">
      <c r="A21944" t="s">
        <v>20531</v>
      </c>
      <c r="B21944" t="str">
        <f>"18041573222"</f>
        <v>18041573222</v>
      </c>
      <c r="C21944" t="str">
        <f>"210213198611302584"</f>
        <v>210213198611302584</v>
      </c>
      <c r="D21944" t="s">
        <v>1</v>
      </c>
      <c r="E21944" t="s">
        <v>1</v>
      </c>
      <c r="F21944" t="s">
        <v>0</v>
      </c>
      <c r="G21944" t="str">
        <f>"2018-10-07 11:27:06"</f>
        <v>2018-10-07 11:27:06</v>
      </c>
    </row>
    <row r="21945" spans="1:7" x14ac:dyDescent="0.2">
      <c r="A21945" t="s">
        <v>20532</v>
      </c>
      <c r="B21945" t="str">
        <f>"13464788877"</f>
        <v>13464788877</v>
      </c>
      <c r="C21945" t="str">
        <f>"210881198112280455"</f>
        <v>210881198112280455</v>
      </c>
      <c r="D21945" t="s">
        <v>20533</v>
      </c>
      <c r="E21945" t="s">
        <v>20534</v>
      </c>
      <c r="F21945" t="s">
        <v>0</v>
      </c>
      <c r="G21945" t="str">
        <f>"2018-10-07 11:01:54"</f>
        <v>2018-10-07 11:01:54</v>
      </c>
    </row>
    <row r="21946" spans="1:7" x14ac:dyDescent="0.2">
      <c r="A21946" t="s">
        <v>20535</v>
      </c>
      <c r="B21946" t="str">
        <f>"18169147155"</f>
        <v>18169147155</v>
      </c>
      <c r="C21946" t="str">
        <f>"642226198908060815"</f>
        <v>642226198908060815</v>
      </c>
      <c r="D21946" t="s">
        <v>1</v>
      </c>
      <c r="E21946" t="s">
        <v>1</v>
      </c>
      <c r="F21946" t="s">
        <v>0</v>
      </c>
      <c r="G21946" t="str">
        <f>"2018-10-07 11:02:42"</f>
        <v>2018-10-07 11:02:42</v>
      </c>
    </row>
    <row r="21947" spans="1:7" x14ac:dyDescent="0.2">
      <c r="A21947" t="s">
        <v>20536</v>
      </c>
      <c r="B21947" t="str">
        <f>"15215862814"</f>
        <v>15215862814</v>
      </c>
      <c r="C21947" t="str">
        <f>"362326198208083029"</f>
        <v>362326198208083029</v>
      </c>
      <c r="D21947" t="s">
        <v>1</v>
      </c>
      <c r="E21947" t="s">
        <v>1</v>
      </c>
      <c r="F21947" t="s">
        <v>0</v>
      </c>
      <c r="G21947" t="str">
        <f>"2018-10-13 17:53:32"</f>
        <v>2018-10-13 17:53:32</v>
      </c>
    </row>
    <row r="21948" spans="1:7" x14ac:dyDescent="0.2">
      <c r="A21948" t="s">
        <v>20537</v>
      </c>
      <c r="B21948" t="str">
        <f>"13037910777"</f>
        <v>13037910777</v>
      </c>
      <c r="C21948" t="str">
        <f>"130183198809241979"</f>
        <v>130183198809241979</v>
      </c>
      <c r="D21948" t="s">
        <v>1</v>
      </c>
      <c r="E21948" t="s">
        <v>1</v>
      </c>
      <c r="F21948" t="s">
        <v>0</v>
      </c>
      <c r="G21948" t="str">
        <f>"2018-10-07 11:02:12"</f>
        <v>2018-10-07 11:02:12</v>
      </c>
    </row>
    <row r="21949" spans="1:7" x14ac:dyDescent="0.2">
      <c r="A21949" t="s">
        <v>454</v>
      </c>
      <c r="B21949" t="str">
        <f>"15521280697"</f>
        <v>15521280697</v>
      </c>
      <c r="C21949" t="str">
        <f>"510824199606098117"</f>
        <v>510824199606098117</v>
      </c>
      <c r="D21949" t="s">
        <v>1</v>
      </c>
      <c r="E21949" t="s">
        <v>1</v>
      </c>
      <c r="F21949" t="s">
        <v>0</v>
      </c>
      <c r="G21949" t="str">
        <f>"2018-10-07 11:01:45"</f>
        <v>2018-10-07 11:01:45</v>
      </c>
    </row>
    <row r="21950" spans="1:7" x14ac:dyDescent="0.2">
      <c r="A21950" t="s">
        <v>10446</v>
      </c>
      <c r="B21950" t="str">
        <f>"13812023714"</f>
        <v>13812023714</v>
      </c>
      <c r="C21950" t="str">
        <f>"340421199006302011"</f>
        <v>340421199006302011</v>
      </c>
      <c r="D21950" t="s">
        <v>20538</v>
      </c>
      <c r="E21950" t="s">
        <v>20539</v>
      </c>
      <c r="F21950" t="s">
        <v>0</v>
      </c>
      <c r="G21950" t="str">
        <f>"2018-10-07 11:01:35"</f>
        <v>2018-10-07 11:01:35</v>
      </c>
    </row>
    <row r="21951" spans="1:7" x14ac:dyDescent="0.2">
      <c r="A21951" t="s">
        <v>527</v>
      </c>
      <c r="B21951" t="str">
        <f>"18841665533"</f>
        <v>18841665533</v>
      </c>
      <c r="C21951" t="str">
        <f>"210726199112156723"</f>
        <v>210726199112156723</v>
      </c>
      <c r="D21951" t="s">
        <v>1</v>
      </c>
      <c r="E21951" t="s">
        <v>1</v>
      </c>
      <c r="F21951" t="s">
        <v>0</v>
      </c>
      <c r="G21951" t="str">
        <f>"2018-10-17 22:19:58"</f>
        <v>2018-10-17 22:19:58</v>
      </c>
    </row>
    <row r="21952" spans="1:7" x14ac:dyDescent="0.2">
      <c r="A21952" t="s">
        <v>1</v>
      </c>
      <c r="B21952" t="str">
        <f>"18077617113"</f>
        <v>18077617113</v>
      </c>
      <c r="C21952" t="s">
        <v>1</v>
      </c>
      <c r="D21952" t="s">
        <v>1</v>
      </c>
      <c r="E21952" t="s">
        <v>1</v>
      </c>
      <c r="F21952" t="s">
        <v>0</v>
      </c>
      <c r="G21952" t="str">
        <f>"2018-10-07 10:58:59"</f>
        <v>2018-10-07 10:58:59</v>
      </c>
    </row>
    <row r="21953" spans="1:7" x14ac:dyDescent="0.2">
      <c r="A21953" t="s">
        <v>1</v>
      </c>
      <c r="B21953" t="str">
        <f>"13840124243"</f>
        <v>13840124243</v>
      </c>
      <c r="C21953" t="s">
        <v>1</v>
      </c>
      <c r="D21953" t="s">
        <v>1</v>
      </c>
      <c r="E21953" t="s">
        <v>1</v>
      </c>
      <c r="F21953" t="s">
        <v>0</v>
      </c>
      <c r="G21953" t="str">
        <f>"2018-10-07 10:58:58"</f>
        <v>2018-10-07 10:58:58</v>
      </c>
    </row>
    <row r="21954" spans="1:7" x14ac:dyDescent="0.2">
      <c r="A21954" t="s">
        <v>1</v>
      </c>
      <c r="B21954" t="str">
        <f>"15829383373"</f>
        <v>15829383373</v>
      </c>
      <c r="C21954" t="s">
        <v>1</v>
      </c>
      <c r="D21954" t="s">
        <v>1</v>
      </c>
      <c r="E21954" t="s">
        <v>1</v>
      </c>
      <c r="F21954" t="s">
        <v>0</v>
      </c>
      <c r="G21954" t="str">
        <f>"2018-10-07 10:57:36"</f>
        <v>2018-10-07 10:57:36</v>
      </c>
    </row>
    <row r="21955" spans="1:7" x14ac:dyDescent="0.2">
      <c r="A21955" t="s">
        <v>20540</v>
      </c>
      <c r="B21955" t="str">
        <f>"15928607514"</f>
        <v>15928607514</v>
      </c>
      <c r="C21955" t="str">
        <f>"510183198506274715"</f>
        <v>510183198506274715</v>
      </c>
      <c r="D21955" t="s">
        <v>20541</v>
      </c>
      <c r="E21955" t="s">
        <v>20542</v>
      </c>
      <c r="F21955" t="s">
        <v>0</v>
      </c>
      <c r="G21955" t="str">
        <f>"2018-10-07 10:58:31"</f>
        <v>2018-10-07 10:58:31</v>
      </c>
    </row>
    <row r="21956" spans="1:7" x14ac:dyDescent="0.2">
      <c r="A21956" t="s">
        <v>840</v>
      </c>
      <c r="B21956" t="str">
        <f>"15192293978"</f>
        <v>15192293978</v>
      </c>
      <c r="C21956" t="str">
        <f>"372923198701122613"</f>
        <v>372923198701122613</v>
      </c>
      <c r="D21956" t="s">
        <v>1</v>
      </c>
      <c r="E21956" t="s">
        <v>1</v>
      </c>
      <c r="F21956" t="s">
        <v>0</v>
      </c>
      <c r="G21956" t="str">
        <f>"2018-10-26 13:09:47"</f>
        <v>2018-10-26 13:09:47</v>
      </c>
    </row>
    <row r="21957" spans="1:7" x14ac:dyDescent="0.2">
      <c r="A21957" t="s">
        <v>20543</v>
      </c>
      <c r="B21957" t="str">
        <f>"18818675105"</f>
        <v>18818675105</v>
      </c>
      <c r="C21957" t="str">
        <f>"440923199912104053"</f>
        <v>440923199912104053</v>
      </c>
      <c r="D21957" t="s">
        <v>1</v>
      </c>
      <c r="E21957" t="s">
        <v>1</v>
      </c>
      <c r="F21957" t="s">
        <v>0</v>
      </c>
      <c r="G21957" t="str">
        <f>"2018-10-07 11:16:52"</f>
        <v>2018-10-07 11:16:52</v>
      </c>
    </row>
    <row r="21958" spans="1:7" x14ac:dyDescent="0.2">
      <c r="A21958" t="s">
        <v>1</v>
      </c>
      <c r="B21958" t="str">
        <f>"18903247199"</f>
        <v>18903247199</v>
      </c>
      <c r="C21958" t="s">
        <v>1</v>
      </c>
      <c r="D21958" t="s">
        <v>1</v>
      </c>
      <c r="E21958" t="s">
        <v>1</v>
      </c>
      <c r="F21958" t="s">
        <v>0</v>
      </c>
      <c r="G21958" t="str">
        <f>"2018-10-07 10:57:05"</f>
        <v>2018-10-07 10:57:05</v>
      </c>
    </row>
    <row r="21959" spans="1:7" x14ac:dyDescent="0.2">
      <c r="A21959" t="s">
        <v>20544</v>
      </c>
      <c r="B21959" t="str">
        <f>"15684332366"</f>
        <v>15684332366</v>
      </c>
      <c r="C21959" t="str">
        <f>"371521198905106636"</f>
        <v>371521198905106636</v>
      </c>
      <c r="D21959" t="s">
        <v>1</v>
      </c>
      <c r="E21959" t="s">
        <v>1</v>
      </c>
      <c r="F21959" t="s">
        <v>0</v>
      </c>
      <c r="G21959" t="str">
        <f>"2018-10-07 10:59:47"</f>
        <v>2018-10-07 10:59:47</v>
      </c>
    </row>
    <row r="21960" spans="1:7" x14ac:dyDescent="0.2">
      <c r="A21960" t="s">
        <v>1284</v>
      </c>
      <c r="B21960" t="str">
        <f>"18247812266"</f>
        <v>18247812266</v>
      </c>
      <c r="C21960" t="str">
        <f>"15082519900724023X"</f>
        <v>15082519900724023X</v>
      </c>
      <c r="D21960" t="s">
        <v>1</v>
      </c>
      <c r="E21960" t="s">
        <v>1</v>
      </c>
      <c r="F21960" t="s">
        <v>0</v>
      </c>
      <c r="G21960" t="str">
        <f>"2018-10-07 20:35:24"</f>
        <v>2018-10-07 20:35:24</v>
      </c>
    </row>
    <row r="21961" spans="1:7" x14ac:dyDescent="0.2">
      <c r="A21961" t="s">
        <v>20545</v>
      </c>
      <c r="B21961" t="str">
        <f>"15142071099"</f>
        <v>15142071099</v>
      </c>
      <c r="C21961" t="str">
        <f>"211021198809183517"</f>
        <v>211021198809183517</v>
      </c>
      <c r="D21961" t="s">
        <v>20546</v>
      </c>
      <c r="E21961" t="s">
        <v>20547</v>
      </c>
      <c r="F21961" t="s">
        <v>0</v>
      </c>
      <c r="G21961" t="str">
        <f>"2018-10-07 11:20:44"</f>
        <v>2018-10-07 11:20:44</v>
      </c>
    </row>
    <row r="21962" spans="1:7" x14ac:dyDescent="0.2">
      <c r="A21962" t="s">
        <v>20548</v>
      </c>
      <c r="B21962" t="str">
        <f>"15665268664"</f>
        <v>15665268664</v>
      </c>
      <c r="C21962" t="str">
        <f>"370403199001272792"</f>
        <v>370403199001272792</v>
      </c>
      <c r="D21962" t="s">
        <v>1</v>
      </c>
      <c r="E21962" t="s">
        <v>1</v>
      </c>
      <c r="F21962" t="s">
        <v>0</v>
      </c>
      <c r="G21962" t="str">
        <f>"2018-10-07 14:09:31"</f>
        <v>2018-10-07 14:09:31</v>
      </c>
    </row>
    <row r="21963" spans="1:7" x14ac:dyDescent="0.2">
      <c r="A21963" t="s">
        <v>20549</v>
      </c>
      <c r="B21963" t="str">
        <f>"13523780343"</f>
        <v>13523780343</v>
      </c>
      <c r="C21963" t="str">
        <f>"410225198609101671"</f>
        <v>410225198609101671</v>
      </c>
      <c r="D21963" t="s">
        <v>1</v>
      </c>
      <c r="E21963" t="s">
        <v>1</v>
      </c>
      <c r="F21963" t="s">
        <v>0</v>
      </c>
      <c r="G21963" t="str">
        <f>"2018-10-07 10:55:36"</f>
        <v>2018-10-07 10:55:36</v>
      </c>
    </row>
    <row r="21964" spans="1:7" x14ac:dyDescent="0.2">
      <c r="A21964" t="s">
        <v>1</v>
      </c>
      <c r="B21964" t="str">
        <f>"15390316110"</f>
        <v>15390316110</v>
      </c>
      <c r="C21964" t="s">
        <v>1</v>
      </c>
      <c r="D21964" t="s">
        <v>1</v>
      </c>
      <c r="E21964" t="s">
        <v>1</v>
      </c>
      <c r="F21964" t="s">
        <v>0</v>
      </c>
      <c r="G21964" t="str">
        <f>"2018-10-07 11:08:43"</f>
        <v>2018-10-07 11:08:43</v>
      </c>
    </row>
    <row r="21965" spans="1:7" x14ac:dyDescent="0.2">
      <c r="A21965" t="s">
        <v>20550</v>
      </c>
      <c r="B21965" t="str">
        <f>"17681864564"</f>
        <v>17681864564</v>
      </c>
      <c r="C21965" t="str">
        <f>"500230199803036735"</f>
        <v>500230199803036735</v>
      </c>
      <c r="D21965" t="s">
        <v>1</v>
      </c>
      <c r="E21965" t="s">
        <v>1</v>
      </c>
      <c r="F21965" t="s">
        <v>0</v>
      </c>
      <c r="G21965" t="str">
        <f>"2018-10-07 10:56:38"</f>
        <v>2018-10-07 10:56:38</v>
      </c>
    </row>
    <row r="21966" spans="1:7" x14ac:dyDescent="0.2">
      <c r="A21966" t="s">
        <v>20551</v>
      </c>
      <c r="B21966" t="str">
        <f>"13329969115"</f>
        <v>13329969115</v>
      </c>
      <c r="C21966" t="str">
        <f>"420704197808220895"</f>
        <v>420704197808220895</v>
      </c>
      <c r="D21966" t="s">
        <v>20552</v>
      </c>
      <c r="E21966" t="s">
        <v>20553</v>
      </c>
      <c r="F21966" t="s">
        <v>0</v>
      </c>
      <c r="G21966" t="str">
        <f>"2018-10-07 10:59:24"</f>
        <v>2018-10-07 10:59:24</v>
      </c>
    </row>
    <row r="21967" spans="1:7" x14ac:dyDescent="0.2">
      <c r="A21967" t="s">
        <v>20554</v>
      </c>
      <c r="B21967" t="str">
        <f>"18955154888"</f>
        <v>18955154888</v>
      </c>
      <c r="C21967" t="str">
        <f>"340403198010202219"</f>
        <v>340403198010202219</v>
      </c>
      <c r="D21967" t="s">
        <v>20555</v>
      </c>
      <c r="E21967" t="s">
        <v>20556</v>
      </c>
      <c r="F21967" t="s">
        <v>0</v>
      </c>
      <c r="G21967" t="str">
        <f>"2018-10-07 10:55:52"</f>
        <v>2018-10-07 10:55:52</v>
      </c>
    </row>
    <row r="21968" spans="1:7" x14ac:dyDescent="0.2">
      <c r="A21968" t="s">
        <v>20557</v>
      </c>
      <c r="B21968" t="str">
        <f>"13778849917"</f>
        <v>13778849917</v>
      </c>
      <c r="C21968" t="str">
        <f>"513821199502144573"</f>
        <v>513821199502144573</v>
      </c>
      <c r="D21968" t="s">
        <v>1</v>
      </c>
      <c r="E21968" t="s">
        <v>1</v>
      </c>
      <c r="F21968" t="s">
        <v>0</v>
      </c>
      <c r="G21968" t="str">
        <f>"2018-10-11 20:05:18"</f>
        <v>2018-10-11 20:05:18</v>
      </c>
    </row>
    <row r="21969" spans="1:7" x14ac:dyDescent="0.2">
      <c r="A21969" t="s">
        <v>20558</v>
      </c>
      <c r="B21969" t="str">
        <f>"18702079689"</f>
        <v>18702079689</v>
      </c>
      <c r="C21969" t="str">
        <f>"500223199107274090"</f>
        <v>500223199107274090</v>
      </c>
      <c r="D21969" t="s">
        <v>20559</v>
      </c>
      <c r="E21969" t="s">
        <v>20560</v>
      </c>
      <c r="F21969" t="s">
        <v>0</v>
      </c>
      <c r="G21969" t="str">
        <f>"2018-10-07 10:59:24"</f>
        <v>2018-10-07 10:59:24</v>
      </c>
    </row>
    <row r="21970" spans="1:7" x14ac:dyDescent="0.2">
      <c r="A21970" t="s">
        <v>20561</v>
      </c>
      <c r="B21970" t="str">
        <f>"13925908618"</f>
        <v>13925908618</v>
      </c>
      <c r="C21970" t="str">
        <f>"452626198011010596"</f>
        <v>452626198011010596</v>
      </c>
      <c r="D21970" t="s">
        <v>1</v>
      </c>
      <c r="E21970" t="s">
        <v>1</v>
      </c>
      <c r="F21970" t="s">
        <v>0</v>
      </c>
      <c r="G21970" t="str">
        <f>"2018-10-07 11:47:31"</f>
        <v>2018-10-07 11:47:31</v>
      </c>
    </row>
    <row r="21971" spans="1:7" x14ac:dyDescent="0.2">
      <c r="A21971" t="s">
        <v>20562</v>
      </c>
      <c r="B21971" t="str">
        <f>"18334921430"</f>
        <v>18334921430</v>
      </c>
      <c r="C21971" t="str">
        <f>"140622199811224212"</f>
        <v>140622199811224212</v>
      </c>
      <c r="D21971" t="s">
        <v>1</v>
      </c>
      <c r="E21971" t="s">
        <v>1</v>
      </c>
      <c r="F21971" t="s">
        <v>0</v>
      </c>
      <c r="G21971" t="str">
        <f>"2018-10-10 10:13:22"</f>
        <v>2018-10-10 10:13:22</v>
      </c>
    </row>
    <row r="21972" spans="1:7" x14ac:dyDescent="0.2">
      <c r="A21972" t="s">
        <v>1</v>
      </c>
      <c r="B21972" t="str">
        <f>"13277744746"</f>
        <v>13277744746</v>
      </c>
      <c r="C21972" t="s">
        <v>1</v>
      </c>
      <c r="D21972" t="s">
        <v>1</v>
      </c>
      <c r="E21972" t="s">
        <v>1</v>
      </c>
      <c r="F21972" t="s">
        <v>0</v>
      </c>
      <c r="G21972" t="str">
        <f>"2018-10-07 10:53:27"</f>
        <v>2018-10-07 10:53:27</v>
      </c>
    </row>
    <row r="21973" spans="1:7" x14ac:dyDescent="0.2">
      <c r="A21973" t="s">
        <v>1</v>
      </c>
      <c r="B21973" t="str">
        <f>"15967151848"</f>
        <v>15967151848</v>
      </c>
      <c r="C21973" t="s">
        <v>1</v>
      </c>
      <c r="D21973" t="s">
        <v>1</v>
      </c>
      <c r="E21973" t="s">
        <v>1</v>
      </c>
      <c r="F21973" t="s">
        <v>0</v>
      </c>
      <c r="G21973" t="str">
        <f>"2018-10-07 10:53:27"</f>
        <v>2018-10-07 10:53:27</v>
      </c>
    </row>
    <row r="21974" spans="1:7" x14ac:dyDescent="0.2">
      <c r="A21974" t="s">
        <v>20563</v>
      </c>
      <c r="B21974" t="str">
        <f>"15907030974"</f>
        <v>15907030974</v>
      </c>
      <c r="C21974" t="str">
        <f>"362330199003264271"</f>
        <v>362330199003264271</v>
      </c>
      <c r="D21974" t="s">
        <v>1</v>
      </c>
      <c r="E21974" t="s">
        <v>1</v>
      </c>
      <c r="F21974" t="s">
        <v>0</v>
      </c>
      <c r="G21974" t="str">
        <f>"2018-10-07 13:01:53"</f>
        <v>2018-10-07 13:01:53</v>
      </c>
    </row>
    <row r="21975" spans="1:7" x14ac:dyDescent="0.2">
      <c r="A21975" t="s">
        <v>20564</v>
      </c>
      <c r="B21975" t="str">
        <f>"18903474662"</f>
        <v>18903474662</v>
      </c>
      <c r="C21975" t="str">
        <f>"142601197107134919"</f>
        <v>142601197107134919</v>
      </c>
      <c r="D21975" t="s">
        <v>1</v>
      </c>
      <c r="E21975" t="s">
        <v>1</v>
      </c>
      <c r="F21975" t="s">
        <v>0</v>
      </c>
      <c r="G21975" t="str">
        <f>"2018-10-07 10:55:15"</f>
        <v>2018-10-07 10:55:15</v>
      </c>
    </row>
    <row r="21976" spans="1:7" x14ac:dyDescent="0.2">
      <c r="A21976" t="s">
        <v>20565</v>
      </c>
      <c r="B21976" t="str">
        <f>"13558795701"</f>
        <v>13558795701</v>
      </c>
      <c r="C21976" t="str">
        <f>"510106199409170422"</f>
        <v>510106199409170422</v>
      </c>
      <c r="D21976" t="s">
        <v>1</v>
      </c>
      <c r="E21976" t="s">
        <v>1</v>
      </c>
      <c r="F21976" t="s">
        <v>0</v>
      </c>
      <c r="G21976" t="str">
        <f>"2018-10-19 10:17:05"</f>
        <v>2018-10-19 10:17:05</v>
      </c>
    </row>
    <row r="21977" spans="1:7" x14ac:dyDescent="0.2">
      <c r="A21977" t="s">
        <v>20566</v>
      </c>
      <c r="B21977" t="str">
        <f>"13981086895"</f>
        <v>13981086895</v>
      </c>
      <c r="C21977" t="str">
        <f>"510603198606240366"</f>
        <v>510603198606240366</v>
      </c>
      <c r="D21977" t="s">
        <v>1</v>
      </c>
      <c r="E21977" t="s">
        <v>1</v>
      </c>
      <c r="F21977" t="s">
        <v>0</v>
      </c>
      <c r="G21977" t="str">
        <f>"2018-10-07 10:52:18"</f>
        <v>2018-10-07 10:52:18</v>
      </c>
    </row>
    <row r="21978" spans="1:7" x14ac:dyDescent="0.2">
      <c r="A21978" t="s">
        <v>1</v>
      </c>
      <c r="B21978" t="str">
        <f>"13616835018"</f>
        <v>13616835018</v>
      </c>
      <c r="C21978" t="s">
        <v>1</v>
      </c>
      <c r="D21978" t="s">
        <v>1</v>
      </c>
      <c r="E21978" t="s">
        <v>1</v>
      </c>
      <c r="F21978" t="s">
        <v>0</v>
      </c>
      <c r="G21978" t="str">
        <f>"2018-10-07 10:52:06"</f>
        <v>2018-10-07 10:52:06</v>
      </c>
    </row>
    <row r="21979" spans="1:7" x14ac:dyDescent="0.2">
      <c r="A21979" t="s">
        <v>1</v>
      </c>
      <c r="B21979" t="str">
        <f>"13308680000"</f>
        <v>13308680000</v>
      </c>
      <c r="C21979" t="s">
        <v>1</v>
      </c>
      <c r="D21979" t="s">
        <v>1</v>
      </c>
      <c r="E21979" t="s">
        <v>1</v>
      </c>
      <c r="F21979" t="s">
        <v>0</v>
      </c>
      <c r="G21979" t="str">
        <f>"2018-10-07 10:54:20"</f>
        <v>2018-10-07 10:54:20</v>
      </c>
    </row>
    <row r="21980" spans="1:7" x14ac:dyDescent="0.2">
      <c r="A21980" t="s">
        <v>1</v>
      </c>
      <c r="B21980" t="str">
        <f>"18176783953"</f>
        <v>18176783953</v>
      </c>
      <c r="C21980" t="s">
        <v>1</v>
      </c>
      <c r="D21980" t="s">
        <v>1</v>
      </c>
      <c r="E21980" t="s">
        <v>1</v>
      </c>
      <c r="F21980" t="s">
        <v>0</v>
      </c>
      <c r="G21980" t="str">
        <f>"2018-10-07 10:51:34"</f>
        <v>2018-10-07 10:51:34</v>
      </c>
    </row>
    <row r="21981" spans="1:7" x14ac:dyDescent="0.2">
      <c r="A21981" t="s">
        <v>20567</v>
      </c>
      <c r="B21981" t="str">
        <f>"13301201919"</f>
        <v>13301201919</v>
      </c>
      <c r="C21981" t="str">
        <f>"110226198610011433"</f>
        <v>110226198610011433</v>
      </c>
      <c r="D21981" t="s">
        <v>1</v>
      </c>
      <c r="E21981" t="s">
        <v>1</v>
      </c>
      <c r="F21981" t="s">
        <v>0</v>
      </c>
      <c r="G21981" t="str">
        <f>"2018-10-07 10:56:32"</f>
        <v>2018-10-07 10:56:32</v>
      </c>
    </row>
    <row r="21982" spans="1:7" x14ac:dyDescent="0.2">
      <c r="A21982" t="s">
        <v>1</v>
      </c>
      <c r="B21982" t="str">
        <f>"15379651444"</f>
        <v>15379651444</v>
      </c>
      <c r="C21982" t="s">
        <v>1</v>
      </c>
      <c r="D21982" t="s">
        <v>1</v>
      </c>
      <c r="E21982" t="s">
        <v>1</v>
      </c>
      <c r="F21982" t="s">
        <v>0</v>
      </c>
      <c r="G21982" t="str">
        <f>"2018-10-07 10:51:02"</f>
        <v>2018-10-07 10:51:02</v>
      </c>
    </row>
    <row r="21983" spans="1:7" x14ac:dyDescent="0.2">
      <c r="A21983" t="s">
        <v>20568</v>
      </c>
      <c r="B21983" t="str">
        <f>"13169534199"</f>
        <v>13169534199</v>
      </c>
      <c r="C21983" t="str">
        <f>"450621199209100010"</f>
        <v>450621199209100010</v>
      </c>
      <c r="D21983" t="s">
        <v>1</v>
      </c>
      <c r="E21983" t="s">
        <v>1</v>
      </c>
      <c r="F21983" t="s">
        <v>0</v>
      </c>
      <c r="G21983" t="str">
        <f>"2018-10-07 10:52:05"</f>
        <v>2018-10-07 10:52:05</v>
      </c>
    </row>
    <row r="21984" spans="1:7" x14ac:dyDescent="0.2">
      <c r="A21984" t="s">
        <v>20569</v>
      </c>
      <c r="B21984" t="str">
        <f>"15047531947"</f>
        <v>15047531947</v>
      </c>
      <c r="C21984" t="str">
        <f>"210922199108290343"</f>
        <v>210922199108290343</v>
      </c>
      <c r="D21984" t="s">
        <v>1</v>
      </c>
      <c r="E21984" t="s">
        <v>1</v>
      </c>
      <c r="F21984" t="s">
        <v>0</v>
      </c>
      <c r="G21984" t="str">
        <f>"2018-10-07 10:53:03"</f>
        <v>2018-10-07 10:53:03</v>
      </c>
    </row>
    <row r="21985" spans="1:7" x14ac:dyDescent="0.2">
      <c r="A21985" t="s">
        <v>20570</v>
      </c>
      <c r="B21985" t="str">
        <f>"18940238265"</f>
        <v>18940238265</v>
      </c>
      <c r="C21985" t="str">
        <f>"220421197906202124"</f>
        <v>220421197906202124</v>
      </c>
      <c r="D21985" t="s">
        <v>1</v>
      </c>
      <c r="E21985" t="s">
        <v>1</v>
      </c>
      <c r="F21985" t="s">
        <v>0</v>
      </c>
      <c r="G21985" t="str">
        <f>"2018-10-07 10:51:50"</f>
        <v>2018-10-07 10:51:50</v>
      </c>
    </row>
    <row r="21986" spans="1:7" x14ac:dyDescent="0.2">
      <c r="A21986" t="s">
        <v>20571</v>
      </c>
      <c r="B21986" t="str">
        <f>"15319368289"</f>
        <v>15319368289</v>
      </c>
      <c r="C21986" t="str">
        <f>"612328197801123618"</f>
        <v>612328197801123618</v>
      </c>
      <c r="D21986" t="s">
        <v>1</v>
      </c>
      <c r="E21986" t="s">
        <v>1</v>
      </c>
      <c r="F21986" t="s">
        <v>0</v>
      </c>
      <c r="G21986" t="str">
        <f>"2018-10-20 15:32:43"</f>
        <v>2018-10-20 15:32:43</v>
      </c>
    </row>
    <row r="21987" spans="1:7" x14ac:dyDescent="0.2">
      <c r="A21987" t="s">
        <v>1</v>
      </c>
      <c r="B21987" t="str">
        <f>"15924070128"</f>
        <v>15924070128</v>
      </c>
      <c r="C21987" t="s">
        <v>1</v>
      </c>
      <c r="D21987" t="s">
        <v>1</v>
      </c>
      <c r="E21987" t="s">
        <v>1</v>
      </c>
      <c r="F21987" t="s">
        <v>0</v>
      </c>
      <c r="G21987" t="str">
        <f>"2018-10-07 10:50:12"</f>
        <v>2018-10-07 10:50:12</v>
      </c>
    </row>
    <row r="21988" spans="1:7" x14ac:dyDescent="0.2">
      <c r="A21988" t="s">
        <v>1</v>
      </c>
      <c r="B21988" t="str">
        <f>"13123416219"</f>
        <v>13123416219</v>
      </c>
      <c r="C21988" t="s">
        <v>1</v>
      </c>
      <c r="D21988" t="s">
        <v>1</v>
      </c>
      <c r="E21988" t="s">
        <v>1</v>
      </c>
      <c r="F21988" t="s">
        <v>0</v>
      </c>
      <c r="G21988" t="str">
        <f>"2018-10-07 10:50:09"</f>
        <v>2018-10-07 10:50:09</v>
      </c>
    </row>
    <row r="21989" spans="1:7" x14ac:dyDescent="0.2">
      <c r="A21989" t="s">
        <v>20572</v>
      </c>
      <c r="B21989" t="str">
        <f>"13284119826"</f>
        <v>13284119826</v>
      </c>
      <c r="C21989" t="str">
        <f>"210202198301221210"</f>
        <v>210202198301221210</v>
      </c>
      <c r="D21989" t="s">
        <v>1</v>
      </c>
      <c r="E21989" t="s">
        <v>1</v>
      </c>
      <c r="F21989" t="s">
        <v>0</v>
      </c>
      <c r="G21989" t="str">
        <f>"2018-10-07 10:52:29"</f>
        <v>2018-10-07 10:52:29</v>
      </c>
    </row>
    <row r="21990" spans="1:7" x14ac:dyDescent="0.2">
      <c r="A21990" t="s">
        <v>706</v>
      </c>
      <c r="B21990" t="str">
        <f>"15004186622"</f>
        <v>15004186622</v>
      </c>
      <c r="C21990" t="str">
        <f>"210922198701277524"</f>
        <v>210922198701277524</v>
      </c>
      <c r="D21990" t="s">
        <v>1</v>
      </c>
      <c r="E21990" t="s">
        <v>1</v>
      </c>
      <c r="F21990" t="s">
        <v>0</v>
      </c>
      <c r="G21990" t="str">
        <f>"2018-10-12 10:02:13"</f>
        <v>2018-10-12 10:02:13</v>
      </c>
    </row>
    <row r="21991" spans="1:7" x14ac:dyDescent="0.2">
      <c r="A21991" t="s">
        <v>11576</v>
      </c>
      <c r="B21991" t="str">
        <f>"13044274503"</f>
        <v>13044274503</v>
      </c>
      <c r="C21991" t="str">
        <f>"511321199402251276"</f>
        <v>511321199402251276</v>
      </c>
      <c r="D21991" t="s">
        <v>1</v>
      </c>
      <c r="E21991" t="s">
        <v>1</v>
      </c>
      <c r="F21991" t="s">
        <v>0</v>
      </c>
      <c r="G21991" t="str">
        <f>"2018-10-07 10:50:37"</f>
        <v>2018-10-07 10:50:37</v>
      </c>
    </row>
    <row r="21992" spans="1:7" x14ac:dyDescent="0.2">
      <c r="A21992" t="s">
        <v>20573</v>
      </c>
      <c r="B21992" t="str">
        <f>"15850689284"</f>
        <v>15850689284</v>
      </c>
      <c r="C21992" t="str">
        <f>"340503199210010019"</f>
        <v>340503199210010019</v>
      </c>
      <c r="D21992" t="s">
        <v>20574</v>
      </c>
      <c r="E21992" t="s">
        <v>20575</v>
      </c>
      <c r="F21992" t="s">
        <v>0</v>
      </c>
      <c r="G21992" t="str">
        <f>"2018-10-07 10:50:52"</f>
        <v>2018-10-07 10:50:52</v>
      </c>
    </row>
    <row r="21993" spans="1:7" x14ac:dyDescent="0.2">
      <c r="A21993" t="s">
        <v>1</v>
      </c>
      <c r="B21993" t="str">
        <f>"15962546526"</f>
        <v>15962546526</v>
      </c>
      <c r="C21993" t="s">
        <v>1</v>
      </c>
      <c r="D21993" t="s">
        <v>1</v>
      </c>
      <c r="E21993" t="s">
        <v>1</v>
      </c>
      <c r="F21993" t="s">
        <v>0</v>
      </c>
      <c r="G21993" t="str">
        <f>"2018-10-07 10:49:34"</f>
        <v>2018-10-07 10:49:34</v>
      </c>
    </row>
    <row r="21994" spans="1:7" x14ac:dyDescent="0.2">
      <c r="A21994" t="s">
        <v>20576</v>
      </c>
      <c r="B21994" t="str">
        <f>"15116391122"</f>
        <v>15116391122</v>
      </c>
      <c r="C21994" t="str">
        <f>"430321198806217431"</f>
        <v>430321198806217431</v>
      </c>
      <c r="D21994" t="s">
        <v>1</v>
      </c>
      <c r="E21994" t="s">
        <v>1</v>
      </c>
      <c r="F21994" t="s">
        <v>0</v>
      </c>
      <c r="G21994" t="str">
        <f>"2018-10-07 11:01:38"</f>
        <v>2018-10-07 11:01:38</v>
      </c>
    </row>
    <row r="21995" spans="1:7" x14ac:dyDescent="0.2">
      <c r="A21995" t="s">
        <v>20577</v>
      </c>
      <c r="B21995" t="str">
        <f>"18805610310"</f>
        <v>18805610310</v>
      </c>
      <c r="C21995" t="str">
        <f>"340621199302032424"</f>
        <v>340621199302032424</v>
      </c>
      <c r="D21995" t="s">
        <v>1</v>
      </c>
      <c r="E21995" t="s">
        <v>1</v>
      </c>
      <c r="F21995" t="s">
        <v>0</v>
      </c>
      <c r="G21995" t="str">
        <f>"2018-10-08 15:37:51"</f>
        <v>2018-10-08 15:37:51</v>
      </c>
    </row>
    <row r="21996" spans="1:7" x14ac:dyDescent="0.2">
      <c r="A21996" t="s">
        <v>20578</v>
      </c>
      <c r="B21996" t="str">
        <f>"18679037900"</f>
        <v>18679037900</v>
      </c>
      <c r="C21996" t="str">
        <f>"352623197911212639"</f>
        <v>352623197911212639</v>
      </c>
      <c r="D21996" t="s">
        <v>1</v>
      </c>
      <c r="E21996" t="s">
        <v>1</v>
      </c>
      <c r="F21996" t="s">
        <v>0</v>
      </c>
      <c r="G21996" t="str">
        <f>"2018-10-07 10:50:11"</f>
        <v>2018-10-07 10:50:11</v>
      </c>
    </row>
    <row r="21997" spans="1:7" x14ac:dyDescent="0.2">
      <c r="A21997" t="s">
        <v>20579</v>
      </c>
      <c r="B21997" t="str">
        <f>"17775925576"</f>
        <v>17775925576</v>
      </c>
      <c r="C21997" t="str">
        <f>"43302419900217363X"</f>
        <v>43302419900217363X</v>
      </c>
      <c r="D21997" t="s">
        <v>1</v>
      </c>
      <c r="E21997" t="s">
        <v>1</v>
      </c>
      <c r="F21997" t="s">
        <v>0</v>
      </c>
      <c r="G21997" t="str">
        <f>"2018-10-07 10:49:20"</f>
        <v>2018-10-07 10:49:20</v>
      </c>
    </row>
    <row r="21998" spans="1:7" x14ac:dyDescent="0.2">
      <c r="A21998" t="s">
        <v>1</v>
      </c>
      <c r="B21998" t="str">
        <f>"18007224171"</f>
        <v>18007224171</v>
      </c>
      <c r="C21998" t="s">
        <v>1</v>
      </c>
      <c r="D21998" t="s">
        <v>1</v>
      </c>
      <c r="E21998" t="s">
        <v>1</v>
      </c>
      <c r="F21998" t="s">
        <v>0</v>
      </c>
      <c r="G21998" t="str">
        <f>"2018-10-07 10:47:50"</f>
        <v>2018-10-07 10:47:50</v>
      </c>
    </row>
    <row r="21999" spans="1:7" x14ac:dyDescent="0.2">
      <c r="A21999" t="s">
        <v>20580</v>
      </c>
      <c r="B21999" t="str">
        <f>"13477410020"</f>
        <v>13477410020</v>
      </c>
      <c r="C21999" t="str">
        <f>"42900419920218813X"</f>
        <v>42900419920218813X</v>
      </c>
      <c r="D21999" t="s">
        <v>20581</v>
      </c>
      <c r="E21999" t="s">
        <v>20582</v>
      </c>
      <c r="F21999" t="s">
        <v>0</v>
      </c>
      <c r="G21999" t="str">
        <f>"2018-10-07 10:49:59"</f>
        <v>2018-10-07 10:49:59</v>
      </c>
    </row>
    <row r="22000" spans="1:7" x14ac:dyDescent="0.2">
      <c r="A22000" t="s">
        <v>1</v>
      </c>
      <c r="B22000" t="str">
        <f>"18043080936"</f>
        <v>18043080936</v>
      </c>
      <c r="C22000" t="s">
        <v>1</v>
      </c>
      <c r="D22000" t="s">
        <v>1</v>
      </c>
      <c r="E22000" t="s">
        <v>1</v>
      </c>
      <c r="F22000" t="s">
        <v>0</v>
      </c>
      <c r="G22000" t="str">
        <f>"2018-10-07 10:47:47"</f>
        <v>2018-10-07 10:47:47</v>
      </c>
    </row>
    <row r="22001" spans="1:7" x14ac:dyDescent="0.2">
      <c r="A22001" t="s">
        <v>20583</v>
      </c>
      <c r="B22001" t="str">
        <f>"13475188253"</f>
        <v>13475188253</v>
      </c>
      <c r="C22001" t="str">
        <f>"372428197604131518"</f>
        <v>372428197604131518</v>
      </c>
      <c r="D22001" t="s">
        <v>1</v>
      </c>
      <c r="E22001" t="s">
        <v>1</v>
      </c>
      <c r="F22001" t="s">
        <v>0</v>
      </c>
      <c r="G22001" t="str">
        <f>"2018-10-07 10:49:12"</f>
        <v>2018-10-07 10:49:12</v>
      </c>
    </row>
    <row r="22002" spans="1:7" x14ac:dyDescent="0.2">
      <c r="A22002" t="s">
        <v>20584</v>
      </c>
      <c r="B22002" t="str">
        <f>"15029747874"</f>
        <v>15029747874</v>
      </c>
      <c r="C22002" t="str">
        <f>"610602199308104413"</f>
        <v>610602199308104413</v>
      </c>
      <c r="D22002" t="s">
        <v>20585</v>
      </c>
      <c r="E22002" t="s">
        <v>20586</v>
      </c>
      <c r="F22002" t="s">
        <v>0</v>
      </c>
      <c r="G22002" t="str">
        <f>"2018-10-31 12:31:29"</f>
        <v>2018-10-31 12:31:29</v>
      </c>
    </row>
    <row r="22003" spans="1:7" x14ac:dyDescent="0.2">
      <c r="A22003" t="s">
        <v>20587</v>
      </c>
      <c r="B22003" t="str">
        <f>"13811899297"</f>
        <v>13811899297</v>
      </c>
      <c r="C22003" t="str">
        <f>"210702198209240870"</f>
        <v>210702198209240870</v>
      </c>
      <c r="D22003" t="s">
        <v>20588</v>
      </c>
      <c r="E22003" t="s">
        <v>20589</v>
      </c>
      <c r="F22003" t="s">
        <v>0</v>
      </c>
      <c r="G22003" t="str">
        <f>"2018-10-26 19:43:10"</f>
        <v>2018-10-26 19:43:10</v>
      </c>
    </row>
    <row r="22004" spans="1:7" x14ac:dyDescent="0.2">
      <c r="A22004" t="s">
        <v>10265</v>
      </c>
      <c r="B22004" t="str">
        <f>"15153859345"</f>
        <v>15153859345</v>
      </c>
      <c r="C22004" t="str">
        <f>"370982199008015003"</f>
        <v>370982199008015003</v>
      </c>
      <c r="D22004" t="s">
        <v>1</v>
      </c>
      <c r="E22004" t="s">
        <v>1</v>
      </c>
      <c r="F22004" t="s">
        <v>0</v>
      </c>
      <c r="G22004" t="str">
        <f>"2018-10-07 10:46:52"</f>
        <v>2018-10-07 10:46:52</v>
      </c>
    </row>
    <row r="22005" spans="1:7" x14ac:dyDescent="0.2">
      <c r="A22005" t="s">
        <v>20590</v>
      </c>
      <c r="B22005" t="str">
        <f>"15275222200"</f>
        <v>15275222200</v>
      </c>
      <c r="C22005" t="str">
        <f>"371328199203026015"</f>
        <v>371328199203026015</v>
      </c>
      <c r="D22005" t="s">
        <v>20591</v>
      </c>
      <c r="E22005" t="s">
        <v>20592</v>
      </c>
      <c r="F22005" t="s">
        <v>0</v>
      </c>
      <c r="G22005" t="str">
        <f>"2018-10-07 11:01:05"</f>
        <v>2018-10-07 11:01:05</v>
      </c>
    </row>
    <row r="22006" spans="1:7" x14ac:dyDescent="0.2">
      <c r="A22006" t="s">
        <v>20593</v>
      </c>
      <c r="B22006" t="str">
        <f>"13309358333"</f>
        <v>13309358333</v>
      </c>
      <c r="C22006" t="str">
        <f>"622322197505132417"</f>
        <v>622322197505132417</v>
      </c>
      <c r="D22006" t="s">
        <v>1</v>
      </c>
      <c r="E22006" t="s">
        <v>1</v>
      </c>
      <c r="F22006" t="s">
        <v>0</v>
      </c>
      <c r="G22006" t="str">
        <f>"2018-10-07 10:46:33"</f>
        <v>2018-10-07 10:46:33</v>
      </c>
    </row>
    <row r="22007" spans="1:7" x14ac:dyDescent="0.2">
      <c r="A22007" t="s">
        <v>20594</v>
      </c>
      <c r="B22007" t="str">
        <f>"18003890099"</f>
        <v>18003890099</v>
      </c>
      <c r="C22007" t="str">
        <f>"41048219901110503X"</f>
        <v>41048219901110503X</v>
      </c>
      <c r="D22007" t="s">
        <v>1</v>
      </c>
      <c r="E22007" t="s">
        <v>1</v>
      </c>
      <c r="F22007" t="s">
        <v>0</v>
      </c>
      <c r="G22007" t="str">
        <f>"2018-10-07 10:47:33"</f>
        <v>2018-10-07 10:47:33</v>
      </c>
    </row>
    <row r="22008" spans="1:7" x14ac:dyDescent="0.2">
      <c r="A22008" t="s">
        <v>1</v>
      </c>
      <c r="B22008" t="str">
        <f>"15621352818"</f>
        <v>15621352818</v>
      </c>
      <c r="C22008" t="s">
        <v>1</v>
      </c>
      <c r="D22008" t="s">
        <v>1</v>
      </c>
      <c r="E22008" t="s">
        <v>1</v>
      </c>
      <c r="F22008" t="s">
        <v>0</v>
      </c>
      <c r="G22008" t="str">
        <f>"2018-10-07 10:45:55"</f>
        <v>2018-10-07 10:45:55</v>
      </c>
    </row>
    <row r="22009" spans="1:7" x14ac:dyDescent="0.2">
      <c r="A22009" t="s">
        <v>1</v>
      </c>
      <c r="B22009" t="str">
        <f>"13536796547"</f>
        <v>13536796547</v>
      </c>
      <c r="C22009" t="s">
        <v>1</v>
      </c>
      <c r="D22009" t="s">
        <v>1</v>
      </c>
      <c r="E22009" t="s">
        <v>1</v>
      </c>
      <c r="F22009" t="s">
        <v>0</v>
      </c>
      <c r="G22009" t="str">
        <f>"2018-10-07 10:45:53"</f>
        <v>2018-10-07 10:45:53</v>
      </c>
    </row>
    <row r="22010" spans="1:7" x14ac:dyDescent="0.2">
      <c r="A22010" t="s">
        <v>20595</v>
      </c>
      <c r="B22010" t="str">
        <f>"18013736120"</f>
        <v>18013736120</v>
      </c>
      <c r="C22010" t="str">
        <f>"320525198102081012"</f>
        <v>320525198102081012</v>
      </c>
      <c r="D22010" t="s">
        <v>1</v>
      </c>
      <c r="E22010" t="s">
        <v>1</v>
      </c>
      <c r="F22010" t="s">
        <v>0</v>
      </c>
      <c r="G22010" t="str">
        <f>"2018-10-30 13:29:15"</f>
        <v>2018-10-30 13:29:15</v>
      </c>
    </row>
    <row r="22011" spans="1:7" x14ac:dyDescent="0.2">
      <c r="A22011" t="s">
        <v>1</v>
      </c>
      <c r="B22011" t="str">
        <f>"18075810415"</f>
        <v>18075810415</v>
      </c>
      <c r="C22011" t="s">
        <v>1</v>
      </c>
      <c r="D22011" t="s">
        <v>1</v>
      </c>
      <c r="E22011" t="s">
        <v>1</v>
      </c>
      <c r="F22011" t="s">
        <v>0</v>
      </c>
      <c r="G22011" t="str">
        <f>"2018-10-07 10:45:40"</f>
        <v>2018-10-07 10:45:40</v>
      </c>
    </row>
    <row r="22012" spans="1:7" x14ac:dyDescent="0.2">
      <c r="A22012" t="s">
        <v>1</v>
      </c>
      <c r="B22012" t="str">
        <f>"18020993071"</f>
        <v>18020993071</v>
      </c>
      <c r="C22012" t="s">
        <v>1</v>
      </c>
      <c r="D22012" t="s">
        <v>1</v>
      </c>
      <c r="E22012" t="s">
        <v>1</v>
      </c>
      <c r="F22012" t="s">
        <v>0</v>
      </c>
      <c r="G22012" t="str">
        <f>"2018-10-07 10:45:22"</f>
        <v>2018-10-07 10:45:22</v>
      </c>
    </row>
    <row r="22013" spans="1:7" x14ac:dyDescent="0.2">
      <c r="A22013" t="s">
        <v>4422</v>
      </c>
      <c r="B22013" t="str">
        <f>"18115309514"</f>
        <v>18115309514</v>
      </c>
      <c r="C22013" t="str">
        <f>"310113197812032916"</f>
        <v>310113197812032916</v>
      </c>
      <c r="D22013" t="s">
        <v>1</v>
      </c>
      <c r="E22013" t="s">
        <v>1</v>
      </c>
      <c r="F22013" t="s">
        <v>0</v>
      </c>
      <c r="G22013" t="str">
        <f>"2018-10-07 10:45:19"</f>
        <v>2018-10-07 10:45:19</v>
      </c>
    </row>
    <row r="22014" spans="1:7" x14ac:dyDescent="0.2">
      <c r="A22014" t="s">
        <v>11247</v>
      </c>
      <c r="B22014" t="str">
        <f>"18015958373"</f>
        <v>18015958373</v>
      </c>
      <c r="C22014" t="str">
        <f>"513125199509231618"</f>
        <v>513125199509231618</v>
      </c>
      <c r="D22014" t="s">
        <v>1</v>
      </c>
      <c r="E22014" t="s">
        <v>1</v>
      </c>
      <c r="F22014" t="s">
        <v>0</v>
      </c>
      <c r="G22014" t="str">
        <f>"2018-10-07 10:46:27"</f>
        <v>2018-10-07 10:46:27</v>
      </c>
    </row>
    <row r="22015" spans="1:7" x14ac:dyDescent="0.2">
      <c r="A22015" t="s">
        <v>1</v>
      </c>
      <c r="B22015" t="str">
        <f>"18909424848"</f>
        <v>18909424848</v>
      </c>
      <c r="C22015" t="s">
        <v>1</v>
      </c>
      <c r="D22015" t="s">
        <v>1</v>
      </c>
      <c r="E22015" t="s">
        <v>1</v>
      </c>
      <c r="F22015" t="s">
        <v>0</v>
      </c>
      <c r="G22015" t="str">
        <f>"2018-10-07 10:45:10"</f>
        <v>2018-10-07 10:45:10</v>
      </c>
    </row>
    <row r="22016" spans="1:7" x14ac:dyDescent="0.2">
      <c r="A22016" t="s">
        <v>1</v>
      </c>
      <c r="B22016" t="str">
        <f>"13357816220"</f>
        <v>13357816220</v>
      </c>
      <c r="C22016" t="s">
        <v>1</v>
      </c>
      <c r="D22016" t="s">
        <v>1</v>
      </c>
      <c r="E22016" t="s">
        <v>1</v>
      </c>
      <c r="F22016" t="s">
        <v>0</v>
      </c>
      <c r="G22016" t="str">
        <f>"2018-10-07 10:45:08"</f>
        <v>2018-10-07 10:45:08</v>
      </c>
    </row>
    <row r="22017" spans="1:7" x14ac:dyDescent="0.2">
      <c r="A22017" t="s">
        <v>20596</v>
      </c>
      <c r="B22017" t="str">
        <f>"13368223547"</f>
        <v>13368223547</v>
      </c>
      <c r="C22017" t="str">
        <f>"510212198104013547"</f>
        <v>510212198104013547</v>
      </c>
      <c r="D22017" t="s">
        <v>20597</v>
      </c>
      <c r="E22017" t="s">
        <v>20598</v>
      </c>
      <c r="F22017" t="s">
        <v>0</v>
      </c>
      <c r="G22017" t="str">
        <f>"2018-10-07 10:51:55"</f>
        <v>2018-10-07 10:51:55</v>
      </c>
    </row>
    <row r="22018" spans="1:7" x14ac:dyDescent="0.2">
      <c r="A22018" t="s">
        <v>1329</v>
      </c>
      <c r="B22018" t="str">
        <f>"15588984880"</f>
        <v>15588984880</v>
      </c>
      <c r="C22018" t="str">
        <f>"231024198911271014"</f>
        <v>231024198911271014</v>
      </c>
      <c r="D22018" t="s">
        <v>1</v>
      </c>
      <c r="E22018" t="s">
        <v>1</v>
      </c>
      <c r="F22018" t="s">
        <v>0</v>
      </c>
      <c r="G22018" t="str">
        <f>"2018-10-07 11:22:52"</f>
        <v>2018-10-07 11:22:52</v>
      </c>
    </row>
    <row r="22019" spans="1:7" x14ac:dyDescent="0.2">
      <c r="A22019" t="s">
        <v>1</v>
      </c>
      <c r="B22019" t="str">
        <f>"18057619136"</f>
        <v>18057619136</v>
      </c>
      <c r="C22019" t="s">
        <v>1</v>
      </c>
      <c r="D22019" t="s">
        <v>1</v>
      </c>
      <c r="E22019" t="s">
        <v>1</v>
      </c>
      <c r="F22019" t="s">
        <v>0</v>
      </c>
      <c r="G22019" t="str">
        <f>"2018-10-07 10:45:01"</f>
        <v>2018-10-07 10:45:01</v>
      </c>
    </row>
    <row r="22020" spans="1:7" x14ac:dyDescent="0.2">
      <c r="A22020" t="s">
        <v>20599</v>
      </c>
      <c r="B22020" t="str">
        <f>"13539222757"</f>
        <v>13539222757</v>
      </c>
      <c r="C22020" t="str">
        <f>"441323198207108917"</f>
        <v>441323198207108917</v>
      </c>
      <c r="D22020" t="s">
        <v>1</v>
      </c>
      <c r="E22020" t="s">
        <v>1</v>
      </c>
      <c r="F22020" t="s">
        <v>0</v>
      </c>
      <c r="G22020" t="str">
        <f>"2018-10-07 10:46:21"</f>
        <v>2018-10-07 10:46:21</v>
      </c>
    </row>
    <row r="22021" spans="1:7" x14ac:dyDescent="0.2">
      <c r="A22021" t="s">
        <v>20600</v>
      </c>
      <c r="B22021" t="str">
        <f>"18775573326"</f>
        <v>18775573326</v>
      </c>
      <c r="C22021" t="str">
        <f>"452526197404113211"</f>
        <v>452526197404113211</v>
      </c>
      <c r="D22021" t="s">
        <v>1</v>
      </c>
      <c r="E22021" t="s">
        <v>1</v>
      </c>
      <c r="F22021" t="s">
        <v>0</v>
      </c>
      <c r="G22021" t="str">
        <f>"2018-10-07 10:49:02"</f>
        <v>2018-10-07 10:49:02</v>
      </c>
    </row>
    <row r="22022" spans="1:7" x14ac:dyDescent="0.2">
      <c r="A22022" t="s">
        <v>20601</v>
      </c>
      <c r="B22022" t="str">
        <f>"13580410594"</f>
        <v>13580410594</v>
      </c>
      <c r="C22022" t="str">
        <f>"440184198706101251"</f>
        <v>440184198706101251</v>
      </c>
      <c r="D22022" t="s">
        <v>1</v>
      </c>
      <c r="E22022" t="s">
        <v>1</v>
      </c>
      <c r="F22022" t="s">
        <v>0</v>
      </c>
      <c r="G22022" t="str">
        <f>"2018-10-07 10:48:48"</f>
        <v>2018-10-07 10:48:48</v>
      </c>
    </row>
    <row r="22023" spans="1:7" x14ac:dyDescent="0.2">
      <c r="A22023" t="s">
        <v>1</v>
      </c>
      <c r="B22023" t="str">
        <f>"18291970600"</f>
        <v>18291970600</v>
      </c>
      <c r="C22023" t="s">
        <v>1</v>
      </c>
      <c r="D22023" t="s">
        <v>1</v>
      </c>
      <c r="E22023" t="s">
        <v>1</v>
      </c>
      <c r="F22023" t="s">
        <v>0</v>
      </c>
      <c r="G22023" t="str">
        <f>"2018-10-07 10:44:38"</f>
        <v>2018-10-07 10:44:38</v>
      </c>
    </row>
    <row r="22024" spans="1:7" x14ac:dyDescent="0.2">
      <c r="A22024" t="s">
        <v>1350</v>
      </c>
      <c r="B22024" t="str">
        <f>"13109439913"</f>
        <v>13109439913</v>
      </c>
      <c r="C22024" t="str">
        <f>"620123198412042111"</f>
        <v>620123198412042111</v>
      </c>
      <c r="D22024" t="s">
        <v>20602</v>
      </c>
      <c r="E22024" t="s">
        <v>20603</v>
      </c>
      <c r="F22024" t="s">
        <v>0</v>
      </c>
      <c r="G22024" t="str">
        <f>"2018-10-07 10:44:32"</f>
        <v>2018-10-07 10:44:32</v>
      </c>
    </row>
    <row r="22025" spans="1:7" x14ac:dyDescent="0.2">
      <c r="A22025" t="s">
        <v>1</v>
      </c>
      <c r="B22025" t="str">
        <f>"13355354164"</f>
        <v>13355354164</v>
      </c>
      <c r="C22025" t="s">
        <v>1</v>
      </c>
      <c r="D22025" t="s">
        <v>1</v>
      </c>
      <c r="E22025" t="s">
        <v>1</v>
      </c>
      <c r="F22025" t="s">
        <v>0</v>
      </c>
      <c r="G22025" t="str">
        <f>"2018-10-07 10:45:17"</f>
        <v>2018-10-07 10:45:17</v>
      </c>
    </row>
    <row r="22026" spans="1:7" x14ac:dyDescent="0.2">
      <c r="A22026" t="s">
        <v>1</v>
      </c>
      <c r="B22026" t="str">
        <f>"13377430337"</f>
        <v>13377430337</v>
      </c>
      <c r="C22026" t="s">
        <v>1</v>
      </c>
      <c r="D22026" t="s">
        <v>1</v>
      </c>
      <c r="E22026" t="s">
        <v>1</v>
      </c>
      <c r="F22026" t="s">
        <v>0</v>
      </c>
      <c r="G22026" t="str">
        <f>"2018-10-07 10:44:14"</f>
        <v>2018-10-07 10:44:14</v>
      </c>
    </row>
    <row r="22027" spans="1:7" x14ac:dyDescent="0.2">
      <c r="A22027" t="s">
        <v>1</v>
      </c>
      <c r="B22027" t="str">
        <f>"13348683960"</f>
        <v>13348683960</v>
      </c>
      <c r="C22027" t="s">
        <v>1</v>
      </c>
      <c r="D22027" t="s">
        <v>1</v>
      </c>
      <c r="E22027" t="s">
        <v>1</v>
      </c>
      <c r="F22027" t="s">
        <v>0</v>
      </c>
      <c r="G22027" t="str">
        <f>"2018-10-07 10:44:07"</f>
        <v>2018-10-07 10:44:07</v>
      </c>
    </row>
    <row r="22028" spans="1:7" x14ac:dyDescent="0.2">
      <c r="A22028" t="s">
        <v>1</v>
      </c>
      <c r="B22028" t="str">
        <f>"18909374034"</f>
        <v>18909374034</v>
      </c>
      <c r="C22028" t="s">
        <v>1</v>
      </c>
      <c r="D22028" t="s">
        <v>1</v>
      </c>
      <c r="E22028" t="s">
        <v>1</v>
      </c>
      <c r="F22028" t="s">
        <v>0</v>
      </c>
      <c r="G22028" t="str">
        <f>"2018-10-07 10:47:34"</f>
        <v>2018-10-07 10:47:34</v>
      </c>
    </row>
    <row r="22029" spans="1:7" x14ac:dyDescent="0.2">
      <c r="A22029" t="s">
        <v>1</v>
      </c>
      <c r="B22029" t="str">
        <f>"18144077111"</f>
        <v>18144077111</v>
      </c>
      <c r="C22029" t="s">
        <v>1</v>
      </c>
      <c r="D22029" t="s">
        <v>1</v>
      </c>
      <c r="E22029" t="s">
        <v>1</v>
      </c>
      <c r="F22029" t="s">
        <v>0</v>
      </c>
      <c r="G22029" t="str">
        <f>"2018-10-07 10:43:38"</f>
        <v>2018-10-07 10:43:38</v>
      </c>
    </row>
    <row r="22030" spans="1:7" x14ac:dyDescent="0.2">
      <c r="A22030" t="s">
        <v>20604</v>
      </c>
      <c r="B22030" t="str">
        <f>"18108393661"</f>
        <v>18108393661</v>
      </c>
      <c r="C22030" t="str">
        <f>"510108198607030015"</f>
        <v>510108198607030015</v>
      </c>
      <c r="D22030" t="s">
        <v>20605</v>
      </c>
      <c r="E22030" t="s">
        <v>20606</v>
      </c>
      <c r="F22030" t="s">
        <v>0</v>
      </c>
      <c r="G22030" t="str">
        <f>"2018-10-07 10:44:44"</f>
        <v>2018-10-07 10:44:44</v>
      </c>
    </row>
    <row r="22031" spans="1:7" x14ac:dyDescent="0.2">
      <c r="A22031" t="s">
        <v>20607</v>
      </c>
      <c r="B22031" t="str">
        <f>"15073544777"</f>
        <v>15073544777</v>
      </c>
      <c r="C22031" t="str">
        <f>"431028198204133432"</f>
        <v>431028198204133432</v>
      </c>
      <c r="D22031" t="s">
        <v>20608</v>
      </c>
      <c r="E22031" t="s">
        <v>20609</v>
      </c>
      <c r="F22031" t="s">
        <v>0</v>
      </c>
      <c r="G22031" t="str">
        <f>"2018-10-07 10:46:32"</f>
        <v>2018-10-07 10:46:32</v>
      </c>
    </row>
    <row r="22032" spans="1:7" x14ac:dyDescent="0.2">
      <c r="A22032" t="s">
        <v>676</v>
      </c>
      <c r="B22032" t="str">
        <f>"17785544201"</f>
        <v>17785544201</v>
      </c>
      <c r="C22032" t="str">
        <f>"520201198206044013"</f>
        <v>520201198206044013</v>
      </c>
      <c r="D22032" t="s">
        <v>1</v>
      </c>
      <c r="E22032" t="s">
        <v>1</v>
      </c>
      <c r="F22032" t="s">
        <v>0</v>
      </c>
      <c r="G22032" t="str">
        <f>"2018-10-07 10:47:09"</f>
        <v>2018-10-07 10:47:09</v>
      </c>
    </row>
    <row r="22033" spans="1:7" x14ac:dyDescent="0.2">
      <c r="A22033" t="s">
        <v>1</v>
      </c>
      <c r="B22033" t="str">
        <f>"18178303626"</f>
        <v>18178303626</v>
      </c>
      <c r="C22033" t="s">
        <v>1</v>
      </c>
      <c r="D22033" t="s">
        <v>1</v>
      </c>
      <c r="E22033" t="s">
        <v>1</v>
      </c>
      <c r="F22033" t="s">
        <v>0</v>
      </c>
      <c r="G22033" t="str">
        <f>"2018-10-07 10:43:10"</f>
        <v>2018-10-07 10:43:10</v>
      </c>
    </row>
    <row r="22034" spans="1:7" x14ac:dyDescent="0.2">
      <c r="A22034" t="s">
        <v>20610</v>
      </c>
      <c r="B22034" t="str">
        <f>"15690675758"</f>
        <v>15690675758</v>
      </c>
      <c r="C22034" t="str">
        <f>"410225200312041030"</f>
        <v>410225200312041030</v>
      </c>
      <c r="D22034" t="s">
        <v>1</v>
      </c>
      <c r="E22034" t="s">
        <v>1</v>
      </c>
      <c r="F22034" t="s">
        <v>0</v>
      </c>
      <c r="G22034" t="str">
        <f>"2018-10-07 10:44:01"</f>
        <v>2018-10-07 10:44:01</v>
      </c>
    </row>
    <row r="22035" spans="1:7" x14ac:dyDescent="0.2">
      <c r="A22035" t="s">
        <v>20611</v>
      </c>
      <c r="B22035" t="str">
        <f>"15379992273"</f>
        <v>15379992273</v>
      </c>
      <c r="C22035" t="str">
        <f>"620423198706034914"</f>
        <v>620423198706034914</v>
      </c>
      <c r="D22035" t="s">
        <v>1</v>
      </c>
      <c r="E22035" t="s">
        <v>1</v>
      </c>
      <c r="F22035" t="s">
        <v>0</v>
      </c>
      <c r="G22035" t="str">
        <f>"2018-10-07 10:44:34"</f>
        <v>2018-10-07 10:44:34</v>
      </c>
    </row>
    <row r="22036" spans="1:7" x14ac:dyDescent="0.2">
      <c r="A22036" t="s">
        <v>20612</v>
      </c>
      <c r="B22036" t="str">
        <f>"17335333329"</f>
        <v>17335333329</v>
      </c>
      <c r="C22036" t="str">
        <f>"411403198906021532"</f>
        <v>411403198906021532</v>
      </c>
      <c r="D22036" t="s">
        <v>1</v>
      </c>
      <c r="E22036" t="s">
        <v>1</v>
      </c>
      <c r="F22036" t="s">
        <v>0</v>
      </c>
      <c r="G22036" t="str">
        <f>"2018-10-07 10:51:13"</f>
        <v>2018-10-07 10:51:13</v>
      </c>
    </row>
    <row r="22037" spans="1:7" x14ac:dyDescent="0.2">
      <c r="A22037" t="s">
        <v>20613</v>
      </c>
      <c r="B22037" t="str">
        <f>"17723595393"</f>
        <v>17723595393</v>
      </c>
      <c r="C22037" t="str">
        <f>"500227199201123913"</f>
        <v>500227199201123913</v>
      </c>
      <c r="D22037" t="s">
        <v>1</v>
      </c>
      <c r="E22037" t="s">
        <v>1</v>
      </c>
      <c r="F22037" t="s">
        <v>0</v>
      </c>
      <c r="G22037" t="str">
        <f>"2018-10-07 10:45:24"</f>
        <v>2018-10-07 10:45:24</v>
      </c>
    </row>
    <row r="22038" spans="1:7" x14ac:dyDescent="0.2">
      <c r="A22038" t="s">
        <v>1</v>
      </c>
      <c r="B22038" t="str">
        <f>"17352716339"</f>
        <v>17352716339</v>
      </c>
      <c r="C22038" t="s">
        <v>1</v>
      </c>
      <c r="D22038" t="s">
        <v>1</v>
      </c>
      <c r="E22038" t="s">
        <v>1</v>
      </c>
      <c r="F22038" t="s">
        <v>0</v>
      </c>
      <c r="G22038" t="str">
        <f>"2018-10-07 10:42:43"</f>
        <v>2018-10-07 10:42:43</v>
      </c>
    </row>
    <row r="22039" spans="1:7" x14ac:dyDescent="0.2">
      <c r="A22039" t="s">
        <v>1061</v>
      </c>
      <c r="B22039" t="str">
        <f>"18978811873"</f>
        <v>18978811873</v>
      </c>
      <c r="C22039" t="str">
        <f>"452626197910221405"</f>
        <v>452626197910221405</v>
      </c>
      <c r="D22039" t="s">
        <v>1</v>
      </c>
      <c r="E22039" t="s">
        <v>1</v>
      </c>
      <c r="F22039" t="s">
        <v>0</v>
      </c>
      <c r="G22039" t="str">
        <f>"2018-10-07 10:45:26"</f>
        <v>2018-10-07 10:45:26</v>
      </c>
    </row>
    <row r="22040" spans="1:7" x14ac:dyDescent="0.2">
      <c r="A22040" t="s">
        <v>20614</v>
      </c>
      <c r="B22040" t="str">
        <f>"15329857122"</f>
        <v>15329857122</v>
      </c>
      <c r="C22040" t="str">
        <f>"522636198806300838"</f>
        <v>522636198806300838</v>
      </c>
      <c r="D22040" t="s">
        <v>1</v>
      </c>
      <c r="E22040" t="s">
        <v>1</v>
      </c>
      <c r="F22040" t="s">
        <v>0</v>
      </c>
      <c r="G22040" t="str">
        <f>"2018-10-07 11:00:49"</f>
        <v>2018-10-07 11:00:49</v>
      </c>
    </row>
    <row r="22041" spans="1:7" x14ac:dyDescent="0.2">
      <c r="A22041" t="s">
        <v>1</v>
      </c>
      <c r="B22041" t="str">
        <f>"15399018386"</f>
        <v>15399018386</v>
      </c>
      <c r="C22041" t="s">
        <v>1</v>
      </c>
      <c r="D22041" t="s">
        <v>1</v>
      </c>
      <c r="E22041" t="s">
        <v>1</v>
      </c>
      <c r="F22041" t="s">
        <v>0</v>
      </c>
      <c r="G22041" t="str">
        <f>"2018-10-07 10:44:04"</f>
        <v>2018-10-07 10:44:04</v>
      </c>
    </row>
    <row r="22042" spans="1:7" x14ac:dyDescent="0.2">
      <c r="A22042" t="s">
        <v>1</v>
      </c>
      <c r="B22042" t="str">
        <f>"18015593837"</f>
        <v>18015593837</v>
      </c>
      <c r="C22042" t="s">
        <v>1</v>
      </c>
      <c r="D22042" t="s">
        <v>1</v>
      </c>
      <c r="E22042" t="s">
        <v>1</v>
      </c>
      <c r="F22042" t="s">
        <v>0</v>
      </c>
      <c r="G22042" t="str">
        <f>"2018-10-07 10:42:23"</f>
        <v>2018-10-07 10:42:23</v>
      </c>
    </row>
    <row r="22043" spans="1:7" x14ac:dyDescent="0.2">
      <c r="A22043" t="s">
        <v>1</v>
      </c>
      <c r="B22043" t="str">
        <f>"18089390704"</f>
        <v>18089390704</v>
      </c>
      <c r="C22043" t="s">
        <v>1</v>
      </c>
      <c r="D22043" t="s">
        <v>1</v>
      </c>
      <c r="E22043" t="s">
        <v>1</v>
      </c>
      <c r="F22043" t="s">
        <v>0</v>
      </c>
      <c r="G22043" t="str">
        <f>"2018-10-07 10:43:45"</f>
        <v>2018-10-07 10:43:45</v>
      </c>
    </row>
    <row r="22044" spans="1:7" x14ac:dyDescent="0.2">
      <c r="A22044" t="s">
        <v>543</v>
      </c>
      <c r="B22044" t="str">
        <f>"13059518635"</f>
        <v>13059518635</v>
      </c>
      <c r="C22044" t="str">
        <f>"412923197403091511"</f>
        <v>412923197403091511</v>
      </c>
      <c r="D22044" t="s">
        <v>20615</v>
      </c>
      <c r="E22044" t="s">
        <v>20616</v>
      </c>
      <c r="F22044" t="s">
        <v>0</v>
      </c>
      <c r="G22044" t="str">
        <f>"2018-10-07 11:08:55"</f>
        <v>2018-10-07 11:08:55</v>
      </c>
    </row>
    <row r="22045" spans="1:7" x14ac:dyDescent="0.2">
      <c r="A22045" t="s">
        <v>1</v>
      </c>
      <c r="B22045" t="str">
        <f>"18999195690"</f>
        <v>18999195690</v>
      </c>
      <c r="C22045" t="s">
        <v>1</v>
      </c>
      <c r="D22045" t="s">
        <v>1</v>
      </c>
      <c r="E22045" t="s">
        <v>1</v>
      </c>
      <c r="F22045" t="s">
        <v>0</v>
      </c>
      <c r="G22045" t="str">
        <f>"2018-10-07 10:43:51"</f>
        <v>2018-10-07 10:43:51</v>
      </c>
    </row>
    <row r="22046" spans="1:7" x14ac:dyDescent="0.2">
      <c r="A22046" t="s">
        <v>20617</v>
      </c>
      <c r="B22046" t="str">
        <f>"13355771816"</f>
        <v>13355771816</v>
      </c>
      <c r="C22046" t="str">
        <f>"522128198111251550"</f>
        <v>522128198111251550</v>
      </c>
      <c r="D22046" t="s">
        <v>1</v>
      </c>
      <c r="E22046" t="s">
        <v>1</v>
      </c>
      <c r="F22046" t="s">
        <v>0</v>
      </c>
      <c r="G22046" t="str">
        <f>"2018-10-07 10:43:14"</f>
        <v>2018-10-07 10:43:14</v>
      </c>
    </row>
    <row r="22047" spans="1:7" x14ac:dyDescent="0.2">
      <c r="A22047" t="s">
        <v>20618</v>
      </c>
      <c r="B22047" t="str">
        <f>"13361122109"</f>
        <v>13361122109</v>
      </c>
      <c r="C22047" t="str">
        <f>"370404198707081914"</f>
        <v>370404198707081914</v>
      </c>
      <c r="D22047" t="s">
        <v>1</v>
      </c>
      <c r="E22047" t="s">
        <v>1</v>
      </c>
      <c r="F22047" t="s">
        <v>0</v>
      </c>
      <c r="G22047" t="str">
        <f>"2018-10-07 10:43:35"</f>
        <v>2018-10-07 10:43:35</v>
      </c>
    </row>
    <row r="22048" spans="1:7" x14ac:dyDescent="0.2">
      <c r="A22048" t="s">
        <v>1</v>
      </c>
      <c r="B22048" t="str">
        <f>"15396238189"</f>
        <v>15396238189</v>
      </c>
      <c r="C22048" t="s">
        <v>1</v>
      </c>
      <c r="D22048" t="s">
        <v>1</v>
      </c>
      <c r="E22048" t="s">
        <v>1</v>
      </c>
      <c r="F22048" t="s">
        <v>0</v>
      </c>
      <c r="G22048" t="str">
        <f>"2018-10-07 10:41:54"</f>
        <v>2018-10-07 10:41:54</v>
      </c>
    </row>
    <row r="22049" spans="1:7" x14ac:dyDescent="0.2">
      <c r="A22049" t="s">
        <v>1557</v>
      </c>
      <c r="B22049" t="str">
        <f>"15349697779"</f>
        <v>15349697779</v>
      </c>
      <c r="C22049" t="str">
        <f>"622727199410200133"</f>
        <v>622727199410200133</v>
      </c>
      <c r="D22049" t="s">
        <v>1</v>
      </c>
      <c r="E22049" t="s">
        <v>1</v>
      </c>
      <c r="F22049" t="s">
        <v>0</v>
      </c>
      <c r="G22049" t="str">
        <f>"2018-10-07 10:43:17"</f>
        <v>2018-10-07 10:43:17</v>
      </c>
    </row>
    <row r="22050" spans="1:7" x14ac:dyDescent="0.2">
      <c r="A22050" t="s">
        <v>1</v>
      </c>
      <c r="B22050" t="str">
        <f>"18031483456"</f>
        <v>18031483456</v>
      </c>
      <c r="C22050" t="s">
        <v>1</v>
      </c>
      <c r="D22050" t="s">
        <v>1</v>
      </c>
      <c r="E22050" t="s">
        <v>1</v>
      </c>
      <c r="F22050" t="s">
        <v>0</v>
      </c>
      <c r="G22050" t="str">
        <f>"2018-10-07 10:41:49"</f>
        <v>2018-10-07 10:41:49</v>
      </c>
    </row>
    <row r="22051" spans="1:7" x14ac:dyDescent="0.2">
      <c r="A22051" t="s">
        <v>1</v>
      </c>
      <c r="B22051" t="str">
        <f>"13265616254"</f>
        <v>13265616254</v>
      </c>
      <c r="C22051" t="s">
        <v>1</v>
      </c>
      <c r="D22051" t="s">
        <v>1</v>
      </c>
      <c r="E22051" t="s">
        <v>1</v>
      </c>
      <c r="F22051" t="s">
        <v>0</v>
      </c>
      <c r="G22051" t="str">
        <f>"2018-10-07 10:41:44"</f>
        <v>2018-10-07 10:41:44</v>
      </c>
    </row>
    <row r="22052" spans="1:7" x14ac:dyDescent="0.2">
      <c r="A22052" t="s">
        <v>1601</v>
      </c>
      <c r="B22052" t="str">
        <f>"18944959663"</f>
        <v>18944959663</v>
      </c>
      <c r="C22052" t="str">
        <f>"432925197402233123"</f>
        <v>432925197402233123</v>
      </c>
      <c r="D22052" t="s">
        <v>1</v>
      </c>
      <c r="E22052" t="s">
        <v>1</v>
      </c>
      <c r="F22052" t="s">
        <v>0</v>
      </c>
      <c r="G22052" t="str">
        <f>"2018-10-07 10:42:54"</f>
        <v>2018-10-07 10:42:54</v>
      </c>
    </row>
    <row r="22053" spans="1:7" x14ac:dyDescent="0.2">
      <c r="A22053" t="s">
        <v>1</v>
      </c>
      <c r="B22053" t="str">
        <f>"18300606813"</f>
        <v>18300606813</v>
      </c>
      <c r="C22053" t="s">
        <v>1</v>
      </c>
      <c r="D22053" t="s">
        <v>1</v>
      </c>
      <c r="E22053" t="s">
        <v>1</v>
      </c>
      <c r="F22053" t="s">
        <v>0</v>
      </c>
      <c r="G22053" t="str">
        <f>"2018-10-07 10:41:30"</f>
        <v>2018-10-07 10:41:30</v>
      </c>
    </row>
    <row r="22054" spans="1:7" x14ac:dyDescent="0.2">
      <c r="A22054" t="s">
        <v>20619</v>
      </c>
      <c r="B22054" t="str">
        <f>"18151964660"</f>
        <v>18151964660</v>
      </c>
      <c r="C22054" t="str">
        <f>"410425199502061038"</f>
        <v>410425199502061038</v>
      </c>
      <c r="D22054" t="s">
        <v>20620</v>
      </c>
      <c r="E22054" t="s">
        <v>20621</v>
      </c>
      <c r="F22054" t="s">
        <v>0</v>
      </c>
      <c r="G22054" t="str">
        <f>"2018-10-07 11:11:48"</f>
        <v>2018-10-07 11:11:48</v>
      </c>
    </row>
    <row r="22055" spans="1:7" x14ac:dyDescent="0.2">
      <c r="A22055" t="s">
        <v>1</v>
      </c>
      <c r="B22055" t="str">
        <f>"18114338890"</f>
        <v>18114338890</v>
      </c>
      <c r="C22055" t="s">
        <v>1</v>
      </c>
      <c r="D22055" t="s">
        <v>1</v>
      </c>
      <c r="E22055" t="s">
        <v>1</v>
      </c>
      <c r="F22055" t="s">
        <v>0</v>
      </c>
      <c r="G22055" t="str">
        <f>"2018-10-07 10:41:26"</f>
        <v>2018-10-07 10:41:26</v>
      </c>
    </row>
    <row r="22056" spans="1:7" x14ac:dyDescent="0.2">
      <c r="A22056" t="s">
        <v>352</v>
      </c>
      <c r="B22056" t="str">
        <f>"18034511166"</f>
        <v>18034511166</v>
      </c>
      <c r="C22056" t="str">
        <f>"130130198504230635"</f>
        <v>130130198504230635</v>
      </c>
      <c r="D22056" t="s">
        <v>1</v>
      </c>
      <c r="E22056" t="s">
        <v>1</v>
      </c>
      <c r="F22056" t="s">
        <v>0</v>
      </c>
      <c r="G22056" t="str">
        <f>"2018-10-07 12:33:14"</f>
        <v>2018-10-07 12:33:14</v>
      </c>
    </row>
    <row r="22057" spans="1:7" x14ac:dyDescent="0.2">
      <c r="A22057" t="s">
        <v>1732</v>
      </c>
      <c r="B22057" t="str">
        <f>"18088044472"</f>
        <v>18088044472</v>
      </c>
      <c r="C22057" t="str">
        <f>"411522198507046016"</f>
        <v>411522198507046016</v>
      </c>
      <c r="D22057" t="s">
        <v>1</v>
      </c>
      <c r="E22057" t="s">
        <v>1</v>
      </c>
      <c r="F22057" t="s">
        <v>0</v>
      </c>
      <c r="G22057" t="str">
        <f>"2018-10-07 10:42:36"</f>
        <v>2018-10-07 10:42:36</v>
      </c>
    </row>
    <row r="22058" spans="1:7" x14ac:dyDescent="0.2">
      <c r="A22058" t="s">
        <v>20622</v>
      </c>
      <c r="B22058" t="str">
        <f>"15857985945"</f>
        <v>15857985945</v>
      </c>
      <c r="C22058" t="str">
        <f>"431222199702263915"</f>
        <v>431222199702263915</v>
      </c>
      <c r="D22058" t="s">
        <v>1</v>
      </c>
      <c r="E22058" t="s">
        <v>1</v>
      </c>
      <c r="F22058" t="s">
        <v>0</v>
      </c>
      <c r="G22058" t="str">
        <f>"2018-10-07 13:13:40"</f>
        <v>2018-10-07 13:13:40</v>
      </c>
    </row>
    <row r="22059" spans="1:7" x14ac:dyDescent="0.2">
      <c r="A22059" t="s">
        <v>893</v>
      </c>
      <c r="B22059" t="str">
        <f>"18104478056"</f>
        <v>18104478056</v>
      </c>
      <c r="C22059" t="str">
        <f>"220202198001291235"</f>
        <v>220202198001291235</v>
      </c>
      <c r="D22059" t="s">
        <v>1</v>
      </c>
      <c r="E22059" t="s">
        <v>1</v>
      </c>
      <c r="F22059" t="s">
        <v>0</v>
      </c>
      <c r="G22059" t="str">
        <f>"2018-10-07 10:41:59"</f>
        <v>2018-10-07 10:41:59</v>
      </c>
    </row>
    <row r="22060" spans="1:7" x14ac:dyDescent="0.2">
      <c r="A22060" t="s">
        <v>1</v>
      </c>
      <c r="B22060" t="str">
        <f>"18997899172"</f>
        <v>18997899172</v>
      </c>
      <c r="C22060" t="s">
        <v>1</v>
      </c>
      <c r="D22060" t="s">
        <v>1</v>
      </c>
      <c r="E22060" t="s">
        <v>1</v>
      </c>
      <c r="F22060" t="s">
        <v>0</v>
      </c>
      <c r="G22060" t="str">
        <f>"2018-10-07 10:43:27"</f>
        <v>2018-10-07 10:43:27</v>
      </c>
    </row>
    <row r="22061" spans="1:7" x14ac:dyDescent="0.2">
      <c r="A22061" t="s">
        <v>20623</v>
      </c>
      <c r="B22061" t="str">
        <f>"18062021369"</f>
        <v>18062021369</v>
      </c>
      <c r="C22061" t="str">
        <f>"420116198304104919"</f>
        <v>420116198304104919</v>
      </c>
      <c r="D22061" t="s">
        <v>1</v>
      </c>
      <c r="E22061" t="s">
        <v>1</v>
      </c>
      <c r="F22061" t="s">
        <v>0</v>
      </c>
      <c r="G22061" t="str">
        <f>"2018-10-07 10:41:57"</f>
        <v>2018-10-07 10:41:57</v>
      </c>
    </row>
    <row r="22062" spans="1:7" x14ac:dyDescent="0.2">
      <c r="A22062" t="s">
        <v>20624</v>
      </c>
      <c r="B22062" t="str">
        <f>"17702478580"</f>
        <v>17702478580</v>
      </c>
      <c r="C22062" t="str">
        <f>"210921199201283010"</f>
        <v>210921199201283010</v>
      </c>
      <c r="D22062" t="s">
        <v>1</v>
      </c>
      <c r="E22062" t="s">
        <v>1</v>
      </c>
      <c r="F22062" t="s">
        <v>0</v>
      </c>
      <c r="G22062" t="str">
        <f>"2018-10-07 10:52:01"</f>
        <v>2018-10-07 10:52:01</v>
      </c>
    </row>
    <row r="22063" spans="1:7" x14ac:dyDescent="0.2">
      <c r="A22063" t="s">
        <v>20625</v>
      </c>
      <c r="B22063" t="str">
        <f>"15014358873"</f>
        <v>15014358873</v>
      </c>
      <c r="C22063" t="str">
        <f>"441502199611212613"</f>
        <v>441502199611212613</v>
      </c>
      <c r="D22063" t="s">
        <v>1</v>
      </c>
      <c r="E22063" t="s">
        <v>1</v>
      </c>
      <c r="F22063" t="s">
        <v>0</v>
      </c>
      <c r="G22063" t="str">
        <f>"2018-10-07 10:44:53"</f>
        <v>2018-10-07 10:44:53</v>
      </c>
    </row>
    <row r="22064" spans="1:7" x14ac:dyDescent="0.2">
      <c r="A22064" t="s">
        <v>20626</v>
      </c>
      <c r="B22064" t="str">
        <f>"13599515230"</f>
        <v>13599515230</v>
      </c>
      <c r="C22064" t="str">
        <f>"350111198210126711"</f>
        <v>350111198210126711</v>
      </c>
      <c r="D22064" t="s">
        <v>20627</v>
      </c>
      <c r="E22064" t="s">
        <v>20628</v>
      </c>
      <c r="F22064" t="s">
        <v>0</v>
      </c>
      <c r="G22064" t="str">
        <f>"2018-10-07 10:40:41"</f>
        <v>2018-10-07 10:40:41</v>
      </c>
    </row>
    <row r="22065" spans="1:7" x14ac:dyDescent="0.2">
      <c r="A22065" t="s">
        <v>1</v>
      </c>
      <c r="B22065" t="str">
        <f>"18693162694"</f>
        <v>18693162694</v>
      </c>
      <c r="C22065" t="s">
        <v>1</v>
      </c>
      <c r="D22065" t="s">
        <v>1</v>
      </c>
      <c r="E22065" t="s">
        <v>1</v>
      </c>
      <c r="F22065" t="s">
        <v>0</v>
      </c>
      <c r="G22065" t="str">
        <f>"2018-10-07 10:39:10"</f>
        <v>2018-10-07 10:39:10</v>
      </c>
    </row>
    <row r="22066" spans="1:7" x14ac:dyDescent="0.2">
      <c r="A22066" t="s">
        <v>1</v>
      </c>
      <c r="B22066" t="str">
        <f>"13587791163"</f>
        <v>13587791163</v>
      </c>
      <c r="C22066" t="s">
        <v>1</v>
      </c>
      <c r="D22066" t="s">
        <v>1</v>
      </c>
      <c r="E22066" t="s">
        <v>1</v>
      </c>
      <c r="F22066" t="s">
        <v>0</v>
      </c>
      <c r="G22066" t="str">
        <f>"2018-10-07 10:38:47"</f>
        <v>2018-10-07 10:38:47</v>
      </c>
    </row>
    <row r="22067" spans="1:7" x14ac:dyDescent="0.2">
      <c r="A22067" t="s">
        <v>1</v>
      </c>
      <c r="B22067" t="str">
        <f>"17734685828"</f>
        <v>17734685828</v>
      </c>
      <c r="C22067" t="s">
        <v>1</v>
      </c>
      <c r="D22067" t="s">
        <v>1</v>
      </c>
      <c r="E22067" t="s">
        <v>1</v>
      </c>
      <c r="F22067" t="s">
        <v>0</v>
      </c>
      <c r="G22067" t="str">
        <f>"2018-10-07 10:37:57"</f>
        <v>2018-10-07 10:37:57</v>
      </c>
    </row>
    <row r="22068" spans="1:7" x14ac:dyDescent="0.2">
      <c r="A22068" t="s">
        <v>20629</v>
      </c>
      <c r="B22068" t="str">
        <f>"15985236117"</f>
        <v>15985236117</v>
      </c>
      <c r="C22068" t="str">
        <f>"522101198910016039"</f>
        <v>522101198910016039</v>
      </c>
      <c r="D22068" t="s">
        <v>1</v>
      </c>
      <c r="E22068" t="s">
        <v>1</v>
      </c>
      <c r="F22068" t="s">
        <v>0</v>
      </c>
      <c r="G22068" t="str">
        <f>"2018-10-07 10:38:52"</f>
        <v>2018-10-07 10:38:52</v>
      </c>
    </row>
    <row r="22069" spans="1:7" x14ac:dyDescent="0.2">
      <c r="A22069" t="s">
        <v>1</v>
      </c>
      <c r="B22069" t="str">
        <f>"18269102349"</f>
        <v>18269102349</v>
      </c>
      <c r="C22069" t="s">
        <v>1</v>
      </c>
      <c r="D22069" t="s">
        <v>1</v>
      </c>
      <c r="E22069" t="s">
        <v>1</v>
      </c>
      <c r="F22069" t="s">
        <v>0</v>
      </c>
      <c r="G22069" t="str">
        <f>"2018-10-07 10:36:21"</f>
        <v>2018-10-07 10:36:21</v>
      </c>
    </row>
    <row r="22070" spans="1:7" x14ac:dyDescent="0.2">
      <c r="A22070" t="s">
        <v>1038</v>
      </c>
      <c r="B22070" t="str">
        <f>"18606536388"</f>
        <v>18606536388</v>
      </c>
      <c r="C22070" t="str">
        <f>"330182198005193116"</f>
        <v>330182198005193116</v>
      </c>
      <c r="D22070" t="s">
        <v>1</v>
      </c>
      <c r="E22070" t="s">
        <v>1</v>
      </c>
      <c r="F22070" t="s">
        <v>0</v>
      </c>
      <c r="G22070" t="str">
        <f>"2018-10-08 13:10:55"</f>
        <v>2018-10-08 13:10:55</v>
      </c>
    </row>
    <row r="22071" spans="1:7" x14ac:dyDescent="0.2">
      <c r="A22071" t="s">
        <v>20630</v>
      </c>
      <c r="B22071" t="str">
        <f>"18684730957"</f>
        <v>18684730957</v>
      </c>
      <c r="C22071" t="str">
        <f>"43012119961003731X"</f>
        <v>43012119961003731X</v>
      </c>
      <c r="D22071" t="s">
        <v>1</v>
      </c>
      <c r="E22071" t="s">
        <v>1</v>
      </c>
      <c r="F22071" t="s">
        <v>0</v>
      </c>
      <c r="G22071" t="str">
        <f>"2018-10-09 16:00:45"</f>
        <v>2018-10-09 16:00:45</v>
      </c>
    </row>
    <row r="22072" spans="1:7" x14ac:dyDescent="0.2">
      <c r="A22072" t="s">
        <v>1</v>
      </c>
      <c r="B22072" t="str">
        <f>"13099079698"</f>
        <v>13099079698</v>
      </c>
      <c r="C22072" t="s">
        <v>1</v>
      </c>
      <c r="D22072" t="s">
        <v>1</v>
      </c>
      <c r="E22072" t="s">
        <v>1</v>
      </c>
      <c r="F22072" t="s">
        <v>0</v>
      </c>
      <c r="G22072" t="str">
        <f>"2018-10-07 10:35:49"</f>
        <v>2018-10-07 10:35:49</v>
      </c>
    </row>
    <row r="22073" spans="1:7" x14ac:dyDescent="0.2">
      <c r="A22073" t="s">
        <v>20631</v>
      </c>
      <c r="B22073" t="str">
        <f>"15308173637"</f>
        <v>15308173637</v>
      </c>
      <c r="C22073" t="str">
        <f>"51011319880320591X"</f>
        <v>51011319880320591X</v>
      </c>
      <c r="D22073" t="s">
        <v>1</v>
      </c>
      <c r="E22073" t="s">
        <v>1</v>
      </c>
      <c r="F22073" t="s">
        <v>0</v>
      </c>
      <c r="G22073" t="str">
        <f>"2018-10-07 10:37:00"</f>
        <v>2018-10-07 10:37:00</v>
      </c>
    </row>
    <row r="22074" spans="1:7" x14ac:dyDescent="0.2">
      <c r="A22074" t="s">
        <v>1</v>
      </c>
      <c r="B22074" t="str">
        <f>"13782193585"</f>
        <v>13782193585</v>
      </c>
      <c r="C22074" t="s">
        <v>1</v>
      </c>
      <c r="D22074" t="s">
        <v>1</v>
      </c>
      <c r="E22074" t="s">
        <v>1</v>
      </c>
      <c r="F22074" t="s">
        <v>0</v>
      </c>
      <c r="G22074" t="str">
        <f>"2018-10-07 10:35:35"</f>
        <v>2018-10-07 10:35:35</v>
      </c>
    </row>
    <row r="22075" spans="1:7" x14ac:dyDescent="0.2">
      <c r="A22075" t="s">
        <v>20632</v>
      </c>
      <c r="B22075" t="str">
        <f>"18078141442"</f>
        <v>18078141442</v>
      </c>
      <c r="C22075" t="str">
        <f>"450121199602070033"</f>
        <v>450121199602070033</v>
      </c>
      <c r="D22075" t="s">
        <v>1</v>
      </c>
      <c r="E22075" t="s">
        <v>1</v>
      </c>
      <c r="F22075" t="s">
        <v>0</v>
      </c>
      <c r="G22075" t="str">
        <f>"2018-10-07 10:39:08"</f>
        <v>2018-10-07 10:39:08</v>
      </c>
    </row>
    <row r="22076" spans="1:7" x14ac:dyDescent="0.2">
      <c r="A22076" t="s">
        <v>20633</v>
      </c>
      <c r="B22076" t="str">
        <f>"13070961635"</f>
        <v>13070961635</v>
      </c>
      <c r="C22076" t="str">
        <f>"440981199704086173"</f>
        <v>440981199704086173</v>
      </c>
      <c r="D22076" t="s">
        <v>1</v>
      </c>
      <c r="E22076" t="s">
        <v>1</v>
      </c>
      <c r="F22076" t="s">
        <v>0</v>
      </c>
      <c r="G22076" t="str">
        <f>"2018-10-07 10:38:52"</f>
        <v>2018-10-07 10:38:52</v>
      </c>
    </row>
    <row r="22077" spans="1:7" x14ac:dyDescent="0.2">
      <c r="A22077" t="s">
        <v>20634</v>
      </c>
      <c r="B22077" t="str">
        <f>"17756704442"</f>
        <v>17756704442</v>
      </c>
      <c r="C22077" t="str">
        <f>"341223199610190311"</f>
        <v>341223199610190311</v>
      </c>
      <c r="D22077" t="s">
        <v>1</v>
      </c>
      <c r="E22077" t="s">
        <v>1</v>
      </c>
      <c r="F22077" t="s">
        <v>0</v>
      </c>
      <c r="G22077" t="str">
        <f>"2018-10-07 14:59:47"</f>
        <v>2018-10-07 14:59:47</v>
      </c>
    </row>
    <row r="22078" spans="1:7" x14ac:dyDescent="0.2">
      <c r="A22078" t="s">
        <v>1</v>
      </c>
      <c r="B22078" t="str">
        <f>"13681796476"</f>
        <v>13681796476</v>
      </c>
      <c r="C22078" t="s">
        <v>1</v>
      </c>
      <c r="D22078" t="s">
        <v>1</v>
      </c>
      <c r="E22078" t="s">
        <v>1</v>
      </c>
      <c r="F22078" t="s">
        <v>0</v>
      </c>
      <c r="G22078" t="str">
        <f>"2018-10-07 10:34:20"</f>
        <v>2018-10-07 10:34:20</v>
      </c>
    </row>
    <row r="22079" spans="1:7" x14ac:dyDescent="0.2">
      <c r="A22079" t="s">
        <v>20635</v>
      </c>
      <c r="B22079" t="str">
        <f>"15827141860"</f>
        <v>15827141860</v>
      </c>
      <c r="C22079" t="str">
        <f>"42012319811120663X"</f>
        <v>42012319811120663X</v>
      </c>
      <c r="D22079" t="s">
        <v>1</v>
      </c>
      <c r="E22079" t="s">
        <v>1</v>
      </c>
      <c r="F22079" t="s">
        <v>0</v>
      </c>
      <c r="G22079" t="str">
        <f>"2018-10-07 10:35:43"</f>
        <v>2018-10-07 10:35:43</v>
      </c>
    </row>
    <row r="22080" spans="1:7" x14ac:dyDescent="0.2">
      <c r="A22080" t="s">
        <v>20636</v>
      </c>
      <c r="B22080" t="str">
        <f>"18060000625"</f>
        <v>18060000625</v>
      </c>
      <c r="C22080" t="str">
        <f>"350583199405313128"</f>
        <v>350583199405313128</v>
      </c>
      <c r="D22080" t="s">
        <v>1</v>
      </c>
      <c r="E22080" t="s">
        <v>1</v>
      </c>
      <c r="F22080" t="s">
        <v>0</v>
      </c>
      <c r="G22080" t="str">
        <f>"2018-10-07 10:35:43"</f>
        <v>2018-10-07 10:35:43</v>
      </c>
    </row>
    <row r="22081" spans="1:7" x14ac:dyDescent="0.2">
      <c r="A22081" t="s">
        <v>1825</v>
      </c>
      <c r="B22081" t="str">
        <f>"15043296871"</f>
        <v>15043296871</v>
      </c>
      <c r="C22081" t="str">
        <f>"222426199212235813"</f>
        <v>222426199212235813</v>
      </c>
      <c r="D22081" t="s">
        <v>1</v>
      </c>
      <c r="E22081" t="s">
        <v>1</v>
      </c>
      <c r="F22081" t="s">
        <v>0</v>
      </c>
      <c r="G22081" t="str">
        <f>"2018-10-07 10:36:38"</f>
        <v>2018-10-07 10:36:38</v>
      </c>
    </row>
    <row r="22082" spans="1:7" x14ac:dyDescent="0.2">
      <c r="A22082" t="s">
        <v>1</v>
      </c>
      <c r="B22082" t="str">
        <f>"13630709749"</f>
        <v>13630709749</v>
      </c>
      <c r="C22082" t="s">
        <v>1</v>
      </c>
      <c r="D22082" t="s">
        <v>1</v>
      </c>
      <c r="E22082" t="s">
        <v>1</v>
      </c>
      <c r="F22082" t="s">
        <v>0</v>
      </c>
      <c r="G22082" t="str">
        <f>"2018-10-07 10:33:13"</f>
        <v>2018-10-07 10:33:13</v>
      </c>
    </row>
    <row r="22083" spans="1:7" x14ac:dyDescent="0.2">
      <c r="A22083" t="s">
        <v>1</v>
      </c>
      <c r="B22083" t="str">
        <f>"13693800917"</f>
        <v>13693800917</v>
      </c>
      <c r="C22083" t="s">
        <v>1</v>
      </c>
      <c r="D22083" t="s">
        <v>1</v>
      </c>
      <c r="E22083" t="s">
        <v>1</v>
      </c>
      <c r="F22083" t="s">
        <v>0</v>
      </c>
      <c r="G22083" t="str">
        <f>"2018-10-07 10:32:22"</f>
        <v>2018-10-07 10:32:22</v>
      </c>
    </row>
    <row r="22084" spans="1:7" x14ac:dyDescent="0.2">
      <c r="A22084" t="s">
        <v>611</v>
      </c>
      <c r="B22084" t="str">
        <f>"17756773456"</f>
        <v>17756773456</v>
      </c>
      <c r="C22084" t="str">
        <f>"341602199303167170"</f>
        <v>341602199303167170</v>
      </c>
      <c r="D22084" t="s">
        <v>20637</v>
      </c>
      <c r="E22084" t="s">
        <v>20638</v>
      </c>
      <c r="F22084" t="s">
        <v>0</v>
      </c>
      <c r="G22084" t="str">
        <f>"2018-10-07 10:32:51"</f>
        <v>2018-10-07 10:32:51</v>
      </c>
    </row>
    <row r="22085" spans="1:7" x14ac:dyDescent="0.2">
      <c r="A22085" t="s">
        <v>1</v>
      </c>
      <c r="B22085" t="str">
        <f>"15338933398"</f>
        <v>15338933398</v>
      </c>
      <c r="C22085" t="s">
        <v>1</v>
      </c>
      <c r="D22085" t="s">
        <v>1</v>
      </c>
      <c r="E22085" t="s">
        <v>1</v>
      </c>
      <c r="F22085" t="s">
        <v>0</v>
      </c>
      <c r="G22085" t="str">
        <f>"2018-10-07 10:32:10"</f>
        <v>2018-10-07 10:32:10</v>
      </c>
    </row>
    <row r="22086" spans="1:7" x14ac:dyDescent="0.2">
      <c r="A22086" t="s">
        <v>1816</v>
      </c>
      <c r="B22086" t="str">
        <f>"18643453000"</f>
        <v>18643453000</v>
      </c>
      <c r="C22086" t="str">
        <f>"220322198809024552"</f>
        <v>220322198809024552</v>
      </c>
      <c r="D22086" t="s">
        <v>1</v>
      </c>
      <c r="E22086" t="s">
        <v>1</v>
      </c>
      <c r="F22086" t="s">
        <v>0</v>
      </c>
      <c r="G22086" t="str">
        <f>"2018-10-07 10:37:52"</f>
        <v>2018-10-07 10:37:52</v>
      </c>
    </row>
    <row r="22087" spans="1:7" x14ac:dyDescent="0.2">
      <c r="A22087" t="s">
        <v>20639</v>
      </c>
      <c r="B22087" t="str">
        <f>"15588978165"</f>
        <v>15588978165</v>
      </c>
      <c r="C22087" t="str">
        <f>"370283199311092448"</f>
        <v>370283199311092448</v>
      </c>
      <c r="D22087" t="s">
        <v>20640</v>
      </c>
      <c r="E22087" t="s">
        <v>20641</v>
      </c>
      <c r="F22087" t="s">
        <v>0</v>
      </c>
      <c r="G22087" t="str">
        <f>"2018-10-07 10:33:01"</f>
        <v>2018-10-07 10:33:01</v>
      </c>
    </row>
    <row r="22088" spans="1:7" x14ac:dyDescent="0.2">
      <c r="A22088" t="s">
        <v>20642</v>
      </c>
      <c r="B22088" t="str">
        <f>"18380562405"</f>
        <v>18380562405</v>
      </c>
      <c r="C22088" t="str">
        <f>"510722199811105701"</f>
        <v>510722199811105701</v>
      </c>
      <c r="D22088" t="s">
        <v>1</v>
      </c>
      <c r="E22088" t="s">
        <v>1</v>
      </c>
      <c r="F22088" t="s">
        <v>0</v>
      </c>
      <c r="G22088" t="str">
        <f>"2018-10-07 10:33:20"</f>
        <v>2018-10-07 10:33:20</v>
      </c>
    </row>
    <row r="22089" spans="1:7" x14ac:dyDescent="0.2">
      <c r="A22089" t="s">
        <v>20643</v>
      </c>
      <c r="B22089" t="str">
        <f>"18790446729"</f>
        <v>18790446729</v>
      </c>
      <c r="C22089" t="str">
        <f>"411528199806264120"</f>
        <v>411528199806264120</v>
      </c>
      <c r="D22089" t="s">
        <v>1</v>
      </c>
      <c r="E22089" t="s">
        <v>1</v>
      </c>
      <c r="F22089" t="s">
        <v>0</v>
      </c>
      <c r="G22089" t="str">
        <f>"2018-10-07 10:33:00"</f>
        <v>2018-10-07 10:33:00</v>
      </c>
    </row>
    <row r="22090" spans="1:7" x14ac:dyDescent="0.2">
      <c r="A22090" t="s">
        <v>20644</v>
      </c>
      <c r="B22090" t="str">
        <f>"18983767870"</f>
        <v>18983767870</v>
      </c>
      <c r="C22090" t="str">
        <f>"500107199208062024"</f>
        <v>500107199208062024</v>
      </c>
      <c r="D22090" t="s">
        <v>20645</v>
      </c>
      <c r="E22090" t="s">
        <v>20646</v>
      </c>
      <c r="F22090" t="s">
        <v>0</v>
      </c>
      <c r="G22090" t="str">
        <f>"2018-10-07 10:31:57"</f>
        <v>2018-10-07 10:31:57</v>
      </c>
    </row>
    <row r="22091" spans="1:7" x14ac:dyDescent="0.2">
      <c r="A22091" t="s">
        <v>20647</v>
      </c>
      <c r="B22091" t="str">
        <f>"18500327453"</f>
        <v>18500327453</v>
      </c>
      <c r="C22091" t="str">
        <f>"130427199201176937"</f>
        <v>130427199201176937</v>
      </c>
      <c r="D22091" t="s">
        <v>1</v>
      </c>
      <c r="E22091" t="s">
        <v>1</v>
      </c>
      <c r="F22091" t="s">
        <v>0</v>
      </c>
      <c r="G22091" t="str">
        <f>"2018-10-07 10:30:35"</f>
        <v>2018-10-07 10:30:35</v>
      </c>
    </row>
    <row r="22092" spans="1:7" x14ac:dyDescent="0.2">
      <c r="A22092" t="s">
        <v>1</v>
      </c>
      <c r="B22092" t="str">
        <f>"13370696816"</f>
        <v>13370696816</v>
      </c>
      <c r="C22092" t="s">
        <v>1</v>
      </c>
      <c r="D22092" t="s">
        <v>1</v>
      </c>
      <c r="E22092" t="s">
        <v>1</v>
      </c>
      <c r="F22092" t="s">
        <v>0</v>
      </c>
      <c r="G22092" t="str">
        <f>"2018-10-07 10:29:34"</f>
        <v>2018-10-07 10:29:34</v>
      </c>
    </row>
    <row r="22093" spans="1:7" x14ac:dyDescent="0.2">
      <c r="A22093" t="s">
        <v>1</v>
      </c>
      <c r="B22093" t="str">
        <f>"15895771225"</f>
        <v>15895771225</v>
      </c>
      <c r="C22093" t="s">
        <v>1</v>
      </c>
      <c r="D22093" t="s">
        <v>1</v>
      </c>
      <c r="E22093" t="s">
        <v>1</v>
      </c>
      <c r="F22093" t="s">
        <v>0</v>
      </c>
      <c r="G22093" t="str">
        <f>"2018-10-07 10:29:16"</f>
        <v>2018-10-07 10:29:16</v>
      </c>
    </row>
    <row r="22094" spans="1:7" x14ac:dyDescent="0.2">
      <c r="A22094" t="s">
        <v>20648</v>
      </c>
      <c r="B22094" t="str">
        <f>"13020612229"</f>
        <v>13020612229</v>
      </c>
      <c r="C22094" t="str">
        <f>"371481199411014833"</f>
        <v>371481199411014833</v>
      </c>
      <c r="D22094" t="s">
        <v>20649</v>
      </c>
      <c r="E22094" t="s">
        <v>20649</v>
      </c>
      <c r="F22094" t="s">
        <v>0</v>
      </c>
      <c r="G22094" t="str">
        <f>"2018-10-13 11:49:00"</f>
        <v>2018-10-13 11:49:00</v>
      </c>
    </row>
    <row r="22095" spans="1:7" x14ac:dyDescent="0.2">
      <c r="A22095" t="s">
        <v>1</v>
      </c>
      <c r="B22095" t="str">
        <f>"18224972616"</f>
        <v>18224972616</v>
      </c>
      <c r="C22095" t="s">
        <v>1</v>
      </c>
      <c r="D22095" t="s">
        <v>1</v>
      </c>
      <c r="E22095" t="s">
        <v>1</v>
      </c>
      <c r="F22095" t="s">
        <v>0</v>
      </c>
      <c r="G22095" t="str">
        <f>"2018-10-07 10:28:19"</f>
        <v>2018-10-07 10:28:19</v>
      </c>
    </row>
    <row r="22096" spans="1:7" x14ac:dyDescent="0.2">
      <c r="A22096" t="s">
        <v>20650</v>
      </c>
      <c r="B22096" t="str">
        <f>"15007873031"</f>
        <v>15007873031</v>
      </c>
      <c r="C22096" t="str">
        <f>"452123199709281011"</f>
        <v>452123199709281011</v>
      </c>
      <c r="D22096" t="s">
        <v>1</v>
      </c>
      <c r="E22096" t="s">
        <v>1</v>
      </c>
      <c r="F22096" t="s">
        <v>0</v>
      </c>
      <c r="G22096" t="str">
        <f>"2018-10-13 20:36:39"</f>
        <v>2018-10-13 20:36:39</v>
      </c>
    </row>
    <row r="22097" spans="1:7" x14ac:dyDescent="0.2">
      <c r="A22097" t="s">
        <v>20651</v>
      </c>
      <c r="B22097" t="str">
        <f>"18151350767"</f>
        <v>18151350767</v>
      </c>
      <c r="C22097" t="str">
        <f>"320324198608250648"</f>
        <v>320324198608250648</v>
      </c>
      <c r="D22097" t="s">
        <v>20652</v>
      </c>
      <c r="E22097" t="s">
        <v>20653</v>
      </c>
      <c r="F22097" t="s">
        <v>0</v>
      </c>
      <c r="G22097" t="str">
        <f>"2018-10-07 10:28:56"</f>
        <v>2018-10-07 10:28:56</v>
      </c>
    </row>
    <row r="22098" spans="1:7" x14ac:dyDescent="0.2">
      <c r="A22098" t="s">
        <v>20654</v>
      </c>
      <c r="B22098" t="str">
        <f>"18244839601"</f>
        <v>18244839601</v>
      </c>
      <c r="C22098" t="str">
        <f>"431228199801281439"</f>
        <v>431228199801281439</v>
      </c>
      <c r="D22098" t="s">
        <v>1</v>
      </c>
      <c r="E22098" t="s">
        <v>1</v>
      </c>
      <c r="F22098" t="s">
        <v>0</v>
      </c>
      <c r="G22098" t="str">
        <f>"2018-10-07 10:27:27"</f>
        <v>2018-10-07 10:27:27</v>
      </c>
    </row>
    <row r="22099" spans="1:7" x14ac:dyDescent="0.2">
      <c r="A22099" t="s">
        <v>20655</v>
      </c>
      <c r="B22099" t="str">
        <f>"13063080617"</f>
        <v>13063080617</v>
      </c>
      <c r="C22099" t="str">
        <f>"232128198703220222"</f>
        <v>232128198703220222</v>
      </c>
      <c r="D22099" t="s">
        <v>1</v>
      </c>
      <c r="E22099" t="s">
        <v>1</v>
      </c>
      <c r="F22099" t="s">
        <v>0</v>
      </c>
      <c r="G22099" t="str">
        <f>"2018-11-01 05:37:41"</f>
        <v>2018-11-01 05:37:41</v>
      </c>
    </row>
    <row r="22100" spans="1:7" x14ac:dyDescent="0.2">
      <c r="A22100" t="s">
        <v>1</v>
      </c>
      <c r="B22100" t="str">
        <f>"13812114027"</f>
        <v>13812114027</v>
      </c>
      <c r="C22100" t="s">
        <v>1</v>
      </c>
      <c r="D22100" t="s">
        <v>1</v>
      </c>
      <c r="E22100" t="s">
        <v>1</v>
      </c>
      <c r="F22100" t="s">
        <v>0</v>
      </c>
      <c r="G22100" t="str">
        <f>"2018-10-07 10:27:53"</f>
        <v>2018-10-07 10:27:53</v>
      </c>
    </row>
    <row r="22101" spans="1:7" x14ac:dyDescent="0.2">
      <c r="A22101" t="s">
        <v>1</v>
      </c>
      <c r="B22101" t="str">
        <f>"13335653757"</f>
        <v>13335653757</v>
      </c>
      <c r="C22101" t="s">
        <v>1</v>
      </c>
      <c r="D22101" t="s">
        <v>1</v>
      </c>
      <c r="E22101" t="s">
        <v>1</v>
      </c>
      <c r="F22101" t="s">
        <v>0</v>
      </c>
      <c r="G22101" t="str">
        <f>"2018-10-07 10:25:56"</f>
        <v>2018-10-07 10:25:56</v>
      </c>
    </row>
    <row r="22102" spans="1:7" x14ac:dyDescent="0.2">
      <c r="A22102" t="s">
        <v>1</v>
      </c>
      <c r="B22102" t="str">
        <f>"18967880888"</f>
        <v>18967880888</v>
      </c>
      <c r="C22102" t="s">
        <v>1</v>
      </c>
      <c r="D22102" t="s">
        <v>1</v>
      </c>
      <c r="E22102" t="s">
        <v>1</v>
      </c>
      <c r="F22102" t="s">
        <v>0</v>
      </c>
      <c r="G22102" t="str">
        <f>"2018-10-07 10:25:38"</f>
        <v>2018-10-07 10:25:38</v>
      </c>
    </row>
    <row r="22103" spans="1:7" x14ac:dyDescent="0.2">
      <c r="A22103" t="s">
        <v>1</v>
      </c>
      <c r="B22103" t="str">
        <f>"18503596340"</f>
        <v>18503596340</v>
      </c>
      <c r="C22103" t="s">
        <v>1</v>
      </c>
      <c r="D22103" t="s">
        <v>1</v>
      </c>
      <c r="E22103" t="s">
        <v>1</v>
      </c>
      <c r="F22103" t="s">
        <v>0</v>
      </c>
      <c r="G22103" t="str">
        <f>"2018-10-07 10:25:31"</f>
        <v>2018-10-07 10:25:31</v>
      </c>
    </row>
    <row r="22104" spans="1:7" x14ac:dyDescent="0.2">
      <c r="A22104" t="s">
        <v>1</v>
      </c>
      <c r="B22104" t="str">
        <f>"15068818818"</f>
        <v>15068818818</v>
      </c>
      <c r="C22104" t="s">
        <v>1</v>
      </c>
      <c r="D22104" t="s">
        <v>1</v>
      </c>
      <c r="E22104" t="s">
        <v>1</v>
      </c>
      <c r="F22104" t="s">
        <v>0</v>
      </c>
      <c r="G22104" t="str">
        <f>"2018-10-07 10:25:14"</f>
        <v>2018-10-07 10:25:14</v>
      </c>
    </row>
    <row r="22105" spans="1:7" x14ac:dyDescent="0.2">
      <c r="A22105" t="s">
        <v>20656</v>
      </c>
      <c r="B22105" t="str">
        <f>"18170259709"</f>
        <v>18170259709</v>
      </c>
      <c r="C22105" t="str">
        <f>"360403197609240616"</f>
        <v>360403197609240616</v>
      </c>
      <c r="D22105" t="s">
        <v>20657</v>
      </c>
      <c r="E22105" t="s">
        <v>20658</v>
      </c>
      <c r="F22105" t="s">
        <v>0</v>
      </c>
      <c r="G22105" t="str">
        <f>"2018-10-07 10:29:46"</f>
        <v>2018-10-07 10:29:46</v>
      </c>
    </row>
    <row r="22106" spans="1:7" x14ac:dyDescent="0.2">
      <c r="A22106" t="s">
        <v>1</v>
      </c>
      <c r="B22106" t="str">
        <f>"18751864640"</f>
        <v>18751864640</v>
      </c>
      <c r="C22106" t="s">
        <v>1</v>
      </c>
      <c r="D22106" t="s">
        <v>1</v>
      </c>
      <c r="E22106" t="s">
        <v>1</v>
      </c>
      <c r="F22106" t="s">
        <v>0</v>
      </c>
      <c r="G22106" t="str">
        <f>"2018-10-07 10:24:33"</f>
        <v>2018-10-07 10:24:33</v>
      </c>
    </row>
    <row r="22107" spans="1:7" x14ac:dyDescent="0.2">
      <c r="A22107" t="s">
        <v>20659</v>
      </c>
      <c r="B22107" t="str">
        <f>"18176775746"</f>
        <v>18176775746</v>
      </c>
      <c r="C22107" t="str">
        <f>"45240219880320037X"</f>
        <v>45240219880320037X</v>
      </c>
      <c r="D22107" t="s">
        <v>1</v>
      </c>
      <c r="E22107" t="s">
        <v>1</v>
      </c>
      <c r="F22107" t="s">
        <v>0</v>
      </c>
      <c r="G22107" t="str">
        <f>"2018-10-07 10:25:11"</f>
        <v>2018-10-07 10:25:11</v>
      </c>
    </row>
    <row r="22108" spans="1:7" x14ac:dyDescent="0.2">
      <c r="A22108" t="s">
        <v>20660</v>
      </c>
      <c r="B22108" t="str">
        <f>"15952642876"</f>
        <v>15952642876</v>
      </c>
      <c r="C22108" t="str">
        <f>"32128119990221635X"</f>
        <v>32128119990221635X</v>
      </c>
      <c r="D22108" t="s">
        <v>1</v>
      </c>
      <c r="E22108" t="s">
        <v>1</v>
      </c>
      <c r="F22108" t="s">
        <v>0</v>
      </c>
      <c r="G22108" t="str">
        <f>"2018-10-07 10:26:34"</f>
        <v>2018-10-07 10:26:34</v>
      </c>
    </row>
    <row r="22109" spans="1:7" x14ac:dyDescent="0.2">
      <c r="A22109" t="s">
        <v>1</v>
      </c>
      <c r="B22109" t="str">
        <f>"17640138725"</f>
        <v>17640138725</v>
      </c>
      <c r="C22109" t="s">
        <v>1</v>
      </c>
      <c r="D22109" t="s">
        <v>1</v>
      </c>
      <c r="E22109" t="s">
        <v>1</v>
      </c>
      <c r="F22109" t="s">
        <v>0</v>
      </c>
      <c r="G22109" t="str">
        <f>"2018-10-07 10:24:07"</f>
        <v>2018-10-07 10:24:07</v>
      </c>
    </row>
    <row r="22110" spans="1:7" x14ac:dyDescent="0.2">
      <c r="A22110" t="s">
        <v>1</v>
      </c>
      <c r="B22110" t="str">
        <f>"13687477781"</f>
        <v>13687477781</v>
      </c>
      <c r="C22110" t="s">
        <v>1</v>
      </c>
      <c r="D22110" t="s">
        <v>1</v>
      </c>
      <c r="E22110" t="s">
        <v>1</v>
      </c>
      <c r="F22110" t="s">
        <v>0</v>
      </c>
      <c r="G22110" t="str">
        <f>"2018-10-07 10:28:29"</f>
        <v>2018-10-07 10:28:29</v>
      </c>
    </row>
    <row r="22111" spans="1:7" x14ac:dyDescent="0.2">
      <c r="A22111" t="s">
        <v>20661</v>
      </c>
      <c r="B22111" t="str">
        <f>"13607688981"</f>
        <v>13607688981</v>
      </c>
      <c r="C22111" t="str">
        <f>"410181198908025512"</f>
        <v>410181198908025512</v>
      </c>
      <c r="D22111" t="s">
        <v>1</v>
      </c>
      <c r="E22111" t="s">
        <v>1</v>
      </c>
      <c r="F22111" t="s">
        <v>0</v>
      </c>
      <c r="G22111" t="str">
        <f>"2018-10-07 10:25:21"</f>
        <v>2018-10-07 10:25:21</v>
      </c>
    </row>
    <row r="22112" spans="1:7" x14ac:dyDescent="0.2">
      <c r="A22112" t="s">
        <v>20662</v>
      </c>
      <c r="B22112" t="str">
        <f>"15821786437"</f>
        <v>15821786437</v>
      </c>
      <c r="C22112" t="str">
        <f>"310229198702241013"</f>
        <v>310229198702241013</v>
      </c>
      <c r="D22112" t="s">
        <v>1</v>
      </c>
      <c r="E22112" t="s">
        <v>1</v>
      </c>
      <c r="F22112" t="s">
        <v>0</v>
      </c>
      <c r="G22112" t="str">
        <f>"2018-10-07 10:25:49"</f>
        <v>2018-10-07 10:25:49</v>
      </c>
    </row>
    <row r="22113" spans="1:7" x14ac:dyDescent="0.2">
      <c r="A22113" t="s">
        <v>1</v>
      </c>
      <c r="B22113" t="str">
        <f>"17701522665"</f>
        <v>17701522665</v>
      </c>
      <c r="C22113" t="s">
        <v>1</v>
      </c>
      <c r="D22113" t="s">
        <v>1</v>
      </c>
      <c r="E22113" t="s">
        <v>1</v>
      </c>
      <c r="F22113" t="s">
        <v>0</v>
      </c>
      <c r="G22113" t="str">
        <f>"2018-10-07 10:23:04"</f>
        <v>2018-10-07 10:23:04</v>
      </c>
    </row>
    <row r="22114" spans="1:7" x14ac:dyDescent="0.2">
      <c r="A22114" t="s">
        <v>1</v>
      </c>
      <c r="B22114" t="str">
        <f>"15140887189"</f>
        <v>15140887189</v>
      </c>
      <c r="C22114" t="s">
        <v>1</v>
      </c>
      <c r="D22114" t="s">
        <v>1</v>
      </c>
      <c r="E22114" t="s">
        <v>1</v>
      </c>
      <c r="F22114" t="s">
        <v>0</v>
      </c>
      <c r="G22114" t="str">
        <f>"2018-10-07 10:22:36"</f>
        <v>2018-10-07 10:22:36</v>
      </c>
    </row>
    <row r="22115" spans="1:7" x14ac:dyDescent="0.2">
      <c r="A22115" t="s">
        <v>20663</v>
      </c>
      <c r="B22115" t="str">
        <f>"13333372564"</f>
        <v>13333372564</v>
      </c>
      <c r="C22115" t="str">
        <f>"13012819951104151X"</f>
        <v>13012819951104151X</v>
      </c>
      <c r="D22115" t="s">
        <v>1</v>
      </c>
      <c r="E22115" t="s">
        <v>1</v>
      </c>
      <c r="F22115" t="s">
        <v>0</v>
      </c>
      <c r="G22115" t="str">
        <f>"2018-10-07 10:23:33"</f>
        <v>2018-10-07 10:23:33</v>
      </c>
    </row>
    <row r="22116" spans="1:7" x14ac:dyDescent="0.2">
      <c r="A22116" t="s">
        <v>1</v>
      </c>
      <c r="B22116" t="str">
        <f>"13924405157"</f>
        <v>13924405157</v>
      </c>
      <c r="C22116" t="s">
        <v>1</v>
      </c>
      <c r="D22116" t="s">
        <v>1</v>
      </c>
      <c r="E22116" t="s">
        <v>1</v>
      </c>
      <c r="F22116" t="s">
        <v>0</v>
      </c>
      <c r="G22116" t="str">
        <f>"2018-10-07 10:23:28"</f>
        <v>2018-10-07 10:23:28</v>
      </c>
    </row>
    <row r="22117" spans="1:7" x14ac:dyDescent="0.2">
      <c r="A22117" t="s">
        <v>20664</v>
      </c>
      <c r="B22117" t="str">
        <f>"18653917517"</f>
        <v>18653917517</v>
      </c>
      <c r="C22117" t="str">
        <f>"371323198607210517"</f>
        <v>371323198607210517</v>
      </c>
      <c r="D22117" t="s">
        <v>1</v>
      </c>
      <c r="E22117" t="s">
        <v>1</v>
      </c>
      <c r="F22117" t="s">
        <v>0</v>
      </c>
      <c r="G22117" t="str">
        <f>"2018-10-07 10:23:13"</f>
        <v>2018-10-07 10:23:13</v>
      </c>
    </row>
    <row r="22118" spans="1:7" x14ac:dyDescent="0.2">
      <c r="A22118" t="s">
        <v>1</v>
      </c>
      <c r="B22118" t="str">
        <f>"15677245179"</f>
        <v>15677245179</v>
      </c>
      <c r="C22118" t="s">
        <v>1</v>
      </c>
      <c r="D22118" t="s">
        <v>1</v>
      </c>
      <c r="E22118" t="s">
        <v>1</v>
      </c>
      <c r="F22118" t="s">
        <v>0</v>
      </c>
      <c r="G22118" t="str">
        <f>"2018-10-07 10:21:46"</f>
        <v>2018-10-07 10:21:46</v>
      </c>
    </row>
    <row r="22119" spans="1:7" x14ac:dyDescent="0.2">
      <c r="A22119" t="s">
        <v>20665</v>
      </c>
      <c r="B22119" t="str">
        <f>"17366938169"</f>
        <v>17366938169</v>
      </c>
      <c r="C22119" t="str">
        <f>"513721198206022547"</f>
        <v>513721198206022547</v>
      </c>
      <c r="D22119" t="s">
        <v>20666</v>
      </c>
      <c r="E22119" t="s">
        <v>20667</v>
      </c>
      <c r="F22119" t="s">
        <v>0</v>
      </c>
      <c r="G22119" t="str">
        <f>"2018-10-07 10:22:22"</f>
        <v>2018-10-07 10:22:22</v>
      </c>
    </row>
    <row r="22120" spans="1:7" x14ac:dyDescent="0.2">
      <c r="A22120" t="s">
        <v>1</v>
      </c>
      <c r="B22120" t="str">
        <f>"17781223576"</f>
        <v>17781223576</v>
      </c>
      <c r="C22120" t="s">
        <v>1</v>
      </c>
      <c r="D22120" t="s">
        <v>1</v>
      </c>
      <c r="E22120" t="s">
        <v>1</v>
      </c>
      <c r="F22120" t="s">
        <v>0</v>
      </c>
      <c r="G22120" t="str">
        <f>"2018-10-07 12:17:37"</f>
        <v>2018-10-07 12:17:37</v>
      </c>
    </row>
    <row r="22121" spans="1:7" x14ac:dyDescent="0.2">
      <c r="A22121" t="s">
        <v>198</v>
      </c>
      <c r="B22121" t="str">
        <f>"15655677021"</f>
        <v>15655677021</v>
      </c>
      <c r="C22121" t="str">
        <f>"340881199802185141"</f>
        <v>340881199802185141</v>
      </c>
      <c r="D22121" t="s">
        <v>20668</v>
      </c>
      <c r="E22121" t="s">
        <v>20669</v>
      </c>
      <c r="F22121" t="s">
        <v>0</v>
      </c>
      <c r="G22121" t="str">
        <f>"2018-10-13 10:42:08"</f>
        <v>2018-10-13 10:42:08</v>
      </c>
    </row>
    <row r="22122" spans="1:7" x14ac:dyDescent="0.2">
      <c r="A22122" t="s">
        <v>367</v>
      </c>
      <c r="B22122" t="str">
        <f>"18990805800"</f>
        <v>18990805800</v>
      </c>
      <c r="C22122" t="str">
        <f>"511325199309095411"</f>
        <v>511325199309095411</v>
      </c>
      <c r="D22122" t="s">
        <v>1</v>
      </c>
      <c r="E22122" t="s">
        <v>1</v>
      </c>
      <c r="F22122" t="s">
        <v>0</v>
      </c>
      <c r="G22122" t="str">
        <f>"2018-10-07 10:21:49"</f>
        <v>2018-10-07 10:21:49</v>
      </c>
    </row>
    <row r="22123" spans="1:7" x14ac:dyDescent="0.2">
      <c r="A22123" t="s">
        <v>1</v>
      </c>
      <c r="B22123" t="str">
        <f>"15998297175"</f>
        <v>15998297175</v>
      </c>
      <c r="C22123" t="s">
        <v>1</v>
      </c>
      <c r="D22123" t="s">
        <v>1</v>
      </c>
      <c r="E22123" t="s">
        <v>1</v>
      </c>
      <c r="F22123" t="s">
        <v>0</v>
      </c>
      <c r="G22123" t="str">
        <f>"2018-10-07 10:22:09"</f>
        <v>2018-10-07 10:22:09</v>
      </c>
    </row>
    <row r="22124" spans="1:7" x14ac:dyDescent="0.2">
      <c r="A22124" t="s">
        <v>1</v>
      </c>
      <c r="B22124" t="str">
        <f>"13890699325"</f>
        <v>13890699325</v>
      </c>
      <c r="C22124" t="s">
        <v>1</v>
      </c>
      <c r="D22124" t="s">
        <v>1</v>
      </c>
      <c r="E22124" t="s">
        <v>1</v>
      </c>
      <c r="F22124" t="s">
        <v>0</v>
      </c>
      <c r="G22124" t="str">
        <f>"2018-10-07 10:20:15"</f>
        <v>2018-10-07 10:20:15</v>
      </c>
    </row>
    <row r="22125" spans="1:7" x14ac:dyDescent="0.2">
      <c r="A22125" t="s">
        <v>1</v>
      </c>
      <c r="B22125" t="str">
        <f>"15525803337"</f>
        <v>15525803337</v>
      </c>
      <c r="C22125" t="s">
        <v>1</v>
      </c>
      <c r="D22125" t="s">
        <v>1</v>
      </c>
      <c r="E22125" t="s">
        <v>1</v>
      </c>
      <c r="F22125" t="s">
        <v>0</v>
      </c>
      <c r="G22125" t="str">
        <f>"2018-10-07 10:20:13"</f>
        <v>2018-10-07 10:20:13</v>
      </c>
    </row>
    <row r="22126" spans="1:7" x14ac:dyDescent="0.2">
      <c r="A22126" t="s">
        <v>20670</v>
      </c>
      <c r="B22126" t="str">
        <f>"13920653684"</f>
        <v>13920653684</v>
      </c>
      <c r="C22126" t="str">
        <f>"142725198301230876"</f>
        <v>142725198301230876</v>
      </c>
      <c r="D22126" t="s">
        <v>20671</v>
      </c>
      <c r="E22126" t="s">
        <v>20672</v>
      </c>
      <c r="F22126" t="s">
        <v>0</v>
      </c>
      <c r="G22126" t="str">
        <f>"2018-10-07 10:22:53"</f>
        <v>2018-10-07 10:22:53</v>
      </c>
    </row>
    <row r="22127" spans="1:7" x14ac:dyDescent="0.2">
      <c r="A22127" t="s">
        <v>20673</v>
      </c>
      <c r="B22127" t="str">
        <f>"15042558669"</f>
        <v>15042558669</v>
      </c>
      <c r="C22127" t="str">
        <f>"210905196903250535"</f>
        <v>210905196903250535</v>
      </c>
      <c r="D22127" t="s">
        <v>1</v>
      </c>
      <c r="E22127" t="s">
        <v>1</v>
      </c>
      <c r="F22127" t="s">
        <v>0</v>
      </c>
      <c r="G22127" t="str">
        <f>"2018-10-07 10:21:29"</f>
        <v>2018-10-07 10:21:29</v>
      </c>
    </row>
    <row r="22128" spans="1:7" x14ac:dyDescent="0.2">
      <c r="A22128" t="s">
        <v>1</v>
      </c>
      <c r="B22128" t="str">
        <f>"15158004068"</f>
        <v>15158004068</v>
      </c>
      <c r="C22128" t="s">
        <v>1</v>
      </c>
      <c r="D22128" t="s">
        <v>1</v>
      </c>
      <c r="E22128" t="s">
        <v>1</v>
      </c>
      <c r="F22128" t="s">
        <v>0</v>
      </c>
      <c r="G22128" t="str">
        <f>"2018-10-21 21:05:08"</f>
        <v>2018-10-21 21:05:08</v>
      </c>
    </row>
    <row r="22129" spans="1:7" x14ac:dyDescent="0.2">
      <c r="A22129" t="s">
        <v>1</v>
      </c>
      <c r="B22129" t="str">
        <f>"18009319552"</f>
        <v>18009319552</v>
      </c>
      <c r="C22129" t="s">
        <v>1</v>
      </c>
      <c r="D22129" t="s">
        <v>1</v>
      </c>
      <c r="E22129" t="s">
        <v>1</v>
      </c>
      <c r="F22129" t="s">
        <v>0</v>
      </c>
      <c r="G22129" t="str">
        <f>"2018-10-07 10:19:38"</f>
        <v>2018-10-07 10:19:38</v>
      </c>
    </row>
    <row r="22130" spans="1:7" x14ac:dyDescent="0.2">
      <c r="A22130" t="s">
        <v>1</v>
      </c>
      <c r="B22130" t="str">
        <f>"18169699272"</f>
        <v>18169699272</v>
      </c>
      <c r="C22130" t="s">
        <v>1</v>
      </c>
      <c r="D22130" t="s">
        <v>1</v>
      </c>
      <c r="E22130" t="s">
        <v>1</v>
      </c>
      <c r="F22130" t="s">
        <v>0</v>
      </c>
      <c r="G22130" t="str">
        <f>"2018-10-07 10:19:23"</f>
        <v>2018-10-07 10:19:23</v>
      </c>
    </row>
    <row r="22131" spans="1:7" x14ac:dyDescent="0.2">
      <c r="A22131" t="s">
        <v>20674</v>
      </c>
      <c r="B22131" t="str">
        <f>"15754926751"</f>
        <v>15754926751</v>
      </c>
      <c r="C22131" t="str">
        <f>"150105199008047358"</f>
        <v>150105199008047358</v>
      </c>
      <c r="D22131" t="s">
        <v>1</v>
      </c>
      <c r="E22131" t="s">
        <v>1</v>
      </c>
      <c r="F22131" t="s">
        <v>0</v>
      </c>
      <c r="G22131" t="str">
        <f>"2018-10-07 10:20:15"</f>
        <v>2018-10-07 10:20:15</v>
      </c>
    </row>
    <row r="22132" spans="1:7" x14ac:dyDescent="0.2">
      <c r="A22132" t="s">
        <v>1</v>
      </c>
      <c r="B22132" t="str">
        <f>"13309580188"</f>
        <v>13309580188</v>
      </c>
      <c r="C22132" t="s">
        <v>1</v>
      </c>
      <c r="D22132" t="s">
        <v>1</v>
      </c>
      <c r="E22132" t="s">
        <v>1</v>
      </c>
      <c r="F22132" t="s">
        <v>0</v>
      </c>
      <c r="G22132" t="str">
        <f>"2018-10-07 10:19:08"</f>
        <v>2018-10-07 10:19:08</v>
      </c>
    </row>
    <row r="22133" spans="1:7" x14ac:dyDescent="0.2">
      <c r="A22133" t="s">
        <v>20675</v>
      </c>
      <c r="B22133" t="str">
        <f>"15738827780"</f>
        <v>15738827780</v>
      </c>
      <c r="C22133" t="str">
        <f>"410122198712186912"</f>
        <v>410122198712186912</v>
      </c>
      <c r="D22133" t="s">
        <v>1</v>
      </c>
      <c r="E22133" t="s">
        <v>1</v>
      </c>
      <c r="F22133" t="s">
        <v>0</v>
      </c>
      <c r="G22133" t="str">
        <f>"2018-10-07 10:20:21"</f>
        <v>2018-10-07 10:20:21</v>
      </c>
    </row>
    <row r="22134" spans="1:7" x14ac:dyDescent="0.2">
      <c r="A22134" t="s">
        <v>401</v>
      </c>
      <c r="B22134" t="str">
        <f>"15166071823"</f>
        <v>15166071823</v>
      </c>
      <c r="C22134" t="str">
        <f>"372330198202221511"</f>
        <v>372330198202221511</v>
      </c>
      <c r="D22134" t="s">
        <v>20676</v>
      </c>
      <c r="E22134" t="s">
        <v>20677</v>
      </c>
      <c r="F22134" t="s">
        <v>0</v>
      </c>
      <c r="G22134" t="str">
        <f>"2018-10-07 10:20:43"</f>
        <v>2018-10-07 10:20:43</v>
      </c>
    </row>
    <row r="22135" spans="1:7" x14ac:dyDescent="0.2">
      <c r="A22135" t="s">
        <v>20678</v>
      </c>
      <c r="B22135" t="str">
        <f>"18663353025"</f>
        <v>18663353025</v>
      </c>
      <c r="C22135" t="str">
        <f>"370284199701132130"</f>
        <v>370284199701132130</v>
      </c>
      <c r="D22135" t="s">
        <v>1</v>
      </c>
      <c r="E22135" t="s">
        <v>1</v>
      </c>
      <c r="F22135" t="s">
        <v>0</v>
      </c>
      <c r="G22135" t="str">
        <f>"2018-10-07 10:18:16"</f>
        <v>2018-10-07 10:18:16</v>
      </c>
    </row>
    <row r="22136" spans="1:7" x14ac:dyDescent="0.2">
      <c r="A22136" t="s">
        <v>20679</v>
      </c>
      <c r="B22136" t="str">
        <f>"13283000880"</f>
        <v>13283000880</v>
      </c>
      <c r="C22136" t="str">
        <f>"412722196907137710"</f>
        <v>412722196907137710</v>
      </c>
      <c r="D22136" t="s">
        <v>20680</v>
      </c>
      <c r="E22136" t="s">
        <v>20681</v>
      </c>
      <c r="F22136" t="s">
        <v>0</v>
      </c>
      <c r="G22136" t="str">
        <f>"2018-10-07 10:23:35"</f>
        <v>2018-10-07 10:23:35</v>
      </c>
    </row>
    <row r="22137" spans="1:7" x14ac:dyDescent="0.2">
      <c r="A22137" t="s">
        <v>1343</v>
      </c>
      <c r="B22137" t="str">
        <f>"18378495729"</f>
        <v>18378495729</v>
      </c>
      <c r="C22137" t="str">
        <f>"452424199007290733"</f>
        <v>452424199007290733</v>
      </c>
      <c r="D22137" t="s">
        <v>1</v>
      </c>
      <c r="E22137" t="s">
        <v>1</v>
      </c>
      <c r="F22137" t="s">
        <v>0</v>
      </c>
      <c r="G22137" t="str">
        <f>"2018-10-07 10:22:04"</f>
        <v>2018-10-07 10:22:04</v>
      </c>
    </row>
    <row r="22138" spans="1:7" x14ac:dyDescent="0.2">
      <c r="A22138" t="s">
        <v>20682</v>
      </c>
      <c r="B22138" t="str">
        <f>"15738537579"</f>
        <v>15738537579</v>
      </c>
      <c r="C22138" t="str">
        <f>"410823198804240319"</f>
        <v>410823198804240319</v>
      </c>
      <c r="D22138" t="s">
        <v>20683</v>
      </c>
      <c r="E22138" t="s">
        <v>20684</v>
      </c>
      <c r="F22138" t="s">
        <v>0</v>
      </c>
      <c r="G22138" t="str">
        <f>"2018-10-27 14:38:22"</f>
        <v>2018-10-27 14:38:22</v>
      </c>
    </row>
    <row r="22139" spans="1:7" x14ac:dyDescent="0.2">
      <c r="A22139" t="s">
        <v>20685</v>
      </c>
      <c r="B22139" t="str">
        <f>"13883060910"</f>
        <v>13883060910</v>
      </c>
      <c r="C22139" t="str">
        <f>"500103199011306210"</f>
        <v>500103199011306210</v>
      </c>
      <c r="D22139" t="s">
        <v>20686</v>
      </c>
      <c r="E22139" t="s">
        <v>20687</v>
      </c>
      <c r="F22139" t="s">
        <v>0</v>
      </c>
      <c r="G22139" t="str">
        <f>"2018-10-07 10:17:37"</f>
        <v>2018-10-07 10:17:37</v>
      </c>
    </row>
    <row r="22140" spans="1:7" x14ac:dyDescent="0.2">
      <c r="A22140" t="s">
        <v>20688</v>
      </c>
      <c r="B22140" t="str">
        <f>"18983014526"</f>
        <v>18983014526</v>
      </c>
      <c r="C22140" t="str">
        <f>"500382198510033415"</f>
        <v>500382198510033415</v>
      </c>
      <c r="D22140" t="s">
        <v>1</v>
      </c>
      <c r="E22140" t="s">
        <v>1</v>
      </c>
      <c r="F22140" t="s">
        <v>0</v>
      </c>
      <c r="G22140" t="str">
        <f>"2018-10-07 10:17:34"</f>
        <v>2018-10-07 10:17:34</v>
      </c>
    </row>
    <row r="22141" spans="1:7" x14ac:dyDescent="0.2">
      <c r="A22141" t="s">
        <v>1668</v>
      </c>
      <c r="B22141" t="str">
        <f>"18724989752"</f>
        <v>18724989752</v>
      </c>
      <c r="C22141" t="str">
        <f>"532928198912210527"</f>
        <v>532928198912210527</v>
      </c>
      <c r="D22141" t="s">
        <v>1</v>
      </c>
      <c r="E22141" t="s">
        <v>1</v>
      </c>
      <c r="F22141" t="s">
        <v>0</v>
      </c>
      <c r="G22141" t="str">
        <f>"2018-10-09 12:53:07"</f>
        <v>2018-10-09 12:53:07</v>
      </c>
    </row>
    <row r="22142" spans="1:7" x14ac:dyDescent="0.2">
      <c r="A22142" t="s">
        <v>20689</v>
      </c>
      <c r="B22142" t="str">
        <f>"18075672001"</f>
        <v>18075672001</v>
      </c>
      <c r="C22142" t="str">
        <f>"432501198002081548"</f>
        <v>432501198002081548</v>
      </c>
      <c r="D22142" t="s">
        <v>1</v>
      </c>
      <c r="E22142" t="s">
        <v>1</v>
      </c>
      <c r="F22142" t="s">
        <v>0</v>
      </c>
      <c r="G22142" t="str">
        <f>"2018-10-07 10:18:36"</f>
        <v>2018-10-07 10:18:36</v>
      </c>
    </row>
    <row r="22143" spans="1:7" x14ac:dyDescent="0.2">
      <c r="A22143" t="s">
        <v>20690</v>
      </c>
      <c r="B22143" t="str">
        <f>"17738371185"</f>
        <v>17738371185</v>
      </c>
      <c r="C22143" t="str">
        <f>"513029199209222365"</f>
        <v>513029199209222365</v>
      </c>
      <c r="D22143" t="s">
        <v>1</v>
      </c>
      <c r="E22143" t="s">
        <v>1</v>
      </c>
      <c r="F22143" t="s">
        <v>0</v>
      </c>
      <c r="G22143" t="str">
        <f>"2018-10-14 14:25:16"</f>
        <v>2018-10-14 14:25:16</v>
      </c>
    </row>
    <row r="22144" spans="1:7" x14ac:dyDescent="0.2">
      <c r="A22144" t="s">
        <v>20691</v>
      </c>
      <c r="B22144" t="str">
        <f>"17707973109"</f>
        <v>17707973109</v>
      </c>
      <c r="C22144" t="str">
        <f>"360721199602214018"</f>
        <v>360721199602214018</v>
      </c>
      <c r="D22144" t="s">
        <v>1</v>
      </c>
      <c r="E22144" t="s">
        <v>1</v>
      </c>
      <c r="F22144" t="s">
        <v>0</v>
      </c>
      <c r="G22144" t="str">
        <f>"2018-10-07 10:19:10"</f>
        <v>2018-10-07 10:19:10</v>
      </c>
    </row>
    <row r="22145" spans="1:7" x14ac:dyDescent="0.2">
      <c r="A22145" t="s">
        <v>20692</v>
      </c>
      <c r="B22145" t="str">
        <f>"15606092015"</f>
        <v>15606092015</v>
      </c>
      <c r="C22145" t="str">
        <f>"362523199706033610"</f>
        <v>362523199706033610</v>
      </c>
      <c r="D22145" t="s">
        <v>1</v>
      </c>
      <c r="E22145" t="s">
        <v>1</v>
      </c>
      <c r="F22145" t="s">
        <v>0</v>
      </c>
      <c r="G22145" t="str">
        <f>"2018-10-07 10:30:03"</f>
        <v>2018-10-07 10:30:03</v>
      </c>
    </row>
    <row r="22146" spans="1:7" x14ac:dyDescent="0.2">
      <c r="A22146" t="s">
        <v>1</v>
      </c>
      <c r="B22146" t="str">
        <f>"18976716447"</f>
        <v>18976716447</v>
      </c>
      <c r="C22146" t="s">
        <v>1</v>
      </c>
      <c r="D22146" t="s">
        <v>1</v>
      </c>
      <c r="E22146" t="s">
        <v>1</v>
      </c>
      <c r="F22146" t="s">
        <v>0</v>
      </c>
      <c r="G22146" t="str">
        <f>"2018-10-07 10:17:36"</f>
        <v>2018-10-07 10:17:36</v>
      </c>
    </row>
    <row r="22147" spans="1:7" x14ac:dyDescent="0.2">
      <c r="A22147" t="s">
        <v>20693</v>
      </c>
      <c r="B22147" t="str">
        <f>"13389871313"</f>
        <v>13389871313</v>
      </c>
      <c r="C22147" t="str">
        <f>"460002198107253636"</f>
        <v>460002198107253636</v>
      </c>
      <c r="D22147" t="s">
        <v>20694</v>
      </c>
      <c r="E22147" t="s">
        <v>20695</v>
      </c>
      <c r="F22147" t="s">
        <v>0</v>
      </c>
      <c r="G22147" t="str">
        <f>"2018-10-07 10:18:07"</f>
        <v>2018-10-07 10:18:07</v>
      </c>
    </row>
    <row r="22148" spans="1:7" x14ac:dyDescent="0.2">
      <c r="A22148" t="s">
        <v>1</v>
      </c>
      <c r="B22148" t="str">
        <f>"17354233362"</f>
        <v>17354233362</v>
      </c>
      <c r="C22148" t="s">
        <v>1</v>
      </c>
      <c r="D22148" t="s">
        <v>1</v>
      </c>
      <c r="E22148" t="s">
        <v>1</v>
      </c>
      <c r="F22148" t="s">
        <v>0</v>
      </c>
      <c r="G22148" t="str">
        <f>"2018-10-07 10:16:12"</f>
        <v>2018-10-07 10:16:12</v>
      </c>
    </row>
    <row r="22149" spans="1:7" x14ac:dyDescent="0.2">
      <c r="A22149" t="s">
        <v>1</v>
      </c>
      <c r="B22149" t="str">
        <f>"13367590755"</f>
        <v>13367590755</v>
      </c>
      <c r="C22149" t="s">
        <v>1</v>
      </c>
      <c r="D22149" t="s">
        <v>1</v>
      </c>
      <c r="E22149" t="s">
        <v>1</v>
      </c>
      <c r="F22149" t="s">
        <v>0</v>
      </c>
      <c r="G22149" t="str">
        <f>"2018-10-07 10:15:44"</f>
        <v>2018-10-07 10:15:44</v>
      </c>
    </row>
    <row r="22150" spans="1:7" x14ac:dyDescent="0.2">
      <c r="A22150" t="s">
        <v>20696</v>
      </c>
      <c r="B22150" t="str">
        <f>"18170306222"</f>
        <v>18170306222</v>
      </c>
      <c r="C22150" t="str">
        <f>"362334199605124618"</f>
        <v>362334199605124618</v>
      </c>
      <c r="D22150" t="s">
        <v>20697</v>
      </c>
      <c r="E22150" t="s">
        <v>20698</v>
      </c>
      <c r="F22150" t="s">
        <v>0</v>
      </c>
      <c r="G22150" t="str">
        <f>"2018-10-07 10:16:39"</f>
        <v>2018-10-07 10:16:39</v>
      </c>
    </row>
    <row r="22151" spans="1:7" x14ac:dyDescent="0.2">
      <c r="A22151" t="s">
        <v>1</v>
      </c>
      <c r="B22151" t="str">
        <f>"15305097091"</f>
        <v>15305097091</v>
      </c>
      <c r="C22151" t="s">
        <v>1</v>
      </c>
      <c r="D22151" t="s">
        <v>1</v>
      </c>
      <c r="E22151" t="s">
        <v>1</v>
      </c>
      <c r="F22151" t="s">
        <v>0</v>
      </c>
      <c r="G22151" t="str">
        <f>"2018-10-07 10:15:17"</f>
        <v>2018-10-07 10:15:17</v>
      </c>
    </row>
    <row r="22152" spans="1:7" x14ac:dyDescent="0.2">
      <c r="A22152" t="s">
        <v>347</v>
      </c>
      <c r="B22152" t="str">
        <f>"15803696139"</f>
        <v>15803696139</v>
      </c>
      <c r="C22152" t="str">
        <f>"500102198603109703"</f>
        <v>500102198603109703</v>
      </c>
      <c r="D22152" t="s">
        <v>1</v>
      </c>
      <c r="E22152" t="s">
        <v>1</v>
      </c>
      <c r="F22152" t="s">
        <v>0</v>
      </c>
      <c r="G22152" t="str">
        <f>"2018-10-07 10:15:13"</f>
        <v>2018-10-07 10:15:13</v>
      </c>
    </row>
    <row r="22153" spans="1:7" x14ac:dyDescent="0.2">
      <c r="A22153" t="s">
        <v>20699</v>
      </c>
      <c r="B22153" t="str">
        <f>"17315480306"</f>
        <v>17315480306</v>
      </c>
      <c r="C22153" t="str">
        <f>"342222198703216437"</f>
        <v>342222198703216437</v>
      </c>
      <c r="D22153" t="s">
        <v>20700</v>
      </c>
      <c r="E22153" t="s">
        <v>20701</v>
      </c>
      <c r="F22153" t="s">
        <v>0</v>
      </c>
      <c r="G22153" t="str">
        <f>"2018-10-11 14:21:26"</f>
        <v>2018-10-11 14:21:26</v>
      </c>
    </row>
    <row r="22154" spans="1:7" x14ac:dyDescent="0.2">
      <c r="A22154" t="s">
        <v>20702</v>
      </c>
      <c r="B22154" t="str">
        <f>"15193431196"</f>
        <v>15193431196</v>
      </c>
      <c r="C22154" t="str">
        <f>"622201198508028428"</f>
        <v>622201198508028428</v>
      </c>
      <c r="D22154" t="s">
        <v>1</v>
      </c>
      <c r="E22154" t="s">
        <v>1</v>
      </c>
      <c r="F22154" t="s">
        <v>0</v>
      </c>
      <c r="G22154" t="str">
        <f>"2018-10-07 10:16:22"</f>
        <v>2018-10-07 10:16:22</v>
      </c>
    </row>
    <row r="22155" spans="1:7" x14ac:dyDescent="0.2">
      <c r="A22155" t="s">
        <v>20703</v>
      </c>
      <c r="B22155" t="str">
        <f>"17709630938"</f>
        <v>17709630938</v>
      </c>
      <c r="C22155" t="str">
        <f>"342426197902260221"</f>
        <v>342426197902260221</v>
      </c>
      <c r="D22155" t="s">
        <v>1</v>
      </c>
      <c r="E22155" t="s">
        <v>1</v>
      </c>
      <c r="F22155" t="s">
        <v>0</v>
      </c>
      <c r="G22155" t="str">
        <f>"2018-10-07 10:16:31"</f>
        <v>2018-10-07 10:16:31</v>
      </c>
    </row>
    <row r="22156" spans="1:7" x14ac:dyDescent="0.2">
      <c r="A22156" t="s">
        <v>20704</v>
      </c>
      <c r="B22156" t="str">
        <f>"18048374440"</f>
        <v>18048374440</v>
      </c>
      <c r="C22156" t="str">
        <f>"150105198403013022"</f>
        <v>150105198403013022</v>
      </c>
      <c r="D22156" t="s">
        <v>20705</v>
      </c>
      <c r="E22156" t="s">
        <v>20706</v>
      </c>
      <c r="F22156" t="s">
        <v>0</v>
      </c>
      <c r="G22156" t="str">
        <f>"2018-10-22 15:26:48"</f>
        <v>2018-10-22 15:26:48</v>
      </c>
    </row>
    <row r="22157" spans="1:7" x14ac:dyDescent="0.2">
      <c r="A22157" t="s">
        <v>1</v>
      </c>
      <c r="B22157" t="str">
        <f>"13799242548"</f>
        <v>13799242548</v>
      </c>
      <c r="C22157" t="s">
        <v>1</v>
      </c>
      <c r="D22157" t="s">
        <v>1</v>
      </c>
      <c r="E22157" t="s">
        <v>1</v>
      </c>
      <c r="F22157" t="s">
        <v>0</v>
      </c>
      <c r="G22157" t="str">
        <f>"2018-10-07 10:14:46"</f>
        <v>2018-10-07 10:14:46</v>
      </c>
    </row>
    <row r="22158" spans="1:7" x14ac:dyDescent="0.2">
      <c r="A22158" t="s">
        <v>1</v>
      </c>
      <c r="B22158" t="str">
        <f>"18177420888"</f>
        <v>18177420888</v>
      </c>
      <c r="C22158" t="s">
        <v>1</v>
      </c>
      <c r="D22158" t="s">
        <v>1</v>
      </c>
      <c r="E22158" t="s">
        <v>1</v>
      </c>
      <c r="F22158" t="s">
        <v>0</v>
      </c>
      <c r="G22158" t="str">
        <f>"2018-10-07 10:14:37"</f>
        <v>2018-10-07 10:14:37</v>
      </c>
    </row>
    <row r="22159" spans="1:7" x14ac:dyDescent="0.2">
      <c r="A22159" t="s">
        <v>1812</v>
      </c>
      <c r="B22159" t="str">
        <f>"18135968808"</f>
        <v>18135968808</v>
      </c>
      <c r="C22159" t="str">
        <f>"142725198604094015"</f>
        <v>142725198604094015</v>
      </c>
      <c r="D22159" t="s">
        <v>1</v>
      </c>
      <c r="E22159" t="s">
        <v>1</v>
      </c>
      <c r="F22159" t="s">
        <v>0</v>
      </c>
      <c r="G22159" t="str">
        <f>"2018-10-07 10:18:24"</f>
        <v>2018-10-07 10:18:24</v>
      </c>
    </row>
    <row r="22160" spans="1:7" x14ac:dyDescent="0.2">
      <c r="A22160" t="s">
        <v>6193</v>
      </c>
      <c r="B22160" t="str">
        <f>"15304396058"</f>
        <v>15304396058</v>
      </c>
      <c r="C22160" t="str">
        <f>"152201197511102521"</f>
        <v>152201197511102521</v>
      </c>
      <c r="D22160" t="s">
        <v>1</v>
      </c>
      <c r="E22160" t="s">
        <v>1</v>
      </c>
      <c r="F22160" t="s">
        <v>0</v>
      </c>
      <c r="G22160" t="str">
        <f>"2018-10-07 10:15:12"</f>
        <v>2018-10-07 10:15:12</v>
      </c>
    </row>
    <row r="22161" spans="1:7" x14ac:dyDescent="0.2">
      <c r="A22161" t="s">
        <v>20707</v>
      </c>
      <c r="B22161" t="str">
        <f>"15073591410"</f>
        <v>15073591410</v>
      </c>
      <c r="C22161" t="str">
        <f>"431021199405130043"</f>
        <v>431021199405130043</v>
      </c>
      <c r="D22161" t="s">
        <v>20708</v>
      </c>
      <c r="E22161" t="s">
        <v>20709</v>
      </c>
      <c r="F22161" t="s">
        <v>0</v>
      </c>
      <c r="G22161" t="str">
        <f>"2018-10-07 10:15:10"</f>
        <v>2018-10-07 10:15:10</v>
      </c>
    </row>
    <row r="22162" spans="1:7" x14ac:dyDescent="0.2">
      <c r="A22162" t="s">
        <v>20710</v>
      </c>
      <c r="B22162" t="str">
        <f>"18160334000"</f>
        <v>18160334000</v>
      </c>
      <c r="C22162" t="str">
        <f>"653124199601053636"</f>
        <v>653124199601053636</v>
      </c>
      <c r="D22162" t="s">
        <v>1</v>
      </c>
      <c r="E22162" t="s">
        <v>1</v>
      </c>
      <c r="F22162" t="s">
        <v>0</v>
      </c>
      <c r="G22162" t="str">
        <f>"2018-10-09 19:48:11"</f>
        <v>2018-10-09 19:48:11</v>
      </c>
    </row>
    <row r="22163" spans="1:7" x14ac:dyDescent="0.2">
      <c r="A22163" t="s">
        <v>20711</v>
      </c>
      <c r="B22163" t="str">
        <f>"18177880584"</f>
        <v>18177880584</v>
      </c>
      <c r="C22163" t="str">
        <f>"452730197810106813"</f>
        <v>452730197810106813</v>
      </c>
      <c r="D22163" t="s">
        <v>1</v>
      </c>
      <c r="E22163" t="s">
        <v>1</v>
      </c>
      <c r="F22163" t="s">
        <v>0</v>
      </c>
      <c r="G22163" t="str">
        <f>"2018-10-07 10:15:24"</f>
        <v>2018-10-07 10:15:24</v>
      </c>
    </row>
    <row r="22164" spans="1:7" x14ac:dyDescent="0.2">
      <c r="A22164" t="s">
        <v>1</v>
      </c>
      <c r="B22164" t="str">
        <f>"18071308957"</f>
        <v>18071308957</v>
      </c>
      <c r="C22164" t="s">
        <v>1</v>
      </c>
      <c r="D22164" t="s">
        <v>1</v>
      </c>
      <c r="E22164" t="s">
        <v>1</v>
      </c>
      <c r="F22164" t="s">
        <v>0</v>
      </c>
      <c r="G22164" t="str">
        <f>"2018-10-07 10:13:26"</f>
        <v>2018-10-07 10:13:26</v>
      </c>
    </row>
    <row r="22165" spans="1:7" x14ac:dyDescent="0.2">
      <c r="A22165" t="s">
        <v>1</v>
      </c>
      <c r="B22165" t="str">
        <f>"18078410582"</f>
        <v>18078410582</v>
      </c>
      <c r="C22165" t="s">
        <v>1</v>
      </c>
      <c r="D22165" t="s">
        <v>1</v>
      </c>
      <c r="E22165" t="s">
        <v>1</v>
      </c>
      <c r="F22165" t="s">
        <v>0</v>
      </c>
      <c r="G22165" t="str">
        <f>"2018-10-07 10:13:26"</f>
        <v>2018-10-07 10:13:26</v>
      </c>
    </row>
    <row r="22166" spans="1:7" x14ac:dyDescent="0.2">
      <c r="A22166" t="s">
        <v>20712</v>
      </c>
      <c r="B22166" t="str">
        <f>"13364888358"</f>
        <v>13364888358</v>
      </c>
      <c r="C22166" t="str">
        <f>"653130199208152731"</f>
        <v>653130199208152731</v>
      </c>
      <c r="D22166" t="s">
        <v>1</v>
      </c>
      <c r="E22166" t="s">
        <v>1</v>
      </c>
      <c r="F22166" t="s">
        <v>0</v>
      </c>
      <c r="G22166" t="str">
        <f>"2018-10-07 10:14:35"</f>
        <v>2018-10-07 10:14:35</v>
      </c>
    </row>
    <row r="22167" spans="1:7" x14ac:dyDescent="0.2">
      <c r="A22167" t="s">
        <v>1</v>
      </c>
      <c r="B22167" t="str">
        <f>"18016508612"</f>
        <v>18016508612</v>
      </c>
      <c r="C22167" t="s">
        <v>1</v>
      </c>
      <c r="D22167" t="s">
        <v>1</v>
      </c>
      <c r="E22167" t="s">
        <v>1</v>
      </c>
      <c r="F22167" t="s">
        <v>0</v>
      </c>
      <c r="G22167" t="str">
        <f>"2018-10-07 10:17:59"</f>
        <v>2018-10-07 10:17:59</v>
      </c>
    </row>
    <row r="22168" spans="1:7" x14ac:dyDescent="0.2">
      <c r="A22168" t="s">
        <v>1</v>
      </c>
      <c r="B22168" t="str">
        <f>"18107958877"</f>
        <v>18107958877</v>
      </c>
      <c r="C22168" t="s">
        <v>1</v>
      </c>
      <c r="D22168" t="s">
        <v>1</v>
      </c>
      <c r="E22168" t="s">
        <v>1</v>
      </c>
      <c r="F22168" t="s">
        <v>0</v>
      </c>
      <c r="G22168" t="str">
        <f>"2018-10-07 10:13:14"</f>
        <v>2018-10-07 10:13:14</v>
      </c>
    </row>
    <row r="22169" spans="1:7" x14ac:dyDescent="0.2">
      <c r="A22169" t="s">
        <v>1</v>
      </c>
      <c r="B22169" t="str">
        <f>"18087291816"</f>
        <v>18087291816</v>
      </c>
      <c r="C22169" t="s">
        <v>1</v>
      </c>
      <c r="D22169" t="s">
        <v>1</v>
      </c>
      <c r="E22169" t="s">
        <v>1</v>
      </c>
      <c r="F22169" t="s">
        <v>0</v>
      </c>
      <c r="G22169" t="str">
        <f>"2018-10-07 10:13:14"</f>
        <v>2018-10-07 10:13:14</v>
      </c>
    </row>
    <row r="22170" spans="1:7" x14ac:dyDescent="0.2">
      <c r="A22170" t="s">
        <v>1</v>
      </c>
      <c r="B22170" t="str">
        <f>"18064202579"</f>
        <v>18064202579</v>
      </c>
      <c r="C22170" t="s">
        <v>1</v>
      </c>
      <c r="D22170" t="s">
        <v>1</v>
      </c>
      <c r="E22170" t="s">
        <v>1</v>
      </c>
      <c r="F22170" t="s">
        <v>0</v>
      </c>
      <c r="G22170" t="str">
        <f>"2018-10-07 10:13:00"</f>
        <v>2018-10-07 10:13:00</v>
      </c>
    </row>
    <row r="22171" spans="1:7" x14ac:dyDescent="0.2">
      <c r="A22171" t="s">
        <v>1</v>
      </c>
      <c r="B22171" t="str">
        <f>"15325120967"</f>
        <v>15325120967</v>
      </c>
      <c r="C22171" t="s">
        <v>1</v>
      </c>
      <c r="D22171" t="s">
        <v>1</v>
      </c>
      <c r="E22171" t="s">
        <v>1</v>
      </c>
      <c r="F22171" t="s">
        <v>0</v>
      </c>
      <c r="G22171" t="str">
        <f>"2018-10-07 10:13:00"</f>
        <v>2018-10-07 10:13:00</v>
      </c>
    </row>
    <row r="22172" spans="1:7" x14ac:dyDescent="0.2">
      <c r="A22172" t="s">
        <v>20713</v>
      </c>
      <c r="B22172" t="str">
        <f>"18365321247"</f>
        <v>18365321247</v>
      </c>
      <c r="C22172" t="str">
        <f>"342501199412126430"</f>
        <v>342501199412126430</v>
      </c>
      <c r="D22172" t="s">
        <v>20714</v>
      </c>
      <c r="E22172" t="s">
        <v>20715</v>
      </c>
      <c r="F22172" t="s">
        <v>0</v>
      </c>
      <c r="G22172" t="str">
        <f>"2018-10-15 10:02:00"</f>
        <v>2018-10-15 10:02:00</v>
      </c>
    </row>
    <row r="22173" spans="1:7" x14ac:dyDescent="0.2">
      <c r="A22173" t="s">
        <v>20716</v>
      </c>
      <c r="B22173" t="str">
        <f>"15380641366"</f>
        <v>15380641366</v>
      </c>
      <c r="C22173" t="str">
        <f>"320821197908163398"</f>
        <v>320821197908163398</v>
      </c>
      <c r="D22173" t="s">
        <v>1</v>
      </c>
      <c r="E22173" t="s">
        <v>1</v>
      </c>
      <c r="F22173" t="s">
        <v>0</v>
      </c>
      <c r="G22173" t="str">
        <f>"2018-10-07 23:45:04"</f>
        <v>2018-10-07 23:45:04</v>
      </c>
    </row>
    <row r="22174" spans="1:7" x14ac:dyDescent="0.2">
      <c r="A22174" t="s">
        <v>1</v>
      </c>
      <c r="B22174" t="str">
        <f>"18090346368"</f>
        <v>18090346368</v>
      </c>
      <c r="C22174" t="s">
        <v>1</v>
      </c>
      <c r="D22174" t="s">
        <v>1</v>
      </c>
      <c r="E22174" t="s">
        <v>1</v>
      </c>
      <c r="F22174" t="s">
        <v>0</v>
      </c>
      <c r="G22174" t="str">
        <f>"2018-10-07 10:14:48"</f>
        <v>2018-10-07 10:14:48</v>
      </c>
    </row>
    <row r="22175" spans="1:7" x14ac:dyDescent="0.2">
      <c r="A22175" t="s">
        <v>20717</v>
      </c>
      <c r="B22175" t="str">
        <f>"13317752595"</f>
        <v>13317752595</v>
      </c>
      <c r="C22175" t="str">
        <f>"452501198912101310"</f>
        <v>452501198912101310</v>
      </c>
      <c r="D22175" t="s">
        <v>1</v>
      </c>
      <c r="E22175" t="s">
        <v>1</v>
      </c>
      <c r="F22175" t="s">
        <v>0</v>
      </c>
      <c r="G22175" t="str">
        <f>"2018-10-07 10:13:41"</f>
        <v>2018-10-07 10:13:41</v>
      </c>
    </row>
    <row r="22176" spans="1:7" x14ac:dyDescent="0.2">
      <c r="A22176" t="s">
        <v>1</v>
      </c>
      <c r="B22176" t="str">
        <f>"13398454193"</f>
        <v>13398454193</v>
      </c>
      <c r="C22176" t="s">
        <v>1</v>
      </c>
      <c r="D22176" t="s">
        <v>1</v>
      </c>
      <c r="E22176" t="s">
        <v>1</v>
      </c>
      <c r="F22176" t="s">
        <v>0</v>
      </c>
      <c r="G22176" t="str">
        <f>"2018-10-07 10:12:36"</f>
        <v>2018-10-07 10:12:36</v>
      </c>
    </row>
    <row r="22177" spans="1:7" x14ac:dyDescent="0.2">
      <c r="A22177" t="s">
        <v>20718</v>
      </c>
      <c r="B22177" t="str">
        <f>"17693400804"</f>
        <v>17693400804</v>
      </c>
      <c r="C22177" t="str">
        <f>"620121199311185019"</f>
        <v>620121199311185019</v>
      </c>
      <c r="D22177" t="s">
        <v>1</v>
      </c>
      <c r="E22177" t="s">
        <v>1</v>
      </c>
      <c r="F22177" t="s">
        <v>0</v>
      </c>
      <c r="G22177" t="str">
        <f>"2018-10-07 10:13:38"</f>
        <v>2018-10-07 10:13:38</v>
      </c>
    </row>
    <row r="22178" spans="1:7" x14ac:dyDescent="0.2">
      <c r="A22178" t="s">
        <v>20719</v>
      </c>
      <c r="B22178" t="str">
        <f>"17713544494"</f>
        <v>17713544494</v>
      </c>
      <c r="C22178" t="str">
        <f>"513221197909020028"</f>
        <v>513221197909020028</v>
      </c>
      <c r="D22178" t="s">
        <v>1</v>
      </c>
      <c r="E22178" t="s">
        <v>1</v>
      </c>
      <c r="F22178" t="s">
        <v>0</v>
      </c>
      <c r="G22178" t="str">
        <f>"2018-10-07 10:13:35"</f>
        <v>2018-10-07 10:13:35</v>
      </c>
    </row>
    <row r="22179" spans="1:7" x14ac:dyDescent="0.2">
      <c r="A22179" t="s">
        <v>1</v>
      </c>
      <c r="B22179" t="str">
        <f>"18062044863"</f>
        <v>18062044863</v>
      </c>
      <c r="C22179" t="s">
        <v>1</v>
      </c>
      <c r="D22179" t="s">
        <v>1</v>
      </c>
      <c r="E22179" t="s">
        <v>1</v>
      </c>
      <c r="F22179" t="s">
        <v>0</v>
      </c>
      <c r="G22179" t="str">
        <f>"2018-10-07 10:14:11"</f>
        <v>2018-10-07 10:14:11</v>
      </c>
    </row>
    <row r="22180" spans="1:7" x14ac:dyDescent="0.2">
      <c r="A22180" t="s">
        <v>800</v>
      </c>
      <c r="B22180" t="str">
        <f>"13337087778"</f>
        <v>13337087778</v>
      </c>
      <c r="C22180" t="str">
        <f>"150802198812071548"</f>
        <v>150802198812071548</v>
      </c>
      <c r="D22180" t="s">
        <v>1</v>
      </c>
      <c r="E22180" t="s">
        <v>1</v>
      </c>
      <c r="F22180" t="s">
        <v>0</v>
      </c>
      <c r="G22180" t="str">
        <f>"2018-10-07 10:13:45"</f>
        <v>2018-10-07 10:13:45</v>
      </c>
    </row>
    <row r="22181" spans="1:7" x14ac:dyDescent="0.2">
      <c r="A22181" t="s">
        <v>1</v>
      </c>
      <c r="B22181" t="str">
        <f>"18050393913"</f>
        <v>18050393913</v>
      </c>
      <c r="C22181" t="s">
        <v>1</v>
      </c>
      <c r="D22181" t="s">
        <v>1</v>
      </c>
      <c r="E22181" t="s">
        <v>1</v>
      </c>
      <c r="F22181" t="s">
        <v>0</v>
      </c>
      <c r="G22181" t="str">
        <f>"2018-10-07 10:12:21"</f>
        <v>2018-10-07 10:12:21</v>
      </c>
    </row>
    <row r="22182" spans="1:7" x14ac:dyDescent="0.2">
      <c r="A22182" t="s">
        <v>1</v>
      </c>
      <c r="B22182" t="str">
        <f>"13915027904"</f>
        <v>13915027904</v>
      </c>
      <c r="C22182" t="s">
        <v>1</v>
      </c>
      <c r="D22182" t="s">
        <v>1</v>
      </c>
      <c r="E22182" t="s">
        <v>1</v>
      </c>
      <c r="F22182" t="s">
        <v>0</v>
      </c>
      <c r="G22182" t="str">
        <f>"2018-10-07 10:12:10"</f>
        <v>2018-10-07 10:12:10</v>
      </c>
    </row>
    <row r="22183" spans="1:7" x14ac:dyDescent="0.2">
      <c r="A22183" t="s">
        <v>1</v>
      </c>
      <c r="B22183" t="str">
        <f>"18040412206"</f>
        <v>18040412206</v>
      </c>
      <c r="C22183" t="s">
        <v>1</v>
      </c>
      <c r="D22183" t="s">
        <v>1</v>
      </c>
      <c r="E22183" t="s">
        <v>1</v>
      </c>
      <c r="F22183" t="s">
        <v>0</v>
      </c>
      <c r="G22183" t="str">
        <f>"2018-10-07 10:12:00"</f>
        <v>2018-10-07 10:12:00</v>
      </c>
    </row>
    <row r="22184" spans="1:7" x14ac:dyDescent="0.2">
      <c r="A22184" t="s">
        <v>20720</v>
      </c>
      <c r="B22184" t="str">
        <f>"18185105110"</f>
        <v>18185105110</v>
      </c>
      <c r="C22184" t="str">
        <f>"520103198001044412"</f>
        <v>520103198001044412</v>
      </c>
      <c r="D22184" t="s">
        <v>20721</v>
      </c>
      <c r="E22184" t="s">
        <v>20722</v>
      </c>
      <c r="F22184" t="s">
        <v>0</v>
      </c>
      <c r="G22184" t="str">
        <f>"2018-10-07 10:13:32"</f>
        <v>2018-10-07 10:13:32</v>
      </c>
    </row>
    <row r="22185" spans="1:7" x14ac:dyDescent="0.2">
      <c r="A22185" t="s">
        <v>1</v>
      </c>
      <c r="B22185" t="str">
        <f>"18077455333"</f>
        <v>18077455333</v>
      </c>
      <c r="C22185" t="s">
        <v>1</v>
      </c>
      <c r="D22185" t="s">
        <v>1</v>
      </c>
      <c r="E22185" t="s">
        <v>1</v>
      </c>
      <c r="F22185" t="s">
        <v>0</v>
      </c>
      <c r="G22185" t="str">
        <f>"2018-10-07 10:11:58"</f>
        <v>2018-10-07 10:11:58</v>
      </c>
    </row>
    <row r="22186" spans="1:7" x14ac:dyDescent="0.2">
      <c r="A22186" t="s">
        <v>1</v>
      </c>
      <c r="B22186" t="str">
        <f>"17761176272"</f>
        <v>17761176272</v>
      </c>
      <c r="C22186" t="s">
        <v>1</v>
      </c>
      <c r="D22186" t="s">
        <v>1</v>
      </c>
      <c r="E22186" t="s">
        <v>1</v>
      </c>
      <c r="F22186" t="s">
        <v>0</v>
      </c>
      <c r="G22186" t="str">
        <f>"2018-10-07 10:13:25"</f>
        <v>2018-10-07 10:13:25</v>
      </c>
    </row>
    <row r="22187" spans="1:7" x14ac:dyDescent="0.2">
      <c r="A22187" t="s">
        <v>1</v>
      </c>
      <c r="B22187" t="str">
        <f>"18968821158"</f>
        <v>18968821158</v>
      </c>
      <c r="C22187" t="s">
        <v>1</v>
      </c>
      <c r="D22187" t="s">
        <v>1</v>
      </c>
      <c r="E22187" t="s">
        <v>1</v>
      </c>
      <c r="F22187" t="s">
        <v>0</v>
      </c>
      <c r="G22187" t="str">
        <f>"2018-10-07 10:11:53"</f>
        <v>2018-10-07 10:11:53</v>
      </c>
    </row>
    <row r="22188" spans="1:7" x14ac:dyDescent="0.2">
      <c r="A22188" t="s">
        <v>20723</v>
      </c>
      <c r="B22188" t="str">
        <f>"13960972472"</f>
        <v>13960972472</v>
      </c>
      <c r="C22188" t="str">
        <f>"350181197905256592"</f>
        <v>350181197905256592</v>
      </c>
      <c r="D22188" t="s">
        <v>1</v>
      </c>
      <c r="E22188" t="s">
        <v>1</v>
      </c>
      <c r="F22188" t="s">
        <v>0</v>
      </c>
      <c r="G22188" t="str">
        <f>"2018-10-07 10:13:34"</f>
        <v>2018-10-07 10:13:34</v>
      </c>
    </row>
    <row r="22189" spans="1:7" x14ac:dyDescent="0.2">
      <c r="A22189" t="s">
        <v>20724</v>
      </c>
      <c r="B22189" t="str">
        <f>"13309175675"</f>
        <v>13309175675</v>
      </c>
      <c r="C22189" t="str">
        <f>"610321198311010416"</f>
        <v>610321198311010416</v>
      </c>
      <c r="D22189" t="s">
        <v>20725</v>
      </c>
      <c r="E22189" t="s">
        <v>20726</v>
      </c>
      <c r="F22189" t="s">
        <v>0</v>
      </c>
      <c r="G22189" t="str">
        <f>"2018-10-07 10:12:57"</f>
        <v>2018-10-07 10:12:57</v>
      </c>
    </row>
    <row r="22190" spans="1:7" x14ac:dyDescent="0.2">
      <c r="A22190" t="s">
        <v>20727</v>
      </c>
      <c r="B22190" t="str">
        <f>"13320792579"</f>
        <v>13320792579</v>
      </c>
      <c r="C22190" t="str">
        <f>"51332119750811001X"</f>
        <v>51332119750811001X</v>
      </c>
      <c r="D22190" t="s">
        <v>1</v>
      </c>
      <c r="E22190" t="s">
        <v>1</v>
      </c>
      <c r="F22190" t="s">
        <v>0</v>
      </c>
      <c r="G22190" t="str">
        <f>"2018-10-07 10:13:09"</f>
        <v>2018-10-07 10:13:09</v>
      </c>
    </row>
    <row r="22191" spans="1:7" x14ac:dyDescent="0.2">
      <c r="A22191" t="s">
        <v>1</v>
      </c>
      <c r="B22191" t="str">
        <f>"13268495145"</f>
        <v>13268495145</v>
      </c>
      <c r="C22191" t="s">
        <v>1</v>
      </c>
      <c r="D22191" t="s">
        <v>1</v>
      </c>
      <c r="E22191" t="s">
        <v>1</v>
      </c>
      <c r="F22191" t="s">
        <v>0</v>
      </c>
      <c r="G22191" t="str">
        <f>"2018-10-07 10:12:42"</f>
        <v>2018-10-07 10:12:42</v>
      </c>
    </row>
    <row r="22192" spans="1:7" x14ac:dyDescent="0.2">
      <c r="A22192" t="s">
        <v>1</v>
      </c>
      <c r="B22192" t="str">
        <f>"17380322960"</f>
        <v>17380322960</v>
      </c>
      <c r="C22192" t="s">
        <v>1</v>
      </c>
      <c r="D22192" t="s">
        <v>1</v>
      </c>
      <c r="E22192" t="s">
        <v>1</v>
      </c>
      <c r="F22192" t="s">
        <v>0</v>
      </c>
      <c r="G22192" t="str">
        <f>"2018-10-07 10:11:35"</f>
        <v>2018-10-07 10:11:35</v>
      </c>
    </row>
    <row r="22193" spans="1:7" x14ac:dyDescent="0.2">
      <c r="A22193" t="s">
        <v>1</v>
      </c>
      <c r="B22193" t="str">
        <f>"17341515051"</f>
        <v>17341515051</v>
      </c>
      <c r="C22193" t="s">
        <v>1</v>
      </c>
      <c r="D22193" t="s">
        <v>1</v>
      </c>
      <c r="E22193" t="s">
        <v>1</v>
      </c>
      <c r="F22193" t="s">
        <v>0</v>
      </c>
      <c r="G22193" t="str">
        <f>"2018-10-07 10:11:31"</f>
        <v>2018-10-07 10:11:31</v>
      </c>
    </row>
    <row r="22194" spans="1:7" x14ac:dyDescent="0.2">
      <c r="A22194" t="s">
        <v>20728</v>
      </c>
      <c r="B22194" t="str">
        <f>"18952788720"</f>
        <v>18952788720</v>
      </c>
      <c r="C22194" t="str">
        <f>"320722198708153035"</f>
        <v>320722198708153035</v>
      </c>
      <c r="D22194" t="s">
        <v>1</v>
      </c>
      <c r="E22194" t="s">
        <v>1</v>
      </c>
      <c r="F22194" t="s">
        <v>0</v>
      </c>
      <c r="G22194" t="str">
        <f>"2018-10-07 10:17:18"</f>
        <v>2018-10-07 10:17:18</v>
      </c>
    </row>
    <row r="22195" spans="1:7" x14ac:dyDescent="0.2">
      <c r="A22195" t="s">
        <v>20729</v>
      </c>
      <c r="B22195" t="str">
        <f>"13216193571"</f>
        <v>13216193571</v>
      </c>
      <c r="C22195" t="str">
        <f>"331023198202084416"</f>
        <v>331023198202084416</v>
      </c>
      <c r="D22195" t="s">
        <v>1</v>
      </c>
      <c r="E22195" t="s">
        <v>1</v>
      </c>
      <c r="F22195" t="s">
        <v>0</v>
      </c>
      <c r="G22195" t="str">
        <f>"2018-10-07 10:12:14"</f>
        <v>2018-10-07 10:12:14</v>
      </c>
    </row>
    <row r="22196" spans="1:7" x14ac:dyDescent="0.2">
      <c r="A22196" t="s">
        <v>1381</v>
      </c>
      <c r="B22196" t="str">
        <f>"15897897200"</f>
        <v>15897897200</v>
      </c>
      <c r="C22196" t="str">
        <f>"421121198608122413"</f>
        <v>421121198608122413</v>
      </c>
      <c r="D22196" t="s">
        <v>20730</v>
      </c>
      <c r="E22196" t="s">
        <v>20731</v>
      </c>
      <c r="F22196" t="s">
        <v>0</v>
      </c>
      <c r="G22196" t="str">
        <f>"2018-10-07 10:16:54"</f>
        <v>2018-10-07 10:16:54</v>
      </c>
    </row>
    <row r="22197" spans="1:7" x14ac:dyDescent="0.2">
      <c r="A22197" t="s">
        <v>1</v>
      </c>
      <c r="B22197" t="str">
        <f>"18189843435"</f>
        <v>18189843435</v>
      </c>
      <c r="C22197" t="s">
        <v>1</v>
      </c>
      <c r="D22197" t="s">
        <v>1</v>
      </c>
      <c r="E22197" t="s">
        <v>1</v>
      </c>
      <c r="F22197" t="s">
        <v>0</v>
      </c>
      <c r="G22197" t="str">
        <f>"2018-10-07 10:11:17"</f>
        <v>2018-10-07 10:11:17</v>
      </c>
    </row>
    <row r="22198" spans="1:7" x14ac:dyDescent="0.2">
      <c r="A22198" t="s">
        <v>20732</v>
      </c>
      <c r="B22198" t="str">
        <f>"18186271950"</f>
        <v>18186271950</v>
      </c>
      <c r="C22198" t="str">
        <f>"420626199403164516"</f>
        <v>420626199403164516</v>
      </c>
      <c r="D22198" t="s">
        <v>1</v>
      </c>
      <c r="E22198" t="s">
        <v>1</v>
      </c>
      <c r="F22198" t="s">
        <v>0</v>
      </c>
      <c r="G22198" t="str">
        <f>"2018-10-07 10:12:59"</f>
        <v>2018-10-07 10:12:59</v>
      </c>
    </row>
    <row r="22199" spans="1:7" x14ac:dyDescent="0.2">
      <c r="A22199" t="s">
        <v>20733</v>
      </c>
      <c r="B22199" t="str">
        <f>"15394955551"</f>
        <v>15394955551</v>
      </c>
      <c r="C22199" t="str">
        <f>"532725197411051543"</f>
        <v>532725197411051543</v>
      </c>
      <c r="D22199" t="s">
        <v>1</v>
      </c>
      <c r="E22199" t="s">
        <v>1</v>
      </c>
      <c r="F22199" t="s">
        <v>0</v>
      </c>
      <c r="G22199" t="str">
        <f>"2018-10-07 10:13:44"</f>
        <v>2018-10-07 10:13:44</v>
      </c>
    </row>
    <row r="22200" spans="1:7" x14ac:dyDescent="0.2">
      <c r="A22200" t="s">
        <v>20734</v>
      </c>
      <c r="B22200" t="str">
        <f>"15391681166"</f>
        <v>15391681166</v>
      </c>
      <c r="C22200" t="str">
        <f>"420381196904240614"</f>
        <v>420381196904240614</v>
      </c>
      <c r="D22200" t="s">
        <v>1</v>
      </c>
      <c r="E22200" t="s">
        <v>1</v>
      </c>
      <c r="F22200" t="s">
        <v>0</v>
      </c>
      <c r="G22200" t="str">
        <f>"2018-10-09 15:18:22"</f>
        <v>2018-10-09 15:18:22</v>
      </c>
    </row>
    <row r="22201" spans="1:7" x14ac:dyDescent="0.2">
      <c r="A22201" t="s">
        <v>1</v>
      </c>
      <c r="B22201" t="str">
        <f>"18055037075"</f>
        <v>18055037075</v>
      </c>
      <c r="C22201" t="s">
        <v>1</v>
      </c>
      <c r="D22201" t="s">
        <v>1</v>
      </c>
      <c r="E22201" t="s">
        <v>1</v>
      </c>
      <c r="F22201" t="s">
        <v>0</v>
      </c>
      <c r="G22201" t="str">
        <f>"2018-10-07 10:12:30"</f>
        <v>2018-10-07 10:12:30</v>
      </c>
    </row>
    <row r="22202" spans="1:7" x14ac:dyDescent="0.2">
      <c r="A22202" t="s">
        <v>20735</v>
      </c>
      <c r="B22202" t="str">
        <f>"17771663575"</f>
        <v>17771663575</v>
      </c>
      <c r="C22202" t="str">
        <f>"422801199106040221"</f>
        <v>422801199106040221</v>
      </c>
      <c r="D22202" t="s">
        <v>1</v>
      </c>
      <c r="E22202" t="s">
        <v>1</v>
      </c>
      <c r="F22202" t="s">
        <v>0</v>
      </c>
      <c r="G22202" t="str">
        <f>"2018-10-07 10:13:55"</f>
        <v>2018-10-07 10:13:55</v>
      </c>
    </row>
    <row r="22203" spans="1:7" x14ac:dyDescent="0.2">
      <c r="A22203" t="s">
        <v>20736</v>
      </c>
      <c r="B22203" t="str">
        <f>"18979524195"</f>
        <v>18979524195</v>
      </c>
      <c r="C22203" t="str">
        <f>"36222719810923091X"</f>
        <v>36222719810923091X</v>
      </c>
      <c r="D22203" t="s">
        <v>1</v>
      </c>
      <c r="E22203" t="s">
        <v>1</v>
      </c>
      <c r="F22203" t="s">
        <v>0</v>
      </c>
      <c r="G22203" t="str">
        <f>"2018-10-07 10:11:46"</f>
        <v>2018-10-07 10:11:46</v>
      </c>
    </row>
    <row r="22204" spans="1:7" x14ac:dyDescent="0.2">
      <c r="A22204" t="s">
        <v>20737</v>
      </c>
      <c r="B22204" t="str">
        <f>"15327037992"</f>
        <v>15327037992</v>
      </c>
      <c r="C22204" t="str">
        <f>"152628197805227225"</f>
        <v>152628197805227225</v>
      </c>
      <c r="D22204" t="s">
        <v>20738</v>
      </c>
      <c r="E22204" t="s">
        <v>20739</v>
      </c>
      <c r="F22204" t="s">
        <v>0</v>
      </c>
      <c r="G22204" t="str">
        <f>"2018-10-07 10:13:34"</f>
        <v>2018-10-07 10:13:34</v>
      </c>
    </row>
    <row r="22205" spans="1:7" x14ac:dyDescent="0.2">
      <c r="A22205" t="s">
        <v>20740</v>
      </c>
      <c r="B22205" t="str">
        <f>"18105965839"</f>
        <v>18105965839</v>
      </c>
      <c r="C22205" t="str">
        <f>"350600198704133522"</f>
        <v>350600198704133522</v>
      </c>
      <c r="D22205" t="s">
        <v>1</v>
      </c>
      <c r="E22205" t="s">
        <v>1</v>
      </c>
      <c r="F22205" t="s">
        <v>0</v>
      </c>
      <c r="G22205" t="str">
        <f>"2018-10-07 10:22:22"</f>
        <v>2018-10-07 10:22:22</v>
      </c>
    </row>
    <row r="22206" spans="1:7" x14ac:dyDescent="0.2">
      <c r="A22206" t="s">
        <v>1</v>
      </c>
      <c r="B22206" t="str">
        <f>"15380795573"</f>
        <v>15380795573</v>
      </c>
      <c r="C22206" t="s">
        <v>1</v>
      </c>
      <c r="D22206" t="s">
        <v>1</v>
      </c>
      <c r="E22206" t="s">
        <v>1</v>
      </c>
      <c r="F22206" t="s">
        <v>0</v>
      </c>
      <c r="G22206" t="str">
        <f>"2018-10-07 10:11:30"</f>
        <v>2018-10-07 10:11:30</v>
      </c>
    </row>
    <row r="22207" spans="1:7" x14ac:dyDescent="0.2">
      <c r="A22207" t="s">
        <v>20741</v>
      </c>
      <c r="B22207" t="str">
        <f>"18191940274"</f>
        <v>18191940274</v>
      </c>
      <c r="C22207" t="str">
        <f>"420521199808070422"</f>
        <v>420521199808070422</v>
      </c>
      <c r="D22207" t="s">
        <v>1</v>
      </c>
      <c r="E22207" t="s">
        <v>1</v>
      </c>
      <c r="F22207" t="s">
        <v>0</v>
      </c>
      <c r="G22207" t="str">
        <f>"2018-10-07 10:31:36"</f>
        <v>2018-10-07 10:31:36</v>
      </c>
    </row>
    <row r="22208" spans="1:7" x14ac:dyDescent="0.2">
      <c r="A22208" t="s">
        <v>20742</v>
      </c>
      <c r="B22208" t="str">
        <f>"18974372685"</f>
        <v>18974372685</v>
      </c>
      <c r="C22208" t="str">
        <f>"433122199309046013"</f>
        <v>433122199309046013</v>
      </c>
      <c r="D22208" t="s">
        <v>20743</v>
      </c>
      <c r="E22208" t="s">
        <v>20744</v>
      </c>
      <c r="F22208" t="s">
        <v>0</v>
      </c>
      <c r="G22208" t="str">
        <f>"2018-10-07 17:43:11"</f>
        <v>2018-10-07 17:43:11</v>
      </c>
    </row>
    <row r="22209" spans="1:7" x14ac:dyDescent="0.2">
      <c r="A22209" t="s">
        <v>1</v>
      </c>
      <c r="B22209" t="str">
        <f>"15380691931"</f>
        <v>15380691931</v>
      </c>
      <c r="C22209" t="s">
        <v>1</v>
      </c>
      <c r="D22209" t="s">
        <v>1</v>
      </c>
      <c r="E22209" t="s">
        <v>1</v>
      </c>
      <c r="F22209" t="s">
        <v>0</v>
      </c>
      <c r="G22209" t="str">
        <f>"2018-10-07 10:10:02"</f>
        <v>2018-10-07 10:10:02</v>
      </c>
    </row>
    <row r="22210" spans="1:7" x14ac:dyDescent="0.2">
      <c r="A22210" t="s">
        <v>301</v>
      </c>
      <c r="B22210" t="str">
        <f>"17311219807"</f>
        <v>17311219807</v>
      </c>
      <c r="C22210" t="str">
        <f>"510132198610256621"</f>
        <v>510132198610256621</v>
      </c>
      <c r="D22210" t="s">
        <v>1</v>
      </c>
      <c r="E22210" t="s">
        <v>1</v>
      </c>
      <c r="F22210" t="s">
        <v>0</v>
      </c>
      <c r="G22210" t="str">
        <f>"2018-10-07 10:11:32"</f>
        <v>2018-10-07 10:11:32</v>
      </c>
    </row>
    <row r="22211" spans="1:7" x14ac:dyDescent="0.2">
      <c r="A22211" t="s">
        <v>20745</v>
      </c>
      <c r="B22211" t="str">
        <f>"17858822553"</f>
        <v>17858822553</v>
      </c>
      <c r="C22211" t="str">
        <f>"511622199310177016"</f>
        <v>511622199310177016</v>
      </c>
      <c r="D22211" t="s">
        <v>1</v>
      </c>
      <c r="E22211" t="s">
        <v>1</v>
      </c>
      <c r="F22211" t="s">
        <v>0</v>
      </c>
      <c r="G22211" t="str">
        <f>"2018-10-07 10:12:32"</f>
        <v>2018-10-07 10:12:32</v>
      </c>
    </row>
    <row r="22212" spans="1:7" x14ac:dyDescent="0.2">
      <c r="A22212" t="s">
        <v>20746</v>
      </c>
      <c r="B22212" t="str">
        <f>"13432152911"</f>
        <v>13432152911</v>
      </c>
      <c r="C22212" t="str">
        <f>"442000198908044231"</f>
        <v>442000198908044231</v>
      </c>
      <c r="D22212" t="s">
        <v>1</v>
      </c>
      <c r="E22212" t="s">
        <v>1</v>
      </c>
      <c r="F22212" t="s">
        <v>0</v>
      </c>
      <c r="G22212" t="str">
        <f>"2018-10-07 10:11:00"</f>
        <v>2018-10-07 10:11:00</v>
      </c>
    </row>
    <row r="22213" spans="1:7" x14ac:dyDescent="0.2">
      <c r="A22213" t="s">
        <v>20747</v>
      </c>
      <c r="B22213" t="str">
        <f>"18932374001"</f>
        <v>18932374001</v>
      </c>
      <c r="C22213" t="str">
        <f>"321101198909170014"</f>
        <v>321101198909170014</v>
      </c>
      <c r="D22213" t="s">
        <v>1</v>
      </c>
      <c r="E22213" t="s">
        <v>1</v>
      </c>
      <c r="F22213" t="s">
        <v>0</v>
      </c>
      <c r="G22213" t="str">
        <f>"2018-10-16 11:50:40"</f>
        <v>2018-10-16 11:50:40</v>
      </c>
    </row>
    <row r="22214" spans="1:7" x14ac:dyDescent="0.2">
      <c r="A22214" t="s">
        <v>20748</v>
      </c>
      <c r="B22214" t="str">
        <f>"15383856269"</f>
        <v>15383856269</v>
      </c>
      <c r="C22214" t="str">
        <f>"130206199411011214"</f>
        <v>130206199411011214</v>
      </c>
      <c r="D22214" t="s">
        <v>20749</v>
      </c>
      <c r="E22214" t="s">
        <v>20750</v>
      </c>
      <c r="F22214" t="s">
        <v>0</v>
      </c>
      <c r="G22214" t="str">
        <f>"2018-10-16 10:48:43"</f>
        <v>2018-10-16 10:48:43</v>
      </c>
    </row>
    <row r="22215" spans="1:7" x14ac:dyDescent="0.2">
      <c r="A22215" t="s">
        <v>1</v>
      </c>
      <c r="B22215" t="str">
        <f>"18944887121"</f>
        <v>18944887121</v>
      </c>
      <c r="C22215" t="s">
        <v>1</v>
      </c>
      <c r="D22215" t="s">
        <v>1</v>
      </c>
      <c r="E22215" t="s">
        <v>1</v>
      </c>
      <c r="F22215" t="s">
        <v>0</v>
      </c>
      <c r="G22215" t="str">
        <f>"2018-10-07 10:09:47"</f>
        <v>2018-10-07 10:09:47</v>
      </c>
    </row>
    <row r="22216" spans="1:7" x14ac:dyDescent="0.2">
      <c r="A22216" t="s">
        <v>20751</v>
      </c>
      <c r="B22216" t="str">
        <f>"13829940537"</f>
        <v>13829940537</v>
      </c>
      <c r="C22216" t="str">
        <f>"422201199201220818"</f>
        <v>422201199201220818</v>
      </c>
      <c r="D22216" t="s">
        <v>1</v>
      </c>
      <c r="E22216" t="s">
        <v>1</v>
      </c>
      <c r="F22216" t="s">
        <v>0</v>
      </c>
      <c r="G22216" t="str">
        <f>"2018-10-07 10:09:33"</f>
        <v>2018-10-07 10:09:33</v>
      </c>
    </row>
    <row r="22217" spans="1:7" x14ac:dyDescent="0.2">
      <c r="A22217" t="s">
        <v>1</v>
      </c>
      <c r="B22217" t="str">
        <f>"18188036999"</f>
        <v>18188036999</v>
      </c>
      <c r="C22217" t="s">
        <v>1</v>
      </c>
      <c r="D22217" t="s">
        <v>1</v>
      </c>
      <c r="E22217" t="s">
        <v>1</v>
      </c>
      <c r="F22217" t="s">
        <v>0</v>
      </c>
      <c r="G22217" t="str">
        <f>"2018-10-08 12:36:22"</f>
        <v>2018-10-08 12:36:22</v>
      </c>
    </row>
    <row r="22218" spans="1:7" x14ac:dyDescent="0.2">
      <c r="A22218" t="s">
        <v>20752</v>
      </c>
      <c r="B22218" t="str">
        <f>"13378261588"</f>
        <v>13378261588</v>
      </c>
      <c r="C22218" t="str">
        <f>"510503198204124076"</f>
        <v>510503198204124076</v>
      </c>
      <c r="D22218" t="s">
        <v>1</v>
      </c>
      <c r="E22218" t="s">
        <v>1</v>
      </c>
      <c r="F22218" t="s">
        <v>0</v>
      </c>
      <c r="G22218" t="str">
        <f>"2018-10-09 09:56:23"</f>
        <v>2018-10-09 09:56:23</v>
      </c>
    </row>
    <row r="22219" spans="1:7" x14ac:dyDescent="0.2">
      <c r="A22219" t="s">
        <v>7645</v>
      </c>
      <c r="B22219" t="str">
        <f>"18643394900"</f>
        <v>18643394900</v>
      </c>
      <c r="C22219" t="str">
        <f>"15210419850904122X"</f>
        <v>15210419850904122X</v>
      </c>
      <c r="D22219" t="s">
        <v>1</v>
      </c>
      <c r="E22219" t="s">
        <v>1</v>
      </c>
      <c r="F22219" t="s">
        <v>0</v>
      </c>
      <c r="G22219" t="str">
        <f>"2018-10-07 10:12:22"</f>
        <v>2018-10-07 10:12:22</v>
      </c>
    </row>
    <row r="22220" spans="1:7" x14ac:dyDescent="0.2">
      <c r="A22220" t="s">
        <v>1</v>
      </c>
      <c r="B22220" t="str">
        <f>"17671420782"</f>
        <v>17671420782</v>
      </c>
      <c r="C22220" t="s">
        <v>1</v>
      </c>
      <c r="D22220" t="s">
        <v>1</v>
      </c>
      <c r="E22220" t="s">
        <v>1</v>
      </c>
      <c r="F22220" t="s">
        <v>0</v>
      </c>
      <c r="G22220" t="str">
        <f>"2018-10-07 10:09:04"</f>
        <v>2018-10-07 10:09:04</v>
      </c>
    </row>
    <row r="22221" spans="1:7" x14ac:dyDescent="0.2">
      <c r="A22221" t="s">
        <v>20753</v>
      </c>
      <c r="B22221" t="str">
        <f>"18036699222"</f>
        <v>18036699222</v>
      </c>
      <c r="C22221" t="str">
        <f>"320722197609061616"</f>
        <v>320722197609061616</v>
      </c>
      <c r="D22221" t="s">
        <v>20754</v>
      </c>
      <c r="E22221" t="s">
        <v>20755</v>
      </c>
      <c r="F22221" t="s">
        <v>0</v>
      </c>
      <c r="G22221" t="str">
        <f>"2018-10-07 10:10:41"</f>
        <v>2018-10-07 10:10:41</v>
      </c>
    </row>
    <row r="22222" spans="1:7" x14ac:dyDescent="0.2">
      <c r="A22222" t="s">
        <v>1</v>
      </c>
      <c r="B22222" t="str">
        <f>"15985394383"</f>
        <v>15985394383</v>
      </c>
      <c r="C22222" t="s">
        <v>1</v>
      </c>
      <c r="D22222" t="s">
        <v>1</v>
      </c>
      <c r="E22222" t="s">
        <v>1</v>
      </c>
      <c r="F22222" t="s">
        <v>0</v>
      </c>
      <c r="G22222" t="str">
        <f>"2018-10-07 10:08:55"</f>
        <v>2018-10-07 10:08:55</v>
      </c>
    </row>
    <row r="22223" spans="1:7" x14ac:dyDescent="0.2">
      <c r="A22223" t="s">
        <v>20756</v>
      </c>
      <c r="B22223" t="str">
        <f>"13897571275"</f>
        <v>13897571275</v>
      </c>
      <c r="C22223" t="str">
        <f>"632821198308201417"</f>
        <v>632821198308201417</v>
      </c>
      <c r="D22223" t="s">
        <v>20757</v>
      </c>
      <c r="E22223" t="s">
        <v>20758</v>
      </c>
      <c r="F22223" t="s">
        <v>0</v>
      </c>
      <c r="G22223" t="str">
        <f>"2018-10-07 10:09:43"</f>
        <v>2018-10-07 10:09:43</v>
      </c>
    </row>
    <row r="22224" spans="1:7" x14ac:dyDescent="0.2">
      <c r="A22224" t="s">
        <v>12</v>
      </c>
      <c r="B22224" t="str">
        <f>"15170778778"</f>
        <v>15170778778</v>
      </c>
      <c r="C22224" t="str">
        <f>"362131198105212617"</f>
        <v>362131198105212617</v>
      </c>
      <c r="D22224" t="s">
        <v>1</v>
      </c>
      <c r="E22224" t="s">
        <v>1</v>
      </c>
      <c r="F22224" t="s">
        <v>0</v>
      </c>
      <c r="G22224" t="str">
        <f>"2018-10-26 20:58:26"</f>
        <v>2018-10-26 20:58:26</v>
      </c>
    </row>
    <row r="22225" spans="1:7" x14ac:dyDescent="0.2">
      <c r="A22225" t="s">
        <v>20759</v>
      </c>
      <c r="B22225" t="str">
        <f>"15569660356"</f>
        <v>15569660356</v>
      </c>
      <c r="C22225" t="str">
        <f>"62242119920418174X"</f>
        <v>62242119920418174X</v>
      </c>
      <c r="D22225" t="s">
        <v>1</v>
      </c>
      <c r="E22225" t="s">
        <v>1</v>
      </c>
      <c r="F22225" t="s">
        <v>0</v>
      </c>
      <c r="G22225" t="str">
        <f>"2018-10-07 10:10:19"</f>
        <v>2018-10-07 10:10:19</v>
      </c>
    </row>
    <row r="22226" spans="1:7" x14ac:dyDescent="0.2">
      <c r="A22226" t="s">
        <v>20760</v>
      </c>
      <c r="B22226" t="str">
        <f>"13887832440"</f>
        <v>13887832440</v>
      </c>
      <c r="C22226" t="str">
        <f>"533001199609261221"</f>
        <v>533001199609261221</v>
      </c>
      <c r="D22226" t="s">
        <v>20761</v>
      </c>
      <c r="E22226" t="s">
        <v>20762</v>
      </c>
      <c r="F22226" t="s">
        <v>0</v>
      </c>
      <c r="G22226" t="str">
        <f>"2018-10-25 10:54:55"</f>
        <v>2018-10-25 10:54:55</v>
      </c>
    </row>
    <row r="22227" spans="1:7" x14ac:dyDescent="0.2">
      <c r="A22227" t="s">
        <v>20763</v>
      </c>
      <c r="B22227" t="str">
        <f>"13958379186"</f>
        <v>13958379186</v>
      </c>
      <c r="C22227" t="str">
        <f>"330206197909241410"</f>
        <v>330206197909241410</v>
      </c>
      <c r="D22227" t="s">
        <v>1</v>
      </c>
      <c r="E22227" t="s">
        <v>1</v>
      </c>
      <c r="F22227" t="s">
        <v>0</v>
      </c>
      <c r="G22227" t="str">
        <f>"2018-10-07 10:12:31"</f>
        <v>2018-10-07 10:12:31</v>
      </c>
    </row>
    <row r="22228" spans="1:7" x14ac:dyDescent="0.2">
      <c r="A22228" t="s">
        <v>1</v>
      </c>
      <c r="B22228" t="str">
        <f>"15259813222"</f>
        <v>15259813222</v>
      </c>
      <c r="C22228" t="s">
        <v>1</v>
      </c>
      <c r="D22228" t="s">
        <v>1</v>
      </c>
      <c r="E22228" t="s">
        <v>1</v>
      </c>
      <c r="F22228" t="s">
        <v>0</v>
      </c>
      <c r="G22228" t="str">
        <f>"2018-10-07 10:06:00"</f>
        <v>2018-10-07 10:06:00</v>
      </c>
    </row>
    <row r="22229" spans="1:7" x14ac:dyDescent="0.2">
      <c r="A22229" t="s">
        <v>20764</v>
      </c>
      <c r="B22229" t="str">
        <f>"13596526852"</f>
        <v>13596526852</v>
      </c>
      <c r="C22229" t="str">
        <f>"22242619880228141X"</f>
        <v>22242619880228141X</v>
      </c>
      <c r="D22229" t="s">
        <v>1</v>
      </c>
      <c r="E22229" t="s">
        <v>1</v>
      </c>
      <c r="F22229" t="s">
        <v>0</v>
      </c>
      <c r="G22229" t="str">
        <f>"2018-10-07 10:05:49"</f>
        <v>2018-10-07 10:05:49</v>
      </c>
    </row>
    <row r="22230" spans="1:7" x14ac:dyDescent="0.2">
      <c r="A22230" t="s">
        <v>20765</v>
      </c>
      <c r="B22230" t="str">
        <f>"18223541868"</f>
        <v>18223541868</v>
      </c>
      <c r="C22230" t="str">
        <f>"510215198101208612"</f>
        <v>510215198101208612</v>
      </c>
      <c r="D22230" t="s">
        <v>1</v>
      </c>
      <c r="E22230" t="s">
        <v>1</v>
      </c>
      <c r="F22230" t="s">
        <v>0</v>
      </c>
      <c r="G22230" t="str">
        <f>"2018-10-07 10:08:18"</f>
        <v>2018-10-07 10:08:18</v>
      </c>
    </row>
    <row r="22231" spans="1:7" x14ac:dyDescent="0.2">
      <c r="A22231" t="s">
        <v>20766</v>
      </c>
      <c r="B22231" t="str">
        <f>"18306195995"</f>
        <v>18306195995</v>
      </c>
      <c r="C22231" t="str">
        <f>"321324199804222025"</f>
        <v>321324199804222025</v>
      </c>
      <c r="D22231" t="s">
        <v>1</v>
      </c>
      <c r="E22231" t="s">
        <v>1</v>
      </c>
      <c r="F22231" t="s">
        <v>0</v>
      </c>
      <c r="G22231" t="str">
        <f>"2018-10-07 10:05:43"</f>
        <v>2018-10-07 10:05:43</v>
      </c>
    </row>
    <row r="22232" spans="1:7" x14ac:dyDescent="0.2">
      <c r="A22232" t="s">
        <v>20767</v>
      </c>
      <c r="B22232" t="str">
        <f>"13077633519"</f>
        <v>13077633519</v>
      </c>
      <c r="C22232" t="str">
        <f>"450802199011090859"</f>
        <v>450802199011090859</v>
      </c>
      <c r="D22232" t="s">
        <v>1</v>
      </c>
      <c r="E22232" t="s">
        <v>1</v>
      </c>
      <c r="F22232" t="s">
        <v>0</v>
      </c>
      <c r="G22232" t="str">
        <f>"2018-10-07 10:05:03"</f>
        <v>2018-10-07 10:05:03</v>
      </c>
    </row>
    <row r="22233" spans="1:7" x14ac:dyDescent="0.2">
      <c r="A22233" t="s">
        <v>20768</v>
      </c>
      <c r="B22233" t="str">
        <f>"13759553518"</f>
        <v>13759553518</v>
      </c>
      <c r="C22233" t="str">
        <f>"530113198310163735"</f>
        <v>530113198310163735</v>
      </c>
      <c r="D22233" t="s">
        <v>1</v>
      </c>
      <c r="E22233" t="s">
        <v>1</v>
      </c>
      <c r="F22233" t="s">
        <v>0</v>
      </c>
      <c r="G22233" t="str">
        <f>"2018-10-07 10:07:29"</f>
        <v>2018-10-07 10:07:29</v>
      </c>
    </row>
    <row r="22234" spans="1:7" x14ac:dyDescent="0.2">
      <c r="A22234" t="s">
        <v>306</v>
      </c>
      <c r="B22234" t="str">
        <f>"15245945402"</f>
        <v>15245945402</v>
      </c>
      <c r="C22234" t="str">
        <f>"220182199710094526"</f>
        <v>220182199710094526</v>
      </c>
      <c r="D22234" t="s">
        <v>1</v>
      </c>
      <c r="E22234" t="s">
        <v>1</v>
      </c>
      <c r="F22234" t="s">
        <v>0</v>
      </c>
      <c r="G22234" t="str">
        <f>"2018-10-07 10:06:30"</f>
        <v>2018-10-07 10:06:30</v>
      </c>
    </row>
    <row r="22235" spans="1:7" x14ac:dyDescent="0.2">
      <c r="A22235" t="s">
        <v>1823</v>
      </c>
      <c r="B22235" t="str">
        <f>"15134550512"</f>
        <v>15134550512</v>
      </c>
      <c r="C22235" t="str">
        <f>"232723199103261114"</f>
        <v>232723199103261114</v>
      </c>
      <c r="D22235" t="s">
        <v>1</v>
      </c>
      <c r="E22235" t="s">
        <v>1</v>
      </c>
      <c r="F22235" t="s">
        <v>0</v>
      </c>
      <c r="G22235" t="str">
        <f>"2018-10-07 10:06:51"</f>
        <v>2018-10-07 10:06:51</v>
      </c>
    </row>
    <row r="22236" spans="1:7" x14ac:dyDescent="0.2">
      <c r="A22236" t="s">
        <v>20769</v>
      </c>
      <c r="B22236" t="str">
        <f>"18998052287"</f>
        <v>18998052287</v>
      </c>
      <c r="C22236" t="str">
        <f>"431128199103273719"</f>
        <v>431128199103273719</v>
      </c>
      <c r="D22236" t="s">
        <v>1</v>
      </c>
      <c r="E22236" t="s">
        <v>1</v>
      </c>
      <c r="F22236" t="s">
        <v>0</v>
      </c>
      <c r="G22236" t="str">
        <f>"2018-10-07 10:07:58"</f>
        <v>2018-10-07 10:07:58</v>
      </c>
    </row>
    <row r="22237" spans="1:7" x14ac:dyDescent="0.2">
      <c r="A22237" t="s">
        <v>315</v>
      </c>
      <c r="B22237" t="str">
        <f>"18316506112"</f>
        <v>18316506112</v>
      </c>
      <c r="C22237" t="str">
        <f>"513701199309245515"</f>
        <v>513701199309245515</v>
      </c>
      <c r="D22237" t="s">
        <v>20770</v>
      </c>
      <c r="E22237" t="s">
        <v>20771</v>
      </c>
      <c r="F22237" t="s">
        <v>0</v>
      </c>
      <c r="G22237" t="str">
        <f>"2018-10-07 10:16:36"</f>
        <v>2018-10-07 10:16:36</v>
      </c>
    </row>
    <row r="22238" spans="1:7" x14ac:dyDescent="0.2">
      <c r="A22238" t="s">
        <v>1</v>
      </c>
      <c r="B22238" t="str">
        <f>"18342111767"</f>
        <v>18342111767</v>
      </c>
      <c r="C22238" t="s">
        <v>1</v>
      </c>
      <c r="D22238" t="s">
        <v>1</v>
      </c>
      <c r="E22238" t="s">
        <v>1</v>
      </c>
      <c r="F22238" t="s">
        <v>0</v>
      </c>
      <c r="G22238" t="str">
        <f>"2018-10-07 10:00:47"</f>
        <v>2018-10-07 10:00:47</v>
      </c>
    </row>
    <row r="22239" spans="1:7" x14ac:dyDescent="0.2">
      <c r="A22239" t="s">
        <v>1</v>
      </c>
      <c r="B22239" t="str">
        <f>"18306809646"</f>
        <v>18306809646</v>
      </c>
      <c r="C22239" t="s">
        <v>1</v>
      </c>
      <c r="D22239" t="s">
        <v>1</v>
      </c>
      <c r="E22239" t="s">
        <v>1</v>
      </c>
      <c r="F22239" t="s">
        <v>0</v>
      </c>
      <c r="G22239" t="str">
        <f>"2018-10-07 10:00:37"</f>
        <v>2018-10-07 10:00:37</v>
      </c>
    </row>
    <row r="22240" spans="1:7" x14ac:dyDescent="0.2">
      <c r="A22240" t="s">
        <v>1</v>
      </c>
      <c r="B22240" t="str">
        <f>"15578289729"</f>
        <v>15578289729</v>
      </c>
      <c r="C22240" t="s">
        <v>1</v>
      </c>
      <c r="D22240" t="s">
        <v>1</v>
      </c>
      <c r="E22240" t="s">
        <v>1</v>
      </c>
      <c r="F22240" t="s">
        <v>0</v>
      </c>
      <c r="G22240" t="str">
        <f>"2018-10-07 09:59:53"</f>
        <v>2018-10-07 09:59:53</v>
      </c>
    </row>
    <row r="22241" spans="1:7" x14ac:dyDescent="0.2">
      <c r="A22241" t="s">
        <v>20772</v>
      </c>
      <c r="B22241" t="str">
        <f>"15213441572"</f>
        <v>15213441572</v>
      </c>
      <c r="C22241" t="str">
        <f>"500225199001075272"</f>
        <v>500225199001075272</v>
      </c>
      <c r="D22241" t="s">
        <v>1</v>
      </c>
      <c r="E22241" t="s">
        <v>1</v>
      </c>
      <c r="F22241" t="s">
        <v>0</v>
      </c>
      <c r="G22241" t="str">
        <f>"2018-10-07 10:00:04"</f>
        <v>2018-10-07 10:00:04</v>
      </c>
    </row>
    <row r="22242" spans="1:7" x14ac:dyDescent="0.2">
      <c r="A22242" t="s">
        <v>1</v>
      </c>
      <c r="B22242" t="str">
        <f>"17505984448"</f>
        <v>17505984448</v>
      </c>
      <c r="C22242" t="s">
        <v>1</v>
      </c>
      <c r="D22242" t="s">
        <v>1</v>
      </c>
      <c r="E22242" t="s">
        <v>1</v>
      </c>
      <c r="F22242" t="s">
        <v>0</v>
      </c>
      <c r="G22242" t="str">
        <f>"2018-10-07 09:58:34"</f>
        <v>2018-10-07 09:58:34</v>
      </c>
    </row>
    <row r="22243" spans="1:7" x14ac:dyDescent="0.2">
      <c r="A22243" t="s">
        <v>1515</v>
      </c>
      <c r="B22243" t="str">
        <f>"13629479693"</f>
        <v>13629479693</v>
      </c>
      <c r="C22243" t="str">
        <f>"530126198906240422"</f>
        <v>530126198906240422</v>
      </c>
      <c r="D22243" t="s">
        <v>1</v>
      </c>
      <c r="E22243" t="s">
        <v>1</v>
      </c>
      <c r="F22243" t="s">
        <v>0</v>
      </c>
      <c r="G22243" t="str">
        <f>"2018-10-07 09:59:41"</f>
        <v>2018-10-07 09:59:41</v>
      </c>
    </row>
    <row r="22244" spans="1:7" x14ac:dyDescent="0.2">
      <c r="A22244" t="s">
        <v>20773</v>
      </c>
      <c r="B22244" t="str">
        <f>"17853818182"</f>
        <v>17853818182</v>
      </c>
      <c r="C22244" t="str">
        <f>"370911198305165630"</f>
        <v>370911198305165630</v>
      </c>
      <c r="D22244" t="s">
        <v>1</v>
      </c>
      <c r="E22244" t="s">
        <v>1</v>
      </c>
      <c r="F22244" t="s">
        <v>0</v>
      </c>
      <c r="G22244" t="str">
        <f>"2018-10-07 09:59:33"</f>
        <v>2018-10-07 09:59:33</v>
      </c>
    </row>
    <row r="22245" spans="1:7" x14ac:dyDescent="0.2">
      <c r="A22245" t="s">
        <v>20774</v>
      </c>
      <c r="B22245" t="str">
        <f>"15228800757"</f>
        <v>15228800757</v>
      </c>
      <c r="C22245" t="str">
        <f>"513101199906015029"</f>
        <v>513101199906015029</v>
      </c>
      <c r="D22245" t="s">
        <v>20775</v>
      </c>
      <c r="E22245" t="s">
        <v>20776</v>
      </c>
      <c r="F22245" t="s">
        <v>0</v>
      </c>
      <c r="G22245" t="str">
        <f>"2018-10-07 09:57:58"</f>
        <v>2018-10-07 09:57:58</v>
      </c>
    </row>
    <row r="22246" spans="1:7" x14ac:dyDescent="0.2">
      <c r="A22246" t="s">
        <v>1098</v>
      </c>
      <c r="B22246" t="str">
        <f>"15169365198"</f>
        <v>15169365198</v>
      </c>
      <c r="C22246" t="str">
        <f>"370304198209036517"</f>
        <v>370304198209036517</v>
      </c>
      <c r="D22246" t="s">
        <v>20777</v>
      </c>
      <c r="E22246" t="s">
        <v>20778</v>
      </c>
      <c r="F22246" t="s">
        <v>0</v>
      </c>
      <c r="G22246" t="str">
        <f>"2018-10-07 09:59:05"</f>
        <v>2018-10-07 09:59:05</v>
      </c>
    </row>
    <row r="22247" spans="1:7" x14ac:dyDescent="0.2">
      <c r="A22247" t="s">
        <v>20779</v>
      </c>
      <c r="B22247" t="str">
        <f>"13622475583"</f>
        <v>13622475583</v>
      </c>
      <c r="C22247" t="str">
        <f>"441421199103184648"</f>
        <v>441421199103184648</v>
      </c>
      <c r="D22247" t="s">
        <v>1</v>
      </c>
      <c r="E22247" t="s">
        <v>1</v>
      </c>
      <c r="F22247" t="s">
        <v>0</v>
      </c>
      <c r="G22247" t="str">
        <f>"2018-10-07 09:59:34"</f>
        <v>2018-10-07 09:59:34</v>
      </c>
    </row>
    <row r="22248" spans="1:7" x14ac:dyDescent="0.2">
      <c r="A22248" t="s">
        <v>20780</v>
      </c>
      <c r="B22248" t="str">
        <f>"15751234560"</f>
        <v>15751234560</v>
      </c>
      <c r="C22248" t="str">
        <f>"320722199607117355"</f>
        <v>320722199607117355</v>
      </c>
      <c r="D22248" t="s">
        <v>1</v>
      </c>
      <c r="E22248" t="s">
        <v>1</v>
      </c>
      <c r="F22248" t="s">
        <v>0</v>
      </c>
      <c r="G22248" t="str">
        <f>"2018-10-07 09:57:40"</f>
        <v>2018-10-07 09:57:40</v>
      </c>
    </row>
    <row r="22249" spans="1:7" x14ac:dyDescent="0.2">
      <c r="A22249" t="s">
        <v>20781</v>
      </c>
      <c r="B22249" t="str">
        <f>"13738220964"</f>
        <v>13738220964</v>
      </c>
      <c r="C22249" t="str">
        <f>"330523198011091310"</f>
        <v>330523198011091310</v>
      </c>
      <c r="D22249" t="s">
        <v>1</v>
      </c>
      <c r="E22249" t="s">
        <v>1</v>
      </c>
      <c r="F22249" t="s">
        <v>0</v>
      </c>
      <c r="G22249" t="str">
        <f>"2018-10-14 15:45:23"</f>
        <v>2018-10-14 15:45:23</v>
      </c>
    </row>
    <row r="22250" spans="1:7" x14ac:dyDescent="0.2">
      <c r="A22250" t="s">
        <v>20782</v>
      </c>
      <c r="B22250" t="str">
        <f>"18935177240"</f>
        <v>18935177240</v>
      </c>
      <c r="C22250" t="str">
        <f>"142325199004146910"</f>
        <v>142325199004146910</v>
      </c>
      <c r="D22250" t="s">
        <v>20783</v>
      </c>
      <c r="E22250" t="s">
        <v>20784</v>
      </c>
      <c r="F22250" t="s">
        <v>0</v>
      </c>
      <c r="G22250" t="str">
        <f>"2018-10-07 10:02:48"</f>
        <v>2018-10-07 10:02:48</v>
      </c>
    </row>
    <row r="22251" spans="1:7" x14ac:dyDescent="0.2">
      <c r="A22251" t="s">
        <v>20785</v>
      </c>
      <c r="B22251" t="str">
        <f>"15267612098"</f>
        <v>15267612098</v>
      </c>
      <c r="C22251" t="str">
        <f>"522528198009082828"</f>
        <v>522528198009082828</v>
      </c>
      <c r="D22251" t="s">
        <v>1</v>
      </c>
      <c r="E22251" t="s">
        <v>1</v>
      </c>
      <c r="F22251" t="s">
        <v>0</v>
      </c>
      <c r="G22251" t="str">
        <f>"2018-10-07 09:57:14"</f>
        <v>2018-10-07 09:57:14</v>
      </c>
    </row>
    <row r="22252" spans="1:7" x14ac:dyDescent="0.2">
      <c r="A22252" t="s">
        <v>1</v>
      </c>
      <c r="B22252" t="str">
        <f>"13677740370"</f>
        <v>13677740370</v>
      </c>
      <c r="C22252" t="s">
        <v>1</v>
      </c>
      <c r="D22252" t="s">
        <v>1</v>
      </c>
      <c r="E22252" t="s">
        <v>1</v>
      </c>
      <c r="F22252" t="s">
        <v>0</v>
      </c>
      <c r="G22252" t="str">
        <f>"2018-10-07 09:57:30"</f>
        <v>2018-10-07 09:57:30</v>
      </c>
    </row>
    <row r="22253" spans="1:7" x14ac:dyDescent="0.2">
      <c r="A22253" t="s">
        <v>20786</v>
      </c>
      <c r="B22253" t="str">
        <f>"13644861126"</f>
        <v>13644861126</v>
      </c>
      <c r="C22253" t="str">
        <f>"150430199611260594"</f>
        <v>150430199611260594</v>
      </c>
      <c r="D22253" t="s">
        <v>1</v>
      </c>
      <c r="E22253" t="s">
        <v>1</v>
      </c>
      <c r="F22253" t="s">
        <v>0</v>
      </c>
      <c r="G22253" t="str">
        <f>"2018-10-07 10:14:57"</f>
        <v>2018-10-07 10:14:57</v>
      </c>
    </row>
    <row r="22254" spans="1:7" x14ac:dyDescent="0.2">
      <c r="A22254" t="s">
        <v>1</v>
      </c>
      <c r="B22254" t="str">
        <f>"18843765757"</f>
        <v>18843765757</v>
      </c>
      <c r="C22254" t="s">
        <v>1</v>
      </c>
      <c r="D22254" t="s">
        <v>1</v>
      </c>
      <c r="E22254" t="s">
        <v>1</v>
      </c>
      <c r="F22254" t="s">
        <v>0</v>
      </c>
      <c r="G22254" t="str">
        <f>"2018-10-07 09:54:08"</f>
        <v>2018-10-07 09:54:08</v>
      </c>
    </row>
    <row r="22255" spans="1:7" x14ac:dyDescent="0.2">
      <c r="A22255" t="s">
        <v>20787</v>
      </c>
      <c r="B22255" t="str">
        <f>"13699964695"</f>
        <v>13699964695</v>
      </c>
      <c r="C22255" t="str">
        <f>"652222199510082425"</f>
        <v>652222199510082425</v>
      </c>
      <c r="D22255" t="s">
        <v>20788</v>
      </c>
      <c r="E22255" t="s">
        <v>20789</v>
      </c>
      <c r="F22255" t="s">
        <v>0</v>
      </c>
      <c r="G22255" t="str">
        <f>"2018-10-07 09:53:42"</f>
        <v>2018-10-07 09:53:42</v>
      </c>
    </row>
    <row r="22256" spans="1:7" x14ac:dyDescent="0.2">
      <c r="A22256" t="s">
        <v>20790</v>
      </c>
      <c r="B22256" t="str">
        <f>"15303912626"</f>
        <v>15303912626</v>
      </c>
      <c r="C22256" t="str">
        <f>"410926198508242816"</f>
        <v>410926198508242816</v>
      </c>
      <c r="D22256" t="s">
        <v>1</v>
      </c>
      <c r="E22256" t="s">
        <v>1</v>
      </c>
      <c r="F22256" t="s">
        <v>0</v>
      </c>
      <c r="G22256" t="str">
        <f>"2018-10-07 09:55:40"</f>
        <v>2018-10-07 09:55:40</v>
      </c>
    </row>
    <row r="22257" spans="1:7" x14ac:dyDescent="0.2">
      <c r="A22257" t="s">
        <v>1</v>
      </c>
      <c r="B22257" t="str">
        <f>"18655227822"</f>
        <v>18655227822</v>
      </c>
      <c r="C22257" t="s">
        <v>1</v>
      </c>
      <c r="D22257" t="s">
        <v>1</v>
      </c>
      <c r="E22257" t="s">
        <v>1</v>
      </c>
      <c r="F22257" t="s">
        <v>0</v>
      </c>
      <c r="G22257" t="str">
        <f>"2018-10-07 09:53:03"</f>
        <v>2018-10-07 09:53:03</v>
      </c>
    </row>
    <row r="22258" spans="1:7" x14ac:dyDescent="0.2">
      <c r="A22258" t="s">
        <v>1</v>
      </c>
      <c r="B22258" t="str">
        <f>"15805506447"</f>
        <v>15805506447</v>
      </c>
      <c r="C22258" t="s">
        <v>1</v>
      </c>
      <c r="D22258" t="s">
        <v>1</v>
      </c>
      <c r="E22258" t="s">
        <v>1</v>
      </c>
      <c r="F22258" t="s">
        <v>0</v>
      </c>
      <c r="G22258" t="str">
        <f>"2018-10-07 09:53:03"</f>
        <v>2018-10-07 09:53:03</v>
      </c>
    </row>
    <row r="22259" spans="1:7" x14ac:dyDescent="0.2">
      <c r="A22259" t="s">
        <v>1</v>
      </c>
      <c r="B22259" t="str">
        <f>"15098179863"</f>
        <v>15098179863</v>
      </c>
      <c r="C22259" t="s">
        <v>1</v>
      </c>
      <c r="D22259" t="s">
        <v>1</v>
      </c>
      <c r="E22259" t="s">
        <v>1</v>
      </c>
      <c r="F22259" t="s">
        <v>0</v>
      </c>
      <c r="G22259" t="str">
        <f>"2018-10-07 09:52:21"</f>
        <v>2018-10-07 09:52:21</v>
      </c>
    </row>
    <row r="22260" spans="1:7" x14ac:dyDescent="0.2">
      <c r="A22260" t="s">
        <v>20791</v>
      </c>
      <c r="B22260" t="str">
        <f>"15903460247"</f>
        <v>15903460247</v>
      </c>
      <c r="C22260" t="str">
        <f>"140421199112276825"</f>
        <v>140421199112276825</v>
      </c>
      <c r="D22260" t="s">
        <v>1</v>
      </c>
      <c r="E22260" t="s">
        <v>1</v>
      </c>
      <c r="F22260" t="s">
        <v>0</v>
      </c>
      <c r="G22260" t="str">
        <f>"2018-10-07 09:53:12"</f>
        <v>2018-10-07 09:53:12</v>
      </c>
    </row>
    <row r="22261" spans="1:7" x14ac:dyDescent="0.2">
      <c r="A22261" t="s">
        <v>20792</v>
      </c>
      <c r="B22261" t="str">
        <f>"13990519292"</f>
        <v>13990519292</v>
      </c>
      <c r="C22261" t="str">
        <f>"511002198001210019"</f>
        <v>511002198001210019</v>
      </c>
      <c r="D22261" t="s">
        <v>1</v>
      </c>
      <c r="E22261" t="s">
        <v>1</v>
      </c>
      <c r="F22261" t="s">
        <v>0</v>
      </c>
      <c r="G22261" t="str">
        <f>"2018-10-13 12:38:37"</f>
        <v>2018-10-13 12:38:37</v>
      </c>
    </row>
    <row r="22262" spans="1:7" x14ac:dyDescent="0.2">
      <c r="A22262" t="s">
        <v>1</v>
      </c>
      <c r="B22262" t="str">
        <f>"13966228536"</f>
        <v>13966228536</v>
      </c>
      <c r="C22262" t="s">
        <v>1</v>
      </c>
      <c r="D22262" t="s">
        <v>1</v>
      </c>
      <c r="E22262" t="s">
        <v>1</v>
      </c>
      <c r="F22262" t="s">
        <v>0</v>
      </c>
      <c r="G22262" t="str">
        <f>"2018-10-07 09:52:23"</f>
        <v>2018-10-07 09:52:23</v>
      </c>
    </row>
    <row r="22263" spans="1:7" x14ac:dyDescent="0.2">
      <c r="A22263" t="s">
        <v>20793</v>
      </c>
      <c r="B22263" t="str">
        <f>"13844804409"</f>
        <v>13844804409</v>
      </c>
      <c r="C22263" t="str">
        <f>"222404199610302227"</f>
        <v>222404199610302227</v>
      </c>
      <c r="D22263" t="s">
        <v>1</v>
      </c>
      <c r="E22263" t="s">
        <v>1</v>
      </c>
      <c r="F22263" t="s">
        <v>0</v>
      </c>
      <c r="G22263" t="str">
        <f>"2018-10-07 11:59:39"</f>
        <v>2018-10-07 11:59:39</v>
      </c>
    </row>
    <row r="22264" spans="1:7" x14ac:dyDescent="0.2">
      <c r="A22264" t="s">
        <v>856</v>
      </c>
      <c r="B22264" t="str">
        <f>"18140256232"</f>
        <v>18140256232</v>
      </c>
      <c r="C22264" t="str">
        <f>"511028199708280342"</f>
        <v>511028199708280342</v>
      </c>
      <c r="D22264" t="s">
        <v>20794</v>
      </c>
      <c r="E22264" t="s">
        <v>20795</v>
      </c>
      <c r="F22264" t="s">
        <v>0</v>
      </c>
      <c r="G22264" t="str">
        <f>"2018-10-14 09:16:59"</f>
        <v>2018-10-14 09:16:59</v>
      </c>
    </row>
    <row r="22265" spans="1:7" x14ac:dyDescent="0.2">
      <c r="A22265" t="s">
        <v>20796</v>
      </c>
      <c r="B22265" t="str">
        <f>"13522200664"</f>
        <v>13522200664</v>
      </c>
      <c r="C22265" t="str">
        <f>"410621199607231609"</f>
        <v>410621199607231609</v>
      </c>
      <c r="D22265" t="s">
        <v>1</v>
      </c>
      <c r="E22265" t="s">
        <v>1</v>
      </c>
      <c r="F22265" t="s">
        <v>0</v>
      </c>
      <c r="G22265" t="str">
        <f>"2018-10-07 09:51:17"</f>
        <v>2018-10-07 09:51:17</v>
      </c>
    </row>
    <row r="22266" spans="1:7" x14ac:dyDescent="0.2">
      <c r="A22266" t="s">
        <v>1</v>
      </c>
      <c r="B22266" t="str">
        <f>"13003868396"</f>
        <v>13003868396</v>
      </c>
      <c r="C22266" t="s">
        <v>1</v>
      </c>
      <c r="D22266" t="s">
        <v>1</v>
      </c>
      <c r="E22266" t="s">
        <v>1</v>
      </c>
      <c r="F22266" t="s">
        <v>0</v>
      </c>
      <c r="G22266" t="str">
        <f>"2018-10-07 09:49:36"</f>
        <v>2018-10-07 09:49:36</v>
      </c>
    </row>
    <row r="22267" spans="1:7" x14ac:dyDescent="0.2">
      <c r="A22267" t="s">
        <v>20797</v>
      </c>
      <c r="B22267" t="str">
        <f>"15978113763"</f>
        <v>15978113763</v>
      </c>
      <c r="C22267" t="str">
        <f>"452128198504024086"</f>
        <v>452128198504024086</v>
      </c>
      <c r="D22267" t="s">
        <v>20798</v>
      </c>
      <c r="E22267" t="s">
        <v>20799</v>
      </c>
      <c r="F22267" t="s">
        <v>0</v>
      </c>
      <c r="G22267" t="str">
        <f>"2018-10-07 10:34:48"</f>
        <v>2018-10-07 10:34:48</v>
      </c>
    </row>
    <row r="22268" spans="1:7" x14ac:dyDescent="0.2">
      <c r="A22268" t="s">
        <v>11013</v>
      </c>
      <c r="B22268" t="str">
        <f>"18539821699"</f>
        <v>18539821699</v>
      </c>
      <c r="C22268" t="str">
        <f>"410881198407150014"</f>
        <v>410881198407150014</v>
      </c>
      <c r="D22268" t="s">
        <v>1</v>
      </c>
      <c r="E22268" t="s">
        <v>1</v>
      </c>
      <c r="F22268" t="s">
        <v>0</v>
      </c>
      <c r="G22268" t="str">
        <f>"2018-10-07 09:50:15"</f>
        <v>2018-10-07 09:50:15</v>
      </c>
    </row>
    <row r="22269" spans="1:7" x14ac:dyDescent="0.2">
      <c r="A22269" t="s">
        <v>20800</v>
      </c>
      <c r="B22269" t="str">
        <f>"15289893857"</f>
        <v>15289893857</v>
      </c>
      <c r="C22269" t="str">
        <f>"46010419980129123X"</f>
        <v>46010419980129123X</v>
      </c>
      <c r="D22269" t="s">
        <v>20801</v>
      </c>
      <c r="E22269" t="s">
        <v>20802</v>
      </c>
      <c r="F22269" t="s">
        <v>0</v>
      </c>
      <c r="G22269" t="str">
        <f>"2018-10-07 10:15:22"</f>
        <v>2018-10-07 10:15:22</v>
      </c>
    </row>
    <row r="22270" spans="1:7" x14ac:dyDescent="0.2">
      <c r="A22270" t="s">
        <v>1538</v>
      </c>
      <c r="B22270" t="str">
        <f>"13698303444"</f>
        <v>13698303444</v>
      </c>
      <c r="C22270" t="str">
        <f>"513721198302154195"</f>
        <v>513721198302154195</v>
      </c>
      <c r="D22270" t="s">
        <v>1</v>
      </c>
      <c r="E22270" t="s">
        <v>1</v>
      </c>
      <c r="F22270" t="s">
        <v>0</v>
      </c>
      <c r="G22270" t="str">
        <f>"2018-10-07 10:30:07"</f>
        <v>2018-10-07 10:30:07</v>
      </c>
    </row>
    <row r="22271" spans="1:7" x14ac:dyDescent="0.2">
      <c r="A22271" t="s">
        <v>1</v>
      </c>
      <c r="B22271" t="str">
        <f>"18877971325"</f>
        <v>18877971325</v>
      </c>
      <c r="C22271" t="s">
        <v>1</v>
      </c>
      <c r="D22271" t="s">
        <v>1</v>
      </c>
      <c r="E22271" t="s">
        <v>1</v>
      </c>
      <c r="F22271" t="s">
        <v>0</v>
      </c>
      <c r="G22271" t="str">
        <f>"2018-10-07 09:50:04"</f>
        <v>2018-10-07 09:50:04</v>
      </c>
    </row>
    <row r="22272" spans="1:7" x14ac:dyDescent="0.2">
      <c r="A22272" t="s">
        <v>20803</v>
      </c>
      <c r="B22272" t="str">
        <f>"18675490987"</f>
        <v>18675490987</v>
      </c>
      <c r="C22272" t="str">
        <f>"445202198810097729"</f>
        <v>445202198810097729</v>
      </c>
      <c r="D22272" t="s">
        <v>20804</v>
      </c>
      <c r="E22272" t="s">
        <v>20805</v>
      </c>
      <c r="F22272" t="s">
        <v>0</v>
      </c>
      <c r="G22272" t="str">
        <f>"2018-10-08 17:03:46"</f>
        <v>2018-10-08 17:03:46</v>
      </c>
    </row>
    <row r="22273" spans="1:7" x14ac:dyDescent="0.2">
      <c r="A22273" t="s">
        <v>339</v>
      </c>
      <c r="B22273" t="str">
        <f>"17374593830"</f>
        <v>17374593830</v>
      </c>
      <c r="C22273" t="str">
        <f>"432426197704023964"</f>
        <v>432426197704023964</v>
      </c>
      <c r="D22273" t="s">
        <v>1</v>
      </c>
      <c r="E22273" t="s">
        <v>1</v>
      </c>
      <c r="F22273" t="s">
        <v>0</v>
      </c>
      <c r="G22273" t="str">
        <f>"2018-10-07 09:49:39"</f>
        <v>2018-10-07 09:49:39</v>
      </c>
    </row>
    <row r="22274" spans="1:7" x14ac:dyDescent="0.2">
      <c r="A22274" t="s">
        <v>897</v>
      </c>
      <c r="B22274" t="str">
        <f>"13166215131"</f>
        <v>13166215131</v>
      </c>
      <c r="C22274" t="str">
        <f>"360502197004181616"</f>
        <v>360502197004181616</v>
      </c>
      <c r="D22274" t="s">
        <v>20806</v>
      </c>
      <c r="E22274" t="s">
        <v>20807</v>
      </c>
      <c r="F22274" t="s">
        <v>0</v>
      </c>
      <c r="G22274" t="str">
        <f>"2018-10-07 10:46:49"</f>
        <v>2018-10-07 10:46:49</v>
      </c>
    </row>
    <row r="22275" spans="1:7" x14ac:dyDescent="0.2">
      <c r="A22275" t="s">
        <v>1</v>
      </c>
      <c r="B22275" t="str">
        <f>"17154876486"</f>
        <v>17154876486</v>
      </c>
      <c r="C22275" t="s">
        <v>1</v>
      </c>
      <c r="D22275" t="s">
        <v>1</v>
      </c>
      <c r="E22275" t="s">
        <v>1</v>
      </c>
      <c r="F22275" t="s">
        <v>0</v>
      </c>
      <c r="G22275" t="str">
        <f>"2018-10-07 09:47:13"</f>
        <v>2018-10-07 09:47:13</v>
      </c>
    </row>
    <row r="22276" spans="1:7" x14ac:dyDescent="0.2">
      <c r="A22276" t="s">
        <v>1</v>
      </c>
      <c r="B22276" t="str">
        <f>"13125367818"</f>
        <v>13125367818</v>
      </c>
      <c r="C22276" t="s">
        <v>1</v>
      </c>
      <c r="D22276" t="s">
        <v>1</v>
      </c>
      <c r="E22276" t="s">
        <v>1</v>
      </c>
      <c r="F22276" t="s">
        <v>0</v>
      </c>
      <c r="G22276" t="str">
        <f>"2018-10-07 09:49:04"</f>
        <v>2018-10-07 09:49:04</v>
      </c>
    </row>
    <row r="22277" spans="1:7" x14ac:dyDescent="0.2">
      <c r="A22277" t="s">
        <v>20808</v>
      </c>
      <c r="B22277" t="str">
        <f>"13001812878"</f>
        <v>13001812878</v>
      </c>
      <c r="C22277" t="str">
        <f>"130204198201053937"</f>
        <v>130204198201053937</v>
      </c>
      <c r="D22277" t="s">
        <v>1</v>
      </c>
      <c r="E22277" t="s">
        <v>1</v>
      </c>
      <c r="F22277" t="s">
        <v>0</v>
      </c>
      <c r="G22277" t="str">
        <f>"2018-10-07 09:48:55"</f>
        <v>2018-10-07 09:48:55</v>
      </c>
    </row>
    <row r="22278" spans="1:7" x14ac:dyDescent="0.2">
      <c r="A22278" t="s">
        <v>20809</v>
      </c>
      <c r="B22278" t="str">
        <f>"15575145760"</f>
        <v>15575145760</v>
      </c>
      <c r="C22278" t="str">
        <f>"430122199701111817"</f>
        <v>430122199701111817</v>
      </c>
      <c r="D22278" t="s">
        <v>1</v>
      </c>
      <c r="E22278" t="s">
        <v>1</v>
      </c>
      <c r="F22278" t="s">
        <v>0</v>
      </c>
      <c r="G22278" t="str">
        <f>"2018-10-07 09:47:29"</f>
        <v>2018-10-07 09:47:29</v>
      </c>
    </row>
    <row r="22279" spans="1:7" x14ac:dyDescent="0.2">
      <c r="A22279" t="s">
        <v>20810</v>
      </c>
      <c r="B22279" t="str">
        <f>"15288360291"</f>
        <v>15288360291</v>
      </c>
      <c r="C22279" t="str">
        <f>"500221199404254114"</f>
        <v>500221199404254114</v>
      </c>
      <c r="D22279" t="s">
        <v>1</v>
      </c>
      <c r="E22279" t="s">
        <v>1</v>
      </c>
      <c r="F22279" t="s">
        <v>0</v>
      </c>
      <c r="G22279" t="str">
        <f>"2018-10-07 09:49:56"</f>
        <v>2018-10-07 09:49:56</v>
      </c>
    </row>
    <row r="22280" spans="1:7" x14ac:dyDescent="0.2">
      <c r="A22280" t="s">
        <v>20811</v>
      </c>
      <c r="B22280" t="str">
        <f>"18199735005"</f>
        <v>18199735005</v>
      </c>
      <c r="C22280" t="str">
        <f>"654224199106020833"</f>
        <v>654224199106020833</v>
      </c>
      <c r="D22280" t="s">
        <v>1</v>
      </c>
      <c r="E22280" t="s">
        <v>1</v>
      </c>
      <c r="F22280" t="s">
        <v>0</v>
      </c>
      <c r="G22280" t="str">
        <f>"2018-10-07 09:48:51"</f>
        <v>2018-10-07 09:48:51</v>
      </c>
    </row>
    <row r="22281" spans="1:7" x14ac:dyDescent="0.2">
      <c r="A22281" t="s">
        <v>20812</v>
      </c>
      <c r="B22281" t="str">
        <f>"15265889855"</f>
        <v>15265889855</v>
      </c>
      <c r="C22281" t="str">
        <f>"371102198906270330"</f>
        <v>371102198906270330</v>
      </c>
      <c r="D22281" t="s">
        <v>1</v>
      </c>
      <c r="E22281" t="s">
        <v>1</v>
      </c>
      <c r="F22281" t="s">
        <v>0</v>
      </c>
      <c r="G22281" t="str">
        <f>"2018-10-07 10:29:31"</f>
        <v>2018-10-07 10:29:31</v>
      </c>
    </row>
    <row r="22282" spans="1:7" x14ac:dyDescent="0.2">
      <c r="A22282" t="s">
        <v>20813</v>
      </c>
      <c r="B22282" t="str">
        <f>"15958190401"</f>
        <v>15958190401</v>
      </c>
      <c r="C22282" t="str">
        <f>"330183199401112112"</f>
        <v>330183199401112112</v>
      </c>
      <c r="D22282" t="s">
        <v>1</v>
      </c>
      <c r="E22282" t="s">
        <v>1</v>
      </c>
      <c r="F22282" t="s">
        <v>0</v>
      </c>
      <c r="G22282" t="str">
        <f>"2018-10-07 10:03:49"</f>
        <v>2018-10-07 10:03:49</v>
      </c>
    </row>
    <row r="22283" spans="1:7" x14ac:dyDescent="0.2">
      <c r="A22283" t="s">
        <v>20814</v>
      </c>
      <c r="B22283" t="str">
        <f>"15258501610"</f>
        <v>15258501610</v>
      </c>
      <c r="C22283" t="str">
        <f>"445281199512120329"</f>
        <v>445281199512120329</v>
      </c>
      <c r="D22283" t="s">
        <v>20815</v>
      </c>
      <c r="E22283" t="s">
        <v>20816</v>
      </c>
      <c r="F22283" t="s">
        <v>0</v>
      </c>
      <c r="G22283" t="str">
        <f>"2018-10-07 09:45:24"</f>
        <v>2018-10-07 09:45:24</v>
      </c>
    </row>
    <row r="22284" spans="1:7" x14ac:dyDescent="0.2">
      <c r="A22284" t="s">
        <v>1</v>
      </c>
      <c r="B22284" t="str">
        <f>"15337222115"</f>
        <v>15337222115</v>
      </c>
      <c r="C22284" t="s">
        <v>1</v>
      </c>
      <c r="D22284" t="s">
        <v>1</v>
      </c>
      <c r="E22284" t="s">
        <v>1</v>
      </c>
      <c r="F22284" t="s">
        <v>0</v>
      </c>
      <c r="G22284" t="str">
        <f>"2018-10-07 09:46:12"</f>
        <v>2018-10-07 09:46:12</v>
      </c>
    </row>
    <row r="22285" spans="1:7" x14ac:dyDescent="0.2">
      <c r="A22285" t="s">
        <v>20817</v>
      </c>
      <c r="B22285" t="str">
        <f>"15154956387"</f>
        <v>15154956387</v>
      </c>
      <c r="C22285" t="str">
        <f>"532501199010101527"</f>
        <v>532501199010101527</v>
      </c>
      <c r="D22285" t="s">
        <v>1</v>
      </c>
      <c r="E22285" t="s">
        <v>1</v>
      </c>
      <c r="F22285" t="s">
        <v>0</v>
      </c>
      <c r="G22285" t="str">
        <f>"2018-10-07 09:46:01"</f>
        <v>2018-10-07 09:46:01</v>
      </c>
    </row>
    <row r="22286" spans="1:7" x14ac:dyDescent="0.2">
      <c r="A22286" t="s">
        <v>1</v>
      </c>
      <c r="B22286" t="str">
        <f>"13991763412"</f>
        <v>13991763412</v>
      </c>
      <c r="C22286" t="s">
        <v>1</v>
      </c>
      <c r="D22286" t="s">
        <v>1</v>
      </c>
      <c r="E22286" t="s">
        <v>1</v>
      </c>
      <c r="F22286" t="s">
        <v>0</v>
      </c>
      <c r="G22286" t="str">
        <f>"2018-10-07 09:45:08"</f>
        <v>2018-10-07 09:45:08</v>
      </c>
    </row>
    <row r="22287" spans="1:7" x14ac:dyDescent="0.2">
      <c r="A22287" t="s">
        <v>20818</v>
      </c>
      <c r="B22287" t="str">
        <f>"15650622098"</f>
        <v>15650622098</v>
      </c>
      <c r="C22287" t="str">
        <f>"41282419900912571X"</f>
        <v>41282419900912571X</v>
      </c>
      <c r="D22287" t="s">
        <v>1</v>
      </c>
      <c r="E22287" t="s">
        <v>1</v>
      </c>
      <c r="F22287" t="s">
        <v>0</v>
      </c>
      <c r="G22287" t="str">
        <f>"2018-10-07 09:46:44"</f>
        <v>2018-10-07 09:46:44</v>
      </c>
    </row>
    <row r="22288" spans="1:7" x14ac:dyDescent="0.2">
      <c r="A22288" t="s">
        <v>1</v>
      </c>
      <c r="B22288" t="str">
        <f>"15579229373"</f>
        <v>15579229373</v>
      </c>
      <c r="C22288" t="s">
        <v>1</v>
      </c>
      <c r="D22288" t="s">
        <v>1</v>
      </c>
      <c r="E22288" t="s">
        <v>1</v>
      </c>
      <c r="F22288" t="s">
        <v>0</v>
      </c>
      <c r="G22288" t="str">
        <f>"2018-10-07 09:47:21"</f>
        <v>2018-10-07 09:47:21</v>
      </c>
    </row>
    <row r="22289" spans="1:7" x14ac:dyDescent="0.2">
      <c r="A22289" t="s">
        <v>20819</v>
      </c>
      <c r="B22289" t="str">
        <f>"13465653668"</f>
        <v>13465653668</v>
      </c>
      <c r="C22289" t="str">
        <f>"370786198612105718"</f>
        <v>370786198612105718</v>
      </c>
      <c r="D22289" t="s">
        <v>1</v>
      </c>
      <c r="E22289" t="s">
        <v>1</v>
      </c>
      <c r="F22289" t="s">
        <v>0</v>
      </c>
      <c r="G22289" t="str">
        <f>"2018-10-12 13:11:34"</f>
        <v>2018-10-12 13:11:34</v>
      </c>
    </row>
    <row r="22290" spans="1:7" x14ac:dyDescent="0.2">
      <c r="A22290" t="s">
        <v>20820</v>
      </c>
      <c r="B22290" t="str">
        <f>"18824923856"</f>
        <v>18824923856</v>
      </c>
      <c r="C22290" t="str">
        <f>"431103199109287815"</f>
        <v>431103199109287815</v>
      </c>
      <c r="D22290" t="s">
        <v>20821</v>
      </c>
      <c r="E22290" t="s">
        <v>20822</v>
      </c>
      <c r="F22290" t="s">
        <v>0</v>
      </c>
      <c r="G22290" t="str">
        <f>"2018-10-07 09:44:45"</f>
        <v>2018-10-07 09:44:45</v>
      </c>
    </row>
    <row r="22291" spans="1:7" x14ac:dyDescent="0.2">
      <c r="A22291" t="s">
        <v>1</v>
      </c>
      <c r="B22291" t="str">
        <f>"18358182822"</f>
        <v>18358182822</v>
      </c>
      <c r="C22291" t="s">
        <v>1</v>
      </c>
      <c r="D22291" t="s">
        <v>1</v>
      </c>
      <c r="E22291" t="s">
        <v>1</v>
      </c>
      <c r="F22291" t="s">
        <v>0</v>
      </c>
      <c r="G22291" t="str">
        <f>"2018-10-07 09:43:31"</f>
        <v>2018-10-07 09:43:31</v>
      </c>
    </row>
    <row r="22292" spans="1:7" x14ac:dyDescent="0.2">
      <c r="A22292" t="s">
        <v>689</v>
      </c>
      <c r="B22292" t="str">
        <f>"13213249803"</f>
        <v>13213249803</v>
      </c>
      <c r="C22292" t="str">
        <f>"411381199708046331"</f>
        <v>411381199708046331</v>
      </c>
      <c r="D22292" t="s">
        <v>1</v>
      </c>
      <c r="E22292" t="s">
        <v>1</v>
      </c>
      <c r="F22292" t="s">
        <v>0</v>
      </c>
      <c r="G22292" t="str">
        <f>"2018-10-07 09:46:52"</f>
        <v>2018-10-07 09:46:52</v>
      </c>
    </row>
    <row r="22293" spans="1:7" x14ac:dyDescent="0.2">
      <c r="A22293" t="s">
        <v>20823</v>
      </c>
      <c r="B22293" t="str">
        <f>"13812087294"</f>
        <v>13812087294</v>
      </c>
      <c r="C22293" t="str">
        <f>"342401198907184931"</f>
        <v>342401198907184931</v>
      </c>
      <c r="D22293" t="s">
        <v>1</v>
      </c>
      <c r="E22293" t="s">
        <v>1</v>
      </c>
      <c r="F22293" t="s">
        <v>0</v>
      </c>
      <c r="G22293" t="str">
        <f>"2018-10-07 09:43:11"</f>
        <v>2018-10-07 09:43:11</v>
      </c>
    </row>
    <row r="22294" spans="1:7" x14ac:dyDescent="0.2">
      <c r="A22294" t="s">
        <v>1</v>
      </c>
      <c r="B22294" t="str">
        <f>"18872919227"</f>
        <v>18872919227</v>
      </c>
      <c r="C22294" t="s">
        <v>1</v>
      </c>
      <c r="D22294" t="s">
        <v>1</v>
      </c>
      <c r="E22294" t="s">
        <v>1</v>
      </c>
      <c r="F22294" t="s">
        <v>0</v>
      </c>
      <c r="G22294" t="str">
        <f>"2018-10-07 09:41:54"</f>
        <v>2018-10-07 09:41:54</v>
      </c>
    </row>
    <row r="22295" spans="1:7" x14ac:dyDescent="0.2">
      <c r="A22295" t="s">
        <v>1</v>
      </c>
      <c r="B22295" t="str">
        <f>"13814146085"</f>
        <v>13814146085</v>
      </c>
      <c r="C22295" t="s">
        <v>1</v>
      </c>
      <c r="D22295" t="s">
        <v>1</v>
      </c>
      <c r="E22295" t="s">
        <v>1</v>
      </c>
      <c r="F22295" t="s">
        <v>0</v>
      </c>
      <c r="G22295" t="str">
        <f>"2018-10-07 09:41:44"</f>
        <v>2018-10-07 09:41:44</v>
      </c>
    </row>
    <row r="22296" spans="1:7" x14ac:dyDescent="0.2">
      <c r="A22296" t="s">
        <v>1</v>
      </c>
      <c r="B22296" t="str">
        <f>"13018612997"</f>
        <v>13018612997</v>
      </c>
      <c r="C22296" t="s">
        <v>1</v>
      </c>
      <c r="D22296" t="s">
        <v>1</v>
      </c>
      <c r="E22296" t="s">
        <v>1</v>
      </c>
      <c r="F22296" t="s">
        <v>0</v>
      </c>
      <c r="G22296" t="str">
        <f>"2018-10-07 09:41:21"</f>
        <v>2018-10-07 09:41:21</v>
      </c>
    </row>
    <row r="22297" spans="1:7" x14ac:dyDescent="0.2">
      <c r="A22297" t="s">
        <v>1</v>
      </c>
      <c r="B22297" t="str">
        <f>"15719928526"</f>
        <v>15719928526</v>
      </c>
      <c r="C22297" t="s">
        <v>1</v>
      </c>
      <c r="D22297" t="s">
        <v>1</v>
      </c>
      <c r="E22297" t="s">
        <v>1</v>
      </c>
      <c r="F22297" t="s">
        <v>0</v>
      </c>
      <c r="G22297" t="str">
        <f>"2018-10-07 09:41:15"</f>
        <v>2018-10-07 09:41:15</v>
      </c>
    </row>
    <row r="22298" spans="1:7" x14ac:dyDescent="0.2">
      <c r="A22298" t="s">
        <v>20824</v>
      </c>
      <c r="B22298" t="str">
        <f>"13428289282"</f>
        <v>13428289282</v>
      </c>
      <c r="C22298" t="str">
        <f>"440781199209170545"</f>
        <v>440781199209170545</v>
      </c>
      <c r="D22298" t="s">
        <v>1</v>
      </c>
      <c r="E22298" t="s">
        <v>1</v>
      </c>
      <c r="F22298" t="s">
        <v>0</v>
      </c>
      <c r="G22298" t="str">
        <f>"2018-10-07 09:46:36"</f>
        <v>2018-10-07 09:46:36</v>
      </c>
    </row>
    <row r="22299" spans="1:7" x14ac:dyDescent="0.2">
      <c r="A22299" t="s">
        <v>20825</v>
      </c>
      <c r="B22299" t="str">
        <f>"13854959319"</f>
        <v>13854959319</v>
      </c>
      <c r="C22299" t="str">
        <f>"220281197101020097"</f>
        <v>220281197101020097</v>
      </c>
      <c r="D22299" t="s">
        <v>1</v>
      </c>
      <c r="E22299" t="s">
        <v>1</v>
      </c>
      <c r="F22299" t="s">
        <v>0</v>
      </c>
      <c r="G22299" t="str">
        <f>"2018-10-07 09:41:33"</f>
        <v>2018-10-07 09:41:33</v>
      </c>
    </row>
    <row r="22300" spans="1:7" x14ac:dyDescent="0.2">
      <c r="A22300" t="s">
        <v>1</v>
      </c>
      <c r="B22300" t="str">
        <f>"15330511916"</f>
        <v>15330511916</v>
      </c>
      <c r="C22300" t="s">
        <v>1</v>
      </c>
      <c r="D22300" t="s">
        <v>1</v>
      </c>
      <c r="E22300" t="s">
        <v>1</v>
      </c>
      <c r="F22300" t="s">
        <v>0</v>
      </c>
      <c r="G22300" t="str">
        <f>"2018-10-07 09:39:57"</f>
        <v>2018-10-07 09:39:57</v>
      </c>
    </row>
    <row r="22301" spans="1:7" x14ac:dyDescent="0.2">
      <c r="A22301" t="s">
        <v>1</v>
      </c>
      <c r="B22301" t="str">
        <f>"13155888966"</f>
        <v>13155888966</v>
      </c>
      <c r="C22301" t="s">
        <v>1</v>
      </c>
      <c r="D22301" t="s">
        <v>1</v>
      </c>
      <c r="E22301" t="s">
        <v>1</v>
      </c>
      <c r="F22301" t="s">
        <v>0</v>
      </c>
      <c r="G22301" t="str">
        <f>"2018-10-07 09:39:27"</f>
        <v>2018-10-07 09:39:27</v>
      </c>
    </row>
    <row r="22302" spans="1:7" x14ac:dyDescent="0.2">
      <c r="A22302" t="s">
        <v>20826</v>
      </c>
      <c r="B22302" t="str">
        <f>"18575528729"</f>
        <v>18575528729</v>
      </c>
      <c r="C22302" t="str">
        <f>"642226198311300011"</f>
        <v>642226198311300011</v>
      </c>
      <c r="D22302" t="s">
        <v>1</v>
      </c>
      <c r="E22302" t="s">
        <v>1</v>
      </c>
      <c r="F22302" t="s">
        <v>0</v>
      </c>
      <c r="G22302" t="str">
        <f>"2018-10-07 09:39:16"</f>
        <v>2018-10-07 09:39:16</v>
      </c>
    </row>
    <row r="22303" spans="1:7" x14ac:dyDescent="0.2">
      <c r="A22303" t="s">
        <v>20827</v>
      </c>
      <c r="B22303" t="str">
        <f>"13739933309"</f>
        <v>13739933309</v>
      </c>
      <c r="C22303" t="str">
        <f>"150421198912164968"</f>
        <v>150421198912164968</v>
      </c>
      <c r="D22303" t="s">
        <v>1</v>
      </c>
      <c r="E22303" t="s">
        <v>1</v>
      </c>
      <c r="F22303" t="s">
        <v>0</v>
      </c>
      <c r="G22303" t="str">
        <f>"2018-10-07 09:40:24"</f>
        <v>2018-10-07 09:40:24</v>
      </c>
    </row>
    <row r="22304" spans="1:7" x14ac:dyDescent="0.2">
      <c r="A22304" t="s">
        <v>20828</v>
      </c>
      <c r="B22304" t="str">
        <f>"15079002711"</f>
        <v>15079002711</v>
      </c>
      <c r="C22304" t="str">
        <f>"362502199106054010"</f>
        <v>362502199106054010</v>
      </c>
      <c r="D22304" t="s">
        <v>1</v>
      </c>
      <c r="E22304" t="s">
        <v>1</v>
      </c>
      <c r="F22304" t="s">
        <v>0</v>
      </c>
      <c r="G22304" t="str">
        <f>"2018-10-15 18:21:16"</f>
        <v>2018-10-15 18:21:16</v>
      </c>
    </row>
    <row r="22305" spans="1:7" x14ac:dyDescent="0.2">
      <c r="A22305" t="s">
        <v>1</v>
      </c>
      <c r="B22305" t="str">
        <f>"15912213043"</f>
        <v>15912213043</v>
      </c>
      <c r="C22305" t="s">
        <v>1</v>
      </c>
      <c r="D22305" t="s">
        <v>1</v>
      </c>
      <c r="E22305" t="s">
        <v>1</v>
      </c>
      <c r="F22305" t="s">
        <v>0</v>
      </c>
      <c r="G22305" t="str">
        <f>"2018-10-07 09:38:59"</f>
        <v>2018-10-07 09:38:59</v>
      </c>
    </row>
    <row r="22306" spans="1:7" x14ac:dyDescent="0.2">
      <c r="A22306" t="s">
        <v>789</v>
      </c>
      <c r="B22306" t="str">
        <f>"18032532729"</f>
        <v>18032532729</v>
      </c>
      <c r="C22306" t="str">
        <f>"130221198912130114"</f>
        <v>130221198912130114</v>
      </c>
      <c r="D22306" t="s">
        <v>1</v>
      </c>
      <c r="E22306" t="s">
        <v>1</v>
      </c>
      <c r="F22306" t="s">
        <v>0</v>
      </c>
      <c r="G22306" t="str">
        <f>"2018-10-07 09:42:47"</f>
        <v>2018-10-07 09:42:47</v>
      </c>
    </row>
    <row r="22307" spans="1:7" x14ac:dyDescent="0.2">
      <c r="A22307" t="s">
        <v>20829</v>
      </c>
      <c r="B22307" t="str">
        <f>"15572774015"</f>
        <v>15572774015</v>
      </c>
      <c r="C22307" t="str">
        <f>"630103199212010036"</f>
        <v>630103199212010036</v>
      </c>
      <c r="D22307" t="s">
        <v>1</v>
      </c>
      <c r="E22307" t="s">
        <v>1</v>
      </c>
      <c r="F22307" t="s">
        <v>0</v>
      </c>
      <c r="G22307" t="str">
        <f>"2018-10-07 09:54:53"</f>
        <v>2018-10-07 09:54:53</v>
      </c>
    </row>
    <row r="22308" spans="1:7" x14ac:dyDescent="0.2">
      <c r="A22308" t="s">
        <v>20830</v>
      </c>
      <c r="B22308" t="str">
        <f>"15546330433"</f>
        <v>15546330433</v>
      </c>
      <c r="C22308" t="str">
        <f>"232102199006181919"</f>
        <v>232102199006181919</v>
      </c>
      <c r="D22308" t="s">
        <v>20831</v>
      </c>
      <c r="E22308" t="s">
        <v>20832</v>
      </c>
      <c r="F22308" t="s">
        <v>0</v>
      </c>
      <c r="G22308" t="str">
        <f>"2018-10-07 09:37:19"</f>
        <v>2018-10-07 09:37:19</v>
      </c>
    </row>
    <row r="22309" spans="1:7" x14ac:dyDescent="0.2">
      <c r="A22309" t="s">
        <v>1</v>
      </c>
      <c r="B22309" t="str">
        <f>"18302541469"</f>
        <v>18302541469</v>
      </c>
      <c r="C22309" t="s">
        <v>1</v>
      </c>
      <c r="D22309" t="s">
        <v>1</v>
      </c>
      <c r="E22309" t="s">
        <v>1</v>
      </c>
      <c r="F22309" t="s">
        <v>0</v>
      </c>
      <c r="G22309" t="str">
        <f>"2018-10-07 09:35:59"</f>
        <v>2018-10-07 09:35:59</v>
      </c>
    </row>
    <row r="22310" spans="1:7" x14ac:dyDescent="0.2">
      <c r="A22310" t="s">
        <v>20833</v>
      </c>
      <c r="B22310" t="str">
        <f>"18725516032"</f>
        <v>18725516032</v>
      </c>
      <c r="C22310" t="str">
        <f>"340123199610245806"</f>
        <v>340123199610245806</v>
      </c>
      <c r="D22310" t="s">
        <v>1</v>
      </c>
      <c r="E22310" t="s">
        <v>1</v>
      </c>
      <c r="F22310" t="s">
        <v>0</v>
      </c>
      <c r="G22310" t="str">
        <f>"2018-10-23 15:08:22"</f>
        <v>2018-10-23 15:08:22</v>
      </c>
    </row>
    <row r="22311" spans="1:7" x14ac:dyDescent="0.2">
      <c r="A22311" t="s">
        <v>1</v>
      </c>
      <c r="B22311" t="str">
        <f>"15019267396"</f>
        <v>15019267396</v>
      </c>
      <c r="C22311" t="s">
        <v>1</v>
      </c>
      <c r="D22311" t="s">
        <v>1</v>
      </c>
      <c r="E22311" t="s">
        <v>1</v>
      </c>
      <c r="F22311" t="s">
        <v>0</v>
      </c>
      <c r="G22311" t="str">
        <f>"2018-10-07 09:34:35"</f>
        <v>2018-10-07 09:34:35</v>
      </c>
    </row>
    <row r="22312" spans="1:7" x14ac:dyDescent="0.2">
      <c r="A22312" t="s">
        <v>20834</v>
      </c>
      <c r="B22312" t="str">
        <f>"15049424747"</f>
        <v>15049424747</v>
      </c>
      <c r="C22312" t="str">
        <f>"152827198602054220"</f>
        <v>152827198602054220</v>
      </c>
      <c r="D22312" t="s">
        <v>20835</v>
      </c>
      <c r="E22312" t="s">
        <v>20836</v>
      </c>
      <c r="F22312" t="s">
        <v>0</v>
      </c>
      <c r="G22312" t="str">
        <f>"2018-10-20 13:27:34"</f>
        <v>2018-10-20 13:27:34</v>
      </c>
    </row>
    <row r="22313" spans="1:7" x14ac:dyDescent="0.2">
      <c r="A22313" t="s">
        <v>1</v>
      </c>
      <c r="B22313" t="str">
        <f>"13276843844"</f>
        <v>13276843844</v>
      </c>
      <c r="C22313" t="s">
        <v>1</v>
      </c>
      <c r="D22313" t="s">
        <v>1</v>
      </c>
      <c r="E22313" t="s">
        <v>1</v>
      </c>
      <c r="F22313" t="s">
        <v>0</v>
      </c>
      <c r="G22313" t="str">
        <f>"2018-10-07 09:33:41"</f>
        <v>2018-10-07 09:33:41</v>
      </c>
    </row>
    <row r="22314" spans="1:7" x14ac:dyDescent="0.2">
      <c r="A22314" t="s">
        <v>1</v>
      </c>
      <c r="B22314" t="str">
        <f>"18260915302"</f>
        <v>18260915302</v>
      </c>
      <c r="C22314" t="s">
        <v>1</v>
      </c>
      <c r="D22314" t="s">
        <v>1</v>
      </c>
      <c r="E22314" t="s">
        <v>1</v>
      </c>
      <c r="F22314" t="s">
        <v>0</v>
      </c>
      <c r="G22314" t="str">
        <f>"2018-10-07 09:33:02"</f>
        <v>2018-10-07 09:33:02</v>
      </c>
    </row>
    <row r="22315" spans="1:7" x14ac:dyDescent="0.2">
      <c r="A22315" t="s">
        <v>1</v>
      </c>
      <c r="B22315" t="str">
        <f>"15178409799"</f>
        <v>15178409799</v>
      </c>
      <c r="C22315" t="s">
        <v>1</v>
      </c>
      <c r="D22315" t="s">
        <v>1</v>
      </c>
      <c r="E22315" t="s">
        <v>1</v>
      </c>
      <c r="F22315" t="s">
        <v>0</v>
      </c>
      <c r="G22315" t="str">
        <f>"2018-10-07 09:31:30"</f>
        <v>2018-10-07 09:31:30</v>
      </c>
    </row>
    <row r="22316" spans="1:7" x14ac:dyDescent="0.2">
      <c r="A22316" t="s">
        <v>20837</v>
      </c>
      <c r="B22316" t="str">
        <f>"15621206969"</f>
        <v>15621206969</v>
      </c>
      <c r="C22316" t="str">
        <f>"320925199106264533"</f>
        <v>320925199106264533</v>
      </c>
      <c r="D22316" t="s">
        <v>1</v>
      </c>
      <c r="E22316" t="s">
        <v>1</v>
      </c>
      <c r="F22316" t="s">
        <v>0</v>
      </c>
      <c r="G22316" t="str">
        <f>"2018-10-07 09:33:01"</f>
        <v>2018-10-07 09:33:01</v>
      </c>
    </row>
    <row r="22317" spans="1:7" x14ac:dyDescent="0.2">
      <c r="A22317" t="s">
        <v>1</v>
      </c>
      <c r="B22317" t="str">
        <f>"18359295157"</f>
        <v>18359295157</v>
      </c>
      <c r="C22317" t="s">
        <v>1</v>
      </c>
      <c r="D22317" t="s">
        <v>1</v>
      </c>
      <c r="E22317" t="s">
        <v>1</v>
      </c>
      <c r="F22317" t="s">
        <v>0</v>
      </c>
      <c r="G22317" t="str">
        <f>"2018-10-07 09:31:24"</f>
        <v>2018-10-07 09:31:24</v>
      </c>
    </row>
    <row r="22318" spans="1:7" x14ac:dyDescent="0.2">
      <c r="A22318" t="s">
        <v>20838</v>
      </c>
      <c r="B22318" t="str">
        <f>"15514793692"</f>
        <v>15514793692</v>
      </c>
      <c r="C22318" t="str">
        <f>"410822199111114510"</f>
        <v>410822199111114510</v>
      </c>
      <c r="D22318" t="s">
        <v>1</v>
      </c>
      <c r="E22318" t="s">
        <v>1</v>
      </c>
      <c r="F22318" t="s">
        <v>0</v>
      </c>
      <c r="G22318" t="str">
        <f>"2018-10-07 10:01:14"</f>
        <v>2018-10-07 10:01:14</v>
      </c>
    </row>
    <row r="22319" spans="1:7" x14ac:dyDescent="0.2">
      <c r="A22319" t="s">
        <v>1</v>
      </c>
      <c r="B22319" t="str">
        <f>"13297977708"</f>
        <v>13297977708</v>
      </c>
      <c r="C22319" t="s">
        <v>1</v>
      </c>
      <c r="D22319" t="s">
        <v>1</v>
      </c>
      <c r="E22319" t="s">
        <v>1</v>
      </c>
      <c r="F22319" t="s">
        <v>0</v>
      </c>
      <c r="G22319" t="str">
        <f>"2018-10-07 09:30:49"</f>
        <v>2018-10-07 09:30:49</v>
      </c>
    </row>
    <row r="22320" spans="1:7" x14ac:dyDescent="0.2">
      <c r="A22320" t="s">
        <v>1485</v>
      </c>
      <c r="B22320" t="str">
        <f>"13727997248"</f>
        <v>13727997248</v>
      </c>
      <c r="C22320" t="str">
        <f>"445121198711205636"</f>
        <v>445121198711205636</v>
      </c>
      <c r="D22320" t="s">
        <v>1</v>
      </c>
      <c r="E22320" t="s">
        <v>1</v>
      </c>
      <c r="F22320" t="s">
        <v>0</v>
      </c>
      <c r="G22320" t="str">
        <f>"2018-10-30 17:06:55"</f>
        <v>2018-10-30 17:06:55</v>
      </c>
    </row>
    <row r="22321" spans="1:7" x14ac:dyDescent="0.2">
      <c r="A22321" t="s">
        <v>20839</v>
      </c>
      <c r="B22321" t="str">
        <f>"13850092343"</f>
        <v>13850092343</v>
      </c>
      <c r="C22321" t="str">
        <f>"350427197801220016"</f>
        <v>350427197801220016</v>
      </c>
      <c r="D22321" t="s">
        <v>1</v>
      </c>
      <c r="E22321" t="s">
        <v>1</v>
      </c>
      <c r="F22321" t="s">
        <v>0</v>
      </c>
      <c r="G22321" t="str">
        <f>"2018-10-07 09:32:25"</f>
        <v>2018-10-07 09:32:25</v>
      </c>
    </row>
    <row r="22322" spans="1:7" x14ac:dyDescent="0.2">
      <c r="A22322" t="s">
        <v>20840</v>
      </c>
      <c r="B22322" t="str">
        <f>"15563356677"</f>
        <v>15563356677</v>
      </c>
      <c r="C22322" t="str">
        <f>"37011219840215205X"</f>
        <v>37011219840215205X</v>
      </c>
      <c r="D22322" t="s">
        <v>20841</v>
      </c>
      <c r="E22322" t="s">
        <v>20842</v>
      </c>
      <c r="F22322" t="s">
        <v>0</v>
      </c>
      <c r="G22322" t="str">
        <f>"2018-10-07 09:33:38"</f>
        <v>2018-10-07 09:33:38</v>
      </c>
    </row>
    <row r="22323" spans="1:7" x14ac:dyDescent="0.2">
      <c r="A22323" t="s">
        <v>20843</v>
      </c>
      <c r="B22323" t="str">
        <f>"18190871377"</f>
        <v>18190871377</v>
      </c>
      <c r="C22323" t="str">
        <f>"510623199111215919"</f>
        <v>510623199111215919</v>
      </c>
      <c r="D22323" t="s">
        <v>20844</v>
      </c>
      <c r="E22323" t="s">
        <v>20845</v>
      </c>
      <c r="F22323" t="s">
        <v>0</v>
      </c>
      <c r="G22323" t="str">
        <f>"2018-10-09 16:04:56"</f>
        <v>2018-10-09 16:04:56</v>
      </c>
    </row>
    <row r="22324" spans="1:7" x14ac:dyDescent="0.2">
      <c r="A22324" t="s">
        <v>20846</v>
      </c>
      <c r="B22324" t="str">
        <f>"18635450902"</f>
        <v>18635450902</v>
      </c>
      <c r="C22324" t="str">
        <f>"142401199412151430"</f>
        <v>142401199412151430</v>
      </c>
      <c r="D22324" t="s">
        <v>1</v>
      </c>
      <c r="E22324" t="s">
        <v>1</v>
      </c>
      <c r="F22324" t="s">
        <v>0</v>
      </c>
      <c r="G22324" t="str">
        <f>"2018-10-07 09:30:50"</f>
        <v>2018-10-07 09:30:50</v>
      </c>
    </row>
    <row r="22325" spans="1:7" x14ac:dyDescent="0.2">
      <c r="A22325" t="s">
        <v>1</v>
      </c>
      <c r="B22325" t="str">
        <f>"13887320919"</f>
        <v>13887320919</v>
      </c>
      <c r="C22325" t="s">
        <v>1</v>
      </c>
      <c r="D22325" t="s">
        <v>1</v>
      </c>
      <c r="E22325" t="s">
        <v>1</v>
      </c>
      <c r="F22325" t="s">
        <v>0</v>
      </c>
      <c r="G22325" t="str">
        <f>"2018-10-07 09:28:29"</f>
        <v>2018-10-07 09:28:29</v>
      </c>
    </row>
    <row r="22326" spans="1:7" x14ac:dyDescent="0.2">
      <c r="A22326" t="s">
        <v>1</v>
      </c>
      <c r="B22326" t="str">
        <f>"13678517234"</f>
        <v>13678517234</v>
      </c>
      <c r="C22326" t="s">
        <v>1</v>
      </c>
      <c r="D22326" t="s">
        <v>1</v>
      </c>
      <c r="E22326" t="s">
        <v>1</v>
      </c>
      <c r="F22326" t="s">
        <v>0</v>
      </c>
      <c r="G22326" t="str">
        <f>"2018-10-07 09:28:04"</f>
        <v>2018-10-07 09:28:04</v>
      </c>
    </row>
    <row r="22327" spans="1:7" x14ac:dyDescent="0.2">
      <c r="A22327" t="s">
        <v>20847</v>
      </c>
      <c r="B22327" t="str">
        <f>"18972468389"</f>
        <v>18972468389</v>
      </c>
      <c r="C22327" t="str">
        <f>"422623196806165432"</f>
        <v>422623196806165432</v>
      </c>
      <c r="D22327" t="s">
        <v>1</v>
      </c>
      <c r="E22327" t="s">
        <v>1</v>
      </c>
      <c r="F22327" t="s">
        <v>0</v>
      </c>
      <c r="G22327" t="str">
        <f>"2018-10-07 10:30:30"</f>
        <v>2018-10-07 10:30:30</v>
      </c>
    </row>
    <row r="22328" spans="1:7" x14ac:dyDescent="0.2">
      <c r="A22328" t="s">
        <v>1</v>
      </c>
      <c r="B22328" t="str">
        <f>"13106414572"</f>
        <v>13106414572</v>
      </c>
      <c r="C22328" t="s">
        <v>1</v>
      </c>
      <c r="D22328" t="s">
        <v>1</v>
      </c>
      <c r="E22328" t="s">
        <v>1</v>
      </c>
      <c r="F22328" t="s">
        <v>0</v>
      </c>
      <c r="G22328" t="str">
        <f>"2018-10-07 09:27:41"</f>
        <v>2018-10-07 09:27:41</v>
      </c>
    </row>
    <row r="22329" spans="1:7" x14ac:dyDescent="0.2">
      <c r="A22329" t="s">
        <v>20848</v>
      </c>
      <c r="B22329" t="str">
        <f>"18080674844"</f>
        <v>18080674844</v>
      </c>
      <c r="C22329" t="str">
        <f>"511126198702283719"</f>
        <v>511126198702283719</v>
      </c>
      <c r="D22329" t="s">
        <v>20849</v>
      </c>
      <c r="E22329" t="s">
        <v>20850</v>
      </c>
      <c r="F22329" t="s">
        <v>0</v>
      </c>
      <c r="G22329" t="str">
        <f>"2018-10-07 09:28:56"</f>
        <v>2018-10-07 09:28:56</v>
      </c>
    </row>
    <row r="22330" spans="1:7" x14ac:dyDescent="0.2">
      <c r="A22330" t="s">
        <v>1</v>
      </c>
      <c r="B22330" t="str">
        <f>"17707167777"</f>
        <v>17707167777</v>
      </c>
      <c r="C22330" t="s">
        <v>1</v>
      </c>
      <c r="D22330" t="s">
        <v>1</v>
      </c>
      <c r="E22330" t="s">
        <v>1</v>
      </c>
      <c r="F22330" t="s">
        <v>0</v>
      </c>
      <c r="G22330" t="str">
        <f>"2018-10-08 03:02:04"</f>
        <v>2018-10-08 03:02:04</v>
      </c>
    </row>
    <row r="22331" spans="1:7" x14ac:dyDescent="0.2">
      <c r="A22331" t="s">
        <v>20851</v>
      </c>
      <c r="B22331" t="str">
        <f>"13416688772"</f>
        <v>13416688772</v>
      </c>
      <c r="C22331" t="str">
        <f>"432522198905217057"</f>
        <v>432522198905217057</v>
      </c>
      <c r="D22331" t="s">
        <v>1</v>
      </c>
      <c r="E22331" t="s">
        <v>1</v>
      </c>
      <c r="F22331" t="s">
        <v>0</v>
      </c>
      <c r="G22331" t="str">
        <f>"2018-10-07 09:30:39"</f>
        <v>2018-10-07 09:30:39</v>
      </c>
    </row>
    <row r="22332" spans="1:7" x14ac:dyDescent="0.2">
      <c r="A22332" t="s">
        <v>20852</v>
      </c>
      <c r="B22332" t="str">
        <f>"18345850898"</f>
        <v>18345850898</v>
      </c>
      <c r="C22332" t="str">
        <f>"230522198211141060"</f>
        <v>230522198211141060</v>
      </c>
      <c r="D22332" t="s">
        <v>1</v>
      </c>
      <c r="E22332" t="s">
        <v>1</v>
      </c>
      <c r="F22332" t="s">
        <v>0</v>
      </c>
      <c r="G22332" t="str">
        <f>"2018-10-07 09:26:44"</f>
        <v>2018-10-07 09:26:44</v>
      </c>
    </row>
    <row r="22333" spans="1:7" x14ac:dyDescent="0.2">
      <c r="A22333" t="s">
        <v>1</v>
      </c>
      <c r="B22333" t="str">
        <f>"13163832116"</f>
        <v>13163832116</v>
      </c>
      <c r="C22333" t="s">
        <v>1</v>
      </c>
      <c r="D22333" t="s">
        <v>1</v>
      </c>
      <c r="E22333" t="s">
        <v>1</v>
      </c>
      <c r="F22333" t="s">
        <v>0</v>
      </c>
      <c r="G22333" t="str">
        <f>"2018-10-07 09:26:43"</f>
        <v>2018-10-07 09:26:43</v>
      </c>
    </row>
    <row r="22334" spans="1:7" x14ac:dyDescent="0.2">
      <c r="A22334" t="s">
        <v>1</v>
      </c>
      <c r="B22334" t="str">
        <f>"15730545660"</f>
        <v>15730545660</v>
      </c>
      <c r="C22334" t="s">
        <v>1</v>
      </c>
      <c r="D22334" t="s">
        <v>1</v>
      </c>
      <c r="E22334" t="s">
        <v>1</v>
      </c>
      <c r="F22334" t="s">
        <v>0</v>
      </c>
      <c r="G22334" t="str">
        <f>"2018-10-07 09:26:37"</f>
        <v>2018-10-07 09:26:37</v>
      </c>
    </row>
    <row r="22335" spans="1:7" x14ac:dyDescent="0.2">
      <c r="A22335" t="s">
        <v>73</v>
      </c>
      <c r="B22335" t="str">
        <f>"13544264557"</f>
        <v>13544264557</v>
      </c>
      <c r="C22335" t="str">
        <f>"362203199012096826"</f>
        <v>362203199012096826</v>
      </c>
      <c r="D22335" t="s">
        <v>1</v>
      </c>
      <c r="E22335" t="s">
        <v>1</v>
      </c>
      <c r="F22335" t="s">
        <v>0</v>
      </c>
      <c r="G22335" t="str">
        <f>"2018-10-07 09:42:12"</f>
        <v>2018-10-07 09:42:12</v>
      </c>
    </row>
    <row r="22336" spans="1:7" x14ac:dyDescent="0.2">
      <c r="A22336" t="s">
        <v>20853</v>
      </c>
      <c r="B22336" t="str">
        <f>"15028966413"</f>
        <v>15028966413</v>
      </c>
      <c r="C22336" t="str">
        <f>"132624197909155917"</f>
        <v>132624197909155917</v>
      </c>
      <c r="D22336" t="s">
        <v>20854</v>
      </c>
      <c r="E22336" t="s">
        <v>20855</v>
      </c>
      <c r="F22336" t="s">
        <v>0</v>
      </c>
      <c r="G22336" t="str">
        <f>"2018-10-07 09:26:11"</f>
        <v>2018-10-07 09:26:11</v>
      </c>
    </row>
    <row r="22337" spans="1:7" x14ac:dyDescent="0.2">
      <c r="A22337" t="s">
        <v>20856</v>
      </c>
      <c r="B22337" t="str">
        <f>"18661680076"</f>
        <v>18661680076</v>
      </c>
      <c r="C22337" t="str">
        <f>"370284198702180092"</f>
        <v>370284198702180092</v>
      </c>
      <c r="D22337" t="s">
        <v>20857</v>
      </c>
      <c r="E22337" t="s">
        <v>20858</v>
      </c>
      <c r="F22337" t="s">
        <v>0</v>
      </c>
      <c r="G22337" t="str">
        <f>"2018-10-07 09:24:35"</f>
        <v>2018-10-07 09:24:35</v>
      </c>
    </row>
    <row r="22338" spans="1:7" x14ac:dyDescent="0.2">
      <c r="A22338" t="s">
        <v>20859</v>
      </c>
      <c r="B22338" t="str">
        <f>"17681648803"</f>
        <v>17681648803</v>
      </c>
      <c r="C22338" t="str">
        <f>"522324199801204831"</f>
        <v>522324199801204831</v>
      </c>
      <c r="D22338" t="s">
        <v>1</v>
      </c>
      <c r="E22338" t="s">
        <v>1</v>
      </c>
      <c r="F22338" t="s">
        <v>0</v>
      </c>
      <c r="G22338" t="str">
        <f>"2018-10-07 09:27:50"</f>
        <v>2018-10-07 09:27:50</v>
      </c>
    </row>
    <row r="22339" spans="1:7" x14ac:dyDescent="0.2">
      <c r="A22339" t="s">
        <v>18824</v>
      </c>
      <c r="B22339" t="str">
        <f>"13313871123"</f>
        <v>13313871123</v>
      </c>
      <c r="C22339" t="str">
        <f>"350582199505133275"</f>
        <v>350582199505133275</v>
      </c>
      <c r="D22339" t="s">
        <v>1</v>
      </c>
      <c r="E22339" t="s">
        <v>1</v>
      </c>
      <c r="F22339" t="s">
        <v>0</v>
      </c>
      <c r="G22339" t="str">
        <f>"2018-10-07 09:27:27"</f>
        <v>2018-10-07 09:27:27</v>
      </c>
    </row>
    <row r="22340" spans="1:7" x14ac:dyDescent="0.2">
      <c r="A22340" t="s">
        <v>1</v>
      </c>
      <c r="B22340" t="str">
        <f>"13980701317"</f>
        <v>13980701317</v>
      </c>
      <c r="C22340" t="s">
        <v>1</v>
      </c>
      <c r="D22340" t="s">
        <v>1</v>
      </c>
      <c r="E22340" t="s">
        <v>1</v>
      </c>
      <c r="F22340" t="s">
        <v>0</v>
      </c>
      <c r="G22340" t="str">
        <f>"2018-10-07 09:24:07"</f>
        <v>2018-10-07 09:24:07</v>
      </c>
    </row>
    <row r="22341" spans="1:7" x14ac:dyDescent="0.2">
      <c r="A22341" t="s">
        <v>1</v>
      </c>
      <c r="B22341" t="str">
        <f>"13806758005"</f>
        <v>13806758005</v>
      </c>
      <c r="C22341" t="s">
        <v>1</v>
      </c>
      <c r="D22341" t="s">
        <v>1</v>
      </c>
      <c r="E22341" t="s">
        <v>1</v>
      </c>
      <c r="F22341" t="s">
        <v>0</v>
      </c>
      <c r="G22341" t="str">
        <f>"2018-10-07 09:23:54"</f>
        <v>2018-10-07 09:23:54</v>
      </c>
    </row>
    <row r="22342" spans="1:7" x14ac:dyDescent="0.2">
      <c r="A22342" t="s">
        <v>20860</v>
      </c>
      <c r="B22342" t="str">
        <f>"13850846583"</f>
        <v>13850846583</v>
      </c>
      <c r="C22342" t="str">
        <f>"350425197912172915"</f>
        <v>350425197912172915</v>
      </c>
      <c r="D22342" t="s">
        <v>1</v>
      </c>
      <c r="E22342" t="s">
        <v>1</v>
      </c>
      <c r="F22342" t="s">
        <v>0</v>
      </c>
      <c r="G22342" t="str">
        <f>"2018-10-07 09:25:04"</f>
        <v>2018-10-07 09:25:04</v>
      </c>
    </row>
    <row r="22343" spans="1:7" x14ac:dyDescent="0.2">
      <c r="A22343" t="s">
        <v>20861</v>
      </c>
      <c r="B22343" t="str">
        <f>"17635768082"</f>
        <v>17635768082</v>
      </c>
      <c r="C22343" t="str">
        <f>"140321199206250911"</f>
        <v>140321199206250911</v>
      </c>
      <c r="D22343" t="s">
        <v>1</v>
      </c>
      <c r="E22343" t="s">
        <v>1</v>
      </c>
      <c r="F22343" t="s">
        <v>0</v>
      </c>
      <c r="G22343" t="str">
        <f>"2018-10-07 09:23:17"</f>
        <v>2018-10-07 09:23:17</v>
      </c>
    </row>
    <row r="22344" spans="1:7" x14ac:dyDescent="0.2">
      <c r="A22344" t="s">
        <v>1</v>
      </c>
      <c r="B22344" t="str">
        <f>"15640146361"</f>
        <v>15640146361</v>
      </c>
      <c r="C22344" t="s">
        <v>1</v>
      </c>
      <c r="D22344" t="s">
        <v>1</v>
      </c>
      <c r="E22344" t="s">
        <v>1</v>
      </c>
      <c r="F22344" t="s">
        <v>0</v>
      </c>
      <c r="G22344" t="str">
        <f>"2018-10-07 09:22:59"</f>
        <v>2018-10-07 09:22:59</v>
      </c>
    </row>
    <row r="22345" spans="1:7" x14ac:dyDescent="0.2">
      <c r="A22345" t="s">
        <v>1</v>
      </c>
      <c r="B22345" t="str">
        <f>"15290818798"</f>
        <v>15290818798</v>
      </c>
      <c r="C22345" t="s">
        <v>1</v>
      </c>
      <c r="D22345" t="s">
        <v>1</v>
      </c>
      <c r="E22345" t="s">
        <v>1</v>
      </c>
      <c r="F22345" t="s">
        <v>0</v>
      </c>
      <c r="G22345" t="str">
        <f>"2018-10-07 09:22:03"</f>
        <v>2018-10-07 09:22:03</v>
      </c>
    </row>
    <row r="22346" spans="1:7" x14ac:dyDescent="0.2">
      <c r="A22346" t="s">
        <v>1</v>
      </c>
      <c r="B22346" t="str">
        <f>"13840408740"</f>
        <v>13840408740</v>
      </c>
      <c r="C22346" t="s">
        <v>1</v>
      </c>
      <c r="D22346" t="s">
        <v>1</v>
      </c>
      <c r="E22346" t="s">
        <v>1</v>
      </c>
      <c r="F22346" t="s">
        <v>0</v>
      </c>
      <c r="G22346" t="str">
        <f>"2018-10-07 09:21:51"</f>
        <v>2018-10-07 09:21:51</v>
      </c>
    </row>
    <row r="22347" spans="1:7" x14ac:dyDescent="0.2">
      <c r="A22347" t="s">
        <v>20862</v>
      </c>
      <c r="B22347" t="str">
        <f>"15922639913"</f>
        <v>15922639913</v>
      </c>
      <c r="C22347" t="str">
        <f>"500107199104231612"</f>
        <v>500107199104231612</v>
      </c>
      <c r="D22347" t="s">
        <v>1</v>
      </c>
      <c r="E22347" t="s">
        <v>1</v>
      </c>
      <c r="F22347" t="s">
        <v>0</v>
      </c>
      <c r="G22347" t="str">
        <f>"2018-10-07 09:28:52"</f>
        <v>2018-10-07 09:28:52</v>
      </c>
    </row>
    <row r="22348" spans="1:7" x14ac:dyDescent="0.2">
      <c r="A22348" t="s">
        <v>1</v>
      </c>
      <c r="B22348" t="str">
        <f>"18858304735"</f>
        <v>18858304735</v>
      </c>
      <c r="C22348" t="s">
        <v>1</v>
      </c>
      <c r="D22348" t="s">
        <v>1</v>
      </c>
      <c r="E22348" t="s">
        <v>1</v>
      </c>
      <c r="F22348" t="s">
        <v>0</v>
      </c>
      <c r="G22348" t="str">
        <f>"2018-10-07 09:24:08"</f>
        <v>2018-10-07 09:24:08</v>
      </c>
    </row>
    <row r="22349" spans="1:7" x14ac:dyDescent="0.2">
      <c r="A22349" t="s">
        <v>20863</v>
      </c>
      <c r="B22349" t="str">
        <f>"18998082422"</f>
        <v>18998082422</v>
      </c>
      <c r="C22349" t="str">
        <f>"440785199109084629"</f>
        <v>440785199109084629</v>
      </c>
      <c r="D22349" t="s">
        <v>20864</v>
      </c>
      <c r="E22349" t="s">
        <v>20865</v>
      </c>
      <c r="F22349" t="s">
        <v>0</v>
      </c>
      <c r="G22349" t="str">
        <f>"2018-10-07 09:26:39"</f>
        <v>2018-10-07 09:26:39</v>
      </c>
    </row>
    <row r="22350" spans="1:7" x14ac:dyDescent="0.2">
      <c r="A22350" t="s">
        <v>20866</v>
      </c>
      <c r="B22350" t="str">
        <f>"13934135509"</f>
        <v>13934135509</v>
      </c>
      <c r="C22350" t="str">
        <f>"140106196507151935"</f>
        <v>140106196507151935</v>
      </c>
      <c r="D22350" t="s">
        <v>1</v>
      </c>
      <c r="E22350" t="s">
        <v>1</v>
      </c>
      <c r="F22350" t="s">
        <v>0</v>
      </c>
      <c r="G22350" t="str">
        <f>"2018-10-07 09:20:53"</f>
        <v>2018-10-07 09:20:53</v>
      </c>
    </row>
    <row r="22351" spans="1:7" x14ac:dyDescent="0.2">
      <c r="A22351" t="s">
        <v>1</v>
      </c>
      <c r="B22351" t="str">
        <f>"13799194033"</f>
        <v>13799194033</v>
      </c>
      <c r="C22351" t="s">
        <v>1</v>
      </c>
      <c r="D22351" t="s">
        <v>1</v>
      </c>
      <c r="E22351" t="s">
        <v>1</v>
      </c>
      <c r="F22351" t="s">
        <v>0</v>
      </c>
      <c r="G22351" t="str">
        <f>"2018-10-07 09:20:17"</f>
        <v>2018-10-07 09:20:17</v>
      </c>
    </row>
    <row r="22352" spans="1:7" x14ac:dyDescent="0.2">
      <c r="A22352" t="s">
        <v>20867</v>
      </c>
      <c r="B22352" t="str">
        <f>"18655235638"</f>
        <v>18655235638</v>
      </c>
      <c r="C22352" t="str">
        <f>"340321199409277011"</f>
        <v>340321199409277011</v>
      </c>
      <c r="D22352" t="s">
        <v>20868</v>
      </c>
      <c r="E22352" t="s">
        <v>20869</v>
      </c>
      <c r="F22352" t="s">
        <v>0</v>
      </c>
      <c r="G22352" t="str">
        <f>"2018-10-07 09:42:47"</f>
        <v>2018-10-07 09:42:47</v>
      </c>
    </row>
    <row r="22353" spans="1:7" x14ac:dyDescent="0.2">
      <c r="A22353" t="s">
        <v>20870</v>
      </c>
      <c r="B22353" t="str">
        <f>"13289093000"</f>
        <v>13289093000</v>
      </c>
      <c r="C22353" t="str">
        <f>"652701197509021752"</f>
        <v>652701197509021752</v>
      </c>
      <c r="D22353" t="s">
        <v>1</v>
      </c>
      <c r="E22353" t="s">
        <v>1</v>
      </c>
      <c r="F22353" t="s">
        <v>0</v>
      </c>
      <c r="G22353" t="str">
        <f>"2018-10-07 09:20:08"</f>
        <v>2018-10-07 09:20:08</v>
      </c>
    </row>
    <row r="22354" spans="1:7" x14ac:dyDescent="0.2">
      <c r="A22354" t="s">
        <v>18536</v>
      </c>
      <c r="B22354" t="str">
        <f>"13896567444"</f>
        <v>13896567444</v>
      </c>
      <c r="C22354" t="str">
        <f>"500384199108041318"</f>
        <v>500384199108041318</v>
      </c>
      <c r="D22354" t="s">
        <v>1</v>
      </c>
      <c r="E22354" t="s">
        <v>1</v>
      </c>
      <c r="F22354" t="s">
        <v>0</v>
      </c>
      <c r="G22354" t="str">
        <f>"2018-10-07 09:21:30"</f>
        <v>2018-10-07 09:21:30</v>
      </c>
    </row>
    <row r="22355" spans="1:7" x14ac:dyDescent="0.2">
      <c r="A22355" t="s">
        <v>1</v>
      </c>
      <c r="B22355" t="str">
        <f>"13763188876"</f>
        <v>13763188876</v>
      </c>
      <c r="C22355" t="s">
        <v>1</v>
      </c>
      <c r="D22355" t="s">
        <v>1</v>
      </c>
      <c r="E22355" t="s">
        <v>1</v>
      </c>
      <c r="F22355" t="s">
        <v>0</v>
      </c>
      <c r="G22355" t="str">
        <f>"2018-10-07 09:18:51"</f>
        <v>2018-10-07 09:18:51</v>
      </c>
    </row>
    <row r="22356" spans="1:7" x14ac:dyDescent="0.2">
      <c r="A22356" t="s">
        <v>1</v>
      </c>
      <c r="B22356" t="str">
        <f>"13524963538"</f>
        <v>13524963538</v>
      </c>
      <c r="C22356" t="s">
        <v>1</v>
      </c>
      <c r="D22356" t="s">
        <v>1</v>
      </c>
      <c r="E22356" t="s">
        <v>1</v>
      </c>
      <c r="F22356" t="s">
        <v>0</v>
      </c>
      <c r="G22356" t="str">
        <f>"2018-10-07 09:18:17"</f>
        <v>2018-10-07 09:18:17</v>
      </c>
    </row>
    <row r="22357" spans="1:7" x14ac:dyDescent="0.2">
      <c r="A22357" t="s">
        <v>1</v>
      </c>
      <c r="B22357" t="str">
        <f>"15132088021"</f>
        <v>15132088021</v>
      </c>
      <c r="C22357" t="s">
        <v>1</v>
      </c>
      <c r="D22357" t="s">
        <v>1</v>
      </c>
      <c r="E22357" t="s">
        <v>1</v>
      </c>
      <c r="F22357" t="s">
        <v>0</v>
      </c>
      <c r="G22357" t="str">
        <f>"2018-10-07 09:18:12"</f>
        <v>2018-10-07 09:18:12</v>
      </c>
    </row>
    <row r="22358" spans="1:7" x14ac:dyDescent="0.2">
      <c r="A22358" t="s">
        <v>20871</v>
      </c>
      <c r="B22358" t="str">
        <f>"13002700678"</f>
        <v>13002700678</v>
      </c>
      <c r="C22358" t="str">
        <f>"370302199205073611"</f>
        <v>370302199205073611</v>
      </c>
      <c r="D22358" t="s">
        <v>20872</v>
      </c>
      <c r="E22358" t="s">
        <v>20873</v>
      </c>
      <c r="F22358" t="s">
        <v>0</v>
      </c>
      <c r="G22358" t="str">
        <f>"2018-10-07 09:19:02"</f>
        <v>2018-10-07 09:19:02</v>
      </c>
    </row>
    <row r="22359" spans="1:7" x14ac:dyDescent="0.2">
      <c r="A22359" t="s">
        <v>20874</v>
      </c>
      <c r="B22359" t="str">
        <f>"15892107586"</f>
        <v>15892107586</v>
      </c>
      <c r="C22359" t="str">
        <f>"352202198509291026"</f>
        <v>352202198509291026</v>
      </c>
      <c r="D22359" t="s">
        <v>20875</v>
      </c>
      <c r="E22359" t="s">
        <v>20876</v>
      </c>
      <c r="F22359" t="s">
        <v>0</v>
      </c>
      <c r="G22359" t="str">
        <f>"2018-11-04 10:38:11"</f>
        <v>2018-11-04 10:38:11</v>
      </c>
    </row>
    <row r="22360" spans="1:7" x14ac:dyDescent="0.2">
      <c r="A22360" t="s">
        <v>20877</v>
      </c>
      <c r="B22360" t="str">
        <f>"13516995644"</f>
        <v>13516995644</v>
      </c>
      <c r="C22360" t="str">
        <f>"362133198106090212"</f>
        <v>362133198106090212</v>
      </c>
      <c r="D22360" t="s">
        <v>1</v>
      </c>
      <c r="E22360" t="s">
        <v>1</v>
      </c>
      <c r="F22360" t="s">
        <v>0</v>
      </c>
      <c r="G22360" t="str">
        <f>"2018-10-16 10:10:35"</f>
        <v>2018-10-16 10:10:35</v>
      </c>
    </row>
    <row r="22361" spans="1:7" x14ac:dyDescent="0.2">
      <c r="A22361" t="s">
        <v>20878</v>
      </c>
      <c r="B22361" t="str">
        <f>"18639708536"</f>
        <v>18639708536</v>
      </c>
      <c r="C22361" t="str">
        <f>"413001198711292516"</f>
        <v>413001198711292516</v>
      </c>
      <c r="D22361" t="s">
        <v>20879</v>
      </c>
      <c r="E22361" t="s">
        <v>20880</v>
      </c>
      <c r="F22361" t="s">
        <v>0</v>
      </c>
      <c r="G22361" t="str">
        <f>"2018-10-07 09:17:12"</f>
        <v>2018-10-07 09:17:12</v>
      </c>
    </row>
    <row r="22362" spans="1:7" x14ac:dyDescent="0.2">
      <c r="A22362" t="s">
        <v>1</v>
      </c>
      <c r="B22362" t="str">
        <f>"15234850039"</f>
        <v>15234850039</v>
      </c>
      <c r="C22362" t="s">
        <v>1</v>
      </c>
      <c r="D22362" t="s">
        <v>1</v>
      </c>
      <c r="E22362" t="s">
        <v>1</v>
      </c>
      <c r="F22362" t="s">
        <v>0</v>
      </c>
      <c r="G22362" t="str">
        <f>"2018-10-07 09:17:03"</f>
        <v>2018-10-07 09:17:03</v>
      </c>
    </row>
    <row r="22363" spans="1:7" x14ac:dyDescent="0.2">
      <c r="A22363" t="s">
        <v>1105</v>
      </c>
      <c r="B22363" t="str">
        <f>"15707717327"</f>
        <v>15707717327</v>
      </c>
      <c r="C22363" t="str">
        <f>"640382199509251314"</f>
        <v>640382199509251314</v>
      </c>
      <c r="D22363" t="s">
        <v>1</v>
      </c>
      <c r="E22363" t="s">
        <v>1</v>
      </c>
      <c r="F22363" t="s">
        <v>0</v>
      </c>
      <c r="G22363" t="str">
        <f>"2018-10-07 09:20:15"</f>
        <v>2018-10-07 09:20:15</v>
      </c>
    </row>
    <row r="22364" spans="1:7" x14ac:dyDescent="0.2">
      <c r="A22364" t="s">
        <v>1</v>
      </c>
      <c r="B22364" t="str">
        <f>"13957268694"</f>
        <v>13957268694</v>
      </c>
      <c r="C22364" t="s">
        <v>1</v>
      </c>
      <c r="D22364" t="s">
        <v>1</v>
      </c>
      <c r="E22364" t="s">
        <v>1</v>
      </c>
      <c r="F22364" t="s">
        <v>0</v>
      </c>
      <c r="G22364" t="str">
        <f>"2018-10-07 09:16:17"</f>
        <v>2018-10-07 09:16:17</v>
      </c>
    </row>
    <row r="22365" spans="1:7" x14ac:dyDescent="0.2">
      <c r="A22365" t="s">
        <v>20881</v>
      </c>
      <c r="B22365" t="str">
        <f>"15715240203"</f>
        <v>15715240203</v>
      </c>
      <c r="C22365" t="str">
        <f>"321322199201191212"</f>
        <v>321322199201191212</v>
      </c>
      <c r="D22365" t="s">
        <v>1</v>
      </c>
      <c r="E22365" t="s">
        <v>1</v>
      </c>
      <c r="F22365" t="s">
        <v>0</v>
      </c>
      <c r="G22365" t="str">
        <f>"2018-10-17 00:16:46"</f>
        <v>2018-10-17 00:16:46</v>
      </c>
    </row>
    <row r="22366" spans="1:7" x14ac:dyDescent="0.2">
      <c r="A22366" t="s">
        <v>1</v>
      </c>
      <c r="B22366" t="str">
        <f>"13203036853"</f>
        <v>13203036853</v>
      </c>
      <c r="C22366" t="s">
        <v>1</v>
      </c>
      <c r="D22366" t="s">
        <v>1</v>
      </c>
      <c r="E22366" t="s">
        <v>1</v>
      </c>
      <c r="F22366" t="s">
        <v>0</v>
      </c>
      <c r="G22366" t="str">
        <f>"2018-10-08 08:48:58"</f>
        <v>2018-10-08 08:48:58</v>
      </c>
    </row>
    <row r="22367" spans="1:7" x14ac:dyDescent="0.2">
      <c r="A22367" t="s">
        <v>20882</v>
      </c>
      <c r="B22367" t="str">
        <f>"15162442170"</f>
        <v>15162442170</v>
      </c>
      <c r="C22367" t="str">
        <f>"411421199203286451"</f>
        <v>411421199203286451</v>
      </c>
      <c r="D22367" t="s">
        <v>1</v>
      </c>
      <c r="E22367" t="s">
        <v>1</v>
      </c>
      <c r="F22367" t="s">
        <v>0</v>
      </c>
      <c r="G22367" t="str">
        <f>"2018-11-03 19:20:44"</f>
        <v>2018-11-03 19:20:44</v>
      </c>
    </row>
    <row r="22368" spans="1:7" x14ac:dyDescent="0.2">
      <c r="A22368" t="s">
        <v>1</v>
      </c>
      <c r="B22368" t="str">
        <f>"14708062643"</f>
        <v>14708062643</v>
      </c>
      <c r="C22368" t="s">
        <v>1</v>
      </c>
      <c r="D22368" t="s">
        <v>1</v>
      </c>
      <c r="E22368" t="s">
        <v>1</v>
      </c>
      <c r="F22368" t="s">
        <v>0</v>
      </c>
      <c r="G22368" t="str">
        <f>"2018-10-07 09:15:24"</f>
        <v>2018-10-07 09:15:24</v>
      </c>
    </row>
    <row r="22369" spans="1:7" x14ac:dyDescent="0.2">
      <c r="A22369" t="s">
        <v>20883</v>
      </c>
      <c r="B22369" t="str">
        <f>"15095153234"</f>
        <v>15095153234</v>
      </c>
      <c r="C22369" t="str">
        <f>"370783198709112317"</f>
        <v>370783198709112317</v>
      </c>
      <c r="D22369" t="s">
        <v>1</v>
      </c>
      <c r="E22369" t="s">
        <v>1</v>
      </c>
      <c r="F22369" t="s">
        <v>0</v>
      </c>
      <c r="G22369" t="str">
        <f>"2018-10-07 09:16:50"</f>
        <v>2018-10-07 09:16:50</v>
      </c>
    </row>
    <row r="22370" spans="1:7" x14ac:dyDescent="0.2">
      <c r="A22370" t="s">
        <v>1</v>
      </c>
      <c r="B22370" t="str">
        <f>"13922578110"</f>
        <v>13922578110</v>
      </c>
      <c r="C22370" t="s">
        <v>1</v>
      </c>
      <c r="D22370" t="s">
        <v>1</v>
      </c>
      <c r="E22370" t="s">
        <v>1</v>
      </c>
      <c r="F22370" t="s">
        <v>0</v>
      </c>
      <c r="G22370" t="str">
        <f>"2018-10-07 09:14:29"</f>
        <v>2018-10-07 09:14:29</v>
      </c>
    </row>
    <row r="22371" spans="1:7" x14ac:dyDescent="0.2">
      <c r="A22371" t="s">
        <v>20884</v>
      </c>
      <c r="B22371" t="str">
        <f>"15892483697"</f>
        <v>15892483697</v>
      </c>
      <c r="C22371" t="str">
        <f>"51232219820626147X"</f>
        <v>51232219820626147X</v>
      </c>
      <c r="D22371" t="s">
        <v>20885</v>
      </c>
      <c r="E22371" t="s">
        <v>20886</v>
      </c>
      <c r="F22371" t="s">
        <v>0</v>
      </c>
      <c r="G22371" t="str">
        <f>"2018-10-07 09:15:42"</f>
        <v>2018-10-07 09:15:42</v>
      </c>
    </row>
    <row r="22372" spans="1:7" x14ac:dyDescent="0.2">
      <c r="A22372" t="s">
        <v>1</v>
      </c>
      <c r="B22372" t="str">
        <f>"13595546287"</f>
        <v>13595546287</v>
      </c>
      <c r="C22372" t="s">
        <v>1</v>
      </c>
      <c r="D22372" t="s">
        <v>1</v>
      </c>
      <c r="E22372" t="s">
        <v>1</v>
      </c>
      <c r="F22372" t="s">
        <v>0</v>
      </c>
      <c r="G22372" t="str">
        <f>"2018-10-07 09:13:40"</f>
        <v>2018-10-07 09:13:40</v>
      </c>
    </row>
    <row r="22373" spans="1:7" x14ac:dyDescent="0.2">
      <c r="A22373" t="s">
        <v>20887</v>
      </c>
      <c r="B22373" t="str">
        <f>"13390024207"</f>
        <v>13390024207</v>
      </c>
      <c r="C22373" t="str">
        <f>"230307197402044029"</f>
        <v>230307197402044029</v>
      </c>
      <c r="D22373" t="s">
        <v>1</v>
      </c>
      <c r="E22373" t="s">
        <v>1</v>
      </c>
      <c r="F22373" t="s">
        <v>0</v>
      </c>
      <c r="G22373" t="str">
        <f>"2018-10-07 10:29:57"</f>
        <v>2018-10-07 10:29:57</v>
      </c>
    </row>
    <row r="22374" spans="1:7" x14ac:dyDescent="0.2">
      <c r="A22374" t="s">
        <v>1</v>
      </c>
      <c r="B22374" t="str">
        <f>"18558881581"</f>
        <v>18558881581</v>
      </c>
      <c r="C22374" t="s">
        <v>1</v>
      </c>
      <c r="D22374" t="s">
        <v>1</v>
      </c>
      <c r="E22374" t="s">
        <v>1</v>
      </c>
      <c r="F22374" t="s">
        <v>0</v>
      </c>
      <c r="G22374" t="str">
        <f>"2018-10-07 09:12:31"</f>
        <v>2018-10-07 09:12:31</v>
      </c>
    </row>
    <row r="22375" spans="1:7" x14ac:dyDescent="0.2">
      <c r="A22375" t="s">
        <v>1</v>
      </c>
      <c r="B22375" t="str">
        <f>"15350241660"</f>
        <v>15350241660</v>
      </c>
      <c r="C22375" t="s">
        <v>1</v>
      </c>
      <c r="D22375" t="s">
        <v>1</v>
      </c>
      <c r="E22375" t="s">
        <v>1</v>
      </c>
      <c r="F22375" t="s">
        <v>0</v>
      </c>
      <c r="G22375" t="str">
        <f>"2018-10-07 09:15:04"</f>
        <v>2018-10-07 09:15:04</v>
      </c>
    </row>
    <row r="22376" spans="1:7" x14ac:dyDescent="0.2">
      <c r="A22376" t="s">
        <v>1</v>
      </c>
      <c r="B22376" t="str">
        <f>"18804123370"</f>
        <v>18804123370</v>
      </c>
      <c r="C22376" t="s">
        <v>1</v>
      </c>
      <c r="D22376" t="s">
        <v>1</v>
      </c>
      <c r="E22376" t="s">
        <v>1</v>
      </c>
      <c r="F22376" t="s">
        <v>0</v>
      </c>
      <c r="G22376" t="str">
        <f>"2018-10-07 09:11:52"</f>
        <v>2018-10-07 09:11:52</v>
      </c>
    </row>
    <row r="22377" spans="1:7" x14ac:dyDescent="0.2">
      <c r="A22377" t="s">
        <v>20888</v>
      </c>
      <c r="B22377" t="str">
        <f>"18245065920"</f>
        <v>18245065920</v>
      </c>
      <c r="C22377" t="str">
        <f>"23118119870222322X"</f>
        <v>23118119870222322X</v>
      </c>
      <c r="D22377" t="s">
        <v>1</v>
      </c>
      <c r="E22377" t="s">
        <v>1</v>
      </c>
      <c r="F22377" t="s">
        <v>0</v>
      </c>
      <c r="G22377" t="str">
        <f>"2018-10-09 09:45:18"</f>
        <v>2018-10-09 09:45:18</v>
      </c>
    </row>
    <row r="22378" spans="1:7" x14ac:dyDescent="0.2">
      <c r="A22378" t="s">
        <v>20889</v>
      </c>
      <c r="B22378" t="str">
        <f>"15254527136"</f>
        <v>15254527136</v>
      </c>
      <c r="C22378" t="str">
        <f>"370685199701263710"</f>
        <v>370685199701263710</v>
      </c>
      <c r="D22378" t="s">
        <v>20890</v>
      </c>
      <c r="E22378" t="s">
        <v>20891</v>
      </c>
      <c r="F22378" t="s">
        <v>0</v>
      </c>
      <c r="G22378" t="str">
        <f>"2018-10-07 09:12:23"</f>
        <v>2018-10-07 09:12:23</v>
      </c>
    </row>
    <row r="22379" spans="1:7" x14ac:dyDescent="0.2">
      <c r="A22379" t="s">
        <v>1</v>
      </c>
      <c r="B22379" t="str">
        <f>"13604674253"</f>
        <v>13604674253</v>
      </c>
      <c r="C22379" t="s">
        <v>1</v>
      </c>
      <c r="D22379" t="s">
        <v>1</v>
      </c>
      <c r="E22379" t="s">
        <v>1</v>
      </c>
      <c r="F22379" t="s">
        <v>0</v>
      </c>
      <c r="G22379" t="str">
        <f>"2018-10-07 09:11:12"</f>
        <v>2018-10-07 09:11:12</v>
      </c>
    </row>
    <row r="22380" spans="1:7" x14ac:dyDescent="0.2">
      <c r="A22380" t="s">
        <v>20892</v>
      </c>
      <c r="B22380" t="str">
        <f>"15962269773"</f>
        <v>15962269773</v>
      </c>
      <c r="C22380" t="str">
        <f>"320586199110173926"</f>
        <v>320586199110173926</v>
      </c>
      <c r="D22380" t="s">
        <v>1</v>
      </c>
      <c r="E22380" t="s">
        <v>1</v>
      </c>
      <c r="F22380" t="s">
        <v>0</v>
      </c>
      <c r="G22380" t="str">
        <f>"2018-10-15 11:22:18"</f>
        <v>2018-10-15 11:22:18</v>
      </c>
    </row>
    <row r="22381" spans="1:7" x14ac:dyDescent="0.2">
      <c r="A22381" t="s">
        <v>20893</v>
      </c>
      <c r="B22381" t="str">
        <f>"15524296949"</f>
        <v>15524296949</v>
      </c>
      <c r="C22381" t="str">
        <f>"210103197402234543"</f>
        <v>210103197402234543</v>
      </c>
      <c r="D22381" t="s">
        <v>1</v>
      </c>
      <c r="E22381" t="s">
        <v>1</v>
      </c>
      <c r="F22381" t="s">
        <v>0</v>
      </c>
      <c r="G22381" t="str">
        <f>"2018-10-07 09:12:30"</f>
        <v>2018-10-07 09:12:30</v>
      </c>
    </row>
    <row r="22382" spans="1:7" x14ac:dyDescent="0.2">
      <c r="A22382" t="s">
        <v>1</v>
      </c>
      <c r="B22382" t="str">
        <f>"13599596978"</f>
        <v>13599596978</v>
      </c>
      <c r="C22382" t="s">
        <v>1</v>
      </c>
      <c r="D22382" t="s">
        <v>1</v>
      </c>
      <c r="E22382" t="s">
        <v>1</v>
      </c>
      <c r="F22382" t="s">
        <v>0</v>
      </c>
      <c r="G22382" t="str">
        <f>"2018-10-07 09:10:41"</f>
        <v>2018-10-07 09:10:41</v>
      </c>
    </row>
    <row r="22383" spans="1:7" x14ac:dyDescent="0.2">
      <c r="A22383" t="s">
        <v>1</v>
      </c>
      <c r="B22383" t="str">
        <f>"18602213608"</f>
        <v>18602213608</v>
      </c>
      <c r="C22383" t="s">
        <v>1</v>
      </c>
      <c r="D22383" t="s">
        <v>1</v>
      </c>
      <c r="E22383" t="s">
        <v>1</v>
      </c>
      <c r="F22383" t="s">
        <v>0</v>
      </c>
      <c r="G22383" t="str">
        <f>"2018-10-07 09:11:39"</f>
        <v>2018-10-07 09:11:39</v>
      </c>
    </row>
    <row r="22384" spans="1:7" x14ac:dyDescent="0.2">
      <c r="A22384" t="s">
        <v>20894</v>
      </c>
      <c r="B22384" t="str">
        <f>"18090984194"</f>
        <v>18090984194</v>
      </c>
      <c r="C22384" t="str">
        <f>"511502199606254550"</f>
        <v>511502199606254550</v>
      </c>
      <c r="D22384" t="s">
        <v>1</v>
      </c>
      <c r="E22384" t="s">
        <v>1</v>
      </c>
      <c r="F22384" t="s">
        <v>0</v>
      </c>
      <c r="G22384" t="str">
        <f>"2018-10-07 09:10:20"</f>
        <v>2018-10-07 09:10:20</v>
      </c>
    </row>
    <row r="22385" spans="1:7" x14ac:dyDescent="0.2">
      <c r="A22385" t="s">
        <v>20895</v>
      </c>
      <c r="B22385" t="str">
        <f>"18673430019"</f>
        <v>18673430019</v>
      </c>
      <c r="C22385" t="str">
        <f>"430223199102257218"</f>
        <v>430223199102257218</v>
      </c>
      <c r="D22385" t="s">
        <v>1</v>
      </c>
      <c r="E22385" t="s">
        <v>1</v>
      </c>
      <c r="F22385" t="s">
        <v>0</v>
      </c>
      <c r="G22385" t="str">
        <f>"2018-10-07 09:11:38"</f>
        <v>2018-10-07 09:11:38</v>
      </c>
    </row>
    <row r="22386" spans="1:7" x14ac:dyDescent="0.2">
      <c r="A22386" t="s">
        <v>1</v>
      </c>
      <c r="B22386" t="str">
        <f>"15246131199"</f>
        <v>15246131199</v>
      </c>
      <c r="C22386" t="s">
        <v>1</v>
      </c>
      <c r="D22386" t="s">
        <v>1</v>
      </c>
      <c r="E22386" t="s">
        <v>1</v>
      </c>
      <c r="F22386" t="s">
        <v>0</v>
      </c>
      <c r="G22386" t="str">
        <f>"2018-10-07 09:09:18"</f>
        <v>2018-10-07 09:09:18</v>
      </c>
    </row>
    <row r="22387" spans="1:7" x14ac:dyDescent="0.2">
      <c r="A22387" t="s">
        <v>605</v>
      </c>
      <c r="B22387" t="str">
        <f>"15221563981"</f>
        <v>15221563981</v>
      </c>
      <c r="C22387" t="str">
        <f>"320683198407101562"</f>
        <v>320683198407101562</v>
      </c>
      <c r="D22387" t="s">
        <v>1</v>
      </c>
      <c r="E22387" t="s">
        <v>1</v>
      </c>
      <c r="F22387" t="s">
        <v>0</v>
      </c>
      <c r="G22387" t="str">
        <f>"2018-10-07 09:10:12"</f>
        <v>2018-10-07 09:10:12</v>
      </c>
    </row>
    <row r="22388" spans="1:7" x14ac:dyDescent="0.2">
      <c r="A22388" t="s">
        <v>20896</v>
      </c>
      <c r="B22388" t="str">
        <f>"15292383330"</f>
        <v>15292383330</v>
      </c>
      <c r="C22388" t="str">
        <f>"652927199005080015"</f>
        <v>652927199005080015</v>
      </c>
      <c r="D22388" t="s">
        <v>1</v>
      </c>
      <c r="E22388" t="s">
        <v>1</v>
      </c>
      <c r="F22388" t="s">
        <v>0</v>
      </c>
      <c r="G22388" t="str">
        <f>"2018-10-07 09:45:58"</f>
        <v>2018-10-07 09:45:58</v>
      </c>
    </row>
    <row r="22389" spans="1:7" x14ac:dyDescent="0.2">
      <c r="A22389" t="s">
        <v>1</v>
      </c>
      <c r="B22389" t="str">
        <f>"13473676083"</f>
        <v>13473676083</v>
      </c>
      <c r="C22389" t="s">
        <v>1</v>
      </c>
      <c r="D22389" t="s">
        <v>1</v>
      </c>
      <c r="E22389" t="s">
        <v>1</v>
      </c>
      <c r="F22389" t="s">
        <v>0</v>
      </c>
      <c r="G22389" t="str">
        <f>"2018-10-07 09:07:57"</f>
        <v>2018-10-07 09:07:57</v>
      </c>
    </row>
    <row r="22390" spans="1:7" x14ac:dyDescent="0.2">
      <c r="A22390" t="s">
        <v>20897</v>
      </c>
      <c r="B22390" t="str">
        <f>"18681565153"</f>
        <v>18681565153</v>
      </c>
      <c r="C22390" t="str">
        <f>"43080219890825731X"</f>
        <v>43080219890825731X</v>
      </c>
      <c r="D22390" t="s">
        <v>20898</v>
      </c>
      <c r="E22390" t="s">
        <v>20899</v>
      </c>
      <c r="F22390" t="s">
        <v>0</v>
      </c>
      <c r="G22390" t="str">
        <f>"2018-10-07 09:08:36"</f>
        <v>2018-10-07 09:08:36</v>
      </c>
    </row>
    <row r="22391" spans="1:7" x14ac:dyDescent="0.2">
      <c r="A22391" t="s">
        <v>1</v>
      </c>
      <c r="B22391" t="str">
        <f>"15077928779"</f>
        <v>15077928779</v>
      </c>
      <c r="C22391" t="s">
        <v>1</v>
      </c>
      <c r="D22391" t="s">
        <v>1</v>
      </c>
      <c r="E22391" t="s">
        <v>1</v>
      </c>
      <c r="F22391" t="s">
        <v>0</v>
      </c>
      <c r="G22391" t="str">
        <f>"2018-10-07 09:10:37"</f>
        <v>2018-10-07 09:10:37</v>
      </c>
    </row>
    <row r="22392" spans="1:7" x14ac:dyDescent="0.2">
      <c r="A22392" t="s">
        <v>20900</v>
      </c>
      <c r="B22392" t="str">
        <f>"15758527263"</f>
        <v>15758527263</v>
      </c>
      <c r="C22392" t="str">
        <f>"532326199605242624"</f>
        <v>532326199605242624</v>
      </c>
      <c r="D22392" t="s">
        <v>1</v>
      </c>
      <c r="E22392" t="s">
        <v>1</v>
      </c>
      <c r="F22392" t="s">
        <v>0</v>
      </c>
      <c r="G22392" t="str">
        <f>"2018-10-07 09:07:23"</f>
        <v>2018-10-07 09:07:23</v>
      </c>
    </row>
    <row r="22393" spans="1:7" x14ac:dyDescent="0.2">
      <c r="A22393" t="s">
        <v>1</v>
      </c>
      <c r="B22393" t="str">
        <f>"15003001688"</f>
        <v>15003001688</v>
      </c>
      <c r="C22393" t="s">
        <v>1</v>
      </c>
      <c r="D22393" t="s">
        <v>1</v>
      </c>
      <c r="E22393" t="s">
        <v>1</v>
      </c>
      <c r="F22393" t="s">
        <v>0</v>
      </c>
      <c r="G22393" t="str">
        <f>"2018-10-07 09:07:12"</f>
        <v>2018-10-07 09:07:12</v>
      </c>
    </row>
    <row r="22394" spans="1:7" x14ac:dyDescent="0.2">
      <c r="A22394" t="s">
        <v>20901</v>
      </c>
      <c r="B22394" t="str">
        <f>"13086017900"</f>
        <v>13086017900</v>
      </c>
      <c r="C22394" t="str">
        <f>"460035198209101120"</f>
        <v>460035198209101120</v>
      </c>
      <c r="D22394" t="s">
        <v>1</v>
      </c>
      <c r="E22394" t="s">
        <v>1</v>
      </c>
      <c r="F22394" t="s">
        <v>0</v>
      </c>
      <c r="G22394" t="str">
        <f>"2018-10-07 09:08:55"</f>
        <v>2018-10-07 09:08:55</v>
      </c>
    </row>
    <row r="22395" spans="1:7" x14ac:dyDescent="0.2">
      <c r="A22395" t="s">
        <v>1</v>
      </c>
      <c r="B22395" t="str">
        <f>"13251117779"</f>
        <v>13251117779</v>
      </c>
      <c r="C22395" t="s">
        <v>1</v>
      </c>
      <c r="D22395" t="s">
        <v>1</v>
      </c>
      <c r="E22395" t="s">
        <v>1</v>
      </c>
      <c r="F22395" t="s">
        <v>0</v>
      </c>
      <c r="G22395" t="str">
        <f>"2018-10-07 09:09:12"</f>
        <v>2018-10-07 09:09:12</v>
      </c>
    </row>
    <row r="22396" spans="1:7" x14ac:dyDescent="0.2">
      <c r="A22396" t="s">
        <v>20902</v>
      </c>
      <c r="B22396" t="str">
        <f>"15098741956"</f>
        <v>15098741956</v>
      </c>
      <c r="C22396" t="str">
        <f>"370103198405064024"</f>
        <v>370103198405064024</v>
      </c>
      <c r="D22396" t="s">
        <v>1</v>
      </c>
      <c r="E22396" t="s">
        <v>1</v>
      </c>
      <c r="F22396" t="s">
        <v>0</v>
      </c>
      <c r="G22396" t="str">
        <f>"2018-10-07 13:42:28"</f>
        <v>2018-10-07 13:42:28</v>
      </c>
    </row>
    <row r="22397" spans="1:7" x14ac:dyDescent="0.2">
      <c r="A22397" t="s">
        <v>1</v>
      </c>
      <c r="B22397" t="str">
        <f>"13754698511"</f>
        <v>13754698511</v>
      </c>
      <c r="C22397" t="s">
        <v>1</v>
      </c>
      <c r="D22397" t="s">
        <v>1</v>
      </c>
      <c r="E22397" t="s">
        <v>1</v>
      </c>
      <c r="F22397" t="s">
        <v>0</v>
      </c>
      <c r="G22397" t="str">
        <f>"2018-10-07 09:07:06"</f>
        <v>2018-10-07 09:07:06</v>
      </c>
    </row>
    <row r="22398" spans="1:7" x14ac:dyDescent="0.2">
      <c r="A22398" t="s">
        <v>20903</v>
      </c>
      <c r="B22398" t="str">
        <f>"13704583555"</f>
        <v>13704583555</v>
      </c>
      <c r="C22398" t="str">
        <f>"23900519780322103X"</f>
        <v>23900519780322103X</v>
      </c>
      <c r="D22398" t="s">
        <v>1</v>
      </c>
      <c r="E22398" t="s">
        <v>1</v>
      </c>
      <c r="F22398" t="s">
        <v>0</v>
      </c>
      <c r="G22398" t="str">
        <f>"2018-10-07 09:12:27"</f>
        <v>2018-10-07 09:12:27</v>
      </c>
    </row>
    <row r="22399" spans="1:7" x14ac:dyDescent="0.2">
      <c r="A22399" t="s">
        <v>1</v>
      </c>
      <c r="B22399" t="str">
        <f>"13957708410"</f>
        <v>13957708410</v>
      </c>
      <c r="C22399" t="s">
        <v>1</v>
      </c>
      <c r="D22399" t="s">
        <v>1</v>
      </c>
      <c r="E22399" t="s">
        <v>1</v>
      </c>
      <c r="F22399" t="s">
        <v>0</v>
      </c>
      <c r="G22399" t="str">
        <f>"2018-10-07 09:21:43"</f>
        <v>2018-10-07 09:21:43</v>
      </c>
    </row>
    <row r="22400" spans="1:7" x14ac:dyDescent="0.2">
      <c r="A22400" t="s">
        <v>1</v>
      </c>
      <c r="B22400" t="str">
        <f>"18672798705"</f>
        <v>18672798705</v>
      </c>
      <c r="C22400" t="s">
        <v>1</v>
      </c>
      <c r="D22400" t="s">
        <v>1</v>
      </c>
      <c r="E22400" t="s">
        <v>1</v>
      </c>
      <c r="F22400" t="s">
        <v>0</v>
      </c>
      <c r="G22400" t="str">
        <f>"2018-10-07 09:06:47"</f>
        <v>2018-10-07 09:06:47</v>
      </c>
    </row>
    <row r="22401" spans="1:7" x14ac:dyDescent="0.2">
      <c r="A22401" t="s">
        <v>20904</v>
      </c>
      <c r="B22401" t="str">
        <f>"13573968925"</f>
        <v>13573968925</v>
      </c>
      <c r="C22401" t="str">
        <f>"371326198705061630"</f>
        <v>371326198705061630</v>
      </c>
      <c r="D22401" t="s">
        <v>1</v>
      </c>
      <c r="E22401" t="s">
        <v>1</v>
      </c>
      <c r="F22401" t="s">
        <v>0</v>
      </c>
      <c r="G22401" t="str">
        <f>"2018-10-07 09:08:30"</f>
        <v>2018-10-07 09:08:30</v>
      </c>
    </row>
    <row r="22402" spans="1:7" x14ac:dyDescent="0.2">
      <c r="A22402" t="s">
        <v>20904</v>
      </c>
      <c r="B22402" t="str">
        <f>"13573968925"</f>
        <v>13573968925</v>
      </c>
      <c r="C22402" t="str">
        <f>"371326198705061630"</f>
        <v>371326198705061630</v>
      </c>
      <c r="D22402" t="s">
        <v>1</v>
      </c>
      <c r="E22402" t="s">
        <v>1</v>
      </c>
      <c r="F22402" t="s">
        <v>0</v>
      </c>
      <c r="G22402" t="str">
        <f>"2018-10-07 09:08:30"</f>
        <v>2018-10-07 09:08:30</v>
      </c>
    </row>
    <row r="22403" spans="1:7" x14ac:dyDescent="0.2">
      <c r="A22403" t="s">
        <v>20905</v>
      </c>
      <c r="B22403" t="str">
        <f>"13832734584"</f>
        <v>13832734584</v>
      </c>
      <c r="C22403" t="str">
        <f>"120221197009150315"</f>
        <v>120221197009150315</v>
      </c>
      <c r="D22403" t="s">
        <v>1</v>
      </c>
      <c r="E22403" t="s">
        <v>1</v>
      </c>
      <c r="F22403" t="s">
        <v>0</v>
      </c>
      <c r="G22403" t="str">
        <f>"2018-10-07 09:09:25"</f>
        <v>2018-10-07 09:09:25</v>
      </c>
    </row>
    <row r="22404" spans="1:7" x14ac:dyDescent="0.2">
      <c r="A22404" t="s">
        <v>1</v>
      </c>
      <c r="B22404" t="str">
        <f>"15984117690"</f>
        <v>15984117690</v>
      </c>
      <c r="C22404" t="s">
        <v>1</v>
      </c>
      <c r="D22404" t="s">
        <v>1</v>
      </c>
      <c r="E22404" t="s">
        <v>1</v>
      </c>
      <c r="F22404" t="s">
        <v>0</v>
      </c>
      <c r="G22404" t="str">
        <f>"2018-10-07 09:06:32"</f>
        <v>2018-10-07 09:06:32</v>
      </c>
    </row>
    <row r="22405" spans="1:7" x14ac:dyDescent="0.2">
      <c r="A22405" t="s">
        <v>8052</v>
      </c>
      <c r="B22405" t="str">
        <f>"13576118606"</f>
        <v>13576118606</v>
      </c>
      <c r="C22405" t="str">
        <f>"360102198611072836"</f>
        <v>360102198611072836</v>
      </c>
      <c r="D22405" t="s">
        <v>1</v>
      </c>
      <c r="E22405" t="s">
        <v>1</v>
      </c>
      <c r="F22405" t="s">
        <v>0</v>
      </c>
      <c r="G22405" t="str">
        <f>"2018-10-07 09:07:11"</f>
        <v>2018-10-07 09:07:11</v>
      </c>
    </row>
    <row r="22406" spans="1:7" x14ac:dyDescent="0.2">
      <c r="A22406" t="s">
        <v>1</v>
      </c>
      <c r="B22406" t="str">
        <f>"13479241177"</f>
        <v>13479241177</v>
      </c>
      <c r="C22406" t="s">
        <v>1</v>
      </c>
      <c r="D22406" t="s">
        <v>1</v>
      </c>
      <c r="E22406" t="s">
        <v>1</v>
      </c>
      <c r="F22406" t="s">
        <v>0</v>
      </c>
      <c r="G22406" t="str">
        <f>"2018-10-07 11:35:11"</f>
        <v>2018-10-07 11:35:11</v>
      </c>
    </row>
    <row r="22407" spans="1:7" x14ac:dyDescent="0.2">
      <c r="A22407" t="s">
        <v>1</v>
      </c>
      <c r="B22407" t="str">
        <f>"15021192348"</f>
        <v>15021192348</v>
      </c>
      <c r="C22407" t="s">
        <v>1</v>
      </c>
      <c r="D22407" t="s">
        <v>1</v>
      </c>
      <c r="E22407" t="s">
        <v>1</v>
      </c>
      <c r="F22407" t="s">
        <v>0</v>
      </c>
      <c r="G22407" t="str">
        <f>"2018-10-07 09:06:21"</f>
        <v>2018-10-07 09:06:21</v>
      </c>
    </row>
    <row r="22408" spans="1:7" x14ac:dyDescent="0.2">
      <c r="A22408" t="s">
        <v>1</v>
      </c>
      <c r="B22408" t="str">
        <f>"15186204400"</f>
        <v>15186204400</v>
      </c>
      <c r="C22408" t="s">
        <v>1</v>
      </c>
      <c r="D22408" t="s">
        <v>1</v>
      </c>
      <c r="E22408" t="s">
        <v>1</v>
      </c>
      <c r="F22408" t="s">
        <v>0</v>
      </c>
      <c r="G22408" t="str">
        <f>"2018-10-07 09:06:21"</f>
        <v>2018-10-07 09:06:21</v>
      </c>
    </row>
    <row r="22409" spans="1:7" x14ac:dyDescent="0.2">
      <c r="A22409" t="s">
        <v>1</v>
      </c>
      <c r="B22409" t="str">
        <f>"18227677290"</f>
        <v>18227677290</v>
      </c>
      <c r="C22409" t="s">
        <v>1</v>
      </c>
      <c r="D22409" t="s">
        <v>1</v>
      </c>
      <c r="E22409" t="s">
        <v>1</v>
      </c>
      <c r="F22409" t="s">
        <v>0</v>
      </c>
      <c r="G22409" t="str">
        <f>"2018-10-07 09:06:08"</f>
        <v>2018-10-07 09:06:08</v>
      </c>
    </row>
    <row r="22410" spans="1:7" x14ac:dyDescent="0.2">
      <c r="A22410" t="s">
        <v>10149</v>
      </c>
      <c r="B22410" t="str">
        <f>"13994884366"</f>
        <v>13994884366</v>
      </c>
      <c r="C22410" t="str">
        <f>"142703198602053051"</f>
        <v>142703198602053051</v>
      </c>
      <c r="D22410" t="s">
        <v>1</v>
      </c>
      <c r="E22410" t="s">
        <v>1</v>
      </c>
      <c r="F22410" t="s">
        <v>0</v>
      </c>
      <c r="G22410" t="str">
        <f>"2018-10-07 09:07:56"</f>
        <v>2018-10-07 09:07:56</v>
      </c>
    </row>
    <row r="22411" spans="1:7" x14ac:dyDescent="0.2">
      <c r="A22411" t="s">
        <v>1</v>
      </c>
      <c r="B22411" t="str">
        <f>"13456399948"</f>
        <v>13456399948</v>
      </c>
      <c r="C22411" t="s">
        <v>1</v>
      </c>
      <c r="D22411" t="s">
        <v>1</v>
      </c>
      <c r="E22411" t="s">
        <v>1</v>
      </c>
      <c r="F22411" t="s">
        <v>0</v>
      </c>
      <c r="G22411" t="str">
        <f>"2018-10-07 09:05:48"</f>
        <v>2018-10-07 09:05:48</v>
      </c>
    </row>
    <row r="22412" spans="1:7" x14ac:dyDescent="0.2">
      <c r="A22412" t="s">
        <v>20906</v>
      </c>
      <c r="B22412" t="str">
        <f>"18313333707"</f>
        <v>18313333707</v>
      </c>
      <c r="C22412" t="str">
        <f>"532522198209260012"</f>
        <v>532522198209260012</v>
      </c>
      <c r="D22412" t="s">
        <v>20907</v>
      </c>
      <c r="E22412" t="s">
        <v>20908</v>
      </c>
      <c r="F22412" t="s">
        <v>0</v>
      </c>
      <c r="G22412" t="str">
        <f>"2018-10-07 09:07:41"</f>
        <v>2018-10-07 09:07:41</v>
      </c>
    </row>
    <row r="22413" spans="1:7" x14ac:dyDescent="0.2">
      <c r="A22413" t="s">
        <v>370</v>
      </c>
      <c r="B22413" t="str">
        <f>"13759475198"</f>
        <v>13759475198</v>
      </c>
      <c r="C22413" t="str">
        <f>"530181199407071213"</f>
        <v>530181199407071213</v>
      </c>
      <c r="D22413" t="s">
        <v>1</v>
      </c>
      <c r="E22413" t="s">
        <v>1</v>
      </c>
      <c r="F22413" t="s">
        <v>0</v>
      </c>
      <c r="G22413" t="str">
        <f>"2018-10-07 09:07:24"</f>
        <v>2018-10-07 09:07:24</v>
      </c>
    </row>
    <row r="22414" spans="1:7" x14ac:dyDescent="0.2">
      <c r="A22414" t="s">
        <v>1</v>
      </c>
      <c r="B22414" t="str">
        <f>"15807021196"</f>
        <v>15807021196</v>
      </c>
      <c r="C22414" t="s">
        <v>1</v>
      </c>
      <c r="D22414" t="s">
        <v>1</v>
      </c>
      <c r="E22414" t="s">
        <v>1</v>
      </c>
      <c r="F22414" t="s">
        <v>0</v>
      </c>
      <c r="G22414" t="str">
        <f>"2018-10-07 09:05:10"</f>
        <v>2018-10-07 09:05:10</v>
      </c>
    </row>
    <row r="22415" spans="1:7" x14ac:dyDescent="0.2">
      <c r="A22415" t="s">
        <v>1</v>
      </c>
      <c r="B22415" t="str">
        <f>"13840026102"</f>
        <v>13840026102</v>
      </c>
      <c r="C22415" t="s">
        <v>1</v>
      </c>
      <c r="D22415" t="s">
        <v>1</v>
      </c>
      <c r="E22415" t="s">
        <v>1</v>
      </c>
      <c r="F22415" t="s">
        <v>0</v>
      </c>
      <c r="G22415" t="str">
        <f>"2018-10-07 09:04:57"</f>
        <v>2018-10-07 09:04:57</v>
      </c>
    </row>
    <row r="22416" spans="1:7" x14ac:dyDescent="0.2">
      <c r="A22416" t="s">
        <v>20909</v>
      </c>
      <c r="B22416" t="str">
        <f>"18799078074"</f>
        <v>18799078074</v>
      </c>
      <c r="C22416" t="str">
        <f>"654223199411071817"</f>
        <v>654223199411071817</v>
      </c>
      <c r="D22416" t="s">
        <v>20910</v>
      </c>
      <c r="E22416" t="s">
        <v>20911</v>
      </c>
      <c r="F22416" t="s">
        <v>0</v>
      </c>
      <c r="G22416" t="str">
        <f>"2018-10-07 09:04:53"</f>
        <v>2018-10-07 09:04:53</v>
      </c>
    </row>
    <row r="22417" spans="1:7" x14ac:dyDescent="0.2">
      <c r="A22417" t="s">
        <v>20912</v>
      </c>
      <c r="B22417" t="str">
        <f>"18871549820"</f>
        <v>18871549820</v>
      </c>
      <c r="C22417" t="str">
        <f>"429005199110244292"</f>
        <v>429005199110244292</v>
      </c>
      <c r="D22417" t="s">
        <v>20913</v>
      </c>
      <c r="E22417" t="s">
        <v>20914</v>
      </c>
      <c r="F22417" t="s">
        <v>0</v>
      </c>
      <c r="G22417" t="str">
        <f>"2018-10-07 09:06:45"</f>
        <v>2018-10-07 09:06:45</v>
      </c>
    </row>
    <row r="22418" spans="1:7" x14ac:dyDescent="0.2">
      <c r="A22418" t="s">
        <v>1</v>
      </c>
      <c r="B22418" t="str">
        <f>"15731907126"</f>
        <v>15731907126</v>
      </c>
      <c r="C22418" t="s">
        <v>1</v>
      </c>
      <c r="D22418" t="s">
        <v>1</v>
      </c>
      <c r="E22418" t="s">
        <v>1</v>
      </c>
      <c r="F22418" t="s">
        <v>0</v>
      </c>
      <c r="G22418" t="str">
        <f>"2018-10-07 09:04:45"</f>
        <v>2018-10-07 09:04:45</v>
      </c>
    </row>
    <row r="22419" spans="1:7" x14ac:dyDescent="0.2">
      <c r="A22419" t="s">
        <v>1</v>
      </c>
      <c r="B22419" t="str">
        <f>"18399710876"</f>
        <v>18399710876</v>
      </c>
      <c r="C22419" t="s">
        <v>1</v>
      </c>
      <c r="D22419" t="s">
        <v>1</v>
      </c>
      <c r="E22419" t="s">
        <v>1</v>
      </c>
      <c r="F22419" t="s">
        <v>0</v>
      </c>
      <c r="G22419" t="str">
        <f>"2018-10-07 09:08:44"</f>
        <v>2018-10-07 09:08:44</v>
      </c>
    </row>
    <row r="22420" spans="1:7" x14ac:dyDescent="0.2">
      <c r="A22420" t="s">
        <v>20915</v>
      </c>
      <c r="B22420" t="str">
        <f>"18281928588"</f>
        <v>18281928588</v>
      </c>
      <c r="C22420" t="str">
        <f>"510704197906054255"</f>
        <v>510704197906054255</v>
      </c>
      <c r="D22420" t="s">
        <v>20916</v>
      </c>
      <c r="E22420" t="s">
        <v>20917</v>
      </c>
      <c r="F22420" t="s">
        <v>0</v>
      </c>
      <c r="G22420" t="str">
        <f>"2018-10-07 09:06:47"</f>
        <v>2018-10-07 09:06:47</v>
      </c>
    </row>
    <row r="22421" spans="1:7" x14ac:dyDescent="0.2">
      <c r="A22421" t="s">
        <v>1</v>
      </c>
      <c r="B22421" t="str">
        <f>"15754462663"</f>
        <v>15754462663</v>
      </c>
      <c r="C22421" t="s">
        <v>1</v>
      </c>
      <c r="D22421" t="s">
        <v>1</v>
      </c>
      <c r="E22421" t="s">
        <v>1</v>
      </c>
      <c r="F22421" t="s">
        <v>0</v>
      </c>
      <c r="G22421" t="str">
        <f>"2018-10-07 09:04:18"</f>
        <v>2018-10-07 09:04:18</v>
      </c>
    </row>
    <row r="22422" spans="1:7" x14ac:dyDescent="0.2">
      <c r="A22422" t="s">
        <v>1</v>
      </c>
      <c r="B22422" t="str">
        <f>"15968582033"</f>
        <v>15968582033</v>
      </c>
      <c r="C22422" t="s">
        <v>1</v>
      </c>
      <c r="D22422" t="s">
        <v>1</v>
      </c>
      <c r="E22422" t="s">
        <v>1</v>
      </c>
      <c r="F22422" t="s">
        <v>0</v>
      </c>
      <c r="G22422" t="str">
        <f>"2018-10-07 09:04:16"</f>
        <v>2018-10-07 09:04:16</v>
      </c>
    </row>
    <row r="22423" spans="1:7" x14ac:dyDescent="0.2">
      <c r="A22423" t="s">
        <v>1</v>
      </c>
      <c r="B22423" t="str">
        <f>"13844658568"</f>
        <v>13844658568</v>
      </c>
      <c r="C22423" t="s">
        <v>1</v>
      </c>
      <c r="D22423" t="s">
        <v>1</v>
      </c>
      <c r="E22423" t="s">
        <v>1</v>
      </c>
      <c r="F22423" t="s">
        <v>0</v>
      </c>
      <c r="G22423" t="str">
        <f>"2018-10-07 09:04:15"</f>
        <v>2018-10-07 09:04:15</v>
      </c>
    </row>
    <row r="22424" spans="1:7" x14ac:dyDescent="0.2">
      <c r="A22424" t="s">
        <v>20918</v>
      </c>
      <c r="B22424" t="str">
        <f>"13513670657"</f>
        <v>13513670657</v>
      </c>
      <c r="C22424" t="str">
        <f>"140212199002233317"</f>
        <v>140212199002233317</v>
      </c>
      <c r="D22424" t="s">
        <v>1</v>
      </c>
      <c r="E22424" t="s">
        <v>1</v>
      </c>
      <c r="F22424" t="s">
        <v>0</v>
      </c>
      <c r="G22424" t="str">
        <f>"2018-10-07 09:14:52"</f>
        <v>2018-10-07 09:14:52</v>
      </c>
    </row>
    <row r="22425" spans="1:7" x14ac:dyDescent="0.2">
      <c r="A22425" t="s">
        <v>20919</v>
      </c>
      <c r="B22425" t="str">
        <f>"13286095253"</f>
        <v>13286095253</v>
      </c>
      <c r="C22425" t="str">
        <f>"130522199803130614"</f>
        <v>130522199803130614</v>
      </c>
      <c r="D22425" t="s">
        <v>1</v>
      </c>
      <c r="E22425" t="s">
        <v>1</v>
      </c>
      <c r="F22425" t="s">
        <v>0</v>
      </c>
      <c r="G22425" t="str">
        <f>"2018-10-07 09:16:32"</f>
        <v>2018-10-07 09:16:32</v>
      </c>
    </row>
    <row r="22426" spans="1:7" x14ac:dyDescent="0.2">
      <c r="A22426" t="s">
        <v>20920</v>
      </c>
      <c r="B22426" t="str">
        <f>"15095683825"</f>
        <v>15095683825</v>
      </c>
      <c r="C22426" t="str">
        <f>"341223197201163911"</f>
        <v>341223197201163911</v>
      </c>
      <c r="D22426" t="s">
        <v>1</v>
      </c>
      <c r="E22426" t="s">
        <v>1</v>
      </c>
      <c r="F22426" t="s">
        <v>0</v>
      </c>
      <c r="G22426" t="str">
        <f>"2018-10-07 09:08:51"</f>
        <v>2018-10-07 09:08:51</v>
      </c>
    </row>
    <row r="22427" spans="1:7" x14ac:dyDescent="0.2">
      <c r="A22427" t="s">
        <v>20921</v>
      </c>
      <c r="B22427" t="str">
        <f>"15969344133"</f>
        <v>15969344133</v>
      </c>
      <c r="C22427" t="str">
        <f>"533521198410200454"</f>
        <v>533521198410200454</v>
      </c>
      <c r="D22427" t="s">
        <v>20922</v>
      </c>
      <c r="E22427" t="s">
        <v>20923</v>
      </c>
      <c r="F22427" t="s">
        <v>0</v>
      </c>
      <c r="G22427" t="str">
        <f>"2018-10-07 09:08:05"</f>
        <v>2018-10-07 09:08:05</v>
      </c>
    </row>
    <row r="22428" spans="1:7" x14ac:dyDescent="0.2">
      <c r="A22428" t="s">
        <v>20924</v>
      </c>
      <c r="B22428" t="str">
        <f>"13548954313"</f>
        <v>13548954313</v>
      </c>
      <c r="C22428" t="str">
        <f>"430822198811307195"</f>
        <v>430822198811307195</v>
      </c>
      <c r="D22428" t="s">
        <v>1</v>
      </c>
      <c r="E22428" t="s">
        <v>1</v>
      </c>
      <c r="F22428" t="s">
        <v>0</v>
      </c>
      <c r="G22428" t="str">
        <f>"2018-10-07 09:05:23"</f>
        <v>2018-10-07 09:05:23</v>
      </c>
    </row>
    <row r="22429" spans="1:7" x14ac:dyDescent="0.2">
      <c r="A22429" t="s">
        <v>1</v>
      </c>
      <c r="B22429" t="str">
        <f>"15262466346"</f>
        <v>15262466346</v>
      </c>
      <c r="C22429" t="s">
        <v>1</v>
      </c>
      <c r="D22429" t="s">
        <v>1</v>
      </c>
      <c r="E22429" t="s">
        <v>1</v>
      </c>
      <c r="F22429" t="s">
        <v>0</v>
      </c>
      <c r="G22429" t="str">
        <f>"2018-10-07 09:03:58"</f>
        <v>2018-10-07 09:03:58</v>
      </c>
    </row>
    <row r="22430" spans="1:7" x14ac:dyDescent="0.2">
      <c r="A22430" t="s">
        <v>20925</v>
      </c>
      <c r="B22430" t="str">
        <f>"15277179649"</f>
        <v>15277179649</v>
      </c>
      <c r="C22430" t="str">
        <f>"450703198503043385"</f>
        <v>450703198503043385</v>
      </c>
      <c r="D22430" t="s">
        <v>1</v>
      </c>
      <c r="E22430" t="s">
        <v>1</v>
      </c>
      <c r="F22430" t="s">
        <v>0</v>
      </c>
      <c r="G22430" t="str">
        <f>"2018-10-07 09:04:52"</f>
        <v>2018-10-07 09:04:52</v>
      </c>
    </row>
    <row r="22431" spans="1:7" x14ac:dyDescent="0.2">
      <c r="A22431" t="s">
        <v>20926</v>
      </c>
      <c r="B22431" t="str">
        <f>"18302820296"</f>
        <v>18302820296</v>
      </c>
      <c r="C22431" t="str">
        <f>"620121199104191942"</f>
        <v>620121199104191942</v>
      </c>
      <c r="D22431" t="s">
        <v>1</v>
      </c>
      <c r="E22431" t="s">
        <v>1</v>
      </c>
      <c r="F22431" t="s">
        <v>0</v>
      </c>
      <c r="G22431" t="str">
        <f>"2018-10-07 09:03:52"</f>
        <v>2018-10-07 09:03:52</v>
      </c>
    </row>
    <row r="22432" spans="1:7" x14ac:dyDescent="0.2">
      <c r="A22432" t="s">
        <v>1</v>
      </c>
      <c r="B22432" t="str">
        <f>"18249168393"</f>
        <v>18249168393</v>
      </c>
      <c r="C22432" t="s">
        <v>1</v>
      </c>
      <c r="D22432" t="s">
        <v>1</v>
      </c>
      <c r="E22432" t="s">
        <v>1</v>
      </c>
      <c r="F22432" t="s">
        <v>0</v>
      </c>
      <c r="G22432" t="str">
        <f>"2018-10-07 09:03:51"</f>
        <v>2018-10-07 09:03:51</v>
      </c>
    </row>
    <row r="22433" spans="1:7" x14ac:dyDescent="0.2">
      <c r="A22433" t="s">
        <v>20927</v>
      </c>
      <c r="B22433" t="str">
        <f>"13991794160"</f>
        <v>13991794160</v>
      </c>
      <c r="C22433" t="str">
        <f>"610623198204110138"</f>
        <v>610623198204110138</v>
      </c>
      <c r="D22433" t="s">
        <v>1</v>
      </c>
      <c r="E22433" t="s">
        <v>1</v>
      </c>
      <c r="F22433" t="s">
        <v>0</v>
      </c>
      <c r="G22433" t="str">
        <f>"2018-10-07 09:12:59"</f>
        <v>2018-10-07 09:12:59</v>
      </c>
    </row>
    <row r="22434" spans="1:7" x14ac:dyDescent="0.2">
      <c r="A22434" t="s">
        <v>1</v>
      </c>
      <c r="B22434" t="str">
        <f>"18256217879"</f>
        <v>18256217879</v>
      </c>
      <c r="C22434" t="s">
        <v>1</v>
      </c>
      <c r="D22434" t="s">
        <v>1</v>
      </c>
      <c r="E22434" t="s">
        <v>1</v>
      </c>
      <c r="F22434" t="s">
        <v>0</v>
      </c>
      <c r="G22434" t="str">
        <f>"2018-10-07 09:03:36"</f>
        <v>2018-10-07 09:03:36</v>
      </c>
    </row>
    <row r="22435" spans="1:7" x14ac:dyDescent="0.2">
      <c r="A22435" t="s">
        <v>1</v>
      </c>
      <c r="B22435" t="str">
        <f>"13919874144"</f>
        <v>13919874144</v>
      </c>
      <c r="C22435" t="s">
        <v>1</v>
      </c>
      <c r="D22435" t="s">
        <v>1</v>
      </c>
      <c r="E22435" t="s">
        <v>1</v>
      </c>
      <c r="F22435" t="s">
        <v>0</v>
      </c>
      <c r="G22435" t="str">
        <f>"2018-10-07 09:03:30"</f>
        <v>2018-10-07 09:03:30</v>
      </c>
    </row>
    <row r="22436" spans="1:7" x14ac:dyDescent="0.2">
      <c r="A22436" t="s">
        <v>1</v>
      </c>
      <c r="B22436" t="str">
        <f>"13466984726"</f>
        <v>13466984726</v>
      </c>
      <c r="C22436" t="s">
        <v>1</v>
      </c>
      <c r="D22436" t="s">
        <v>1</v>
      </c>
      <c r="E22436" t="s">
        <v>1</v>
      </c>
      <c r="F22436" t="s">
        <v>0</v>
      </c>
      <c r="G22436" t="str">
        <f>"2018-10-07 09:03:20"</f>
        <v>2018-10-07 09:03:20</v>
      </c>
    </row>
    <row r="22437" spans="1:7" x14ac:dyDescent="0.2">
      <c r="A22437" t="s">
        <v>20928</v>
      </c>
      <c r="B22437" t="str">
        <f>"13557147534"</f>
        <v>13557147534</v>
      </c>
      <c r="C22437" t="str">
        <f>"452428197205070033"</f>
        <v>452428197205070033</v>
      </c>
      <c r="D22437" t="s">
        <v>1</v>
      </c>
      <c r="E22437" t="s">
        <v>1</v>
      </c>
      <c r="F22437" t="s">
        <v>0</v>
      </c>
      <c r="G22437" t="str">
        <f>"2018-10-07 09:06:16"</f>
        <v>2018-10-07 09:06:16</v>
      </c>
    </row>
    <row r="22438" spans="1:7" x14ac:dyDescent="0.2">
      <c r="A22438" t="s">
        <v>20929</v>
      </c>
      <c r="B22438" t="str">
        <f>"13212261199"</f>
        <v>13212261199</v>
      </c>
      <c r="C22438" t="str">
        <f>"120224197202296016"</f>
        <v>120224197202296016</v>
      </c>
      <c r="D22438" t="s">
        <v>1</v>
      </c>
      <c r="E22438" t="s">
        <v>1</v>
      </c>
      <c r="F22438" t="s">
        <v>0</v>
      </c>
      <c r="G22438" t="str">
        <f>"2018-10-07 09:05:31"</f>
        <v>2018-10-07 09:05:31</v>
      </c>
    </row>
    <row r="22439" spans="1:7" x14ac:dyDescent="0.2">
      <c r="A22439" t="s">
        <v>1</v>
      </c>
      <c r="B22439" t="str">
        <f>"18804468886"</f>
        <v>18804468886</v>
      </c>
      <c r="C22439" t="s">
        <v>1</v>
      </c>
      <c r="D22439" t="s">
        <v>1</v>
      </c>
      <c r="E22439" t="s">
        <v>1</v>
      </c>
      <c r="F22439" t="s">
        <v>0</v>
      </c>
      <c r="G22439" t="str">
        <f>"2018-10-07 09:03:06"</f>
        <v>2018-10-07 09:03:06</v>
      </c>
    </row>
    <row r="22440" spans="1:7" x14ac:dyDescent="0.2">
      <c r="A22440" t="s">
        <v>963</v>
      </c>
      <c r="B22440" t="str">
        <f>"15891160305"</f>
        <v>15891160305</v>
      </c>
      <c r="C22440" t="str">
        <f>"612325197311256363"</f>
        <v>612325197311256363</v>
      </c>
      <c r="D22440" t="s">
        <v>1</v>
      </c>
      <c r="E22440" t="s">
        <v>1</v>
      </c>
      <c r="F22440" t="s">
        <v>0</v>
      </c>
      <c r="G22440" t="str">
        <f>"2018-10-07 09:06:08"</f>
        <v>2018-10-07 09:06:08</v>
      </c>
    </row>
    <row r="22441" spans="1:7" x14ac:dyDescent="0.2">
      <c r="A22441" t="s">
        <v>19045</v>
      </c>
      <c r="B22441" t="str">
        <f>"13987900017"</f>
        <v>13987900017</v>
      </c>
      <c r="C22441" t="str">
        <f>"532725198703300622"</f>
        <v>532725198703300622</v>
      </c>
      <c r="D22441" t="s">
        <v>20930</v>
      </c>
      <c r="E22441" t="s">
        <v>20931</v>
      </c>
      <c r="F22441" t="s">
        <v>0</v>
      </c>
      <c r="G22441" t="str">
        <f>"2018-10-07 09:04:52"</f>
        <v>2018-10-07 09:04:52</v>
      </c>
    </row>
    <row r="22442" spans="1:7" x14ac:dyDescent="0.2">
      <c r="A22442" t="s">
        <v>20932</v>
      </c>
      <c r="B22442" t="str">
        <f>"13649605114"</f>
        <v>13649605114</v>
      </c>
      <c r="C22442" t="str">
        <f>"532527198902062630"</f>
        <v>532527198902062630</v>
      </c>
      <c r="D22442" t="s">
        <v>1</v>
      </c>
      <c r="E22442" t="s">
        <v>1</v>
      </c>
      <c r="F22442" t="s">
        <v>0</v>
      </c>
      <c r="G22442" t="str">
        <f>"2018-10-07 09:10:14"</f>
        <v>2018-10-07 09:10:14</v>
      </c>
    </row>
    <row r="22443" spans="1:7" x14ac:dyDescent="0.2">
      <c r="A22443" t="s">
        <v>20933</v>
      </c>
      <c r="B22443" t="str">
        <f>"15287927651"</f>
        <v>15287927651</v>
      </c>
      <c r="C22443" t="str">
        <f>"53032419881117191X"</f>
        <v>53032419881117191X</v>
      </c>
      <c r="D22443" t="s">
        <v>1</v>
      </c>
      <c r="E22443" t="s">
        <v>1</v>
      </c>
      <c r="F22443" t="s">
        <v>0</v>
      </c>
      <c r="G22443" t="str">
        <f>"2018-10-07 09:04:11"</f>
        <v>2018-10-07 09:04:11</v>
      </c>
    </row>
    <row r="22444" spans="1:7" x14ac:dyDescent="0.2">
      <c r="A22444" t="s">
        <v>516</v>
      </c>
      <c r="B22444" t="str">
        <f>"13199218567"</f>
        <v>13199218567</v>
      </c>
      <c r="C22444" t="str">
        <f>"230523199208080026"</f>
        <v>230523199208080026</v>
      </c>
      <c r="D22444" t="s">
        <v>20934</v>
      </c>
      <c r="E22444" t="s">
        <v>20935</v>
      </c>
      <c r="F22444" t="s">
        <v>0</v>
      </c>
      <c r="G22444" t="str">
        <f>"2018-10-19 10:05:55"</f>
        <v>2018-10-19 10:05:55</v>
      </c>
    </row>
    <row r="22445" spans="1:7" x14ac:dyDescent="0.2">
      <c r="A22445" t="s">
        <v>1</v>
      </c>
      <c r="B22445" t="str">
        <f>"15205861758"</f>
        <v>15205861758</v>
      </c>
      <c r="C22445" t="s">
        <v>1</v>
      </c>
      <c r="D22445" t="s">
        <v>1</v>
      </c>
      <c r="E22445" t="s">
        <v>1</v>
      </c>
      <c r="F22445" t="s">
        <v>0</v>
      </c>
      <c r="G22445" t="str">
        <f>"2018-10-07 09:02:46"</f>
        <v>2018-10-07 09:02:46</v>
      </c>
    </row>
    <row r="22446" spans="1:7" x14ac:dyDescent="0.2">
      <c r="A22446" t="s">
        <v>1340</v>
      </c>
      <c r="B22446" t="str">
        <f>"15935277924"</f>
        <v>15935277924</v>
      </c>
      <c r="C22446" t="str">
        <f>"140202197608300527"</f>
        <v>140202197608300527</v>
      </c>
      <c r="D22446" t="s">
        <v>20936</v>
      </c>
      <c r="E22446" t="s">
        <v>20937</v>
      </c>
      <c r="F22446" t="s">
        <v>0</v>
      </c>
      <c r="G22446" t="str">
        <f>"2018-10-07 09:05:58"</f>
        <v>2018-10-07 09:05:58</v>
      </c>
    </row>
    <row r="22447" spans="1:7" x14ac:dyDescent="0.2">
      <c r="A22447" t="s">
        <v>1851</v>
      </c>
      <c r="B22447" t="str">
        <f>"13541292991"</f>
        <v>13541292991</v>
      </c>
      <c r="C22447" t="str">
        <f>"511227197601123975"</f>
        <v>511227197601123975</v>
      </c>
      <c r="D22447" t="s">
        <v>1</v>
      </c>
      <c r="E22447" t="s">
        <v>1</v>
      </c>
      <c r="F22447" t="s">
        <v>0</v>
      </c>
      <c r="G22447" t="str">
        <f>"2018-10-07 09:18:48"</f>
        <v>2018-10-07 09:18:48</v>
      </c>
    </row>
    <row r="22448" spans="1:7" x14ac:dyDescent="0.2">
      <c r="A22448" t="s">
        <v>20938</v>
      </c>
      <c r="B22448" t="str">
        <f>"15102179079"</f>
        <v>15102179079</v>
      </c>
      <c r="C22448" t="str">
        <f>"360311199505054038"</f>
        <v>360311199505054038</v>
      </c>
      <c r="D22448" t="s">
        <v>1</v>
      </c>
      <c r="E22448" t="s">
        <v>1</v>
      </c>
      <c r="F22448" t="s">
        <v>0</v>
      </c>
      <c r="G22448" t="str">
        <f>"2018-10-07 09:03:20"</f>
        <v>2018-10-07 09:03:20</v>
      </c>
    </row>
    <row r="22449" spans="1:7" x14ac:dyDescent="0.2">
      <c r="A22449" t="s">
        <v>1</v>
      </c>
      <c r="B22449" t="str">
        <f>"13903464348"</f>
        <v>13903464348</v>
      </c>
      <c r="C22449" t="s">
        <v>1</v>
      </c>
      <c r="D22449" t="s">
        <v>1</v>
      </c>
      <c r="E22449" t="s">
        <v>1</v>
      </c>
      <c r="F22449" t="s">
        <v>0</v>
      </c>
      <c r="G22449" t="str">
        <f>"2018-10-07 09:03:04"</f>
        <v>2018-10-07 09:03:04</v>
      </c>
    </row>
    <row r="22450" spans="1:7" x14ac:dyDescent="0.2">
      <c r="A22450" t="s">
        <v>1</v>
      </c>
      <c r="B22450" t="str">
        <f>"13977003051"</f>
        <v>13977003051</v>
      </c>
      <c r="C22450" t="s">
        <v>1</v>
      </c>
      <c r="D22450" t="s">
        <v>1</v>
      </c>
      <c r="E22450" t="s">
        <v>1</v>
      </c>
      <c r="F22450" t="s">
        <v>0</v>
      </c>
      <c r="G22450" t="str">
        <f>"2018-10-07 09:02:07"</f>
        <v>2018-10-07 09:02:07</v>
      </c>
    </row>
    <row r="22451" spans="1:7" x14ac:dyDescent="0.2">
      <c r="A22451" t="s">
        <v>1</v>
      </c>
      <c r="B22451" t="str">
        <f>"15062773288"</f>
        <v>15062773288</v>
      </c>
      <c r="C22451" t="s">
        <v>1</v>
      </c>
      <c r="D22451" t="s">
        <v>1</v>
      </c>
      <c r="E22451" t="s">
        <v>1</v>
      </c>
      <c r="F22451" t="s">
        <v>0</v>
      </c>
      <c r="G22451" t="str">
        <f>"2018-10-07 09:02:04"</f>
        <v>2018-10-07 09:02:04</v>
      </c>
    </row>
    <row r="22452" spans="1:7" x14ac:dyDescent="0.2">
      <c r="A22452" t="s">
        <v>20939</v>
      </c>
      <c r="B22452" t="str">
        <f>"15955538887"</f>
        <v>15955538887</v>
      </c>
      <c r="C22452" t="str">
        <f>"340521197903100539"</f>
        <v>340521197903100539</v>
      </c>
      <c r="D22452" t="s">
        <v>1</v>
      </c>
      <c r="E22452" t="s">
        <v>1</v>
      </c>
      <c r="F22452" t="s">
        <v>0</v>
      </c>
      <c r="G22452" t="str">
        <f>"2018-10-07 09:03:29"</f>
        <v>2018-10-07 09:03:29</v>
      </c>
    </row>
    <row r="22453" spans="1:7" x14ac:dyDescent="0.2">
      <c r="A22453" t="s">
        <v>20940</v>
      </c>
      <c r="B22453" t="str">
        <f>"13940500430"</f>
        <v>13940500430</v>
      </c>
      <c r="C22453" t="str">
        <f>"230622199102030054"</f>
        <v>230622199102030054</v>
      </c>
      <c r="D22453" t="s">
        <v>1</v>
      </c>
      <c r="E22453" t="s">
        <v>1</v>
      </c>
      <c r="F22453" t="s">
        <v>0</v>
      </c>
      <c r="G22453" t="str">
        <f>"2018-10-07 09:45:04"</f>
        <v>2018-10-07 09:45:04</v>
      </c>
    </row>
    <row r="22454" spans="1:7" x14ac:dyDescent="0.2">
      <c r="A22454" t="s">
        <v>20941</v>
      </c>
      <c r="B22454" t="str">
        <f>"13098577462"</f>
        <v>13098577462</v>
      </c>
      <c r="C22454" t="str">
        <f>"522425198101291230"</f>
        <v>522425198101291230</v>
      </c>
      <c r="D22454" t="s">
        <v>1</v>
      </c>
      <c r="E22454" t="s">
        <v>1</v>
      </c>
      <c r="F22454" t="s">
        <v>0</v>
      </c>
      <c r="G22454" t="str">
        <f>"2018-10-19 14:15:33"</f>
        <v>2018-10-19 14:15:33</v>
      </c>
    </row>
    <row r="22455" spans="1:7" x14ac:dyDescent="0.2">
      <c r="A22455" t="s">
        <v>1</v>
      </c>
      <c r="B22455" t="str">
        <f>"13694684844"</f>
        <v>13694684844</v>
      </c>
      <c r="C22455" t="s">
        <v>1</v>
      </c>
      <c r="D22455" t="s">
        <v>1</v>
      </c>
      <c r="E22455" t="s">
        <v>1</v>
      </c>
      <c r="F22455" t="s">
        <v>0</v>
      </c>
      <c r="G22455" t="str">
        <f>"2018-10-07 09:02:58"</f>
        <v>2018-10-07 09:02:58</v>
      </c>
    </row>
    <row r="22456" spans="1:7" x14ac:dyDescent="0.2">
      <c r="A22456" t="s">
        <v>626</v>
      </c>
      <c r="B22456" t="str">
        <f>"15720332165"</f>
        <v>15720332165</v>
      </c>
      <c r="C22456" t="str">
        <f>"130925198707087210"</f>
        <v>130925198707087210</v>
      </c>
      <c r="D22456" t="s">
        <v>1</v>
      </c>
      <c r="E22456" t="s">
        <v>1</v>
      </c>
      <c r="F22456" t="s">
        <v>0</v>
      </c>
      <c r="G22456" t="str">
        <f>"2018-10-07 09:04:02"</f>
        <v>2018-10-07 09:04:02</v>
      </c>
    </row>
    <row r="22457" spans="1:7" x14ac:dyDescent="0.2">
      <c r="A22457" t="s">
        <v>20942</v>
      </c>
      <c r="B22457" t="str">
        <f>"15209537136"</f>
        <v>15209537136</v>
      </c>
      <c r="C22457" t="str">
        <f>"640302198911200914"</f>
        <v>640302198911200914</v>
      </c>
      <c r="D22457" t="s">
        <v>1</v>
      </c>
      <c r="E22457" t="s">
        <v>1</v>
      </c>
      <c r="F22457" t="s">
        <v>0</v>
      </c>
      <c r="G22457" t="str">
        <f>"2018-10-07 09:03:48"</f>
        <v>2018-10-07 09:03:48</v>
      </c>
    </row>
    <row r="22458" spans="1:7" x14ac:dyDescent="0.2">
      <c r="A22458" t="s">
        <v>20943</v>
      </c>
      <c r="B22458" t="str">
        <f>"15905024728"</f>
        <v>15905024728</v>
      </c>
      <c r="C22458" t="str">
        <f>"430682199909037023"</f>
        <v>430682199909037023</v>
      </c>
      <c r="D22458" t="s">
        <v>1</v>
      </c>
      <c r="E22458" t="s">
        <v>1</v>
      </c>
      <c r="F22458" t="s">
        <v>0</v>
      </c>
      <c r="G22458" t="str">
        <f>"2018-10-07 09:06:07"</f>
        <v>2018-10-07 09:06:07</v>
      </c>
    </row>
    <row r="22459" spans="1:7" x14ac:dyDescent="0.2">
      <c r="A22459" t="s">
        <v>20944</v>
      </c>
      <c r="B22459" t="str">
        <f>"17684075857"</f>
        <v>17684075857</v>
      </c>
      <c r="C22459" t="str">
        <f>"522401199705061528"</f>
        <v>522401199705061528</v>
      </c>
      <c r="D22459" t="s">
        <v>1</v>
      </c>
      <c r="E22459" t="s">
        <v>1</v>
      </c>
      <c r="F22459" t="s">
        <v>0</v>
      </c>
      <c r="G22459" t="str">
        <f>"2018-10-07 09:05:22"</f>
        <v>2018-10-07 09:05:22</v>
      </c>
    </row>
    <row r="22460" spans="1:7" x14ac:dyDescent="0.2">
      <c r="A22460" t="s">
        <v>1651</v>
      </c>
      <c r="B22460" t="str">
        <f>"13409519913"</f>
        <v>13409519913</v>
      </c>
      <c r="C22460" t="str">
        <f>"640103198910121515"</f>
        <v>640103198910121515</v>
      </c>
      <c r="D22460" t="s">
        <v>1</v>
      </c>
      <c r="E22460" t="s">
        <v>1</v>
      </c>
      <c r="F22460" t="s">
        <v>0</v>
      </c>
      <c r="G22460" t="str">
        <f>"2018-10-07 09:01:41"</f>
        <v>2018-10-07 09:01:41</v>
      </c>
    </row>
    <row r="22461" spans="1:7" x14ac:dyDescent="0.2">
      <c r="A22461" t="s">
        <v>1</v>
      </c>
      <c r="B22461" t="str">
        <f>"15881881451"</f>
        <v>15881881451</v>
      </c>
      <c r="C22461" t="s">
        <v>1</v>
      </c>
      <c r="D22461" t="s">
        <v>1</v>
      </c>
      <c r="E22461" t="s">
        <v>1</v>
      </c>
      <c r="F22461" t="s">
        <v>0</v>
      </c>
      <c r="G22461" t="str">
        <f>"2018-10-07 09:02:02"</f>
        <v>2018-10-07 09:02:02</v>
      </c>
    </row>
    <row r="22462" spans="1:7" x14ac:dyDescent="0.2">
      <c r="A22462" t="s">
        <v>20945</v>
      </c>
      <c r="B22462" t="str">
        <f>"15277990012"</f>
        <v>15277990012</v>
      </c>
      <c r="C22462" t="str">
        <f>"450981199710083579"</f>
        <v>450981199710083579</v>
      </c>
      <c r="D22462" t="s">
        <v>20946</v>
      </c>
      <c r="E22462" t="s">
        <v>20947</v>
      </c>
      <c r="F22462" t="s">
        <v>0</v>
      </c>
      <c r="G22462" t="str">
        <f>"2018-10-30 10:29:13"</f>
        <v>2018-10-30 10:29:13</v>
      </c>
    </row>
    <row r="22463" spans="1:7" x14ac:dyDescent="0.2">
      <c r="A22463" t="s">
        <v>20948</v>
      </c>
      <c r="B22463" t="str">
        <f>"18536667505"</f>
        <v>18536667505</v>
      </c>
      <c r="C22463" t="str">
        <f>"140122199107202821"</f>
        <v>140122199107202821</v>
      </c>
      <c r="D22463" t="s">
        <v>20949</v>
      </c>
      <c r="E22463" t="s">
        <v>20950</v>
      </c>
      <c r="F22463" t="s">
        <v>0</v>
      </c>
      <c r="G22463" t="str">
        <f>"2018-10-08 17:39:16"</f>
        <v>2018-10-08 17:39:16</v>
      </c>
    </row>
    <row r="22464" spans="1:7" x14ac:dyDescent="0.2">
      <c r="A22464" t="s">
        <v>20951</v>
      </c>
      <c r="B22464" t="str">
        <f>"17623284697"</f>
        <v>17623284697</v>
      </c>
      <c r="C22464" t="str">
        <f>"500236200007013552"</f>
        <v>500236200007013552</v>
      </c>
      <c r="D22464" t="s">
        <v>1</v>
      </c>
      <c r="E22464" t="s">
        <v>1</v>
      </c>
      <c r="F22464" t="s">
        <v>0</v>
      </c>
      <c r="G22464" t="str">
        <f>"2018-10-07 09:00:13"</f>
        <v>2018-10-07 09:00:13</v>
      </c>
    </row>
    <row r="22465" spans="1:7" x14ac:dyDescent="0.2">
      <c r="A22465" t="s">
        <v>1</v>
      </c>
      <c r="B22465" t="str">
        <f>"18685238949"</f>
        <v>18685238949</v>
      </c>
      <c r="C22465" t="s">
        <v>1</v>
      </c>
      <c r="D22465" t="s">
        <v>1</v>
      </c>
      <c r="E22465" t="s">
        <v>1</v>
      </c>
      <c r="F22465" t="s">
        <v>0</v>
      </c>
      <c r="G22465" t="str">
        <f>"2018-10-07 09:00:00"</f>
        <v>2018-10-07 09:00:00</v>
      </c>
    </row>
    <row r="22466" spans="1:7" x14ac:dyDescent="0.2">
      <c r="A22466" t="s">
        <v>1433</v>
      </c>
      <c r="B22466" t="str">
        <f>"18835912201"</f>
        <v>18835912201</v>
      </c>
      <c r="C22466" t="str">
        <f>"142727199112223543"</f>
        <v>142727199112223543</v>
      </c>
      <c r="D22466" t="s">
        <v>1725</v>
      </c>
      <c r="E22466" t="s">
        <v>20952</v>
      </c>
      <c r="F22466" t="s">
        <v>0</v>
      </c>
      <c r="G22466" t="str">
        <f>"2018-10-07 09:03:50"</f>
        <v>2018-10-07 09:03:50</v>
      </c>
    </row>
    <row r="22467" spans="1:7" x14ac:dyDescent="0.2">
      <c r="A22467" t="s">
        <v>20953</v>
      </c>
      <c r="B22467" t="str">
        <f>"15945110075"</f>
        <v>15945110075</v>
      </c>
      <c r="C22467" t="str">
        <f>"232303198702086213"</f>
        <v>232303198702086213</v>
      </c>
      <c r="D22467" t="s">
        <v>20954</v>
      </c>
      <c r="E22467" t="s">
        <v>20955</v>
      </c>
      <c r="F22467" t="s">
        <v>0</v>
      </c>
      <c r="G22467" t="str">
        <f>"2018-10-21 13:49:06"</f>
        <v>2018-10-21 13:49:06</v>
      </c>
    </row>
    <row r="22468" spans="1:7" x14ac:dyDescent="0.2">
      <c r="A22468" t="s">
        <v>1</v>
      </c>
      <c r="B22468" t="str">
        <f>"18599998005"</f>
        <v>18599998005</v>
      </c>
      <c r="C22468" t="s">
        <v>1</v>
      </c>
      <c r="D22468" t="s">
        <v>1</v>
      </c>
      <c r="E22468" t="s">
        <v>1</v>
      </c>
      <c r="F22468" t="s">
        <v>0</v>
      </c>
      <c r="G22468" t="str">
        <f>"2018-10-07 08:59:13"</f>
        <v>2018-10-07 08:59:13</v>
      </c>
    </row>
    <row r="22469" spans="1:7" x14ac:dyDescent="0.2">
      <c r="A22469" t="s">
        <v>20956</v>
      </c>
      <c r="B22469" t="str">
        <f>"15367110005"</f>
        <v>15367110005</v>
      </c>
      <c r="C22469" t="str">
        <f>"430381199312249194"</f>
        <v>430381199312249194</v>
      </c>
      <c r="D22469" t="s">
        <v>1</v>
      </c>
      <c r="E22469" t="s">
        <v>1</v>
      </c>
      <c r="F22469" t="s">
        <v>0</v>
      </c>
      <c r="G22469" t="str">
        <f>"2018-10-07 09:01:07"</f>
        <v>2018-10-07 09:01:07</v>
      </c>
    </row>
    <row r="22470" spans="1:7" x14ac:dyDescent="0.2">
      <c r="A22470" t="s">
        <v>1</v>
      </c>
      <c r="B22470" t="str">
        <f>"13077068886"</f>
        <v>13077068886</v>
      </c>
      <c r="C22470" t="s">
        <v>1</v>
      </c>
      <c r="D22470" t="s">
        <v>1</v>
      </c>
      <c r="E22470" t="s">
        <v>1</v>
      </c>
      <c r="F22470" t="s">
        <v>0</v>
      </c>
      <c r="G22470" t="str">
        <f>"2018-10-07 09:03:29"</f>
        <v>2018-10-07 09:03:29</v>
      </c>
    </row>
    <row r="22471" spans="1:7" x14ac:dyDescent="0.2">
      <c r="A22471" t="s">
        <v>20957</v>
      </c>
      <c r="B22471" t="str">
        <f>"15583628732"</f>
        <v>15583628732</v>
      </c>
      <c r="C22471" t="str">
        <f>"511302199901270026"</f>
        <v>511302199901270026</v>
      </c>
      <c r="D22471" t="s">
        <v>1</v>
      </c>
      <c r="E22471" t="s">
        <v>1</v>
      </c>
      <c r="F22471" t="s">
        <v>0</v>
      </c>
      <c r="G22471" t="str">
        <f>"2018-10-07 09:08:43"</f>
        <v>2018-10-07 09:08:43</v>
      </c>
    </row>
    <row r="22472" spans="1:7" x14ac:dyDescent="0.2">
      <c r="A22472" t="s">
        <v>1477</v>
      </c>
      <c r="B22472" t="str">
        <f>"17808275888"</f>
        <v>17808275888</v>
      </c>
      <c r="C22472" t="str">
        <f>"513722198507242072"</f>
        <v>513722198507242072</v>
      </c>
      <c r="D22472" t="s">
        <v>20958</v>
      </c>
      <c r="E22472" t="s">
        <v>20959</v>
      </c>
      <c r="F22472" t="s">
        <v>0</v>
      </c>
      <c r="G22472" t="str">
        <f>"2018-10-07 09:00:03"</f>
        <v>2018-10-07 09:00:03</v>
      </c>
    </row>
    <row r="22473" spans="1:7" x14ac:dyDescent="0.2">
      <c r="A22473" t="s">
        <v>20960</v>
      </c>
      <c r="B22473" t="str">
        <f>"15568021230"</f>
        <v>15568021230</v>
      </c>
      <c r="C22473" t="str">
        <f>"222426197910015819"</f>
        <v>222426197910015819</v>
      </c>
      <c r="D22473" t="s">
        <v>1</v>
      </c>
      <c r="E22473" t="s">
        <v>1</v>
      </c>
      <c r="F22473" t="s">
        <v>0</v>
      </c>
      <c r="G22473" t="str">
        <f>"2018-10-07 08:56:34"</f>
        <v>2018-10-07 08:56:34</v>
      </c>
    </row>
    <row r="22474" spans="1:7" x14ac:dyDescent="0.2">
      <c r="A22474" t="s">
        <v>20961</v>
      </c>
      <c r="B22474" t="str">
        <f>"13750327633"</f>
        <v>13750327633</v>
      </c>
      <c r="C22474" t="str">
        <f>"440781198610094716"</f>
        <v>440781198610094716</v>
      </c>
      <c r="D22474" t="s">
        <v>1</v>
      </c>
      <c r="E22474" t="s">
        <v>1</v>
      </c>
      <c r="F22474" t="s">
        <v>0</v>
      </c>
      <c r="G22474" t="str">
        <f>"2018-10-07 09:27:18"</f>
        <v>2018-10-07 09:27:18</v>
      </c>
    </row>
    <row r="22475" spans="1:7" x14ac:dyDescent="0.2">
      <c r="A22475" t="s">
        <v>20962</v>
      </c>
      <c r="B22475" t="str">
        <f>"18734334457"</f>
        <v>18734334457</v>
      </c>
      <c r="C22475" t="str">
        <f>"140303198112300837"</f>
        <v>140303198112300837</v>
      </c>
      <c r="D22475" t="s">
        <v>20963</v>
      </c>
      <c r="E22475" t="s">
        <v>20964</v>
      </c>
      <c r="F22475" t="s">
        <v>0</v>
      </c>
      <c r="G22475" t="str">
        <f>"2018-10-13 11:31:48"</f>
        <v>2018-10-13 11:31:48</v>
      </c>
    </row>
    <row r="22476" spans="1:7" x14ac:dyDescent="0.2">
      <c r="A22476" t="s">
        <v>1</v>
      </c>
      <c r="B22476" t="str">
        <f>"15685158081"</f>
        <v>15685158081</v>
      </c>
      <c r="C22476" t="s">
        <v>1</v>
      </c>
      <c r="D22476" t="s">
        <v>1</v>
      </c>
      <c r="E22476" t="s">
        <v>1</v>
      </c>
      <c r="F22476" t="s">
        <v>0</v>
      </c>
      <c r="G22476" t="str">
        <f>"2018-10-07 08:55:38"</f>
        <v>2018-10-07 08:55:38</v>
      </c>
    </row>
    <row r="22477" spans="1:7" x14ac:dyDescent="0.2">
      <c r="A22477" t="s">
        <v>1</v>
      </c>
      <c r="B22477" t="str">
        <f>"18631230208"</f>
        <v>18631230208</v>
      </c>
      <c r="C22477" t="s">
        <v>1</v>
      </c>
      <c r="D22477" t="s">
        <v>1</v>
      </c>
      <c r="E22477" t="s">
        <v>1</v>
      </c>
      <c r="F22477" t="s">
        <v>0</v>
      </c>
      <c r="G22477" t="str">
        <f>"2018-10-07 08:55:33"</f>
        <v>2018-10-07 08:55:33</v>
      </c>
    </row>
    <row r="22478" spans="1:7" x14ac:dyDescent="0.2">
      <c r="A22478" t="s">
        <v>1006</v>
      </c>
      <c r="B22478" t="str">
        <f>"18046618889"</f>
        <v>18046618889</v>
      </c>
      <c r="C22478" t="str">
        <f>"362322198708185536"</f>
        <v>362322198708185536</v>
      </c>
      <c r="D22478" t="s">
        <v>1</v>
      </c>
      <c r="E22478" t="s">
        <v>1</v>
      </c>
      <c r="F22478" t="s">
        <v>0</v>
      </c>
      <c r="G22478" t="str">
        <f>"2018-10-30 10:12:37"</f>
        <v>2018-10-30 10:12:37</v>
      </c>
    </row>
    <row r="22479" spans="1:7" x14ac:dyDescent="0.2">
      <c r="A22479" t="s">
        <v>738</v>
      </c>
      <c r="B22479" t="str">
        <f>"18638186112"</f>
        <v>18638186112</v>
      </c>
      <c r="C22479" t="str">
        <f>"410104199009010108"</f>
        <v>410104199009010108</v>
      </c>
      <c r="D22479" t="s">
        <v>1</v>
      </c>
      <c r="E22479" t="s">
        <v>1</v>
      </c>
      <c r="F22479" t="s">
        <v>0</v>
      </c>
      <c r="G22479" t="str">
        <f>"2018-10-07 12:02:32"</f>
        <v>2018-10-07 12:02:32</v>
      </c>
    </row>
    <row r="22480" spans="1:7" x14ac:dyDescent="0.2">
      <c r="A22480" t="s">
        <v>20965</v>
      </c>
      <c r="B22480" t="str">
        <f>"18222034916"</f>
        <v>18222034916</v>
      </c>
      <c r="C22480" t="str">
        <f>"372323198008103315"</f>
        <v>372323198008103315</v>
      </c>
      <c r="D22480" t="s">
        <v>1</v>
      </c>
      <c r="E22480" t="s">
        <v>1</v>
      </c>
      <c r="F22480" t="s">
        <v>0</v>
      </c>
      <c r="G22480" t="str">
        <f>"2018-10-07 08:57:14"</f>
        <v>2018-10-07 08:57:14</v>
      </c>
    </row>
    <row r="22481" spans="1:7" x14ac:dyDescent="0.2">
      <c r="A22481" t="s">
        <v>1</v>
      </c>
      <c r="B22481" t="str">
        <f>"13250148909"</f>
        <v>13250148909</v>
      </c>
      <c r="C22481" t="s">
        <v>1</v>
      </c>
      <c r="D22481" t="s">
        <v>1</v>
      </c>
      <c r="E22481" t="s">
        <v>1</v>
      </c>
      <c r="F22481" t="s">
        <v>0</v>
      </c>
      <c r="G22481" t="str">
        <f>"2018-10-07 08:54:20"</f>
        <v>2018-10-07 08:54:20</v>
      </c>
    </row>
    <row r="22482" spans="1:7" x14ac:dyDescent="0.2">
      <c r="A22482" t="s">
        <v>20966</v>
      </c>
      <c r="B22482" t="str">
        <f>"18487349324"</f>
        <v>18487349324</v>
      </c>
      <c r="C22482" t="str">
        <f>"532627199502133372"</f>
        <v>532627199502133372</v>
      </c>
      <c r="D22482" t="s">
        <v>1</v>
      </c>
      <c r="E22482" t="s">
        <v>1</v>
      </c>
      <c r="F22482" t="s">
        <v>0</v>
      </c>
      <c r="G22482" t="str">
        <f>"2018-10-07 09:21:05"</f>
        <v>2018-10-07 09:21:05</v>
      </c>
    </row>
    <row r="22483" spans="1:7" x14ac:dyDescent="0.2">
      <c r="A22483" t="s">
        <v>20967</v>
      </c>
      <c r="B22483" t="str">
        <f>"15205007835"</f>
        <v>15205007835</v>
      </c>
      <c r="C22483" t="str">
        <f>"330724199706064513"</f>
        <v>330724199706064513</v>
      </c>
      <c r="D22483" t="s">
        <v>1</v>
      </c>
      <c r="E22483" t="s">
        <v>1</v>
      </c>
      <c r="F22483" t="s">
        <v>0</v>
      </c>
      <c r="G22483" t="str">
        <f>"2018-10-07 08:56:13"</f>
        <v>2018-10-07 08:56:13</v>
      </c>
    </row>
    <row r="22484" spans="1:7" x14ac:dyDescent="0.2">
      <c r="A22484" t="s">
        <v>20968</v>
      </c>
      <c r="B22484" t="str">
        <f>"18269277924"</f>
        <v>18269277924</v>
      </c>
      <c r="C22484" t="str">
        <f>"450922199101043985"</f>
        <v>450922199101043985</v>
      </c>
      <c r="D22484" t="s">
        <v>1</v>
      </c>
      <c r="E22484" t="s">
        <v>1</v>
      </c>
      <c r="F22484" t="s">
        <v>0</v>
      </c>
      <c r="G22484" t="str">
        <f>"2018-10-07 08:54:58"</f>
        <v>2018-10-07 08:54:58</v>
      </c>
    </row>
    <row r="22485" spans="1:7" x14ac:dyDescent="0.2">
      <c r="A22485" t="s">
        <v>1</v>
      </c>
      <c r="B22485" t="str">
        <f>"15227377328"</f>
        <v>15227377328</v>
      </c>
      <c r="C22485" t="s">
        <v>1</v>
      </c>
      <c r="D22485" t="s">
        <v>1</v>
      </c>
      <c r="E22485" t="s">
        <v>1</v>
      </c>
      <c r="F22485" t="s">
        <v>0</v>
      </c>
      <c r="G22485" t="str">
        <f>"2018-10-07 08:53:15"</f>
        <v>2018-10-07 08:53:15</v>
      </c>
    </row>
    <row r="22486" spans="1:7" x14ac:dyDescent="0.2">
      <c r="A22486" t="s">
        <v>20969</v>
      </c>
      <c r="B22486" t="str">
        <f>"13859191904"</f>
        <v>13859191904</v>
      </c>
      <c r="C22486" t="str">
        <f>"35042919821223701X"</f>
        <v>35042919821223701X</v>
      </c>
      <c r="D22486" t="s">
        <v>1</v>
      </c>
      <c r="E22486" t="s">
        <v>1</v>
      </c>
      <c r="F22486" t="s">
        <v>0</v>
      </c>
      <c r="G22486" t="str">
        <f>"2018-10-15 14:11:39"</f>
        <v>2018-10-15 14:11:39</v>
      </c>
    </row>
    <row r="22487" spans="1:7" x14ac:dyDescent="0.2">
      <c r="A22487" t="s">
        <v>20970</v>
      </c>
      <c r="B22487" t="str">
        <f>"13820400709"</f>
        <v>13820400709</v>
      </c>
      <c r="C22487" t="str">
        <f>"230107199502241511"</f>
        <v>230107199502241511</v>
      </c>
      <c r="D22487" t="s">
        <v>1</v>
      </c>
      <c r="E22487" t="s">
        <v>1</v>
      </c>
      <c r="F22487" t="s">
        <v>0</v>
      </c>
      <c r="G22487" t="str">
        <f>"2018-10-07 08:56:42"</f>
        <v>2018-10-07 08:56:42</v>
      </c>
    </row>
    <row r="22488" spans="1:7" x14ac:dyDescent="0.2">
      <c r="A22488" t="s">
        <v>20971</v>
      </c>
      <c r="B22488" t="str">
        <f>"15521508010"</f>
        <v>15521508010</v>
      </c>
      <c r="C22488" t="str">
        <f>"440508199603210711"</f>
        <v>440508199603210711</v>
      </c>
      <c r="D22488" t="s">
        <v>20972</v>
      </c>
      <c r="E22488" t="s">
        <v>20973</v>
      </c>
      <c r="F22488" t="s">
        <v>0</v>
      </c>
      <c r="G22488" t="str">
        <f>"2018-10-07 08:53:27"</f>
        <v>2018-10-07 08:53:27</v>
      </c>
    </row>
    <row r="22489" spans="1:7" x14ac:dyDescent="0.2">
      <c r="A22489" t="s">
        <v>20974</v>
      </c>
      <c r="B22489" t="str">
        <f>"13840255330"</f>
        <v>13840255330</v>
      </c>
      <c r="C22489" t="str">
        <f>"210124198403220617"</f>
        <v>210124198403220617</v>
      </c>
      <c r="D22489" t="s">
        <v>1</v>
      </c>
      <c r="E22489" t="s">
        <v>1</v>
      </c>
      <c r="F22489" t="s">
        <v>0</v>
      </c>
      <c r="G22489" t="str">
        <f>"2018-10-07 08:56:02"</f>
        <v>2018-10-07 08:56:02</v>
      </c>
    </row>
    <row r="22490" spans="1:7" x14ac:dyDescent="0.2">
      <c r="A22490" t="s">
        <v>20975</v>
      </c>
      <c r="B22490" t="str">
        <f>"15080807903"</f>
        <v>15080807903</v>
      </c>
      <c r="C22490" t="str">
        <f>"432501199303221510"</f>
        <v>432501199303221510</v>
      </c>
      <c r="D22490" t="s">
        <v>1</v>
      </c>
      <c r="E22490" t="s">
        <v>1</v>
      </c>
      <c r="F22490" t="s">
        <v>0</v>
      </c>
      <c r="G22490" t="str">
        <f>"2018-10-09 13:19:10"</f>
        <v>2018-10-09 13:19:10</v>
      </c>
    </row>
    <row r="22491" spans="1:7" x14ac:dyDescent="0.2">
      <c r="A22491" t="s">
        <v>20976</v>
      </c>
      <c r="B22491" t="str">
        <f>"13236908848"</f>
        <v>13236908848</v>
      </c>
      <c r="C22491" t="str">
        <f>"220723198204152613"</f>
        <v>220723198204152613</v>
      </c>
      <c r="D22491" t="s">
        <v>20977</v>
      </c>
      <c r="E22491" t="s">
        <v>20978</v>
      </c>
      <c r="F22491" t="s">
        <v>0</v>
      </c>
      <c r="G22491" t="str">
        <f>"2018-10-07 08:59:13"</f>
        <v>2018-10-07 08:59:13</v>
      </c>
    </row>
    <row r="22492" spans="1:7" x14ac:dyDescent="0.2">
      <c r="A22492" t="s">
        <v>444</v>
      </c>
      <c r="B22492" t="str">
        <f>"15647036804"</f>
        <v>15647036804</v>
      </c>
      <c r="C22492" t="str">
        <f>"152101198901240611"</f>
        <v>152101198901240611</v>
      </c>
      <c r="D22492" t="s">
        <v>1</v>
      </c>
      <c r="E22492" t="s">
        <v>1</v>
      </c>
      <c r="F22492" t="s">
        <v>0</v>
      </c>
      <c r="G22492" t="str">
        <f>"2018-10-07 08:50:37"</f>
        <v>2018-10-07 08:50:37</v>
      </c>
    </row>
    <row r="22493" spans="1:7" x14ac:dyDescent="0.2">
      <c r="A22493" t="s">
        <v>1</v>
      </c>
      <c r="B22493" t="str">
        <f>"18569772808"</f>
        <v>18569772808</v>
      </c>
      <c r="C22493" t="s">
        <v>1</v>
      </c>
      <c r="D22493" t="s">
        <v>1</v>
      </c>
      <c r="E22493" t="s">
        <v>1</v>
      </c>
      <c r="F22493" t="s">
        <v>0</v>
      </c>
      <c r="G22493" t="str">
        <f>"2018-10-07 08:50:37"</f>
        <v>2018-10-07 08:50:37</v>
      </c>
    </row>
    <row r="22494" spans="1:7" x14ac:dyDescent="0.2">
      <c r="A22494" t="s">
        <v>1</v>
      </c>
      <c r="B22494" t="str">
        <f>"13511200905"</f>
        <v>13511200905</v>
      </c>
      <c r="C22494" t="s">
        <v>1</v>
      </c>
      <c r="D22494" t="s">
        <v>1</v>
      </c>
      <c r="E22494" t="s">
        <v>1</v>
      </c>
      <c r="F22494" t="s">
        <v>0</v>
      </c>
      <c r="G22494" t="str">
        <f>"2018-10-07 08:50:31"</f>
        <v>2018-10-07 08:50:31</v>
      </c>
    </row>
    <row r="22495" spans="1:7" x14ac:dyDescent="0.2">
      <c r="A22495" t="s">
        <v>20979</v>
      </c>
      <c r="B22495" t="str">
        <f>"13349330550"</f>
        <v>13349330550</v>
      </c>
      <c r="C22495" t="str">
        <f>"230502198804210927"</f>
        <v>230502198804210927</v>
      </c>
      <c r="D22495" t="s">
        <v>1</v>
      </c>
      <c r="E22495" t="s">
        <v>1</v>
      </c>
      <c r="F22495" t="s">
        <v>0</v>
      </c>
      <c r="G22495" t="str">
        <f>"2018-10-11 11:13:28"</f>
        <v>2018-10-11 11:13:28</v>
      </c>
    </row>
    <row r="22496" spans="1:7" x14ac:dyDescent="0.2">
      <c r="A22496" t="s">
        <v>1</v>
      </c>
      <c r="B22496" t="str">
        <f>"17685710136"</f>
        <v>17685710136</v>
      </c>
      <c r="C22496" t="s">
        <v>1</v>
      </c>
      <c r="D22496" t="s">
        <v>1</v>
      </c>
      <c r="E22496" t="s">
        <v>1</v>
      </c>
      <c r="F22496" t="s">
        <v>0</v>
      </c>
      <c r="G22496" t="str">
        <f>"2018-10-07 08:49:07"</f>
        <v>2018-10-07 08:49:07</v>
      </c>
    </row>
    <row r="22497" spans="1:7" x14ac:dyDescent="0.2">
      <c r="A22497" t="s">
        <v>1</v>
      </c>
      <c r="B22497" t="str">
        <f>"18659638999"</f>
        <v>18659638999</v>
      </c>
      <c r="C22497" t="s">
        <v>1</v>
      </c>
      <c r="D22497" t="s">
        <v>1</v>
      </c>
      <c r="E22497" t="s">
        <v>1</v>
      </c>
      <c r="F22497" t="s">
        <v>0</v>
      </c>
      <c r="G22497" t="str">
        <f>"2018-10-07 08:48:53"</f>
        <v>2018-10-07 08:48:53</v>
      </c>
    </row>
    <row r="22498" spans="1:7" x14ac:dyDescent="0.2">
      <c r="A22498" t="s">
        <v>20980</v>
      </c>
      <c r="B22498" t="str">
        <f>"18628356511"</f>
        <v>18628356511</v>
      </c>
      <c r="C22498" t="str">
        <f>"513723197904016951"</f>
        <v>513723197904016951</v>
      </c>
      <c r="D22498" t="s">
        <v>1</v>
      </c>
      <c r="E22498" t="s">
        <v>1</v>
      </c>
      <c r="F22498" t="s">
        <v>0</v>
      </c>
      <c r="G22498" t="str">
        <f>"2018-10-07 08:50:22"</f>
        <v>2018-10-07 08:50:22</v>
      </c>
    </row>
    <row r="22499" spans="1:7" x14ac:dyDescent="0.2">
      <c r="A22499" t="s">
        <v>20981</v>
      </c>
      <c r="B22499" t="str">
        <f>"13152316535"</f>
        <v>13152316535</v>
      </c>
      <c r="C22499" t="str">
        <f>"610429198006085178"</f>
        <v>610429198006085178</v>
      </c>
      <c r="D22499" t="s">
        <v>1</v>
      </c>
      <c r="E22499" t="s">
        <v>1</v>
      </c>
      <c r="F22499" t="s">
        <v>0</v>
      </c>
      <c r="G22499" t="str">
        <f>"2018-10-07 11:59:42"</f>
        <v>2018-10-07 11:59:42</v>
      </c>
    </row>
    <row r="22500" spans="1:7" x14ac:dyDescent="0.2">
      <c r="A22500" t="s">
        <v>1</v>
      </c>
      <c r="B22500" t="str">
        <f>"15640493334"</f>
        <v>15640493334</v>
      </c>
      <c r="C22500" t="s">
        <v>1</v>
      </c>
      <c r="D22500" t="s">
        <v>1</v>
      </c>
      <c r="E22500" t="s">
        <v>1</v>
      </c>
      <c r="F22500" t="s">
        <v>0</v>
      </c>
      <c r="G22500" t="str">
        <f>"2018-10-07 08:48:40"</f>
        <v>2018-10-07 08:48:40</v>
      </c>
    </row>
    <row r="22501" spans="1:7" x14ac:dyDescent="0.2">
      <c r="A22501" t="s">
        <v>20982</v>
      </c>
      <c r="B22501" t="str">
        <f>"13936982980"</f>
        <v>13936982980</v>
      </c>
      <c r="C22501" t="str">
        <f>"230231199607030820"</f>
        <v>230231199607030820</v>
      </c>
      <c r="D22501" t="s">
        <v>1</v>
      </c>
      <c r="E22501" t="s">
        <v>1</v>
      </c>
      <c r="F22501" t="s">
        <v>0</v>
      </c>
      <c r="G22501" t="str">
        <f>"2018-10-07 08:49:51"</f>
        <v>2018-10-07 08:49:51</v>
      </c>
    </row>
    <row r="22502" spans="1:7" x14ac:dyDescent="0.2">
      <c r="A22502" t="s">
        <v>20983</v>
      </c>
      <c r="B22502" t="str">
        <f>"15602242084"</f>
        <v>15602242084</v>
      </c>
      <c r="C22502" t="str">
        <f>"44182519881119062X"</f>
        <v>44182519881119062X</v>
      </c>
      <c r="D22502" t="s">
        <v>20984</v>
      </c>
      <c r="E22502" t="s">
        <v>20985</v>
      </c>
      <c r="F22502" t="s">
        <v>0</v>
      </c>
      <c r="G22502" t="str">
        <f>"2018-10-14 15:06:25"</f>
        <v>2018-10-14 15:06:25</v>
      </c>
    </row>
    <row r="22503" spans="1:7" x14ac:dyDescent="0.2">
      <c r="A22503" t="s">
        <v>1</v>
      </c>
      <c r="B22503" t="str">
        <f>"18678069890"</f>
        <v>18678069890</v>
      </c>
      <c r="C22503" t="s">
        <v>1</v>
      </c>
      <c r="D22503" t="s">
        <v>1</v>
      </c>
      <c r="E22503" t="s">
        <v>1</v>
      </c>
      <c r="F22503" t="s">
        <v>0</v>
      </c>
      <c r="G22503" t="str">
        <f>"2018-10-07 08:47:50"</f>
        <v>2018-10-07 08:47:50</v>
      </c>
    </row>
    <row r="22504" spans="1:7" x14ac:dyDescent="0.2">
      <c r="A22504" t="s">
        <v>20986</v>
      </c>
      <c r="B22504" t="str">
        <f>"18650196091"</f>
        <v>18650196091</v>
      </c>
      <c r="C22504" t="str">
        <f>"350204198104012026"</f>
        <v>350204198104012026</v>
      </c>
      <c r="D22504" t="s">
        <v>1</v>
      </c>
      <c r="E22504" t="s">
        <v>1</v>
      </c>
      <c r="F22504" t="s">
        <v>0</v>
      </c>
      <c r="G22504" t="str">
        <f>"2018-10-07 08:50:44"</f>
        <v>2018-10-07 08:50:44</v>
      </c>
    </row>
    <row r="22505" spans="1:7" x14ac:dyDescent="0.2">
      <c r="A22505" t="s">
        <v>20987</v>
      </c>
      <c r="B22505" t="str">
        <f>"18650484843"</f>
        <v>18650484843</v>
      </c>
      <c r="C22505" t="str">
        <f>"350121198504066219"</f>
        <v>350121198504066219</v>
      </c>
      <c r="D22505" t="s">
        <v>20988</v>
      </c>
      <c r="E22505" t="s">
        <v>20989</v>
      </c>
      <c r="F22505" t="s">
        <v>0</v>
      </c>
      <c r="G22505" t="str">
        <f>"2018-10-07 08:48:43"</f>
        <v>2018-10-07 08:48:43</v>
      </c>
    </row>
    <row r="22506" spans="1:7" x14ac:dyDescent="0.2">
      <c r="A22506" t="s">
        <v>20990</v>
      </c>
      <c r="B22506" t="str">
        <f>"18685786884"</f>
        <v>18685786884</v>
      </c>
      <c r="C22506" t="str">
        <f>"522428199611083865"</f>
        <v>522428199611083865</v>
      </c>
      <c r="D22506" t="s">
        <v>20991</v>
      </c>
      <c r="E22506" t="s">
        <v>20992</v>
      </c>
      <c r="F22506" t="s">
        <v>0</v>
      </c>
      <c r="G22506" t="str">
        <f>"2018-10-17 12:52:41"</f>
        <v>2018-10-17 12:52:41</v>
      </c>
    </row>
    <row r="22507" spans="1:7" x14ac:dyDescent="0.2">
      <c r="A22507" t="s">
        <v>110</v>
      </c>
      <c r="B22507" t="str">
        <f>"18604748823"</f>
        <v>18604748823</v>
      </c>
      <c r="C22507" t="str">
        <f>"152626197011222219"</f>
        <v>152626197011222219</v>
      </c>
      <c r="D22507" t="s">
        <v>1</v>
      </c>
      <c r="E22507" t="s">
        <v>1</v>
      </c>
      <c r="F22507" t="s">
        <v>0</v>
      </c>
      <c r="G22507" t="str">
        <f>"2018-10-07 08:48:54"</f>
        <v>2018-10-07 08:48:54</v>
      </c>
    </row>
    <row r="22508" spans="1:7" x14ac:dyDescent="0.2">
      <c r="A22508" t="s">
        <v>20993</v>
      </c>
      <c r="B22508" t="str">
        <f>"15995025561"</f>
        <v>15995025561</v>
      </c>
      <c r="C22508" t="str">
        <f>"321023198706186414"</f>
        <v>321023198706186414</v>
      </c>
      <c r="D22508" t="s">
        <v>20994</v>
      </c>
      <c r="E22508" t="s">
        <v>20995</v>
      </c>
      <c r="F22508" t="s">
        <v>0</v>
      </c>
      <c r="G22508" t="str">
        <f>"2018-10-13 09:52:39"</f>
        <v>2018-10-13 09:52:39</v>
      </c>
    </row>
    <row r="22509" spans="1:7" x14ac:dyDescent="0.2">
      <c r="A22509" t="s">
        <v>1786</v>
      </c>
      <c r="B22509" t="str">
        <f>"18598770223"</f>
        <v>18598770223</v>
      </c>
      <c r="C22509" t="str">
        <f>"500239199412236147"</f>
        <v>500239199412236147</v>
      </c>
      <c r="D22509" t="s">
        <v>20996</v>
      </c>
      <c r="E22509" t="s">
        <v>20997</v>
      </c>
      <c r="F22509" t="s">
        <v>0</v>
      </c>
      <c r="G22509" t="str">
        <f>"2018-10-07 08:46:52"</f>
        <v>2018-10-07 08:46:52</v>
      </c>
    </row>
    <row r="22510" spans="1:7" x14ac:dyDescent="0.2">
      <c r="A22510" t="s">
        <v>1710</v>
      </c>
      <c r="B22510" t="str">
        <f>"18673918808"</f>
        <v>18673918808</v>
      </c>
      <c r="C22510" t="str">
        <f>"430523198504120056"</f>
        <v>430523198504120056</v>
      </c>
      <c r="D22510" t="s">
        <v>1</v>
      </c>
      <c r="E22510" t="s">
        <v>1</v>
      </c>
      <c r="F22510" t="s">
        <v>0</v>
      </c>
      <c r="G22510" t="str">
        <f>"2018-10-07 08:46:01"</f>
        <v>2018-10-07 08:46:01</v>
      </c>
    </row>
    <row r="22511" spans="1:7" x14ac:dyDescent="0.2">
      <c r="A22511" t="s">
        <v>1</v>
      </c>
      <c r="B22511" t="str">
        <f>"18693760666"</f>
        <v>18693760666</v>
      </c>
      <c r="C22511" t="s">
        <v>1</v>
      </c>
      <c r="D22511" t="s">
        <v>1</v>
      </c>
      <c r="E22511" t="s">
        <v>1</v>
      </c>
      <c r="F22511" t="s">
        <v>0</v>
      </c>
      <c r="G22511" t="str">
        <f>"2018-10-07 08:45:51"</f>
        <v>2018-10-07 08:45:51</v>
      </c>
    </row>
    <row r="22512" spans="1:7" x14ac:dyDescent="0.2">
      <c r="A22512" t="s">
        <v>20998</v>
      </c>
      <c r="B22512" t="str">
        <f>"15647047048"</f>
        <v>15647047048</v>
      </c>
      <c r="C22512" t="str">
        <f>"152104196709303248"</f>
        <v>152104196709303248</v>
      </c>
      <c r="D22512" t="s">
        <v>20999</v>
      </c>
      <c r="E22512" t="s">
        <v>21000</v>
      </c>
      <c r="F22512" t="s">
        <v>0</v>
      </c>
      <c r="G22512" t="str">
        <f>"2018-10-07 08:46:29"</f>
        <v>2018-10-07 08:46:29</v>
      </c>
    </row>
    <row r="22513" spans="1:7" x14ac:dyDescent="0.2">
      <c r="A22513" t="s">
        <v>1</v>
      </c>
      <c r="B22513" t="str">
        <f>"13342277598"</f>
        <v>13342277598</v>
      </c>
      <c r="C22513" t="s">
        <v>1</v>
      </c>
      <c r="D22513" t="s">
        <v>1</v>
      </c>
      <c r="E22513" t="s">
        <v>1</v>
      </c>
      <c r="F22513" t="s">
        <v>0</v>
      </c>
      <c r="G22513" t="str">
        <f>"2018-10-07 08:44:57"</f>
        <v>2018-10-07 08:44:57</v>
      </c>
    </row>
    <row r="22514" spans="1:7" x14ac:dyDescent="0.2">
      <c r="A22514" t="s">
        <v>21001</v>
      </c>
      <c r="B22514" t="str">
        <f>"17684207871"</f>
        <v>17684207871</v>
      </c>
      <c r="C22514" t="str">
        <f>"430528198509010034"</f>
        <v>430528198509010034</v>
      </c>
      <c r="D22514" t="s">
        <v>1</v>
      </c>
      <c r="E22514" t="s">
        <v>1</v>
      </c>
      <c r="F22514" t="s">
        <v>0</v>
      </c>
      <c r="G22514" t="str">
        <f>"2018-10-07 08:48:11"</f>
        <v>2018-10-07 08:48:11</v>
      </c>
    </row>
    <row r="22515" spans="1:7" x14ac:dyDescent="0.2">
      <c r="A22515" t="s">
        <v>21002</v>
      </c>
      <c r="B22515" t="str">
        <f>"15261386566"</f>
        <v>15261386566</v>
      </c>
      <c r="C22515" t="str">
        <f>"320724199002250076"</f>
        <v>320724199002250076</v>
      </c>
      <c r="D22515" t="s">
        <v>1</v>
      </c>
      <c r="E22515" t="s">
        <v>1</v>
      </c>
      <c r="F22515" t="s">
        <v>0</v>
      </c>
      <c r="G22515" t="str">
        <f>"2018-10-07 09:36:46"</f>
        <v>2018-10-07 09:36:46</v>
      </c>
    </row>
    <row r="22516" spans="1:7" x14ac:dyDescent="0.2">
      <c r="A22516" t="s">
        <v>21003</v>
      </c>
      <c r="B22516" t="str">
        <f>"18968989695"</f>
        <v>18968989695</v>
      </c>
      <c r="C22516" t="str">
        <f>"341224199007258218"</f>
        <v>341224199007258218</v>
      </c>
      <c r="D22516" t="s">
        <v>1</v>
      </c>
      <c r="E22516" t="s">
        <v>1</v>
      </c>
      <c r="F22516" t="s">
        <v>0</v>
      </c>
      <c r="G22516" t="str">
        <f>"2018-10-07 08:49:35"</f>
        <v>2018-10-07 08:49:35</v>
      </c>
    </row>
    <row r="22517" spans="1:7" x14ac:dyDescent="0.2">
      <c r="A22517" t="s">
        <v>21004</v>
      </c>
      <c r="B22517" t="str">
        <f>"13516949896"</f>
        <v>13516949896</v>
      </c>
      <c r="C22517" t="str">
        <f>"350824198304104636"</f>
        <v>350824198304104636</v>
      </c>
      <c r="D22517" t="s">
        <v>1</v>
      </c>
      <c r="E22517" t="s">
        <v>1</v>
      </c>
      <c r="F22517" t="s">
        <v>0</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
      <c r="G22518" t="str">
        <f>"2018-10-11 11:31:01"</f>
        <v>2018-10-11 11:31:01</v>
      </c>
    </row>
    <row r="22519" spans="1:7" x14ac:dyDescent="0.2">
      <c r="A22519" t="s">
        <v>21006</v>
      </c>
      <c r="B22519" t="str">
        <f>"18638305558"</f>
        <v>18638305558</v>
      </c>
      <c r="C22519" t="str">
        <f>"410703197508163034"</f>
        <v>410703197508163034</v>
      </c>
      <c r="D22519" t="s">
        <v>21007</v>
      </c>
      <c r="E22519" t="s">
        <v>21008</v>
      </c>
      <c r="F22519" t="s">
        <v>0</v>
      </c>
      <c r="G22519" t="str">
        <f>"2018-10-07 08:44:55"</f>
        <v>2018-10-07 08:44:55</v>
      </c>
    </row>
    <row r="22520" spans="1:7" x14ac:dyDescent="0.2">
      <c r="A22520" t="s">
        <v>21009</v>
      </c>
      <c r="B22520" t="str">
        <f>"18672423103"</f>
        <v>18672423103</v>
      </c>
      <c r="C22520" t="str">
        <f>"420822199504253724"</f>
        <v>420822199504253724</v>
      </c>
      <c r="D22520" t="s">
        <v>21010</v>
      </c>
      <c r="E22520" t="s">
        <v>21011</v>
      </c>
      <c r="F22520" t="s">
        <v>0</v>
      </c>
      <c r="G22520" t="str">
        <f>"2018-10-07 08:46:06"</f>
        <v>2018-10-07 08:46:06</v>
      </c>
    </row>
    <row r="22521" spans="1:7" x14ac:dyDescent="0.2">
      <c r="A22521" t="s">
        <v>1</v>
      </c>
      <c r="B22521" t="str">
        <f>"13289294127"</f>
        <v>13289294127</v>
      </c>
      <c r="C22521" t="s">
        <v>1</v>
      </c>
      <c r="D22521" t="s">
        <v>1</v>
      </c>
      <c r="E22521" t="s">
        <v>1</v>
      </c>
      <c r="F22521" t="s">
        <v>0</v>
      </c>
      <c r="G22521" t="str">
        <f>"2018-10-07 08:43:26"</f>
        <v>2018-10-07 08:43:26</v>
      </c>
    </row>
    <row r="22522" spans="1:7" x14ac:dyDescent="0.2">
      <c r="A22522" t="s">
        <v>21012</v>
      </c>
      <c r="B22522" t="str">
        <f>"15666887566"</f>
        <v>15666887566</v>
      </c>
      <c r="C22522" t="str">
        <f>"370781198605056717"</f>
        <v>370781198605056717</v>
      </c>
      <c r="D22522" t="s">
        <v>21013</v>
      </c>
      <c r="E22522" t="s">
        <v>21014</v>
      </c>
      <c r="F22522" t="s">
        <v>0</v>
      </c>
      <c r="G22522" t="str">
        <f>"2018-10-08 20:16:29"</f>
        <v>2018-10-08 20:16:29</v>
      </c>
    </row>
    <row r="22523" spans="1:7" x14ac:dyDescent="0.2">
      <c r="A22523" t="s">
        <v>21015</v>
      </c>
      <c r="B22523" t="str">
        <f>"13020209568"</f>
        <v>13020209568</v>
      </c>
      <c r="C22523" t="str">
        <f>"310227198206271632"</f>
        <v>310227198206271632</v>
      </c>
      <c r="D22523" t="s">
        <v>1</v>
      </c>
      <c r="E22523" t="s">
        <v>1</v>
      </c>
      <c r="F22523" t="s">
        <v>0</v>
      </c>
      <c r="G22523" t="str">
        <f>"2018-10-07 08:45:59"</f>
        <v>2018-10-07 08:45:59</v>
      </c>
    </row>
    <row r="22524" spans="1:7" x14ac:dyDescent="0.2">
      <c r="A22524" t="s">
        <v>961</v>
      </c>
      <c r="B22524" t="str">
        <f>"13699541146"</f>
        <v>13699541146</v>
      </c>
      <c r="C22524" t="str">
        <f>"362424198911121632"</f>
        <v>362424198911121632</v>
      </c>
      <c r="D22524" t="s">
        <v>1</v>
      </c>
      <c r="E22524" t="s">
        <v>1</v>
      </c>
      <c r="F22524" t="s">
        <v>0</v>
      </c>
      <c r="G22524" t="str">
        <f>"2018-10-07 08:43:04"</f>
        <v>2018-10-07 08:43:04</v>
      </c>
    </row>
    <row r="22525" spans="1:7" x14ac:dyDescent="0.2">
      <c r="A22525" t="s">
        <v>21016</v>
      </c>
      <c r="B22525" t="str">
        <f>"18640677975"</f>
        <v>18640677975</v>
      </c>
      <c r="C22525" t="str">
        <f>"210702198704181249"</f>
        <v>210702198704181249</v>
      </c>
      <c r="D22525" t="s">
        <v>1</v>
      </c>
      <c r="E22525" t="s">
        <v>1</v>
      </c>
      <c r="F22525" t="s">
        <v>0</v>
      </c>
      <c r="G22525" t="str">
        <f>"2018-10-07 09:02:57"</f>
        <v>2018-10-07 09:02:57</v>
      </c>
    </row>
    <row r="22526" spans="1:7" x14ac:dyDescent="0.2">
      <c r="A22526" t="s">
        <v>21017</v>
      </c>
      <c r="B22526" t="str">
        <f>"13163253769"</f>
        <v>13163253769</v>
      </c>
      <c r="C22526" t="str">
        <f>"422228196302258715"</f>
        <v>422228196302258715</v>
      </c>
      <c r="D22526" t="s">
        <v>1</v>
      </c>
      <c r="E22526" t="s">
        <v>1</v>
      </c>
      <c r="F22526" t="s">
        <v>0</v>
      </c>
      <c r="G22526" t="str">
        <f>"2018-10-07 08:44:59"</f>
        <v>2018-10-07 08:44:59</v>
      </c>
    </row>
    <row r="22527" spans="1:7" x14ac:dyDescent="0.2">
      <c r="A22527" t="s">
        <v>1</v>
      </c>
      <c r="B22527" t="str">
        <f>"13295408366"</f>
        <v>13295408366</v>
      </c>
      <c r="C22527" t="s">
        <v>1</v>
      </c>
      <c r="D22527" t="s">
        <v>1</v>
      </c>
      <c r="E22527" t="s">
        <v>1</v>
      </c>
      <c r="F22527" t="s">
        <v>0</v>
      </c>
      <c r="G22527" t="str">
        <f>"2018-10-07 08:44:20"</f>
        <v>2018-10-07 08:44:20</v>
      </c>
    </row>
    <row r="22528" spans="1:7" x14ac:dyDescent="0.2">
      <c r="A22528" t="s">
        <v>1</v>
      </c>
      <c r="B22528" t="str">
        <f>"15623089140"</f>
        <v>15623089140</v>
      </c>
      <c r="C22528" t="s">
        <v>1</v>
      </c>
      <c r="D22528" t="s">
        <v>1</v>
      </c>
      <c r="E22528" t="s">
        <v>1</v>
      </c>
      <c r="F22528" t="s">
        <v>0</v>
      </c>
      <c r="G22528" t="str">
        <f>"2018-10-07 08:42:29"</f>
        <v>2018-10-07 08:42:29</v>
      </c>
    </row>
    <row r="22529" spans="1:7" x14ac:dyDescent="0.2">
      <c r="A22529" t="s">
        <v>1</v>
      </c>
      <c r="B22529" t="str">
        <f>"13167317914"</f>
        <v>13167317914</v>
      </c>
      <c r="C22529" t="s">
        <v>1</v>
      </c>
      <c r="D22529" t="s">
        <v>1</v>
      </c>
      <c r="E22529" t="s">
        <v>1</v>
      </c>
      <c r="F22529" t="s">
        <v>0</v>
      </c>
      <c r="G22529" t="str">
        <f>"2018-10-07 08:42:19"</f>
        <v>2018-10-07 08:42:19</v>
      </c>
    </row>
    <row r="22530" spans="1:7" x14ac:dyDescent="0.2">
      <c r="A22530" t="s">
        <v>21018</v>
      </c>
      <c r="B22530" t="str">
        <f>"13258555790"</f>
        <v>13258555790</v>
      </c>
      <c r="C22530" t="str">
        <f>"230521197811160352"</f>
        <v>230521197811160352</v>
      </c>
      <c r="D22530" t="s">
        <v>1</v>
      </c>
      <c r="E22530" t="s">
        <v>1</v>
      </c>
      <c r="F22530" t="s">
        <v>0</v>
      </c>
      <c r="G22530" t="str">
        <f>"2018-10-07 08:43:23"</f>
        <v>2018-10-07 08:43:23</v>
      </c>
    </row>
    <row r="22531" spans="1:7" x14ac:dyDescent="0.2">
      <c r="A22531" t="s">
        <v>1618</v>
      </c>
      <c r="B22531" t="str">
        <f>"13247881980"</f>
        <v>13247881980</v>
      </c>
      <c r="C22531" t="str">
        <f>"360281198106233628"</f>
        <v>360281198106233628</v>
      </c>
      <c r="D22531" t="s">
        <v>21019</v>
      </c>
      <c r="E22531" t="s">
        <v>21020</v>
      </c>
      <c r="F22531" t="s">
        <v>0</v>
      </c>
      <c r="G22531" t="str">
        <f>"2018-10-07 08:43:26"</f>
        <v>2018-10-07 08:43:26</v>
      </c>
    </row>
    <row r="22532" spans="1:7" x14ac:dyDescent="0.2">
      <c r="A22532" t="s">
        <v>1</v>
      </c>
      <c r="B22532" t="str">
        <f>"18671677728"</f>
        <v>18671677728</v>
      </c>
      <c r="C22532" t="s">
        <v>1</v>
      </c>
      <c r="D22532" t="s">
        <v>1</v>
      </c>
      <c r="E22532" t="s">
        <v>1</v>
      </c>
      <c r="F22532" t="s">
        <v>0</v>
      </c>
      <c r="G22532" t="str">
        <f>"2018-10-07 08:43:22"</f>
        <v>2018-10-07 08:43:22</v>
      </c>
    </row>
    <row r="22533" spans="1:7" x14ac:dyDescent="0.2">
      <c r="A22533" t="s">
        <v>1</v>
      </c>
      <c r="B22533" t="str">
        <f>"18613510611"</f>
        <v>18613510611</v>
      </c>
      <c r="C22533" t="s">
        <v>1</v>
      </c>
      <c r="D22533" t="s">
        <v>1</v>
      </c>
      <c r="E22533" t="s">
        <v>1</v>
      </c>
      <c r="F22533" t="s">
        <v>0</v>
      </c>
      <c r="G22533" t="str">
        <f>"2018-10-07 08:41:59"</f>
        <v>2018-10-07 08:41:59</v>
      </c>
    </row>
    <row r="22534" spans="1:7" x14ac:dyDescent="0.2">
      <c r="A22534" t="s">
        <v>21021</v>
      </c>
      <c r="B22534" t="str">
        <f>"18627089934"</f>
        <v>18627089934</v>
      </c>
      <c r="C22534" t="str">
        <f>"422201199510167715"</f>
        <v>422201199510167715</v>
      </c>
      <c r="D22534" t="s">
        <v>1</v>
      </c>
      <c r="E22534" t="s">
        <v>1</v>
      </c>
      <c r="F22534" t="s">
        <v>0</v>
      </c>
      <c r="G22534" t="str">
        <f>"2018-10-07 08:42:27"</f>
        <v>2018-10-07 08:42:27</v>
      </c>
    </row>
    <row r="22535" spans="1:7" x14ac:dyDescent="0.2">
      <c r="A22535" t="s">
        <v>21022</v>
      </c>
      <c r="B22535" t="str">
        <f>"15563913002"</f>
        <v>15563913002</v>
      </c>
      <c r="C22535" t="str">
        <f>"370503198901022917"</f>
        <v>370503198901022917</v>
      </c>
      <c r="D22535" t="s">
        <v>21023</v>
      </c>
      <c r="E22535" t="s">
        <v>21024</v>
      </c>
      <c r="F22535" t="s">
        <v>0</v>
      </c>
      <c r="G22535" t="str">
        <f>"2018-10-07 08:47:38"</f>
        <v>2018-10-07 08:47:38</v>
      </c>
    </row>
    <row r="22536" spans="1:7" x14ac:dyDescent="0.2">
      <c r="A22536" t="s">
        <v>21025</v>
      </c>
      <c r="B22536" t="str">
        <f>"15608616288"</f>
        <v>15608616288</v>
      </c>
      <c r="C22536" t="str">
        <f>"420400196710272412"</f>
        <v>420400196710272412</v>
      </c>
      <c r="D22536" t="s">
        <v>1</v>
      </c>
      <c r="E22536" t="s">
        <v>1</v>
      </c>
      <c r="F22536" t="s">
        <v>0</v>
      </c>
      <c r="G22536" t="str">
        <f>"2018-10-07 08:43:08"</f>
        <v>2018-10-07 08:43:08</v>
      </c>
    </row>
    <row r="22537" spans="1:7" x14ac:dyDescent="0.2">
      <c r="A22537" t="s">
        <v>1</v>
      </c>
      <c r="B22537" t="str">
        <f>"13286233637"</f>
        <v>13286233637</v>
      </c>
      <c r="C22537" t="s">
        <v>1</v>
      </c>
      <c r="D22537" t="s">
        <v>1</v>
      </c>
      <c r="E22537" t="s">
        <v>1</v>
      </c>
      <c r="F22537" t="s">
        <v>0</v>
      </c>
      <c r="G22537" t="str">
        <f>"2018-10-07 08:41:35"</f>
        <v>2018-10-07 08:41:35</v>
      </c>
    </row>
    <row r="22538" spans="1:7" x14ac:dyDescent="0.2">
      <c r="A22538" t="s">
        <v>1</v>
      </c>
      <c r="B22538" t="str">
        <f>"18658338115"</f>
        <v>18658338115</v>
      </c>
      <c r="C22538" t="s">
        <v>1</v>
      </c>
      <c r="D22538" t="s">
        <v>1</v>
      </c>
      <c r="E22538" t="s">
        <v>1</v>
      </c>
      <c r="F22538" t="s">
        <v>0</v>
      </c>
      <c r="G22538" t="str">
        <f>"2018-10-07 08:41:34"</f>
        <v>2018-10-07 08:41:34</v>
      </c>
    </row>
    <row r="22539" spans="1:7" x14ac:dyDescent="0.2">
      <c r="A22539" t="s">
        <v>1</v>
      </c>
      <c r="B22539" t="str">
        <f>"13036029111"</f>
        <v>13036029111</v>
      </c>
      <c r="C22539" t="s">
        <v>1</v>
      </c>
      <c r="D22539" t="s">
        <v>1</v>
      </c>
      <c r="E22539" t="s">
        <v>1</v>
      </c>
      <c r="F22539" t="s">
        <v>0</v>
      </c>
      <c r="G22539" t="str">
        <f>"2018-10-07 08:44:29"</f>
        <v>2018-10-07 08:44:29</v>
      </c>
    </row>
    <row r="22540" spans="1:7" x14ac:dyDescent="0.2">
      <c r="A22540" t="s">
        <v>21026</v>
      </c>
      <c r="B22540" t="str">
        <f>"18503432536"</f>
        <v>18503432536</v>
      </c>
      <c r="C22540" t="str">
        <f>"142427197303056324"</f>
        <v>142427197303056324</v>
      </c>
      <c r="D22540" t="s">
        <v>21027</v>
      </c>
      <c r="E22540" t="s">
        <v>21028</v>
      </c>
      <c r="F22540" t="s">
        <v>0</v>
      </c>
      <c r="G22540" t="str">
        <f>"2018-10-07 08:44:12"</f>
        <v>2018-10-07 08:44:12</v>
      </c>
    </row>
    <row r="22541" spans="1:7" x14ac:dyDescent="0.2">
      <c r="A22541" t="s">
        <v>3943</v>
      </c>
      <c r="B22541" t="str">
        <f>"15590085951"</f>
        <v>15590085951</v>
      </c>
      <c r="C22541" t="str">
        <f>"220202198003091843"</f>
        <v>220202198003091843</v>
      </c>
      <c r="D22541" t="s">
        <v>1</v>
      </c>
      <c r="E22541" t="s">
        <v>1</v>
      </c>
      <c r="F22541" t="s">
        <v>0</v>
      </c>
      <c r="G22541" t="str">
        <f>"2018-10-07 10:30:05"</f>
        <v>2018-10-07 10:30:05</v>
      </c>
    </row>
    <row r="22542" spans="1:7" x14ac:dyDescent="0.2">
      <c r="A22542" t="s">
        <v>1</v>
      </c>
      <c r="B22542" t="str">
        <f>"13394617600"</f>
        <v>13394617600</v>
      </c>
      <c r="C22542" t="s">
        <v>1</v>
      </c>
      <c r="D22542" t="s">
        <v>1</v>
      </c>
      <c r="E22542" t="s">
        <v>1</v>
      </c>
      <c r="F22542" t="s">
        <v>0</v>
      </c>
      <c r="G22542" t="str">
        <f>"2018-10-07 08:36:29"</f>
        <v>2018-10-07 08:36:29</v>
      </c>
    </row>
    <row r="22543" spans="1:7" x14ac:dyDescent="0.2">
      <c r="A22543" t="s">
        <v>21029</v>
      </c>
      <c r="B22543" t="str">
        <f>"18769996343"</f>
        <v>18769996343</v>
      </c>
      <c r="C22543" t="str">
        <f>"371324199106200397"</f>
        <v>371324199106200397</v>
      </c>
      <c r="D22543" t="s">
        <v>1</v>
      </c>
      <c r="E22543" t="s">
        <v>1</v>
      </c>
      <c r="F22543" t="s">
        <v>0</v>
      </c>
      <c r="G22543" t="str">
        <f>"2018-10-07 08:37:30"</f>
        <v>2018-10-07 08:37:30</v>
      </c>
    </row>
    <row r="22544" spans="1:7" x14ac:dyDescent="0.2">
      <c r="A22544" t="s">
        <v>262</v>
      </c>
      <c r="B22544" t="str">
        <f>"15709639993"</f>
        <v>15709639993</v>
      </c>
      <c r="C22544" t="str">
        <f>"640381199102110011"</f>
        <v>640381199102110011</v>
      </c>
      <c r="D22544" t="s">
        <v>1</v>
      </c>
      <c r="E22544" t="s">
        <v>1</v>
      </c>
      <c r="F22544" t="s">
        <v>0</v>
      </c>
      <c r="G22544" t="str">
        <f>"2018-10-19 08:14:41"</f>
        <v>2018-10-19 08:14:41</v>
      </c>
    </row>
    <row r="22545" spans="1:7" x14ac:dyDescent="0.2">
      <c r="A22545" t="s">
        <v>21030</v>
      </c>
      <c r="B22545" t="str">
        <f>"18608254440"</f>
        <v>18608254440</v>
      </c>
      <c r="C22545" t="str">
        <f>"510903199308063016"</f>
        <v>510903199308063016</v>
      </c>
      <c r="D22545" t="s">
        <v>21031</v>
      </c>
      <c r="E22545" t="s">
        <v>21032</v>
      </c>
      <c r="F22545" t="s">
        <v>0</v>
      </c>
      <c r="G22545" t="str">
        <f>"2018-10-07 08:34:14"</f>
        <v>2018-10-07 08:34:14</v>
      </c>
    </row>
    <row r="22546" spans="1:7" x14ac:dyDescent="0.2">
      <c r="A22546" t="s">
        <v>21033</v>
      </c>
      <c r="B22546" t="str">
        <f>"13981450961"</f>
        <v>13981450961</v>
      </c>
      <c r="C22546" t="str">
        <f>"513022199308201047"</f>
        <v>513022199308201047</v>
      </c>
      <c r="D22546" t="s">
        <v>1</v>
      </c>
      <c r="E22546" t="s">
        <v>1</v>
      </c>
      <c r="F22546" t="s">
        <v>0</v>
      </c>
      <c r="G22546" t="str">
        <f>"2018-10-20 18:15:57"</f>
        <v>2018-10-20 18:15:57</v>
      </c>
    </row>
    <row r="22547" spans="1:7" x14ac:dyDescent="0.2">
      <c r="A22547" t="s">
        <v>584</v>
      </c>
      <c r="B22547" t="str">
        <f>"15035931625"</f>
        <v>15035931625</v>
      </c>
      <c r="C22547" t="str">
        <f>"142701198206203633"</f>
        <v>142701198206203633</v>
      </c>
      <c r="D22547" t="s">
        <v>21034</v>
      </c>
      <c r="E22547" t="s">
        <v>21035</v>
      </c>
      <c r="F22547" t="s">
        <v>0</v>
      </c>
      <c r="G22547" t="str">
        <f>"2018-10-07 08:32:09"</f>
        <v>2018-10-07 08:32:09</v>
      </c>
    </row>
    <row r="22548" spans="1:7" x14ac:dyDescent="0.2">
      <c r="A22548" t="s">
        <v>21036</v>
      </c>
      <c r="B22548" t="str">
        <f>"15115005987"</f>
        <v>15115005987</v>
      </c>
      <c r="C22548" t="str">
        <f>"430626199303061060"</f>
        <v>430626199303061060</v>
      </c>
      <c r="D22548" t="s">
        <v>1</v>
      </c>
      <c r="E22548" t="s">
        <v>1</v>
      </c>
      <c r="F22548" t="s">
        <v>0</v>
      </c>
      <c r="G22548" t="str">
        <f>"2018-10-07 08:31:52"</f>
        <v>2018-10-07 08:31:52</v>
      </c>
    </row>
    <row r="22549" spans="1:7" x14ac:dyDescent="0.2">
      <c r="A22549" t="s">
        <v>1</v>
      </c>
      <c r="B22549" t="str">
        <f>"15187022502"</f>
        <v>15187022502</v>
      </c>
      <c r="C22549" t="s">
        <v>1</v>
      </c>
      <c r="D22549" t="s">
        <v>1</v>
      </c>
      <c r="E22549" t="s">
        <v>1</v>
      </c>
      <c r="F22549" t="s">
        <v>0</v>
      </c>
      <c r="G22549" t="str">
        <f>"2018-10-07 08:30:30"</f>
        <v>2018-10-07 08:30:30</v>
      </c>
    </row>
    <row r="22550" spans="1:7" x14ac:dyDescent="0.2">
      <c r="A22550" t="s">
        <v>21037</v>
      </c>
      <c r="B22550" t="str">
        <f>"15855168336"</f>
        <v>15855168336</v>
      </c>
      <c r="C22550" t="str">
        <f>"340321199409064059"</f>
        <v>340321199409064059</v>
      </c>
      <c r="D22550" t="s">
        <v>1</v>
      </c>
      <c r="E22550" t="s">
        <v>1</v>
      </c>
      <c r="F22550" t="s">
        <v>0</v>
      </c>
      <c r="G22550" t="str">
        <f>"2018-10-07 08:32:30"</f>
        <v>2018-10-07 08:32:30</v>
      </c>
    </row>
    <row r="22551" spans="1:7" x14ac:dyDescent="0.2">
      <c r="A22551" t="s">
        <v>21038</v>
      </c>
      <c r="B22551" t="str">
        <f>"18627635057"</f>
        <v>18627635057</v>
      </c>
      <c r="C22551" t="str">
        <f>"430702198311171593"</f>
        <v>430702198311171593</v>
      </c>
      <c r="D22551" t="s">
        <v>1</v>
      </c>
      <c r="E22551" t="s">
        <v>1</v>
      </c>
      <c r="F22551" t="s">
        <v>0</v>
      </c>
      <c r="G22551" t="str">
        <f>"2018-10-07 08:32:14"</f>
        <v>2018-10-07 08:32:14</v>
      </c>
    </row>
    <row r="22552" spans="1:7" x14ac:dyDescent="0.2">
      <c r="A22552" t="s">
        <v>21039</v>
      </c>
      <c r="B22552" t="str">
        <f>"13672726064"</f>
        <v>13672726064</v>
      </c>
      <c r="C22552" t="str">
        <f>"51082319940813589X"</f>
        <v>51082319940813589X</v>
      </c>
      <c r="D22552" t="s">
        <v>1</v>
      </c>
      <c r="E22552" t="s">
        <v>1</v>
      </c>
      <c r="F22552" t="s">
        <v>0</v>
      </c>
      <c r="G22552" t="str">
        <f>"2018-10-07 08:32:47"</f>
        <v>2018-10-07 08:32:47</v>
      </c>
    </row>
    <row r="22553" spans="1:7" x14ac:dyDescent="0.2">
      <c r="A22553" t="s">
        <v>1</v>
      </c>
      <c r="B22553" t="str">
        <f>"13143687313"</f>
        <v>13143687313</v>
      </c>
      <c r="C22553" t="s">
        <v>1</v>
      </c>
      <c r="D22553" t="s">
        <v>1</v>
      </c>
      <c r="E22553" t="s">
        <v>1</v>
      </c>
      <c r="F22553" t="s">
        <v>0</v>
      </c>
      <c r="G22553" t="str">
        <f>"2018-10-07 08:28:31"</f>
        <v>2018-10-07 08:28:31</v>
      </c>
    </row>
    <row r="22554" spans="1:7" x14ac:dyDescent="0.2">
      <c r="A22554" t="s">
        <v>21040</v>
      </c>
      <c r="B22554" t="str">
        <f>"15874007212"</f>
        <v>15874007212</v>
      </c>
      <c r="C22554" t="str">
        <f>"430181199408270317"</f>
        <v>430181199408270317</v>
      </c>
      <c r="D22554" t="s">
        <v>1</v>
      </c>
      <c r="E22554" t="s">
        <v>1</v>
      </c>
      <c r="F22554" t="s">
        <v>0</v>
      </c>
      <c r="G22554" t="str">
        <f>"2018-10-07 08:29:38"</f>
        <v>2018-10-07 08:29:38</v>
      </c>
    </row>
    <row r="22555" spans="1:7" x14ac:dyDescent="0.2">
      <c r="A22555" t="s">
        <v>21041</v>
      </c>
      <c r="B22555" t="str">
        <f>"15840944377"</f>
        <v>15840944377</v>
      </c>
      <c r="C22555" t="str">
        <f>"210213198702261511"</f>
        <v>210213198702261511</v>
      </c>
      <c r="D22555" t="s">
        <v>1</v>
      </c>
      <c r="E22555" t="s">
        <v>1</v>
      </c>
      <c r="F22555" t="s">
        <v>0</v>
      </c>
      <c r="G22555" t="str">
        <f>"2018-10-07 08:29:27"</f>
        <v>2018-10-07 08:29:27</v>
      </c>
    </row>
    <row r="22556" spans="1:7" x14ac:dyDescent="0.2">
      <c r="A22556" t="s">
        <v>21042</v>
      </c>
      <c r="B22556" t="str">
        <f>"15995275875"</f>
        <v>15995275875</v>
      </c>
      <c r="C22556" t="str">
        <f>"130984199208271819"</f>
        <v>130984199208271819</v>
      </c>
      <c r="D22556" t="s">
        <v>1</v>
      </c>
      <c r="E22556" t="s">
        <v>1</v>
      </c>
      <c r="F22556" t="s">
        <v>0</v>
      </c>
      <c r="G22556" t="str">
        <f>"2018-10-07 08:45:24"</f>
        <v>2018-10-07 08:45:24</v>
      </c>
    </row>
    <row r="22557" spans="1:7" x14ac:dyDescent="0.2">
      <c r="A22557" t="s">
        <v>21043</v>
      </c>
      <c r="B22557" t="str">
        <f>"13911391389"</f>
        <v>13911391389</v>
      </c>
      <c r="C22557" t="str">
        <f>"110229198407300837"</f>
        <v>110229198407300837</v>
      </c>
      <c r="D22557" t="s">
        <v>1</v>
      </c>
      <c r="E22557" t="s">
        <v>1</v>
      </c>
      <c r="F22557" t="s">
        <v>0</v>
      </c>
      <c r="G22557" t="str">
        <f>"2018-10-07 08:33:40"</f>
        <v>2018-10-07 08:33:40</v>
      </c>
    </row>
    <row r="22558" spans="1:7" x14ac:dyDescent="0.2">
      <c r="A22558" t="s">
        <v>21044</v>
      </c>
      <c r="B22558" t="str">
        <f>"13827353593"</f>
        <v>13827353593</v>
      </c>
      <c r="C22558" t="str">
        <f>"445122199107234351"</f>
        <v>445122199107234351</v>
      </c>
      <c r="D22558" t="s">
        <v>1</v>
      </c>
      <c r="E22558" t="s">
        <v>1</v>
      </c>
      <c r="F22558" t="s">
        <v>0</v>
      </c>
      <c r="G22558" t="str">
        <f>"2018-10-07 13:45:52"</f>
        <v>2018-10-07 13:45:52</v>
      </c>
    </row>
    <row r="22559" spans="1:7" x14ac:dyDescent="0.2">
      <c r="A22559" t="s">
        <v>21045</v>
      </c>
      <c r="B22559" t="str">
        <f>"13545194494"</f>
        <v>13545194494</v>
      </c>
      <c r="C22559" t="str">
        <f>"420115199801137912"</f>
        <v>420115199801137912</v>
      </c>
      <c r="D22559" t="s">
        <v>1</v>
      </c>
      <c r="E22559" t="s">
        <v>1</v>
      </c>
      <c r="F22559" t="s">
        <v>0</v>
      </c>
      <c r="G22559" t="str">
        <f>"2018-10-07 08:26:50"</f>
        <v>2018-10-07 08:26:50</v>
      </c>
    </row>
    <row r="22560" spans="1:7" x14ac:dyDescent="0.2">
      <c r="A22560" t="s">
        <v>1</v>
      </c>
      <c r="B22560" t="str">
        <f>"15680766626"</f>
        <v>15680766626</v>
      </c>
      <c r="C22560" t="s">
        <v>1</v>
      </c>
      <c r="D22560" t="s">
        <v>1</v>
      </c>
      <c r="E22560" t="s">
        <v>1</v>
      </c>
      <c r="F22560" t="s">
        <v>0</v>
      </c>
      <c r="G22560" t="str">
        <f>"2018-10-07 08:26:00"</f>
        <v>2018-10-07 08:26:00</v>
      </c>
    </row>
    <row r="22561" spans="1:7" x14ac:dyDescent="0.2">
      <c r="A22561" t="s">
        <v>1</v>
      </c>
      <c r="B22561" t="str">
        <f>"13787153244"</f>
        <v>13787153244</v>
      </c>
      <c r="C22561" t="s">
        <v>1</v>
      </c>
      <c r="D22561" t="s">
        <v>1</v>
      </c>
      <c r="E22561" t="s">
        <v>1</v>
      </c>
      <c r="F22561" t="s">
        <v>0</v>
      </c>
      <c r="G22561" t="str">
        <f>"2018-10-07 08:23:32"</f>
        <v>2018-10-07 08:23:32</v>
      </c>
    </row>
    <row r="22562" spans="1:7" x14ac:dyDescent="0.2">
      <c r="A22562" t="s">
        <v>21046</v>
      </c>
      <c r="B22562" t="str">
        <f>"18789886557"</f>
        <v>18789886557</v>
      </c>
      <c r="C22562" t="str">
        <f>"460027198802228528"</f>
        <v>460027198802228528</v>
      </c>
      <c r="D22562" t="s">
        <v>21047</v>
      </c>
      <c r="E22562" t="s">
        <v>21048</v>
      </c>
      <c r="F22562" t="s">
        <v>0</v>
      </c>
      <c r="G22562" t="str">
        <f>"2018-10-09 11:17:09"</f>
        <v>2018-10-09 11:17:09</v>
      </c>
    </row>
    <row r="22563" spans="1:7" x14ac:dyDescent="0.2">
      <c r="A22563" t="s">
        <v>1</v>
      </c>
      <c r="B22563" t="str">
        <f>"13580202054"</f>
        <v>13580202054</v>
      </c>
      <c r="C22563" t="s">
        <v>1</v>
      </c>
      <c r="D22563" t="s">
        <v>1</v>
      </c>
      <c r="E22563" t="s">
        <v>1</v>
      </c>
      <c r="F22563" t="s">
        <v>0</v>
      </c>
      <c r="G22563" t="str">
        <f>"2018-10-07 08:22:23"</f>
        <v>2018-10-07 08:22:23</v>
      </c>
    </row>
    <row r="22564" spans="1:7" x14ac:dyDescent="0.2">
      <c r="A22564" t="s">
        <v>21049</v>
      </c>
      <c r="B22564" t="str">
        <f>"18310632851"</f>
        <v>18310632851</v>
      </c>
      <c r="C22564" t="str">
        <f>"131026199401124114"</f>
        <v>131026199401124114</v>
      </c>
      <c r="D22564" t="s">
        <v>1</v>
      </c>
      <c r="E22564" t="s">
        <v>1</v>
      </c>
      <c r="F22564" t="s">
        <v>0</v>
      </c>
      <c r="G22564" t="str">
        <f>"2018-10-07 08:28:06"</f>
        <v>2018-10-07 08:28:06</v>
      </c>
    </row>
    <row r="22565" spans="1:7" x14ac:dyDescent="0.2">
      <c r="A22565" t="s">
        <v>21050</v>
      </c>
      <c r="B22565" t="str">
        <f>"18608465891"</f>
        <v>18608465891</v>
      </c>
      <c r="C22565" t="str">
        <f>"431129198801084212"</f>
        <v>431129198801084212</v>
      </c>
      <c r="D22565" t="s">
        <v>21051</v>
      </c>
      <c r="E22565" t="s">
        <v>21052</v>
      </c>
      <c r="F22565" t="s">
        <v>0</v>
      </c>
      <c r="G22565" t="str">
        <f>"2018-10-07 08:23:07"</f>
        <v>2018-10-07 08:23:07</v>
      </c>
    </row>
    <row r="22566" spans="1:7" x14ac:dyDescent="0.2">
      <c r="A22566" t="s">
        <v>20</v>
      </c>
      <c r="B22566" t="str">
        <f>"13996493416"</f>
        <v>13996493416</v>
      </c>
      <c r="C22566" t="str">
        <f>"510202198207266536"</f>
        <v>510202198207266536</v>
      </c>
      <c r="D22566" t="s">
        <v>1</v>
      </c>
      <c r="E22566" t="s">
        <v>1</v>
      </c>
      <c r="F22566" t="s">
        <v>0</v>
      </c>
      <c r="G22566" t="str">
        <f>"2018-10-13 15:57:12"</f>
        <v>2018-10-13 15:57:12</v>
      </c>
    </row>
    <row r="22567" spans="1:7" x14ac:dyDescent="0.2">
      <c r="A22567" t="s">
        <v>1</v>
      </c>
      <c r="B22567" t="str">
        <f>"15987703393"</f>
        <v>15987703393</v>
      </c>
      <c r="C22567" t="s">
        <v>1</v>
      </c>
      <c r="D22567" t="s">
        <v>1</v>
      </c>
      <c r="E22567" t="s">
        <v>1</v>
      </c>
      <c r="F22567" t="s">
        <v>0</v>
      </c>
      <c r="G22567" t="str">
        <f>"2018-10-07 08:22:02"</f>
        <v>2018-10-07 08:22:02</v>
      </c>
    </row>
    <row r="22568" spans="1:7" x14ac:dyDescent="0.2">
      <c r="A22568" t="s">
        <v>1</v>
      </c>
      <c r="B22568" t="str">
        <f>"15980923321"</f>
        <v>15980923321</v>
      </c>
      <c r="C22568" t="s">
        <v>1</v>
      </c>
      <c r="D22568" t="s">
        <v>1</v>
      </c>
      <c r="E22568" t="s">
        <v>1</v>
      </c>
      <c r="F22568" t="s">
        <v>0</v>
      </c>
      <c r="G22568" t="str">
        <f>"2018-10-07 08:21:34"</f>
        <v>2018-10-07 08:21:34</v>
      </c>
    </row>
    <row r="22569" spans="1:7" x14ac:dyDescent="0.2">
      <c r="A22569" t="s">
        <v>21053</v>
      </c>
      <c r="B22569" t="str">
        <f>"18362478880"</f>
        <v>18362478880</v>
      </c>
      <c r="C22569" t="str">
        <f>"320826199405105015"</f>
        <v>320826199405105015</v>
      </c>
      <c r="D22569" t="s">
        <v>1</v>
      </c>
      <c r="E22569" t="s">
        <v>1</v>
      </c>
      <c r="F22569" t="s">
        <v>0</v>
      </c>
      <c r="G22569" t="str">
        <f>"2018-10-07 08:24:11"</f>
        <v>2018-10-07 08:24:11</v>
      </c>
    </row>
    <row r="22570" spans="1:7" x14ac:dyDescent="0.2">
      <c r="A22570" t="s">
        <v>1</v>
      </c>
      <c r="B22570" t="str">
        <f>"13636118988"</f>
        <v>13636118988</v>
      </c>
      <c r="C22570" t="s">
        <v>1</v>
      </c>
      <c r="D22570" t="s">
        <v>1</v>
      </c>
      <c r="E22570" t="s">
        <v>1</v>
      </c>
      <c r="F22570" t="s">
        <v>0</v>
      </c>
      <c r="G22570" t="str">
        <f>"2018-10-07 08:14:04"</f>
        <v>2018-10-07 08:14:04</v>
      </c>
    </row>
    <row r="22571" spans="1:7" x14ac:dyDescent="0.2">
      <c r="A22571" t="s">
        <v>21054</v>
      </c>
      <c r="B22571" t="str">
        <f>"13872187827"</f>
        <v>13872187827</v>
      </c>
      <c r="C22571" t="str">
        <f>"422326198910020040"</f>
        <v>422326198910020040</v>
      </c>
      <c r="D22571" t="s">
        <v>1</v>
      </c>
      <c r="E22571" t="s">
        <v>1</v>
      </c>
      <c r="F22571" t="s">
        <v>0</v>
      </c>
      <c r="G22571" t="str">
        <f>"2018-10-24 12:20:45"</f>
        <v>2018-10-24 12:20:45</v>
      </c>
    </row>
    <row r="22572" spans="1:7" x14ac:dyDescent="0.2">
      <c r="A22572" t="s">
        <v>869</v>
      </c>
      <c r="B22572" t="str">
        <f>"17688161881"</f>
        <v>17688161881</v>
      </c>
      <c r="C22572" t="str">
        <f>"232101199503055618"</f>
        <v>232101199503055618</v>
      </c>
      <c r="D22572" t="s">
        <v>21055</v>
      </c>
      <c r="E22572" t="s">
        <v>21056</v>
      </c>
      <c r="F22572" t="s">
        <v>0</v>
      </c>
      <c r="G22572" t="str">
        <f>"2018-10-07 08:12:08"</f>
        <v>2018-10-07 08:12:08</v>
      </c>
    </row>
    <row r="22573" spans="1:7" x14ac:dyDescent="0.2">
      <c r="A22573" t="s">
        <v>21057</v>
      </c>
      <c r="B22573" t="str">
        <f>"15095119958"</f>
        <v>15095119958</v>
      </c>
      <c r="C22573" t="str">
        <f>"370783199410204932"</f>
        <v>370783199410204932</v>
      </c>
      <c r="D22573" t="s">
        <v>21058</v>
      </c>
      <c r="E22573" t="s">
        <v>21059</v>
      </c>
      <c r="F22573" t="s">
        <v>0</v>
      </c>
      <c r="G22573" t="str">
        <f>"2018-10-07 09:16:39"</f>
        <v>2018-10-07 09:16:39</v>
      </c>
    </row>
    <row r="22574" spans="1:7" x14ac:dyDescent="0.2">
      <c r="A22574" t="s">
        <v>21060</v>
      </c>
      <c r="B22574" t="str">
        <f>"18263959111"</f>
        <v>18263959111</v>
      </c>
      <c r="C22574" t="str">
        <f>"371325198203107954"</f>
        <v>371325198203107954</v>
      </c>
      <c r="D22574" t="s">
        <v>21061</v>
      </c>
      <c r="E22574" t="s">
        <v>21062</v>
      </c>
      <c r="F22574" t="s">
        <v>0</v>
      </c>
      <c r="G22574" t="str">
        <f>"2018-10-07 08:10:52"</f>
        <v>2018-10-07 08:10:52</v>
      </c>
    </row>
    <row r="22575" spans="1:7" x14ac:dyDescent="0.2">
      <c r="A22575" t="s">
        <v>974</v>
      </c>
      <c r="B22575" t="str">
        <f>"17564353264"</f>
        <v>17564353264</v>
      </c>
      <c r="C22575" t="str">
        <f>"370982199708111311"</f>
        <v>370982199708111311</v>
      </c>
      <c r="D22575" t="s">
        <v>21063</v>
      </c>
      <c r="E22575" t="s">
        <v>21064</v>
      </c>
      <c r="F22575" t="s">
        <v>0</v>
      </c>
      <c r="G22575" t="str">
        <f>"2018-10-07 08:14:10"</f>
        <v>2018-10-07 08:14:10</v>
      </c>
    </row>
    <row r="22576" spans="1:7" x14ac:dyDescent="0.2">
      <c r="A22576" t="s">
        <v>21065</v>
      </c>
      <c r="B22576" t="str">
        <f>"13872794961"</f>
        <v>13872794961</v>
      </c>
      <c r="C22576" t="str">
        <f>"420302198402041299"</f>
        <v>420302198402041299</v>
      </c>
      <c r="D22576" t="s">
        <v>1</v>
      </c>
      <c r="E22576" t="s">
        <v>1</v>
      </c>
      <c r="F22576" t="s">
        <v>0</v>
      </c>
      <c r="G22576" t="str">
        <f>"2018-10-21 15:22:21"</f>
        <v>2018-10-21 15:22:21</v>
      </c>
    </row>
    <row r="22577" spans="1:7" x14ac:dyDescent="0.2">
      <c r="A22577" t="s">
        <v>21066</v>
      </c>
      <c r="B22577" t="str">
        <f>"15771180281"</f>
        <v>15771180281</v>
      </c>
      <c r="C22577" t="str">
        <f>"420281198111088417"</f>
        <v>420281198111088417</v>
      </c>
      <c r="D22577" t="s">
        <v>1</v>
      </c>
      <c r="E22577" t="s">
        <v>1</v>
      </c>
      <c r="F22577" t="s">
        <v>0</v>
      </c>
      <c r="G22577" t="str">
        <f>"2018-10-07 08:12:13"</f>
        <v>2018-10-07 08:12:13</v>
      </c>
    </row>
    <row r="22578" spans="1:7" x14ac:dyDescent="0.2">
      <c r="A22578" t="s">
        <v>1</v>
      </c>
      <c r="B22578" t="str">
        <f>"18621501739"</f>
        <v>18621501739</v>
      </c>
      <c r="C22578" t="s">
        <v>1</v>
      </c>
      <c r="D22578" t="s">
        <v>1</v>
      </c>
      <c r="E22578" t="s">
        <v>1</v>
      </c>
      <c r="F22578" t="s">
        <v>0</v>
      </c>
      <c r="G22578" t="str">
        <f>"2018-10-07 08:09:39"</f>
        <v>2018-10-07 08:09:39</v>
      </c>
    </row>
    <row r="22579" spans="1:7" x14ac:dyDescent="0.2">
      <c r="A22579" t="s">
        <v>1</v>
      </c>
      <c r="B22579" t="str">
        <f>"18788191530"</f>
        <v>18788191530</v>
      </c>
      <c r="C22579" t="s">
        <v>1</v>
      </c>
      <c r="D22579" t="s">
        <v>1</v>
      </c>
      <c r="E22579" t="s">
        <v>1</v>
      </c>
      <c r="F22579" t="s">
        <v>0</v>
      </c>
      <c r="G22579" t="str">
        <f>"2018-10-07 08:07:03"</f>
        <v>2018-10-07 08:07:03</v>
      </c>
    </row>
    <row r="22580" spans="1:7" x14ac:dyDescent="0.2">
      <c r="A22580" t="s">
        <v>21067</v>
      </c>
      <c r="B22580" t="str">
        <f>"13720330965"</f>
        <v>13720330965</v>
      </c>
      <c r="C22580" t="str">
        <f>"420102198602262415"</f>
        <v>420102198602262415</v>
      </c>
      <c r="D22580" t="s">
        <v>1</v>
      </c>
      <c r="E22580" t="s">
        <v>1</v>
      </c>
      <c r="F22580" t="s">
        <v>0</v>
      </c>
      <c r="G22580" t="str">
        <f>"2018-10-07 08:17:32"</f>
        <v>2018-10-07 08:17:32</v>
      </c>
    </row>
    <row r="22581" spans="1:7" x14ac:dyDescent="0.2">
      <c r="A22581" t="s">
        <v>1</v>
      </c>
      <c r="B22581" t="str">
        <f>"13118642007"</f>
        <v>13118642007</v>
      </c>
      <c r="C22581" t="s">
        <v>1</v>
      </c>
      <c r="D22581" t="s">
        <v>1</v>
      </c>
      <c r="E22581" t="s">
        <v>1</v>
      </c>
      <c r="F22581" t="s">
        <v>0</v>
      </c>
      <c r="G22581" t="str">
        <f>"2018-10-07 08:05:24"</f>
        <v>2018-10-07 08:05:24</v>
      </c>
    </row>
    <row r="22582" spans="1:7" x14ac:dyDescent="0.2">
      <c r="A22582" t="s">
        <v>21068</v>
      </c>
      <c r="B22582" t="str">
        <f>"13792699556"</f>
        <v>13792699556</v>
      </c>
      <c r="C22582" t="str">
        <f>"370783199611273774"</f>
        <v>370783199611273774</v>
      </c>
      <c r="D22582" t="s">
        <v>1</v>
      </c>
      <c r="E22582" t="s">
        <v>1</v>
      </c>
      <c r="F22582" t="s">
        <v>0</v>
      </c>
      <c r="G22582" t="str">
        <f>"2018-10-09 23:31:11"</f>
        <v>2018-10-09 23:31:11</v>
      </c>
    </row>
    <row r="22583" spans="1:7" x14ac:dyDescent="0.2">
      <c r="A22583" t="s">
        <v>21069</v>
      </c>
      <c r="B22583" t="str">
        <f>"15096171263"</f>
        <v>15096171263</v>
      </c>
      <c r="C22583" t="str">
        <f>"431022198409091661"</f>
        <v>431022198409091661</v>
      </c>
      <c r="D22583" t="s">
        <v>1</v>
      </c>
      <c r="E22583" t="s">
        <v>1</v>
      </c>
      <c r="F22583" t="s">
        <v>0</v>
      </c>
      <c r="G22583" t="str">
        <f>"2018-10-22 16:32:10"</f>
        <v>2018-10-22 16:32:10</v>
      </c>
    </row>
    <row r="22584" spans="1:7" x14ac:dyDescent="0.2">
      <c r="A22584" t="s">
        <v>21070</v>
      </c>
      <c r="B22584" t="str">
        <f>"18613166121"</f>
        <v>18613166121</v>
      </c>
      <c r="C22584" t="str">
        <f>"513026197610060026"</f>
        <v>513026197610060026</v>
      </c>
      <c r="D22584" t="s">
        <v>1</v>
      </c>
      <c r="E22584" t="s">
        <v>1</v>
      </c>
      <c r="F22584" t="s">
        <v>0</v>
      </c>
      <c r="G22584" t="str">
        <f>"2018-10-07 08:01:53"</f>
        <v>2018-10-07 08:01:53</v>
      </c>
    </row>
    <row r="22585" spans="1:7" x14ac:dyDescent="0.2">
      <c r="A22585" t="s">
        <v>21071</v>
      </c>
      <c r="B22585" t="str">
        <f>"13604014705"</f>
        <v>13604014705</v>
      </c>
      <c r="C22585" t="str">
        <f>"211222199710032614"</f>
        <v>211222199710032614</v>
      </c>
      <c r="D22585" t="s">
        <v>21072</v>
      </c>
      <c r="E22585" t="s">
        <v>21073</v>
      </c>
      <c r="F22585" t="s">
        <v>0</v>
      </c>
      <c r="G22585" t="str">
        <f>"2018-10-07 08:03:26"</f>
        <v>2018-10-07 08:03:26</v>
      </c>
    </row>
    <row r="22586" spans="1:7" x14ac:dyDescent="0.2">
      <c r="A22586" t="s">
        <v>739</v>
      </c>
      <c r="B22586" t="str">
        <f>"13727070773"</f>
        <v>13727070773</v>
      </c>
      <c r="C22586" t="str">
        <f>"411522199306070911"</f>
        <v>411522199306070911</v>
      </c>
      <c r="D22586" t="s">
        <v>1</v>
      </c>
      <c r="E22586" t="s">
        <v>1</v>
      </c>
      <c r="F22586" t="s">
        <v>0</v>
      </c>
      <c r="G22586" t="str">
        <f>"2018-10-07 08:01:58"</f>
        <v>2018-10-07 08:01:58</v>
      </c>
    </row>
    <row r="22587" spans="1:7" x14ac:dyDescent="0.2">
      <c r="A22587" t="s">
        <v>21074</v>
      </c>
      <c r="B22587" t="str">
        <f>"18111725611"</f>
        <v>18111725611</v>
      </c>
      <c r="C22587" t="str">
        <f>"510524199009110150"</f>
        <v>510524199009110150</v>
      </c>
      <c r="D22587" t="s">
        <v>1</v>
      </c>
      <c r="E22587" t="s">
        <v>1</v>
      </c>
      <c r="F22587" t="s">
        <v>0</v>
      </c>
      <c r="G22587" t="str">
        <f>"2018-10-07 08:01:01"</f>
        <v>2018-10-07 08:01:01</v>
      </c>
    </row>
    <row r="22588" spans="1:7" x14ac:dyDescent="0.2">
      <c r="A22588" t="s">
        <v>1857</v>
      </c>
      <c r="B22588" t="str">
        <f>"13125531303"</f>
        <v>13125531303</v>
      </c>
      <c r="C22588" t="str">
        <f>"210502199005041515"</f>
        <v>210502199005041515</v>
      </c>
      <c r="D22588" t="s">
        <v>1</v>
      </c>
      <c r="E22588" t="s">
        <v>1</v>
      </c>
      <c r="F22588" t="s">
        <v>0</v>
      </c>
      <c r="G22588" t="str">
        <f>"2018-10-07 11:22:47"</f>
        <v>2018-10-07 11:22:47</v>
      </c>
    </row>
    <row r="22589" spans="1:7" x14ac:dyDescent="0.2">
      <c r="A22589" t="s">
        <v>21075</v>
      </c>
      <c r="B22589" t="str">
        <f>"13927696780"</f>
        <v>13927696780</v>
      </c>
      <c r="C22589" t="str">
        <f>"441822198011076918"</f>
        <v>441822198011076918</v>
      </c>
      <c r="D22589" t="s">
        <v>1</v>
      </c>
      <c r="E22589" t="s">
        <v>1</v>
      </c>
      <c r="F22589" t="s">
        <v>0</v>
      </c>
      <c r="G22589" t="str">
        <f>"2018-10-07 08:21:31"</f>
        <v>2018-10-07 08:21:31</v>
      </c>
    </row>
    <row r="22590" spans="1:7" x14ac:dyDescent="0.2">
      <c r="A22590" t="s">
        <v>21076</v>
      </c>
      <c r="B22590" t="str">
        <f>"13088500558"</f>
        <v>13088500558</v>
      </c>
      <c r="C22590" t="str">
        <f>"220182197811085312"</f>
        <v>220182197811085312</v>
      </c>
      <c r="D22590" t="s">
        <v>1</v>
      </c>
      <c r="E22590" t="s">
        <v>1</v>
      </c>
      <c r="F22590" t="s">
        <v>0</v>
      </c>
      <c r="G22590" t="str">
        <f>"2018-10-07 07:57:01"</f>
        <v>2018-10-07 07:57:01</v>
      </c>
    </row>
    <row r="22591" spans="1:7" x14ac:dyDescent="0.2">
      <c r="A22591" t="s">
        <v>724</v>
      </c>
      <c r="B22591" t="str">
        <f>"15844399007"</f>
        <v>15844399007</v>
      </c>
      <c r="C22591" t="str">
        <f>"222404198205152814"</f>
        <v>222404198205152814</v>
      </c>
      <c r="D22591" t="s">
        <v>1</v>
      </c>
      <c r="E22591" t="s">
        <v>1</v>
      </c>
      <c r="F22591" t="s">
        <v>0</v>
      </c>
      <c r="G22591" t="str">
        <f>"2018-10-07 09:20:11"</f>
        <v>2018-10-07 09:20:11</v>
      </c>
    </row>
    <row r="22592" spans="1:7" x14ac:dyDescent="0.2">
      <c r="A22592" t="s">
        <v>21077</v>
      </c>
      <c r="B22592" t="str">
        <f>"15158576139"</f>
        <v>15158576139</v>
      </c>
      <c r="C22592" t="str">
        <f>"511204198210201518"</f>
        <v>511204198210201518</v>
      </c>
      <c r="D22592" t="s">
        <v>1</v>
      </c>
      <c r="E22592" t="s">
        <v>1</v>
      </c>
      <c r="F22592" t="s">
        <v>0</v>
      </c>
      <c r="G22592" t="str">
        <f>"2018-10-07 07:55:59"</f>
        <v>2018-10-07 07:55:59</v>
      </c>
    </row>
    <row r="22593" spans="1:7" x14ac:dyDescent="0.2">
      <c r="A22593" t="s">
        <v>1</v>
      </c>
      <c r="B22593" t="str">
        <f>"18603779980"</f>
        <v>18603779980</v>
      </c>
      <c r="C22593" t="s">
        <v>1</v>
      </c>
      <c r="D22593" t="s">
        <v>1</v>
      </c>
      <c r="E22593" t="s">
        <v>1</v>
      </c>
      <c r="F22593" t="s">
        <v>0</v>
      </c>
      <c r="G22593" t="str">
        <f>"2018-10-07 07:55:30"</f>
        <v>2018-10-07 07:55:30</v>
      </c>
    </row>
    <row r="22594" spans="1:7" x14ac:dyDescent="0.2">
      <c r="A22594" t="s">
        <v>1</v>
      </c>
      <c r="B22594" t="str">
        <f>"18567419903"</f>
        <v>18567419903</v>
      </c>
      <c r="C22594" t="s">
        <v>1</v>
      </c>
      <c r="D22594" t="s">
        <v>1</v>
      </c>
      <c r="E22594" t="s">
        <v>1</v>
      </c>
      <c r="F22594" t="s">
        <v>0</v>
      </c>
      <c r="G22594" t="str">
        <f>"2018-10-07 07:54:29"</f>
        <v>2018-10-07 07:54:29</v>
      </c>
    </row>
    <row r="22595" spans="1:7" x14ac:dyDescent="0.2">
      <c r="A22595" t="s">
        <v>252</v>
      </c>
      <c r="B22595" t="str">
        <f>"15836068242"</f>
        <v>15836068242</v>
      </c>
      <c r="C22595" t="str">
        <f>"410782199104219622"</f>
        <v>410782199104219622</v>
      </c>
      <c r="D22595" t="s">
        <v>1</v>
      </c>
      <c r="E22595" t="s">
        <v>1</v>
      </c>
      <c r="F22595" t="s">
        <v>0</v>
      </c>
      <c r="G22595" t="str">
        <f>"2018-10-07 07:56:05"</f>
        <v>2018-10-07 07:56:05</v>
      </c>
    </row>
    <row r="22596" spans="1:7" x14ac:dyDescent="0.2">
      <c r="A22596" t="s">
        <v>291</v>
      </c>
      <c r="B22596" t="str">
        <f>"13999250888"</f>
        <v>13999250888</v>
      </c>
      <c r="C22596" t="str">
        <f>"652301198407250338"</f>
        <v>652301198407250338</v>
      </c>
      <c r="D22596" t="s">
        <v>1</v>
      </c>
      <c r="E22596" t="s">
        <v>1</v>
      </c>
      <c r="F22596" t="s">
        <v>0</v>
      </c>
      <c r="G22596" t="str">
        <f>"2018-10-07 07:53:19"</f>
        <v>2018-10-07 07:53:19</v>
      </c>
    </row>
    <row r="22597" spans="1:7" x14ac:dyDescent="0.2">
      <c r="A22597" t="s">
        <v>485</v>
      </c>
      <c r="B22597" t="str">
        <f>"15173070304"</f>
        <v>15173070304</v>
      </c>
      <c r="C22597" t="str">
        <f>"430602198009230518"</f>
        <v>430602198009230518</v>
      </c>
      <c r="D22597" t="s">
        <v>21078</v>
      </c>
      <c r="E22597" t="s">
        <v>21079</v>
      </c>
      <c r="F22597" t="s">
        <v>0</v>
      </c>
      <c r="G22597" t="str">
        <f>"2018-10-07 07:50:54"</f>
        <v>2018-10-07 07:50:54</v>
      </c>
    </row>
    <row r="22598" spans="1:7" x14ac:dyDescent="0.2">
      <c r="A22598" t="s">
        <v>21080</v>
      </c>
      <c r="B22598" t="str">
        <f>"13819257914"</f>
        <v>13819257914</v>
      </c>
      <c r="C22598" t="str">
        <f>"330522199309143927"</f>
        <v>330522199309143927</v>
      </c>
      <c r="D22598" t="s">
        <v>1</v>
      </c>
      <c r="E22598" t="s">
        <v>1</v>
      </c>
      <c r="F22598" t="s">
        <v>0</v>
      </c>
      <c r="G22598" t="str">
        <f>"2018-10-26 16:35:50"</f>
        <v>2018-10-26 16:35:50</v>
      </c>
    </row>
    <row r="22599" spans="1:7" x14ac:dyDescent="0.2">
      <c r="A22599" t="s">
        <v>1</v>
      </c>
      <c r="B22599" t="str">
        <f>"18626101090"</f>
        <v>18626101090</v>
      </c>
      <c r="C22599" t="s">
        <v>1</v>
      </c>
      <c r="D22599" t="s">
        <v>1</v>
      </c>
      <c r="E22599" t="s">
        <v>1</v>
      </c>
      <c r="F22599" t="s">
        <v>0</v>
      </c>
      <c r="G22599" t="str">
        <f>"2018-10-07 07:50:44"</f>
        <v>2018-10-07 07:50:44</v>
      </c>
    </row>
    <row r="22600" spans="1:7" x14ac:dyDescent="0.2">
      <c r="A22600" t="s">
        <v>21081</v>
      </c>
      <c r="B22600" t="str">
        <f>"13625004318"</f>
        <v>13625004318</v>
      </c>
      <c r="C22600" t="str">
        <f>"36233119950207441X"</f>
        <v>36233119950207441X</v>
      </c>
      <c r="D22600" t="s">
        <v>21082</v>
      </c>
      <c r="E22600" t="s">
        <v>21083</v>
      </c>
      <c r="F22600" t="s">
        <v>0</v>
      </c>
      <c r="G22600" t="str">
        <f>"2018-10-07 07:50:28"</f>
        <v>2018-10-07 07:50:28</v>
      </c>
    </row>
    <row r="22601" spans="1:7" x14ac:dyDescent="0.2">
      <c r="A22601" t="s">
        <v>1</v>
      </c>
      <c r="B22601" t="str">
        <f>"15114517362"</f>
        <v>15114517362</v>
      </c>
      <c r="C22601" t="s">
        <v>1</v>
      </c>
      <c r="D22601" t="s">
        <v>1</v>
      </c>
      <c r="E22601" t="s">
        <v>1</v>
      </c>
      <c r="F22601" t="s">
        <v>0</v>
      </c>
      <c r="G22601" t="str">
        <f>"2018-10-07 07:49:32"</f>
        <v>2018-10-07 07:49:32</v>
      </c>
    </row>
    <row r="22602" spans="1:7" x14ac:dyDescent="0.2">
      <c r="A22602" t="s">
        <v>21084</v>
      </c>
      <c r="B22602" t="str">
        <f>"15841577703"</f>
        <v>15841577703</v>
      </c>
      <c r="C22602" t="str">
        <f>"210604198703220813"</f>
        <v>210604198703220813</v>
      </c>
      <c r="D22602" t="s">
        <v>1</v>
      </c>
      <c r="E22602" t="s">
        <v>1</v>
      </c>
      <c r="F22602" t="s">
        <v>0</v>
      </c>
      <c r="G22602" t="str">
        <f>"2018-10-07 10:18:49"</f>
        <v>2018-10-07 10:18:49</v>
      </c>
    </row>
    <row r="22603" spans="1:7" x14ac:dyDescent="0.2">
      <c r="A22603" t="s">
        <v>1</v>
      </c>
      <c r="B22603" t="str">
        <f>"15110067597"</f>
        <v>15110067597</v>
      </c>
      <c r="C22603" t="s">
        <v>1</v>
      </c>
      <c r="D22603" t="s">
        <v>1</v>
      </c>
      <c r="E22603" t="s">
        <v>1</v>
      </c>
      <c r="F22603" t="s">
        <v>0</v>
      </c>
      <c r="G22603" t="str">
        <f>"2018-10-07 07:55:39"</f>
        <v>2018-10-07 07:55:39</v>
      </c>
    </row>
    <row r="22604" spans="1:7" x14ac:dyDescent="0.2">
      <c r="A22604" t="s">
        <v>1</v>
      </c>
      <c r="B22604" t="str">
        <f>"15775967962"</f>
        <v>15775967962</v>
      </c>
      <c r="C22604" t="s">
        <v>1</v>
      </c>
      <c r="D22604" t="s">
        <v>1</v>
      </c>
      <c r="E22604" t="s">
        <v>1</v>
      </c>
      <c r="F22604" t="s">
        <v>0</v>
      </c>
      <c r="G22604" t="str">
        <f>"2018-10-07 07:43:26"</f>
        <v>2018-10-07 07:43:26</v>
      </c>
    </row>
    <row r="22605" spans="1:7" x14ac:dyDescent="0.2">
      <c r="A22605" t="s">
        <v>21085</v>
      </c>
      <c r="B22605" t="str">
        <f>"18250236273"</f>
        <v>18250236273</v>
      </c>
      <c r="C22605" t="str">
        <f>"350526198212076523"</f>
        <v>350526198212076523</v>
      </c>
      <c r="D22605" t="s">
        <v>1</v>
      </c>
      <c r="E22605" t="s">
        <v>1</v>
      </c>
      <c r="F22605" t="s">
        <v>0</v>
      </c>
      <c r="G22605" t="str">
        <f>"2018-10-07 07:42:06"</f>
        <v>2018-10-07 07:42:06</v>
      </c>
    </row>
    <row r="22606" spans="1:7" x14ac:dyDescent="0.2">
      <c r="A22606" t="s">
        <v>15501</v>
      </c>
      <c r="B22606" t="str">
        <f>"18699011900"</f>
        <v>18699011900</v>
      </c>
      <c r="C22606" t="str">
        <f>"412722199212084038"</f>
        <v>412722199212084038</v>
      </c>
      <c r="D22606" t="s">
        <v>21086</v>
      </c>
      <c r="E22606" t="s">
        <v>21087</v>
      </c>
      <c r="F22606" t="s">
        <v>0</v>
      </c>
      <c r="G22606" t="str">
        <f>"2018-10-07 08:13:13"</f>
        <v>2018-10-07 08:13:13</v>
      </c>
    </row>
    <row r="22607" spans="1:7" x14ac:dyDescent="0.2">
      <c r="A22607" t="s">
        <v>21088</v>
      </c>
      <c r="B22607" t="str">
        <f>"17692564795"</f>
        <v>17692564795</v>
      </c>
      <c r="C22607" t="str">
        <f>"130283199708193365"</f>
        <v>130283199708193365</v>
      </c>
      <c r="D22607" t="s">
        <v>1</v>
      </c>
      <c r="E22607" t="s">
        <v>1</v>
      </c>
      <c r="F22607" t="s">
        <v>0</v>
      </c>
      <c r="G22607" t="str">
        <f>"2018-10-18 12:51:00"</f>
        <v>2018-10-18 12:51:00</v>
      </c>
    </row>
    <row r="22608" spans="1:7" x14ac:dyDescent="0.2">
      <c r="A22608" t="s">
        <v>437</v>
      </c>
      <c r="B22608" t="str">
        <f>"15901989157"</f>
        <v>15901989157</v>
      </c>
      <c r="C22608" t="str">
        <f>"610425199403193411"</f>
        <v>610425199403193411</v>
      </c>
      <c r="D22608" t="s">
        <v>1</v>
      </c>
      <c r="E22608" t="s">
        <v>1</v>
      </c>
      <c r="F22608" t="s">
        <v>0</v>
      </c>
      <c r="G22608" t="str">
        <f>"2018-10-07 07:32:55"</f>
        <v>2018-10-07 07:32:55</v>
      </c>
    </row>
    <row r="22609" spans="1:7" x14ac:dyDescent="0.2">
      <c r="A22609" t="s">
        <v>21089</v>
      </c>
      <c r="B22609" t="str">
        <f>"17501025941"</f>
        <v>17501025941</v>
      </c>
      <c r="C22609" t="str">
        <f>"411503199707153313"</f>
        <v>411503199707153313</v>
      </c>
      <c r="D22609" t="s">
        <v>1</v>
      </c>
      <c r="E22609" t="s">
        <v>1</v>
      </c>
      <c r="F22609" t="s">
        <v>0</v>
      </c>
      <c r="G22609" t="str">
        <f>"2018-10-07 07:35:54"</f>
        <v>2018-10-07 07:35:54</v>
      </c>
    </row>
    <row r="22610" spans="1:7" x14ac:dyDescent="0.2">
      <c r="A22610" t="s">
        <v>21090</v>
      </c>
      <c r="B22610" t="str">
        <f>"18316395870"</f>
        <v>18316395870</v>
      </c>
      <c r="C22610" t="str">
        <f>"441323199909196338"</f>
        <v>441323199909196338</v>
      </c>
      <c r="D22610" t="s">
        <v>1</v>
      </c>
      <c r="E22610" t="s">
        <v>1</v>
      </c>
      <c r="F22610" t="s">
        <v>0</v>
      </c>
      <c r="G22610" t="str">
        <f>"2018-11-02 20:24:57"</f>
        <v>2018-11-02 20:24:57</v>
      </c>
    </row>
    <row r="22611" spans="1:7" x14ac:dyDescent="0.2">
      <c r="A22611" t="s">
        <v>21091</v>
      </c>
      <c r="B22611" t="str">
        <f>"13634252367"</f>
        <v>13634252367</v>
      </c>
      <c r="C22611" t="str">
        <f>"210211199902057410"</f>
        <v>210211199902057410</v>
      </c>
      <c r="D22611" t="s">
        <v>1</v>
      </c>
      <c r="E22611" t="s">
        <v>1</v>
      </c>
      <c r="F22611" t="s">
        <v>0</v>
      </c>
      <c r="G22611" t="str">
        <f>"2018-10-07 07:28:02"</f>
        <v>2018-10-07 07:28:02</v>
      </c>
    </row>
    <row r="22612" spans="1:7" x14ac:dyDescent="0.2">
      <c r="A22612" t="s">
        <v>21092</v>
      </c>
      <c r="B22612" t="str">
        <f>"13083006908"</f>
        <v>13083006908</v>
      </c>
      <c r="C22612" t="str">
        <f>"340121199004051136"</f>
        <v>340121199004051136</v>
      </c>
      <c r="D22612" t="s">
        <v>1</v>
      </c>
      <c r="E22612" t="s">
        <v>1</v>
      </c>
      <c r="F22612" t="s">
        <v>0</v>
      </c>
      <c r="G22612" t="str">
        <f>"2018-10-07 07:27:21"</f>
        <v>2018-10-07 07:27:21</v>
      </c>
    </row>
    <row r="22613" spans="1:7" x14ac:dyDescent="0.2">
      <c r="A22613" t="s">
        <v>21093</v>
      </c>
      <c r="B22613" t="str">
        <f>"13004319168"</f>
        <v>13004319168</v>
      </c>
      <c r="C22613" t="str">
        <f>"32100219691115033X"</f>
        <v>32100219691115033X</v>
      </c>
      <c r="D22613" t="s">
        <v>1</v>
      </c>
      <c r="E22613" t="s">
        <v>1</v>
      </c>
      <c r="F22613" t="s">
        <v>0</v>
      </c>
      <c r="G22613" t="str">
        <f>"2018-10-07 07:26:54"</f>
        <v>2018-10-07 07:26:54</v>
      </c>
    </row>
    <row r="22614" spans="1:7" x14ac:dyDescent="0.2">
      <c r="A22614" t="s">
        <v>21094</v>
      </c>
      <c r="B22614" t="str">
        <f>"13069216406"</f>
        <v>13069216406</v>
      </c>
      <c r="C22614" t="str">
        <f>"220122199606164823"</f>
        <v>220122199606164823</v>
      </c>
      <c r="D22614" t="s">
        <v>1</v>
      </c>
      <c r="E22614" t="s">
        <v>1</v>
      </c>
      <c r="F22614" t="s">
        <v>0</v>
      </c>
      <c r="G22614" t="str">
        <f>"2018-10-07 07:25:41"</f>
        <v>2018-10-07 07:25:41</v>
      </c>
    </row>
    <row r="22615" spans="1:7" x14ac:dyDescent="0.2">
      <c r="A22615" t="s">
        <v>21095</v>
      </c>
      <c r="B22615" t="str">
        <f>"18168529208"</f>
        <v>18168529208</v>
      </c>
      <c r="C22615" t="str">
        <f>"320520199908051931"</f>
        <v>320520199908051931</v>
      </c>
      <c r="D22615" t="s">
        <v>1</v>
      </c>
      <c r="E22615" t="s">
        <v>1</v>
      </c>
      <c r="F22615" t="s">
        <v>0</v>
      </c>
      <c r="G22615" t="str">
        <f>"2018-10-07 07:25:28"</f>
        <v>2018-10-07 07:25:28</v>
      </c>
    </row>
    <row r="22616" spans="1:7" x14ac:dyDescent="0.2">
      <c r="A22616" t="s">
        <v>1</v>
      </c>
      <c r="B22616" t="str">
        <f>"18972356438"</f>
        <v>18972356438</v>
      </c>
      <c r="C22616" t="s">
        <v>1</v>
      </c>
      <c r="D22616" t="s">
        <v>1</v>
      </c>
      <c r="E22616" t="s">
        <v>1</v>
      </c>
      <c r="F22616" t="s">
        <v>0</v>
      </c>
      <c r="G22616" t="str">
        <f>"2018-10-07 07:21:45"</f>
        <v>2018-10-07 07:21:45</v>
      </c>
    </row>
    <row r="22617" spans="1:7" x14ac:dyDescent="0.2">
      <c r="A22617" t="s">
        <v>21096</v>
      </c>
      <c r="B22617" t="str">
        <f>"15169618989"</f>
        <v>15169618989</v>
      </c>
      <c r="C22617" t="str">
        <f>"370785198905167879"</f>
        <v>370785198905167879</v>
      </c>
      <c r="D22617" t="s">
        <v>21097</v>
      </c>
      <c r="E22617" t="s">
        <v>21098</v>
      </c>
      <c r="F22617" t="s">
        <v>0</v>
      </c>
      <c r="G22617" t="str">
        <f>"2018-10-07 07:21:44"</f>
        <v>2018-10-07 07:21:44</v>
      </c>
    </row>
    <row r="22618" spans="1:7" x14ac:dyDescent="0.2">
      <c r="A22618" t="s">
        <v>21099</v>
      </c>
      <c r="B22618" t="str">
        <f>"13950706457"</f>
        <v>13950706457</v>
      </c>
      <c r="C22618" t="str">
        <f>"350322198009181639"</f>
        <v>350322198009181639</v>
      </c>
      <c r="D22618" t="s">
        <v>21100</v>
      </c>
      <c r="E22618" t="s">
        <v>21101</v>
      </c>
      <c r="F22618" t="s">
        <v>0</v>
      </c>
      <c r="G22618" t="str">
        <f>"2018-10-20 08:24:28"</f>
        <v>2018-10-20 08:24:28</v>
      </c>
    </row>
    <row r="22619" spans="1:7" x14ac:dyDescent="0.2">
      <c r="A22619" t="s">
        <v>344</v>
      </c>
      <c r="B22619" t="str">
        <f>"18120391797"</f>
        <v>18120391797</v>
      </c>
      <c r="C22619" t="str">
        <f>"42900519880928471X"</f>
        <v>42900519880928471X</v>
      </c>
      <c r="D22619" t="s">
        <v>21102</v>
      </c>
      <c r="E22619" t="s">
        <v>21103</v>
      </c>
      <c r="F22619" t="s">
        <v>0</v>
      </c>
      <c r="G22619" t="str">
        <f>"2018-10-07 07:18:36"</f>
        <v>2018-10-07 07:18:36</v>
      </c>
    </row>
    <row r="22620" spans="1:7" x14ac:dyDescent="0.2">
      <c r="A22620" t="s">
        <v>1</v>
      </c>
      <c r="B22620" t="str">
        <f>"18940862400"</f>
        <v>18940862400</v>
      </c>
      <c r="C22620" t="s">
        <v>1</v>
      </c>
      <c r="D22620" t="s">
        <v>1</v>
      </c>
      <c r="E22620" t="s">
        <v>1</v>
      </c>
      <c r="F22620" t="s">
        <v>0</v>
      </c>
      <c r="G22620" t="str">
        <f>"2018-10-07 07:10:19"</f>
        <v>2018-10-07 07:10:19</v>
      </c>
    </row>
    <row r="22621" spans="1:7" x14ac:dyDescent="0.2">
      <c r="A22621" t="s">
        <v>21104</v>
      </c>
      <c r="B22621" t="str">
        <f>"13760544488"</f>
        <v>13760544488</v>
      </c>
      <c r="C22621" t="str">
        <f>"440711198411135715"</f>
        <v>440711198411135715</v>
      </c>
      <c r="D22621" t="s">
        <v>1</v>
      </c>
      <c r="E22621" t="s">
        <v>1</v>
      </c>
      <c r="F22621" t="s">
        <v>0</v>
      </c>
      <c r="G22621" t="str">
        <f>"2018-10-07 07:48:43"</f>
        <v>2018-10-07 07:48:43</v>
      </c>
    </row>
    <row r="22622" spans="1:7" x14ac:dyDescent="0.2">
      <c r="A22622" t="s">
        <v>1</v>
      </c>
      <c r="B22622" t="str">
        <f>"13845705552"</f>
        <v>13845705552</v>
      </c>
      <c r="C22622" t="s">
        <v>1</v>
      </c>
      <c r="D22622" t="s">
        <v>1</v>
      </c>
      <c r="E22622" t="s">
        <v>1</v>
      </c>
      <c r="F22622" t="s">
        <v>0</v>
      </c>
      <c r="G22622" t="str">
        <f>"2018-10-07 07:08:37"</f>
        <v>2018-10-07 07:08:37</v>
      </c>
    </row>
    <row r="22623" spans="1:7" x14ac:dyDescent="0.2">
      <c r="A22623" t="s">
        <v>1</v>
      </c>
      <c r="B22623" t="str">
        <f>"13105646894"</f>
        <v>13105646894</v>
      </c>
      <c r="C22623" t="s">
        <v>1</v>
      </c>
      <c r="D22623" t="s">
        <v>1</v>
      </c>
      <c r="E22623" t="s">
        <v>1</v>
      </c>
      <c r="F22623" t="s">
        <v>0</v>
      </c>
      <c r="G22623" t="str">
        <f>"2018-10-07 07:07:45"</f>
        <v>2018-10-07 07:07:45</v>
      </c>
    </row>
    <row r="22624" spans="1:7" x14ac:dyDescent="0.2">
      <c r="A22624" t="s">
        <v>1</v>
      </c>
      <c r="B22624" t="str">
        <f>"15971577152"</f>
        <v>15971577152</v>
      </c>
      <c r="C22624" t="s">
        <v>1</v>
      </c>
      <c r="D22624" t="s">
        <v>1</v>
      </c>
      <c r="E22624" t="s">
        <v>1</v>
      </c>
      <c r="F22624" t="s">
        <v>0</v>
      </c>
      <c r="G22624" t="str">
        <f>"2018-10-07 07:07:38"</f>
        <v>2018-10-07 07:07:38</v>
      </c>
    </row>
    <row r="22625" spans="1:7" x14ac:dyDescent="0.2">
      <c r="A22625" t="s">
        <v>11972</v>
      </c>
      <c r="B22625" t="str">
        <f>"13712465708"</f>
        <v>13712465708</v>
      </c>
      <c r="C22625" t="str">
        <f>"450924198504213457"</f>
        <v>450924198504213457</v>
      </c>
      <c r="D22625" t="s">
        <v>1</v>
      </c>
      <c r="E22625" t="s">
        <v>1</v>
      </c>
      <c r="F22625" t="s">
        <v>0</v>
      </c>
      <c r="G22625" t="str">
        <f>"2018-10-07 07:04:50"</f>
        <v>2018-10-07 07:04:50</v>
      </c>
    </row>
    <row r="22626" spans="1:7" x14ac:dyDescent="0.2">
      <c r="A22626" t="s">
        <v>1</v>
      </c>
      <c r="B22626" t="str">
        <f>"18659174072"</f>
        <v>18659174072</v>
      </c>
      <c r="C22626" t="s">
        <v>1</v>
      </c>
      <c r="D22626" t="s">
        <v>1</v>
      </c>
      <c r="E22626" t="s">
        <v>1</v>
      </c>
      <c r="F22626" t="s">
        <v>0</v>
      </c>
      <c r="G22626" t="str">
        <f>"2018-10-07 07:03:19"</f>
        <v>2018-10-07 07:03:19</v>
      </c>
    </row>
    <row r="22627" spans="1:7" x14ac:dyDescent="0.2">
      <c r="A22627" t="s">
        <v>21105</v>
      </c>
      <c r="B22627" t="str">
        <f>"13633922370"</f>
        <v>13633922370</v>
      </c>
      <c r="C22627" t="str">
        <f>"410603198110213010"</f>
        <v>410603198110213010</v>
      </c>
      <c r="D22627" t="s">
        <v>1</v>
      </c>
      <c r="E22627" t="s">
        <v>1</v>
      </c>
      <c r="F22627" t="s">
        <v>0</v>
      </c>
      <c r="G22627" t="str">
        <f>"2018-10-07 06:57:30"</f>
        <v>2018-10-07 06:57:30</v>
      </c>
    </row>
    <row r="22628" spans="1:7" x14ac:dyDescent="0.2">
      <c r="A22628" t="s">
        <v>21106</v>
      </c>
      <c r="B22628" t="str">
        <f>"17704310660"</f>
        <v>17704310660</v>
      </c>
      <c r="C22628" t="str">
        <f>"220122198506115931"</f>
        <v>220122198506115931</v>
      </c>
      <c r="D22628" t="s">
        <v>1</v>
      </c>
      <c r="E22628" t="s">
        <v>1</v>
      </c>
      <c r="F22628" t="s">
        <v>0</v>
      </c>
      <c r="G22628" t="str">
        <f>"2018-10-07 06:55:57"</f>
        <v>2018-10-07 06:55:57</v>
      </c>
    </row>
    <row r="22629" spans="1:7" x14ac:dyDescent="0.2">
      <c r="A22629" t="s">
        <v>792</v>
      </c>
      <c r="B22629" t="str">
        <f>"18730671256"</f>
        <v>18730671256</v>
      </c>
      <c r="C22629" t="str">
        <f>"131026198506066534"</f>
        <v>131026198506066534</v>
      </c>
      <c r="D22629" t="s">
        <v>1</v>
      </c>
      <c r="E22629" t="s">
        <v>1</v>
      </c>
      <c r="F22629" t="s">
        <v>0</v>
      </c>
      <c r="G22629" t="str">
        <f>"2018-10-07 06:53:25"</f>
        <v>2018-10-07 06:53:25</v>
      </c>
    </row>
    <row r="22630" spans="1:7" x14ac:dyDescent="0.2">
      <c r="A22630" t="s">
        <v>1</v>
      </c>
      <c r="B22630" t="str">
        <f>"13977922091"</f>
        <v>13977922091</v>
      </c>
      <c r="C22630" t="s">
        <v>1</v>
      </c>
      <c r="D22630" t="s">
        <v>1</v>
      </c>
      <c r="E22630" t="s">
        <v>1</v>
      </c>
      <c r="F22630" t="s">
        <v>0</v>
      </c>
      <c r="G22630" t="str">
        <f>"2018-10-07 06:50:23"</f>
        <v>2018-10-07 06:50:23</v>
      </c>
    </row>
    <row r="22631" spans="1:7" x14ac:dyDescent="0.2">
      <c r="A22631" t="s">
        <v>21107</v>
      </c>
      <c r="B22631" t="str">
        <f>"15244752499"</f>
        <v>15244752499</v>
      </c>
      <c r="C22631" t="str">
        <f>"230121199207250615"</f>
        <v>230121199207250615</v>
      </c>
      <c r="D22631" t="s">
        <v>21108</v>
      </c>
      <c r="E22631" t="s">
        <v>21109</v>
      </c>
      <c r="F22631" t="s">
        <v>0</v>
      </c>
      <c r="G22631" t="str">
        <f>"2018-10-07 07:07:22"</f>
        <v>2018-10-07 07:07:22</v>
      </c>
    </row>
    <row r="22632" spans="1:7" x14ac:dyDescent="0.2">
      <c r="A22632" t="s">
        <v>21110</v>
      </c>
      <c r="B22632" t="str">
        <f>"17784761953"</f>
        <v>17784761953</v>
      </c>
      <c r="C22632" t="str">
        <f>"500227198907021631"</f>
        <v>500227198907021631</v>
      </c>
      <c r="D22632" t="s">
        <v>1</v>
      </c>
      <c r="E22632" t="s">
        <v>1</v>
      </c>
      <c r="F22632" t="s">
        <v>0</v>
      </c>
      <c r="G22632" t="str">
        <f>"2018-10-07 06:49:34"</f>
        <v>2018-10-07 06:49:34</v>
      </c>
    </row>
    <row r="22633" spans="1:7" x14ac:dyDescent="0.2">
      <c r="A22633" t="s">
        <v>1</v>
      </c>
      <c r="B22633" t="str">
        <f>"15926471210"</f>
        <v>15926471210</v>
      </c>
      <c r="C22633" t="s">
        <v>1</v>
      </c>
      <c r="D22633" t="s">
        <v>1</v>
      </c>
      <c r="E22633" t="s">
        <v>1</v>
      </c>
      <c r="F22633" t="s">
        <v>0</v>
      </c>
      <c r="G22633" t="str">
        <f>"2018-10-07 06:49:08"</f>
        <v>2018-10-07 06:49:08</v>
      </c>
    </row>
    <row r="22634" spans="1:7" x14ac:dyDescent="0.2">
      <c r="A22634" t="s">
        <v>21111</v>
      </c>
      <c r="B22634" t="str">
        <f>"13166316975"</f>
        <v>13166316975</v>
      </c>
      <c r="C22634" t="str">
        <f>"310108196409023221"</f>
        <v>310108196409023221</v>
      </c>
      <c r="D22634" t="s">
        <v>1</v>
      </c>
      <c r="E22634" t="s">
        <v>1</v>
      </c>
      <c r="F22634" t="s">
        <v>0</v>
      </c>
      <c r="G22634" t="str">
        <f>"2018-10-07 06:43:47"</f>
        <v>2018-10-07 06:43:47</v>
      </c>
    </row>
    <row r="22635" spans="1:7" x14ac:dyDescent="0.2">
      <c r="A22635" t="s">
        <v>21112</v>
      </c>
      <c r="B22635" t="str">
        <f>"15358457992"</f>
        <v>15358457992</v>
      </c>
      <c r="C22635" t="str">
        <f>"612301196204155131"</f>
        <v>612301196204155131</v>
      </c>
      <c r="D22635" t="s">
        <v>21113</v>
      </c>
      <c r="E22635" t="s">
        <v>21114</v>
      </c>
      <c r="F22635" t="s">
        <v>0</v>
      </c>
      <c r="G22635" t="str">
        <f>"2018-10-30 12:19:27"</f>
        <v>2018-10-30 12:19:27</v>
      </c>
    </row>
    <row r="22636" spans="1:7" x14ac:dyDescent="0.2">
      <c r="A22636" t="s">
        <v>16669</v>
      </c>
      <c r="B22636" t="str">
        <f>"15717002506"</f>
        <v>15717002506</v>
      </c>
      <c r="C22636" t="str">
        <f>"360124198509203615"</f>
        <v>360124198509203615</v>
      </c>
      <c r="D22636" t="s">
        <v>1</v>
      </c>
      <c r="E22636" t="s">
        <v>1</v>
      </c>
      <c r="F22636" t="s">
        <v>0</v>
      </c>
      <c r="G22636" t="str">
        <f>"2018-10-07 06:40:01"</f>
        <v>2018-10-07 06:40:01</v>
      </c>
    </row>
    <row r="22637" spans="1:7" x14ac:dyDescent="0.2">
      <c r="A22637" t="s">
        <v>1</v>
      </c>
      <c r="B22637" t="str">
        <f>"13184479410"</f>
        <v>13184479410</v>
      </c>
      <c r="C22637" t="s">
        <v>1</v>
      </c>
      <c r="D22637" t="s">
        <v>1</v>
      </c>
      <c r="E22637" t="s">
        <v>1</v>
      </c>
      <c r="F22637" t="s">
        <v>0</v>
      </c>
      <c r="G22637" t="str">
        <f>"2018-10-07 06:37:21"</f>
        <v>2018-10-07 06:37:21</v>
      </c>
    </row>
    <row r="22638" spans="1:7" x14ac:dyDescent="0.2">
      <c r="A22638" t="s">
        <v>21115</v>
      </c>
      <c r="B22638" t="str">
        <f>"15959036164"</f>
        <v>15959036164</v>
      </c>
      <c r="C22638" t="str">
        <f>"35212419730829013X"</f>
        <v>35212419730829013X</v>
      </c>
      <c r="D22638" t="s">
        <v>1</v>
      </c>
      <c r="E22638" t="s">
        <v>1</v>
      </c>
      <c r="F22638" t="s">
        <v>0</v>
      </c>
      <c r="G22638" t="str">
        <f>"2018-10-07 06:55:50"</f>
        <v>2018-10-07 06:55:50</v>
      </c>
    </row>
    <row r="22639" spans="1:7" x14ac:dyDescent="0.2">
      <c r="A22639" t="s">
        <v>21116</v>
      </c>
      <c r="B22639" t="str">
        <f>"15971003450"</f>
        <v>15971003450</v>
      </c>
      <c r="C22639" t="str">
        <f>"420625197412196549"</f>
        <v>420625197412196549</v>
      </c>
      <c r="D22639" t="s">
        <v>21117</v>
      </c>
      <c r="E22639" t="s">
        <v>21118</v>
      </c>
      <c r="F22639" t="s">
        <v>0</v>
      </c>
      <c r="G22639" t="str">
        <f>"2018-10-07 06:32:43"</f>
        <v>2018-10-07 06:32:43</v>
      </c>
    </row>
    <row r="22640" spans="1:7" x14ac:dyDescent="0.2">
      <c r="A22640" t="s">
        <v>21119</v>
      </c>
      <c r="B22640" t="str">
        <f>"15688982176"</f>
        <v>15688982176</v>
      </c>
      <c r="C22640" t="str">
        <f>"220203197302021249"</f>
        <v>220203197302021249</v>
      </c>
      <c r="D22640" t="s">
        <v>1</v>
      </c>
      <c r="E22640" t="s">
        <v>1</v>
      </c>
      <c r="F22640" t="s">
        <v>0</v>
      </c>
      <c r="G22640" t="str">
        <f>"2018-10-07 06:26:46"</f>
        <v>2018-10-07 06:26:46</v>
      </c>
    </row>
    <row r="22641" spans="1:7" x14ac:dyDescent="0.2">
      <c r="A22641" t="s">
        <v>21120</v>
      </c>
      <c r="B22641" t="str">
        <f>"13652172029"</f>
        <v>13652172029</v>
      </c>
      <c r="C22641" t="str">
        <f>"370923199502014217"</f>
        <v>370923199502014217</v>
      </c>
      <c r="D22641" t="s">
        <v>1</v>
      </c>
      <c r="E22641" t="s">
        <v>1</v>
      </c>
      <c r="F22641" t="s">
        <v>0</v>
      </c>
      <c r="G22641" t="str">
        <f>"2018-10-14 07:08:15"</f>
        <v>2018-10-14 07:08:15</v>
      </c>
    </row>
    <row r="22642" spans="1:7" x14ac:dyDescent="0.2">
      <c r="A22642" t="s">
        <v>6963</v>
      </c>
      <c r="B22642" t="str">
        <f>"18273139612"</f>
        <v>18273139612</v>
      </c>
      <c r="C22642" t="str">
        <f>"432522198209042513"</f>
        <v>432522198209042513</v>
      </c>
      <c r="D22642" t="s">
        <v>1</v>
      </c>
      <c r="E22642" t="s">
        <v>1</v>
      </c>
      <c r="F22642" t="s">
        <v>0</v>
      </c>
      <c r="G22642" t="str">
        <f>"2018-10-07 06:11:22"</f>
        <v>2018-10-07 06:11:22</v>
      </c>
    </row>
    <row r="22643" spans="1:7" x14ac:dyDescent="0.2">
      <c r="A22643" t="s">
        <v>21121</v>
      </c>
      <c r="B22643" t="str">
        <f>"18131150307"</f>
        <v>18131150307</v>
      </c>
      <c r="C22643" t="str">
        <f>"130633198803076822"</f>
        <v>130633198803076822</v>
      </c>
      <c r="D22643" t="s">
        <v>1</v>
      </c>
      <c r="E22643" t="s">
        <v>1</v>
      </c>
      <c r="F22643" t="s">
        <v>0</v>
      </c>
      <c r="G22643" t="str">
        <f>"2018-10-07 06:10:56"</f>
        <v>2018-10-07 06:10:56</v>
      </c>
    </row>
    <row r="22644" spans="1:7" x14ac:dyDescent="0.2">
      <c r="A22644" t="s">
        <v>21122</v>
      </c>
      <c r="B22644" t="str">
        <f>"13431925888"</f>
        <v>13431925888</v>
      </c>
      <c r="C22644" t="str">
        <f>"440421198001118011"</f>
        <v>440421198001118011</v>
      </c>
      <c r="D22644" t="s">
        <v>1</v>
      </c>
      <c r="E22644" t="s">
        <v>1</v>
      </c>
      <c r="F22644" t="s">
        <v>0</v>
      </c>
      <c r="G22644" t="str">
        <f>"2018-10-07 06:35:25"</f>
        <v>2018-10-07 06:35:25</v>
      </c>
    </row>
    <row r="22645" spans="1:7" x14ac:dyDescent="0.2">
      <c r="A22645" t="s">
        <v>21123</v>
      </c>
      <c r="B22645" t="str">
        <f>"13569832501"</f>
        <v>13569832501</v>
      </c>
      <c r="C22645" t="str">
        <f>"410721197702210538"</f>
        <v>410721197702210538</v>
      </c>
      <c r="D22645" t="s">
        <v>1</v>
      </c>
      <c r="E22645" t="s">
        <v>1</v>
      </c>
      <c r="F22645" t="s">
        <v>0</v>
      </c>
      <c r="G22645" t="str">
        <f>"2018-10-07 05:56:31"</f>
        <v>2018-10-07 05:56:31</v>
      </c>
    </row>
    <row r="22646" spans="1:7" x14ac:dyDescent="0.2">
      <c r="A22646" t="s">
        <v>21124</v>
      </c>
      <c r="B22646" t="str">
        <f>"15238115631"</f>
        <v>15238115631</v>
      </c>
      <c r="C22646" t="str">
        <f>"411302198702203113"</f>
        <v>411302198702203113</v>
      </c>
      <c r="D22646" t="s">
        <v>21125</v>
      </c>
      <c r="E22646" t="s">
        <v>21126</v>
      </c>
      <c r="F22646" t="s">
        <v>0</v>
      </c>
      <c r="G22646" t="str">
        <f>"2018-10-24 03:18:48"</f>
        <v>2018-10-24 03:18:48</v>
      </c>
    </row>
    <row r="22647" spans="1:7" x14ac:dyDescent="0.2">
      <c r="A22647" t="s">
        <v>21127</v>
      </c>
      <c r="B22647" t="str">
        <f>"13860575130"</f>
        <v>13860575130</v>
      </c>
      <c r="C22647" t="str">
        <f>"350425197805160310"</f>
        <v>350425197805160310</v>
      </c>
      <c r="D22647" t="s">
        <v>1</v>
      </c>
      <c r="E22647" t="s">
        <v>1</v>
      </c>
      <c r="F22647" t="s">
        <v>0</v>
      </c>
      <c r="G22647" t="str">
        <f>"2018-10-07 05:39:26"</f>
        <v>2018-10-07 05:39:26</v>
      </c>
    </row>
    <row r="22648" spans="1:7" x14ac:dyDescent="0.2">
      <c r="A22648" t="s">
        <v>674</v>
      </c>
      <c r="B22648" t="str">
        <f>"15729613353"</f>
        <v>15729613353</v>
      </c>
      <c r="C22648" t="str">
        <f>"51130319880526092X"</f>
        <v>51130319880526092X</v>
      </c>
      <c r="D22648" t="s">
        <v>1</v>
      </c>
      <c r="E22648" t="s">
        <v>1</v>
      </c>
      <c r="F22648" t="s">
        <v>0</v>
      </c>
      <c r="G22648" t="str">
        <f>"2018-10-07 05:31:01"</f>
        <v>2018-10-07 05:31:01</v>
      </c>
    </row>
    <row r="22649" spans="1:7" x14ac:dyDescent="0.2">
      <c r="A22649" t="s">
        <v>1</v>
      </c>
      <c r="B22649" t="str">
        <f>"15111524422"</f>
        <v>15111524422</v>
      </c>
      <c r="C22649" t="s">
        <v>1</v>
      </c>
      <c r="D22649" t="s">
        <v>1</v>
      </c>
      <c r="E22649" t="s">
        <v>1</v>
      </c>
      <c r="F22649" t="s">
        <v>0</v>
      </c>
      <c r="G22649" t="str">
        <f>"2018-10-07 05:17:51"</f>
        <v>2018-10-07 05:17:51</v>
      </c>
    </row>
    <row r="22650" spans="1:7" x14ac:dyDescent="0.2">
      <c r="A22650" t="s">
        <v>5411</v>
      </c>
      <c r="B22650" t="str">
        <f>"17640104455"</f>
        <v>17640104455</v>
      </c>
      <c r="C22650" t="str">
        <f>"210381199207052030"</f>
        <v>210381199207052030</v>
      </c>
      <c r="D22650" t="s">
        <v>21128</v>
      </c>
      <c r="E22650" t="s">
        <v>21129</v>
      </c>
      <c r="F22650" t="s">
        <v>0</v>
      </c>
      <c r="G22650" t="str">
        <f>"2018-10-07 04:59:07"</f>
        <v>2018-10-07 04:59:07</v>
      </c>
    </row>
    <row r="22651" spans="1:7" x14ac:dyDescent="0.2">
      <c r="A22651" t="s">
        <v>1</v>
      </c>
      <c r="B22651" t="str">
        <f>"13246089436"</f>
        <v>13246089436</v>
      </c>
      <c r="C22651" t="s">
        <v>1</v>
      </c>
      <c r="D22651" t="s">
        <v>1</v>
      </c>
      <c r="E22651" t="s">
        <v>1</v>
      </c>
      <c r="F22651" t="s">
        <v>0</v>
      </c>
      <c r="G22651" t="str">
        <f>"2018-10-07 05:01:26"</f>
        <v>2018-10-07 05:01:26</v>
      </c>
    </row>
    <row r="22652" spans="1:7" x14ac:dyDescent="0.2">
      <c r="A22652" t="s">
        <v>13455</v>
      </c>
      <c r="B22652" t="str">
        <f>"18791103271"</f>
        <v>18791103271</v>
      </c>
      <c r="C22652" t="str">
        <f>"610632198908141043"</f>
        <v>610632198908141043</v>
      </c>
      <c r="D22652" t="s">
        <v>21130</v>
      </c>
      <c r="E22652" t="s">
        <v>21131</v>
      </c>
      <c r="F22652" t="s">
        <v>0</v>
      </c>
      <c r="G22652" t="str">
        <f>"2018-10-07 04:57:41"</f>
        <v>2018-10-07 04:57:41</v>
      </c>
    </row>
    <row r="22653" spans="1:7" x14ac:dyDescent="0.2">
      <c r="A22653" t="s">
        <v>1</v>
      </c>
      <c r="B22653" t="str">
        <f>"13555112837"</f>
        <v>13555112837</v>
      </c>
      <c r="C22653" t="s">
        <v>1</v>
      </c>
      <c r="D22653" t="s">
        <v>1</v>
      </c>
      <c r="E22653" t="s">
        <v>1</v>
      </c>
      <c r="F22653" t="s">
        <v>0</v>
      </c>
      <c r="G22653" t="str">
        <f>"2018-10-07 04:54:28"</f>
        <v>2018-10-07 04:54:28</v>
      </c>
    </row>
    <row r="22654" spans="1:7" x14ac:dyDescent="0.2">
      <c r="A22654" t="s">
        <v>1</v>
      </c>
      <c r="B22654" t="str">
        <f>"18887051822"</f>
        <v>18887051822</v>
      </c>
      <c r="C22654" t="s">
        <v>1</v>
      </c>
      <c r="D22654" t="s">
        <v>1</v>
      </c>
      <c r="E22654" t="s">
        <v>1</v>
      </c>
      <c r="F22654" t="s">
        <v>0</v>
      </c>
      <c r="G22654" t="str">
        <f>"2018-10-07 04:41:25"</f>
        <v>2018-10-07 04:41:25</v>
      </c>
    </row>
    <row r="22655" spans="1:7" x14ac:dyDescent="0.2">
      <c r="A22655" t="s">
        <v>1</v>
      </c>
      <c r="B22655" t="str">
        <f>"13735292152"</f>
        <v>13735292152</v>
      </c>
      <c r="C22655" t="s">
        <v>1</v>
      </c>
      <c r="D22655" t="s">
        <v>1</v>
      </c>
      <c r="E22655" t="s">
        <v>1</v>
      </c>
      <c r="F22655" t="s">
        <v>0</v>
      </c>
      <c r="G22655" t="str">
        <f>"2018-10-07 04:35:08"</f>
        <v>2018-10-07 04:35:08</v>
      </c>
    </row>
    <row r="22656" spans="1:7" x14ac:dyDescent="0.2">
      <c r="A22656" t="s">
        <v>1</v>
      </c>
      <c r="B22656" t="str">
        <f>"18828050177"</f>
        <v>18828050177</v>
      </c>
      <c r="C22656" t="s">
        <v>1</v>
      </c>
      <c r="D22656" t="s">
        <v>1</v>
      </c>
      <c r="E22656" t="s">
        <v>1</v>
      </c>
      <c r="F22656" t="s">
        <v>0</v>
      </c>
      <c r="G22656" t="str">
        <f>"2018-10-07 04:37:40"</f>
        <v>2018-10-07 04:37:40</v>
      </c>
    </row>
    <row r="22657" spans="1:7" x14ac:dyDescent="0.2">
      <c r="A22657" t="s">
        <v>1</v>
      </c>
      <c r="B22657" t="str">
        <f>"15921212455"</f>
        <v>15921212455</v>
      </c>
      <c r="C22657" t="s">
        <v>1</v>
      </c>
      <c r="D22657" t="s">
        <v>1</v>
      </c>
      <c r="E22657" t="s">
        <v>1</v>
      </c>
      <c r="F22657" t="s">
        <v>0</v>
      </c>
      <c r="G22657" t="str">
        <f>"2018-10-07 04:15:32"</f>
        <v>2018-10-07 04:15:32</v>
      </c>
    </row>
    <row r="22658" spans="1:7" x14ac:dyDescent="0.2">
      <c r="A22658" t="s">
        <v>21132</v>
      </c>
      <c r="B22658" t="str">
        <f>"18681744443"</f>
        <v>18681744443</v>
      </c>
      <c r="C22658" t="str">
        <f>"511325199308200048"</f>
        <v>511325199308200048</v>
      </c>
      <c r="D22658" t="s">
        <v>1</v>
      </c>
      <c r="E22658" t="s">
        <v>1</v>
      </c>
      <c r="F22658" t="s">
        <v>0</v>
      </c>
      <c r="G22658" t="str">
        <f>"2018-10-07 04:04:08"</f>
        <v>2018-10-07 04:04:08</v>
      </c>
    </row>
    <row r="22659" spans="1:7" x14ac:dyDescent="0.2">
      <c r="A22659" t="s">
        <v>21133</v>
      </c>
      <c r="B22659" t="str">
        <f>"15990089045"</f>
        <v>15990089045</v>
      </c>
      <c r="C22659" t="str">
        <f>"330724199111041814"</f>
        <v>330724199111041814</v>
      </c>
      <c r="D22659" t="s">
        <v>1</v>
      </c>
      <c r="E22659" t="s">
        <v>1</v>
      </c>
      <c r="F22659" t="s">
        <v>0</v>
      </c>
      <c r="G22659" t="str">
        <f>"2018-11-02 16:08:48"</f>
        <v>2018-11-02 16:08:48</v>
      </c>
    </row>
    <row r="22660" spans="1:7" x14ac:dyDescent="0.2">
      <c r="A22660" t="s">
        <v>21134</v>
      </c>
      <c r="B22660" t="str">
        <f>"13467094880"</f>
        <v>13467094880</v>
      </c>
      <c r="C22660" t="str">
        <f>"14042619820331162X"</f>
        <v>14042619820331162X</v>
      </c>
      <c r="D22660" t="s">
        <v>1</v>
      </c>
      <c r="E22660" t="s">
        <v>1</v>
      </c>
      <c r="F22660" t="s">
        <v>0</v>
      </c>
      <c r="G22660" t="str">
        <f>"2018-10-07 04:04:27"</f>
        <v>2018-10-07 04:04:27</v>
      </c>
    </row>
    <row r="22661" spans="1:7" x14ac:dyDescent="0.2">
      <c r="A22661" t="s">
        <v>1</v>
      </c>
      <c r="B22661" t="str">
        <f>"17507133427"</f>
        <v>17507133427</v>
      </c>
      <c r="C22661" t="s">
        <v>1</v>
      </c>
      <c r="D22661" t="s">
        <v>1</v>
      </c>
      <c r="E22661" t="s">
        <v>1</v>
      </c>
      <c r="F22661" t="s">
        <v>0</v>
      </c>
      <c r="G22661" t="str">
        <f>"2018-10-07 04:00:52"</f>
        <v>2018-10-07 04:00:52</v>
      </c>
    </row>
    <row r="22662" spans="1:7" x14ac:dyDescent="0.2">
      <c r="A22662" t="s">
        <v>1</v>
      </c>
      <c r="B22662" t="str">
        <f>"13425897784"</f>
        <v>13425897784</v>
      </c>
      <c r="C22662" t="s">
        <v>1</v>
      </c>
      <c r="D22662" t="s">
        <v>1</v>
      </c>
      <c r="E22662" t="s">
        <v>1</v>
      </c>
      <c r="F22662" t="s">
        <v>0</v>
      </c>
      <c r="G22662" t="str">
        <f>"2018-10-19 14:10:22"</f>
        <v>2018-10-19 14:10:22</v>
      </c>
    </row>
    <row r="22663" spans="1:7" x14ac:dyDescent="0.2">
      <c r="A22663" t="s">
        <v>1677</v>
      </c>
      <c r="B22663" t="str">
        <f>"15001052772"</f>
        <v>15001052772</v>
      </c>
      <c r="C22663" t="str">
        <f>"411321199007203430"</f>
        <v>411321199007203430</v>
      </c>
      <c r="D22663" t="s">
        <v>1</v>
      </c>
      <c r="E22663" t="s">
        <v>1</v>
      </c>
      <c r="F22663" t="s">
        <v>0</v>
      </c>
      <c r="G22663" t="str">
        <f>"2018-10-07 03:42:22"</f>
        <v>2018-10-07 03:42:22</v>
      </c>
    </row>
    <row r="22664" spans="1:7" x14ac:dyDescent="0.2">
      <c r="A22664" t="s">
        <v>21135</v>
      </c>
      <c r="B22664" t="str">
        <f>"13979109210"</f>
        <v>13979109210</v>
      </c>
      <c r="C22664" t="str">
        <f>"360121199208016977"</f>
        <v>360121199208016977</v>
      </c>
      <c r="D22664" t="s">
        <v>1</v>
      </c>
      <c r="E22664" t="s">
        <v>1</v>
      </c>
      <c r="F22664" t="s">
        <v>0</v>
      </c>
      <c r="G22664" t="str">
        <f>"2018-10-07 03:40:37"</f>
        <v>2018-10-07 03:40:37</v>
      </c>
    </row>
    <row r="22665" spans="1:7" x14ac:dyDescent="0.2">
      <c r="A22665" t="s">
        <v>21136</v>
      </c>
      <c r="B22665" t="str">
        <f>"15759059163"</f>
        <v>15759059163</v>
      </c>
      <c r="C22665" t="str">
        <f>"350481198908052035"</f>
        <v>350481198908052035</v>
      </c>
      <c r="D22665" t="s">
        <v>21137</v>
      </c>
      <c r="E22665" t="s">
        <v>21138</v>
      </c>
      <c r="F22665" t="s">
        <v>0</v>
      </c>
      <c r="G22665" t="str">
        <f>"2018-10-17 17:08:13"</f>
        <v>2018-10-17 17:08:13</v>
      </c>
    </row>
    <row r="22666" spans="1:7" x14ac:dyDescent="0.2">
      <c r="A22666" t="s">
        <v>1</v>
      </c>
      <c r="B22666" t="str">
        <f>"13725527192"</f>
        <v>13725527192</v>
      </c>
      <c r="C22666" t="s">
        <v>1</v>
      </c>
      <c r="D22666" t="s">
        <v>1</v>
      </c>
      <c r="E22666" t="s">
        <v>1</v>
      </c>
      <c r="F22666" t="s">
        <v>0</v>
      </c>
      <c r="G22666" t="str">
        <f>"2018-10-07 04:15:48"</f>
        <v>2018-10-07 04:15:48</v>
      </c>
    </row>
    <row r="22667" spans="1:7" x14ac:dyDescent="0.2">
      <c r="A22667" t="s">
        <v>1</v>
      </c>
      <c r="B22667" t="str">
        <f>"18319695780"</f>
        <v>18319695780</v>
      </c>
      <c r="C22667" t="s">
        <v>1</v>
      </c>
      <c r="D22667" t="s">
        <v>1</v>
      </c>
      <c r="E22667" t="s">
        <v>1</v>
      </c>
      <c r="F22667" t="s">
        <v>0</v>
      </c>
      <c r="G22667" t="str">
        <f>"2018-10-07 03:20:03"</f>
        <v>2018-10-07 03:20:03</v>
      </c>
    </row>
    <row r="22668" spans="1:7" x14ac:dyDescent="0.2">
      <c r="A22668" t="s">
        <v>69</v>
      </c>
      <c r="B22668" t="str">
        <f>"13259067756"</f>
        <v>13259067756</v>
      </c>
      <c r="C22668" t="str">
        <f>"610527199602203211"</f>
        <v>610527199602203211</v>
      </c>
      <c r="D22668" t="s">
        <v>1</v>
      </c>
      <c r="E22668" t="s">
        <v>1</v>
      </c>
      <c r="F22668" t="s">
        <v>0</v>
      </c>
      <c r="G22668" t="str">
        <f>"2018-10-07 03:54:34"</f>
        <v>2018-10-07 03:54:34</v>
      </c>
    </row>
    <row r="22669" spans="1:7" x14ac:dyDescent="0.2">
      <c r="A22669" t="s">
        <v>21139</v>
      </c>
      <c r="B22669" t="str">
        <f>"18819892255"</f>
        <v>18819892255</v>
      </c>
      <c r="C22669" t="str">
        <f>"441702199009011721"</f>
        <v>441702199009011721</v>
      </c>
      <c r="D22669" t="s">
        <v>1</v>
      </c>
      <c r="E22669" t="s">
        <v>1</v>
      </c>
      <c r="F22669" t="s">
        <v>0</v>
      </c>
      <c r="G22669" t="str">
        <f>"2018-10-07 03:27:27"</f>
        <v>2018-10-07 03:27:27</v>
      </c>
    </row>
    <row r="22670" spans="1:7" x14ac:dyDescent="0.2">
      <c r="A22670" t="s">
        <v>1</v>
      </c>
      <c r="B22670" t="str">
        <f>"13508501568"</f>
        <v>13508501568</v>
      </c>
      <c r="C22670" t="s">
        <v>1</v>
      </c>
      <c r="D22670" t="s">
        <v>1</v>
      </c>
      <c r="E22670" t="s">
        <v>1</v>
      </c>
      <c r="F22670" t="s">
        <v>0</v>
      </c>
      <c r="G22670" t="str">
        <f>"2018-10-07 03:13:57"</f>
        <v>2018-10-07 03:13:57</v>
      </c>
    </row>
    <row r="22671" spans="1:7" x14ac:dyDescent="0.2">
      <c r="A22671" t="s">
        <v>1</v>
      </c>
      <c r="B22671" t="str">
        <f>"13435320940"</f>
        <v>13435320940</v>
      </c>
      <c r="C22671" t="s">
        <v>1</v>
      </c>
      <c r="D22671" t="s">
        <v>1</v>
      </c>
      <c r="E22671" t="s">
        <v>1</v>
      </c>
      <c r="F22671" t="s">
        <v>0</v>
      </c>
      <c r="G22671" t="str">
        <f>"2018-10-07 03:10:44"</f>
        <v>2018-10-07 03:10:44</v>
      </c>
    </row>
    <row r="22672" spans="1:7" x14ac:dyDescent="0.2">
      <c r="A22672" t="s">
        <v>1</v>
      </c>
      <c r="B22672" t="str">
        <f>"13076288961"</f>
        <v>13076288961</v>
      </c>
      <c r="C22672" t="s">
        <v>1</v>
      </c>
      <c r="D22672" t="s">
        <v>1</v>
      </c>
      <c r="E22672" t="s">
        <v>1</v>
      </c>
      <c r="F22672" t="s">
        <v>0</v>
      </c>
      <c r="G22672" t="str">
        <f>"2018-10-07 03:09:09"</f>
        <v>2018-10-07 03:09:09</v>
      </c>
    </row>
    <row r="22673" spans="1:7" x14ac:dyDescent="0.2">
      <c r="A22673" t="s">
        <v>21140</v>
      </c>
      <c r="B22673" t="str">
        <f>"15257482773"</f>
        <v>15257482773</v>
      </c>
      <c r="C22673" t="str">
        <f>"330103199807102019"</f>
        <v>330103199807102019</v>
      </c>
      <c r="D22673" t="s">
        <v>21141</v>
      </c>
      <c r="E22673" t="s">
        <v>21142</v>
      </c>
      <c r="F22673" t="s">
        <v>0</v>
      </c>
      <c r="G22673" t="str">
        <f>"2018-10-07 03:02:23"</f>
        <v>2018-10-07 03:02:23</v>
      </c>
    </row>
    <row r="22674" spans="1:7" x14ac:dyDescent="0.2">
      <c r="A22674" t="s">
        <v>21143</v>
      </c>
      <c r="B22674" t="str">
        <f>"18580738280"</f>
        <v>18580738280</v>
      </c>
      <c r="C22674" t="str">
        <f>"500222199211121610"</f>
        <v>500222199211121610</v>
      </c>
      <c r="D22674" t="s">
        <v>21144</v>
      </c>
      <c r="E22674" t="s">
        <v>21145</v>
      </c>
      <c r="F22674" t="s">
        <v>0</v>
      </c>
      <c r="G22674" t="str">
        <f>"2018-10-07 03:01:32"</f>
        <v>2018-10-07 03:01:32</v>
      </c>
    </row>
    <row r="22675" spans="1:7" x14ac:dyDescent="0.2">
      <c r="A22675" t="s">
        <v>21146</v>
      </c>
      <c r="B22675" t="str">
        <f>"18669509293"</f>
        <v>18669509293</v>
      </c>
      <c r="C22675" t="str">
        <f>"371302198907071211"</f>
        <v>371302198907071211</v>
      </c>
      <c r="D22675" t="s">
        <v>1</v>
      </c>
      <c r="E22675" t="s">
        <v>1</v>
      </c>
      <c r="F22675" t="s">
        <v>0</v>
      </c>
      <c r="G22675" t="str">
        <f>"2018-10-07 03:48:18"</f>
        <v>2018-10-07 03:48:18</v>
      </c>
    </row>
    <row r="22676" spans="1:7" x14ac:dyDescent="0.2">
      <c r="A22676" t="s">
        <v>21147</v>
      </c>
      <c r="B22676" t="str">
        <f>"18302001025"</f>
        <v>18302001025</v>
      </c>
      <c r="C22676" t="str">
        <f>"360730200103230015"</f>
        <v>360730200103230015</v>
      </c>
      <c r="D22676" t="s">
        <v>1</v>
      </c>
      <c r="E22676" t="s">
        <v>1</v>
      </c>
      <c r="F22676" t="s">
        <v>0</v>
      </c>
      <c r="G22676" t="str">
        <f>"2018-10-07 03:02:25"</f>
        <v>2018-10-07 03:02:25</v>
      </c>
    </row>
    <row r="22677" spans="1:7" x14ac:dyDescent="0.2">
      <c r="A22677" t="s">
        <v>1111</v>
      </c>
      <c r="B22677" t="str">
        <f>"13487393883"</f>
        <v>13487393883</v>
      </c>
      <c r="C22677" t="str">
        <f>"430528198709230576"</f>
        <v>430528198709230576</v>
      </c>
      <c r="D22677" t="s">
        <v>1</v>
      </c>
      <c r="E22677" t="s">
        <v>1</v>
      </c>
      <c r="F22677" t="s">
        <v>0</v>
      </c>
      <c r="G22677" t="str">
        <f>"2018-10-07 02:51:34"</f>
        <v>2018-10-07 02:51:34</v>
      </c>
    </row>
    <row r="22678" spans="1:7" x14ac:dyDescent="0.2">
      <c r="A22678" t="s">
        <v>1</v>
      </c>
      <c r="B22678" t="str">
        <f>"13297096775"</f>
        <v>13297096775</v>
      </c>
      <c r="C22678" t="s">
        <v>1</v>
      </c>
      <c r="D22678" t="s">
        <v>1</v>
      </c>
      <c r="E22678" t="s">
        <v>1</v>
      </c>
      <c r="F22678" t="s">
        <v>0</v>
      </c>
      <c r="G22678" t="str">
        <f>"2018-10-07 02:45:25"</f>
        <v>2018-10-07 02:45:25</v>
      </c>
    </row>
    <row r="22679" spans="1:7" x14ac:dyDescent="0.2">
      <c r="A22679" t="s">
        <v>69</v>
      </c>
      <c r="B22679" t="str">
        <f>"18609529994"</f>
        <v>18609529994</v>
      </c>
      <c r="C22679" t="str">
        <f>"640203198603270516"</f>
        <v>640203198603270516</v>
      </c>
      <c r="D22679" t="s">
        <v>1</v>
      </c>
      <c r="E22679" t="s">
        <v>1</v>
      </c>
      <c r="F22679" t="s">
        <v>0</v>
      </c>
      <c r="G22679" t="str">
        <f>"2018-10-11 17:52:45"</f>
        <v>2018-10-11 17:52:45</v>
      </c>
    </row>
    <row r="22680" spans="1:7" x14ac:dyDescent="0.2">
      <c r="A22680" t="s">
        <v>21148</v>
      </c>
      <c r="B22680" t="str">
        <f>"13580627380"</f>
        <v>13580627380</v>
      </c>
      <c r="C22680" t="str">
        <f>"441283199210294816"</f>
        <v>441283199210294816</v>
      </c>
      <c r="D22680" t="s">
        <v>1</v>
      </c>
      <c r="E22680" t="s">
        <v>1</v>
      </c>
      <c r="F22680" t="s">
        <v>0</v>
      </c>
      <c r="G22680" t="str">
        <f>"2018-10-07 02:38:32"</f>
        <v>2018-10-07 02:38:32</v>
      </c>
    </row>
    <row r="22681" spans="1:7" x14ac:dyDescent="0.2">
      <c r="A22681" t="s">
        <v>1</v>
      </c>
      <c r="B22681" t="str">
        <f>"13692141260"</f>
        <v>13692141260</v>
      </c>
      <c r="C22681" t="s">
        <v>1</v>
      </c>
      <c r="D22681" t="s">
        <v>1</v>
      </c>
      <c r="E22681" t="s">
        <v>1</v>
      </c>
      <c r="F22681" t="s">
        <v>0</v>
      </c>
      <c r="G22681" t="str">
        <f>"2018-10-07 02:37:27"</f>
        <v>2018-10-07 02:37:27</v>
      </c>
    </row>
    <row r="22682" spans="1:7" x14ac:dyDescent="0.2">
      <c r="A22682" t="s">
        <v>21149</v>
      </c>
      <c r="B22682" t="str">
        <f>"18508337762"</f>
        <v>18508337762</v>
      </c>
      <c r="C22682" t="str">
        <f>"511112198405240925"</f>
        <v>511112198405240925</v>
      </c>
      <c r="D22682" t="s">
        <v>21150</v>
      </c>
      <c r="E22682" t="s">
        <v>21151</v>
      </c>
      <c r="F22682" t="s">
        <v>0</v>
      </c>
      <c r="G22682" t="str">
        <f>"2018-10-07 02:35:08"</f>
        <v>2018-10-07 02:35:08</v>
      </c>
    </row>
    <row r="22683" spans="1:7" x14ac:dyDescent="0.2">
      <c r="A22683" t="s">
        <v>1</v>
      </c>
      <c r="B22683" t="str">
        <f>"13232913541"</f>
        <v>13232913541</v>
      </c>
      <c r="C22683" t="s">
        <v>1</v>
      </c>
      <c r="D22683" t="s">
        <v>1</v>
      </c>
      <c r="E22683" t="s">
        <v>1</v>
      </c>
      <c r="F22683" t="s">
        <v>0</v>
      </c>
      <c r="G22683" t="str">
        <f>"2018-10-07 02:33:24"</f>
        <v>2018-10-07 02:33:24</v>
      </c>
    </row>
    <row r="22684" spans="1:7" x14ac:dyDescent="0.2">
      <c r="A22684" t="s">
        <v>277</v>
      </c>
      <c r="B22684" t="str">
        <f>"18646569299"</f>
        <v>18646569299</v>
      </c>
      <c r="C22684" t="str">
        <f>"230102197906201312"</f>
        <v>230102197906201312</v>
      </c>
      <c r="D22684" t="s">
        <v>21152</v>
      </c>
      <c r="E22684" t="s">
        <v>21153</v>
      </c>
      <c r="F22684" t="s">
        <v>0</v>
      </c>
      <c r="G22684" t="str">
        <f>"2018-10-07 13:11:53"</f>
        <v>2018-10-07 13:11:53</v>
      </c>
    </row>
    <row r="22685" spans="1:7" x14ac:dyDescent="0.2">
      <c r="A22685" t="s">
        <v>21154</v>
      </c>
      <c r="B22685" t="str">
        <f>"13480380990"</f>
        <v>13480380990</v>
      </c>
      <c r="C22685" t="str">
        <f>"441522198806170012"</f>
        <v>441522198806170012</v>
      </c>
      <c r="D22685" t="s">
        <v>1</v>
      </c>
      <c r="E22685" t="s">
        <v>1</v>
      </c>
      <c r="F22685" t="s">
        <v>0</v>
      </c>
      <c r="G22685" t="str">
        <f>"2018-10-07 02:32:16"</f>
        <v>2018-10-07 02:32:16</v>
      </c>
    </row>
    <row r="22686" spans="1:7" x14ac:dyDescent="0.2">
      <c r="A22686" t="s">
        <v>287</v>
      </c>
      <c r="B22686" t="str">
        <f>"13343351320"</f>
        <v>13343351320</v>
      </c>
      <c r="C22686" t="str">
        <f>"130302199007141818"</f>
        <v>130302199007141818</v>
      </c>
      <c r="D22686" t="s">
        <v>1</v>
      </c>
      <c r="E22686" t="s">
        <v>1</v>
      </c>
      <c r="F22686" t="s">
        <v>0</v>
      </c>
      <c r="G22686" t="str">
        <f>"2018-10-14 03:18:53"</f>
        <v>2018-10-14 03:18:53</v>
      </c>
    </row>
    <row r="22687" spans="1:7" x14ac:dyDescent="0.2">
      <c r="A22687" t="s">
        <v>21155</v>
      </c>
      <c r="B22687" t="str">
        <f>"18222213997"</f>
        <v>18222213997</v>
      </c>
      <c r="C22687" t="str">
        <f>"622822199910282917"</f>
        <v>622822199910282917</v>
      </c>
      <c r="D22687" t="s">
        <v>1</v>
      </c>
      <c r="E22687" t="s">
        <v>1</v>
      </c>
      <c r="F22687" t="s">
        <v>0</v>
      </c>
      <c r="G22687" t="str">
        <f>"2018-10-27 05:15:18"</f>
        <v>2018-10-27 05:15:18</v>
      </c>
    </row>
    <row r="22688" spans="1:7" x14ac:dyDescent="0.2">
      <c r="A22688" t="s">
        <v>1</v>
      </c>
      <c r="B22688" t="str">
        <f>"18206003197"</f>
        <v>18206003197</v>
      </c>
      <c r="C22688" t="s">
        <v>1</v>
      </c>
      <c r="D22688" t="s">
        <v>1</v>
      </c>
      <c r="E22688" t="s">
        <v>1</v>
      </c>
      <c r="F22688" t="s">
        <v>0</v>
      </c>
      <c r="G22688" t="str">
        <f>"2018-10-07 02:23:58"</f>
        <v>2018-10-07 02:23:58</v>
      </c>
    </row>
    <row r="22689" spans="1:7" x14ac:dyDescent="0.2">
      <c r="A22689" t="s">
        <v>21156</v>
      </c>
      <c r="B22689" t="str">
        <f>"18532237793"</f>
        <v>18532237793</v>
      </c>
      <c r="C22689" t="str">
        <f>"150422198801020634"</f>
        <v>150422198801020634</v>
      </c>
      <c r="D22689" t="s">
        <v>1</v>
      </c>
      <c r="E22689" t="s">
        <v>1</v>
      </c>
      <c r="F22689" t="s">
        <v>0</v>
      </c>
      <c r="G22689" t="str">
        <f>"2018-10-07 02:22:25"</f>
        <v>2018-10-07 02:22:25</v>
      </c>
    </row>
    <row r="22690" spans="1:7" x14ac:dyDescent="0.2">
      <c r="A22690" t="s">
        <v>21157</v>
      </c>
      <c r="B22690" t="str">
        <f>"13590169551"</f>
        <v>13590169551</v>
      </c>
      <c r="C22690" t="str">
        <f>"42112219860616777X"</f>
        <v>42112219860616777X</v>
      </c>
      <c r="D22690" t="s">
        <v>21158</v>
      </c>
      <c r="E22690" t="s">
        <v>21159</v>
      </c>
      <c r="F22690" t="s">
        <v>0</v>
      </c>
      <c r="G22690" t="str">
        <f>"2018-10-08 13:32:23"</f>
        <v>2018-10-08 13:32:23</v>
      </c>
    </row>
    <row r="22691" spans="1:7" x14ac:dyDescent="0.2">
      <c r="A22691" t="s">
        <v>1</v>
      </c>
      <c r="B22691" t="str">
        <f>"18176723271"</f>
        <v>18176723271</v>
      </c>
      <c r="C22691" t="s">
        <v>1</v>
      </c>
      <c r="D22691" t="s">
        <v>1</v>
      </c>
      <c r="E22691" t="s">
        <v>1</v>
      </c>
      <c r="F22691" t="s">
        <v>0</v>
      </c>
      <c r="G22691" t="str">
        <f>"2018-10-07 02:12:07"</f>
        <v>2018-10-07 02:12:07</v>
      </c>
    </row>
    <row r="22692" spans="1:7" x14ac:dyDescent="0.2">
      <c r="A22692" t="s">
        <v>21160</v>
      </c>
      <c r="B22692" t="str">
        <f>"18683365814"</f>
        <v>18683365814</v>
      </c>
      <c r="C22692" t="str">
        <f>"650202199311160024"</f>
        <v>650202199311160024</v>
      </c>
      <c r="D22692" t="s">
        <v>1</v>
      </c>
      <c r="E22692" t="s">
        <v>1</v>
      </c>
      <c r="F22692" t="s">
        <v>0</v>
      </c>
      <c r="G22692" t="str">
        <f>"2018-10-08 20:55:06"</f>
        <v>2018-10-08 20:55:06</v>
      </c>
    </row>
    <row r="22693" spans="1:7" x14ac:dyDescent="0.2">
      <c r="A22693" t="s">
        <v>200</v>
      </c>
      <c r="B22693" t="str">
        <f>"18518983470"</f>
        <v>18518983470</v>
      </c>
      <c r="C22693" t="str">
        <f>"130229199407013035"</f>
        <v>130229199407013035</v>
      </c>
      <c r="D22693" t="s">
        <v>1</v>
      </c>
      <c r="E22693" t="s">
        <v>1</v>
      </c>
      <c r="F22693" t="s">
        <v>0</v>
      </c>
      <c r="G22693" t="str">
        <f>"2018-10-07 09:14:26"</f>
        <v>2018-10-07 09:14:26</v>
      </c>
    </row>
    <row r="22694" spans="1:7" x14ac:dyDescent="0.2">
      <c r="A22694" t="s">
        <v>21161</v>
      </c>
      <c r="B22694" t="str">
        <f>"15986564815"</f>
        <v>15986564815</v>
      </c>
      <c r="C22694" t="str">
        <f>"430528199909186172"</f>
        <v>430528199909186172</v>
      </c>
      <c r="D22694" t="s">
        <v>1</v>
      </c>
      <c r="E22694" t="s">
        <v>1</v>
      </c>
      <c r="F22694" t="s">
        <v>0</v>
      </c>
      <c r="G22694" t="str">
        <f>"2018-10-07 02:04:52"</f>
        <v>2018-10-07 02:04:52</v>
      </c>
    </row>
    <row r="22695" spans="1:7" x14ac:dyDescent="0.2">
      <c r="A22695" t="s">
        <v>21162</v>
      </c>
      <c r="B22695" t="str">
        <f>"13824558359"</f>
        <v>13824558359</v>
      </c>
      <c r="C22695" t="str">
        <f>"441424199711253773"</f>
        <v>441424199711253773</v>
      </c>
      <c r="D22695" t="s">
        <v>1</v>
      </c>
      <c r="E22695" t="s">
        <v>1</v>
      </c>
      <c r="F22695" t="s">
        <v>0</v>
      </c>
      <c r="G22695" t="str">
        <f>"2018-10-07 02:00:59"</f>
        <v>2018-10-07 02:00:59</v>
      </c>
    </row>
    <row r="22696" spans="1:7" x14ac:dyDescent="0.2">
      <c r="A22696" t="s">
        <v>21163</v>
      </c>
      <c r="B22696" t="str">
        <f>"18685181197"</f>
        <v>18685181197</v>
      </c>
      <c r="C22696" t="str">
        <f>"520102198703211661"</f>
        <v>520102198703211661</v>
      </c>
      <c r="D22696" t="s">
        <v>1</v>
      </c>
      <c r="E22696" t="s">
        <v>1</v>
      </c>
      <c r="F22696" t="s">
        <v>0</v>
      </c>
      <c r="G22696" t="str">
        <f>"2018-10-07 16:55:28"</f>
        <v>2018-10-07 16:55:28</v>
      </c>
    </row>
    <row r="22697" spans="1:7" x14ac:dyDescent="0.2">
      <c r="A22697" t="s">
        <v>1481</v>
      </c>
      <c r="B22697" t="str">
        <f>"13538800208"</f>
        <v>13538800208</v>
      </c>
      <c r="C22697" t="str">
        <f>"440102197606084811"</f>
        <v>440102197606084811</v>
      </c>
      <c r="D22697" t="s">
        <v>1</v>
      </c>
      <c r="E22697" t="s">
        <v>1</v>
      </c>
      <c r="F22697" t="s">
        <v>0</v>
      </c>
      <c r="G22697" t="str">
        <f>"2018-10-09 11:25:37"</f>
        <v>2018-10-09 11:25:37</v>
      </c>
    </row>
    <row r="22698" spans="1:7" x14ac:dyDescent="0.2">
      <c r="A22698" t="s">
        <v>21164</v>
      </c>
      <c r="B22698" t="str">
        <f>"18935440711"</f>
        <v>18935440711</v>
      </c>
      <c r="C22698" t="str">
        <f>"142402199210194519"</f>
        <v>142402199210194519</v>
      </c>
      <c r="D22698" t="s">
        <v>21165</v>
      </c>
      <c r="E22698" t="s">
        <v>21166</v>
      </c>
      <c r="F22698" t="s">
        <v>0</v>
      </c>
      <c r="G22698" t="str">
        <f>"2018-10-07 14:12:26"</f>
        <v>2018-10-07 14:12:26</v>
      </c>
    </row>
    <row r="22699" spans="1:7" x14ac:dyDescent="0.2">
      <c r="A22699" t="s">
        <v>2552</v>
      </c>
      <c r="B22699" t="str">
        <f>"15025490501"</f>
        <v>15025490501</v>
      </c>
      <c r="C22699" t="str">
        <f>"50038219941016229X"</f>
        <v>50038219941016229X</v>
      </c>
      <c r="D22699" t="s">
        <v>21167</v>
      </c>
      <c r="E22699" t="s">
        <v>21168</v>
      </c>
      <c r="F22699" t="s">
        <v>0</v>
      </c>
      <c r="G22699" t="str">
        <f>"2018-10-07 01:45:47"</f>
        <v>2018-10-07 01:45:47</v>
      </c>
    </row>
    <row r="22700" spans="1:7" x14ac:dyDescent="0.2">
      <c r="A22700" t="s">
        <v>21169</v>
      </c>
      <c r="B22700" t="str">
        <f>"15707701591"</f>
        <v>15707701591</v>
      </c>
      <c r="C22700" t="str">
        <f>"450621198804060426"</f>
        <v>450621198804060426</v>
      </c>
      <c r="D22700" t="s">
        <v>21170</v>
      </c>
      <c r="E22700" t="s">
        <v>21171</v>
      </c>
      <c r="F22700" t="s">
        <v>0</v>
      </c>
      <c r="G22700" t="str">
        <f>"2018-11-04 12:24:29"</f>
        <v>2018-11-04 12:24:29</v>
      </c>
    </row>
    <row r="22701" spans="1:7" x14ac:dyDescent="0.2">
      <c r="A22701" t="s">
        <v>21172</v>
      </c>
      <c r="B22701" t="str">
        <f>"13583750722"</f>
        <v>13583750722</v>
      </c>
      <c r="C22701" t="str">
        <f>"370825197807220714"</f>
        <v>370825197807220714</v>
      </c>
      <c r="D22701" t="s">
        <v>1</v>
      </c>
      <c r="E22701" t="s">
        <v>1</v>
      </c>
      <c r="F22701" t="s">
        <v>0</v>
      </c>
      <c r="G22701" t="str">
        <f>"2018-10-07 01:43:31"</f>
        <v>2018-10-07 01:43:31</v>
      </c>
    </row>
    <row r="22702" spans="1:7" x14ac:dyDescent="0.2">
      <c r="A22702" t="s">
        <v>21173</v>
      </c>
      <c r="B22702" t="str">
        <f>"18220994567"</f>
        <v>18220994567</v>
      </c>
      <c r="C22702" t="str">
        <f>"612501198702030016"</f>
        <v>612501198702030016</v>
      </c>
      <c r="D22702" t="s">
        <v>1</v>
      </c>
      <c r="E22702" t="s">
        <v>1</v>
      </c>
      <c r="F22702" t="s">
        <v>0</v>
      </c>
      <c r="G22702" t="str">
        <f>"2018-10-16 16:51:30"</f>
        <v>2018-10-16 16:51:30</v>
      </c>
    </row>
    <row r="22703" spans="1:7" x14ac:dyDescent="0.2">
      <c r="A22703" t="s">
        <v>21174</v>
      </c>
      <c r="B22703" t="str">
        <f>"15121993034"</f>
        <v>15121993034</v>
      </c>
      <c r="C22703" t="str">
        <f>"640322199201061155"</f>
        <v>640322199201061155</v>
      </c>
      <c r="D22703" t="s">
        <v>21175</v>
      </c>
      <c r="E22703" t="s">
        <v>21176</v>
      </c>
      <c r="F22703" t="s">
        <v>0</v>
      </c>
      <c r="G22703" t="str">
        <f>"2018-10-07 01:43:07"</f>
        <v>2018-10-07 01:43:07</v>
      </c>
    </row>
    <row r="22704" spans="1:7" x14ac:dyDescent="0.2">
      <c r="A22704" t="s">
        <v>1</v>
      </c>
      <c r="B22704" t="str">
        <f>"13076184196"</f>
        <v>13076184196</v>
      </c>
      <c r="C22704" t="s">
        <v>1</v>
      </c>
      <c r="D22704" t="s">
        <v>1</v>
      </c>
      <c r="E22704" t="s">
        <v>1</v>
      </c>
      <c r="F22704" t="s">
        <v>0</v>
      </c>
      <c r="G22704" t="str">
        <f>"2018-10-07 01:40:53"</f>
        <v>2018-10-07 01:40:53</v>
      </c>
    </row>
    <row r="22705" spans="1:7" x14ac:dyDescent="0.2">
      <c r="A22705" t="s">
        <v>21177</v>
      </c>
      <c r="B22705" t="str">
        <f>"18716644462"</f>
        <v>18716644462</v>
      </c>
      <c r="C22705" t="str">
        <f>"500224199709183336"</f>
        <v>500224199709183336</v>
      </c>
      <c r="D22705" t="s">
        <v>1</v>
      </c>
      <c r="E22705" t="s">
        <v>1</v>
      </c>
      <c r="F22705" t="s">
        <v>0</v>
      </c>
      <c r="G22705" t="str">
        <f>"2018-10-07 01:35:06"</f>
        <v>2018-10-07 01:35:06</v>
      </c>
    </row>
    <row r="22706" spans="1:7" x14ac:dyDescent="0.2">
      <c r="A22706" t="s">
        <v>1484</v>
      </c>
      <c r="B22706" t="str">
        <f>"13733951391"</f>
        <v>13733951391</v>
      </c>
      <c r="C22706" t="str">
        <f>"411123198807236510"</f>
        <v>411123198807236510</v>
      </c>
      <c r="D22706" t="s">
        <v>1</v>
      </c>
      <c r="E22706" t="s">
        <v>1</v>
      </c>
      <c r="F22706" t="s">
        <v>0</v>
      </c>
      <c r="G22706" t="str">
        <f>"2018-10-07 01:33:46"</f>
        <v>2018-10-07 01:33:46</v>
      </c>
    </row>
    <row r="22707" spans="1:7" x14ac:dyDescent="0.2">
      <c r="A22707" t="s">
        <v>21178</v>
      </c>
      <c r="B22707" t="str">
        <f>"18296447087"</f>
        <v>18296447087</v>
      </c>
      <c r="C22707" t="str">
        <f>"362526199708242191"</f>
        <v>362526199708242191</v>
      </c>
      <c r="D22707" t="s">
        <v>1</v>
      </c>
      <c r="E22707" t="s">
        <v>1</v>
      </c>
      <c r="F22707" t="s">
        <v>0</v>
      </c>
      <c r="G22707" t="str">
        <f>"2018-10-07 01:31:28"</f>
        <v>2018-10-07 01:31:28</v>
      </c>
    </row>
    <row r="22708" spans="1:7" x14ac:dyDescent="0.2">
      <c r="A22708" t="s">
        <v>21179</v>
      </c>
      <c r="B22708" t="str">
        <f>"13940384153"</f>
        <v>13940384153</v>
      </c>
      <c r="C22708" t="str">
        <f>"210921199412018831"</f>
        <v>210921199412018831</v>
      </c>
      <c r="D22708" t="s">
        <v>1</v>
      </c>
      <c r="E22708" t="s">
        <v>1</v>
      </c>
      <c r="F22708" t="s">
        <v>0</v>
      </c>
      <c r="G22708" t="str">
        <f>"2018-10-07 11:15:05"</f>
        <v>2018-10-07 11:15:05</v>
      </c>
    </row>
    <row r="22709" spans="1:7" x14ac:dyDescent="0.2">
      <c r="A22709" t="s">
        <v>1233</v>
      </c>
      <c r="B22709" t="str">
        <f>"15213073744"</f>
        <v>15213073744</v>
      </c>
      <c r="C22709" t="str">
        <f>"500112199412216933"</f>
        <v>500112199412216933</v>
      </c>
      <c r="D22709" t="s">
        <v>1</v>
      </c>
      <c r="E22709" t="s">
        <v>1</v>
      </c>
      <c r="F22709" t="s">
        <v>0</v>
      </c>
      <c r="G22709" t="str">
        <f>"2018-10-07 01:24:31"</f>
        <v>2018-10-07 01:24:31</v>
      </c>
    </row>
    <row r="22710" spans="1:7" x14ac:dyDescent="0.2">
      <c r="A22710" t="s">
        <v>21180</v>
      </c>
      <c r="B22710" t="str">
        <f>"18992714201"</f>
        <v>18992714201</v>
      </c>
      <c r="C22710" t="str">
        <f>"610330198706281233"</f>
        <v>610330198706281233</v>
      </c>
      <c r="D22710" t="s">
        <v>1</v>
      </c>
      <c r="E22710" t="s">
        <v>1</v>
      </c>
      <c r="F22710" t="s">
        <v>0</v>
      </c>
      <c r="G22710" t="str">
        <f>"2018-10-27 16:13:31"</f>
        <v>2018-10-27 16:13:31</v>
      </c>
    </row>
    <row r="22711" spans="1:7" x14ac:dyDescent="0.2">
      <c r="A22711" t="s">
        <v>1</v>
      </c>
      <c r="B22711" t="str">
        <f>"18377374165"</f>
        <v>18377374165</v>
      </c>
      <c r="C22711" t="s">
        <v>1</v>
      </c>
      <c r="D22711" t="s">
        <v>1</v>
      </c>
      <c r="E22711" t="s">
        <v>1</v>
      </c>
      <c r="F22711" t="s">
        <v>0</v>
      </c>
      <c r="G22711" t="str">
        <f>"2018-10-07 01:21:17"</f>
        <v>2018-10-07 01:21:17</v>
      </c>
    </row>
    <row r="22712" spans="1:7" x14ac:dyDescent="0.2">
      <c r="A22712" t="s">
        <v>21181</v>
      </c>
      <c r="B22712" t="str">
        <f>"15975270596"</f>
        <v>15975270596</v>
      </c>
      <c r="C22712" t="str">
        <f>"441283199111093576"</f>
        <v>441283199111093576</v>
      </c>
      <c r="D22712" t="s">
        <v>21182</v>
      </c>
      <c r="E22712" t="s">
        <v>21182</v>
      </c>
      <c r="F22712" t="s">
        <v>0</v>
      </c>
      <c r="G22712" t="str">
        <f>"2018-10-17 18:19:31"</f>
        <v>2018-10-17 18:19:31</v>
      </c>
    </row>
    <row r="22713" spans="1:7" x14ac:dyDescent="0.2">
      <c r="A22713" t="s">
        <v>1</v>
      </c>
      <c r="B22713" t="str">
        <f>"18806868710"</f>
        <v>18806868710</v>
      </c>
      <c r="C22713" t="s">
        <v>1</v>
      </c>
      <c r="D22713" t="s">
        <v>1</v>
      </c>
      <c r="E22713" t="s">
        <v>1</v>
      </c>
      <c r="F22713" t="s">
        <v>0</v>
      </c>
      <c r="G22713" t="str">
        <f>"2018-10-07 01:17:10"</f>
        <v>2018-10-07 01:17:10</v>
      </c>
    </row>
    <row r="22714" spans="1:7" x14ac:dyDescent="0.2">
      <c r="A22714" t="s">
        <v>1</v>
      </c>
      <c r="B22714" t="str">
        <f>"13862202140"</f>
        <v>13862202140</v>
      </c>
      <c r="C22714" t="s">
        <v>1</v>
      </c>
      <c r="D22714" t="s">
        <v>1</v>
      </c>
      <c r="E22714" t="s">
        <v>1</v>
      </c>
      <c r="F22714" t="s">
        <v>0</v>
      </c>
      <c r="G22714" t="str">
        <f>"2018-10-07 01:16:25"</f>
        <v>2018-10-07 01:16:25</v>
      </c>
    </row>
    <row r="22715" spans="1:7" x14ac:dyDescent="0.2">
      <c r="A22715" t="s">
        <v>21183</v>
      </c>
      <c r="B22715" t="str">
        <f>"15757111484"</f>
        <v>15757111484</v>
      </c>
      <c r="C22715" t="str">
        <f>"330523199712205610"</f>
        <v>330523199712205610</v>
      </c>
      <c r="D22715" t="s">
        <v>1</v>
      </c>
      <c r="E22715" t="s">
        <v>1</v>
      </c>
      <c r="F22715" t="s">
        <v>0</v>
      </c>
      <c r="G22715" t="str">
        <f>"2018-10-07 10:46:33"</f>
        <v>2018-10-07 10:46:33</v>
      </c>
    </row>
    <row r="22716" spans="1:7" x14ac:dyDescent="0.2">
      <c r="A22716" t="s">
        <v>21184</v>
      </c>
      <c r="B22716" t="str">
        <f>"15829256804"</f>
        <v>15829256804</v>
      </c>
      <c r="C22716" t="str">
        <f>"610324197408193428"</f>
        <v>610324197408193428</v>
      </c>
      <c r="D22716" t="s">
        <v>1</v>
      </c>
      <c r="E22716" t="s">
        <v>1</v>
      </c>
      <c r="F22716" t="s">
        <v>0</v>
      </c>
      <c r="G22716" t="str">
        <f>"2018-10-07 01:10:08"</f>
        <v>2018-10-07 01:10:08</v>
      </c>
    </row>
    <row r="22717" spans="1:7" x14ac:dyDescent="0.2">
      <c r="A22717" t="s">
        <v>21185</v>
      </c>
      <c r="B22717" t="str">
        <f>"13772711507"</f>
        <v>13772711507</v>
      </c>
      <c r="C22717" t="str">
        <f>"610581199408293418"</f>
        <v>610581199408293418</v>
      </c>
      <c r="D22717" t="s">
        <v>21186</v>
      </c>
      <c r="E22717" t="s">
        <v>21187</v>
      </c>
      <c r="F22717" t="s">
        <v>0</v>
      </c>
      <c r="G22717" t="str">
        <f>"2018-10-07 01:36:08"</f>
        <v>2018-10-07 01:36:08</v>
      </c>
    </row>
    <row r="22718" spans="1:7" x14ac:dyDescent="0.2">
      <c r="A22718" t="s">
        <v>1</v>
      </c>
      <c r="B22718" t="str">
        <f>"13456337333"</f>
        <v>13456337333</v>
      </c>
      <c r="C22718" t="s">
        <v>1</v>
      </c>
      <c r="D22718" t="s">
        <v>1</v>
      </c>
      <c r="E22718" t="s">
        <v>1</v>
      </c>
      <c r="F22718" t="s">
        <v>0</v>
      </c>
      <c r="G22718" t="str">
        <f>"2018-10-07 08:53:42"</f>
        <v>2018-10-07 08:53:42</v>
      </c>
    </row>
    <row r="22719" spans="1:7" x14ac:dyDescent="0.2">
      <c r="A22719" t="s">
        <v>159</v>
      </c>
      <c r="B22719" t="str">
        <f>"18285188831"</f>
        <v>18285188831</v>
      </c>
      <c r="C22719" t="str">
        <f>"520111198707121248"</f>
        <v>520111198707121248</v>
      </c>
      <c r="D22719" t="s">
        <v>1</v>
      </c>
      <c r="E22719" t="s">
        <v>1</v>
      </c>
      <c r="F22719" t="s">
        <v>0</v>
      </c>
      <c r="G22719" t="str">
        <f>"2018-10-07 01:06:32"</f>
        <v>2018-10-07 01:06:32</v>
      </c>
    </row>
    <row r="22720" spans="1:7" x14ac:dyDescent="0.2">
      <c r="A22720" t="s">
        <v>21188</v>
      </c>
      <c r="B22720" t="str">
        <f>"18610935667"</f>
        <v>18610935667</v>
      </c>
      <c r="C22720" t="str">
        <f>"370305199009164718"</f>
        <v>370305199009164718</v>
      </c>
      <c r="D22720" t="s">
        <v>1</v>
      </c>
      <c r="E22720" t="s">
        <v>1</v>
      </c>
      <c r="F22720" t="s">
        <v>0</v>
      </c>
      <c r="G22720" t="str">
        <f>"2018-10-08 02:48:54"</f>
        <v>2018-10-08 02:48:54</v>
      </c>
    </row>
    <row r="22721" spans="1:7" x14ac:dyDescent="0.2">
      <c r="A22721" t="s">
        <v>21189</v>
      </c>
      <c r="B22721" t="str">
        <f>"18651870874"</f>
        <v>18651870874</v>
      </c>
      <c r="C22721" t="str">
        <f>"320323199502184046"</f>
        <v>320323199502184046</v>
      </c>
      <c r="D22721" t="s">
        <v>1</v>
      </c>
      <c r="E22721" t="s">
        <v>1</v>
      </c>
      <c r="F22721" t="s">
        <v>0</v>
      </c>
      <c r="G22721" t="str">
        <f>"2018-10-21 19:46:16"</f>
        <v>2018-10-21 19:46:16</v>
      </c>
    </row>
    <row r="22722" spans="1:7" x14ac:dyDescent="0.2">
      <c r="A22722" t="s">
        <v>1</v>
      </c>
      <c r="B22722" t="str">
        <f>"18397749351"</f>
        <v>18397749351</v>
      </c>
      <c r="C22722" t="s">
        <v>1</v>
      </c>
      <c r="D22722" t="s">
        <v>1</v>
      </c>
      <c r="E22722" t="s">
        <v>1</v>
      </c>
      <c r="F22722" t="s">
        <v>0</v>
      </c>
      <c r="G22722" t="str">
        <f>"2018-10-07 00:57:47"</f>
        <v>2018-10-07 00:57:47</v>
      </c>
    </row>
    <row r="22723" spans="1:7" x14ac:dyDescent="0.2">
      <c r="A22723" t="s">
        <v>21190</v>
      </c>
      <c r="B22723" t="str">
        <f>"15807530192"</f>
        <v>15807530192</v>
      </c>
      <c r="C22723" t="str">
        <f>"441426199411032234"</f>
        <v>441426199411032234</v>
      </c>
      <c r="D22723" t="s">
        <v>1</v>
      </c>
      <c r="E22723" t="s">
        <v>1</v>
      </c>
      <c r="F22723" t="s">
        <v>0</v>
      </c>
      <c r="G22723" t="str">
        <f>"2018-10-07 00:49:46"</f>
        <v>2018-10-07 00:49:46</v>
      </c>
    </row>
    <row r="22724" spans="1:7" x14ac:dyDescent="0.2">
      <c r="A22724" t="s">
        <v>21191</v>
      </c>
      <c r="B22724" t="str">
        <f>"17602070702"</f>
        <v>17602070702</v>
      </c>
      <c r="C22724" t="str">
        <f>"410181199009270033"</f>
        <v>410181199009270033</v>
      </c>
      <c r="D22724" t="s">
        <v>1</v>
      </c>
      <c r="E22724" t="s">
        <v>1</v>
      </c>
      <c r="F22724" t="s">
        <v>0</v>
      </c>
      <c r="G22724" t="str">
        <f>"2018-10-07 00:48:57"</f>
        <v>2018-10-07 00:48:57</v>
      </c>
    </row>
    <row r="22725" spans="1:7" x14ac:dyDescent="0.2">
      <c r="A22725" t="s">
        <v>1</v>
      </c>
      <c r="B22725" t="str">
        <f>"15810206931"</f>
        <v>15810206931</v>
      </c>
      <c r="C22725" t="s">
        <v>1</v>
      </c>
      <c r="D22725" t="s">
        <v>1</v>
      </c>
      <c r="E22725" t="s">
        <v>1</v>
      </c>
      <c r="F22725" t="s">
        <v>0</v>
      </c>
      <c r="G22725" t="str">
        <f>"2018-10-07 00:45:55"</f>
        <v>2018-10-07 00:45:55</v>
      </c>
    </row>
    <row r="22726" spans="1:7" x14ac:dyDescent="0.2">
      <c r="A22726" t="s">
        <v>1</v>
      </c>
      <c r="B22726" t="str">
        <f>"13524851120"</f>
        <v>13524851120</v>
      </c>
      <c r="C22726" t="s">
        <v>1</v>
      </c>
      <c r="D22726" t="s">
        <v>1</v>
      </c>
      <c r="E22726" t="s">
        <v>1</v>
      </c>
      <c r="F22726" t="s">
        <v>0</v>
      </c>
      <c r="G22726" t="str">
        <f>"2018-10-07 00:41:05"</f>
        <v>2018-10-07 00:41:05</v>
      </c>
    </row>
    <row r="22727" spans="1:7" x14ac:dyDescent="0.2">
      <c r="A22727" t="s">
        <v>1</v>
      </c>
      <c r="B22727" t="str">
        <f>"15151990288"</f>
        <v>15151990288</v>
      </c>
      <c r="C22727" t="s">
        <v>1</v>
      </c>
      <c r="D22727" t="s">
        <v>1</v>
      </c>
      <c r="E22727" t="s">
        <v>1</v>
      </c>
      <c r="F22727" t="s">
        <v>0</v>
      </c>
      <c r="G22727" t="str">
        <f>"2018-10-07 00:40:01"</f>
        <v>2018-10-07 00:40:01</v>
      </c>
    </row>
    <row r="22728" spans="1:7" x14ac:dyDescent="0.2">
      <c r="A22728" t="s">
        <v>21192</v>
      </c>
      <c r="B22728" t="str">
        <f>"18994992016"</f>
        <v>18994992016</v>
      </c>
      <c r="C22728" t="str">
        <f>"320483198908118011"</f>
        <v>320483198908118011</v>
      </c>
      <c r="D22728" t="s">
        <v>1</v>
      </c>
      <c r="E22728" t="s">
        <v>1</v>
      </c>
      <c r="F22728" t="s">
        <v>0</v>
      </c>
      <c r="G22728" t="str">
        <f>"2018-10-07 00:36:45"</f>
        <v>2018-10-07 00:36:45</v>
      </c>
    </row>
    <row r="22729" spans="1:7" x14ac:dyDescent="0.2">
      <c r="A22729" t="s">
        <v>21193</v>
      </c>
      <c r="B22729" t="str">
        <f>"13575769625"</f>
        <v>13575769625</v>
      </c>
      <c r="C22729" t="str">
        <f>"330621198111021195"</f>
        <v>330621198111021195</v>
      </c>
      <c r="D22729" t="s">
        <v>1</v>
      </c>
      <c r="E22729" t="s">
        <v>1</v>
      </c>
      <c r="F22729" t="s">
        <v>0</v>
      </c>
      <c r="G22729" t="str">
        <f>"2018-10-09 00:18:30"</f>
        <v>2018-10-09 00:18:30</v>
      </c>
    </row>
    <row r="22730" spans="1:7" x14ac:dyDescent="0.2">
      <c r="A22730" t="s">
        <v>21194</v>
      </c>
      <c r="B22730" t="str">
        <f>"13648676409"</f>
        <v>13648676409</v>
      </c>
      <c r="C22730" t="str">
        <f>"460003199304094647"</f>
        <v>460003199304094647</v>
      </c>
      <c r="D22730" t="s">
        <v>1</v>
      </c>
      <c r="E22730" t="s">
        <v>1</v>
      </c>
      <c r="F22730" t="s">
        <v>0</v>
      </c>
      <c r="G22730" t="str">
        <f>"2018-10-07 00:34:26"</f>
        <v>2018-10-07 00:34:26</v>
      </c>
    </row>
    <row r="22731" spans="1:7" x14ac:dyDescent="0.2">
      <c r="A22731" t="s">
        <v>1100</v>
      </c>
      <c r="B22731" t="str">
        <f>"15184275100"</f>
        <v>15184275100</v>
      </c>
      <c r="C22731" t="str">
        <f>"211103198401203011"</f>
        <v>211103198401203011</v>
      </c>
      <c r="D22731" t="s">
        <v>1</v>
      </c>
      <c r="E22731" t="s">
        <v>1</v>
      </c>
      <c r="F22731" t="s">
        <v>0</v>
      </c>
      <c r="G22731" t="str">
        <f>"2018-10-07 00:31:46"</f>
        <v>2018-10-07 00:31:46</v>
      </c>
    </row>
    <row r="22732" spans="1:7" x14ac:dyDescent="0.2">
      <c r="A22732" t="s">
        <v>6317</v>
      </c>
      <c r="B22732" t="str">
        <f>"15327250181"</f>
        <v>15327250181</v>
      </c>
      <c r="C22732" t="str">
        <f>"420103198308211613"</f>
        <v>420103198308211613</v>
      </c>
      <c r="D22732" t="s">
        <v>1</v>
      </c>
      <c r="E22732" t="s">
        <v>1</v>
      </c>
      <c r="F22732" t="s">
        <v>0</v>
      </c>
      <c r="G22732" t="str">
        <f>"2018-10-07 03:20:17"</f>
        <v>2018-10-07 03:20:17</v>
      </c>
    </row>
    <row r="22733" spans="1:7" x14ac:dyDescent="0.2">
      <c r="A22733" t="s">
        <v>1</v>
      </c>
      <c r="B22733" t="str">
        <f>"18929530704"</f>
        <v>18929530704</v>
      </c>
      <c r="C22733" t="s">
        <v>1</v>
      </c>
      <c r="D22733" t="s">
        <v>1</v>
      </c>
      <c r="E22733" t="s">
        <v>1</v>
      </c>
      <c r="F22733" t="s">
        <v>0</v>
      </c>
      <c r="G22733" t="str">
        <f>"2018-10-07 00:24:37"</f>
        <v>2018-10-07 00:24:37</v>
      </c>
    </row>
    <row r="22734" spans="1:7" x14ac:dyDescent="0.2">
      <c r="A22734" t="s">
        <v>21195</v>
      </c>
      <c r="B22734" t="str">
        <f>"18277198781"</f>
        <v>18277198781</v>
      </c>
      <c r="C22734" t="str">
        <f>"45011119820812151X"</f>
        <v>45011119820812151X</v>
      </c>
      <c r="D22734" t="s">
        <v>1</v>
      </c>
      <c r="E22734" t="s">
        <v>1</v>
      </c>
      <c r="F22734" t="s">
        <v>0</v>
      </c>
      <c r="G22734" t="str">
        <f>"2018-10-07 00:27:04"</f>
        <v>2018-10-07 00:27:04</v>
      </c>
    </row>
    <row r="22735" spans="1:7" x14ac:dyDescent="0.2">
      <c r="A22735" t="s">
        <v>1</v>
      </c>
      <c r="B22735" t="str">
        <f>"18912620841"</f>
        <v>18912620841</v>
      </c>
      <c r="C22735" t="s">
        <v>1</v>
      </c>
      <c r="D22735" t="s">
        <v>1</v>
      </c>
      <c r="E22735" t="s">
        <v>1</v>
      </c>
      <c r="F22735" t="s">
        <v>0</v>
      </c>
      <c r="G22735" t="str">
        <f>"2018-10-14 12:54:27"</f>
        <v>2018-10-14 12:54:27</v>
      </c>
    </row>
    <row r="22736" spans="1:7" x14ac:dyDescent="0.2">
      <c r="A22736" t="s">
        <v>655</v>
      </c>
      <c r="B22736" t="str">
        <f>"18827056170"</f>
        <v>18827056170</v>
      </c>
      <c r="C22736" t="str">
        <f>"421127198908295613"</f>
        <v>421127198908295613</v>
      </c>
      <c r="D22736" t="s">
        <v>1</v>
      </c>
      <c r="E22736" t="s">
        <v>1</v>
      </c>
      <c r="F22736" t="s">
        <v>0</v>
      </c>
      <c r="G22736" t="str">
        <f>"2018-10-14 14:39:48"</f>
        <v>2018-10-14 14:39:48</v>
      </c>
    </row>
    <row r="22737" spans="1:7" x14ac:dyDescent="0.2">
      <c r="A22737" t="s">
        <v>21196</v>
      </c>
      <c r="B22737" t="str">
        <f>"18615779038"</f>
        <v>18615779038</v>
      </c>
      <c r="C22737" t="str">
        <f>"510922199605270272"</f>
        <v>510922199605270272</v>
      </c>
      <c r="D22737" t="s">
        <v>1</v>
      </c>
      <c r="E22737" t="s">
        <v>1</v>
      </c>
      <c r="F22737" t="s">
        <v>0</v>
      </c>
      <c r="G22737" t="str">
        <f>"2018-10-07 14:37:03"</f>
        <v>2018-10-07 14:37:03</v>
      </c>
    </row>
    <row r="22738" spans="1:7" x14ac:dyDescent="0.2">
      <c r="A22738" t="s">
        <v>21197</v>
      </c>
      <c r="B22738" t="str">
        <f>"18268608399"</f>
        <v>18268608399</v>
      </c>
      <c r="C22738" t="str">
        <f>"33028319890827471X"</f>
        <v>33028319890827471X</v>
      </c>
      <c r="D22738" t="s">
        <v>1</v>
      </c>
      <c r="E22738" t="s">
        <v>1</v>
      </c>
      <c r="F22738" t="s">
        <v>0</v>
      </c>
      <c r="G22738" t="str">
        <f>"2018-10-07 00:17:25"</f>
        <v>2018-10-07 00:17:25</v>
      </c>
    </row>
    <row r="22739" spans="1:7" x14ac:dyDescent="0.2">
      <c r="A22739" t="s">
        <v>1</v>
      </c>
      <c r="B22739" t="str">
        <f>"18824767279"</f>
        <v>18824767279</v>
      </c>
      <c r="C22739" t="s">
        <v>1</v>
      </c>
      <c r="D22739" t="s">
        <v>1</v>
      </c>
      <c r="E22739" t="s">
        <v>1</v>
      </c>
      <c r="F22739" t="s">
        <v>0</v>
      </c>
      <c r="G22739" t="str">
        <f>"2018-10-07 00:15:52"</f>
        <v>2018-10-07 00:15:52</v>
      </c>
    </row>
    <row r="22740" spans="1:7" x14ac:dyDescent="0.2">
      <c r="A22740" t="s">
        <v>21198</v>
      </c>
      <c r="B22740" t="str">
        <f>"13257793415"</f>
        <v>13257793415</v>
      </c>
      <c r="C22740" t="str">
        <f>"450102199905211017"</f>
        <v>450102199905211017</v>
      </c>
      <c r="D22740" t="s">
        <v>1</v>
      </c>
      <c r="E22740" t="s">
        <v>1</v>
      </c>
      <c r="F22740" t="s">
        <v>0</v>
      </c>
      <c r="G22740" t="str">
        <f>"2018-10-07 12:14:43"</f>
        <v>2018-10-07 12:14:43</v>
      </c>
    </row>
    <row r="22741" spans="1:7" x14ac:dyDescent="0.2">
      <c r="A22741" t="s">
        <v>21199</v>
      </c>
      <c r="B22741" t="str">
        <f>"13434685105"</f>
        <v>13434685105</v>
      </c>
      <c r="C22741" t="str">
        <f>"440804199108080244"</f>
        <v>440804199108080244</v>
      </c>
      <c r="D22741" t="s">
        <v>1</v>
      </c>
      <c r="E22741" t="s">
        <v>1</v>
      </c>
      <c r="F22741" t="s">
        <v>0</v>
      </c>
      <c r="G22741" t="str">
        <f>"2018-10-07 07:08:24"</f>
        <v>2018-10-07 07:08:24</v>
      </c>
    </row>
    <row r="22742" spans="1:7" x14ac:dyDescent="0.2">
      <c r="A22742" t="s">
        <v>1</v>
      </c>
      <c r="B22742" t="str">
        <f>"18873000135"</f>
        <v>18873000135</v>
      </c>
      <c r="C22742" t="s">
        <v>1</v>
      </c>
      <c r="D22742" t="s">
        <v>1</v>
      </c>
      <c r="E22742" t="s">
        <v>1</v>
      </c>
      <c r="F22742" t="s">
        <v>0</v>
      </c>
      <c r="G22742" t="str">
        <f>"2018-10-07 00:11:46"</f>
        <v>2018-10-07 00:11:46</v>
      </c>
    </row>
    <row r="22743" spans="1:7" x14ac:dyDescent="0.2">
      <c r="A22743" t="s">
        <v>1</v>
      </c>
      <c r="B22743" t="str">
        <f>"15119373180"</f>
        <v>15119373180</v>
      </c>
      <c r="C22743" t="s">
        <v>1</v>
      </c>
      <c r="D22743" t="s">
        <v>1</v>
      </c>
      <c r="E22743" t="s">
        <v>1</v>
      </c>
      <c r="F22743" t="s">
        <v>0</v>
      </c>
      <c r="G22743" t="str">
        <f>"2018-10-07 00:08:29"</f>
        <v>2018-10-07 00:08:29</v>
      </c>
    </row>
    <row r="22744" spans="1:7" x14ac:dyDescent="0.2">
      <c r="A22744" t="s">
        <v>21200</v>
      </c>
      <c r="B22744" t="str">
        <f>"15255672109"</f>
        <v>15255672109</v>
      </c>
      <c r="C22744" t="str">
        <f>"340826199411275313"</f>
        <v>340826199411275313</v>
      </c>
      <c r="D22744" t="s">
        <v>21201</v>
      </c>
      <c r="E22744" t="s">
        <v>21202</v>
      </c>
      <c r="F22744" t="s">
        <v>0</v>
      </c>
      <c r="G22744" t="str">
        <f>"2018-10-07 08:35:56"</f>
        <v>2018-10-07 08:35:56</v>
      </c>
    </row>
    <row r="22745" spans="1:7" x14ac:dyDescent="0.2">
      <c r="A22745" t="s">
        <v>21203</v>
      </c>
      <c r="B22745" t="str">
        <f>"15228985792"</f>
        <v>15228985792</v>
      </c>
      <c r="C22745" t="str">
        <f>"510106199710114817"</f>
        <v>510106199710114817</v>
      </c>
      <c r="D22745" t="s">
        <v>21204</v>
      </c>
      <c r="E22745" t="s">
        <v>21205</v>
      </c>
      <c r="F22745" t="s">
        <v>0</v>
      </c>
      <c r="G22745" t="str">
        <f>"2018-10-07 00:08:06"</f>
        <v>2018-10-07 00:08:06</v>
      </c>
    </row>
    <row r="22746" spans="1:7" x14ac:dyDescent="0.2">
      <c r="A22746" t="s">
        <v>21206</v>
      </c>
      <c r="B22746" t="str">
        <f>"13959250955"</f>
        <v>13959250955</v>
      </c>
      <c r="C22746" t="str">
        <f>"352625197909200041"</f>
        <v>352625197909200041</v>
      </c>
      <c r="D22746" t="s">
        <v>1</v>
      </c>
      <c r="E22746" t="s">
        <v>1</v>
      </c>
      <c r="F22746" t="s">
        <v>0</v>
      </c>
      <c r="G22746" t="str">
        <f>"2018-10-07 00:07:30"</f>
        <v>2018-10-07 00:07:30</v>
      </c>
    </row>
    <row r="22747" spans="1:7" x14ac:dyDescent="0.2">
      <c r="A22747" t="s">
        <v>21207</v>
      </c>
      <c r="B22747" t="str">
        <f>"13983211691"</f>
        <v>13983211691</v>
      </c>
      <c r="C22747" t="str">
        <f>"510212197710290312"</f>
        <v>510212197710290312</v>
      </c>
      <c r="D22747" t="s">
        <v>21208</v>
      </c>
      <c r="E22747" t="s">
        <v>21209</v>
      </c>
      <c r="F22747" t="s">
        <v>0</v>
      </c>
      <c r="G22747" t="str">
        <f>"2018-10-07 00:01:38"</f>
        <v>2018-10-07 00:01:38</v>
      </c>
    </row>
    <row r="22748" spans="1:7" x14ac:dyDescent="0.2">
      <c r="A22748" t="s">
        <v>1</v>
      </c>
      <c r="B22748" t="str">
        <f>"13774776637"</f>
        <v>13774776637</v>
      </c>
      <c r="C22748" t="s">
        <v>1</v>
      </c>
      <c r="D22748" t="s">
        <v>1</v>
      </c>
      <c r="E22748" t="s">
        <v>1</v>
      </c>
      <c r="F22748" t="s">
        <v>0</v>
      </c>
      <c r="G22748" t="str">
        <f>"2018-10-07 00:04:48"</f>
        <v>2018-10-07 00:04:48</v>
      </c>
    </row>
    <row r="22749" spans="1:7" x14ac:dyDescent="0.2">
      <c r="A22749" t="s">
        <v>21210</v>
      </c>
      <c r="B22749" t="str">
        <f>"13944892424"</f>
        <v>13944892424</v>
      </c>
      <c r="C22749" t="str">
        <f>"220182199511242928"</f>
        <v>220182199511242928</v>
      </c>
      <c r="D22749" t="s">
        <v>1</v>
      </c>
      <c r="E22749" t="s">
        <v>1</v>
      </c>
      <c r="F22749" t="s">
        <v>0</v>
      </c>
      <c r="G22749" t="str">
        <f>"2018-10-08 20:02:19"</f>
        <v>2018-10-08 20:02:19</v>
      </c>
    </row>
    <row r="22750" spans="1:7" x14ac:dyDescent="0.2">
      <c r="A22750" t="s">
        <v>21211</v>
      </c>
      <c r="B22750" t="str">
        <f>"15193865327"</f>
        <v>15193865327</v>
      </c>
      <c r="C22750" t="str">
        <f>"622323199407265211"</f>
        <v>622323199407265211</v>
      </c>
      <c r="D22750" t="s">
        <v>1</v>
      </c>
      <c r="E22750" t="s">
        <v>1</v>
      </c>
      <c r="F22750" t="s">
        <v>0</v>
      </c>
      <c r="G22750" t="str">
        <f>"2018-10-07 00:41:43"</f>
        <v>2018-10-07 00:41:43</v>
      </c>
    </row>
    <row r="22751" spans="1:7" x14ac:dyDescent="0.2">
      <c r="A22751" t="s">
        <v>1</v>
      </c>
      <c r="B22751" t="str">
        <f>"18505273885"</f>
        <v>18505273885</v>
      </c>
      <c r="C22751" t="s">
        <v>1</v>
      </c>
      <c r="D22751" t="s">
        <v>1</v>
      </c>
      <c r="E22751" t="s">
        <v>1</v>
      </c>
      <c r="F22751" t="s">
        <v>0</v>
      </c>
      <c r="G22751" t="str">
        <f>"2018-10-06 23:57:32"</f>
        <v>2018-10-06 23:57:32</v>
      </c>
    </row>
    <row r="22752" spans="1:7" x14ac:dyDescent="0.2">
      <c r="A22752" t="s">
        <v>1</v>
      </c>
      <c r="B22752" t="str">
        <f>"13077633641"</f>
        <v>13077633641</v>
      </c>
      <c r="C22752" t="s">
        <v>1</v>
      </c>
      <c r="D22752" t="s">
        <v>1</v>
      </c>
      <c r="E22752" t="s">
        <v>1</v>
      </c>
      <c r="F22752" t="s">
        <v>0</v>
      </c>
      <c r="G22752" t="str">
        <f>"2018-10-06 23:56:28"</f>
        <v>2018-10-06 23:56:28</v>
      </c>
    </row>
    <row r="22753" spans="1:7" x14ac:dyDescent="0.2">
      <c r="A22753" t="s">
        <v>21212</v>
      </c>
      <c r="B22753" t="str">
        <f>"13758103712"</f>
        <v>13758103712</v>
      </c>
      <c r="C22753" t="str">
        <f>"330103198607130424"</f>
        <v>330103198607130424</v>
      </c>
      <c r="D22753" t="s">
        <v>1</v>
      </c>
      <c r="E22753" t="s">
        <v>1</v>
      </c>
      <c r="F22753" t="s">
        <v>0</v>
      </c>
      <c r="G22753" t="str">
        <f>"2018-10-07 08:00:53"</f>
        <v>2018-10-07 08:00:53</v>
      </c>
    </row>
    <row r="22754" spans="1:7" x14ac:dyDescent="0.2">
      <c r="A22754" t="s">
        <v>21213</v>
      </c>
      <c r="B22754" t="str">
        <f>"15007413993"</f>
        <v>15007413993</v>
      </c>
      <c r="C22754" t="str">
        <f>"433124199211130922"</f>
        <v>433124199211130922</v>
      </c>
      <c r="D22754" t="s">
        <v>1</v>
      </c>
      <c r="E22754" t="s">
        <v>1</v>
      </c>
      <c r="F22754" t="s">
        <v>0</v>
      </c>
      <c r="G22754" t="str">
        <f>"2018-10-06 23:55:09"</f>
        <v>2018-10-06 23:55:09</v>
      </c>
    </row>
    <row r="22755" spans="1:7" x14ac:dyDescent="0.2">
      <c r="A22755" t="s">
        <v>1</v>
      </c>
      <c r="B22755" t="str">
        <f>"18653026645"</f>
        <v>18653026645</v>
      </c>
      <c r="C22755" t="s">
        <v>1</v>
      </c>
      <c r="D22755" t="s">
        <v>1</v>
      </c>
      <c r="E22755" t="s">
        <v>1</v>
      </c>
      <c r="F22755" t="s">
        <v>0</v>
      </c>
      <c r="G22755" t="str">
        <f>"2018-10-06 23:54:14"</f>
        <v>2018-10-06 23:54:14</v>
      </c>
    </row>
    <row r="22756" spans="1:7" x14ac:dyDescent="0.2">
      <c r="A22756" t="s">
        <v>21214</v>
      </c>
      <c r="B22756" t="str">
        <f>"18869460772"</f>
        <v>18869460772</v>
      </c>
      <c r="C22756" t="str">
        <f>"532501200009172526"</f>
        <v>532501200009172526</v>
      </c>
      <c r="D22756" t="s">
        <v>1</v>
      </c>
      <c r="E22756" t="s">
        <v>1</v>
      </c>
      <c r="F22756" t="s">
        <v>0</v>
      </c>
      <c r="G22756" t="str">
        <f>"2018-10-06 23:59:03"</f>
        <v>2018-10-06 23:59:03</v>
      </c>
    </row>
    <row r="22757" spans="1:7" x14ac:dyDescent="0.2">
      <c r="A22757" t="s">
        <v>331</v>
      </c>
      <c r="B22757" t="str">
        <f>"13889541559"</f>
        <v>13889541559</v>
      </c>
      <c r="C22757" t="str">
        <f>"210282199808114111"</f>
        <v>210282199808114111</v>
      </c>
      <c r="D22757" t="s">
        <v>21215</v>
      </c>
      <c r="E22757" t="s">
        <v>21216</v>
      </c>
      <c r="F22757" t="s">
        <v>0</v>
      </c>
      <c r="G22757" t="str">
        <f>"2018-10-06 23:51:25"</f>
        <v>2018-10-06 23:51:25</v>
      </c>
    </row>
    <row r="22758" spans="1:7" x14ac:dyDescent="0.2">
      <c r="A22758" t="s">
        <v>21217</v>
      </c>
      <c r="B22758" t="str">
        <f>"15814055978"</f>
        <v>15814055978</v>
      </c>
      <c r="C22758" t="str">
        <f>"500233199005063439"</f>
        <v>500233199005063439</v>
      </c>
      <c r="D22758" t="s">
        <v>1</v>
      </c>
      <c r="E22758" t="s">
        <v>1</v>
      </c>
      <c r="F22758" t="s">
        <v>0</v>
      </c>
      <c r="G22758" t="str">
        <f>"2018-10-06 23:54:21"</f>
        <v>2018-10-06 23:54:21</v>
      </c>
    </row>
    <row r="22759" spans="1:7" x14ac:dyDescent="0.2">
      <c r="A22759" t="s">
        <v>1011</v>
      </c>
      <c r="B22759" t="str">
        <f>"15035151554"</f>
        <v>15035151554</v>
      </c>
      <c r="C22759" t="str">
        <f>"140181199310291815"</f>
        <v>140181199310291815</v>
      </c>
      <c r="D22759" t="s">
        <v>1</v>
      </c>
      <c r="E22759" t="s">
        <v>1</v>
      </c>
      <c r="F22759" t="s">
        <v>0</v>
      </c>
      <c r="G22759" t="str">
        <f>"2018-10-06 23:51:18"</f>
        <v>2018-10-06 23:51:18</v>
      </c>
    </row>
    <row r="22760" spans="1:7" x14ac:dyDescent="0.2">
      <c r="A22760" t="s">
        <v>1</v>
      </c>
      <c r="B22760" t="str">
        <f>"13279454491"</f>
        <v>13279454491</v>
      </c>
      <c r="C22760" t="s">
        <v>1</v>
      </c>
      <c r="D22760" t="s">
        <v>1</v>
      </c>
      <c r="E22760" t="s">
        <v>1</v>
      </c>
      <c r="F22760" t="s">
        <v>0</v>
      </c>
      <c r="G22760" t="str">
        <f>"2018-10-06 23:49:16"</f>
        <v>2018-10-06 23:49:16</v>
      </c>
    </row>
    <row r="22761" spans="1:7" x14ac:dyDescent="0.2">
      <c r="A22761" t="s">
        <v>178</v>
      </c>
      <c r="B22761" t="str">
        <f>"15274124005"</f>
        <v>15274124005</v>
      </c>
      <c r="C22761" t="str">
        <f>"431024198706100010"</f>
        <v>431024198706100010</v>
      </c>
      <c r="D22761" t="s">
        <v>1</v>
      </c>
      <c r="E22761" t="s">
        <v>1</v>
      </c>
      <c r="F22761" t="s">
        <v>0</v>
      </c>
      <c r="G22761" t="str">
        <f>"2018-10-06 23:50:12"</f>
        <v>2018-10-06 23:50:12</v>
      </c>
    </row>
    <row r="22762" spans="1:7" x14ac:dyDescent="0.2">
      <c r="A22762" t="s">
        <v>1</v>
      </c>
      <c r="B22762" t="str">
        <f>"15092920666"</f>
        <v>15092920666</v>
      </c>
      <c r="C22762" t="s">
        <v>1</v>
      </c>
      <c r="D22762" t="s">
        <v>1</v>
      </c>
      <c r="E22762" t="s">
        <v>1</v>
      </c>
      <c r="F22762" t="s">
        <v>0</v>
      </c>
      <c r="G22762" t="str">
        <f>"2018-10-06 23:47:56"</f>
        <v>2018-10-06 23:47:56</v>
      </c>
    </row>
    <row r="22763" spans="1:7" x14ac:dyDescent="0.2">
      <c r="A22763" t="s">
        <v>21218</v>
      </c>
      <c r="B22763" t="str">
        <f>"13023990965"</f>
        <v>13023990965</v>
      </c>
      <c r="C22763" t="str">
        <f>"350128199403073216"</f>
        <v>350128199403073216</v>
      </c>
      <c r="D22763" t="s">
        <v>1</v>
      </c>
      <c r="E22763" t="s">
        <v>1</v>
      </c>
      <c r="F22763" t="s">
        <v>0</v>
      </c>
      <c r="G22763" t="str">
        <f>"2018-10-06 23:46:45"</f>
        <v>2018-10-06 23:46:45</v>
      </c>
    </row>
    <row r="22764" spans="1:7" x14ac:dyDescent="0.2">
      <c r="A22764" t="s">
        <v>656</v>
      </c>
      <c r="B22764" t="str">
        <f>"13505653897"</f>
        <v>13505653897</v>
      </c>
      <c r="C22764" t="str">
        <f>"342601199509057422"</f>
        <v>342601199509057422</v>
      </c>
      <c r="D22764" t="s">
        <v>1</v>
      </c>
      <c r="E22764" t="s">
        <v>1</v>
      </c>
      <c r="F22764" t="s">
        <v>0</v>
      </c>
      <c r="G22764" t="str">
        <f>"2018-10-06 23:47:33"</f>
        <v>2018-10-06 23:47:33</v>
      </c>
    </row>
    <row r="22765" spans="1:7" x14ac:dyDescent="0.2">
      <c r="A22765" t="s">
        <v>21219</v>
      </c>
      <c r="B22765" t="str">
        <f>"18803468036"</f>
        <v>18803468036</v>
      </c>
      <c r="C22765" t="str">
        <f>"140525199610083162"</f>
        <v>140525199610083162</v>
      </c>
      <c r="D22765" t="s">
        <v>1</v>
      </c>
      <c r="E22765" t="s">
        <v>1</v>
      </c>
      <c r="F22765" t="s">
        <v>0</v>
      </c>
      <c r="G22765" t="str">
        <f>"2018-10-06 23:46:00"</f>
        <v>2018-10-06 23:46:00</v>
      </c>
    </row>
    <row r="22766" spans="1:7" x14ac:dyDescent="0.2">
      <c r="A22766" t="s">
        <v>1</v>
      </c>
      <c r="B22766" t="str">
        <f>"15306167661"</f>
        <v>15306167661</v>
      </c>
      <c r="C22766" t="s">
        <v>1</v>
      </c>
      <c r="D22766" t="s">
        <v>1</v>
      </c>
      <c r="E22766" t="s">
        <v>1</v>
      </c>
      <c r="F22766" t="s">
        <v>0</v>
      </c>
      <c r="G22766" t="str">
        <f>"2018-10-06 23:44:32"</f>
        <v>2018-10-06 23:44:32</v>
      </c>
    </row>
    <row r="22767" spans="1:7" x14ac:dyDescent="0.2">
      <c r="A22767" t="s">
        <v>21220</v>
      </c>
      <c r="B22767" t="str">
        <f>"15884211586"</f>
        <v>15884211586</v>
      </c>
      <c r="C22767" t="str">
        <f>"513902199312157505"</f>
        <v>513902199312157505</v>
      </c>
      <c r="D22767" t="s">
        <v>1</v>
      </c>
      <c r="E22767" t="s">
        <v>1</v>
      </c>
      <c r="F22767" t="s">
        <v>0</v>
      </c>
      <c r="G22767" t="str">
        <f>"2018-10-06 23:50:31"</f>
        <v>2018-10-06 23:50:31</v>
      </c>
    </row>
    <row r="22768" spans="1:7" x14ac:dyDescent="0.2">
      <c r="A22768" t="s">
        <v>1</v>
      </c>
      <c r="B22768" t="str">
        <f>"15828158229"</f>
        <v>15828158229</v>
      </c>
      <c r="C22768" t="s">
        <v>1</v>
      </c>
      <c r="D22768" t="s">
        <v>1</v>
      </c>
      <c r="E22768" t="s">
        <v>1</v>
      </c>
      <c r="F22768" t="s">
        <v>0</v>
      </c>
      <c r="G22768" t="str">
        <f>"2018-10-06 23:44:38"</f>
        <v>2018-10-06 23:44:38</v>
      </c>
    </row>
    <row r="22769" spans="1:7" x14ac:dyDescent="0.2">
      <c r="A22769" t="s">
        <v>1</v>
      </c>
      <c r="B22769" t="str">
        <f>"15620351527"</f>
        <v>15620351527</v>
      </c>
      <c r="C22769" t="s">
        <v>1</v>
      </c>
      <c r="D22769" t="s">
        <v>1</v>
      </c>
      <c r="E22769" t="s">
        <v>1</v>
      </c>
      <c r="F22769" t="s">
        <v>0</v>
      </c>
      <c r="G22769" t="str">
        <f>"2018-10-06 23:42:17"</f>
        <v>2018-10-06 23:42:17</v>
      </c>
    </row>
    <row r="22770" spans="1:7" x14ac:dyDescent="0.2">
      <c r="A22770" t="s">
        <v>1288</v>
      </c>
      <c r="B22770" t="str">
        <f>"17374681020"</f>
        <v>17374681020</v>
      </c>
      <c r="C22770" t="str">
        <f>"35220219831019363X"</f>
        <v>35220219831019363X</v>
      </c>
      <c r="D22770" t="s">
        <v>21221</v>
      </c>
      <c r="E22770" t="s">
        <v>21222</v>
      </c>
      <c r="F22770" t="s">
        <v>0</v>
      </c>
      <c r="G22770" t="str">
        <f>"2018-10-06 23:42:46"</f>
        <v>2018-10-06 23:42:46</v>
      </c>
    </row>
    <row r="22771" spans="1:7" x14ac:dyDescent="0.2">
      <c r="A22771" t="s">
        <v>21223</v>
      </c>
      <c r="B22771" t="str">
        <f>"17689836731"</f>
        <v>17689836731</v>
      </c>
      <c r="C22771" t="str">
        <f>"460003199908105431"</f>
        <v>460003199908105431</v>
      </c>
      <c r="D22771" t="s">
        <v>1</v>
      </c>
      <c r="E22771" t="s">
        <v>1</v>
      </c>
      <c r="F22771" t="s">
        <v>0</v>
      </c>
      <c r="G22771" t="str">
        <f>"2018-10-06 23:40:38"</f>
        <v>2018-10-06 23:40:38</v>
      </c>
    </row>
    <row r="22772" spans="1:7" x14ac:dyDescent="0.2">
      <c r="A22772" t="s">
        <v>21224</v>
      </c>
      <c r="B22772" t="str">
        <f>"15643254388"</f>
        <v>15643254388</v>
      </c>
      <c r="C22772" t="str">
        <f>"220281197810051435"</f>
        <v>220281197810051435</v>
      </c>
      <c r="D22772" t="s">
        <v>1</v>
      </c>
      <c r="E22772" t="s">
        <v>1</v>
      </c>
      <c r="F22772" t="s">
        <v>0</v>
      </c>
      <c r="G22772" t="str">
        <f>"2018-10-06 23:38:33"</f>
        <v>2018-10-06 23:38:33</v>
      </c>
    </row>
    <row r="22773" spans="1:7" x14ac:dyDescent="0.2">
      <c r="A22773" t="s">
        <v>21225</v>
      </c>
      <c r="B22773" t="str">
        <f>"13998175133"</f>
        <v>13998175133</v>
      </c>
      <c r="C22773" t="str">
        <f>"210111198509041025"</f>
        <v>210111198509041025</v>
      </c>
      <c r="D22773" t="s">
        <v>21226</v>
      </c>
      <c r="E22773" t="s">
        <v>21227</v>
      </c>
      <c r="F22773" t="s">
        <v>0</v>
      </c>
      <c r="G22773" t="str">
        <f>"2018-10-06 23:57:09"</f>
        <v>2018-10-06 23:57:09</v>
      </c>
    </row>
    <row r="22774" spans="1:7" x14ac:dyDescent="0.2">
      <c r="A22774" t="s">
        <v>1</v>
      </c>
      <c r="B22774" t="str">
        <f>"15880119786"</f>
        <v>15880119786</v>
      </c>
      <c r="C22774" t="s">
        <v>1</v>
      </c>
      <c r="D22774" t="s">
        <v>1</v>
      </c>
      <c r="E22774" t="s">
        <v>1</v>
      </c>
      <c r="F22774" t="s">
        <v>0</v>
      </c>
      <c r="G22774" t="str">
        <f>"2018-10-06 23:36:48"</f>
        <v>2018-10-06 23:36:48</v>
      </c>
    </row>
    <row r="22775" spans="1:7" x14ac:dyDescent="0.2">
      <c r="A22775" t="s">
        <v>945</v>
      </c>
      <c r="B22775" t="str">
        <f>"13228797700"</f>
        <v>13228797700</v>
      </c>
      <c r="C22775" t="str">
        <f>"321283199409286410"</f>
        <v>321283199409286410</v>
      </c>
      <c r="D22775" t="s">
        <v>1</v>
      </c>
      <c r="E22775" t="s">
        <v>1</v>
      </c>
      <c r="F22775" t="s">
        <v>0</v>
      </c>
      <c r="G22775" t="str">
        <f>"2018-10-07 00:23:22"</f>
        <v>2018-10-07 00:23:22</v>
      </c>
    </row>
    <row r="22776" spans="1:7" x14ac:dyDescent="0.2">
      <c r="A22776" t="s">
        <v>21228</v>
      </c>
      <c r="B22776" t="str">
        <f>"18509495827"</f>
        <v>18509495827</v>
      </c>
      <c r="C22776" t="str">
        <f>"622627199610114437"</f>
        <v>622627199610114437</v>
      </c>
      <c r="D22776" t="s">
        <v>1</v>
      </c>
      <c r="E22776" t="s">
        <v>1</v>
      </c>
      <c r="F22776" t="s">
        <v>0</v>
      </c>
      <c r="G22776" t="str">
        <f>"2018-10-07 07:23:18"</f>
        <v>2018-10-07 07:23:18</v>
      </c>
    </row>
    <row r="22777" spans="1:7" x14ac:dyDescent="0.2">
      <c r="A22777" t="s">
        <v>21229</v>
      </c>
      <c r="B22777" t="str">
        <f>"15142514666"</f>
        <v>15142514666</v>
      </c>
      <c r="C22777" t="str">
        <f>"210122198908190326"</f>
        <v>210122198908190326</v>
      </c>
      <c r="D22777" t="s">
        <v>21230</v>
      </c>
      <c r="E22777" t="s">
        <v>21231</v>
      </c>
      <c r="F22777" t="s">
        <v>0</v>
      </c>
      <c r="G22777" t="str">
        <f>"2018-10-06 23:34:21"</f>
        <v>2018-10-06 23:34:21</v>
      </c>
    </row>
    <row r="22778" spans="1:7" x14ac:dyDescent="0.2">
      <c r="A22778" t="s">
        <v>1</v>
      </c>
      <c r="B22778" t="str">
        <f>"15362220618"</f>
        <v>15362220618</v>
      </c>
      <c r="C22778" t="s">
        <v>1</v>
      </c>
      <c r="D22778" t="s">
        <v>1</v>
      </c>
      <c r="E22778" t="s">
        <v>1</v>
      </c>
      <c r="F22778" t="s">
        <v>0</v>
      </c>
      <c r="G22778" t="str">
        <f>"2018-10-06 23:31:27"</f>
        <v>2018-10-06 23:31:27</v>
      </c>
    </row>
    <row r="22779" spans="1:7" x14ac:dyDescent="0.2">
      <c r="A22779" t="s">
        <v>21232</v>
      </c>
      <c r="B22779" t="str">
        <f>"13108097923"</f>
        <v>13108097923</v>
      </c>
      <c r="C22779" t="str">
        <f>"610632199010031715"</f>
        <v>610632199010031715</v>
      </c>
      <c r="D22779" t="s">
        <v>1</v>
      </c>
      <c r="E22779" t="s">
        <v>1</v>
      </c>
      <c r="F22779" t="s">
        <v>0</v>
      </c>
      <c r="G22779" t="str">
        <f>"2018-10-06 23:32:12"</f>
        <v>2018-10-06 23:32:12</v>
      </c>
    </row>
    <row r="22780" spans="1:7" x14ac:dyDescent="0.2">
      <c r="A22780" t="s">
        <v>1</v>
      </c>
      <c r="B22780" t="str">
        <f>"18252263242"</f>
        <v>18252263242</v>
      </c>
      <c r="C22780" t="s">
        <v>1</v>
      </c>
      <c r="D22780" t="s">
        <v>1</v>
      </c>
      <c r="E22780" t="s">
        <v>1</v>
      </c>
      <c r="F22780" t="s">
        <v>0</v>
      </c>
      <c r="G22780" t="str">
        <f>"2018-10-06 23:29:31"</f>
        <v>2018-10-06 23:29:31</v>
      </c>
    </row>
    <row r="22781" spans="1:7" x14ac:dyDescent="0.2">
      <c r="A22781" t="s">
        <v>21233</v>
      </c>
      <c r="B22781" t="str">
        <f>"13822296832"</f>
        <v>13822296832</v>
      </c>
      <c r="C22781" t="str">
        <f>"441424199607211370"</f>
        <v>441424199607211370</v>
      </c>
      <c r="D22781" t="s">
        <v>21234</v>
      </c>
      <c r="E22781" t="s">
        <v>21235</v>
      </c>
      <c r="F22781" t="s">
        <v>0</v>
      </c>
      <c r="G22781" t="str">
        <f>"2018-10-06 23:28:55"</f>
        <v>2018-10-06 23:28:55</v>
      </c>
    </row>
    <row r="22782" spans="1:7" x14ac:dyDescent="0.2">
      <c r="A22782" t="s">
        <v>47</v>
      </c>
      <c r="B22782" t="str">
        <f>"15972090287"</f>
        <v>15972090287</v>
      </c>
      <c r="C22782" t="str">
        <f>"420104197712234026"</f>
        <v>420104197712234026</v>
      </c>
      <c r="D22782" t="s">
        <v>1</v>
      </c>
      <c r="E22782" t="s">
        <v>1</v>
      </c>
      <c r="F22782" t="s">
        <v>0</v>
      </c>
      <c r="G22782" t="str">
        <f>"2018-10-06 23:32:05"</f>
        <v>2018-10-06 23:32:05</v>
      </c>
    </row>
    <row r="22783" spans="1:7" x14ac:dyDescent="0.2">
      <c r="A22783" t="s">
        <v>21236</v>
      </c>
      <c r="B22783" t="str">
        <f>"15185491906"</f>
        <v>15185491906</v>
      </c>
      <c r="C22783" t="str">
        <f>"52272319890913002X"</f>
        <v>52272319890913002X</v>
      </c>
      <c r="D22783" t="s">
        <v>1</v>
      </c>
      <c r="E22783" t="s">
        <v>1</v>
      </c>
      <c r="F22783" t="s">
        <v>0</v>
      </c>
      <c r="G22783" t="str">
        <f>"2018-10-07 23:19:01"</f>
        <v>2018-10-07 23:19:01</v>
      </c>
    </row>
    <row r="22784" spans="1:7" x14ac:dyDescent="0.2">
      <c r="A22784" t="s">
        <v>2786</v>
      </c>
      <c r="B22784" t="str">
        <f>"15071011114"</f>
        <v>15071011114</v>
      </c>
      <c r="C22784" t="str">
        <f>"421083199102113518"</f>
        <v>421083199102113518</v>
      </c>
      <c r="D22784" t="s">
        <v>1</v>
      </c>
      <c r="E22784" t="s">
        <v>1</v>
      </c>
      <c r="F22784" t="s">
        <v>0</v>
      </c>
      <c r="G22784" t="str">
        <f>"2018-10-06 23:40:41"</f>
        <v>2018-10-06 23:40:41</v>
      </c>
    </row>
    <row r="22785" spans="1:7" x14ac:dyDescent="0.2">
      <c r="A22785" t="s">
        <v>1</v>
      </c>
      <c r="B22785" t="str">
        <f>"15842296955"</f>
        <v>15842296955</v>
      </c>
      <c r="C22785" t="s">
        <v>1</v>
      </c>
      <c r="D22785" t="s">
        <v>1</v>
      </c>
      <c r="E22785" t="s">
        <v>1</v>
      </c>
      <c r="F22785" t="s">
        <v>0</v>
      </c>
      <c r="G22785" t="str">
        <f>"2018-10-06 23:27:40"</f>
        <v>2018-10-06 23:27:40</v>
      </c>
    </row>
    <row r="22786" spans="1:7" x14ac:dyDescent="0.2">
      <c r="A22786" t="s">
        <v>21237</v>
      </c>
      <c r="B22786" t="str">
        <f>"18685557558"</f>
        <v>18685557558</v>
      </c>
      <c r="C22786" t="str">
        <f>"522632199501300561"</f>
        <v>522632199501300561</v>
      </c>
      <c r="D22786" t="s">
        <v>1</v>
      </c>
      <c r="E22786" t="s">
        <v>1</v>
      </c>
      <c r="F22786" t="s">
        <v>0</v>
      </c>
      <c r="G22786" t="str">
        <f>"2018-10-06 23:57:09"</f>
        <v>2018-10-06 23:57:09</v>
      </c>
    </row>
    <row r="22787" spans="1:7" x14ac:dyDescent="0.2">
      <c r="A22787" t="s">
        <v>21238</v>
      </c>
      <c r="B22787" t="str">
        <f>"18832944451"</f>
        <v>18832944451</v>
      </c>
      <c r="C22787" t="str">
        <f>"500229199501100521"</f>
        <v>500229199501100521</v>
      </c>
      <c r="D22787" t="s">
        <v>21239</v>
      </c>
      <c r="E22787" t="s">
        <v>21240</v>
      </c>
      <c r="F22787" t="s">
        <v>0</v>
      </c>
      <c r="G22787" t="str">
        <f>"2018-10-06 23:28:16"</f>
        <v>2018-10-06 23:28:16</v>
      </c>
    </row>
    <row r="22788" spans="1:7" x14ac:dyDescent="0.2">
      <c r="A22788" t="s">
        <v>21241</v>
      </c>
      <c r="B22788" t="str">
        <f>"18000905815"</f>
        <v>18000905815</v>
      </c>
      <c r="C22788" t="str">
        <f>"440902199309262434"</f>
        <v>440902199309262434</v>
      </c>
      <c r="D22788" t="s">
        <v>1</v>
      </c>
      <c r="E22788" t="s">
        <v>1</v>
      </c>
      <c r="F22788" t="s">
        <v>0</v>
      </c>
      <c r="G22788" t="str">
        <f>"2018-10-06 23:25:00"</f>
        <v>2018-10-06 23:25:00</v>
      </c>
    </row>
    <row r="22789" spans="1:7" x14ac:dyDescent="0.2">
      <c r="A22789" t="s">
        <v>21242</v>
      </c>
      <c r="B22789" t="str">
        <f>"18687457151"</f>
        <v>18687457151</v>
      </c>
      <c r="C22789" t="str">
        <f>"53030219870923631X"</f>
        <v>53030219870923631X</v>
      </c>
      <c r="D22789" t="s">
        <v>21243</v>
      </c>
      <c r="E22789" t="s">
        <v>21244</v>
      </c>
      <c r="F22789" t="s">
        <v>0</v>
      </c>
      <c r="G22789" t="str">
        <f>"2018-10-06 23:25:15"</f>
        <v>2018-10-06 23:25:15</v>
      </c>
    </row>
    <row r="22790" spans="1:7" x14ac:dyDescent="0.2">
      <c r="A22790" t="s">
        <v>21245</v>
      </c>
      <c r="B22790" t="str">
        <f>"17335128654"</f>
        <v>17335128654</v>
      </c>
      <c r="C22790" t="str">
        <f>"130729199305293213"</f>
        <v>130729199305293213</v>
      </c>
      <c r="D22790" t="s">
        <v>21246</v>
      </c>
      <c r="E22790" t="s">
        <v>21247</v>
      </c>
      <c r="F22790" t="s">
        <v>0</v>
      </c>
      <c r="G22790" t="str">
        <f>"2018-10-06 23:24:23"</f>
        <v>2018-10-06 23:24:23</v>
      </c>
    </row>
    <row r="22791" spans="1:7" x14ac:dyDescent="0.2">
      <c r="A22791" t="s">
        <v>1</v>
      </c>
      <c r="B22791" t="str">
        <f>"15059593969"</f>
        <v>15059593969</v>
      </c>
      <c r="C22791" t="s">
        <v>1</v>
      </c>
      <c r="D22791" t="s">
        <v>1</v>
      </c>
      <c r="E22791" t="s">
        <v>1</v>
      </c>
      <c r="F22791" t="s">
        <v>0</v>
      </c>
      <c r="G22791" t="str">
        <f>"2018-10-06 23:23:13"</f>
        <v>2018-10-06 23:23:13</v>
      </c>
    </row>
    <row r="22792" spans="1:7" x14ac:dyDescent="0.2">
      <c r="A22792" t="s">
        <v>21248</v>
      </c>
      <c r="B22792" t="str">
        <f>"18630630590"</f>
        <v>18630630590</v>
      </c>
      <c r="C22792" t="str">
        <f>"13100219881207382X"</f>
        <v>13100219881207382X</v>
      </c>
      <c r="D22792" t="s">
        <v>21249</v>
      </c>
      <c r="E22792" t="s">
        <v>21250</v>
      </c>
      <c r="F22792" t="s">
        <v>0</v>
      </c>
      <c r="G22792" t="str">
        <f>"2018-10-06 23:25:21"</f>
        <v>2018-10-06 23:25:21</v>
      </c>
    </row>
    <row r="22793" spans="1:7" x14ac:dyDescent="0.2">
      <c r="A22793" t="s">
        <v>21251</v>
      </c>
      <c r="B22793" t="str">
        <f>"13192345588"</f>
        <v>13192345588</v>
      </c>
      <c r="C22793" t="str">
        <f>"450423198404270813"</f>
        <v>450423198404270813</v>
      </c>
      <c r="D22793" t="s">
        <v>1</v>
      </c>
      <c r="E22793" t="s">
        <v>1</v>
      </c>
      <c r="F22793" t="s">
        <v>0</v>
      </c>
      <c r="G22793" t="str">
        <f>"2018-10-06 23:20:48"</f>
        <v>2018-10-06 23:20:48</v>
      </c>
    </row>
    <row r="22794" spans="1:7" x14ac:dyDescent="0.2">
      <c r="A22794" t="s">
        <v>21252</v>
      </c>
      <c r="B22794" t="str">
        <f>"15297602507"</f>
        <v>15297602507</v>
      </c>
      <c r="C22794" t="str">
        <f>"131102199703061440"</f>
        <v>131102199703061440</v>
      </c>
      <c r="D22794" t="s">
        <v>21253</v>
      </c>
      <c r="E22794" t="s">
        <v>21254</v>
      </c>
      <c r="F22794" t="s">
        <v>0</v>
      </c>
      <c r="G22794" t="str">
        <f>"2018-10-06 23:20:47"</f>
        <v>2018-10-06 23:20:47</v>
      </c>
    </row>
    <row r="22795" spans="1:7" x14ac:dyDescent="0.2">
      <c r="A22795" t="s">
        <v>1</v>
      </c>
      <c r="B22795" t="str">
        <f>"15984833308"</f>
        <v>15984833308</v>
      </c>
      <c r="C22795" t="s">
        <v>1</v>
      </c>
      <c r="D22795" t="s">
        <v>1</v>
      </c>
      <c r="E22795" t="s">
        <v>1</v>
      </c>
      <c r="F22795" t="s">
        <v>0</v>
      </c>
      <c r="G22795" t="str">
        <f>"2018-10-06 23:20:12"</f>
        <v>2018-10-06 23:20:12</v>
      </c>
    </row>
    <row r="22796" spans="1:7" x14ac:dyDescent="0.2">
      <c r="A22796" t="s">
        <v>1686</v>
      </c>
      <c r="B22796" t="str">
        <f>"18827174405"</f>
        <v>18827174405</v>
      </c>
      <c r="C22796" t="str">
        <f>"421123199508285220"</f>
        <v>421123199508285220</v>
      </c>
      <c r="D22796" t="s">
        <v>1</v>
      </c>
      <c r="E22796" t="s">
        <v>1</v>
      </c>
      <c r="F22796" t="s">
        <v>0</v>
      </c>
      <c r="G22796" t="str">
        <f>"2018-10-06 23:25:54"</f>
        <v>2018-10-06 23:25:54</v>
      </c>
    </row>
    <row r="22797" spans="1:7" x14ac:dyDescent="0.2">
      <c r="A22797" t="s">
        <v>1</v>
      </c>
      <c r="B22797" t="str">
        <f>"18508164070"</f>
        <v>18508164070</v>
      </c>
      <c r="C22797" t="s">
        <v>1</v>
      </c>
      <c r="D22797" t="s">
        <v>1</v>
      </c>
      <c r="E22797" t="s">
        <v>1</v>
      </c>
      <c r="F22797" t="s">
        <v>0</v>
      </c>
      <c r="G22797" t="str">
        <f>"2018-10-06 23:17:51"</f>
        <v>2018-10-06 23:17:51</v>
      </c>
    </row>
    <row r="22798" spans="1:7" x14ac:dyDescent="0.2">
      <c r="A22798" t="s">
        <v>21255</v>
      </c>
      <c r="B22798" t="str">
        <f>"13246599991"</f>
        <v>13246599991</v>
      </c>
      <c r="C22798" t="str">
        <f>"440783199009033012"</f>
        <v>440783199009033012</v>
      </c>
      <c r="D22798" t="s">
        <v>1</v>
      </c>
      <c r="E22798" t="s">
        <v>1</v>
      </c>
      <c r="F22798" t="s">
        <v>0</v>
      </c>
      <c r="G22798" t="str">
        <f>"2018-10-06 23:19:31"</f>
        <v>2018-10-06 23:19:31</v>
      </c>
    </row>
    <row r="22799" spans="1:7" x14ac:dyDescent="0.2">
      <c r="A22799" t="s">
        <v>1</v>
      </c>
      <c r="B22799" t="str">
        <f>"13184457762"</f>
        <v>13184457762</v>
      </c>
      <c r="C22799" t="s">
        <v>1</v>
      </c>
      <c r="D22799" t="s">
        <v>1</v>
      </c>
      <c r="E22799" t="s">
        <v>1</v>
      </c>
      <c r="F22799" t="s">
        <v>0</v>
      </c>
      <c r="G22799" t="str">
        <f>"2018-10-06 23:17:41"</f>
        <v>2018-10-06 23:17:41</v>
      </c>
    </row>
    <row r="22800" spans="1:7" x14ac:dyDescent="0.2">
      <c r="A22800" t="s">
        <v>1</v>
      </c>
      <c r="B22800" t="str">
        <f>"15821784227"</f>
        <v>15821784227</v>
      </c>
      <c r="C22800" t="s">
        <v>1</v>
      </c>
      <c r="D22800" t="s">
        <v>1</v>
      </c>
      <c r="E22800" t="s">
        <v>1</v>
      </c>
      <c r="F22800" t="s">
        <v>0</v>
      </c>
      <c r="G22800" t="str">
        <f>"2018-10-06 23:17:17"</f>
        <v>2018-10-06 23:17:17</v>
      </c>
    </row>
    <row r="22801" spans="1:7" x14ac:dyDescent="0.2">
      <c r="A22801" t="s">
        <v>21256</v>
      </c>
      <c r="B22801" t="str">
        <f>"15625128583"</f>
        <v>15625128583</v>
      </c>
      <c r="C22801" t="str">
        <f>"320482199501221111"</f>
        <v>320482199501221111</v>
      </c>
      <c r="D22801" t="s">
        <v>21257</v>
      </c>
      <c r="E22801" t="s">
        <v>21258</v>
      </c>
      <c r="F22801" t="s">
        <v>0</v>
      </c>
      <c r="G22801" t="str">
        <f>"2018-10-09 11:50:08"</f>
        <v>2018-10-09 11:50:08</v>
      </c>
    </row>
    <row r="22802" spans="1:7" x14ac:dyDescent="0.2">
      <c r="A22802" t="s">
        <v>21259</v>
      </c>
      <c r="B22802" t="str">
        <f>"18013116702"</f>
        <v>18013116702</v>
      </c>
      <c r="C22802" t="str">
        <f>"320324198904154570"</f>
        <v>320324198904154570</v>
      </c>
      <c r="D22802" t="s">
        <v>1</v>
      </c>
      <c r="E22802" t="s">
        <v>1</v>
      </c>
      <c r="F22802" t="s">
        <v>0</v>
      </c>
      <c r="G22802" t="str">
        <f>"2018-10-06 23:31:23"</f>
        <v>2018-10-06 23:31:23</v>
      </c>
    </row>
    <row r="22803" spans="1:7" x14ac:dyDescent="0.2">
      <c r="A22803" t="s">
        <v>1</v>
      </c>
      <c r="B22803" t="str">
        <f>"15922657617"</f>
        <v>15922657617</v>
      </c>
      <c r="C22803" t="s">
        <v>1</v>
      </c>
      <c r="D22803" t="s">
        <v>1</v>
      </c>
      <c r="E22803" t="s">
        <v>1</v>
      </c>
      <c r="F22803" t="s">
        <v>0</v>
      </c>
      <c r="G22803" t="str">
        <f>"2018-10-06 23:15:15"</f>
        <v>2018-10-06 23:15:15</v>
      </c>
    </row>
    <row r="22804" spans="1:7" x14ac:dyDescent="0.2">
      <c r="A22804" t="s">
        <v>1</v>
      </c>
      <c r="B22804" t="str">
        <f>"15160499953"</f>
        <v>15160499953</v>
      </c>
      <c r="C22804" t="s">
        <v>1</v>
      </c>
      <c r="D22804" t="s">
        <v>1</v>
      </c>
      <c r="E22804" t="s">
        <v>1</v>
      </c>
      <c r="F22804" t="s">
        <v>0</v>
      </c>
      <c r="G22804" t="str">
        <f>"2018-10-06 23:12:02"</f>
        <v>2018-10-06 23:12:02</v>
      </c>
    </row>
    <row r="22805" spans="1:7" x14ac:dyDescent="0.2">
      <c r="A22805" t="s">
        <v>21260</v>
      </c>
      <c r="B22805" t="str">
        <f>"18798628414"</f>
        <v>18798628414</v>
      </c>
      <c r="C22805" t="str">
        <f>"522128199806135016"</f>
        <v>522128199806135016</v>
      </c>
      <c r="D22805" t="s">
        <v>21261</v>
      </c>
      <c r="E22805" t="s">
        <v>21262</v>
      </c>
      <c r="F22805" t="s">
        <v>0</v>
      </c>
      <c r="G22805" t="str">
        <f>"2018-10-13 11:37:31"</f>
        <v>2018-10-13 11:37:31</v>
      </c>
    </row>
    <row r="22806" spans="1:7" x14ac:dyDescent="0.2">
      <c r="A22806" t="s">
        <v>10484</v>
      </c>
      <c r="B22806" t="str">
        <f>"13824700334"</f>
        <v>13824700334</v>
      </c>
      <c r="C22806" t="str">
        <f>"442000198806220951"</f>
        <v>442000198806220951</v>
      </c>
      <c r="D22806" t="s">
        <v>1</v>
      </c>
      <c r="E22806" t="s">
        <v>1</v>
      </c>
      <c r="F22806" t="s">
        <v>0</v>
      </c>
      <c r="G22806" t="str">
        <f>"2018-10-06 23:12:22"</f>
        <v>2018-10-06 23:12:22</v>
      </c>
    </row>
    <row r="22807" spans="1:7" x14ac:dyDescent="0.2">
      <c r="A22807" t="s">
        <v>21263</v>
      </c>
      <c r="B22807" t="str">
        <f>"15711260456"</f>
        <v>15711260456</v>
      </c>
      <c r="C22807" t="str">
        <f>"370682198901241117"</f>
        <v>370682198901241117</v>
      </c>
      <c r="D22807" t="s">
        <v>1</v>
      </c>
      <c r="E22807" t="s">
        <v>1</v>
      </c>
      <c r="F22807" t="s">
        <v>0</v>
      </c>
      <c r="G22807" t="str">
        <f>"2018-10-06 23:12:16"</f>
        <v>2018-10-06 23:12:16</v>
      </c>
    </row>
    <row r="22808" spans="1:7" x14ac:dyDescent="0.2">
      <c r="A22808" t="s">
        <v>21264</v>
      </c>
      <c r="B22808" t="str">
        <f>"13877927224"</f>
        <v>13877927224</v>
      </c>
      <c r="C22808" t="str">
        <f>"450511197802060817"</f>
        <v>450511197802060817</v>
      </c>
      <c r="D22808" t="s">
        <v>1</v>
      </c>
      <c r="E22808" t="s">
        <v>1</v>
      </c>
      <c r="F22808" t="s">
        <v>0</v>
      </c>
      <c r="G22808" t="str">
        <f>"2018-10-06 23:14:54"</f>
        <v>2018-10-06 23:14:54</v>
      </c>
    </row>
    <row r="22809" spans="1:7" x14ac:dyDescent="0.2">
      <c r="A22809" t="s">
        <v>21265</v>
      </c>
      <c r="B22809" t="str">
        <f>"13822237496"</f>
        <v>13822237496</v>
      </c>
      <c r="C22809" t="str">
        <f>"44528119840314671X"</f>
        <v>44528119840314671X</v>
      </c>
      <c r="D22809" t="s">
        <v>21266</v>
      </c>
      <c r="E22809" t="s">
        <v>21267</v>
      </c>
      <c r="F22809" t="s">
        <v>0</v>
      </c>
      <c r="G22809" t="str">
        <f>"2018-10-06 23:08:59"</f>
        <v>2018-10-06 23:08:59</v>
      </c>
    </row>
    <row r="22810" spans="1:7" x14ac:dyDescent="0.2">
      <c r="A22810" t="s">
        <v>21268</v>
      </c>
      <c r="B22810" t="str">
        <f>"17604604517"</f>
        <v>17604604517</v>
      </c>
      <c r="C22810" t="str">
        <f>"232126199204090373"</f>
        <v>232126199204090373</v>
      </c>
      <c r="D22810" t="s">
        <v>1</v>
      </c>
      <c r="E22810" t="s">
        <v>1</v>
      </c>
      <c r="F22810" t="s">
        <v>0</v>
      </c>
      <c r="G22810" t="str">
        <f>"2018-10-06 23:12:05"</f>
        <v>2018-10-06 23:12:05</v>
      </c>
    </row>
    <row r="22811" spans="1:7" x14ac:dyDescent="0.2">
      <c r="A22811" t="s">
        <v>1</v>
      </c>
      <c r="B22811" t="str">
        <f>"18396070089"</f>
        <v>18396070089</v>
      </c>
      <c r="C22811" t="s">
        <v>1</v>
      </c>
      <c r="D22811" t="s">
        <v>1</v>
      </c>
      <c r="E22811" t="s">
        <v>1</v>
      </c>
      <c r="F22811" t="s">
        <v>0</v>
      </c>
      <c r="G22811" t="str">
        <f>"2018-10-06 23:08:45"</f>
        <v>2018-10-06 23:08:45</v>
      </c>
    </row>
    <row r="22812" spans="1:7" x14ac:dyDescent="0.2">
      <c r="A22812" t="s">
        <v>21269</v>
      </c>
      <c r="B22812" t="str">
        <f>"15913043999"</f>
        <v>15913043999</v>
      </c>
      <c r="C22812" t="str">
        <f>"445121199104294811"</f>
        <v>445121199104294811</v>
      </c>
      <c r="D22812" t="s">
        <v>21270</v>
      </c>
      <c r="E22812" t="s">
        <v>21271</v>
      </c>
      <c r="F22812" t="s">
        <v>0</v>
      </c>
      <c r="G22812" t="str">
        <f>"2018-10-19 09:40:00"</f>
        <v>2018-10-19 09:40:00</v>
      </c>
    </row>
    <row r="22813" spans="1:7" x14ac:dyDescent="0.2">
      <c r="A22813" t="s">
        <v>21272</v>
      </c>
      <c r="B22813" t="str">
        <f>"18626437932"</f>
        <v>18626437932</v>
      </c>
      <c r="C22813" t="str">
        <f>"320621199508171223"</f>
        <v>320621199508171223</v>
      </c>
      <c r="D22813" t="s">
        <v>1</v>
      </c>
      <c r="E22813" t="s">
        <v>1</v>
      </c>
      <c r="F22813" t="s">
        <v>0</v>
      </c>
      <c r="G22813" t="str">
        <f>"2018-10-06 23:28:38"</f>
        <v>2018-10-06 23:28:38</v>
      </c>
    </row>
    <row r="22814" spans="1:7" x14ac:dyDescent="0.2">
      <c r="A22814" t="s">
        <v>21273</v>
      </c>
      <c r="B22814" t="str">
        <f>"13912147585"</f>
        <v>13912147585</v>
      </c>
      <c r="C22814" t="str">
        <f>"340123198712111396"</f>
        <v>340123198712111396</v>
      </c>
      <c r="D22814" t="s">
        <v>21274</v>
      </c>
      <c r="E22814" t="s">
        <v>21275</v>
      </c>
      <c r="F22814" t="s">
        <v>0</v>
      </c>
      <c r="G22814" t="str">
        <f>"2018-10-14 09:51:31"</f>
        <v>2018-10-14 09:51:31</v>
      </c>
    </row>
    <row r="22815" spans="1:7" x14ac:dyDescent="0.2">
      <c r="A22815" t="s">
        <v>1</v>
      </c>
      <c r="B22815" t="str">
        <f>"13629495890"</f>
        <v>13629495890</v>
      </c>
      <c r="C22815" t="s">
        <v>1</v>
      </c>
      <c r="D22815" t="s">
        <v>1</v>
      </c>
      <c r="E22815" t="s">
        <v>1</v>
      </c>
      <c r="F22815" t="s">
        <v>0</v>
      </c>
      <c r="G22815" t="str">
        <f>"2018-10-06 23:04:10"</f>
        <v>2018-10-06 23:04:10</v>
      </c>
    </row>
    <row r="22816" spans="1:7" x14ac:dyDescent="0.2">
      <c r="A22816" t="s">
        <v>1</v>
      </c>
      <c r="B22816" t="str">
        <f>"18751251881"</f>
        <v>18751251881</v>
      </c>
      <c r="C22816" t="s">
        <v>1</v>
      </c>
      <c r="D22816" t="s">
        <v>1</v>
      </c>
      <c r="E22816" t="s">
        <v>1</v>
      </c>
      <c r="F22816" t="s">
        <v>0</v>
      </c>
      <c r="G22816" t="str">
        <f>"2018-10-06 23:04:00"</f>
        <v>2018-10-06 23:04:00</v>
      </c>
    </row>
    <row r="22817" spans="1:7" x14ac:dyDescent="0.2">
      <c r="A22817" t="s">
        <v>21276</v>
      </c>
      <c r="B22817" t="str">
        <f>"13055690035"</f>
        <v>13055690035</v>
      </c>
      <c r="C22817" t="str">
        <f>"350322199411083118"</f>
        <v>350322199411083118</v>
      </c>
      <c r="D22817" t="s">
        <v>1</v>
      </c>
      <c r="E22817" t="s">
        <v>1</v>
      </c>
      <c r="F22817" t="s">
        <v>0</v>
      </c>
      <c r="G22817" t="str">
        <f>"2018-10-06 23:03:37"</f>
        <v>2018-10-06 23:03:37</v>
      </c>
    </row>
    <row r="22818" spans="1:7" x14ac:dyDescent="0.2">
      <c r="A22818" t="s">
        <v>21277</v>
      </c>
      <c r="B22818" t="str">
        <f>"15388781002"</f>
        <v>15388781002</v>
      </c>
      <c r="C22818" t="str">
        <f>"532722199111051314"</f>
        <v>532722199111051314</v>
      </c>
      <c r="D22818" t="s">
        <v>1</v>
      </c>
      <c r="E22818" t="s">
        <v>1</v>
      </c>
      <c r="F22818" t="s">
        <v>0</v>
      </c>
      <c r="G22818" t="str">
        <f>"2018-10-06 23:00:54"</f>
        <v>2018-10-06 23:00:54</v>
      </c>
    </row>
    <row r="22819" spans="1:7" x14ac:dyDescent="0.2">
      <c r="A22819" t="s">
        <v>21278</v>
      </c>
      <c r="B22819" t="str">
        <f>"15240667940"</f>
        <v>15240667940</v>
      </c>
      <c r="C22819" t="str">
        <f>"450603198311113611"</f>
        <v>450603198311113611</v>
      </c>
      <c r="D22819" t="s">
        <v>1</v>
      </c>
      <c r="E22819" t="s">
        <v>1</v>
      </c>
      <c r="F22819" t="s">
        <v>0</v>
      </c>
      <c r="G22819" t="str">
        <f>"2018-10-06 23:29:24"</f>
        <v>2018-10-06 23:29:24</v>
      </c>
    </row>
    <row r="22820" spans="1:7" x14ac:dyDescent="0.2">
      <c r="A22820" t="s">
        <v>1</v>
      </c>
      <c r="B22820" t="str">
        <f>"13852050714"</f>
        <v>13852050714</v>
      </c>
      <c r="C22820" t="s">
        <v>1</v>
      </c>
      <c r="D22820" t="s">
        <v>1</v>
      </c>
      <c r="E22820" t="s">
        <v>1</v>
      </c>
      <c r="F22820" t="s">
        <v>0</v>
      </c>
      <c r="G22820" t="str">
        <f>"2018-10-06 22:58:11"</f>
        <v>2018-10-06 22:58:11</v>
      </c>
    </row>
    <row r="22821" spans="1:7" x14ac:dyDescent="0.2">
      <c r="A22821" t="s">
        <v>258</v>
      </c>
      <c r="B22821" t="str">
        <f>"18328738387"</f>
        <v>18328738387</v>
      </c>
      <c r="C22821" t="str">
        <f>"51372119940427263X"</f>
        <v>51372119940427263X</v>
      </c>
      <c r="D22821" t="s">
        <v>1</v>
      </c>
      <c r="E22821" t="s">
        <v>1</v>
      </c>
      <c r="F22821" t="s">
        <v>0</v>
      </c>
      <c r="G22821" t="str">
        <f>"2018-10-06 22:58:15"</f>
        <v>2018-10-06 22:58:15</v>
      </c>
    </row>
    <row r="22822" spans="1:7" x14ac:dyDescent="0.2">
      <c r="A22822" t="s">
        <v>21279</v>
      </c>
      <c r="B22822" t="str">
        <f>"13799466994"</f>
        <v>13799466994</v>
      </c>
      <c r="C22822" t="str">
        <f>"35058319870415891X"</f>
        <v>35058319870415891X</v>
      </c>
      <c r="D22822" t="s">
        <v>1</v>
      </c>
      <c r="E22822" t="s">
        <v>1</v>
      </c>
      <c r="F22822" t="s">
        <v>0</v>
      </c>
      <c r="G22822" t="str">
        <f>"2018-10-13 22:57:37"</f>
        <v>2018-10-13 22:57:37</v>
      </c>
    </row>
    <row r="22823" spans="1:7" x14ac:dyDescent="0.2">
      <c r="A22823" t="s">
        <v>21280</v>
      </c>
      <c r="B22823" t="str">
        <f>"15009658718"</f>
        <v>15009658718</v>
      </c>
      <c r="C22823" t="str">
        <f>"640321197606020532"</f>
        <v>640321197606020532</v>
      </c>
      <c r="D22823" t="s">
        <v>1</v>
      </c>
      <c r="E22823" t="s">
        <v>1</v>
      </c>
      <c r="F22823" t="s">
        <v>0</v>
      </c>
      <c r="G22823" t="str">
        <f>"2018-10-06 22:59:06"</f>
        <v>2018-10-06 22:59:06</v>
      </c>
    </row>
    <row r="22824" spans="1:7" x14ac:dyDescent="0.2">
      <c r="A22824" t="s">
        <v>1</v>
      </c>
      <c r="B22824" t="str">
        <f>"13142431808"</f>
        <v>13142431808</v>
      </c>
      <c r="C22824" t="s">
        <v>1</v>
      </c>
      <c r="D22824" t="s">
        <v>1</v>
      </c>
      <c r="E22824" t="s">
        <v>1</v>
      </c>
      <c r="F22824" t="s">
        <v>0</v>
      </c>
      <c r="G22824" t="str">
        <f>"2018-10-06 22:53:53"</f>
        <v>2018-10-06 22:53:53</v>
      </c>
    </row>
    <row r="22825" spans="1:7" x14ac:dyDescent="0.2">
      <c r="A22825" t="s">
        <v>1</v>
      </c>
      <c r="B22825" t="str">
        <f>"13248029752"</f>
        <v>13248029752</v>
      </c>
      <c r="C22825" t="s">
        <v>1</v>
      </c>
      <c r="D22825" t="s">
        <v>1</v>
      </c>
      <c r="E22825" t="s">
        <v>1</v>
      </c>
      <c r="F22825" t="s">
        <v>0</v>
      </c>
      <c r="G22825" t="str">
        <f>"2018-10-06 22:53:27"</f>
        <v>2018-10-06 22:53:27</v>
      </c>
    </row>
    <row r="22826" spans="1:7" x14ac:dyDescent="0.2">
      <c r="A22826" t="s">
        <v>18</v>
      </c>
      <c r="B22826" t="str">
        <f>"18645892589"</f>
        <v>18645892589</v>
      </c>
      <c r="C22826" t="str">
        <f>"230702199608011213"</f>
        <v>230702199608011213</v>
      </c>
      <c r="D22826" t="s">
        <v>21281</v>
      </c>
      <c r="E22826" t="s">
        <v>21282</v>
      </c>
      <c r="F22826" t="s">
        <v>0</v>
      </c>
      <c r="G22826" t="str">
        <f>"2018-10-06 23:01:02"</f>
        <v>2018-10-06 23:01:02</v>
      </c>
    </row>
    <row r="22827" spans="1:7" x14ac:dyDescent="0.2">
      <c r="A22827" t="s">
        <v>21283</v>
      </c>
      <c r="B22827" t="str">
        <f>"17878877075"</f>
        <v>17878877075</v>
      </c>
      <c r="C22827" t="str">
        <f>"452724199502153126"</f>
        <v>452724199502153126</v>
      </c>
      <c r="D22827" t="s">
        <v>1</v>
      </c>
      <c r="E22827" t="s">
        <v>1</v>
      </c>
      <c r="F22827" t="s">
        <v>0</v>
      </c>
      <c r="G22827" t="str">
        <f>"2018-10-06 22:54:14"</f>
        <v>2018-10-06 22:54:14</v>
      </c>
    </row>
    <row r="22828" spans="1:7" x14ac:dyDescent="0.2">
      <c r="A22828" t="s">
        <v>21284</v>
      </c>
      <c r="B22828" t="str">
        <f>"18969911917"</f>
        <v>18969911917</v>
      </c>
      <c r="C22828" t="str">
        <f>"350583199507174317"</f>
        <v>350583199507174317</v>
      </c>
      <c r="D22828" t="s">
        <v>21285</v>
      </c>
      <c r="E22828" t="s">
        <v>21286</v>
      </c>
      <c r="F22828" t="s">
        <v>0</v>
      </c>
      <c r="G22828" t="str">
        <f>"2018-10-06 23:24:22"</f>
        <v>2018-10-06 23:24:22</v>
      </c>
    </row>
    <row r="22829" spans="1:7" x14ac:dyDescent="0.2">
      <c r="A22829" t="s">
        <v>21287</v>
      </c>
      <c r="B22829" t="str">
        <f>"13338718000"</f>
        <v>13338718000</v>
      </c>
      <c r="C22829" t="str">
        <f>"320581198906261837"</f>
        <v>320581198906261837</v>
      </c>
      <c r="D22829" t="s">
        <v>1</v>
      </c>
      <c r="E22829" t="s">
        <v>1</v>
      </c>
      <c r="F22829" t="s">
        <v>0</v>
      </c>
      <c r="G22829" t="str">
        <f>"2018-10-06 22:54:25"</f>
        <v>2018-10-06 22:54:25</v>
      </c>
    </row>
    <row r="22830" spans="1:7" x14ac:dyDescent="0.2">
      <c r="A22830" t="s">
        <v>1</v>
      </c>
      <c r="B22830" t="str">
        <f>"15038379819"</f>
        <v>15038379819</v>
      </c>
      <c r="C22830" t="s">
        <v>1</v>
      </c>
      <c r="D22830" t="s">
        <v>1</v>
      </c>
      <c r="E22830" t="s">
        <v>1</v>
      </c>
      <c r="F22830" t="s">
        <v>0</v>
      </c>
      <c r="G22830" t="str">
        <f>"2018-10-06 22:49:46"</f>
        <v>2018-10-06 22:49:46</v>
      </c>
    </row>
    <row r="22831" spans="1:7" x14ac:dyDescent="0.2">
      <c r="A22831" t="s">
        <v>21288</v>
      </c>
      <c r="B22831" t="str">
        <f>"15523220016"</f>
        <v>15523220016</v>
      </c>
      <c r="C22831" t="str">
        <f>"500234199302265009"</f>
        <v>500234199302265009</v>
      </c>
      <c r="D22831" t="s">
        <v>21289</v>
      </c>
      <c r="E22831" t="s">
        <v>21290</v>
      </c>
      <c r="F22831" t="s">
        <v>0</v>
      </c>
      <c r="G22831" t="str">
        <f>"2018-10-06 22:56:05"</f>
        <v>2018-10-06 22:56:05</v>
      </c>
    </row>
    <row r="22832" spans="1:7" x14ac:dyDescent="0.2">
      <c r="A22832" t="s">
        <v>21291</v>
      </c>
      <c r="B22832" t="str">
        <f>"17777288751"</f>
        <v>17777288751</v>
      </c>
      <c r="C22832" t="str">
        <f>"452226199304051212"</f>
        <v>452226199304051212</v>
      </c>
      <c r="D22832" t="s">
        <v>1</v>
      </c>
      <c r="E22832" t="s">
        <v>1</v>
      </c>
      <c r="F22832" t="s">
        <v>0</v>
      </c>
      <c r="G22832" t="str">
        <f>"2018-10-06 22:55:26"</f>
        <v>2018-10-06 22:55:26</v>
      </c>
    </row>
    <row r="22833" spans="1:7" x14ac:dyDescent="0.2">
      <c r="A22833" t="s">
        <v>21292</v>
      </c>
      <c r="B22833" t="str">
        <f>"15972174819"</f>
        <v>15972174819</v>
      </c>
      <c r="C22833" t="str">
        <f>"420103198412053213"</f>
        <v>420103198412053213</v>
      </c>
      <c r="D22833" t="s">
        <v>1</v>
      </c>
      <c r="E22833" t="s">
        <v>1</v>
      </c>
      <c r="F22833" t="s">
        <v>0</v>
      </c>
      <c r="G22833" t="str">
        <f>"2018-10-06 22:49:24"</f>
        <v>2018-10-06 22:49:24</v>
      </c>
    </row>
    <row r="22834" spans="1:7" x14ac:dyDescent="0.2">
      <c r="A22834" t="s">
        <v>1051</v>
      </c>
      <c r="B22834" t="str">
        <f>"17620506232"</f>
        <v>17620506232</v>
      </c>
      <c r="C22834" t="str">
        <f>"452427199605200610"</f>
        <v>452427199605200610</v>
      </c>
      <c r="D22834" t="s">
        <v>1</v>
      </c>
      <c r="E22834" t="s">
        <v>1</v>
      </c>
      <c r="F22834" t="s">
        <v>0</v>
      </c>
      <c r="G22834" t="str">
        <f>"2018-10-11 21:59:10"</f>
        <v>2018-10-11 21:59:10</v>
      </c>
    </row>
    <row r="22835" spans="1:7" x14ac:dyDescent="0.2">
      <c r="A22835" t="s">
        <v>1</v>
      </c>
      <c r="B22835" t="str">
        <f>"13979425559"</f>
        <v>13979425559</v>
      </c>
      <c r="C22835" t="s">
        <v>1</v>
      </c>
      <c r="D22835" t="s">
        <v>1</v>
      </c>
      <c r="E22835" t="s">
        <v>1</v>
      </c>
      <c r="F22835" t="s">
        <v>0</v>
      </c>
      <c r="G22835" t="str">
        <f>"2018-10-06 22:46:10"</f>
        <v>2018-10-06 22:46:10</v>
      </c>
    </row>
    <row r="22836" spans="1:7" x14ac:dyDescent="0.2">
      <c r="A22836" t="s">
        <v>1831</v>
      </c>
      <c r="B22836" t="str">
        <f>"13992001472"</f>
        <v>13992001472</v>
      </c>
      <c r="C22836" t="str">
        <f>"610423199511183015"</f>
        <v>610423199511183015</v>
      </c>
      <c r="D22836" t="s">
        <v>21293</v>
      </c>
      <c r="E22836" t="s">
        <v>21294</v>
      </c>
      <c r="F22836" t="s">
        <v>0</v>
      </c>
      <c r="G22836" t="str">
        <f>"2018-10-06 22:48:40"</f>
        <v>2018-10-06 22:48:40</v>
      </c>
    </row>
    <row r="22837" spans="1:7" x14ac:dyDescent="0.2">
      <c r="A22837" t="s">
        <v>1</v>
      </c>
      <c r="B22837" t="str">
        <f>"15707137218"</f>
        <v>15707137218</v>
      </c>
      <c r="C22837" t="s">
        <v>1</v>
      </c>
      <c r="D22837" t="s">
        <v>1</v>
      </c>
      <c r="E22837" t="s">
        <v>1</v>
      </c>
      <c r="F22837" t="s">
        <v>0</v>
      </c>
      <c r="G22837" t="str">
        <f>"2018-10-06 22:43:47"</f>
        <v>2018-10-06 22:43:47</v>
      </c>
    </row>
    <row r="22838" spans="1:7" x14ac:dyDescent="0.2">
      <c r="A22838" t="s">
        <v>21295</v>
      </c>
      <c r="B22838" t="str">
        <f>"18520213548"</f>
        <v>18520213548</v>
      </c>
      <c r="C22838" t="str">
        <f>"452503198308132519"</f>
        <v>452503198308132519</v>
      </c>
      <c r="D22838" t="s">
        <v>21296</v>
      </c>
      <c r="E22838" t="s">
        <v>21297</v>
      </c>
      <c r="F22838" t="s">
        <v>0</v>
      </c>
      <c r="G22838" t="str">
        <f>"2018-10-24 12:01:45"</f>
        <v>2018-10-24 12:01:45</v>
      </c>
    </row>
    <row r="22839" spans="1:7" x14ac:dyDescent="0.2">
      <c r="A22839" t="s">
        <v>1</v>
      </c>
      <c r="B22839" t="str">
        <f>"15677723774"</f>
        <v>15677723774</v>
      </c>
      <c r="C22839" t="s">
        <v>1</v>
      </c>
      <c r="D22839" t="s">
        <v>1</v>
      </c>
      <c r="E22839" t="s">
        <v>1</v>
      </c>
      <c r="F22839" t="s">
        <v>0</v>
      </c>
      <c r="G22839" t="str">
        <f>"2018-10-06 23:13:57"</f>
        <v>2018-10-06 23:13:57</v>
      </c>
    </row>
    <row r="22840" spans="1:7" x14ac:dyDescent="0.2">
      <c r="A22840" t="s">
        <v>21298</v>
      </c>
      <c r="B22840" t="str">
        <f>"18361876473"</f>
        <v>18361876473</v>
      </c>
      <c r="C22840" t="str">
        <f>"320830199710206626"</f>
        <v>320830199710206626</v>
      </c>
      <c r="D22840" t="s">
        <v>1</v>
      </c>
      <c r="E22840" t="s">
        <v>1</v>
      </c>
      <c r="F22840" t="s">
        <v>0</v>
      </c>
      <c r="G22840" t="str">
        <f>"2018-10-06 22:40:54"</f>
        <v>2018-10-06 22:40:54</v>
      </c>
    </row>
    <row r="22841" spans="1:7" x14ac:dyDescent="0.2">
      <c r="A22841" t="s">
        <v>21299</v>
      </c>
      <c r="B22841" t="str">
        <f>"18349347305"</f>
        <v>18349347305</v>
      </c>
      <c r="C22841" t="str">
        <f>"513426199411293813"</f>
        <v>513426199411293813</v>
      </c>
      <c r="D22841" t="s">
        <v>1</v>
      </c>
      <c r="E22841" t="s">
        <v>1</v>
      </c>
      <c r="F22841" t="s">
        <v>0</v>
      </c>
      <c r="G22841" t="str">
        <f>"2018-10-06 22:40:47"</f>
        <v>2018-10-06 22:40:47</v>
      </c>
    </row>
    <row r="22842" spans="1:7" x14ac:dyDescent="0.2">
      <c r="A22842" t="s">
        <v>21300</v>
      </c>
      <c r="B22842" t="str">
        <f>"13178285613"</f>
        <v>13178285613</v>
      </c>
      <c r="C22842" t="str">
        <f>"352203198511103713"</f>
        <v>352203198511103713</v>
      </c>
      <c r="D22842" t="s">
        <v>1</v>
      </c>
      <c r="E22842" t="s">
        <v>1</v>
      </c>
      <c r="F22842" t="s">
        <v>0</v>
      </c>
      <c r="G22842" t="str">
        <f>"2018-10-06 22:39:11"</f>
        <v>2018-10-06 22:39:11</v>
      </c>
    </row>
    <row r="22843" spans="1:7" x14ac:dyDescent="0.2">
      <c r="A22843" t="s">
        <v>21301</v>
      </c>
      <c r="B22843" t="str">
        <f>"15166668660"</f>
        <v>15166668660</v>
      </c>
      <c r="C22843" t="str">
        <f>"370283198304180613"</f>
        <v>370283198304180613</v>
      </c>
      <c r="D22843" t="s">
        <v>1</v>
      </c>
      <c r="E22843" t="s">
        <v>1</v>
      </c>
      <c r="F22843" t="s">
        <v>0</v>
      </c>
      <c r="G22843" t="str">
        <f>"2018-11-03 21:00:47"</f>
        <v>2018-11-03 21:00:47</v>
      </c>
    </row>
    <row r="22844" spans="1:7" x14ac:dyDescent="0.2">
      <c r="A22844" t="s">
        <v>21302</v>
      </c>
      <c r="B22844" t="str">
        <f>"13888853106"</f>
        <v>13888853106</v>
      </c>
      <c r="C22844" t="str">
        <f>"362330196512200213"</f>
        <v>362330196512200213</v>
      </c>
      <c r="D22844" t="s">
        <v>1</v>
      </c>
      <c r="E22844" t="s">
        <v>1</v>
      </c>
      <c r="F22844" t="s">
        <v>0</v>
      </c>
      <c r="G22844" t="str">
        <f>"2018-10-06 22:41:46"</f>
        <v>2018-10-06 22:41:46</v>
      </c>
    </row>
    <row r="22845" spans="1:7" x14ac:dyDescent="0.2">
      <c r="A22845" t="s">
        <v>1</v>
      </c>
      <c r="B22845" t="str">
        <f>"13438385955"</f>
        <v>13438385955</v>
      </c>
      <c r="C22845" t="s">
        <v>1</v>
      </c>
      <c r="D22845" t="s">
        <v>1</v>
      </c>
      <c r="E22845" t="s">
        <v>1</v>
      </c>
      <c r="F22845" t="s">
        <v>0</v>
      </c>
      <c r="G22845" t="str">
        <f>"2018-10-06 22:37:11"</f>
        <v>2018-10-06 22:37:11</v>
      </c>
    </row>
    <row r="22846" spans="1:7" x14ac:dyDescent="0.2">
      <c r="A22846" t="s">
        <v>21303</v>
      </c>
      <c r="B22846" t="str">
        <f>"18389454656"</f>
        <v>18389454656</v>
      </c>
      <c r="C22846" t="str">
        <f>"460003199812263830"</f>
        <v>460003199812263830</v>
      </c>
      <c r="D22846" t="s">
        <v>1</v>
      </c>
      <c r="E22846" t="s">
        <v>1</v>
      </c>
      <c r="F22846" t="s">
        <v>0</v>
      </c>
      <c r="G22846" t="str">
        <f>"2018-10-06 22:50:16"</f>
        <v>2018-10-06 22:50:16</v>
      </c>
    </row>
    <row r="22847" spans="1:7" x14ac:dyDescent="0.2">
      <c r="A22847" t="s">
        <v>21304</v>
      </c>
      <c r="B22847" t="str">
        <f>"13923104858"</f>
        <v>13923104858</v>
      </c>
      <c r="C22847" t="str">
        <f>"450881198507235039"</f>
        <v>450881198507235039</v>
      </c>
      <c r="D22847" t="s">
        <v>21305</v>
      </c>
      <c r="E22847" t="s">
        <v>21306</v>
      </c>
      <c r="F22847" t="s">
        <v>0</v>
      </c>
      <c r="G22847" t="str">
        <f>"2018-10-06 22:39:06"</f>
        <v>2018-10-06 22:39:06</v>
      </c>
    </row>
    <row r="22848" spans="1:7" x14ac:dyDescent="0.2">
      <c r="A22848" t="s">
        <v>21307</v>
      </c>
      <c r="B22848" t="str">
        <f>"13804179471"</f>
        <v>13804179471</v>
      </c>
      <c r="C22848" t="str">
        <f>"210811198106091528"</f>
        <v>210811198106091528</v>
      </c>
      <c r="D22848" t="s">
        <v>1</v>
      </c>
      <c r="E22848" t="s">
        <v>1</v>
      </c>
      <c r="F22848" t="s">
        <v>0</v>
      </c>
      <c r="G22848" t="str">
        <f>"2018-10-27 12:56:43"</f>
        <v>2018-10-27 12:56:43</v>
      </c>
    </row>
    <row r="22849" spans="1:7" x14ac:dyDescent="0.2">
      <c r="A22849" t="s">
        <v>21308</v>
      </c>
      <c r="B22849" t="str">
        <f>"13407307788"</f>
        <v>13407307788</v>
      </c>
      <c r="C22849" t="str">
        <f>"430624198402240817"</f>
        <v>430624198402240817</v>
      </c>
      <c r="D22849" t="s">
        <v>1</v>
      </c>
      <c r="E22849" t="s">
        <v>1</v>
      </c>
      <c r="F22849" t="s">
        <v>0</v>
      </c>
      <c r="G22849" t="str">
        <f>"2018-10-06 22:35:50"</f>
        <v>2018-10-06 22:35:50</v>
      </c>
    </row>
    <row r="22850" spans="1:7" x14ac:dyDescent="0.2">
      <c r="A22850" t="s">
        <v>21309</v>
      </c>
      <c r="B22850" t="str">
        <f>"17858275932"</f>
        <v>17858275932</v>
      </c>
      <c r="C22850" t="str">
        <f>"331081199510152618"</f>
        <v>331081199510152618</v>
      </c>
      <c r="D22850" t="s">
        <v>1</v>
      </c>
      <c r="E22850" t="s">
        <v>1</v>
      </c>
      <c r="F22850" t="s">
        <v>0</v>
      </c>
      <c r="G22850" t="str">
        <f>"2018-10-06 22:37:35"</f>
        <v>2018-10-06 22:37:35</v>
      </c>
    </row>
    <row r="22851" spans="1:7" x14ac:dyDescent="0.2">
      <c r="A22851" t="s">
        <v>21310</v>
      </c>
      <c r="B22851" t="str">
        <f>"18217000782"</f>
        <v>18217000782</v>
      </c>
      <c r="C22851" t="str">
        <f>"310108198512052855"</f>
        <v>310108198512052855</v>
      </c>
      <c r="D22851" t="s">
        <v>21311</v>
      </c>
      <c r="E22851" t="s">
        <v>21312</v>
      </c>
      <c r="F22851" t="s">
        <v>0</v>
      </c>
      <c r="G22851" t="str">
        <f>"2018-10-24 22:02:40"</f>
        <v>2018-10-24 22:02:40</v>
      </c>
    </row>
    <row r="22852" spans="1:7" x14ac:dyDescent="0.2">
      <c r="A22852" t="s">
        <v>1</v>
      </c>
      <c r="B22852" t="str">
        <f>"15282899649"</f>
        <v>15282899649</v>
      </c>
      <c r="C22852" t="s">
        <v>1</v>
      </c>
      <c r="D22852" t="s">
        <v>1</v>
      </c>
      <c r="E22852" t="s">
        <v>1</v>
      </c>
      <c r="F22852" t="s">
        <v>0</v>
      </c>
      <c r="G22852" t="str">
        <f>"2018-10-06 22:33:41"</f>
        <v>2018-10-06 22:33:41</v>
      </c>
    </row>
    <row r="22853" spans="1:7" x14ac:dyDescent="0.2">
      <c r="A22853" t="s">
        <v>21313</v>
      </c>
      <c r="B22853" t="str">
        <f>"13725556957"</f>
        <v>13725556957</v>
      </c>
      <c r="C22853" t="str">
        <f>"450702199405263614"</f>
        <v>450702199405263614</v>
      </c>
      <c r="D22853" t="s">
        <v>1</v>
      </c>
      <c r="E22853" t="s">
        <v>1</v>
      </c>
      <c r="F22853" t="s">
        <v>0</v>
      </c>
      <c r="G22853" t="str">
        <f>"2018-10-06 22:35:28"</f>
        <v>2018-10-06 22:35:28</v>
      </c>
    </row>
    <row r="22854" spans="1:7" x14ac:dyDescent="0.2">
      <c r="A22854" t="s">
        <v>1</v>
      </c>
      <c r="B22854" t="str">
        <f>"18346647917"</f>
        <v>18346647917</v>
      </c>
      <c r="C22854" t="s">
        <v>1</v>
      </c>
      <c r="D22854" t="s">
        <v>1</v>
      </c>
      <c r="E22854" t="s">
        <v>1</v>
      </c>
      <c r="F22854" t="s">
        <v>0</v>
      </c>
      <c r="G22854" t="str">
        <f>"2018-10-06 22:32:36"</f>
        <v>2018-10-06 22:32:36</v>
      </c>
    </row>
    <row r="22855" spans="1:7" x14ac:dyDescent="0.2">
      <c r="A22855" t="s">
        <v>1</v>
      </c>
      <c r="B22855" t="str">
        <f>"18754616849"</f>
        <v>18754616849</v>
      </c>
      <c r="C22855" t="s">
        <v>1</v>
      </c>
      <c r="D22855" t="s">
        <v>1</v>
      </c>
      <c r="E22855" t="s">
        <v>1</v>
      </c>
      <c r="F22855" t="s">
        <v>0</v>
      </c>
      <c r="G22855" t="str">
        <f>"2018-10-06 22:32:13"</f>
        <v>2018-10-06 22:32:13</v>
      </c>
    </row>
    <row r="22856" spans="1:7" x14ac:dyDescent="0.2">
      <c r="A22856" t="s">
        <v>21314</v>
      </c>
      <c r="B22856" t="str">
        <f>"18246461139"</f>
        <v>18246461139</v>
      </c>
      <c r="C22856" t="str">
        <f>"230921198212101517"</f>
        <v>230921198212101517</v>
      </c>
      <c r="D22856" t="s">
        <v>21315</v>
      </c>
      <c r="E22856" t="s">
        <v>21316</v>
      </c>
      <c r="F22856" t="s">
        <v>0</v>
      </c>
      <c r="G22856" t="str">
        <f>"2018-10-07 08:36:37"</f>
        <v>2018-10-07 08:36:37</v>
      </c>
    </row>
    <row r="22857" spans="1:7" x14ac:dyDescent="0.2">
      <c r="A22857" t="s">
        <v>21317</v>
      </c>
      <c r="B22857" t="str">
        <f>"13997906060"</f>
        <v>13997906060</v>
      </c>
      <c r="C22857" t="str">
        <f>"420821198602240037"</f>
        <v>420821198602240037</v>
      </c>
      <c r="D22857" t="s">
        <v>1</v>
      </c>
      <c r="E22857" t="s">
        <v>1</v>
      </c>
      <c r="F22857" t="s">
        <v>0</v>
      </c>
      <c r="G22857" t="str">
        <f>"2018-10-11 08:02:17"</f>
        <v>2018-10-11 08:02:17</v>
      </c>
    </row>
    <row r="22858" spans="1:7" x14ac:dyDescent="0.2">
      <c r="A22858" t="s">
        <v>21318</v>
      </c>
      <c r="B22858" t="str">
        <f>"18876002273"</f>
        <v>18876002273</v>
      </c>
      <c r="C22858" t="str">
        <f>"460002199410144939"</f>
        <v>460002199410144939</v>
      </c>
      <c r="D22858" t="s">
        <v>21319</v>
      </c>
      <c r="E22858" t="s">
        <v>21320</v>
      </c>
      <c r="F22858" t="s">
        <v>0</v>
      </c>
      <c r="G22858" t="str">
        <f>"2018-10-24 09:40:19"</f>
        <v>2018-10-24 09:40:19</v>
      </c>
    </row>
    <row r="22859" spans="1:7" x14ac:dyDescent="0.2">
      <c r="A22859" t="s">
        <v>1</v>
      </c>
      <c r="B22859" t="str">
        <f>"15009474121"</f>
        <v>15009474121</v>
      </c>
      <c r="C22859" t="s">
        <v>1</v>
      </c>
      <c r="D22859" t="s">
        <v>1</v>
      </c>
      <c r="E22859" t="s">
        <v>1</v>
      </c>
      <c r="F22859" t="s">
        <v>0</v>
      </c>
      <c r="G22859" t="str">
        <f>"2018-10-06 22:28:49"</f>
        <v>2018-10-06 22:28:49</v>
      </c>
    </row>
    <row r="22860" spans="1:7" x14ac:dyDescent="0.2">
      <c r="A22860" t="s">
        <v>1</v>
      </c>
      <c r="B22860" t="str">
        <f>"13378504793"</f>
        <v>13378504793</v>
      </c>
      <c r="C22860" t="s">
        <v>1</v>
      </c>
      <c r="D22860" t="s">
        <v>1</v>
      </c>
      <c r="E22860" t="s">
        <v>1</v>
      </c>
      <c r="F22860" t="s">
        <v>0</v>
      </c>
      <c r="G22860" t="str">
        <f>"2018-10-06 22:27:37"</f>
        <v>2018-10-06 22:27:37</v>
      </c>
    </row>
    <row r="22861" spans="1:7" x14ac:dyDescent="0.2">
      <c r="A22861" t="s">
        <v>1</v>
      </c>
      <c r="B22861" t="str">
        <f>"15888568699"</f>
        <v>15888568699</v>
      </c>
      <c r="C22861" t="s">
        <v>1</v>
      </c>
      <c r="D22861" t="s">
        <v>1</v>
      </c>
      <c r="E22861" t="s">
        <v>1</v>
      </c>
      <c r="F22861" t="s">
        <v>0</v>
      </c>
      <c r="G22861" t="str">
        <f>"2018-10-06 22:27:04"</f>
        <v>2018-10-06 22:27:04</v>
      </c>
    </row>
    <row r="22862" spans="1:7" x14ac:dyDescent="0.2">
      <c r="A22862" t="s">
        <v>1697</v>
      </c>
      <c r="B22862" t="str">
        <f>"18300645843"</f>
        <v>18300645843</v>
      </c>
      <c r="C22862" t="str">
        <f>"410883199303292525"</f>
        <v>410883199303292525</v>
      </c>
      <c r="D22862" t="s">
        <v>1</v>
      </c>
      <c r="E22862" t="s">
        <v>1</v>
      </c>
      <c r="F22862" t="s">
        <v>0</v>
      </c>
      <c r="G22862" t="str">
        <f>"2018-10-06 22:26:28"</f>
        <v>2018-10-06 22:26:28</v>
      </c>
    </row>
    <row r="22863" spans="1:7" x14ac:dyDescent="0.2">
      <c r="A22863" t="s">
        <v>21321</v>
      </c>
      <c r="B22863" t="str">
        <f>"15811815217"</f>
        <v>15811815217</v>
      </c>
      <c r="C22863" t="str">
        <f>"433125198710014311"</f>
        <v>433125198710014311</v>
      </c>
      <c r="D22863" t="s">
        <v>1</v>
      </c>
      <c r="E22863" t="s">
        <v>1</v>
      </c>
      <c r="F22863" t="s">
        <v>0</v>
      </c>
      <c r="G22863" t="str">
        <f>"2018-10-07 09:32:55"</f>
        <v>2018-10-07 09:32:55</v>
      </c>
    </row>
    <row r="22864" spans="1:7" x14ac:dyDescent="0.2">
      <c r="A22864" t="s">
        <v>1</v>
      </c>
      <c r="B22864" t="str">
        <f>"13086708494"</f>
        <v>13086708494</v>
      </c>
      <c r="C22864" t="s">
        <v>1</v>
      </c>
      <c r="D22864" t="s">
        <v>1</v>
      </c>
      <c r="E22864" t="s">
        <v>1</v>
      </c>
      <c r="F22864" t="s">
        <v>0</v>
      </c>
      <c r="G22864" t="str">
        <f>"2018-10-06 22:23:45"</f>
        <v>2018-10-06 22:23:45</v>
      </c>
    </row>
    <row r="22865" spans="1:7" x14ac:dyDescent="0.2">
      <c r="A22865" t="s">
        <v>15240</v>
      </c>
      <c r="B22865" t="str">
        <f>"15835930849"</f>
        <v>15835930849</v>
      </c>
      <c r="C22865" t="str">
        <f>"142703197301173012"</f>
        <v>142703197301173012</v>
      </c>
      <c r="D22865" t="s">
        <v>1</v>
      </c>
      <c r="E22865" t="s">
        <v>1</v>
      </c>
      <c r="F22865" t="s">
        <v>0</v>
      </c>
      <c r="G22865" t="str">
        <f>"2018-10-06 22:24:32"</f>
        <v>2018-10-06 22:24:32</v>
      </c>
    </row>
    <row r="22866" spans="1:7" x14ac:dyDescent="0.2">
      <c r="A22866" t="s">
        <v>21322</v>
      </c>
      <c r="B22866" t="str">
        <f>"13653243196"</f>
        <v>13653243196</v>
      </c>
      <c r="C22866" t="str">
        <f>"130823199304030048"</f>
        <v>130823199304030048</v>
      </c>
      <c r="D22866" t="s">
        <v>1</v>
      </c>
      <c r="E22866" t="s">
        <v>1</v>
      </c>
      <c r="F22866" t="s">
        <v>0</v>
      </c>
      <c r="G22866" t="str">
        <f>"2018-10-06 22:23:06"</f>
        <v>2018-10-06 22:23:06</v>
      </c>
    </row>
    <row r="22867" spans="1:7" x14ac:dyDescent="0.2">
      <c r="A22867" t="s">
        <v>1</v>
      </c>
      <c r="B22867" t="str">
        <f>"18359364312"</f>
        <v>18359364312</v>
      </c>
      <c r="C22867" t="s">
        <v>1</v>
      </c>
      <c r="D22867" t="s">
        <v>1</v>
      </c>
      <c r="E22867" t="s">
        <v>1</v>
      </c>
      <c r="F22867" t="s">
        <v>0</v>
      </c>
      <c r="G22867" t="str">
        <f>"2018-10-06 22:19:40"</f>
        <v>2018-10-06 22:19:40</v>
      </c>
    </row>
    <row r="22868" spans="1:7" x14ac:dyDescent="0.2">
      <c r="A22868" t="s">
        <v>21323</v>
      </c>
      <c r="B22868" t="str">
        <f>"15122671006"</f>
        <v>15122671006</v>
      </c>
      <c r="C22868" t="str">
        <f>"120223198310305010"</f>
        <v>120223198310305010</v>
      </c>
      <c r="D22868" t="s">
        <v>1</v>
      </c>
      <c r="E22868" t="s">
        <v>1</v>
      </c>
      <c r="F22868" t="s">
        <v>0</v>
      </c>
      <c r="G22868" t="str">
        <f>"2018-10-06 22:18:59"</f>
        <v>2018-10-06 22:18:59</v>
      </c>
    </row>
    <row r="22869" spans="1:7" x14ac:dyDescent="0.2">
      <c r="A22869" t="s">
        <v>1</v>
      </c>
      <c r="B22869" t="str">
        <f>"18206237652"</f>
        <v>18206237652</v>
      </c>
      <c r="C22869" t="s">
        <v>1</v>
      </c>
      <c r="D22869" t="s">
        <v>1</v>
      </c>
      <c r="E22869" t="s">
        <v>1</v>
      </c>
      <c r="F22869" t="s">
        <v>0</v>
      </c>
      <c r="G22869" t="str">
        <f>"2018-10-06 22:18:43"</f>
        <v>2018-10-06 22:18:43</v>
      </c>
    </row>
    <row r="22870" spans="1:7" x14ac:dyDescent="0.2">
      <c r="A22870" t="s">
        <v>21324</v>
      </c>
      <c r="B22870" t="str">
        <f>"15866181816"</f>
        <v>15866181816</v>
      </c>
      <c r="C22870" t="str">
        <f>"370781198909021011"</f>
        <v>370781198909021011</v>
      </c>
      <c r="D22870" t="s">
        <v>1</v>
      </c>
      <c r="E22870" t="s">
        <v>1</v>
      </c>
      <c r="F22870" t="s">
        <v>0</v>
      </c>
      <c r="G22870" t="str">
        <f>"2018-10-06 22:30:27"</f>
        <v>2018-10-06 22:30:27</v>
      </c>
    </row>
    <row r="22871" spans="1:7" x14ac:dyDescent="0.2">
      <c r="A22871" t="s">
        <v>1</v>
      </c>
      <c r="B22871" t="str">
        <f>"13838211557"</f>
        <v>13838211557</v>
      </c>
      <c r="C22871" t="s">
        <v>1</v>
      </c>
      <c r="D22871" t="s">
        <v>1</v>
      </c>
      <c r="E22871" t="s">
        <v>1</v>
      </c>
      <c r="F22871" t="s">
        <v>0</v>
      </c>
      <c r="G22871" t="str">
        <f>"2018-10-06 22:18:14"</f>
        <v>2018-10-06 22:18:14</v>
      </c>
    </row>
    <row r="22872" spans="1:7" x14ac:dyDescent="0.2">
      <c r="A22872" t="s">
        <v>1</v>
      </c>
      <c r="B22872" t="str">
        <f>"15268846906"</f>
        <v>15268846906</v>
      </c>
      <c r="C22872" t="s">
        <v>1</v>
      </c>
      <c r="D22872" t="s">
        <v>1</v>
      </c>
      <c r="E22872" t="s">
        <v>1</v>
      </c>
      <c r="F22872" t="s">
        <v>0</v>
      </c>
      <c r="G22872" t="str">
        <f>"2018-10-07 20:05:40"</f>
        <v>2018-10-07 20:05:40</v>
      </c>
    </row>
    <row r="22873" spans="1:7" x14ac:dyDescent="0.2">
      <c r="A22873" t="s">
        <v>810</v>
      </c>
      <c r="B22873" t="str">
        <f>"18727957071"</f>
        <v>18727957071</v>
      </c>
      <c r="C22873" t="str">
        <f>"421302199508211212"</f>
        <v>421302199508211212</v>
      </c>
      <c r="D22873" t="s">
        <v>1</v>
      </c>
      <c r="E22873" t="s">
        <v>1</v>
      </c>
      <c r="F22873" t="s">
        <v>0</v>
      </c>
      <c r="G22873" t="str">
        <f>"2018-10-07 08:51:25"</f>
        <v>2018-10-07 08:51:25</v>
      </c>
    </row>
    <row r="22874" spans="1:7" x14ac:dyDescent="0.2">
      <c r="A22874" t="s">
        <v>1</v>
      </c>
      <c r="B22874" t="str">
        <f>"18123473747"</f>
        <v>18123473747</v>
      </c>
      <c r="C22874" t="s">
        <v>1</v>
      </c>
      <c r="D22874" t="s">
        <v>1</v>
      </c>
      <c r="E22874" t="s">
        <v>1</v>
      </c>
      <c r="F22874" t="s">
        <v>0</v>
      </c>
      <c r="G22874" t="str">
        <f>"2018-10-06 22:16:06"</f>
        <v>2018-10-06 22:16:06</v>
      </c>
    </row>
    <row r="22875" spans="1:7" x14ac:dyDescent="0.2">
      <c r="A22875" t="s">
        <v>21325</v>
      </c>
      <c r="B22875" t="str">
        <f>"17537128059"</f>
        <v>17537128059</v>
      </c>
      <c r="C22875" t="str">
        <f>"61052319941113887X"</f>
        <v>61052319941113887X</v>
      </c>
      <c r="D22875" t="s">
        <v>1</v>
      </c>
      <c r="E22875" t="s">
        <v>1</v>
      </c>
      <c r="F22875" t="s">
        <v>0</v>
      </c>
      <c r="G22875" t="str">
        <f>"2018-10-06 22:25:35"</f>
        <v>2018-10-06 22:25:35</v>
      </c>
    </row>
    <row r="22876" spans="1:7" x14ac:dyDescent="0.2">
      <c r="A22876" t="s">
        <v>21326</v>
      </c>
      <c r="B22876" t="str">
        <f>"13940527609"</f>
        <v>13940527609</v>
      </c>
      <c r="C22876" t="str">
        <f>"210106198202042145"</f>
        <v>210106198202042145</v>
      </c>
      <c r="D22876" t="s">
        <v>1</v>
      </c>
      <c r="E22876" t="s">
        <v>1</v>
      </c>
      <c r="F22876" t="s">
        <v>0</v>
      </c>
      <c r="G22876" t="str">
        <f>"2018-10-10 21:07:15"</f>
        <v>2018-10-10 21:07:15</v>
      </c>
    </row>
    <row r="22877" spans="1:7" x14ac:dyDescent="0.2">
      <c r="A22877" t="s">
        <v>206</v>
      </c>
      <c r="B22877" t="str">
        <f>"13097523287"</f>
        <v>13097523287</v>
      </c>
      <c r="C22877" t="str">
        <f>"142602200002264013"</f>
        <v>142602200002264013</v>
      </c>
      <c r="D22877" t="s">
        <v>21327</v>
      </c>
      <c r="E22877" t="s">
        <v>21328</v>
      </c>
      <c r="F22877" t="s">
        <v>0</v>
      </c>
      <c r="G22877" t="str">
        <f>"2018-10-07 09:06:58"</f>
        <v>2018-10-07 09:06:58</v>
      </c>
    </row>
    <row r="22878" spans="1:7" x14ac:dyDescent="0.2">
      <c r="A22878" t="s">
        <v>21329</v>
      </c>
      <c r="B22878" t="str">
        <f>"18638525755"</f>
        <v>18638525755</v>
      </c>
      <c r="C22878" t="str">
        <f>"410103198907010168"</f>
        <v>410103198907010168</v>
      </c>
      <c r="D22878" t="s">
        <v>1</v>
      </c>
      <c r="E22878" t="s">
        <v>1</v>
      </c>
      <c r="F22878" t="s">
        <v>0</v>
      </c>
      <c r="G22878" t="str">
        <f>"2018-10-06 22:14:56"</f>
        <v>2018-10-06 22:14:56</v>
      </c>
    </row>
    <row r="22879" spans="1:7" x14ac:dyDescent="0.2">
      <c r="A22879" t="s">
        <v>21330</v>
      </c>
      <c r="B22879" t="str">
        <f>"15913378223"</f>
        <v>15913378223</v>
      </c>
      <c r="C22879" t="str">
        <f>"445381198811080022"</f>
        <v>445381198811080022</v>
      </c>
      <c r="D22879" t="s">
        <v>1</v>
      </c>
      <c r="E22879" t="s">
        <v>1</v>
      </c>
      <c r="F22879" t="s">
        <v>0</v>
      </c>
      <c r="G22879" t="str">
        <f>"2018-10-07 08:11:24"</f>
        <v>2018-10-07 08:11:24</v>
      </c>
    </row>
    <row r="22880" spans="1:7" x14ac:dyDescent="0.2">
      <c r="A22880" t="s">
        <v>1</v>
      </c>
      <c r="B22880" t="str">
        <f>"13107204821"</f>
        <v>13107204821</v>
      </c>
      <c r="C22880" t="s">
        <v>1</v>
      </c>
      <c r="D22880" t="s">
        <v>1</v>
      </c>
      <c r="E22880" t="s">
        <v>1</v>
      </c>
      <c r="F22880" t="s">
        <v>0</v>
      </c>
      <c r="G22880" t="str">
        <f>"2018-10-06 22:08:48"</f>
        <v>2018-10-06 22:08:48</v>
      </c>
    </row>
    <row r="22881" spans="1:7" x14ac:dyDescent="0.2">
      <c r="A22881" t="s">
        <v>21331</v>
      </c>
      <c r="B22881" t="str">
        <f>"13253874998"</f>
        <v>13253874998</v>
      </c>
      <c r="C22881" t="str">
        <f>"410821199310261525"</f>
        <v>410821199310261525</v>
      </c>
      <c r="D22881" t="s">
        <v>1</v>
      </c>
      <c r="E22881" t="s">
        <v>1</v>
      </c>
      <c r="F22881" t="s">
        <v>0</v>
      </c>
      <c r="G22881" t="str">
        <f>"2018-10-06 22:10:29"</f>
        <v>2018-10-06 22:10:29</v>
      </c>
    </row>
    <row r="22882" spans="1:7" x14ac:dyDescent="0.2">
      <c r="A22882" t="s">
        <v>1</v>
      </c>
      <c r="B22882" t="str">
        <f>"15578532404"</f>
        <v>15578532404</v>
      </c>
      <c r="C22882" t="s">
        <v>1</v>
      </c>
      <c r="D22882" t="s">
        <v>1</v>
      </c>
      <c r="E22882" t="s">
        <v>1</v>
      </c>
      <c r="F22882" t="s">
        <v>0</v>
      </c>
      <c r="G22882" t="str">
        <f>"2018-10-06 22:07:28"</f>
        <v>2018-10-06 22:07:28</v>
      </c>
    </row>
    <row r="22883" spans="1:7" x14ac:dyDescent="0.2">
      <c r="A22883" t="s">
        <v>21332</v>
      </c>
      <c r="B22883" t="str">
        <f>"13971805370"</f>
        <v>13971805370</v>
      </c>
      <c r="C22883" t="str">
        <f>"422322198409222153"</f>
        <v>422322198409222153</v>
      </c>
      <c r="D22883" t="s">
        <v>1</v>
      </c>
      <c r="E22883" t="s">
        <v>1</v>
      </c>
      <c r="F22883" t="s">
        <v>0</v>
      </c>
      <c r="G22883" t="str">
        <f>"2018-10-07 14:45:25"</f>
        <v>2018-10-07 14:45:25</v>
      </c>
    </row>
    <row r="22884" spans="1:7" x14ac:dyDescent="0.2">
      <c r="A22884" t="s">
        <v>1</v>
      </c>
      <c r="B22884" t="str">
        <f>"13145707491"</f>
        <v>13145707491</v>
      </c>
      <c r="C22884" t="s">
        <v>1</v>
      </c>
      <c r="D22884" t="s">
        <v>1</v>
      </c>
      <c r="E22884" t="s">
        <v>1</v>
      </c>
      <c r="F22884" t="s">
        <v>0</v>
      </c>
      <c r="G22884" t="str">
        <f>"2018-10-06 22:07:11"</f>
        <v>2018-10-06 22:07:11</v>
      </c>
    </row>
    <row r="22885" spans="1:7" x14ac:dyDescent="0.2">
      <c r="A22885" t="s">
        <v>21333</v>
      </c>
      <c r="B22885" t="str">
        <f>"17807767510"</f>
        <v>17807767510</v>
      </c>
      <c r="C22885" t="str">
        <f>"452624198805130028"</f>
        <v>452624198805130028</v>
      </c>
      <c r="D22885" t="s">
        <v>1</v>
      </c>
      <c r="E22885" t="s">
        <v>1</v>
      </c>
      <c r="F22885" t="s">
        <v>0</v>
      </c>
      <c r="G22885" t="str">
        <f>"2018-10-14 02:56:38"</f>
        <v>2018-10-14 02:56:38</v>
      </c>
    </row>
    <row r="22886" spans="1:7" x14ac:dyDescent="0.2">
      <c r="A22886" t="s">
        <v>1</v>
      </c>
      <c r="B22886" t="str">
        <f>"18925110222"</f>
        <v>18925110222</v>
      </c>
      <c r="C22886" t="s">
        <v>1</v>
      </c>
      <c r="D22886" t="s">
        <v>1</v>
      </c>
      <c r="E22886" t="s">
        <v>1</v>
      </c>
      <c r="F22886" t="s">
        <v>0</v>
      </c>
      <c r="G22886" t="str">
        <f>"2018-10-06 22:05:34"</f>
        <v>2018-10-06 22:05:34</v>
      </c>
    </row>
    <row r="22887" spans="1:7" x14ac:dyDescent="0.2">
      <c r="A22887" t="s">
        <v>21334</v>
      </c>
      <c r="B22887" t="str">
        <f>"13967268370"</f>
        <v>13967268370</v>
      </c>
      <c r="C22887" t="str">
        <f>"330501197506155993"</f>
        <v>330501197506155993</v>
      </c>
      <c r="D22887" t="s">
        <v>21335</v>
      </c>
      <c r="E22887" t="s">
        <v>21336</v>
      </c>
      <c r="F22887" t="s">
        <v>0</v>
      </c>
      <c r="G22887" t="str">
        <f>"2018-10-10 21:58:53"</f>
        <v>2018-10-10 21:58:53</v>
      </c>
    </row>
    <row r="22888" spans="1:7" x14ac:dyDescent="0.2">
      <c r="A22888" t="s">
        <v>21337</v>
      </c>
      <c r="B22888" t="str">
        <f>"18272222669"</f>
        <v>18272222669</v>
      </c>
      <c r="C22888" t="str">
        <f>"422426197406096418"</f>
        <v>422426197406096418</v>
      </c>
      <c r="D22888" t="s">
        <v>1</v>
      </c>
      <c r="E22888" t="s">
        <v>1</v>
      </c>
      <c r="F22888" t="s">
        <v>0</v>
      </c>
      <c r="G22888" t="str">
        <f>"2018-10-06 22:08:59"</f>
        <v>2018-10-06 22:08:59</v>
      </c>
    </row>
    <row r="22889" spans="1:7" x14ac:dyDescent="0.2">
      <c r="A22889" t="s">
        <v>21338</v>
      </c>
      <c r="B22889" t="str">
        <f>"15980805095"</f>
        <v>15980805095</v>
      </c>
      <c r="C22889" t="str">
        <f>"362330199011124658"</f>
        <v>362330199011124658</v>
      </c>
      <c r="D22889" t="s">
        <v>1</v>
      </c>
      <c r="E22889" t="s">
        <v>1</v>
      </c>
      <c r="F22889" t="s">
        <v>0</v>
      </c>
      <c r="G22889" t="str">
        <f>"2018-10-06 23:02:07"</f>
        <v>2018-10-06 23:02:07</v>
      </c>
    </row>
    <row r="22890" spans="1:7" x14ac:dyDescent="0.2">
      <c r="A22890" t="s">
        <v>1</v>
      </c>
      <c r="B22890" t="str">
        <f>"15814361086"</f>
        <v>15814361086</v>
      </c>
      <c r="C22890" t="s">
        <v>1</v>
      </c>
      <c r="D22890" t="s">
        <v>1</v>
      </c>
      <c r="E22890" t="s">
        <v>1</v>
      </c>
      <c r="F22890" t="s">
        <v>0</v>
      </c>
      <c r="G22890" t="str">
        <f>"2018-10-06 22:03:25"</f>
        <v>2018-10-06 22:03:25</v>
      </c>
    </row>
    <row r="22891" spans="1:7" x14ac:dyDescent="0.2">
      <c r="A22891" t="s">
        <v>21339</v>
      </c>
      <c r="B22891" t="str">
        <f>"15056169511"</f>
        <v>15056169511</v>
      </c>
      <c r="C22891" t="str">
        <f>"340602198603102234"</f>
        <v>340602198603102234</v>
      </c>
      <c r="D22891" t="s">
        <v>21340</v>
      </c>
      <c r="E22891" t="s">
        <v>21341</v>
      </c>
      <c r="F22891" t="s">
        <v>0</v>
      </c>
      <c r="G22891" t="str">
        <f>"2018-10-06 22:03:47"</f>
        <v>2018-10-06 22:03:47</v>
      </c>
    </row>
    <row r="22892" spans="1:7" x14ac:dyDescent="0.2">
      <c r="A22892" t="s">
        <v>1</v>
      </c>
      <c r="B22892" t="str">
        <f>"18070274586"</f>
        <v>18070274586</v>
      </c>
      <c r="C22892" t="s">
        <v>1</v>
      </c>
      <c r="D22892" t="s">
        <v>1</v>
      </c>
      <c r="E22892" t="s">
        <v>1</v>
      </c>
      <c r="F22892" t="s">
        <v>0</v>
      </c>
      <c r="G22892" t="str">
        <f>"2018-10-06 22:00:59"</f>
        <v>2018-10-06 22:00:59</v>
      </c>
    </row>
    <row r="22893" spans="1:7" x14ac:dyDescent="0.2">
      <c r="A22893" t="s">
        <v>21342</v>
      </c>
      <c r="B22893" t="str">
        <f>"13045333700"</f>
        <v>13045333700</v>
      </c>
      <c r="C22893" t="str">
        <f>"231005198610104512"</f>
        <v>231005198610104512</v>
      </c>
      <c r="D22893" t="s">
        <v>21343</v>
      </c>
      <c r="E22893" t="s">
        <v>21344</v>
      </c>
      <c r="F22893" t="s">
        <v>0</v>
      </c>
      <c r="G22893" t="str">
        <f>"2018-10-06 22:00:00"</f>
        <v>2018-10-06 22:00:00</v>
      </c>
    </row>
    <row r="22894" spans="1:7" x14ac:dyDescent="0.2">
      <c r="A22894" t="s">
        <v>1</v>
      </c>
      <c r="B22894" t="str">
        <f>"13738049822"</f>
        <v>13738049822</v>
      </c>
      <c r="C22894" t="s">
        <v>1</v>
      </c>
      <c r="D22894" t="s">
        <v>1</v>
      </c>
      <c r="E22894" t="s">
        <v>1</v>
      </c>
      <c r="F22894" t="s">
        <v>0</v>
      </c>
      <c r="G22894" t="str">
        <f>"2018-10-06 21:59:28"</f>
        <v>2018-10-06 21:59:28</v>
      </c>
    </row>
    <row r="22895" spans="1:7" x14ac:dyDescent="0.2">
      <c r="A22895" t="s">
        <v>1</v>
      </c>
      <c r="B22895" t="str">
        <f>"13822197044"</f>
        <v>13822197044</v>
      </c>
      <c r="C22895" t="s">
        <v>1</v>
      </c>
      <c r="D22895" t="s">
        <v>1</v>
      </c>
      <c r="E22895" t="s">
        <v>1</v>
      </c>
      <c r="F22895" t="s">
        <v>0</v>
      </c>
      <c r="G22895" t="str">
        <f>"2018-10-06 21:56:59"</f>
        <v>2018-10-06 21:56:59</v>
      </c>
    </row>
    <row r="22896" spans="1:7" x14ac:dyDescent="0.2">
      <c r="A22896" t="s">
        <v>1</v>
      </c>
      <c r="B22896" t="str">
        <f>"15071205333"</f>
        <v>15071205333</v>
      </c>
      <c r="C22896" t="s">
        <v>1</v>
      </c>
      <c r="D22896" t="s">
        <v>1</v>
      </c>
      <c r="E22896" t="s">
        <v>1</v>
      </c>
      <c r="F22896" t="s">
        <v>0</v>
      </c>
      <c r="G22896" t="str">
        <f>"2018-10-06 21:55:35"</f>
        <v>2018-10-06 21:55:35</v>
      </c>
    </row>
    <row r="22897" spans="1:7" x14ac:dyDescent="0.2">
      <c r="A22897" t="s">
        <v>1</v>
      </c>
      <c r="B22897" t="str">
        <f>"17730710893"</f>
        <v>17730710893</v>
      </c>
      <c r="C22897" t="s">
        <v>1</v>
      </c>
      <c r="D22897" t="s">
        <v>1</v>
      </c>
      <c r="E22897" t="s">
        <v>1</v>
      </c>
      <c r="F22897" t="s">
        <v>0</v>
      </c>
      <c r="G22897" t="str">
        <f>"2018-10-06 21:53:02"</f>
        <v>2018-10-06 21:53:02</v>
      </c>
    </row>
    <row r="22898" spans="1:7" x14ac:dyDescent="0.2">
      <c r="A22898" t="s">
        <v>21345</v>
      </c>
      <c r="B22898" t="str">
        <f>"15193389069"</f>
        <v>15193389069</v>
      </c>
      <c r="C22898" t="str">
        <f>"622723198204032570"</f>
        <v>622723198204032570</v>
      </c>
      <c r="D22898" t="s">
        <v>1</v>
      </c>
      <c r="E22898" t="s">
        <v>1</v>
      </c>
      <c r="F22898" t="s">
        <v>0</v>
      </c>
      <c r="G22898" t="str">
        <f>"2018-10-06 21:52:06"</f>
        <v>2018-10-06 21:52:06</v>
      </c>
    </row>
    <row r="22899" spans="1:7" x14ac:dyDescent="0.2">
      <c r="A22899" t="s">
        <v>1</v>
      </c>
      <c r="B22899" t="str">
        <f>"18200294045"</f>
        <v>18200294045</v>
      </c>
      <c r="C22899" t="s">
        <v>1</v>
      </c>
      <c r="D22899" t="s">
        <v>1</v>
      </c>
      <c r="E22899" t="s">
        <v>1</v>
      </c>
      <c r="F22899" t="s">
        <v>0</v>
      </c>
      <c r="G22899" t="str">
        <f>"2018-10-06 21:50:09"</f>
        <v>2018-10-06 21:50:09</v>
      </c>
    </row>
    <row r="22900" spans="1:7" x14ac:dyDescent="0.2">
      <c r="A22900" t="s">
        <v>21346</v>
      </c>
      <c r="B22900" t="str">
        <f>"13580111719"</f>
        <v>13580111719</v>
      </c>
      <c r="C22900" t="str">
        <f>"440223199708283025"</f>
        <v>440223199708283025</v>
      </c>
      <c r="D22900" t="s">
        <v>21347</v>
      </c>
      <c r="E22900" t="s">
        <v>21348</v>
      </c>
      <c r="F22900" t="s">
        <v>0</v>
      </c>
      <c r="G22900" t="str">
        <f>"2018-10-06 21:49:48"</f>
        <v>2018-10-06 21:49:48</v>
      </c>
    </row>
    <row r="22901" spans="1:7" x14ac:dyDescent="0.2">
      <c r="A22901" t="s">
        <v>1</v>
      </c>
      <c r="B22901" t="str">
        <f>"18255044312"</f>
        <v>18255044312</v>
      </c>
      <c r="C22901" t="s">
        <v>1</v>
      </c>
      <c r="D22901" t="s">
        <v>1</v>
      </c>
      <c r="E22901" t="s">
        <v>1</v>
      </c>
      <c r="F22901" t="s">
        <v>0</v>
      </c>
      <c r="G22901" t="str">
        <f>"2018-10-06 21:49:44"</f>
        <v>2018-10-06 21:49:44</v>
      </c>
    </row>
    <row r="22902" spans="1:7" x14ac:dyDescent="0.2">
      <c r="A22902" t="s">
        <v>21349</v>
      </c>
      <c r="B22902" t="str">
        <f>"13678203501"</f>
        <v>13678203501</v>
      </c>
      <c r="C22902" t="str">
        <f>"510411199107134327"</f>
        <v>510411199107134327</v>
      </c>
      <c r="D22902" t="s">
        <v>1</v>
      </c>
      <c r="E22902" t="s">
        <v>1</v>
      </c>
      <c r="F22902" t="s">
        <v>0</v>
      </c>
      <c r="G22902" t="str">
        <f>"2018-10-06 21:53:34"</f>
        <v>2018-10-06 21:53:34</v>
      </c>
    </row>
    <row r="22903" spans="1:7" x14ac:dyDescent="0.2">
      <c r="A22903" t="s">
        <v>21350</v>
      </c>
      <c r="B22903" t="str">
        <f>"13944835973"</f>
        <v>13944835973</v>
      </c>
      <c r="C22903" t="str">
        <f>"220112199610134018"</f>
        <v>220112199610134018</v>
      </c>
      <c r="D22903" t="s">
        <v>1</v>
      </c>
      <c r="E22903" t="s">
        <v>1</v>
      </c>
      <c r="F22903" t="s">
        <v>0</v>
      </c>
      <c r="G22903" t="str">
        <f>"2018-10-06 22:06:48"</f>
        <v>2018-10-06 22:06:48</v>
      </c>
    </row>
    <row r="22904" spans="1:7" x14ac:dyDescent="0.2">
      <c r="A22904" t="s">
        <v>1461</v>
      </c>
      <c r="B22904" t="str">
        <f>"18684979996"</f>
        <v>18684979996</v>
      </c>
      <c r="C22904" t="str">
        <f>"430103197709125211"</f>
        <v>430103197709125211</v>
      </c>
      <c r="D22904" t="s">
        <v>1</v>
      </c>
      <c r="E22904" t="s">
        <v>1</v>
      </c>
      <c r="F22904" t="s">
        <v>0</v>
      </c>
      <c r="G22904" t="str">
        <f>"2018-10-06 21:50:22"</f>
        <v>2018-10-06 21:50:22</v>
      </c>
    </row>
    <row r="22905" spans="1:7" x14ac:dyDescent="0.2">
      <c r="A22905" t="s">
        <v>21351</v>
      </c>
      <c r="B22905" t="str">
        <f>"13585035210"</f>
        <v>13585035210</v>
      </c>
      <c r="C22905" t="str">
        <f>"320282199306175710"</f>
        <v>320282199306175710</v>
      </c>
      <c r="D22905" t="s">
        <v>21352</v>
      </c>
      <c r="E22905" t="s">
        <v>21353</v>
      </c>
      <c r="F22905" t="s">
        <v>0</v>
      </c>
      <c r="G22905" t="str">
        <f>"2018-11-01 10:54:47"</f>
        <v>2018-11-01 10:54:47</v>
      </c>
    </row>
    <row r="22906" spans="1:7" x14ac:dyDescent="0.2">
      <c r="A22906" t="s">
        <v>21354</v>
      </c>
      <c r="B22906" t="str">
        <f>"13928342678"</f>
        <v>13928342678</v>
      </c>
      <c r="C22906" t="str">
        <f>"441324197903055312"</f>
        <v>441324197903055312</v>
      </c>
      <c r="D22906" t="s">
        <v>1</v>
      </c>
      <c r="E22906" t="s">
        <v>1</v>
      </c>
      <c r="F22906" t="s">
        <v>0</v>
      </c>
      <c r="G22906" t="str">
        <f>"2018-11-03 09:57:44"</f>
        <v>2018-11-03 09:57:44</v>
      </c>
    </row>
    <row r="22907" spans="1:7" x14ac:dyDescent="0.2">
      <c r="A22907" t="s">
        <v>1</v>
      </c>
      <c r="B22907" t="str">
        <f>"15677324474"</f>
        <v>15677324474</v>
      </c>
      <c r="C22907" t="s">
        <v>1</v>
      </c>
      <c r="D22907" t="s">
        <v>1</v>
      </c>
      <c r="E22907" t="s">
        <v>1</v>
      </c>
      <c r="F22907" t="s">
        <v>0</v>
      </c>
      <c r="G22907" t="str">
        <f>"2018-10-06 21:45:01"</f>
        <v>2018-10-06 21:45:01</v>
      </c>
    </row>
    <row r="22908" spans="1:7" x14ac:dyDescent="0.2">
      <c r="A22908" t="s">
        <v>1458</v>
      </c>
      <c r="B22908" t="str">
        <f>"18950750789"</f>
        <v>18950750789</v>
      </c>
      <c r="C22908" t="str">
        <f>"350322198410260034"</f>
        <v>350322198410260034</v>
      </c>
      <c r="D22908" t="s">
        <v>21355</v>
      </c>
      <c r="E22908" t="s">
        <v>21356</v>
      </c>
      <c r="F22908" t="s">
        <v>0</v>
      </c>
      <c r="G22908" t="str">
        <f>"2018-10-06 21:49:10"</f>
        <v>2018-10-06 21:49:10</v>
      </c>
    </row>
    <row r="22909" spans="1:7" x14ac:dyDescent="0.2">
      <c r="A22909" t="s">
        <v>1</v>
      </c>
      <c r="B22909" t="str">
        <f>"15706566118"</f>
        <v>15706566118</v>
      </c>
      <c r="C22909" t="s">
        <v>1</v>
      </c>
      <c r="D22909" t="s">
        <v>1</v>
      </c>
      <c r="E22909" t="s">
        <v>1</v>
      </c>
      <c r="F22909" t="s">
        <v>0</v>
      </c>
      <c r="G22909" t="str">
        <f>"2018-10-06 21:42:53"</f>
        <v>2018-10-06 21:42:53</v>
      </c>
    </row>
    <row r="22910" spans="1:7" x14ac:dyDescent="0.2">
      <c r="A22910" t="s">
        <v>1</v>
      </c>
      <c r="B22910" t="str">
        <f>"18573157399"</f>
        <v>18573157399</v>
      </c>
      <c r="C22910" t="s">
        <v>1</v>
      </c>
      <c r="D22910" t="s">
        <v>1</v>
      </c>
      <c r="E22910" t="s">
        <v>1</v>
      </c>
      <c r="F22910" t="s">
        <v>0</v>
      </c>
      <c r="G22910" t="str">
        <f>"2018-10-06 21:41:27"</f>
        <v>2018-10-06 21:41:27</v>
      </c>
    </row>
    <row r="22911" spans="1:7" x14ac:dyDescent="0.2">
      <c r="A22911" t="s">
        <v>1462</v>
      </c>
      <c r="B22911" t="str">
        <f>"17625300729"</f>
        <v>17625300729</v>
      </c>
      <c r="C22911" t="str">
        <f>"610521199707290624"</f>
        <v>610521199707290624</v>
      </c>
      <c r="D22911" t="s">
        <v>21357</v>
      </c>
      <c r="E22911" t="s">
        <v>21358</v>
      </c>
      <c r="F22911" t="s">
        <v>0</v>
      </c>
      <c r="G22911" t="str">
        <f>"2018-11-05 09:35:59"</f>
        <v>2018-11-05 09:35:59</v>
      </c>
    </row>
    <row r="22912" spans="1:7" x14ac:dyDescent="0.2">
      <c r="A22912" t="s">
        <v>21359</v>
      </c>
      <c r="B22912" t="str">
        <f>"15020000067"</f>
        <v>15020000067</v>
      </c>
      <c r="C22912" t="str">
        <f>"230321199403303236"</f>
        <v>230321199403303236</v>
      </c>
      <c r="D22912" t="s">
        <v>1</v>
      </c>
      <c r="E22912" t="s">
        <v>1</v>
      </c>
      <c r="F22912" t="s">
        <v>0</v>
      </c>
      <c r="G22912" t="str">
        <f>"2018-10-27 11:57:40"</f>
        <v>2018-10-27 11:57:40</v>
      </c>
    </row>
    <row r="22913" spans="1:7" x14ac:dyDescent="0.2">
      <c r="A22913" t="s">
        <v>1</v>
      </c>
      <c r="B22913" t="str">
        <f>"18457554734"</f>
        <v>18457554734</v>
      </c>
      <c r="C22913" t="s">
        <v>1</v>
      </c>
      <c r="D22913" t="s">
        <v>1</v>
      </c>
      <c r="E22913" t="s">
        <v>1</v>
      </c>
      <c r="F22913" t="s">
        <v>0</v>
      </c>
      <c r="G22913" t="str">
        <f>"2018-10-06 21:37:30"</f>
        <v>2018-10-06 21:37:30</v>
      </c>
    </row>
    <row r="22914" spans="1:7" x14ac:dyDescent="0.2">
      <c r="A22914" t="s">
        <v>21360</v>
      </c>
      <c r="B22914" t="str">
        <f>"13529410260"</f>
        <v>13529410260</v>
      </c>
      <c r="C22914" t="str">
        <f>"530129199311032935"</f>
        <v>530129199311032935</v>
      </c>
      <c r="D22914" t="s">
        <v>21361</v>
      </c>
      <c r="E22914" t="s">
        <v>21362</v>
      </c>
      <c r="F22914" t="s">
        <v>0</v>
      </c>
      <c r="G22914" t="str">
        <f>"2018-10-06 21:34:34"</f>
        <v>2018-10-06 21:34:34</v>
      </c>
    </row>
    <row r="22915" spans="1:7" x14ac:dyDescent="0.2">
      <c r="A22915" t="s">
        <v>21363</v>
      </c>
      <c r="B22915" t="str">
        <f>"13612895427"</f>
        <v>13612895427</v>
      </c>
      <c r="C22915" t="str">
        <f>"445222199907171665"</f>
        <v>445222199907171665</v>
      </c>
      <c r="D22915" t="s">
        <v>1</v>
      </c>
      <c r="E22915" t="s">
        <v>1</v>
      </c>
      <c r="F22915" t="s">
        <v>0</v>
      </c>
      <c r="G22915" t="str">
        <f>"2018-10-06 21:33:16"</f>
        <v>2018-10-06 21:33:16</v>
      </c>
    </row>
    <row r="22916" spans="1:7" x14ac:dyDescent="0.2">
      <c r="A22916" t="s">
        <v>98</v>
      </c>
      <c r="B22916" t="str">
        <f>"18746785268"</f>
        <v>18746785268</v>
      </c>
      <c r="C22916" t="str">
        <f>"230381199309296814"</f>
        <v>230381199309296814</v>
      </c>
      <c r="D22916" t="s">
        <v>1</v>
      </c>
      <c r="E22916" t="s">
        <v>1</v>
      </c>
      <c r="F22916" t="s">
        <v>0</v>
      </c>
      <c r="G22916" t="str">
        <f>"2018-10-28 12:04:26"</f>
        <v>2018-10-28 12:04:26</v>
      </c>
    </row>
    <row r="22917" spans="1:7" x14ac:dyDescent="0.2">
      <c r="A22917" t="s">
        <v>21364</v>
      </c>
      <c r="B22917" t="str">
        <f>"15170529011"</f>
        <v>15170529011</v>
      </c>
      <c r="C22917" t="str">
        <f>"362204198910068431"</f>
        <v>362204198910068431</v>
      </c>
      <c r="D22917" t="s">
        <v>1</v>
      </c>
      <c r="E22917" t="s">
        <v>1</v>
      </c>
      <c r="F22917" t="s">
        <v>0</v>
      </c>
      <c r="G22917" t="str">
        <f>"2018-10-06 22:06:17"</f>
        <v>2018-10-06 22:06:17</v>
      </c>
    </row>
    <row r="22918" spans="1:7" x14ac:dyDescent="0.2">
      <c r="A22918" t="s">
        <v>1</v>
      </c>
      <c r="B22918" t="str">
        <f>"15055012615"</f>
        <v>15055012615</v>
      </c>
      <c r="C22918" t="s">
        <v>1</v>
      </c>
      <c r="D22918" t="s">
        <v>1</v>
      </c>
      <c r="E22918" t="s">
        <v>1</v>
      </c>
      <c r="F22918" t="s">
        <v>0</v>
      </c>
      <c r="G22918" t="str">
        <f>"2018-10-06 21:31:07"</f>
        <v>2018-10-06 21:31:07</v>
      </c>
    </row>
    <row r="22919" spans="1:7" x14ac:dyDescent="0.2">
      <c r="A22919" t="s">
        <v>1</v>
      </c>
      <c r="B22919" t="str">
        <f>"13437762110"</f>
        <v>13437762110</v>
      </c>
      <c r="C22919" t="s">
        <v>1</v>
      </c>
      <c r="D22919" t="s">
        <v>1</v>
      </c>
      <c r="E22919" t="s">
        <v>1</v>
      </c>
      <c r="F22919" t="s">
        <v>0</v>
      </c>
      <c r="G22919" t="str">
        <f>"2018-10-06 21:31:34"</f>
        <v>2018-10-06 21:31:34</v>
      </c>
    </row>
    <row r="22920" spans="1:7" x14ac:dyDescent="0.2">
      <c r="A22920" t="s">
        <v>21365</v>
      </c>
      <c r="B22920" t="str">
        <f>"18885226564"</f>
        <v>18885226564</v>
      </c>
      <c r="C22920" t="str">
        <f>"522121198104226811"</f>
        <v>522121198104226811</v>
      </c>
      <c r="D22920" t="s">
        <v>1</v>
      </c>
      <c r="E22920" t="s">
        <v>1</v>
      </c>
      <c r="F22920" t="s">
        <v>0</v>
      </c>
      <c r="G22920" t="str">
        <f>"2018-10-06 21:30:26"</f>
        <v>2018-10-06 21:30:26</v>
      </c>
    </row>
    <row r="22921" spans="1:7" x14ac:dyDescent="0.2">
      <c r="A22921" t="s">
        <v>1</v>
      </c>
      <c r="B22921" t="str">
        <f>"18128269608"</f>
        <v>18128269608</v>
      </c>
      <c r="C22921" t="s">
        <v>1</v>
      </c>
      <c r="D22921" t="s">
        <v>1</v>
      </c>
      <c r="E22921" t="s">
        <v>1</v>
      </c>
      <c r="F22921" t="s">
        <v>0</v>
      </c>
      <c r="G22921" t="str">
        <f>"2018-10-06 21:28:44"</f>
        <v>2018-10-06 21:28:44</v>
      </c>
    </row>
    <row r="22922" spans="1:7" x14ac:dyDescent="0.2">
      <c r="A22922" t="s">
        <v>1</v>
      </c>
      <c r="B22922" t="str">
        <f>"13616002128"</f>
        <v>13616002128</v>
      </c>
      <c r="C22922" t="s">
        <v>1</v>
      </c>
      <c r="D22922" t="s">
        <v>1</v>
      </c>
      <c r="E22922" t="s">
        <v>1</v>
      </c>
      <c r="F22922" t="s">
        <v>0</v>
      </c>
      <c r="G22922" t="str">
        <f>"2018-10-06 21:28:29"</f>
        <v>2018-10-06 21:28:29</v>
      </c>
    </row>
    <row r="22923" spans="1:7" x14ac:dyDescent="0.2">
      <c r="A22923" t="s">
        <v>21366</v>
      </c>
      <c r="B22923" t="str">
        <f>"15877177237"</f>
        <v>15877177237</v>
      </c>
      <c r="C22923" t="str">
        <f>"450121198704200017"</f>
        <v>450121198704200017</v>
      </c>
      <c r="D22923" t="s">
        <v>1</v>
      </c>
      <c r="E22923" t="s">
        <v>1</v>
      </c>
      <c r="F22923" t="s">
        <v>0</v>
      </c>
      <c r="G22923" t="str">
        <f>"2018-10-07 07:39:43"</f>
        <v>2018-10-07 07:39:43</v>
      </c>
    </row>
    <row r="22924" spans="1:7" x14ac:dyDescent="0.2">
      <c r="A22924" t="s">
        <v>21367</v>
      </c>
      <c r="B22924" t="str">
        <f>"13859008487"</f>
        <v>13859008487</v>
      </c>
      <c r="C22924" t="str">
        <f>"522401198710265117"</f>
        <v>522401198710265117</v>
      </c>
      <c r="D22924" t="s">
        <v>1</v>
      </c>
      <c r="E22924" t="s">
        <v>1</v>
      </c>
      <c r="F22924" t="s">
        <v>0</v>
      </c>
      <c r="G22924" t="str">
        <f>"2018-10-06 21:26:44"</f>
        <v>2018-10-06 21:26:44</v>
      </c>
    </row>
    <row r="22925" spans="1:7" x14ac:dyDescent="0.2">
      <c r="A22925" t="s">
        <v>21368</v>
      </c>
      <c r="B22925" t="str">
        <f>"13936644405"</f>
        <v>13936644405</v>
      </c>
      <c r="C22925" t="str">
        <f>"230107198009271528"</f>
        <v>230107198009271528</v>
      </c>
      <c r="D22925" t="s">
        <v>1</v>
      </c>
      <c r="E22925" t="s">
        <v>1</v>
      </c>
      <c r="F22925" t="s">
        <v>0</v>
      </c>
      <c r="G22925" t="str">
        <f>"2018-10-11 00:32:15"</f>
        <v>2018-10-11 00:32:15</v>
      </c>
    </row>
    <row r="22926" spans="1:7" x14ac:dyDescent="0.2">
      <c r="A22926" t="s">
        <v>21369</v>
      </c>
      <c r="B22926" t="str">
        <f>"18625652777"</f>
        <v>18625652777</v>
      </c>
      <c r="C22926" t="str">
        <f>"411327198904203135"</f>
        <v>411327198904203135</v>
      </c>
      <c r="D22926" t="s">
        <v>21370</v>
      </c>
      <c r="E22926" t="s">
        <v>21371</v>
      </c>
      <c r="F22926" t="s">
        <v>0</v>
      </c>
      <c r="G22926" t="str">
        <f>"2018-10-06 21:26:16"</f>
        <v>2018-10-06 21:26:16</v>
      </c>
    </row>
    <row r="22927" spans="1:7" x14ac:dyDescent="0.2">
      <c r="A22927" t="s">
        <v>21372</v>
      </c>
      <c r="B22927" t="str">
        <f>"18176622757"</f>
        <v>18176622757</v>
      </c>
      <c r="C22927" t="str">
        <f>"450981198703233511"</f>
        <v>450981198703233511</v>
      </c>
      <c r="D22927" t="s">
        <v>1</v>
      </c>
      <c r="E22927" t="s">
        <v>1</v>
      </c>
      <c r="F22927" t="s">
        <v>0</v>
      </c>
      <c r="G22927" t="str">
        <f>"2018-11-02 12:15:26"</f>
        <v>2018-11-02 12:15:26</v>
      </c>
    </row>
    <row r="22928" spans="1:7" x14ac:dyDescent="0.2">
      <c r="A22928" t="s">
        <v>1</v>
      </c>
      <c r="B22928" t="str">
        <f>"13049925048"</f>
        <v>13049925048</v>
      </c>
      <c r="C22928" t="s">
        <v>1</v>
      </c>
      <c r="D22928" t="s">
        <v>1</v>
      </c>
      <c r="E22928" t="s">
        <v>1</v>
      </c>
      <c r="F22928" t="s">
        <v>0</v>
      </c>
      <c r="G22928" t="str">
        <f>"2018-10-06 21:23:05"</f>
        <v>2018-10-06 21:23:05</v>
      </c>
    </row>
    <row r="22929" spans="1:7" x14ac:dyDescent="0.2">
      <c r="A22929" t="s">
        <v>1</v>
      </c>
      <c r="B22929" t="str">
        <f>"13430710042"</f>
        <v>13430710042</v>
      </c>
      <c r="C22929" t="s">
        <v>1</v>
      </c>
      <c r="D22929" t="s">
        <v>1</v>
      </c>
      <c r="E22929" t="s">
        <v>1</v>
      </c>
      <c r="F22929" t="s">
        <v>0</v>
      </c>
      <c r="G22929" t="str">
        <f>"2018-10-06 21:22:43"</f>
        <v>2018-10-06 21:22:43</v>
      </c>
    </row>
    <row r="22930" spans="1:7" x14ac:dyDescent="0.2">
      <c r="A22930" t="s">
        <v>21373</v>
      </c>
      <c r="B22930" t="str">
        <f>"18613683771"</f>
        <v>18613683771</v>
      </c>
      <c r="C22930" t="str">
        <f>"370830198306190014"</f>
        <v>370830198306190014</v>
      </c>
      <c r="D22930" t="s">
        <v>1</v>
      </c>
      <c r="E22930" t="s">
        <v>1</v>
      </c>
      <c r="F22930" t="s">
        <v>0</v>
      </c>
      <c r="G22930" t="str">
        <f>"2018-10-07 11:41:01"</f>
        <v>2018-10-07 11:41:01</v>
      </c>
    </row>
    <row r="22931" spans="1:7" x14ac:dyDescent="0.2">
      <c r="A22931" t="s">
        <v>21374</v>
      </c>
      <c r="B22931" t="str">
        <f>"13832538671"</f>
        <v>13832538671</v>
      </c>
      <c r="C22931" t="str">
        <f>"130228198101152947"</f>
        <v>130228198101152947</v>
      </c>
      <c r="D22931" t="s">
        <v>1</v>
      </c>
      <c r="E22931" t="s">
        <v>1</v>
      </c>
      <c r="F22931" t="s">
        <v>0</v>
      </c>
      <c r="G22931" t="str">
        <f>"2018-10-06 21:21:26"</f>
        <v>2018-10-06 21:21:26</v>
      </c>
    </row>
    <row r="22932" spans="1:7" x14ac:dyDescent="0.2">
      <c r="A22932" t="s">
        <v>21375</v>
      </c>
      <c r="B22932" t="str">
        <f>"15667996818"</f>
        <v>15667996818</v>
      </c>
      <c r="C22932" t="str">
        <f>"610221197908300811"</f>
        <v>610221197908300811</v>
      </c>
      <c r="D22932" t="s">
        <v>1</v>
      </c>
      <c r="E22932" t="s">
        <v>1</v>
      </c>
      <c r="F22932" t="s">
        <v>0</v>
      </c>
      <c r="G22932" t="str">
        <f>"2018-10-06 21:22:43"</f>
        <v>2018-10-06 21:22:43</v>
      </c>
    </row>
    <row r="22933" spans="1:7" x14ac:dyDescent="0.2">
      <c r="A22933" t="s">
        <v>21376</v>
      </c>
      <c r="B22933" t="str">
        <f>"14730393939"</f>
        <v>14730393939</v>
      </c>
      <c r="C22933" t="str">
        <f>"130123198908023911"</f>
        <v>130123198908023911</v>
      </c>
      <c r="D22933" t="s">
        <v>1</v>
      </c>
      <c r="E22933" t="s">
        <v>1</v>
      </c>
      <c r="F22933" t="s">
        <v>0</v>
      </c>
      <c r="G22933" t="str">
        <f>"2018-11-03 11:15:02"</f>
        <v>2018-11-03 11:15:02</v>
      </c>
    </row>
    <row r="22934" spans="1:7" x14ac:dyDescent="0.2">
      <c r="A22934" t="s">
        <v>1</v>
      </c>
      <c r="B22934" t="str">
        <f>"15053946852"</f>
        <v>15053946852</v>
      </c>
      <c r="C22934" t="s">
        <v>1</v>
      </c>
      <c r="D22934" t="s">
        <v>1</v>
      </c>
      <c r="E22934" t="s">
        <v>1</v>
      </c>
      <c r="F22934" t="s">
        <v>0</v>
      </c>
      <c r="G22934" t="str">
        <f>"2018-10-06 21:18:36"</f>
        <v>2018-10-06 21:18:36</v>
      </c>
    </row>
    <row r="22935" spans="1:7" x14ac:dyDescent="0.2">
      <c r="A22935" t="s">
        <v>21377</v>
      </c>
      <c r="B22935" t="str">
        <f>"18093550503"</f>
        <v>18093550503</v>
      </c>
      <c r="C22935" t="str">
        <f>"620321199208041536"</f>
        <v>620321199208041536</v>
      </c>
      <c r="D22935" t="s">
        <v>1</v>
      </c>
      <c r="E22935" t="s">
        <v>1</v>
      </c>
      <c r="F22935" t="s">
        <v>0</v>
      </c>
      <c r="G22935" t="str">
        <f>"2018-10-06 21:19:47"</f>
        <v>2018-10-06 21:19:47</v>
      </c>
    </row>
    <row r="22936" spans="1:7" x14ac:dyDescent="0.2">
      <c r="A22936" t="s">
        <v>21378</v>
      </c>
      <c r="B22936" t="str">
        <f>"18936660020"</f>
        <v>18936660020</v>
      </c>
      <c r="C22936" t="str">
        <f>"32072119830806183X"</f>
        <v>32072119830806183X</v>
      </c>
      <c r="D22936" t="s">
        <v>1</v>
      </c>
      <c r="E22936" t="s">
        <v>1</v>
      </c>
      <c r="F22936" t="s">
        <v>0</v>
      </c>
      <c r="G22936" t="str">
        <f>"2018-10-07 09:25:38"</f>
        <v>2018-10-07 09:25:38</v>
      </c>
    </row>
    <row r="22937" spans="1:7" x14ac:dyDescent="0.2">
      <c r="A22937" t="s">
        <v>21379</v>
      </c>
      <c r="B22937" t="str">
        <f>"18551357774"</f>
        <v>18551357774</v>
      </c>
      <c r="C22937" t="str">
        <f>"230921199604120623"</f>
        <v>230921199604120623</v>
      </c>
      <c r="D22937" t="s">
        <v>1</v>
      </c>
      <c r="E22937" t="s">
        <v>1</v>
      </c>
      <c r="F22937" t="s">
        <v>0</v>
      </c>
      <c r="G22937" t="str">
        <f>"2018-10-06 21:31:27"</f>
        <v>2018-10-06 21:31:27</v>
      </c>
    </row>
    <row r="22938" spans="1:7" x14ac:dyDescent="0.2">
      <c r="A22938" t="s">
        <v>1</v>
      </c>
      <c r="B22938" t="str">
        <f>"18858858063"</f>
        <v>18858858063</v>
      </c>
      <c r="C22938" t="s">
        <v>1</v>
      </c>
      <c r="D22938" t="s">
        <v>1</v>
      </c>
      <c r="E22938" t="s">
        <v>1</v>
      </c>
      <c r="F22938" t="s">
        <v>0</v>
      </c>
      <c r="G22938" t="str">
        <f>"2018-10-06 21:13:51"</f>
        <v>2018-10-06 21:13:51</v>
      </c>
    </row>
    <row r="22939" spans="1:7" x14ac:dyDescent="0.2">
      <c r="A22939" t="s">
        <v>1</v>
      </c>
      <c r="B22939" t="str">
        <f>"18055782443"</f>
        <v>18055782443</v>
      </c>
      <c r="C22939" t="s">
        <v>1</v>
      </c>
      <c r="D22939" t="s">
        <v>1</v>
      </c>
      <c r="E22939" t="s">
        <v>1</v>
      </c>
      <c r="F22939" t="s">
        <v>0</v>
      </c>
      <c r="G22939" t="str">
        <f>"2018-10-06 21:11:27"</f>
        <v>2018-10-06 21:11:27</v>
      </c>
    </row>
    <row r="22940" spans="1:7" x14ac:dyDescent="0.2">
      <c r="A22940" t="s">
        <v>21380</v>
      </c>
      <c r="B22940" t="str">
        <f>"13547036641"</f>
        <v>13547036641</v>
      </c>
      <c r="C22940" t="str">
        <f>"51060219780816222X"</f>
        <v>51060219780816222X</v>
      </c>
      <c r="D22940" t="s">
        <v>1</v>
      </c>
      <c r="E22940" t="s">
        <v>1</v>
      </c>
      <c r="F22940" t="s">
        <v>0</v>
      </c>
      <c r="G22940" t="str">
        <f>"2018-10-06 21:11:37"</f>
        <v>2018-10-06 21:11:37</v>
      </c>
    </row>
    <row r="22941" spans="1:7" x14ac:dyDescent="0.2">
      <c r="A22941" t="s">
        <v>1561</v>
      </c>
      <c r="B22941" t="str">
        <f>"15063432820"</f>
        <v>15063432820</v>
      </c>
      <c r="C22941" t="str">
        <f>"370783198705123772"</f>
        <v>370783198705123772</v>
      </c>
      <c r="D22941" t="s">
        <v>1</v>
      </c>
      <c r="E22941" t="s">
        <v>1</v>
      </c>
      <c r="F22941" t="s">
        <v>0</v>
      </c>
      <c r="G22941" t="str">
        <f>"2018-10-06 21:11:45"</f>
        <v>2018-10-06 21:11:45</v>
      </c>
    </row>
    <row r="22942" spans="1:7" x14ac:dyDescent="0.2">
      <c r="A22942" t="s">
        <v>21381</v>
      </c>
      <c r="B22942" t="str">
        <f>"18807791473"</f>
        <v>18807791473</v>
      </c>
      <c r="C22942" t="str">
        <f>"140212199310251517"</f>
        <v>140212199310251517</v>
      </c>
      <c r="D22942" t="s">
        <v>1</v>
      </c>
      <c r="E22942" t="s">
        <v>1</v>
      </c>
      <c r="F22942" t="s">
        <v>0</v>
      </c>
      <c r="G22942" t="str">
        <f>"2018-10-06 21:19:16"</f>
        <v>2018-10-06 21:19:16</v>
      </c>
    </row>
    <row r="22943" spans="1:7" x14ac:dyDescent="0.2">
      <c r="A22943" t="s">
        <v>21382</v>
      </c>
      <c r="B22943" t="str">
        <f>"15096685753"</f>
        <v>15096685753</v>
      </c>
      <c r="C22943" t="str">
        <f>"440782197709033317"</f>
        <v>440782197709033317</v>
      </c>
      <c r="D22943" t="s">
        <v>1</v>
      </c>
      <c r="E22943" t="s">
        <v>1</v>
      </c>
      <c r="F22943" t="s">
        <v>0</v>
      </c>
      <c r="G22943" t="str">
        <f>"2018-10-06 21:13:52"</f>
        <v>2018-10-06 21:13:52</v>
      </c>
    </row>
    <row r="22944" spans="1:7" x14ac:dyDescent="0.2">
      <c r="A22944" t="s">
        <v>1</v>
      </c>
      <c r="B22944" t="str">
        <f>"18932056337"</f>
        <v>18932056337</v>
      </c>
      <c r="C22944" t="s">
        <v>1</v>
      </c>
      <c r="D22944" t="s">
        <v>1</v>
      </c>
      <c r="E22944" t="s">
        <v>1</v>
      </c>
      <c r="F22944" t="s">
        <v>0</v>
      </c>
      <c r="G22944" t="str">
        <f>"2018-10-06 21:09:35"</f>
        <v>2018-10-06 21:09:35</v>
      </c>
    </row>
    <row r="22945" spans="1:7" x14ac:dyDescent="0.2">
      <c r="A22945" t="s">
        <v>1</v>
      </c>
      <c r="B22945" t="str">
        <f>"15676235041"</f>
        <v>15676235041</v>
      </c>
      <c r="C22945" t="s">
        <v>1</v>
      </c>
      <c r="D22945" t="s">
        <v>1</v>
      </c>
      <c r="E22945" t="s">
        <v>1</v>
      </c>
      <c r="F22945" t="s">
        <v>0</v>
      </c>
      <c r="G22945" t="str">
        <f>"2018-10-06 21:07:13"</f>
        <v>2018-10-06 21:07:13</v>
      </c>
    </row>
    <row r="22946" spans="1:7" x14ac:dyDescent="0.2">
      <c r="A22946" t="s">
        <v>21383</v>
      </c>
      <c r="B22946" t="str">
        <f>"18211966648"</f>
        <v>18211966648</v>
      </c>
      <c r="C22946" t="str">
        <f>"410323199509094539"</f>
        <v>410323199509094539</v>
      </c>
      <c r="D22946" t="s">
        <v>21384</v>
      </c>
      <c r="E22946" t="s">
        <v>21385</v>
      </c>
      <c r="F22946" t="s">
        <v>0</v>
      </c>
      <c r="G22946" t="str">
        <f>"2018-10-06 21:06:10"</f>
        <v>2018-10-06 21:06:10</v>
      </c>
    </row>
    <row r="22947" spans="1:7" x14ac:dyDescent="0.2">
      <c r="A22947" t="s">
        <v>21386</v>
      </c>
      <c r="B22947" t="str">
        <f>"13562415053"</f>
        <v>13562415053</v>
      </c>
      <c r="C22947" t="str">
        <f>"370828199008141620"</f>
        <v>370828199008141620</v>
      </c>
      <c r="D22947" t="s">
        <v>1</v>
      </c>
      <c r="E22947" t="s">
        <v>1</v>
      </c>
      <c r="F22947" t="s">
        <v>0</v>
      </c>
      <c r="G22947" t="str">
        <f>"2018-10-07 07:27:18"</f>
        <v>2018-10-07 07:27:18</v>
      </c>
    </row>
    <row r="22948" spans="1:7" x14ac:dyDescent="0.2">
      <c r="A22948" t="s">
        <v>21387</v>
      </c>
      <c r="B22948" t="str">
        <f>"18750006975"</f>
        <v>18750006975</v>
      </c>
      <c r="C22948" t="str">
        <f>"350322199210215612"</f>
        <v>350322199210215612</v>
      </c>
      <c r="D22948" t="s">
        <v>21388</v>
      </c>
      <c r="E22948" t="s">
        <v>21389</v>
      </c>
      <c r="F22948" t="s">
        <v>0</v>
      </c>
      <c r="G22948" t="str">
        <f>"2018-10-06 21:03:53"</f>
        <v>2018-10-06 21:03:53</v>
      </c>
    </row>
    <row r="22949" spans="1:7" x14ac:dyDescent="0.2">
      <c r="A22949" t="s">
        <v>1</v>
      </c>
      <c r="B22949" t="str">
        <f>"15280551450"</f>
        <v>15280551450</v>
      </c>
      <c r="C22949" t="s">
        <v>1</v>
      </c>
      <c r="D22949" t="s">
        <v>1</v>
      </c>
      <c r="E22949" t="s">
        <v>1</v>
      </c>
      <c r="F22949" t="s">
        <v>0</v>
      </c>
      <c r="G22949" t="str">
        <f>"2018-10-06 21:02:21"</f>
        <v>2018-10-06 21:02:21</v>
      </c>
    </row>
    <row r="22950" spans="1:7" x14ac:dyDescent="0.2">
      <c r="A22950" t="s">
        <v>21390</v>
      </c>
      <c r="B22950" t="str">
        <f>"18115621032"</f>
        <v>18115621032</v>
      </c>
      <c r="C22950" t="str">
        <f>"612321199202067110"</f>
        <v>612321199202067110</v>
      </c>
      <c r="D22950" t="s">
        <v>1</v>
      </c>
      <c r="E22950" t="s">
        <v>1</v>
      </c>
      <c r="F22950" t="s">
        <v>0</v>
      </c>
      <c r="G22950" t="str">
        <f>"2018-10-06 21:02:55"</f>
        <v>2018-10-06 21:02:55</v>
      </c>
    </row>
    <row r="22951" spans="1:7" x14ac:dyDescent="0.2">
      <c r="A22951" t="s">
        <v>1</v>
      </c>
      <c r="B22951" t="str">
        <f>"15707166714"</f>
        <v>15707166714</v>
      </c>
      <c r="C22951" t="s">
        <v>1</v>
      </c>
      <c r="D22951" t="s">
        <v>1</v>
      </c>
      <c r="E22951" t="s">
        <v>1</v>
      </c>
      <c r="F22951" t="s">
        <v>0</v>
      </c>
      <c r="G22951" t="str">
        <f>"2018-10-06 20:59:40"</f>
        <v>2018-10-06 20:59:40</v>
      </c>
    </row>
    <row r="22952" spans="1:7" x14ac:dyDescent="0.2">
      <c r="A22952" t="s">
        <v>21391</v>
      </c>
      <c r="B22952" t="str">
        <f>"18807812743"</f>
        <v>18807812743</v>
      </c>
      <c r="C22952" t="str">
        <f>"450802199112153206"</f>
        <v>450802199112153206</v>
      </c>
      <c r="D22952" t="s">
        <v>1</v>
      </c>
      <c r="E22952" t="s">
        <v>1</v>
      </c>
      <c r="F22952" t="s">
        <v>0</v>
      </c>
      <c r="G22952" t="str">
        <f>"2018-10-06 20:58:11"</f>
        <v>2018-10-06 20:58:11</v>
      </c>
    </row>
    <row r="22953" spans="1:7" x14ac:dyDescent="0.2">
      <c r="A22953" t="s">
        <v>1</v>
      </c>
      <c r="B22953" t="str">
        <f>"18153658954"</f>
        <v>18153658954</v>
      </c>
      <c r="C22953" t="s">
        <v>1</v>
      </c>
      <c r="D22953" t="s">
        <v>1</v>
      </c>
      <c r="E22953" t="s">
        <v>1</v>
      </c>
      <c r="F22953" t="s">
        <v>0</v>
      </c>
      <c r="G22953" t="str">
        <f>"2018-10-06 20:56:40"</f>
        <v>2018-10-06 20:56:40</v>
      </c>
    </row>
    <row r="22954" spans="1:7" x14ac:dyDescent="0.2">
      <c r="A22954" t="s">
        <v>21392</v>
      </c>
      <c r="B22954" t="str">
        <f>"13777333511"</f>
        <v>13777333511</v>
      </c>
      <c r="C22954" t="str">
        <f>"330621198902236352"</f>
        <v>330621198902236352</v>
      </c>
      <c r="D22954" t="s">
        <v>1</v>
      </c>
      <c r="E22954" t="s">
        <v>1</v>
      </c>
      <c r="F22954" t="s">
        <v>0</v>
      </c>
      <c r="G22954" t="str">
        <f>"2018-10-07 04:20:58"</f>
        <v>2018-10-07 04:20:58</v>
      </c>
    </row>
    <row r="22955" spans="1:7" x14ac:dyDescent="0.2">
      <c r="A22955" t="s">
        <v>21393</v>
      </c>
      <c r="B22955" t="str">
        <f>"17604562346"</f>
        <v>17604562346</v>
      </c>
      <c r="C22955" t="str">
        <f>"232127199212241617"</f>
        <v>232127199212241617</v>
      </c>
      <c r="D22955" t="s">
        <v>1</v>
      </c>
      <c r="E22955" t="s">
        <v>1</v>
      </c>
      <c r="F22955" t="s">
        <v>0</v>
      </c>
      <c r="G22955" t="str">
        <f>"2018-10-06 20:58:04"</f>
        <v>2018-10-06 20:58:04</v>
      </c>
    </row>
    <row r="22956" spans="1:7" x14ac:dyDescent="0.2">
      <c r="A22956" t="s">
        <v>146</v>
      </c>
      <c r="B22956" t="str">
        <f>"13503239444"</f>
        <v>13503239444</v>
      </c>
      <c r="C22956" t="str">
        <f>"130322198208230033"</f>
        <v>130322198208230033</v>
      </c>
      <c r="D22956" t="s">
        <v>1</v>
      </c>
      <c r="E22956" t="s">
        <v>1</v>
      </c>
      <c r="F22956" t="s">
        <v>0</v>
      </c>
      <c r="G22956" t="str">
        <f>"2018-10-07 10:28:47"</f>
        <v>2018-10-07 10:28:47</v>
      </c>
    </row>
    <row r="22957" spans="1:7" x14ac:dyDescent="0.2">
      <c r="A22957" t="s">
        <v>21394</v>
      </c>
      <c r="B22957" t="str">
        <f>"15151280703"</f>
        <v>15151280703</v>
      </c>
      <c r="C22957" t="str">
        <f>"32072419960714003X"</f>
        <v>32072419960714003X</v>
      </c>
      <c r="D22957" t="s">
        <v>21395</v>
      </c>
      <c r="E22957" t="s">
        <v>21396</v>
      </c>
      <c r="F22957" t="s">
        <v>0</v>
      </c>
      <c r="G22957" t="str">
        <f>"2018-10-06 21:19:01"</f>
        <v>2018-10-06 21:19:01</v>
      </c>
    </row>
    <row r="22958" spans="1:7" x14ac:dyDescent="0.2">
      <c r="A22958" t="s">
        <v>1</v>
      </c>
      <c r="B22958" t="str">
        <f>"13620649083"</f>
        <v>13620649083</v>
      </c>
      <c r="C22958" t="s">
        <v>1</v>
      </c>
      <c r="D22958" t="s">
        <v>1</v>
      </c>
      <c r="E22958" t="s">
        <v>1</v>
      </c>
      <c r="F22958" t="s">
        <v>0</v>
      </c>
      <c r="G22958" t="str">
        <f>"2018-10-06 20:54:04"</f>
        <v>2018-10-06 20:54:04</v>
      </c>
    </row>
    <row r="22959" spans="1:7" x14ac:dyDescent="0.2">
      <c r="A22959" t="s">
        <v>21397</v>
      </c>
      <c r="B22959" t="str">
        <f>"15155032440"</f>
        <v>15155032440</v>
      </c>
      <c r="C22959" t="str">
        <f>"341125199404040758"</f>
        <v>341125199404040758</v>
      </c>
      <c r="D22959" t="s">
        <v>1</v>
      </c>
      <c r="E22959" t="s">
        <v>1</v>
      </c>
      <c r="F22959" t="s">
        <v>0</v>
      </c>
      <c r="G22959" t="str">
        <f>"2018-10-22 16:10:16"</f>
        <v>2018-10-22 16:10:16</v>
      </c>
    </row>
    <row r="22960" spans="1:7" x14ac:dyDescent="0.2">
      <c r="A22960" t="s">
        <v>21398</v>
      </c>
      <c r="B22960" t="str">
        <f>"15114123567"</f>
        <v>15114123567</v>
      </c>
      <c r="C22960" t="str">
        <f>"210624198710080025"</f>
        <v>210624198710080025</v>
      </c>
      <c r="D22960" t="s">
        <v>21399</v>
      </c>
      <c r="E22960" t="s">
        <v>21400</v>
      </c>
      <c r="F22960" t="s">
        <v>0</v>
      </c>
      <c r="G22960" t="str">
        <f>"2018-10-06 21:01:35"</f>
        <v>2018-10-06 21:01:35</v>
      </c>
    </row>
    <row r="22961" spans="1:7" x14ac:dyDescent="0.2">
      <c r="A22961" t="s">
        <v>21401</v>
      </c>
      <c r="B22961" t="str">
        <f>"18258989301"</f>
        <v>18258989301</v>
      </c>
      <c r="C22961" t="str">
        <f>"36232619950926061X"</f>
        <v>36232619950926061X</v>
      </c>
      <c r="D22961" t="s">
        <v>21402</v>
      </c>
      <c r="E22961" t="s">
        <v>21403</v>
      </c>
      <c r="F22961" t="s">
        <v>0</v>
      </c>
      <c r="G22961" t="str">
        <f>"2018-10-06 20:49:11"</f>
        <v>2018-10-06 20:49:11</v>
      </c>
    </row>
    <row r="22962" spans="1:7" x14ac:dyDescent="0.2">
      <c r="A22962" t="s">
        <v>21404</v>
      </c>
      <c r="B22962" t="str">
        <f>"15678623747"</f>
        <v>15678623747</v>
      </c>
      <c r="C22962" t="str">
        <f>"45090219940607295X"</f>
        <v>45090219940607295X</v>
      </c>
      <c r="D22962" t="s">
        <v>1</v>
      </c>
      <c r="E22962" t="s">
        <v>1</v>
      </c>
      <c r="F22962" t="s">
        <v>0</v>
      </c>
      <c r="G22962" t="str">
        <f>"2018-10-06 20:50:37"</f>
        <v>2018-10-06 20:50:37</v>
      </c>
    </row>
    <row r="22963" spans="1:7" x14ac:dyDescent="0.2">
      <c r="A22963" t="s">
        <v>1060</v>
      </c>
      <c r="B22963" t="str">
        <f>"13707996089"</f>
        <v>13707996089</v>
      </c>
      <c r="C22963" t="str">
        <f>"360302197507081026"</f>
        <v>360302197507081026</v>
      </c>
      <c r="D22963" t="s">
        <v>1</v>
      </c>
      <c r="E22963" t="s">
        <v>1</v>
      </c>
      <c r="F22963" t="s">
        <v>0</v>
      </c>
      <c r="G22963" t="str">
        <f>"2018-10-06 20:53:25"</f>
        <v>2018-10-06 20:53:25</v>
      </c>
    </row>
    <row r="22964" spans="1:7" x14ac:dyDescent="0.2">
      <c r="A22964" t="s">
        <v>21405</v>
      </c>
      <c r="B22964" t="str">
        <f>"15253989095"</f>
        <v>15253989095</v>
      </c>
      <c r="C22964" t="str">
        <f>"371321198909265051"</f>
        <v>371321198909265051</v>
      </c>
      <c r="D22964" t="s">
        <v>1</v>
      </c>
      <c r="E22964" t="s">
        <v>1</v>
      </c>
      <c r="F22964" t="s">
        <v>0</v>
      </c>
      <c r="G22964" t="str">
        <f>"2018-10-06 20:50:19"</f>
        <v>2018-10-06 20:50:19</v>
      </c>
    </row>
    <row r="22965" spans="1:7" x14ac:dyDescent="0.2">
      <c r="A22965" t="s">
        <v>21406</v>
      </c>
      <c r="B22965" t="str">
        <f>"13717865582"</f>
        <v>13717865582</v>
      </c>
      <c r="C22965" t="str">
        <f>"412727199512216161"</f>
        <v>412727199512216161</v>
      </c>
      <c r="D22965" t="s">
        <v>1</v>
      </c>
      <c r="E22965" t="s">
        <v>1</v>
      </c>
      <c r="F22965" t="s">
        <v>0</v>
      </c>
      <c r="G22965" t="str">
        <f>"2018-10-06 20:47:19"</f>
        <v>2018-10-06 20:47:19</v>
      </c>
    </row>
    <row r="22966" spans="1:7" x14ac:dyDescent="0.2">
      <c r="A22966" t="s">
        <v>1</v>
      </c>
      <c r="B22966" t="str">
        <f>"18295805551"</f>
        <v>18295805551</v>
      </c>
      <c r="C22966" t="s">
        <v>1</v>
      </c>
      <c r="D22966" t="s">
        <v>1</v>
      </c>
      <c r="E22966" t="s">
        <v>1</v>
      </c>
      <c r="F22966" t="s">
        <v>0</v>
      </c>
      <c r="G22966" t="str">
        <f>"2018-10-06 20:46:59"</f>
        <v>2018-10-06 20:46:59</v>
      </c>
    </row>
    <row r="22967" spans="1:7" x14ac:dyDescent="0.2">
      <c r="A22967" t="s">
        <v>21407</v>
      </c>
      <c r="B22967" t="str">
        <f>"15146080267"</f>
        <v>15146080267</v>
      </c>
      <c r="C22967" t="str">
        <f>"232101198007205811"</f>
        <v>232101198007205811</v>
      </c>
      <c r="D22967" t="s">
        <v>1</v>
      </c>
      <c r="E22967" t="s">
        <v>1</v>
      </c>
      <c r="F22967" t="s">
        <v>0</v>
      </c>
      <c r="G22967" t="str">
        <f>"2018-10-06 20:48:19"</f>
        <v>2018-10-06 20:48:19</v>
      </c>
    </row>
    <row r="22968" spans="1:7" x14ac:dyDescent="0.2">
      <c r="A22968" t="s">
        <v>1</v>
      </c>
      <c r="B22968" t="str">
        <f>"13929378068"</f>
        <v>13929378068</v>
      </c>
      <c r="C22968" t="s">
        <v>1</v>
      </c>
      <c r="D22968" t="s">
        <v>1</v>
      </c>
      <c r="E22968" t="s">
        <v>1</v>
      </c>
      <c r="F22968" t="s">
        <v>0</v>
      </c>
      <c r="G22968" t="str">
        <f>"2018-10-06 20:45:02"</f>
        <v>2018-10-06 20:45:02</v>
      </c>
    </row>
    <row r="22969" spans="1:7" x14ac:dyDescent="0.2">
      <c r="A22969" t="s">
        <v>21408</v>
      </c>
      <c r="B22969" t="str">
        <f>"18681605217"</f>
        <v>18681605217</v>
      </c>
      <c r="C22969" t="str">
        <f>"360722199109250038"</f>
        <v>360722199109250038</v>
      </c>
      <c r="D22969" t="s">
        <v>1</v>
      </c>
      <c r="E22969" t="s">
        <v>1</v>
      </c>
      <c r="F22969" t="s">
        <v>0</v>
      </c>
      <c r="G22969" t="str">
        <f>"2018-10-06 21:08:14"</f>
        <v>2018-10-06 21:08:14</v>
      </c>
    </row>
    <row r="22970" spans="1:7" x14ac:dyDescent="0.2">
      <c r="A22970" t="s">
        <v>1</v>
      </c>
      <c r="B22970" t="str">
        <f>"18666784989"</f>
        <v>18666784989</v>
      </c>
      <c r="C22970" t="s">
        <v>1</v>
      </c>
      <c r="D22970" t="s">
        <v>1</v>
      </c>
      <c r="E22970" t="s">
        <v>1</v>
      </c>
      <c r="F22970" t="s">
        <v>0</v>
      </c>
      <c r="G22970" t="str">
        <f>"2018-10-06 20:40:23"</f>
        <v>2018-10-06 20:40:23</v>
      </c>
    </row>
    <row r="22971" spans="1:7" x14ac:dyDescent="0.2">
      <c r="A22971" t="s">
        <v>21409</v>
      </c>
      <c r="B22971" t="str">
        <f>"18391336768"</f>
        <v>18391336768</v>
      </c>
      <c r="C22971" t="str">
        <f>"612128197810074327"</f>
        <v>612128197810074327</v>
      </c>
      <c r="D22971" t="s">
        <v>1</v>
      </c>
      <c r="E22971" t="s">
        <v>1</v>
      </c>
      <c r="F22971" t="s">
        <v>0</v>
      </c>
      <c r="G22971" t="str">
        <f>"2018-10-06 20:39:38"</f>
        <v>2018-10-06 20:39:38</v>
      </c>
    </row>
    <row r="22972" spans="1:7" x14ac:dyDescent="0.2">
      <c r="A22972" t="s">
        <v>21410</v>
      </c>
      <c r="B22972" t="str">
        <f>"18678139550"</f>
        <v>18678139550</v>
      </c>
      <c r="C22972" t="str">
        <f>"370125199606167014"</f>
        <v>370125199606167014</v>
      </c>
      <c r="D22972" t="s">
        <v>1</v>
      </c>
      <c r="E22972" t="s">
        <v>1</v>
      </c>
      <c r="F22972" t="s">
        <v>0</v>
      </c>
      <c r="G22972" t="str">
        <f>"2018-10-06 20:38:22"</f>
        <v>2018-10-06 20:38:22</v>
      </c>
    </row>
    <row r="22973" spans="1:7" x14ac:dyDescent="0.2">
      <c r="A22973" t="s">
        <v>267</v>
      </c>
      <c r="B22973" t="str">
        <f>"18616511356"</f>
        <v>18616511356</v>
      </c>
      <c r="C22973" t="str">
        <f>"310114197812052438"</f>
        <v>310114197812052438</v>
      </c>
      <c r="D22973" t="s">
        <v>1</v>
      </c>
      <c r="E22973" t="s">
        <v>1</v>
      </c>
      <c r="F22973" t="s">
        <v>0</v>
      </c>
      <c r="G22973" t="str">
        <f>"2018-10-06 20:43:02"</f>
        <v>2018-10-06 20:43:02</v>
      </c>
    </row>
    <row r="22974" spans="1:7" x14ac:dyDescent="0.2">
      <c r="A22974" t="s">
        <v>21411</v>
      </c>
      <c r="B22974" t="str">
        <f>"13570376987"</f>
        <v>13570376987</v>
      </c>
      <c r="C22974" t="str">
        <f>"44538119921210404X"</f>
        <v>44538119921210404X</v>
      </c>
      <c r="D22974" t="s">
        <v>1</v>
      </c>
      <c r="E22974" t="s">
        <v>1</v>
      </c>
      <c r="F22974" t="s">
        <v>0</v>
      </c>
      <c r="G22974" t="str">
        <f>"2018-10-06 20:56:50"</f>
        <v>2018-10-06 20:56:50</v>
      </c>
    </row>
    <row r="22975" spans="1:7" x14ac:dyDescent="0.2">
      <c r="A22975" t="s">
        <v>21412</v>
      </c>
      <c r="B22975" t="str">
        <f>"13804507236"</f>
        <v>13804507236</v>
      </c>
      <c r="C22975" t="str">
        <f>"230103198707124247"</f>
        <v>230103198707124247</v>
      </c>
      <c r="D22975" t="s">
        <v>21413</v>
      </c>
      <c r="E22975" t="s">
        <v>21414</v>
      </c>
      <c r="F22975" t="s">
        <v>0</v>
      </c>
      <c r="G22975" t="str">
        <f>"2018-10-13 14:35:18"</f>
        <v>2018-10-13 14:35:18</v>
      </c>
    </row>
    <row r="22976" spans="1:7" x14ac:dyDescent="0.2">
      <c r="A22976" t="s">
        <v>21415</v>
      </c>
      <c r="B22976" t="str">
        <f>"17326365554"</f>
        <v>17326365554</v>
      </c>
      <c r="C22976" t="str">
        <f>"622301199406072663"</f>
        <v>622301199406072663</v>
      </c>
      <c r="D22976" t="s">
        <v>1</v>
      </c>
      <c r="E22976" t="s">
        <v>1</v>
      </c>
      <c r="F22976" t="s">
        <v>0</v>
      </c>
      <c r="G22976" t="str">
        <f>"2018-10-06 20:37:41"</f>
        <v>2018-10-06 20:37:41</v>
      </c>
    </row>
    <row r="22977" spans="1:7" x14ac:dyDescent="0.2">
      <c r="A22977" t="s">
        <v>21416</v>
      </c>
      <c r="B22977" t="str">
        <f>"15345603636"</f>
        <v>15345603636</v>
      </c>
      <c r="C22977" t="str">
        <f>"441522198011210738"</f>
        <v>441522198011210738</v>
      </c>
      <c r="D22977" t="s">
        <v>1</v>
      </c>
      <c r="E22977" t="s">
        <v>1</v>
      </c>
      <c r="F22977" t="s">
        <v>0</v>
      </c>
      <c r="G22977" t="str">
        <f>"2018-10-06 20:35:33"</f>
        <v>2018-10-06 20:35:33</v>
      </c>
    </row>
    <row r="22978" spans="1:7" x14ac:dyDescent="0.2">
      <c r="A22978" t="s">
        <v>21417</v>
      </c>
      <c r="B22978" t="str">
        <f>"13822252486"</f>
        <v>13822252486</v>
      </c>
      <c r="C22978" t="str">
        <f>"622822198911290332"</f>
        <v>622822198911290332</v>
      </c>
      <c r="D22978" t="s">
        <v>1</v>
      </c>
      <c r="E22978" t="s">
        <v>1</v>
      </c>
      <c r="F22978" t="s">
        <v>0</v>
      </c>
      <c r="G22978" t="str">
        <f>"2018-10-13 14:29:53"</f>
        <v>2018-10-13 14:29:53</v>
      </c>
    </row>
    <row r="22979" spans="1:7" x14ac:dyDescent="0.2">
      <c r="A22979" t="s">
        <v>21418</v>
      </c>
      <c r="B22979" t="str">
        <f>"18202245881"</f>
        <v>18202245881</v>
      </c>
      <c r="C22979" t="str">
        <f>"372901198711304324"</f>
        <v>372901198711304324</v>
      </c>
      <c r="D22979" t="s">
        <v>1</v>
      </c>
      <c r="E22979" t="s">
        <v>1</v>
      </c>
      <c r="F22979" t="s">
        <v>0</v>
      </c>
      <c r="G22979" t="str">
        <f>"2018-10-13 12:47:16"</f>
        <v>2018-10-13 12:47:16</v>
      </c>
    </row>
    <row r="22980" spans="1:7" x14ac:dyDescent="0.2">
      <c r="A22980" t="s">
        <v>21419</v>
      </c>
      <c r="B22980" t="str">
        <f>"18556917588"</f>
        <v>18556917588</v>
      </c>
      <c r="C22980" t="str">
        <f>"320582198910123919"</f>
        <v>320582198910123919</v>
      </c>
      <c r="D22980" t="s">
        <v>21420</v>
      </c>
      <c r="E22980" t="s">
        <v>21421</v>
      </c>
      <c r="F22980" t="s">
        <v>0</v>
      </c>
      <c r="G22980" t="str">
        <f>"2018-10-06 20:34:28"</f>
        <v>2018-10-06 20:34:28</v>
      </c>
    </row>
    <row r="22981" spans="1:7" x14ac:dyDescent="0.2">
      <c r="A22981" t="s">
        <v>21422</v>
      </c>
      <c r="B22981" t="str">
        <f>"18322013412"</f>
        <v>18322013412</v>
      </c>
      <c r="C22981" t="str">
        <f>"120222199112152429"</f>
        <v>120222199112152429</v>
      </c>
      <c r="D22981" t="s">
        <v>1</v>
      </c>
      <c r="E22981" t="s">
        <v>1</v>
      </c>
      <c r="F22981" t="s">
        <v>0</v>
      </c>
      <c r="G22981" t="str">
        <f>"2018-10-06 20:37:43"</f>
        <v>2018-10-06 20:37:43</v>
      </c>
    </row>
    <row r="22982" spans="1:7" x14ac:dyDescent="0.2">
      <c r="A22982" t="s">
        <v>21423</v>
      </c>
      <c r="B22982" t="str">
        <f>"13678753689"</f>
        <v>13678753689</v>
      </c>
      <c r="C22982" t="str">
        <f>"532129198410302125"</f>
        <v>532129198410302125</v>
      </c>
      <c r="D22982" t="s">
        <v>1</v>
      </c>
      <c r="E22982" t="s">
        <v>1</v>
      </c>
      <c r="F22982" t="s">
        <v>0</v>
      </c>
      <c r="G22982" t="str">
        <f>"2018-10-06 20:30:49"</f>
        <v>2018-10-06 20:30:49</v>
      </c>
    </row>
    <row r="22983" spans="1:7" x14ac:dyDescent="0.2">
      <c r="A22983" t="s">
        <v>1</v>
      </c>
      <c r="B22983" t="str">
        <f>"13178101556"</f>
        <v>13178101556</v>
      </c>
      <c r="C22983" t="s">
        <v>1</v>
      </c>
      <c r="D22983" t="s">
        <v>1</v>
      </c>
      <c r="E22983" t="s">
        <v>1</v>
      </c>
      <c r="F22983" t="s">
        <v>0</v>
      </c>
      <c r="G22983" t="str">
        <f>"2018-10-06 20:30:35"</f>
        <v>2018-10-06 20:30:35</v>
      </c>
    </row>
    <row r="22984" spans="1:7" x14ac:dyDescent="0.2">
      <c r="A22984" t="s">
        <v>21424</v>
      </c>
      <c r="B22984" t="str">
        <f>"18365602266"</f>
        <v>18365602266</v>
      </c>
      <c r="C22984" t="str">
        <f>"130632198711203517"</f>
        <v>130632198711203517</v>
      </c>
      <c r="D22984" t="s">
        <v>1</v>
      </c>
      <c r="E22984" t="s">
        <v>1</v>
      </c>
      <c r="F22984" t="s">
        <v>0</v>
      </c>
      <c r="G22984" t="str">
        <f>"2018-10-06 20:32:02"</f>
        <v>2018-10-06 20:32:02</v>
      </c>
    </row>
    <row r="22985" spans="1:7" x14ac:dyDescent="0.2">
      <c r="A22985" t="s">
        <v>21425</v>
      </c>
      <c r="B22985" t="str">
        <f>"18762633062"</f>
        <v>18762633062</v>
      </c>
      <c r="C22985" t="str">
        <f>"320721199902043428"</f>
        <v>320721199902043428</v>
      </c>
      <c r="D22985" t="s">
        <v>1</v>
      </c>
      <c r="E22985" t="s">
        <v>1</v>
      </c>
      <c r="F22985" t="s">
        <v>0</v>
      </c>
      <c r="G22985" t="str">
        <f>"2018-10-06 20:36:07"</f>
        <v>2018-10-06 20:36:07</v>
      </c>
    </row>
    <row r="22986" spans="1:7" x14ac:dyDescent="0.2">
      <c r="A22986" t="s">
        <v>21426</v>
      </c>
      <c r="B22986" t="str">
        <f>"18802953432"</f>
        <v>18802953432</v>
      </c>
      <c r="C22986" t="str">
        <f>"620521199301204134"</f>
        <v>620521199301204134</v>
      </c>
      <c r="D22986" t="s">
        <v>1</v>
      </c>
      <c r="E22986" t="s">
        <v>1</v>
      </c>
      <c r="F22986" t="s">
        <v>0</v>
      </c>
      <c r="G22986" t="str">
        <f>"2018-10-06 20:32:54"</f>
        <v>2018-10-06 20:32:54</v>
      </c>
    </row>
    <row r="22987" spans="1:7" x14ac:dyDescent="0.2">
      <c r="A22987" t="s">
        <v>21427</v>
      </c>
      <c r="B22987" t="str">
        <f>"13526766673"</f>
        <v>13526766673</v>
      </c>
      <c r="C22987" t="str">
        <f>"410181198609046911"</f>
        <v>410181198609046911</v>
      </c>
      <c r="D22987" t="s">
        <v>1</v>
      </c>
      <c r="E22987" t="s">
        <v>1</v>
      </c>
      <c r="F22987" t="s">
        <v>0</v>
      </c>
      <c r="G22987" t="str">
        <f>"2018-10-19 14:08:33"</f>
        <v>2018-10-19 14:08:33</v>
      </c>
    </row>
    <row r="22988" spans="1:7" x14ac:dyDescent="0.2">
      <c r="A22988" t="s">
        <v>1586</v>
      </c>
      <c r="B22988" t="str">
        <f>"15138521398"</f>
        <v>15138521398</v>
      </c>
      <c r="C22988" t="str">
        <f>"410922198912016364"</f>
        <v>410922198912016364</v>
      </c>
      <c r="D22988" t="s">
        <v>1</v>
      </c>
      <c r="E22988" t="s">
        <v>1</v>
      </c>
      <c r="F22988" t="s">
        <v>0</v>
      </c>
      <c r="G22988" t="str">
        <f>"2018-10-06 20:28:30"</f>
        <v>2018-10-06 20:28:30</v>
      </c>
    </row>
    <row r="22989" spans="1:7" x14ac:dyDescent="0.2">
      <c r="A22989" t="s">
        <v>21428</v>
      </c>
      <c r="B22989" t="str">
        <f>"13004853490"</f>
        <v>13004853490</v>
      </c>
      <c r="C22989" t="str">
        <f>"350525198806133058"</f>
        <v>350525198806133058</v>
      </c>
      <c r="D22989" t="s">
        <v>21429</v>
      </c>
      <c r="E22989" t="s">
        <v>21430</v>
      </c>
      <c r="F22989" t="s">
        <v>0</v>
      </c>
      <c r="G22989" t="str">
        <f>"2018-10-06 20:28:47"</f>
        <v>2018-10-06 20:28:47</v>
      </c>
    </row>
    <row r="22990" spans="1:7" x14ac:dyDescent="0.2">
      <c r="A22990" t="s">
        <v>21431</v>
      </c>
      <c r="B22990" t="str">
        <f>"13677082072"</f>
        <v>13677082072</v>
      </c>
      <c r="C22990" t="str">
        <f>"360121199404067851"</f>
        <v>360121199404067851</v>
      </c>
      <c r="D22990" t="s">
        <v>1</v>
      </c>
      <c r="E22990" t="s">
        <v>1</v>
      </c>
      <c r="F22990" t="s">
        <v>0</v>
      </c>
      <c r="G22990" t="str">
        <f>"2018-10-06 20:29:44"</f>
        <v>2018-10-06 20:29:44</v>
      </c>
    </row>
    <row r="22991" spans="1:7" x14ac:dyDescent="0.2">
      <c r="A22991" t="s">
        <v>21432</v>
      </c>
      <c r="B22991" t="str">
        <f>"15679566380"</f>
        <v>15679566380</v>
      </c>
      <c r="C22991" t="str">
        <f>"362202199007283030"</f>
        <v>362202199007283030</v>
      </c>
      <c r="D22991" t="s">
        <v>1</v>
      </c>
      <c r="E22991" t="s">
        <v>1</v>
      </c>
      <c r="F22991" t="s">
        <v>0</v>
      </c>
      <c r="G22991" t="str">
        <f>"2018-10-17 14:15:47"</f>
        <v>2018-10-17 14:15:47</v>
      </c>
    </row>
    <row r="22992" spans="1:7" x14ac:dyDescent="0.2">
      <c r="A22992" t="s">
        <v>21433</v>
      </c>
      <c r="B22992" t="str">
        <f>"13674814740"</f>
        <v>13674814740</v>
      </c>
      <c r="C22992" t="str">
        <f>"15263019930818451X"</f>
        <v>15263019930818451X</v>
      </c>
      <c r="D22992" t="s">
        <v>1</v>
      </c>
      <c r="E22992" t="s">
        <v>1</v>
      </c>
      <c r="F22992" t="s">
        <v>0</v>
      </c>
      <c r="G22992" t="str">
        <f>"2018-10-06 20:56:40"</f>
        <v>2018-10-06 20:56:40</v>
      </c>
    </row>
    <row r="22993" spans="1:7" x14ac:dyDescent="0.2">
      <c r="A22993" t="s">
        <v>21434</v>
      </c>
      <c r="B22993" t="str">
        <f>"15853772220"</f>
        <v>15853772220</v>
      </c>
      <c r="C22993" t="str">
        <f>"370811198806140516"</f>
        <v>370811198806140516</v>
      </c>
      <c r="D22993" t="s">
        <v>1</v>
      </c>
      <c r="E22993" t="s">
        <v>1</v>
      </c>
      <c r="F22993" t="s">
        <v>0</v>
      </c>
      <c r="G22993" t="str">
        <f>"2018-10-06 20:25:38"</f>
        <v>2018-10-06 20:25:38</v>
      </c>
    </row>
    <row r="22994" spans="1:7" x14ac:dyDescent="0.2">
      <c r="A22994" t="s">
        <v>21435</v>
      </c>
      <c r="B22994" t="str">
        <f>"18931277551"</f>
        <v>18931277551</v>
      </c>
      <c r="C22994" t="str">
        <f>"230204198602250425"</f>
        <v>230204198602250425</v>
      </c>
      <c r="D22994" t="s">
        <v>1</v>
      </c>
      <c r="E22994" t="s">
        <v>1</v>
      </c>
      <c r="F22994" t="s">
        <v>0</v>
      </c>
      <c r="G22994" t="str">
        <f>"2018-10-06 20:28:24"</f>
        <v>2018-10-06 20:28:24</v>
      </c>
    </row>
    <row r="22995" spans="1:7" x14ac:dyDescent="0.2">
      <c r="A22995" t="s">
        <v>1</v>
      </c>
      <c r="B22995" t="str">
        <f>"15656654666"</f>
        <v>15656654666</v>
      </c>
      <c r="C22995" t="s">
        <v>1</v>
      </c>
      <c r="D22995" t="s">
        <v>1</v>
      </c>
      <c r="E22995" t="s">
        <v>1</v>
      </c>
      <c r="F22995" t="s">
        <v>0</v>
      </c>
      <c r="G22995" t="str">
        <f>"2018-10-06 20:23:31"</f>
        <v>2018-10-06 20:23:31</v>
      </c>
    </row>
    <row r="22996" spans="1:7" x14ac:dyDescent="0.2">
      <c r="A22996" t="s">
        <v>21436</v>
      </c>
      <c r="B22996" t="str">
        <f>"18387908605"</f>
        <v>18387908605</v>
      </c>
      <c r="C22996" t="str">
        <f>"532723199511201525"</f>
        <v>532723199511201525</v>
      </c>
      <c r="D22996" t="s">
        <v>1</v>
      </c>
      <c r="E22996" t="s">
        <v>1</v>
      </c>
      <c r="F22996" t="s">
        <v>0</v>
      </c>
      <c r="G22996" t="str">
        <f>"2018-10-17 08:19:11"</f>
        <v>2018-10-17 08:19:11</v>
      </c>
    </row>
    <row r="22997" spans="1:7" x14ac:dyDescent="0.2">
      <c r="A22997" t="s">
        <v>1</v>
      </c>
      <c r="B22997" t="str">
        <f>"15107721704"</f>
        <v>15107721704</v>
      </c>
      <c r="C22997" t="s">
        <v>1</v>
      </c>
      <c r="D22997" t="s">
        <v>1</v>
      </c>
      <c r="E22997" t="s">
        <v>1</v>
      </c>
      <c r="F22997" t="s">
        <v>0</v>
      </c>
      <c r="G22997" t="str">
        <f>"2018-10-06 20:21:22"</f>
        <v>2018-10-06 20:21:22</v>
      </c>
    </row>
    <row r="22998" spans="1:7" x14ac:dyDescent="0.2">
      <c r="A22998" t="s">
        <v>21437</v>
      </c>
      <c r="B22998" t="str">
        <f>"15926543317"</f>
        <v>15926543317</v>
      </c>
      <c r="C22998" t="str">
        <f>"421003198501012339"</f>
        <v>421003198501012339</v>
      </c>
      <c r="D22998" t="s">
        <v>21438</v>
      </c>
      <c r="E22998" t="s">
        <v>21439</v>
      </c>
      <c r="F22998" t="s">
        <v>0</v>
      </c>
      <c r="G22998" t="str">
        <f>"2018-10-06 20:36:55"</f>
        <v>2018-10-06 20:36:55</v>
      </c>
    </row>
    <row r="22999" spans="1:7" x14ac:dyDescent="0.2">
      <c r="A22999" t="s">
        <v>21440</v>
      </c>
      <c r="B22999" t="str">
        <f>"18082099557"</f>
        <v>18082099557</v>
      </c>
      <c r="C22999" t="str">
        <f>"340321197809240876"</f>
        <v>340321197809240876</v>
      </c>
      <c r="D22999" t="s">
        <v>1</v>
      </c>
      <c r="E22999" t="s">
        <v>1</v>
      </c>
      <c r="F22999" t="s">
        <v>0</v>
      </c>
      <c r="G22999" t="str">
        <f>"2018-10-06 20:24:18"</f>
        <v>2018-10-06 20:24:18</v>
      </c>
    </row>
    <row r="23000" spans="1:7" x14ac:dyDescent="0.2">
      <c r="A23000" t="s">
        <v>21441</v>
      </c>
      <c r="B23000" t="str">
        <f>"15169390809"</f>
        <v>15169390809</v>
      </c>
      <c r="C23000" t="str">
        <f>"152103198803125751"</f>
        <v>152103198803125751</v>
      </c>
      <c r="D23000" t="s">
        <v>1</v>
      </c>
      <c r="E23000" t="s">
        <v>1</v>
      </c>
      <c r="F23000" t="s">
        <v>0</v>
      </c>
      <c r="G23000" t="str">
        <f>"2018-10-06 20:21:14"</f>
        <v>2018-10-06 20:21:14</v>
      </c>
    </row>
    <row r="23001" spans="1:7" x14ac:dyDescent="0.2">
      <c r="A23001" t="s">
        <v>21442</v>
      </c>
      <c r="B23001" t="str">
        <f>"15158151291"</f>
        <v>15158151291</v>
      </c>
      <c r="C23001" t="str">
        <f>"330182198910010543"</f>
        <v>330182198910010543</v>
      </c>
      <c r="D23001" t="s">
        <v>1</v>
      </c>
      <c r="E23001" t="s">
        <v>1</v>
      </c>
      <c r="F23001" t="s">
        <v>0</v>
      </c>
      <c r="G23001" t="str">
        <f>"2018-10-06 20:24:41"</f>
        <v>2018-10-06 20:24:41</v>
      </c>
    </row>
    <row r="23002" spans="1:7" x14ac:dyDescent="0.2">
      <c r="A23002" t="s">
        <v>21443</v>
      </c>
      <c r="B23002" t="str">
        <f>"13841962845"</f>
        <v>13841962845</v>
      </c>
      <c r="C23002" t="str">
        <f>"211021198707290872"</f>
        <v>211021198707290872</v>
      </c>
      <c r="D23002" t="s">
        <v>1</v>
      </c>
      <c r="E23002" t="s">
        <v>1</v>
      </c>
      <c r="F23002" t="s">
        <v>0</v>
      </c>
      <c r="G23002" t="str">
        <f>"2018-10-23 13:39:25"</f>
        <v>2018-10-23 13:39:25</v>
      </c>
    </row>
    <row r="23003" spans="1:7" x14ac:dyDescent="0.2">
      <c r="A23003" t="s">
        <v>21444</v>
      </c>
      <c r="B23003" t="str">
        <f>"13752388183"</f>
        <v>13752388183</v>
      </c>
      <c r="C23003" t="str">
        <f>"130281199506091528"</f>
        <v>130281199506091528</v>
      </c>
      <c r="D23003" t="s">
        <v>1</v>
      </c>
      <c r="E23003" t="s">
        <v>1</v>
      </c>
      <c r="F23003" t="s">
        <v>0</v>
      </c>
      <c r="G23003" t="str">
        <f>"2018-10-06 20:33:37"</f>
        <v>2018-10-06 20:33:37</v>
      </c>
    </row>
    <row r="23004" spans="1:7" x14ac:dyDescent="0.2">
      <c r="A23004" t="s">
        <v>1</v>
      </c>
      <c r="B23004" t="str">
        <f>"13359923690"</f>
        <v>13359923690</v>
      </c>
      <c r="C23004" t="s">
        <v>1</v>
      </c>
      <c r="D23004" t="s">
        <v>1</v>
      </c>
      <c r="E23004" t="s">
        <v>1</v>
      </c>
      <c r="F23004" t="s">
        <v>0</v>
      </c>
      <c r="G23004" t="str">
        <f>"2018-10-06 20:18:39"</f>
        <v>2018-10-06 20:18:39</v>
      </c>
    </row>
    <row r="23005" spans="1:7" x14ac:dyDescent="0.2">
      <c r="A23005" t="s">
        <v>24</v>
      </c>
      <c r="B23005" t="str">
        <f>"13846640478"</f>
        <v>13846640478</v>
      </c>
      <c r="C23005" t="str">
        <f>"230702198603180718"</f>
        <v>230702198603180718</v>
      </c>
      <c r="D23005" t="s">
        <v>1</v>
      </c>
      <c r="E23005" t="s">
        <v>1</v>
      </c>
      <c r="F23005" t="s">
        <v>0</v>
      </c>
      <c r="G23005" t="str">
        <f>"2018-10-07 11:38:22"</f>
        <v>2018-10-07 11:38:22</v>
      </c>
    </row>
    <row r="23006" spans="1:7" x14ac:dyDescent="0.2">
      <c r="A23006" t="s">
        <v>397</v>
      </c>
      <c r="B23006" t="str">
        <f>"18601465809"</f>
        <v>18601465809</v>
      </c>
      <c r="C23006" t="str">
        <f>"320283199006146519"</f>
        <v>320283199006146519</v>
      </c>
      <c r="D23006" t="s">
        <v>1</v>
      </c>
      <c r="E23006" t="s">
        <v>1</v>
      </c>
      <c r="F23006" t="s">
        <v>0</v>
      </c>
      <c r="G23006" t="str">
        <f>"2018-10-06 20:14:56"</f>
        <v>2018-10-06 20:14:56</v>
      </c>
    </row>
    <row r="23007" spans="1:7" x14ac:dyDescent="0.2">
      <c r="A23007" t="s">
        <v>21445</v>
      </c>
      <c r="B23007" t="str">
        <f>"15168034181"</f>
        <v>15168034181</v>
      </c>
      <c r="C23007" t="str">
        <f>"332526199205195113"</f>
        <v>332526199205195113</v>
      </c>
      <c r="D23007" t="s">
        <v>21446</v>
      </c>
      <c r="E23007" t="s">
        <v>21447</v>
      </c>
      <c r="F23007" t="s">
        <v>0</v>
      </c>
      <c r="G23007" t="str">
        <f>"2018-10-06 20:23:55"</f>
        <v>2018-10-06 20:23:55</v>
      </c>
    </row>
    <row r="23008" spans="1:7" x14ac:dyDescent="0.2">
      <c r="A23008" t="s">
        <v>1246</v>
      </c>
      <c r="B23008" t="str">
        <f>"13372966825"</f>
        <v>13372966825</v>
      </c>
      <c r="C23008" t="str">
        <f>"210922199707014519"</f>
        <v>210922199707014519</v>
      </c>
      <c r="D23008" t="s">
        <v>1</v>
      </c>
      <c r="E23008" t="s">
        <v>1</v>
      </c>
      <c r="F23008" t="s">
        <v>0</v>
      </c>
      <c r="G23008" t="str">
        <f>"2018-10-06 20:14:44"</f>
        <v>2018-10-06 20:14:44</v>
      </c>
    </row>
    <row r="23009" spans="1:7" x14ac:dyDescent="0.2">
      <c r="A23009" t="s">
        <v>1</v>
      </c>
      <c r="B23009" t="str">
        <f>"17755203683"</f>
        <v>17755203683</v>
      </c>
      <c r="C23009" t="s">
        <v>1</v>
      </c>
      <c r="D23009" t="s">
        <v>1</v>
      </c>
      <c r="E23009" t="s">
        <v>1</v>
      </c>
      <c r="F23009" t="s">
        <v>0</v>
      </c>
      <c r="G23009" t="str">
        <f>"2018-10-06 20:13:41"</f>
        <v>2018-10-06 20:13:41</v>
      </c>
    </row>
    <row r="23010" spans="1:7" x14ac:dyDescent="0.2">
      <c r="A23010" t="s">
        <v>14610</v>
      </c>
      <c r="B23010" t="str">
        <f>"13695511571"</f>
        <v>13695511571</v>
      </c>
      <c r="C23010" t="str">
        <f>"34040319840303261X"</f>
        <v>34040319840303261X</v>
      </c>
      <c r="D23010" t="s">
        <v>1</v>
      </c>
      <c r="E23010" t="s">
        <v>1</v>
      </c>
      <c r="F23010" t="s">
        <v>0</v>
      </c>
      <c r="G23010" t="str">
        <f>"2018-10-06 20:17:45"</f>
        <v>2018-10-06 20:17:45</v>
      </c>
    </row>
    <row r="23011" spans="1:7" x14ac:dyDescent="0.2">
      <c r="A23011" t="s">
        <v>21448</v>
      </c>
      <c r="B23011" t="str">
        <f>"18380589539"</f>
        <v>18380589539</v>
      </c>
      <c r="C23011" t="str">
        <f>"51072219760113218X"</f>
        <v>51072219760113218X</v>
      </c>
      <c r="D23011" t="s">
        <v>1</v>
      </c>
      <c r="E23011" t="s">
        <v>1</v>
      </c>
      <c r="F23011" t="s">
        <v>0</v>
      </c>
      <c r="G23011" t="str">
        <f>"2018-10-06 20:13:14"</f>
        <v>2018-10-06 20:13:14</v>
      </c>
    </row>
    <row r="23012" spans="1:7" x14ac:dyDescent="0.2">
      <c r="A23012" t="s">
        <v>909</v>
      </c>
      <c r="B23012" t="str">
        <f>"15088655546"</f>
        <v>15088655546</v>
      </c>
      <c r="C23012" t="str">
        <f>"330124197907210730"</f>
        <v>330124197907210730</v>
      </c>
      <c r="D23012" t="s">
        <v>1</v>
      </c>
      <c r="E23012" t="s">
        <v>1</v>
      </c>
      <c r="F23012" t="s">
        <v>0</v>
      </c>
      <c r="G23012" t="str">
        <f>"2018-10-07 10:26:32"</f>
        <v>2018-10-07 10:26:32</v>
      </c>
    </row>
    <row r="23013" spans="1:7" x14ac:dyDescent="0.2">
      <c r="A23013" t="s">
        <v>21449</v>
      </c>
      <c r="B23013" t="str">
        <f>"13416970308"</f>
        <v>13416970308</v>
      </c>
      <c r="C23013" t="str">
        <f>"441900197704101330"</f>
        <v>441900197704101330</v>
      </c>
      <c r="D23013" t="s">
        <v>1</v>
      </c>
      <c r="E23013" t="s">
        <v>1</v>
      </c>
      <c r="F23013" t="s">
        <v>0</v>
      </c>
      <c r="G23013" t="str">
        <f>"2018-10-06 20:12:00"</f>
        <v>2018-10-06 20:12:00</v>
      </c>
    </row>
    <row r="23014" spans="1:7" x14ac:dyDescent="0.2">
      <c r="A23014" t="s">
        <v>21450</v>
      </c>
      <c r="B23014" t="str">
        <f>"13540223314"</f>
        <v>13540223314</v>
      </c>
      <c r="C23014" t="str">
        <f>"510112199508222117"</f>
        <v>510112199508222117</v>
      </c>
      <c r="D23014" t="s">
        <v>1</v>
      </c>
      <c r="E23014" t="s">
        <v>1</v>
      </c>
      <c r="F23014" t="s">
        <v>0</v>
      </c>
      <c r="G23014" t="str">
        <f>"2018-10-06 20:55:45"</f>
        <v>2018-10-06 20:55:45</v>
      </c>
    </row>
    <row r="23015" spans="1:7" x14ac:dyDescent="0.2">
      <c r="A23015" t="s">
        <v>21451</v>
      </c>
      <c r="B23015" t="str">
        <f>"18047972431"</f>
        <v>18047972431</v>
      </c>
      <c r="C23015" t="str">
        <f>"142234199607183420"</f>
        <v>142234199607183420</v>
      </c>
      <c r="D23015" t="s">
        <v>1</v>
      </c>
      <c r="E23015" t="s">
        <v>1</v>
      </c>
      <c r="F23015" t="s">
        <v>0</v>
      </c>
      <c r="G23015" t="str">
        <f>"2018-10-06 20:12:03"</f>
        <v>2018-10-06 20:12:03</v>
      </c>
    </row>
    <row r="23016" spans="1:7" x14ac:dyDescent="0.2">
      <c r="A23016" t="s">
        <v>21452</v>
      </c>
      <c r="B23016" t="str">
        <f>"15660092290"</f>
        <v>15660092290</v>
      </c>
      <c r="C23016" t="str">
        <f>"412727199212035713"</f>
        <v>412727199212035713</v>
      </c>
      <c r="D23016" t="s">
        <v>21453</v>
      </c>
      <c r="E23016" t="s">
        <v>21454</v>
      </c>
      <c r="F23016" t="s">
        <v>0</v>
      </c>
      <c r="G23016" t="str">
        <f>"2018-10-06 20:07:27"</f>
        <v>2018-10-06 20:07:27</v>
      </c>
    </row>
    <row r="23017" spans="1:7" x14ac:dyDescent="0.2">
      <c r="A23017" t="s">
        <v>1</v>
      </c>
      <c r="B23017" t="str">
        <f>"18098436669"</f>
        <v>18098436669</v>
      </c>
      <c r="C23017" t="s">
        <v>1</v>
      </c>
      <c r="D23017" t="s">
        <v>1</v>
      </c>
      <c r="E23017" t="s">
        <v>1</v>
      </c>
      <c r="F23017" t="s">
        <v>0</v>
      </c>
      <c r="G23017" t="str">
        <f>"2018-10-06 20:05:19"</f>
        <v>2018-10-06 20:05:19</v>
      </c>
    </row>
    <row r="23018" spans="1:7" x14ac:dyDescent="0.2">
      <c r="A23018" t="s">
        <v>21455</v>
      </c>
      <c r="B23018" t="str">
        <f>"15920296933"</f>
        <v>15920296933</v>
      </c>
      <c r="C23018" t="str">
        <f>"441900198402127783"</f>
        <v>441900198402127783</v>
      </c>
      <c r="D23018" t="s">
        <v>1</v>
      </c>
      <c r="E23018" t="s">
        <v>1</v>
      </c>
      <c r="F23018" t="s">
        <v>0</v>
      </c>
      <c r="G23018" t="str">
        <f>"2018-10-13 13:35:52"</f>
        <v>2018-10-13 13:35:52</v>
      </c>
    </row>
    <row r="23019" spans="1:7" x14ac:dyDescent="0.2">
      <c r="A23019" t="s">
        <v>1499</v>
      </c>
      <c r="B23019" t="str">
        <f>"15150408937"</f>
        <v>15150408937</v>
      </c>
      <c r="C23019" t="str">
        <f>"420621199505082253"</f>
        <v>420621199505082253</v>
      </c>
      <c r="D23019" t="s">
        <v>1</v>
      </c>
      <c r="E23019" t="s">
        <v>1</v>
      </c>
      <c r="F23019" t="s">
        <v>0</v>
      </c>
      <c r="G23019" t="str">
        <f>"2018-10-06 20:03:57"</f>
        <v>2018-10-06 20:03:57</v>
      </c>
    </row>
    <row r="23020" spans="1:7" x14ac:dyDescent="0.2">
      <c r="A23020" t="s">
        <v>1</v>
      </c>
      <c r="B23020" t="str">
        <f>"18006903620"</f>
        <v>18006903620</v>
      </c>
      <c r="C23020" t="s">
        <v>1</v>
      </c>
      <c r="D23020" t="s">
        <v>1</v>
      </c>
      <c r="E23020" t="s">
        <v>1</v>
      </c>
      <c r="F23020" t="s">
        <v>0</v>
      </c>
      <c r="G23020" t="str">
        <f>"2018-10-06 20:03:15"</f>
        <v>2018-10-06 20:03:15</v>
      </c>
    </row>
    <row r="23021" spans="1:7" x14ac:dyDescent="0.2">
      <c r="A23021" t="s">
        <v>21456</v>
      </c>
      <c r="B23021" t="str">
        <f>"13925575699"</f>
        <v>13925575699</v>
      </c>
      <c r="C23021" t="str">
        <f>"440981198111268858"</f>
        <v>440981198111268858</v>
      </c>
      <c r="D23021" t="s">
        <v>21457</v>
      </c>
      <c r="E23021" t="s">
        <v>21458</v>
      </c>
      <c r="F23021" t="s">
        <v>0</v>
      </c>
      <c r="G23021" t="str">
        <f>"2018-10-06 20:01:58"</f>
        <v>2018-10-06 20:01:58</v>
      </c>
    </row>
    <row r="23022" spans="1:7" x14ac:dyDescent="0.2">
      <c r="A23022" t="s">
        <v>21459</v>
      </c>
      <c r="B23022" t="str">
        <f>"13899507609"</f>
        <v>13899507609</v>
      </c>
      <c r="C23022" t="str">
        <f>"622225198602240311"</f>
        <v>622225198602240311</v>
      </c>
      <c r="D23022" t="s">
        <v>1</v>
      </c>
      <c r="E23022" t="s">
        <v>1</v>
      </c>
      <c r="F23022" t="s">
        <v>0</v>
      </c>
      <c r="G23022" t="str">
        <f>"2018-10-23 16:01:25"</f>
        <v>2018-10-23 16:01:25</v>
      </c>
    </row>
    <row r="23023" spans="1:7" x14ac:dyDescent="0.2">
      <c r="A23023" t="s">
        <v>13304</v>
      </c>
      <c r="B23023" t="str">
        <f>"15565677011"</f>
        <v>15565677011</v>
      </c>
      <c r="C23023" t="str">
        <f>"411381198710276350"</f>
        <v>411381198710276350</v>
      </c>
      <c r="D23023" t="s">
        <v>21460</v>
      </c>
      <c r="E23023" t="s">
        <v>21461</v>
      </c>
      <c r="F23023" t="s">
        <v>0</v>
      </c>
      <c r="G23023" t="str">
        <f>"2018-10-06 21:02:27"</f>
        <v>2018-10-06 21:02:27</v>
      </c>
    </row>
    <row r="23024" spans="1:7" x14ac:dyDescent="0.2">
      <c r="A23024" t="s">
        <v>21462</v>
      </c>
      <c r="B23024" t="str">
        <f>"13817856805"</f>
        <v>13817856805</v>
      </c>
      <c r="C23024" t="str">
        <f>"310115199107216623"</f>
        <v>310115199107216623</v>
      </c>
      <c r="D23024" t="s">
        <v>1</v>
      </c>
      <c r="E23024" t="s">
        <v>1</v>
      </c>
      <c r="F23024" t="s">
        <v>0</v>
      </c>
      <c r="G23024" t="str">
        <f>"2018-10-06 19:58:52"</f>
        <v>2018-10-06 19:58:52</v>
      </c>
    </row>
    <row r="23025" spans="1:7" x14ac:dyDescent="0.2">
      <c r="A23025" t="s">
        <v>128</v>
      </c>
      <c r="B23025" t="str">
        <f>"18524512364"</f>
        <v>18524512364</v>
      </c>
      <c r="C23025" t="str">
        <f>"210781199407251810"</f>
        <v>210781199407251810</v>
      </c>
      <c r="D23025" t="s">
        <v>1</v>
      </c>
      <c r="E23025" t="s">
        <v>1</v>
      </c>
      <c r="F23025" t="s">
        <v>0</v>
      </c>
      <c r="G23025" t="str">
        <f>"2018-10-06 19:58:58"</f>
        <v>2018-10-06 19:58:58</v>
      </c>
    </row>
    <row r="23026" spans="1:7" x14ac:dyDescent="0.2">
      <c r="A23026" t="s">
        <v>21463</v>
      </c>
      <c r="B23026" t="str">
        <f>"18700904588"</f>
        <v>18700904588</v>
      </c>
      <c r="C23026" t="str">
        <f>"610624199103030930"</f>
        <v>610624199103030930</v>
      </c>
      <c r="D23026" t="s">
        <v>21464</v>
      </c>
      <c r="E23026" t="s">
        <v>21465</v>
      </c>
      <c r="F23026" t="s">
        <v>0</v>
      </c>
      <c r="G23026" t="str">
        <f>"2018-10-06 19:57:10"</f>
        <v>2018-10-06 19:57:10</v>
      </c>
    </row>
    <row r="23027" spans="1:7" x14ac:dyDescent="0.2">
      <c r="A23027" t="s">
        <v>21466</v>
      </c>
      <c r="B23027" t="str">
        <f>"18753798308"</f>
        <v>18753798308</v>
      </c>
      <c r="C23027" t="str">
        <f>"370831199110023610"</f>
        <v>370831199110023610</v>
      </c>
      <c r="D23027" t="s">
        <v>1</v>
      </c>
      <c r="E23027" t="s">
        <v>1</v>
      </c>
      <c r="F23027" t="s">
        <v>0</v>
      </c>
      <c r="G23027" t="str">
        <f>"2018-10-06 20:21:26"</f>
        <v>2018-10-06 20:21:26</v>
      </c>
    </row>
    <row r="23028" spans="1:7" x14ac:dyDescent="0.2">
      <c r="A23028" t="s">
        <v>1</v>
      </c>
      <c r="B23028" t="str">
        <f>"15759858316"</f>
        <v>15759858316</v>
      </c>
      <c r="C23028" t="s">
        <v>1</v>
      </c>
      <c r="D23028" t="s">
        <v>1</v>
      </c>
      <c r="E23028" t="s">
        <v>1</v>
      </c>
      <c r="F23028" t="s">
        <v>0</v>
      </c>
      <c r="G23028" t="str">
        <f>"2018-10-06 19:56:08"</f>
        <v>2018-10-06 19:56:08</v>
      </c>
    </row>
    <row r="23029" spans="1:7" x14ac:dyDescent="0.2">
      <c r="A23029" t="s">
        <v>21467</v>
      </c>
      <c r="B23029" t="str">
        <f>"13726412062"</f>
        <v>13726412062</v>
      </c>
      <c r="C23029" t="str">
        <f>"45212919770111201X"</f>
        <v>45212919770111201X</v>
      </c>
      <c r="D23029" t="s">
        <v>21468</v>
      </c>
      <c r="E23029" t="s">
        <v>21468</v>
      </c>
      <c r="F23029" t="s">
        <v>0</v>
      </c>
      <c r="G23029" t="str">
        <f>"2018-10-06 19:57:03"</f>
        <v>2018-10-06 19:57:03</v>
      </c>
    </row>
    <row r="23030" spans="1:7" x14ac:dyDescent="0.2">
      <c r="A23030" t="s">
        <v>1558</v>
      </c>
      <c r="B23030" t="str">
        <f>"13552147928"</f>
        <v>13552147928</v>
      </c>
      <c r="C23030" t="str">
        <f>"110222199102154816"</f>
        <v>110222199102154816</v>
      </c>
      <c r="D23030" t="s">
        <v>1</v>
      </c>
      <c r="E23030" t="s">
        <v>1</v>
      </c>
      <c r="F23030" t="s">
        <v>0</v>
      </c>
      <c r="G23030" t="str">
        <f>"2018-10-06 19:59:58"</f>
        <v>2018-10-06 19:59:58</v>
      </c>
    </row>
    <row r="23031" spans="1:7" x14ac:dyDescent="0.2">
      <c r="A23031" t="s">
        <v>21469</v>
      </c>
      <c r="B23031" t="str">
        <f>"15008498485"</f>
        <v>15008498485</v>
      </c>
      <c r="C23031" t="str">
        <f>"510106198207021811"</f>
        <v>510106198207021811</v>
      </c>
      <c r="D23031" t="s">
        <v>21470</v>
      </c>
      <c r="E23031" t="s">
        <v>21471</v>
      </c>
      <c r="F23031" t="s">
        <v>0</v>
      </c>
      <c r="G23031" t="str">
        <f>"2018-10-06 19:55:57"</f>
        <v>2018-10-06 19:55:57</v>
      </c>
    </row>
    <row r="23032" spans="1:7" x14ac:dyDescent="0.2">
      <c r="A23032" t="s">
        <v>21472</v>
      </c>
      <c r="B23032" t="str">
        <f>"15980884537"</f>
        <v>15980884537</v>
      </c>
      <c r="C23032" t="str">
        <f>"352203199203263015"</f>
        <v>352203199203263015</v>
      </c>
      <c r="D23032" t="s">
        <v>21473</v>
      </c>
      <c r="E23032" t="s">
        <v>21474</v>
      </c>
      <c r="F23032" t="s">
        <v>0</v>
      </c>
      <c r="G23032" t="str">
        <f>"2018-10-06 19:56:35"</f>
        <v>2018-10-06 19:56:35</v>
      </c>
    </row>
    <row r="23033" spans="1:7" x14ac:dyDescent="0.2">
      <c r="A23033" t="s">
        <v>21475</v>
      </c>
      <c r="B23033" t="str">
        <f>"15858544228"</f>
        <v>15858544228</v>
      </c>
      <c r="C23033" t="str">
        <f>"420684198701213039"</f>
        <v>420684198701213039</v>
      </c>
      <c r="D23033" t="s">
        <v>21476</v>
      </c>
      <c r="E23033" t="s">
        <v>21477</v>
      </c>
      <c r="F23033" t="s">
        <v>0</v>
      </c>
      <c r="G23033" t="str">
        <f>"2018-10-22 18:10:52"</f>
        <v>2018-10-22 18:10:52</v>
      </c>
    </row>
    <row r="23034" spans="1:7" x14ac:dyDescent="0.2">
      <c r="A23034" t="s">
        <v>21478</v>
      </c>
      <c r="B23034" t="str">
        <f>"17694828532"</f>
        <v>17694828532</v>
      </c>
      <c r="C23034" t="str">
        <f>"510823199607093872"</f>
        <v>510823199607093872</v>
      </c>
      <c r="D23034" t="s">
        <v>1</v>
      </c>
      <c r="E23034" t="s">
        <v>1</v>
      </c>
      <c r="F23034" t="s">
        <v>0</v>
      </c>
      <c r="G23034" t="str">
        <f>"2018-10-06 19:53:51"</f>
        <v>2018-10-06 19:53:51</v>
      </c>
    </row>
    <row r="23035" spans="1:7" x14ac:dyDescent="0.2">
      <c r="A23035" t="s">
        <v>1</v>
      </c>
      <c r="B23035" t="str">
        <f>"15933603259"</f>
        <v>15933603259</v>
      </c>
      <c r="C23035" t="s">
        <v>1</v>
      </c>
      <c r="D23035" t="s">
        <v>1</v>
      </c>
      <c r="E23035" t="s">
        <v>1</v>
      </c>
      <c r="F23035" t="s">
        <v>0</v>
      </c>
      <c r="G23035" t="str">
        <f>"2018-10-06 19:52:43"</f>
        <v>2018-10-06 19:52:43</v>
      </c>
    </row>
    <row r="23036" spans="1:7" x14ac:dyDescent="0.2">
      <c r="A23036" t="s">
        <v>21479</v>
      </c>
      <c r="B23036" t="str">
        <f>"18216456281"</f>
        <v>18216456281</v>
      </c>
      <c r="C23036" t="str">
        <f>"432524199909146126"</f>
        <v>432524199909146126</v>
      </c>
      <c r="D23036" t="s">
        <v>1</v>
      </c>
      <c r="E23036" t="s">
        <v>1</v>
      </c>
      <c r="F23036" t="s">
        <v>0</v>
      </c>
      <c r="G23036" t="str">
        <f>"2018-10-06 19:51:57"</f>
        <v>2018-10-06 19:51:57</v>
      </c>
    </row>
    <row r="23037" spans="1:7" x14ac:dyDescent="0.2">
      <c r="A23037" t="s">
        <v>1</v>
      </c>
      <c r="B23037" t="str">
        <f>"18370141933"</f>
        <v>18370141933</v>
      </c>
      <c r="C23037" t="s">
        <v>1</v>
      </c>
      <c r="D23037" t="s">
        <v>1</v>
      </c>
      <c r="E23037" t="s">
        <v>1</v>
      </c>
      <c r="F23037" t="s">
        <v>0</v>
      </c>
      <c r="G23037" t="str">
        <f>"2018-10-06 19:50:28"</f>
        <v>2018-10-06 19:50:28</v>
      </c>
    </row>
    <row r="23038" spans="1:7" x14ac:dyDescent="0.2">
      <c r="A23038" t="s">
        <v>1</v>
      </c>
      <c r="B23038" t="str">
        <f>"17606625337"</f>
        <v>17606625337</v>
      </c>
      <c r="C23038" t="s">
        <v>1</v>
      </c>
      <c r="D23038" t="s">
        <v>1</v>
      </c>
      <c r="E23038" t="s">
        <v>1</v>
      </c>
      <c r="F23038" t="s">
        <v>0</v>
      </c>
      <c r="G23038" t="str">
        <f>"2018-10-06 19:50:06"</f>
        <v>2018-10-06 19:50:06</v>
      </c>
    </row>
    <row r="23039" spans="1:7" x14ac:dyDescent="0.2">
      <c r="A23039" t="s">
        <v>21480</v>
      </c>
      <c r="B23039" t="str">
        <f>"17870060180"</f>
        <v>17870060180</v>
      </c>
      <c r="C23039" t="str">
        <f>"360732199001060673"</f>
        <v>360732199001060673</v>
      </c>
      <c r="D23039" t="s">
        <v>1</v>
      </c>
      <c r="E23039" t="s">
        <v>1</v>
      </c>
      <c r="F23039" t="s">
        <v>0</v>
      </c>
      <c r="G23039" t="str">
        <f>"2018-10-06 19:50:41"</f>
        <v>2018-10-06 19:50:41</v>
      </c>
    </row>
    <row r="23040" spans="1:7" x14ac:dyDescent="0.2">
      <c r="A23040" t="s">
        <v>18743</v>
      </c>
      <c r="B23040" t="str">
        <f>"17638473758"</f>
        <v>17638473758</v>
      </c>
      <c r="C23040" t="str">
        <f>"410321197305210516"</f>
        <v>410321197305210516</v>
      </c>
      <c r="D23040" t="s">
        <v>1</v>
      </c>
      <c r="E23040" t="s">
        <v>1</v>
      </c>
      <c r="F23040" t="s">
        <v>0</v>
      </c>
      <c r="G23040" t="str">
        <f>"2018-10-06 19:48:56"</f>
        <v>2018-10-06 19:48:56</v>
      </c>
    </row>
    <row r="23041" spans="1:7" x14ac:dyDescent="0.2">
      <c r="A23041" t="s">
        <v>1456</v>
      </c>
      <c r="B23041" t="str">
        <f>"18720659859"</f>
        <v>18720659859</v>
      </c>
      <c r="C23041" t="str">
        <f>"36222819810526051X"</f>
        <v>36222819810526051X</v>
      </c>
      <c r="D23041" t="s">
        <v>1</v>
      </c>
      <c r="E23041" t="s">
        <v>1</v>
      </c>
      <c r="F23041" t="s">
        <v>0</v>
      </c>
      <c r="G23041" t="str">
        <f>"2018-10-11 18:41:14"</f>
        <v>2018-10-11 18:41:14</v>
      </c>
    </row>
    <row r="23042" spans="1:7" x14ac:dyDescent="0.2">
      <c r="A23042" t="s">
        <v>21481</v>
      </c>
      <c r="B23042" t="str">
        <f>"13686449090"</f>
        <v>13686449090</v>
      </c>
      <c r="C23042" t="str">
        <f>"412326198908205538"</f>
        <v>412326198908205538</v>
      </c>
      <c r="D23042" t="s">
        <v>21482</v>
      </c>
      <c r="E23042" t="s">
        <v>21483</v>
      </c>
      <c r="F23042" t="s">
        <v>0</v>
      </c>
      <c r="G23042" t="str">
        <f>"2018-10-07 22:12:46"</f>
        <v>2018-10-07 22:12:46</v>
      </c>
    </row>
    <row r="23043" spans="1:7" x14ac:dyDescent="0.2">
      <c r="A23043" t="s">
        <v>21484</v>
      </c>
      <c r="B23043" t="str">
        <f>"13926013964"</f>
        <v>13926013964</v>
      </c>
      <c r="C23043" t="str">
        <f>"440184199605280320"</f>
        <v>440184199605280320</v>
      </c>
      <c r="D23043" t="s">
        <v>21485</v>
      </c>
      <c r="E23043" t="s">
        <v>21486</v>
      </c>
      <c r="F23043" t="s">
        <v>0</v>
      </c>
      <c r="G23043" t="str">
        <f>"2018-10-06 19:47:23"</f>
        <v>2018-10-06 19:47:23</v>
      </c>
    </row>
    <row r="23044" spans="1:7" x14ac:dyDescent="0.2">
      <c r="A23044" t="s">
        <v>21487</v>
      </c>
      <c r="B23044" t="str">
        <f>"15927809347"</f>
        <v>15927809347</v>
      </c>
      <c r="C23044" t="str">
        <f>"421023198411258314"</f>
        <v>421023198411258314</v>
      </c>
      <c r="D23044" t="s">
        <v>1</v>
      </c>
      <c r="E23044" t="s">
        <v>1</v>
      </c>
      <c r="F23044" t="s">
        <v>0</v>
      </c>
      <c r="G23044" t="str">
        <f>"2018-10-06 20:10:36"</f>
        <v>2018-10-06 20:10:36</v>
      </c>
    </row>
    <row r="23045" spans="1:7" x14ac:dyDescent="0.2">
      <c r="A23045" t="s">
        <v>21488</v>
      </c>
      <c r="B23045" t="str">
        <f>"18837124909"</f>
        <v>18837124909</v>
      </c>
      <c r="C23045" t="str">
        <f>"410602199805290520"</f>
        <v>410602199805290520</v>
      </c>
      <c r="D23045" t="s">
        <v>1</v>
      </c>
      <c r="E23045" t="s">
        <v>1</v>
      </c>
      <c r="F23045" t="s">
        <v>0</v>
      </c>
      <c r="G23045" t="str">
        <f>"2018-10-06 19:50:44"</f>
        <v>2018-10-06 19:50:44</v>
      </c>
    </row>
    <row r="23046" spans="1:7" x14ac:dyDescent="0.2">
      <c r="A23046" t="s">
        <v>1</v>
      </c>
      <c r="B23046" t="str">
        <f>"17387029170"</f>
        <v>17387029170</v>
      </c>
      <c r="C23046" t="s">
        <v>1</v>
      </c>
      <c r="D23046" t="s">
        <v>1</v>
      </c>
      <c r="E23046" t="s">
        <v>1</v>
      </c>
      <c r="F23046" t="s">
        <v>0</v>
      </c>
      <c r="G23046" t="str">
        <f>"2018-10-06 19:44:58"</f>
        <v>2018-10-06 19:44:58</v>
      </c>
    </row>
    <row r="23047" spans="1:7" x14ac:dyDescent="0.2">
      <c r="A23047" t="s">
        <v>1236</v>
      </c>
      <c r="B23047" t="str">
        <f>"13847860846"</f>
        <v>13847860846</v>
      </c>
      <c r="C23047" t="str">
        <f>"152827199008276933"</f>
        <v>152827199008276933</v>
      </c>
      <c r="D23047" t="s">
        <v>1</v>
      </c>
      <c r="E23047" t="s">
        <v>1</v>
      </c>
      <c r="F23047" t="s">
        <v>0</v>
      </c>
      <c r="G23047" t="str">
        <f>"2018-10-06 19:44:08"</f>
        <v>2018-10-06 19:44:08</v>
      </c>
    </row>
    <row r="23048" spans="1:7" x14ac:dyDescent="0.2">
      <c r="A23048" t="s">
        <v>21489</v>
      </c>
      <c r="B23048" t="str">
        <f>"18972779582"</f>
        <v>18972779582</v>
      </c>
      <c r="C23048" t="str">
        <f>"420281198112218818"</f>
        <v>420281198112218818</v>
      </c>
      <c r="D23048" t="s">
        <v>21490</v>
      </c>
      <c r="E23048" t="s">
        <v>21491</v>
      </c>
      <c r="F23048" t="s">
        <v>0</v>
      </c>
      <c r="G23048" t="str">
        <f>"2018-10-06 19:43:51"</f>
        <v>2018-10-06 19:43:51</v>
      </c>
    </row>
    <row r="23049" spans="1:7" x14ac:dyDescent="0.2">
      <c r="A23049" t="s">
        <v>1</v>
      </c>
      <c r="B23049" t="str">
        <f>"15677889384"</f>
        <v>15677889384</v>
      </c>
      <c r="C23049" t="s">
        <v>1</v>
      </c>
      <c r="D23049" t="s">
        <v>1</v>
      </c>
      <c r="E23049" t="s">
        <v>1</v>
      </c>
      <c r="F23049" t="s">
        <v>0</v>
      </c>
      <c r="G23049" t="str">
        <f>"2018-10-06 19:42:27"</f>
        <v>2018-10-06 19:42:27</v>
      </c>
    </row>
    <row r="23050" spans="1:7" x14ac:dyDescent="0.2">
      <c r="A23050" t="s">
        <v>21492</v>
      </c>
      <c r="B23050" t="str">
        <f>"13585531008"</f>
        <v>13585531008</v>
      </c>
      <c r="C23050" t="str">
        <f>"360502198605251629"</f>
        <v>360502198605251629</v>
      </c>
      <c r="D23050" t="s">
        <v>1</v>
      </c>
      <c r="E23050" t="s">
        <v>1</v>
      </c>
      <c r="F23050" t="s">
        <v>0</v>
      </c>
      <c r="G23050" t="str">
        <f>"2018-10-06 19:43:33"</f>
        <v>2018-10-06 19:43:33</v>
      </c>
    </row>
    <row r="23051" spans="1:7" x14ac:dyDescent="0.2">
      <c r="A23051" t="s">
        <v>21493</v>
      </c>
      <c r="B23051" t="str">
        <f>"18782996859"</f>
        <v>18782996859</v>
      </c>
      <c r="C23051" t="str">
        <f>"513424199508250040"</f>
        <v>513424199508250040</v>
      </c>
      <c r="D23051" t="s">
        <v>1</v>
      </c>
      <c r="E23051" t="s">
        <v>1</v>
      </c>
      <c r="F23051" t="s">
        <v>0</v>
      </c>
      <c r="G23051" t="str">
        <f>"2018-10-07 11:36:47"</f>
        <v>2018-10-07 11:36:47</v>
      </c>
    </row>
    <row r="23052" spans="1:7" x14ac:dyDescent="0.2">
      <c r="A23052" t="s">
        <v>21494</v>
      </c>
      <c r="B23052" t="str">
        <f>"13772407662"</f>
        <v>13772407662</v>
      </c>
      <c r="C23052" t="str">
        <f>"622322199303161825"</f>
        <v>622322199303161825</v>
      </c>
      <c r="D23052" t="s">
        <v>1</v>
      </c>
      <c r="E23052" t="s">
        <v>1</v>
      </c>
      <c r="F23052" t="s">
        <v>0</v>
      </c>
      <c r="G23052" t="str">
        <f>"2018-10-06 19:41:17"</f>
        <v>2018-10-06 19:41:17</v>
      </c>
    </row>
    <row r="23053" spans="1:7" x14ac:dyDescent="0.2">
      <c r="A23053" t="s">
        <v>21495</v>
      </c>
      <c r="B23053" t="str">
        <f>"13211267659"</f>
        <v>13211267659</v>
      </c>
      <c r="C23053" t="str">
        <f>"440921199812178319"</f>
        <v>440921199812178319</v>
      </c>
      <c r="D23053" t="s">
        <v>1</v>
      </c>
      <c r="E23053" t="s">
        <v>1</v>
      </c>
      <c r="F23053" t="s">
        <v>0</v>
      </c>
      <c r="G23053" t="str">
        <f>"2018-10-06 19:47:38"</f>
        <v>2018-10-06 19:47:38</v>
      </c>
    </row>
    <row r="23054" spans="1:7" x14ac:dyDescent="0.2">
      <c r="A23054" t="s">
        <v>1664</v>
      </c>
      <c r="B23054" t="str">
        <f>"18723928450"</f>
        <v>18723928450</v>
      </c>
      <c r="C23054" t="str">
        <f>"500240198703132293"</f>
        <v>500240198703132293</v>
      </c>
      <c r="D23054" t="s">
        <v>1</v>
      </c>
      <c r="E23054" t="s">
        <v>1</v>
      </c>
      <c r="F23054" t="s">
        <v>0</v>
      </c>
      <c r="G23054" t="str">
        <f>"2018-10-06 19:54:54"</f>
        <v>2018-10-06 19:54:54</v>
      </c>
    </row>
    <row r="23055" spans="1:7" x14ac:dyDescent="0.2">
      <c r="A23055" t="s">
        <v>1</v>
      </c>
      <c r="B23055" t="str">
        <f>"13299644663"</f>
        <v>13299644663</v>
      </c>
      <c r="C23055" t="s">
        <v>1</v>
      </c>
      <c r="D23055" t="s">
        <v>1</v>
      </c>
      <c r="E23055" t="s">
        <v>1</v>
      </c>
      <c r="F23055" t="s">
        <v>0</v>
      </c>
      <c r="G23055" t="str">
        <f>"2018-10-06 19:38:12"</f>
        <v>2018-10-06 19:38:12</v>
      </c>
    </row>
    <row r="23056" spans="1:7" x14ac:dyDescent="0.2">
      <c r="A23056" t="s">
        <v>1</v>
      </c>
      <c r="B23056" t="str">
        <f>"18743237202"</f>
        <v>18743237202</v>
      </c>
      <c r="C23056" t="s">
        <v>1</v>
      </c>
      <c r="D23056" t="s">
        <v>1</v>
      </c>
      <c r="E23056" t="s">
        <v>1</v>
      </c>
      <c r="F23056" t="s">
        <v>0</v>
      </c>
      <c r="G23056" t="str">
        <f>"2018-10-07 08:23:10"</f>
        <v>2018-10-07 08:23:10</v>
      </c>
    </row>
    <row r="23057" spans="1:7" x14ac:dyDescent="0.2">
      <c r="A23057" t="s">
        <v>1</v>
      </c>
      <c r="B23057" t="str">
        <f>"15878210077"</f>
        <v>15878210077</v>
      </c>
      <c r="C23057" t="s">
        <v>1</v>
      </c>
      <c r="D23057" t="s">
        <v>1</v>
      </c>
      <c r="E23057" t="s">
        <v>1</v>
      </c>
      <c r="F23057" t="s">
        <v>0</v>
      </c>
      <c r="G23057" t="str">
        <f>"2018-10-06 19:37:36"</f>
        <v>2018-10-06 19:37:36</v>
      </c>
    </row>
    <row r="23058" spans="1:7" x14ac:dyDescent="0.2">
      <c r="A23058" t="s">
        <v>21496</v>
      </c>
      <c r="B23058" t="str">
        <f>"18876608962"</f>
        <v>18876608962</v>
      </c>
      <c r="C23058" t="str">
        <f>"460032199611126188"</f>
        <v>460032199611126188</v>
      </c>
      <c r="D23058" t="s">
        <v>1</v>
      </c>
      <c r="E23058" t="s">
        <v>1</v>
      </c>
      <c r="F23058" t="s">
        <v>0</v>
      </c>
      <c r="G23058" t="str">
        <f>"2018-10-06 21:29:37"</f>
        <v>2018-10-06 21:29:37</v>
      </c>
    </row>
    <row r="23059" spans="1:7" x14ac:dyDescent="0.2">
      <c r="A23059" t="s">
        <v>1</v>
      </c>
      <c r="B23059" t="str">
        <f>"15312388567"</f>
        <v>15312388567</v>
      </c>
      <c r="C23059" t="s">
        <v>1</v>
      </c>
      <c r="D23059" t="s">
        <v>1</v>
      </c>
      <c r="E23059" t="s">
        <v>1</v>
      </c>
      <c r="F23059" t="s">
        <v>0</v>
      </c>
      <c r="G23059" t="str">
        <f>"2018-10-06 19:37:10"</f>
        <v>2018-10-06 19:37:10</v>
      </c>
    </row>
    <row r="23060" spans="1:7" x14ac:dyDescent="0.2">
      <c r="A23060" t="s">
        <v>21497</v>
      </c>
      <c r="B23060" t="str">
        <f>"18757759644"</f>
        <v>18757759644</v>
      </c>
      <c r="C23060" t="str">
        <f>"500235198610228455"</f>
        <v>500235198610228455</v>
      </c>
      <c r="D23060" t="s">
        <v>1</v>
      </c>
      <c r="E23060" t="s">
        <v>1</v>
      </c>
      <c r="F23060" t="s">
        <v>0</v>
      </c>
      <c r="G23060" t="str">
        <f>"2018-10-06 20:05:49"</f>
        <v>2018-10-06 20:05:49</v>
      </c>
    </row>
    <row r="23061" spans="1:7" x14ac:dyDescent="0.2">
      <c r="A23061" t="s">
        <v>15360</v>
      </c>
      <c r="B23061" t="str">
        <f>"18042424838"</f>
        <v>18042424838</v>
      </c>
      <c r="C23061" t="str">
        <f>"411381199709038413"</f>
        <v>411381199709038413</v>
      </c>
      <c r="D23061" t="s">
        <v>1</v>
      </c>
      <c r="E23061" t="s">
        <v>1</v>
      </c>
      <c r="F23061" t="s">
        <v>0</v>
      </c>
      <c r="G23061" t="str">
        <f>"2018-10-06 19:36:28"</f>
        <v>2018-10-06 19:36:28</v>
      </c>
    </row>
    <row r="23062" spans="1:7" x14ac:dyDescent="0.2">
      <c r="A23062" t="s">
        <v>21498</v>
      </c>
      <c r="B23062" t="str">
        <f>"13388952425"</f>
        <v>13388952425</v>
      </c>
      <c r="C23062" t="str">
        <f>"430524200006202231"</f>
        <v>430524200006202231</v>
      </c>
      <c r="D23062" t="s">
        <v>1</v>
      </c>
      <c r="E23062" t="s">
        <v>1</v>
      </c>
      <c r="F23062" t="s">
        <v>0</v>
      </c>
      <c r="G23062" t="str">
        <f>"2018-10-06 19:36:30"</f>
        <v>2018-10-06 19:36:30</v>
      </c>
    </row>
    <row r="23063" spans="1:7" x14ac:dyDescent="0.2">
      <c r="A23063" t="s">
        <v>1</v>
      </c>
      <c r="B23063" t="str">
        <f>"13120726889"</f>
        <v>13120726889</v>
      </c>
      <c r="C23063" t="s">
        <v>1</v>
      </c>
      <c r="D23063" t="s">
        <v>1</v>
      </c>
      <c r="E23063" t="s">
        <v>1</v>
      </c>
      <c r="F23063" t="s">
        <v>0</v>
      </c>
      <c r="G23063" t="str">
        <f>"2018-10-06 19:33:12"</f>
        <v>2018-10-06 19:33:12</v>
      </c>
    </row>
    <row r="23064" spans="1:7" x14ac:dyDescent="0.2">
      <c r="A23064" t="s">
        <v>196</v>
      </c>
      <c r="B23064" t="str">
        <f>"15835443541"</f>
        <v>15835443541</v>
      </c>
      <c r="C23064" t="str">
        <f>"142429198612271527"</f>
        <v>142429198612271527</v>
      </c>
      <c r="D23064" t="s">
        <v>1</v>
      </c>
      <c r="E23064" t="s">
        <v>1</v>
      </c>
      <c r="F23064" t="s">
        <v>0</v>
      </c>
      <c r="G23064" t="str">
        <f>"2018-10-06 19:34:26"</f>
        <v>2018-10-06 19:34:26</v>
      </c>
    </row>
    <row r="23065" spans="1:7" x14ac:dyDescent="0.2">
      <c r="A23065" t="s">
        <v>1</v>
      </c>
      <c r="B23065" t="str">
        <f>"15873069258"</f>
        <v>15873069258</v>
      </c>
      <c r="C23065" t="s">
        <v>1</v>
      </c>
      <c r="D23065" t="s">
        <v>1</v>
      </c>
      <c r="E23065" t="s">
        <v>1</v>
      </c>
      <c r="F23065" t="s">
        <v>0</v>
      </c>
      <c r="G23065" t="str">
        <f>"2018-10-06 19:31:35"</f>
        <v>2018-10-06 19:31:35</v>
      </c>
    </row>
    <row r="23066" spans="1:7" x14ac:dyDescent="0.2">
      <c r="A23066" t="s">
        <v>21499</v>
      </c>
      <c r="B23066" t="str">
        <f>"15929528220"</f>
        <v>15929528220</v>
      </c>
      <c r="C23066" t="str">
        <f>"61242919931229074X"</f>
        <v>61242919931229074X</v>
      </c>
      <c r="D23066" t="s">
        <v>1</v>
      </c>
      <c r="E23066" t="s">
        <v>1</v>
      </c>
      <c r="F23066" t="s">
        <v>0</v>
      </c>
      <c r="G23066" t="str">
        <f>"2018-10-06 19:37:30"</f>
        <v>2018-10-06 19:37:30</v>
      </c>
    </row>
    <row r="23067" spans="1:7" x14ac:dyDescent="0.2">
      <c r="A23067" t="s">
        <v>21500</v>
      </c>
      <c r="B23067" t="str">
        <f>"18213670803"</f>
        <v>18213670803</v>
      </c>
      <c r="C23067" t="str">
        <f>"532501199706240613"</f>
        <v>532501199706240613</v>
      </c>
      <c r="D23067" t="s">
        <v>21501</v>
      </c>
      <c r="E23067" t="s">
        <v>21502</v>
      </c>
      <c r="F23067" t="s">
        <v>0</v>
      </c>
      <c r="G23067" t="str">
        <f>"2018-10-06 19:33:04"</f>
        <v>2018-10-06 19:33:04</v>
      </c>
    </row>
    <row r="23068" spans="1:7" x14ac:dyDescent="0.2">
      <c r="A23068" t="s">
        <v>305</v>
      </c>
      <c r="B23068" t="str">
        <f>"13827273743"</f>
        <v>13827273743</v>
      </c>
      <c r="C23068" t="str">
        <f>"513022199101101938"</f>
        <v>513022199101101938</v>
      </c>
      <c r="D23068" t="s">
        <v>1</v>
      </c>
      <c r="E23068" t="s">
        <v>1</v>
      </c>
      <c r="F23068" t="s">
        <v>0</v>
      </c>
      <c r="G23068" t="str">
        <f>"2018-10-06 19:30:11"</f>
        <v>2018-10-06 19:30:11</v>
      </c>
    </row>
    <row r="23069" spans="1:7" x14ac:dyDescent="0.2">
      <c r="A23069" t="s">
        <v>1</v>
      </c>
      <c r="B23069" t="str">
        <f>"18657307363"</f>
        <v>18657307363</v>
      </c>
      <c r="C23069" t="s">
        <v>1</v>
      </c>
      <c r="D23069" t="s">
        <v>1</v>
      </c>
      <c r="E23069" t="s">
        <v>1</v>
      </c>
      <c r="F23069" t="s">
        <v>0</v>
      </c>
      <c r="G23069" t="str">
        <f>"2018-10-06 19:28:45"</f>
        <v>2018-10-06 19:28:45</v>
      </c>
    </row>
    <row r="23070" spans="1:7" x14ac:dyDescent="0.2">
      <c r="A23070" t="s">
        <v>21503</v>
      </c>
      <c r="B23070" t="str">
        <f>"15137150022"</f>
        <v>15137150022</v>
      </c>
      <c r="C23070" t="str">
        <f>"410105199312100022"</f>
        <v>410105199312100022</v>
      </c>
      <c r="D23070" t="s">
        <v>1</v>
      </c>
      <c r="E23070" t="s">
        <v>1</v>
      </c>
      <c r="F23070" t="s">
        <v>0</v>
      </c>
      <c r="G23070" t="str">
        <f>"2018-10-06 19:30:31"</f>
        <v>2018-10-06 19:30:31</v>
      </c>
    </row>
    <row r="23071" spans="1:7" x14ac:dyDescent="0.2">
      <c r="A23071" t="s">
        <v>21504</v>
      </c>
      <c r="B23071" t="str">
        <f>"15980085590"</f>
        <v>15980085590</v>
      </c>
      <c r="C23071" t="str">
        <f>"350524199005046024"</f>
        <v>350524199005046024</v>
      </c>
      <c r="D23071" t="s">
        <v>1</v>
      </c>
      <c r="E23071" t="s">
        <v>1</v>
      </c>
      <c r="F23071" t="s">
        <v>0</v>
      </c>
      <c r="G23071" t="str">
        <f>"2018-10-06 21:39:02"</f>
        <v>2018-10-06 21:39:02</v>
      </c>
    </row>
    <row r="23072" spans="1:7" x14ac:dyDescent="0.2">
      <c r="A23072" t="s">
        <v>21505</v>
      </c>
      <c r="B23072" t="str">
        <f>"15033663666"</f>
        <v>15033663666</v>
      </c>
      <c r="C23072" t="str">
        <f>"130731199006140067"</f>
        <v>130731199006140067</v>
      </c>
      <c r="D23072" t="s">
        <v>1</v>
      </c>
      <c r="E23072" t="s">
        <v>1</v>
      </c>
      <c r="F23072" t="s">
        <v>0</v>
      </c>
      <c r="G23072" t="str">
        <f>"2018-10-06 19:30:05"</f>
        <v>2018-10-06 19:30:05</v>
      </c>
    </row>
    <row r="23073" spans="1:7" x14ac:dyDescent="0.2">
      <c r="A23073" t="s">
        <v>21506</v>
      </c>
      <c r="B23073" t="str">
        <f>"18286002694"</f>
        <v>18286002694</v>
      </c>
      <c r="C23073" t="str">
        <f>"51102519870107485X"</f>
        <v>51102519870107485X</v>
      </c>
      <c r="D23073" t="s">
        <v>21507</v>
      </c>
      <c r="E23073" t="s">
        <v>21508</v>
      </c>
      <c r="F23073" t="s">
        <v>0</v>
      </c>
      <c r="G23073" t="str">
        <f>"2018-10-06 19:29:31"</f>
        <v>2018-10-06 19:29:31</v>
      </c>
    </row>
    <row r="23074" spans="1:7" x14ac:dyDescent="0.2">
      <c r="A23074" t="s">
        <v>21509</v>
      </c>
      <c r="B23074" t="str">
        <f>"18899755338"</f>
        <v>18899755338</v>
      </c>
      <c r="C23074" t="str">
        <f>"440509199410262415"</f>
        <v>440509199410262415</v>
      </c>
      <c r="D23074" t="s">
        <v>1</v>
      </c>
      <c r="E23074" t="s">
        <v>1</v>
      </c>
      <c r="F23074" t="s">
        <v>0</v>
      </c>
      <c r="G23074" t="str">
        <f>"2018-10-06 19:42:46"</f>
        <v>2018-10-06 19:42:46</v>
      </c>
    </row>
    <row r="23075" spans="1:7" x14ac:dyDescent="0.2">
      <c r="A23075" t="s">
        <v>21510</v>
      </c>
      <c r="B23075" t="str">
        <f>"13421523404"</f>
        <v>13421523404</v>
      </c>
      <c r="C23075" t="str">
        <f>"441521199106242714"</f>
        <v>441521199106242714</v>
      </c>
      <c r="D23075" t="s">
        <v>1</v>
      </c>
      <c r="E23075" t="s">
        <v>1</v>
      </c>
      <c r="F23075" t="s">
        <v>0</v>
      </c>
      <c r="G23075" t="str">
        <f>"2018-10-06 19:28:06"</f>
        <v>2018-10-06 19:28:06</v>
      </c>
    </row>
    <row r="23076" spans="1:7" x14ac:dyDescent="0.2">
      <c r="A23076" t="s">
        <v>1</v>
      </c>
      <c r="B23076" t="str">
        <f>"13615559880"</f>
        <v>13615559880</v>
      </c>
      <c r="C23076" t="s">
        <v>1</v>
      </c>
      <c r="D23076" t="s">
        <v>1</v>
      </c>
      <c r="E23076" t="s">
        <v>1</v>
      </c>
      <c r="F23076" t="s">
        <v>0</v>
      </c>
      <c r="G23076" t="str">
        <f>"2018-10-06 19:27:39"</f>
        <v>2018-10-06 19:27:39</v>
      </c>
    </row>
    <row r="23077" spans="1:7" x14ac:dyDescent="0.2">
      <c r="A23077" t="s">
        <v>21511</v>
      </c>
      <c r="B23077" t="str">
        <f>"13643052266"</f>
        <v>13643052266</v>
      </c>
      <c r="C23077" t="str">
        <f>"440582199712120057"</f>
        <v>440582199712120057</v>
      </c>
      <c r="D23077" t="s">
        <v>1</v>
      </c>
      <c r="E23077" t="s">
        <v>1</v>
      </c>
      <c r="F23077" t="s">
        <v>0</v>
      </c>
      <c r="G23077" t="str">
        <f>"2018-10-17 19:26:52"</f>
        <v>2018-10-17 19:26:52</v>
      </c>
    </row>
    <row r="23078" spans="1:7" x14ac:dyDescent="0.2">
      <c r="A23078" t="s">
        <v>1</v>
      </c>
      <c r="B23078" t="str">
        <f>"18781073190"</f>
        <v>18781073190</v>
      </c>
      <c r="C23078" t="s">
        <v>1</v>
      </c>
      <c r="D23078" t="s">
        <v>1</v>
      </c>
      <c r="E23078" t="s">
        <v>1</v>
      </c>
      <c r="F23078" t="s">
        <v>0</v>
      </c>
      <c r="G23078" t="str">
        <f>"2018-10-06 19:24:51"</f>
        <v>2018-10-06 19:24:51</v>
      </c>
    </row>
    <row r="23079" spans="1:7" x14ac:dyDescent="0.2">
      <c r="A23079" t="s">
        <v>21512</v>
      </c>
      <c r="B23079" t="str">
        <f>"13875230383"</f>
        <v>13875230383</v>
      </c>
      <c r="C23079" t="str">
        <f>"430781198809240010"</f>
        <v>430781198809240010</v>
      </c>
      <c r="D23079" t="s">
        <v>1</v>
      </c>
      <c r="E23079" t="s">
        <v>1</v>
      </c>
      <c r="F23079" t="s">
        <v>0</v>
      </c>
      <c r="G23079" t="str">
        <f>"2018-10-06 19:26:22"</f>
        <v>2018-10-06 19:26:22</v>
      </c>
    </row>
    <row r="23080" spans="1:7" x14ac:dyDescent="0.2">
      <c r="A23080" t="s">
        <v>21513</v>
      </c>
      <c r="B23080" t="str">
        <f>"13612446898"</f>
        <v>13612446898</v>
      </c>
      <c r="C23080" t="str">
        <f>"445122198111011738"</f>
        <v>445122198111011738</v>
      </c>
      <c r="D23080" t="s">
        <v>1</v>
      </c>
      <c r="E23080" t="s">
        <v>1</v>
      </c>
      <c r="F23080" t="s">
        <v>0</v>
      </c>
      <c r="G23080" t="str">
        <f>"2018-10-08 02:29:44"</f>
        <v>2018-10-08 02:29:44</v>
      </c>
    </row>
    <row r="23081" spans="1:7" x14ac:dyDescent="0.2">
      <c r="A23081" t="s">
        <v>21514</v>
      </c>
      <c r="B23081" t="str">
        <f>"13421811562"</f>
        <v>13421811562</v>
      </c>
      <c r="C23081" t="str">
        <f>"440881199811144150"</f>
        <v>440881199811144150</v>
      </c>
      <c r="D23081" t="s">
        <v>1</v>
      </c>
      <c r="E23081" t="s">
        <v>1</v>
      </c>
      <c r="F23081" t="s">
        <v>0</v>
      </c>
      <c r="G23081" t="str">
        <f>"2018-10-06 19:27:44"</f>
        <v>2018-10-06 19:27:44</v>
      </c>
    </row>
    <row r="23082" spans="1:7" x14ac:dyDescent="0.2">
      <c r="A23082" t="s">
        <v>21515</v>
      </c>
      <c r="B23082" t="str">
        <f>"13841253524"</f>
        <v>13841253524</v>
      </c>
      <c r="C23082" t="str">
        <f>"210381199007193912"</f>
        <v>210381199007193912</v>
      </c>
      <c r="D23082" t="s">
        <v>1</v>
      </c>
      <c r="E23082" t="s">
        <v>1</v>
      </c>
      <c r="F23082" t="s">
        <v>0</v>
      </c>
      <c r="G23082" t="str">
        <f>"2018-10-06 19:26:53"</f>
        <v>2018-10-06 19:26:53</v>
      </c>
    </row>
    <row r="23083" spans="1:7" x14ac:dyDescent="0.2">
      <c r="A23083" t="s">
        <v>21516</v>
      </c>
      <c r="B23083" t="str">
        <f>"13688909071"</f>
        <v>13688909071</v>
      </c>
      <c r="C23083" t="str">
        <f>"420684198910124075"</f>
        <v>420684198910124075</v>
      </c>
      <c r="D23083" t="s">
        <v>1</v>
      </c>
      <c r="E23083" t="s">
        <v>1</v>
      </c>
      <c r="F23083" t="s">
        <v>0</v>
      </c>
      <c r="G23083" t="str">
        <f>"2018-10-06 19:23:15"</f>
        <v>2018-10-06 19:23:15</v>
      </c>
    </row>
    <row r="23084" spans="1:7" x14ac:dyDescent="0.2">
      <c r="A23084" t="s">
        <v>1</v>
      </c>
      <c r="B23084" t="str">
        <f>"15077303583"</f>
        <v>15077303583</v>
      </c>
      <c r="C23084" t="s">
        <v>1</v>
      </c>
      <c r="D23084" t="s">
        <v>1</v>
      </c>
      <c r="E23084" t="s">
        <v>1</v>
      </c>
      <c r="F23084" t="s">
        <v>0</v>
      </c>
      <c r="G23084" t="str">
        <f>"2018-10-06 19:22:10"</f>
        <v>2018-10-06 19:22:10</v>
      </c>
    </row>
    <row r="23085" spans="1:7" x14ac:dyDescent="0.2">
      <c r="A23085" t="s">
        <v>21517</v>
      </c>
      <c r="B23085" t="str">
        <f>"15824106696"</f>
        <v>15824106696</v>
      </c>
      <c r="C23085" t="str">
        <f>"330124199309204110"</f>
        <v>330124199309204110</v>
      </c>
      <c r="D23085" t="s">
        <v>1</v>
      </c>
      <c r="E23085" t="s">
        <v>1</v>
      </c>
      <c r="F23085" t="s">
        <v>0</v>
      </c>
      <c r="G23085" t="str">
        <f>"2018-10-06 19:23:49"</f>
        <v>2018-10-06 19:23:49</v>
      </c>
    </row>
    <row r="23086" spans="1:7" x14ac:dyDescent="0.2">
      <c r="A23086" t="s">
        <v>21518</v>
      </c>
      <c r="B23086" t="str">
        <f>"13701055664"</f>
        <v>13701055664</v>
      </c>
      <c r="C23086" t="str">
        <f>"222405197804300411"</f>
        <v>222405197804300411</v>
      </c>
      <c r="D23086" t="s">
        <v>1</v>
      </c>
      <c r="E23086" t="s">
        <v>1</v>
      </c>
      <c r="F23086" t="s">
        <v>0</v>
      </c>
      <c r="G23086" t="str">
        <f>"2018-10-21 00:33:24"</f>
        <v>2018-10-21 00:33:24</v>
      </c>
    </row>
    <row r="23087" spans="1:7" x14ac:dyDescent="0.2">
      <c r="A23087" t="s">
        <v>387</v>
      </c>
      <c r="B23087" t="str">
        <f>"15051544565"</f>
        <v>15051544565</v>
      </c>
      <c r="C23087" t="str">
        <f>"320586198810222413"</f>
        <v>320586198810222413</v>
      </c>
      <c r="D23087" t="s">
        <v>1</v>
      </c>
      <c r="E23087" t="s">
        <v>1</v>
      </c>
      <c r="F23087" t="s">
        <v>0</v>
      </c>
      <c r="G23087" t="str">
        <f>"2018-10-21 13:55:41"</f>
        <v>2018-10-21 13:55:41</v>
      </c>
    </row>
    <row r="23088" spans="1:7" x14ac:dyDescent="0.2">
      <c r="A23088" t="s">
        <v>21519</v>
      </c>
      <c r="B23088" t="str">
        <f>"15845967731"</f>
        <v>15845967731</v>
      </c>
      <c r="C23088" t="str">
        <f>"230624199003120225"</f>
        <v>230624199003120225</v>
      </c>
      <c r="D23088" t="s">
        <v>1</v>
      </c>
      <c r="E23088" t="s">
        <v>1</v>
      </c>
      <c r="F23088" t="s">
        <v>0</v>
      </c>
      <c r="G23088" t="str">
        <f>"2018-10-06 19:19:46"</f>
        <v>2018-10-06 19:19:46</v>
      </c>
    </row>
    <row r="23089" spans="1:7" x14ac:dyDescent="0.2">
      <c r="A23089" t="s">
        <v>21520</v>
      </c>
      <c r="B23089" t="str">
        <f>"18382559355"</f>
        <v>18382559355</v>
      </c>
      <c r="C23089" t="str">
        <f>"510922198407103153"</f>
        <v>510922198407103153</v>
      </c>
      <c r="D23089" t="s">
        <v>1</v>
      </c>
      <c r="E23089" t="s">
        <v>1</v>
      </c>
      <c r="F23089" t="s">
        <v>0</v>
      </c>
      <c r="G23089" t="str">
        <f>"2018-10-26 13:43:45"</f>
        <v>2018-10-26 13:43:45</v>
      </c>
    </row>
    <row r="23090" spans="1:7" x14ac:dyDescent="0.2">
      <c r="A23090" t="s">
        <v>21521</v>
      </c>
      <c r="B23090" t="str">
        <f>"17312389281"</f>
        <v>17312389281</v>
      </c>
      <c r="C23090" t="str">
        <f>"320682197804042219"</f>
        <v>320682197804042219</v>
      </c>
      <c r="D23090" t="s">
        <v>1</v>
      </c>
      <c r="E23090" t="s">
        <v>1</v>
      </c>
      <c r="F23090" t="s">
        <v>0</v>
      </c>
      <c r="G23090" t="str">
        <f>"2018-10-06 19:19:12"</f>
        <v>2018-10-06 19:19:12</v>
      </c>
    </row>
    <row r="23091" spans="1:7" x14ac:dyDescent="0.2">
      <c r="A23091" t="s">
        <v>1685</v>
      </c>
      <c r="B23091" t="str">
        <f>"13575687419"</f>
        <v>13575687419</v>
      </c>
      <c r="C23091" t="str">
        <f>"500243199411046231"</f>
        <v>500243199411046231</v>
      </c>
      <c r="D23091" t="s">
        <v>21522</v>
      </c>
      <c r="E23091" t="s">
        <v>21523</v>
      </c>
      <c r="F23091" t="s">
        <v>0</v>
      </c>
      <c r="G23091" t="str">
        <f>"2018-10-06 19:25:16"</f>
        <v>2018-10-06 19:25:16</v>
      </c>
    </row>
    <row r="23092" spans="1:7" x14ac:dyDescent="0.2">
      <c r="A23092" t="s">
        <v>1</v>
      </c>
      <c r="B23092" t="str">
        <f>"18203695614"</f>
        <v>18203695614</v>
      </c>
      <c r="C23092" t="s">
        <v>1</v>
      </c>
      <c r="D23092" t="s">
        <v>1</v>
      </c>
      <c r="E23092" t="s">
        <v>1</v>
      </c>
      <c r="F23092" t="s">
        <v>0</v>
      </c>
      <c r="G23092" t="str">
        <f>"2018-10-06 19:16:32"</f>
        <v>2018-10-06 19:16:32</v>
      </c>
    </row>
    <row r="23093" spans="1:7" x14ac:dyDescent="0.2">
      <c r="A23093" t="s">
        <v>21524</v>
      </c>
      <c r="B23093" t="str">
        <f>"18658015559"</f>
        <v>18658015559</v>
      </c>
      <c r="C23093" t="str">
        <f>"330902198708211458"</f>
        <v>330902198708211458</v>
      </c>
      <c r="D23093" t="s">
        <v>1</v>
      </c>
      <c r="E23093" t="s">
        <v>1</v>
      </c>
      <c r="F23093" t="s">
        <v>0</v>
      </c>
      <c r="G23093" t="str">
        <f>"2018-10-06 19:23:56"</f>
        <v>2018-10-06 19:23:56</v>
      </c>
    </row>
    <row r="23094" spans="1:7" x14ac:dyDescent="0.2">
      <c r="A23094" t="s">
        <v>21525</v>
      </c>
      <c r="B23094" t="str">
        <f>"15925566688"</f>
        <v>15925566688</v>
      </c>
      <c r="C23094" t="str">
        <f>"350524199210026532"</f>
        <v>350524199210026532</v>
      </c>
      <c r="D23094" t="s">
        <v>1</v>
      </c>
      <c r="E23094" t="s">
        <v>1</v>
      </c>
      <c r="F23094" t="s">
        <v>0</v>
      </c>
      <c r="G23094" t="str">
        <f>"2018-10-06 19:17:45"</f>
        <v>2018-10-06 19:17:45</v>
      </c>
    </row>
    <row r="23095" spans="1:7" x14ac:dyDescent="0.2">
      <c r="A23095" t="s">
        <v>21526</v>
      </c>
      <c r="B23095" t="str">
        <f>"13331740738"</f>
        <v>13331740738</v>
      </c>
      <c r="C23095" t="str">
        <f>"220105199203142025"</f>
        <v>220105199203142025</v>
      </c>
      <c r="D23095" t="s">
        <v>1</v>
      </c>
      <c r="E23095" t="s">
        <v>1</v>
      </c>
      <c r="F23095" t="s">
        <v>0</v>
      </c>
      <c r="G23095" t="str">
        <f>"2018-10-06 19:15:20"</f>
        <v>2018-10-06 19:15:20</v>
      </c>
    </row>
    <row r="23096" spans="1:7" x14ac:dyDescent="0.2">
      <c r="A23096" t="s">
        <v>1</v>
      </c>
      <c r="B23096" t="str">
        <f>"13563059073"</f>
        <v>13563059073</v>
      </c>
      <c r="C23096" t="s">
        <v>1</v>
      </c>
      <c r="D23096" t="s">
        <v>1</v>
      </c>
      <c r="E23096" t="s">
        <v>1</v>
      </c>
      <c r="F23096" t="s">
        <v>0</v>
      </c>
      <c r="G23096" t="str">
        <f>"2018-10-06 19:14:08"</f>
        <v>2018-10-06 19:14:08</v>
      </c>
    </row>
    <row r="23097" spans="1:7" x14ac:dyDescent="0.2">
      <c r="A23097" t="s">
        <v>21527</v>
      </c>
      <c r="B23097" t="str">
        <f>"18682331654"</f>
        <v>18682331654</v>
      </c>
      <c r="C23097" t="str">
        <f>"450803199512255857"</f>
        <v>450803199512255857</v>
      </c>
      <c r="D23097" t="s">
        <v>1</v>
      </c>
      <c r="E23097" t="s">
        <v>1</v>
      </c>
      <c r="F23097" t="s">
        <v>0</v>
      </c>
      <c r="G23097" t="str">
        <f>"2018-11-01 23:30:40"</f>
        <v>2018-11-01 23:30:40</v>
      </c>
    </row>
    <row r="23098" spans="1:7" x14ac:dyDescent="0.2">
      <c r="A23098" t="s">
        <v>21528</v>
      </c>
      <c r="B23098" t="str">
        <f>"13532202959"</f>
        <v>13532202959</v>
      </c>
      <c r="C23098" t="str">
        <f>"430422198908236053"</f>
        <v>430422198908236053</v>
      </c>
      <c r="D23098" t="s">
        <v>21529</v>
      </c>
      <c r="E23098" t="s">
        <v>21530</v>
      </c>
      <c r="F23098" t="s">
        <v>0</v>
      </c>
      <c r="G23098" t="str">
        <f>"2018-10-06 19:16:47"</f>
        <v>2018-10-06 19:16:47</v>
      </c>
    </row>
    <row r="23099" spans="1:7" x14ac:dyDescent="0.2">
      <c r="A23099" t="s">
        <v>1</v>
      </c>
      <c r="B23099" t="str">
        <f>"15677157448"</f>
        <v>15677157448</v>
      </c>
      <c r="C23099" t="s">
        <v>1</v>
      </c>
      <c r="D23099" t="s">
        <v>1</v>
      </c>
      <c r="E23099" t="s">
        <v>1</v>
      </c>
      <c r="F23099" t="s">
        <v>0</v>
      </c>
      <c r="G23099" t="str">
        <f>"2018-10-06 19:11:00"</f>
        <v>2018-10-06 19:11:00</v>
      </c>
    </row>
    <row r="23100" spans="1:7" x14ac:dyDescent="0.2">
      <c r="A23100" t="s">
        <v>21531</v>
      </c>
      <c r="B23100" t="str">
        <f>"15159344878"</f>
        <v>15159344878</v>
      </c>
      <c r="C23100" t="str">
        <f>"352203199302081073"</f>
        <v>352203199302081073</v>
      </c>
      <c r="D23100" t="s">
        <v>1</v>
      </c>
      <c r="E23100" t="s">
        <v>1</v>
      </c>
      <c r="F23100" t="s">
        <v>0</v>
      </c>
      <c r="G23100" t="str">
        <f>"2018-10-06 19:11:40"</f>
        <v>2018-10-06 19:11:40</v>
      </c>
    </row>
    <row r="23101" spans="1:7" x14ac:dyDescent="0.2">
      <c r="A23101" t="s">
        <v>1</v>
      </c>
      <c r="B23101" t="str">
        <f>"13620501486"</f>
        <v>13620501486</v>
      </c>
      <c r="C23101" t="s">
        <v>1</v>
      </c>
      <c r="D23101" t="s">
        <v>1</v>
      </c>
      <c r="E23101" t="s">
        <v>1</v>
      </c>
      <c r="F23101" t="s">
        <v>0</v>
      </c>
      <c r="G23101" t="str">
        <f>"2018-10-06 19:09:25"</f>
        <v>2018-10-06 19:09:25</v>
      </c>
    </row>
    <row r="23102" spans="1:7" x14ac:dyDescent="0.2">
      <c r="A23102" t="s">
        <v>21532</v>
      </c>
      <c r="B23102" t="str">
        <f>"18960550331"</f>
        <v>18960550331</v>
      </c>
      <c r="C23102" t="str">
        <f>"350421197909014048"</f>
        <v>350421197909014048</v>
      </c>
      <c r="D23102" t="s">
        <v>1</v>
      </c>
      <c r="E23102" t="s">
        <v>1</v>
      </c>
      <c r="F23102" t="s">
        <v>0</v>
      </c>
      <c r="G23102" t="str">
        <f>"2018-10-06 19:53:47"</f>
        <v>2018-10-06 19:53:47</v>
      </c>
    </row>
    <row r="23103" spans="1:7" x14ac:dyDescent="0.2">
      <c r="A23103" t="s">
        <v>21533</v>
      </c>
      <c r="B23103" t="str">
        <f>"13809084359"</f>
        <v>13809084359</v>
      </c>
      <c r="C23103" t="str">
        <f>"450922198304082621"</f>
        <v>450922198304082621</v>
      </c>
      <c r="D23103" t="s">
        <v>1</v>
      </c>
      <c r="E23103" t="s">
        <v>1</v>
      </c>
      <c r="F23103" t="s">
        <v>0</v>
      </c>
      <c r="G23103" t="str">
        <f>"2018-10-06 19:16:32"</f>
        <v>2018-10-06 19:16:32</v>
      </c>
    </row>
    <row r="23104" spans="1:7" x14ac:dyDescent="0.2">
      <c r="A23104" t="s">
        <v>1</v>
      </c>
      <c r="B23104" t="str">
        <f>"18604461465"</f>
        <v>18604461465</v>
      </c>
      <c r="C23104" t="s">
        <v>1</v>
      </c>
      <c r="D23104" t="s">
        <v>1</v>
      </c>
      <c r="E23104" t="s">
        <v>1</v>
      </c>
      <c r="F23104" t="s">
        <v>0</v>
      </c>
      <c r="G23104" t="str">
        <f>"2018-10-06 19:06:20"</f>
        <v>2018-10-06 19:06:20</v>
      </c>
    </row>
    <row r="23105" spans="1:7" x14ac:dyDescent="0.2">
      <c r="A23105" t="s">
        <v>21534</v>
      </c>
      <c r="B23105" t="str">
        <f>"17681570506"</f>
        <v>17681570506</v>
      </c>
      <c r="C23105" t="str">
        <f>"632127199805061130"</f>
        <v>632127199805061130</v>
      </c>
      <c r="D23105" t="s">
        <v>1</v>
      </c>
      <c r="E23105" t="s">
        <v>1</v>
      </c>
      <c r="F23105" t="s">
        <v>0</v>
      </c>
      <c r="G23105" t="str">
        <f>"2018-10-06 19:14:01"</f>
        <v>2018-10-06 19:14:01</v>
      </c>
    </row>
    <row r="23106" spans="1:7" x14ac:dyDescent="0.2">
      <c r="A23106" t="s">
        <v>1</v>
      </c>
      <c r="B23106" t="str">
        <f>"15213687431"</f>
        <v>15213687431</v>
      </c>
      <c r="C23106" t="s">
        <v>1</v>
      </c>
      <c r="D23106" t="s">
        <v>1</v>
      </c>
      <c r="E23106" t="s">
        <v>1</v>
      </c>
      <c r="F23106" t="s">
        <v>0</v>
      </c>
      <c r="G23106" t="str">
        <f>"2018-10-06 19:05:22"</f>
        <v>2018-10-06 19:05:22</v>
      </c>
    </row>
    <row r="23107" spans="1:7" x14ac:dyDescent="0.2">
      <c r="A23107" t="s">
        <v>21535</v>
      </c>
      <c r="B23107" t="str">
        <f>"15613055562"</f>
        <v>15613055562</v>
      </c>
      <c r="C23107" t="str">
        <f>"130481199503271970"</f>
        <v>130481199503271970</v>
      </c>
      <c r="D23107" t="s">
        <v>21536</v>
      </c>
      <c r="E23107" t="s">
        <v>21537</v>
      </c>
      <c r="F23107" t="s">
        <v>0</v>
      </c>
      <c r="G23107" t="str">
        <f>"2018-10-06 19:05:57"</f>
        <v>2018-10-06 19:05:57</v>
      </c>
    </row>
    <row r="23108" spans="1:7" x14ac:dyDescent="0.2">
      <c r="A23108" t="s">
        <v>21538</v>
      </c>
      <c r="B23108" t="str">
        <f>"18714685589"</f>
        <v>18714685589</v>
      </c>
      <c r="C23108" t="str">
        <f>"230421199301241834"</f>
        <v>230421199301241834</v>
      </c>
      <c r="D23108" t="s">
        <v>1</v>
      </c>
      <c r="E23108" t="s">
        <v>1</v>
      </c>
      <c r="F23108" t="s">
        <v>0</v>
      </c>
      <c r="G23108" t="str">
        <f>"2018-10-13 14:04:31"</f>
        <v>2018-10-13 14:04:31</v>
      </c>
    </row>
    <row r="23109" spans="1:7" x14ac:dyDescent="0.2">
      <c r="A23109" t="s">
        <v>1</v>
      </c>
      <c r="B23109" t="str">
        <f>"13591557976"</f>
        <v>13591557976</v>
      </c>
      <c r="C23109" t="s">
        <v>1</v>
      </c>
      <c r="D23109" t="s">
        <v>1</v>
      </c>
      <c r="E23109" t="s">
        <v>1</v>
      </c>
      <c r="F23109" t="s">
        <v>0</v>
      </c>
      <c r="G23109" t="str">
        <f>"2018-10-06 19:01:34"</f>
        <v>2018-10-06 19:01:34</v>
      </c>
    </row>
    <row r="23110" spans="1:7" x14ac:dyDescent="0.2">
      <c r="A23110" t="s">
        <v>1</v>
      </c>
      <c r="B23110" t="str">
        <f>"13159875871"</f>
        <v>13159875871</v>
      </c>
      <c r="C23110" t="s">
        <v>1</v>
      </c>
      <c r="D23110" t="s">
        <v>1</v>
      </c>
      <c r="E23110" t="s">
        <v>1</v>
      </c>
      <c r="F23110" t="s">
        <v>0</v>
      </c>
      <c r="G23110" t="str">
        <f>"2018-10-06 19:00:36"</f>
        <v>2018-10-06 19:00:36</v>
      </c>
    </row>
    <row r="23111" spans="1:7" x14ac:dyDescent="0.2">
      <c r="A23111" t="s">
        <v>1</v>
      </c>
      <c r="B23111" t="str">
        <f>"13510972211"</f>
        <v>13510972211</v>
      </c>
      <c r="C23111" t="s">
        <v>1</v>
      </c>
      <c r="D23111" t="s">
        <v>1</v>
      </c>
      <c r="E23111" t="s">
        <v>1</v>
      </c>
      <c r="F23111" t="s">
        <v>0</v>
      </c>
      <c r="G23111" t="str">
        <f>"2018-10-06 19:00:11"</f>
        <v>2018-10-06 19:00:11</v>
      </c>
    </row>
    <row r="23112" spans="1:7" x14ac:dyDescent="0.2">
      <c r="A23112" t="s">
        <v>21539</v>
      </c>
      <c r="B23112" t="str">
        <f>"13327455868"</f>
        <v>13327455868</v>
      </c>
      <c r="C23112" t="str">
        <f>"14043019901008161X"</f>
        <v>14043019901008161X</v>
      </c>
      <c r="D23112" t="s">
        <v>21540</v>
      </c>
      <c r="E23112" t="s">
        <v>21541</v>
      </c>
      <c r="F23112" t="s">
        <v>0</v>
      </c>
      <c r="G23112" t="str">
        <f>"2018-10-06 19:41:38"</f>
        <v>2018-10-06 19:41:38</v>
      </c>
    </row>
    <row r="23113" spans="1:7" x14ac:dyDescent="0.2">
      <c r="A23113" t="s">
        <v>21542</v>
      </c>
      <c r="B23113" t="str">
        <f>"15775407977"</f>
        <v>15775407977</v>
      </c>
      <c r="C23113" t="str">
        <f>"513401198811115918"</f>
        <v>513401198811115918</v>
      </c>
      <c r="D23113" t="s">
        <v>1</v>
      </c>
      <c r="E23113" t="s">
        <v>1</v>
      </c>
      <c r="F23113" t="s">
        <v>0</v>
      </c>
      <c r="G23113" t="str">
        <f>"2018-10-06 19:00:20"</f>
        <v>2018-10-06 19:00:20</v>
      </c>
    </row>
    <row r="23114" spans="1:7" x14ac:dyDescent="0.2">
      <c r="A23114" t="s">
        <v>1</v>
      </c>
      <c r="B23114" t="str">
        <f>"13059940072"</f>
        <v>13059940072</v>
      </c>
      <c r="C23114" t="s">
        <v>1</v>
      </c>
      <c r="D23114" t="s">
        <v>1</v>
      </c>
      <c r="E23114" t="s">
        <v>1</v>
      </c>
      <c r="F23114" t="s">
        <v>0</v>
      </c>
      <c r="G23114" t="str">
        <f>"2018-10-06 18:58:23"</f>
        <v>2018-10-06 18:58:23</v>
      </c>
    </row>
    <row r="23115" spans="1:7" x14ac:dyDescent="0.2">
      <c r="A23115" t="s">
        <v>21543</v>
      </c>
      <c r="B23115" t="str">
        <f>"13868650450"</f>
        <v>13868650450</v>
      </c>
      <c r="C23115" t="str">
        <f>"342224198106131753"</f>
        <v>342224198106131753</v>
      </c>
      <c r="D23115" t="s">
        <v>1</v>
      </c>
      <c r="E23115" t="s">
        <v>1</v>
      </c>
      <c r="F23115" t="s">
        <v>0</v>
      </c>
      <c r="G23115" t="str">
        <f>"2018-10-06 18:59:38"</f>
        <v>2018-10-06 18:59:38</v>
      </c>
    </row>
    <row r="23116" spans="1:7" x14ac:dyDescent="0.2">
      <c r="A23116" t="s">
        <v>21544</v>
      </c>
      <c r="B23116" t="str">
        <f>"15997305342"</f>
        <v>15997305342</v>
      </c>
      <c r="C23116" t="str">
        <f>"420606198703256033"</f>
        <v>420606198703256033</v>
      </c>
      <c r="D23116" t="s">
        <v>1</v>
      </c>
      <c r="E23116" t="s">
        <v>1</v>
      </c>
      <c r="F23116" t="s">
        <v>0</v>
      </c>
      <c r="G23116" t="str">
        <f>"2018-10-06 18:59:15"</f>
        <v>2018-10-06 18:59:15</v>
      </c>
    </row>
    <row r="23117" spans="1:7" x14ac:dyDescent="0.2">
      <c r="A23117" t="s">
        <v>21545</v>
      </c>
      <c r="B23117" t="str">
        <f>"13502659200"</f>
        <v>13502659200</v>
      </c>
      <c r="C23117" t="str">
        <f>"452322198306140310"</f>
        <v>452322198306140310</v>
      </c>
      <c r="D23117" t="s">
        <v>21546</v>
      </c>
      <c r="E23117" t="s">
        <v>21547</v>
      </c>
      <c r="F23117" t="s">
        <v>0</v>
      </c>
      <c r="G23117" t="str">
        <f>"2018-10-06 19:00:04"</f>
        <v>2018-10-06 19:00:04</v>
      </c>
    </row>
    <row r="23118" spans="1:7" x14ac:dyDescent="0.2">
      <c r="A23118" t="s">
        <v>1</v>
      </c>
      <c r="B23118" t="str">
        <f>"18678373205"</f>
        <v>18678373205</v>
      </c>
      <c r="C23118" t="s">
        <v>1</v>
      </c>
      <c r="D23118" t="s">
        <v>1</v>
      </c>
      <c r="E23118" t="s">
        <v>1</v>
      </c>
      <c r="F23118" t="s">
        <v>0</v>
      </c>
      <c r="G23118" t="str">
        <f>"2018-10-06 18:56:15"</f>
        <v>2018-10-06 18:56:15</v>
      </c>
    </row>
    <row r="23119" spans="1:7" x14ac:dyDescent="0.2">
      <c r="A23119" t="s">
        <v>710</v>
      </c>
      <c r="B23119" t="str">
        <f>"18384056000"</f>
        <v>18384056000</v>
      </c>
      <c r="C23119" t="str">
        <f>"511321198910133212"</f>
        <v>511321198910133212</v>
      </c>
      <c r="D23119" t="s">
        <v>1</v>
      </c>
      <c r="E23119" t="s">
        <v>1</v>
      </c>
      <c r="F23119" t="s">
        <v>0</v>
      </c>
      <c r="G23119" t="str">
        <f>"2018-10-06 18:55:40"</f>
        <v>2018-10-06 18:55:40</v>
      </c>
    </row>
    <row r="23120" spans="1:7" x14ac:dyDescent="0.2">
      <c r="A23120" t="s">
        <v>21548</v>
      </c>
      <c r="B23120" t="str">
        <f>"18961765572"</f>
        <v>18961765572</v>
      </c>
      <c r="C23120" t="str">
        <f>"320222197009243937"</f>
        <v>320222197009243937</v>
      </c>
      <c r="D23120" t="s">
        <v>1</v>
      </c>
      <c r="E23120" t="s">
        <v>1</v>
      </c>
      <c r="F23120" t="s">
        <v>0</v>
      </c>
      <c r="G23120" t="str">
        <f>"2018-10-14 08:40:06"</f>
        <v>2018-10-14 08:40:06</v>
      </c>
    </row>
    <row r="23121" spans="1:7" x14ac:dyDescent="0.2">
      <c r="A23121" t="s">
        <v>21549</v>
      </c>
      <c r="B23121" t="str">
        <f>"13194293456"</f>
        <v>13194293456</v>
      </c>
      <c r="C23121" t="str">
        <f>"211402198301050249"</f>
        <v>211402198301050249</v>
      </c>
      <c r="D23121" t="s">
        <v>1</v>
      </c>
      <c r="E23121" t="s">
        <v>1</v>
      </c>
      <c r="F23121" t="s">
        <v>0</v>
      </c>
      <c r="G23121" t="str">
        <f>"2018-10-11 16:27:32"</f>
        <v>2018-10-11 16:27:32</v>
      </c>
    </row>
    <row r="23122" spans="1:7" x14ac:dyDescent="0.2">
      <c r="A23122" t="s">
        <v>21550</v>
      </c>
      <c r="B23122" t="str">
        <f>"15587183651"</f>
        <v>15587183651</v>
      </c>
      <c r="C23122" t="str">
        <f>"530424199109091012"</f>
        <v>530424199109091012</v>
      </c>
      <c r="D23122" t="s">
        <v>1</v>
      </c>
      <c r="E23122" t="s">
        <v>1</v>
      </c>
      <c r="F23122" t="s">
        <v>0</v>
      </c>
      <c r="G23122" t="str">
        <f>"2018-10-06 18:55:27"</f>
        <v>2018-10-06 18:55:27</v>
      </c>
    </row>
    <row r="23123" spans="1:7" x14ac:dyDescent="0.2">
      <c r="A23123" t="s">
        <v>1</v>
      </c>
      <c r="B23123" t="str">
        <f>"18314417347"</f>
        <v>18314417347</v>
      </c>
      <c r="C23123" t="s">
        <v>1</v>
      </c>
      <c r="D23123" t="s">
        <v>1</v>
      </c>
      <c r="E23123" t="s">
        <v>1</v>
      </c>
      <c r="F23123" t="s">
        <v>0</v>
      </c>
      <c r="G23123" t="str">
        <f>"2018-10-06 18:55:13"</f>
        <v>2018-10-06 18:55:13</v>
      </c>
    </row>
    <row r="23124" spans="1:7" x14ac:dyDescent="0.2">
      <c r="A23124" t="s">
        <v>1437</v>
      </c>
      <c r="B23124" t="str">
        <f>"18036397371"</f>
        <v>18036397371</v>
      </c>
      <c r="C23124" t="str">
        <f>"320821199407225799"</f>
        <v>320821199407225799</v>
      </c>
      <c r="D23124" t="s">
        <v>1</v>
      </c>
      <c r="E23124" t="s">
        <v>1</v>
      </c>
      <c r="F23124" t="s">
        <v>0</v>
      </c>
      <c r="G23124" t="str">
        <f>"2018-10-20 18:18:11"</f>
        <v>2018-10-20 18:18:11</v>
      </c>
    </row>
    <row r="23125" spans="1:7" x14ac:dyDescent="0.2">
      <c r="A23125" t="s">
        <v>1</v>
      </c>
      <c r="B23125" t="str">
        <f>"15724237981"</f>
        <v>15724237981</v>
      </c>
      <c r="C23125" t="s">
        <v>1</v>
      </c>
      <c r="D23125" t="s">
        <v>1</v>
      </c>
      <c r="E23125" t="s">
        <v>1</v>
      </c>
      <c r="F23125" t="s">
        <v>0</v>
      </c>
      <c r="G23125" t="str">
        <f>"2018-10-06 18:53:39"</f>
        <v>2018-10-06 18:53:39</v>
      </c>
    </row>
    <row r="23126" spans="1:7" x14ac:dyDescent="0.2">
      <c r="A23126" t="s">
        <v>21551</v>
      </c>
      <c r="B23126" t="str">
        <f>"15911593574"</f>
        <v>15911593574</v>
      </c>
      <c r="C23126" t="str">
        <f>"530128199002014534"</f>
        <v>530128199002014534</v>
      </c>
      <c r="D23126" t="s">
        <v>1</v>
      </c>
      <c r="E23126" t="s">
        <v>1</v>
      </c>
      <c r="F23126" t="s">
        <v>0</v>
      </c>
      <c r="G23126" t="str">
        <f>"2018-10-06 20:04:30"</f>
        <v>2018-10-06 20:04:30</v>
      </c>
    </row>
    <row r="23127" spans="1:7" x14ac:dyDescent="0.2">
      <c r="A23127" t="s">
        <v>21552</v>
      </c>
      <c r="B23127" t="str">
        <f>"13336475343"</f>
        <v>13336475343</v>
      </c>
      <c r="C23127" t="str">
        <f>"440681198704284830"</f>
        <v>440681198704284830</v>
      </c>
      <c r="D23127" t="s">
        <v>21553</v>
      </c>
      <c r="E23127" t="s">
        <v>21554</v>
      </c>
      <c r="F23127" t="s">
        <v>0</v>
      </c>
      <c r="G23127" t="str">
        <f>"2018-10-06 18:55:16"</f>
        <v>2018-10-06 18:55:16</v>
      </c>
    </row>
    <row r="23128" spans="1:7" x14ac:dyDescent="0.2">
      <c r="A23128" t="s">
        <v>1</v>
      </c>
      <c r="B23128" t="str">
        <f>"15146024591"</f>
        <v>15146024591</v>
      </c>
      <c r="C23128" t="s">
        <v>1</v>
      </c>
      <c r="D23128" t="s">
        <v>1</v>
      </c>
      <c r="E23128" t="s">
        <v>1</v>
      </c>
      <c r="F23128" t="s">
        <v>0</v>
      </c>
      <c r="G23128" t="str">
        <f>"2018-10-06 18:51:52"</f>
        <v>2018-10-06 18:51:52</v>
      </c>
    </row>
    <row r="23129" spans="1:7" x14ac:dyDescent="0.2">
      <c r="A23129" t="s">
        <v>1</v>
      </c>
      <c r="B23129" t="str">
        <f>"17665359272"</f>
        <v>17665359272</v>
      </c>
      <c r="C23129" t="s">
        <v>1</v>
      </c>
      <c r="D23129" t="s">
        <v>1</v>
      </c>
      <c r="E23129" t="s">
        <v>1</v>
      </c>
      <c r="F23129" t="s">
        <v>0</v>
      </c>
      <c r="G23129" t="str">
        <f>"2018-10-06 18:51:08"</f>
        <v>2018-10-06 18:51:08</v>
      </c>
    </row>
    <row r="23130" spans="1:7" x14ac:dyDescent="0.2">
      <c r="A23130" t="s">
        <v>21555</v>
      </c>
      <c r="B23130" t="str">
        <f>"15179521382"</f>
        <v>15179521382</v>
      </c>
      <c r="C23130" t="str">
        <f>"362203199303055530"</f>
        <v>362203199303055530</v>
      </c>
      <c r="D23130" t="s">
        <v>21556</v>
      </c>
      <c r="E23130" t="s">
        <v>21557</v>
      </c>
      <c r="F23130" t="s">
        <v>0</v>
      </c>
      <c r="G23130" t="str">
        <f>"2018-11-05 10:28:54"</f>
        <v>2018-11-05 10:28:54</v>
      </c>
    </row>
    <row r="23131" spans="1:7" x14ac:dyDescent="0.2">
      <c r="A23131" t="s">
        <v>21558</v>
      </c>
      <c r="B23131" t="str">
        <f>"18205363824"</f>
        <v>18205363824</v>
      </c>
      <c r="C23131" t="str">
        <f>"370782199709265223"</f>
        <v>370782199709265223</v>
      </c>
      <c r="D23131" t="s">
        <v>21559</v>
      </c>
      <c r="E23131" t="s">
        <v>21560</v>
      </c>
      <c r="F23131" t="s">
        <v>0</v>
      </c>
      <c r="G23131" t="str">
        <f>"2018-10-28 06:06:30"</f>
        <v>2018-10-28 06:06:30</v>
      </c>
    </row>
    <row r="23132" spans="1:7" x14ac:dyDescent="0.2">
      <c r="A23132" t="s">
        <v>449</v>
      </c>
      <c r="B23132" t="str">
        <f>"18868236695"</f>
        <v>18868236695</v>
      </c>
      <c r="C23132" t="str">
        <f>"330511197203161029"</f>
        <v>330511197203161029</v>
      </c>
      <c r="D23132" t="s">
        <v>1</v>
      </c>
      <c r="E23132" t="s">
        <v>1</v>
      </c>
      <c r="F23132" t="s">
        <v>0</v>
      </c>
      <c r="G23132" t="str">
        <f>"2018-10-13 22:29:41"</f>
        <v>2018-10-13 22:29:41</v>
      </c>
    </row>
    <row r="23133" spans="1:7" x14ac:dyDescent="0.2">
      <c r="A23133" t="s">
        <v>21561</v>
      </c>
      <c r="B23133" t="str">
        <f>"17551025871"</f>
        <v>17551025871</v>
      </c>
      <c r="C23133" t="str">
        <f>"420581199410071413"</f>
        <v>420581199410071413</v>
      </c>
      <c r="D23133" t="s">
        <v>1</v>
      </c>
      <c r="E23133" t="s">
        <v>1</v>
      </c>
      <c r="F23133" t="s">
        <v>0</v>
      </c>
      <c r="G23133" t="str">
        <f>"2018-10-06 18:52:19"</f>
        <v>2018-10-06 18:52:19</v>
      </c>
    </row>
    <row r="23134" spans="1:7" x14ac:dyDescent="0.2">
      <c r="A23134" t="s">
        <v>1</v>
      </c>
      <c r="B23134" t="str">
        <f>"13216605164"</f>
        <v>13216605164</v>
      </c>
      <c r="C23134" t="s">
        <v>1</v>
      </c>
      <c r="D23134" t="s">
        <v>1</v>
      </c>
      <c r="E23134" t="s">
        <v>1</v>
      </c>
      <c r="F23134" t="s">
        <v>0</v>
      </c>
      <c r="G23134" t="str">
        <f>"2018-10-06 18:48:50"</f>
        <v>2018-10-06 18:48:50</v>
      </c>
    </row>
    <row r="23135" spans="1:7" x14ac:dyDescent="0.2">
      <c r="A23135" t="s">
        <v>21562</v>
      </c>
      <c r="B23135" t="str">
        <f>"15520399997"</f>
        <v>15520399997</v>
      </c>
      <c r="C23135" t="str">
        <f>"513821198708109066"</f>
        <v>513821198708109066</v>
      </c>
      <c r="D23135" t="s">
        <v>21563</v>
      </c>
      <c r="E23135" t="s">
        <v>21564</v>
      </c>
      <c r="F23135" t="s">
        <v>0</v>
      </c>
      <c r="G23135" t="str">
        <f>"2018-10-06 18:56:52"</f>
        <v>2018-10-06 18:56:52</v>
      </c>
    </row>
    <row r="23136" spans="1:7" x14ac:dyDescent="0.2">
      <c r="A23136" t="s">
        <v>875</v>
      </c>
      <c r="B23136" t="str">
        <f>"17798223281"</f>
        <v>17798223281</v>
      </c>
      <c r="C23136" t="str">
        <f>"420112199004180038"</f>
        <v>420112199004180038</v>
      </c>
      <c r="D23136" t="s">
        <v>1</v>
      </c>
      <c r="E23136" t="s">
        <v>1</v>
      </c>
      <c r="F23136" t="s">
        <v>0</v>
      </c>
      <c r="G23136" t="str">
        <f>"2018-10-06 19:07:08"</f>
        <v>2018-10-06 19:07:08</v>
      </c>
    </row>
    <row r="23137" spans="1:7" x14ac:dyDescent="0.2">
      <c r="A23137" t="s">
        <v>1</v>
      </c>
      <c r="B23137" t="str">
        <f>"15878111075"</f>
        <v>15878111075</v>
      </c>
      <c r="C23137" t="s">
        <v>1</v>
      </c>
      <c r="D23137" t="s">
        <v>1</v>
      </c>
      <c r="E23137" t="s">
        <v>1</v>
      </c>
      <c r="F23137" t="s">
        <v>0</v>
      </c>
      <c r="G23137" t="str">
        <f>"2018-10-06 18:48:15"</f>
        <v>2018-10-06 18:48:15</v>
      </c>
    </row>
    <row r="23138" spans="1:7" x14ac:dyDescent="0.2">
      <c r="A23138" t="s">
        <v>1</v>
      </c>
      <c r="B23138" t="str">
        <f>"13184294756"</f>
        <v>13184294756</v>
      </c>
      <c r="C23138" t="s">
        <v>1</v>
      </c>
      <c r="D23138" t="s">
        <v>1</v>
      </c>
      <c r="E23138" t="s">
        <v>1</v>
      </c>
      <c r="F23138" t="s">
        <v>0</v>
      </c>
      <c r="G23138" t="str">
        <f>"2018-10-06 18:48:07"</f>
        <v>2018-10-06 18:48:07</v>
      </c>
    </row>
    <row r="23139" spans="1:7" x14ac:dyDescent="0.2">
      <c r="A23139" t="s">
        <v>1</v>
      </c>
      <c r="B23139" t="str">
        <f>"18436000696"</f>
        <v>18436000696</v>
      </c>
      <c r="C23139" t="s">
        <v>1</v>
      </c>
      <c r="D23139" t="s">
        <v>1</v>
      </c>
      <c r="E23139" t="s">
        <v>1</v>
      </c>
      <c r="F23139" t="s">
        <v>0</v>
      </c>
      <c r="G23139" t="str">
        <f>"2018-10-06 18:46:52"</f>
        <v>2018-10-06 18:46:52</v>
      </c>
    </row>
    <row r="23140" spans="1:7" x14ac:dyDescent="0.2">
      <c r="A23140" t="s">
        <v>1280</v>
      </c>
      <c r="B23140" t="str">
        <f>"15902770333"</f>
        <v>15902770333</v>
      </c>
      <c r="C23140" t="str">
        <f>"420102198807040015"</f>
        <v>420102198807040015</v>
      </c>
      <c r="D23140" t="s">
        <v>1</v>
      </c>
      <c r="E23140" t="s">
        <v>1</v>
      </c>
      <c r="F23140" t="s">
        <v>0</v>
      </c>
      <c r="G23140" t="str">
        <f>"2018-10-07 15:04:31"</f>
        <v>2018-10-07 15:04:31</v>
      </c>
    </row>
    <row r="23141" spans="1:7" x14ac:dyDescent="0.2">
      <c r="A23141" t="s">
        <v>21565</v>
      </c>
      <c r="B23141" t="str">
        <f>"18378865451"</f>
        <v>18378865451</v>
      </c>
      <c r="C23141" t="str">
        <f>"452730199807290815"</f>
        <v>452730199807290815</v>
      </c>
      <c r="D23141" t="s">
        <v>1</v>
      </c>
      <c r="E23141" t="s">
        <v>1</v>
      </c>
      <c r="F23141" t="s">
        <v>0</v>
      </c>
      <c r="G23141" t="str">
        <f>"2018-10-06 21:09:21"</f>
        <v>2018-10-06 21:09:21</v>
      </c>
    </row>
    <row r="23142" spans="1:7" x14ac:dyDescent="0.2">
      <c r="A23142" t="s">
        <v>21566</v>
      </c>
      <c r="B23142" t="str">
        <f>"15704660469"</f>
        <v>15704660469</v>
      </c>
      <c r="C23142" t="str">
        <f>"231102198704051761"</f>
        <v>231102198704051761</v>
      </c>
      <c r="D23142" t="s">
        <v>21567</v>
      </c>
      <c r="E23142" t="s">
        <v>21568</v>
      </c>
      <c r="F23142" t="s">
        <v>0</v>
      </c>
      <c r="G23142" t="str">
        <f>"2018-10-06 18:45:44"</f>
        <v>2018-10-06 18:45:44</v>
      </c>
    </row>
    <row r="23143" spans="1:7" x14ac:dyDescent="0.2">
      <c r="A23143" t="s">
        <v>21569</v>
      </c>
      <c r="B23143" t="str">
        <f>"18768434037"</f>
        <v>18768434037</v>
      </c>
      <c r="C23143" t="str">
        <f>"362323199305096513"</f>
        <v>362323199305096513</v>
      </c>
      <c r="D23143" t="s">
        <v>1</v>
      </c>
      <c r="E23143" t="s">
        <v>1</v>
      </c>
      <c r="F23143" t="s">
        <v>0</v>
      </c>
      <c r="G23143" t="str">
        <f>"2018-10-06 18:46:47"</f>
        <v>2018-10-06 18:46:47</v>
      </c>
    </row>
    <row r="23144" spans="1:7" x14ac:dyDescent="0.2">
      <c r="A23144" t="s">
        <v>136</v>
      </c>
      <c r="B23144" t="str">
        <f>"13810459366"</f>
        <v>13810459366</v>
      </c>
      <c r="C23144" t="str">
        <f>"110228198709070911"</f>
        <v>110228198709070911</v>
      </c>
      <c r="D23144" t="s">
        <v>1</v>
      </c>
      <c r="E23144" t="s">
        <v>1</v>
      </c>
      <c r="F23144" t="s">
        <v>0</v>
      </c>
      <c r="G23144" t="str">
        <f>"2018-10-06 18:48:05"</f>
        <v>2018-10-06 18:48:05</v>
      </c>
    </row>
    <row r="23145" spans="1:7" x14ac:dyDescent="0.2">
      <c r="A23145" t="s">
        <v>21570</v>
      </c>
      <c r="B23145" t="str">
        <f>"15974226419"</f>
        <v>15974226419</v>
      </c>
      <c r="C23145" t="str">
        <f>"430181199703205315"</f>
        <v>430181199703205315</v>
      </c>
      <c r="D23145" t="s">
        <v>21571</v>
      </c>
      <c r="E23145" t="s">
        <v>21572</v>
      </c>
      <c r="F23145" t="s">
        <v>0</v>
      </c>
      <c r="G23145" t="str">
        <f>"2018-10-06 18:45:28"</f>
        <v>2018-10-06 18:45:28</v>
      </c>
    </row>
    <row r="23146" spans="1:7" x14ac:dyDescent="0.2">
      <c r="A23146" t="s">
        <v>21573</v>
      </c>
      <c r="B23146" t="str">
        <f>"13907205520"</f>
        <v>13907205520</v>
      </c>
      <c r="C23146" t="str">
        <f>"420503197911241830"</f>
        <v>420503197911241830</v>
      </c>
      <c r="D23146" t="s">
        <v>1</v>
      </c>
      <c r="E23146" t="s">
        <v>1</v>
      </c>
      <c r="F23146" t="s">
        <v>0</v>
      </c>
      <c r="G23146" t="str">
        <f>"2018-10-06 18:47:15"</f>
        <v>2018-10-06 18:47:15</v>
      </c>
    </row>
    <row r="23147" spans="1:7" x14ac:dyDescent="0.2">
      <c r="A23147" t="s">
        <v>1</v>
      </c>
      <c r="B23147" t="str">
        <f>"13554428982"</f>
        <v>13554428982</v>
      </c>
      <c r="C23147" t="s">
        <v>1</v>
      </c>
      <c r="D23147" t="s">
        <v>1</v>
      </c>
      <c r="E23147" t="s">
        <v>1</v>
      </c>
      <c r="F23147" t="s">
        <v>0</v>
      </c>
      <c r="G23147" t="str">
        <f>"2018-10-06 18:42:16"</f>
        <v>2018-10-06 18:42:16</v>
      </c>
    </row>
    <row r="23148" spans="1:7" x14ac:dyDescent="0.2">
      <c r="A23148" t="s">
        <v>21574</v>
      </c>
      <c r="B23148" t="str">
        <f>"13367777054"</f>
        <v>13367777054</v>
      </c>
      <c r="C23148" t="str">
        <f>"450703199202183450"</f>
        <v>450703199202183450</v>
      </c>
      <c r="D23148" t="s">
        <v>21575</v>
      </c>
      <c r="E23148" t="s">
        <v>21576</v>
      </c>
      <c r="F23148" t="s">
        <v>0</v>
      </c>
      <c r="G23148" t="str">
        <f>"2018-10-06 18:41:58"</f>
        <v>2018-10-06 18:41:58</v>
      </c>
    </row>
    <row r="23149" spans="1:7" x14ac:dyDescent="0.2">
      <c r="A23149" t="s">
        <v>21577</v>
      </c>
      <c r="B23149" t="str">
        <f>"15215395669"</f>
        <v>15215395669</v>
      </c>
      <c r="C23149" t="str">
        <f>"371324199109225215"</f>
        <v>371324199109225215</v>
      </c>
      <c r="D23149" t="s">
        <v>1</v>
      </c>
      <c r="E23149" t="s">
        <v>1</v>
      </c>
      <c r="F23149" t="s">
        <v>0</v>
      </c>
      <c r="G23149" t="str">
        <f>"2018-10-06 21:11:30"</f>
        <v>2018-10-06 21:11:30</v>
      </c>
    </row>
    <row r="23150" spans="1:7" x14ac:dyDescent="0.2">
      <c r="A23150" t="s">
        <v>21578</v>
      </c>
      <c r="B23150" t="str">
        <f>"15962940942"</f>
        <v>15962940942</v>
      </c>
      <c r="C23150" t="str">
        <f>"320683199009286260"</f>
        <v>320683199009286260</v>
      </c>
      <c r="D23150" t="s">
        <v>21579</v>
      </c>
      <c r="E23150" t="s">
        <v>21580</v>
      </c>
      <c r="F23150" t="s">
        <v>0</v>
      </c>
      <c r="G23150" t="str">
        <f>"2018-10-31 18:08:42"</f>
        <v>2018-10-31 18:08:42</v>
      </c>
    </row>
    <row r="23151" spans="1:7" x14ac:dyDescent="0.2">
      <c r="A23151" t="s">
        <v>21581</v>
      </c>
      <c r="B23151" t="str">
        <f>"13783603334"</f>
        <v>13783603334</v>
      </c>
      <c r="C23151" t="str">
        <f>"41012219880313291X"</f>
        <v>41012219880313291X</v>
      </c>
      <c r="D23151" t="s">
        <v>21582</v>
      </c>
      <c r="E23151" t="s">
        <v>21583</v>
      </c>
      <c r="F23151" t="s">
        <v>0</v>
      </c>
      <c r="G23151" t="str">
        <f>"2018-10-07 14:01:15"</f>
        <v>2018-10-07 14:01:15</v>
      </c>
    </row>
    <row r="23152" spans="1:7" x14ac:dyDescent="0.2">
      <c r="A23152" t="s">
        <v>1240</v>
      </c>
      <c r="B23152" t="str">
        <f>"15084112213"</f>
        <v>15084112213</v>
      </c>
      <c r="C23152" t="str">
        <f>"210726198903050314"</f>
        <v>210726198903050314</v>
      </c>
      <c r="D23152" t="s">
        <v>1</v>
      </c>
      <c r="E23152" t="s">
        <v>1</v>
      </c>
      <c r="F23152" t="s">
        <v>0</v>
      </c>
      <c r="G23152" t="str">
        <f>"2018-10-06 18:39:15"</f>
        <v>2018-10-06 18:39:15</v>
      </c>
    </row>
    <row r="23153" spans="1:7" x14ac:dyDescent="0.2">
      <c r="A23153" t="s">
        <v>1</v>
      </c>
      <c r="B23153" t="str">
        <f>"13324743583"</f>
        <v>13324743583</v>
      </c>
      <c r="C23153" t="s">
        <v>1</v>
      </c>
      <c r="D23153" t="s">
        <v>1</v>
      </c>
      <c r="E23153" t="s">
        <v>1</v>
      </c>
      <c r="F23153" t="s">
        <v>0</v>
      </c>
      <c r="G23153" t="str">
        <f>"2018-10-06 18:37:42"</f>
        <v>2018-10-06 18:37:42</v>
      </c>
    </row>
    <row r="23154" spans="1:7" x14ac:dyDescent="0.2">
      <c r="A23154" t="s">
        <v>21584</v>
      </c>
      <c r="B23154" t="str">
        <f>"13797631533"</f>
        <v>13797631533</v>
      </c>
      <c r="C23154" t="str">
        <f>"420606198610252535"</f>
        <v>420606198610252535</v>
      </c>
      <c r="D23154" t="s">
        <v>21585</v>
      </c>
      <c r="E23154" t="s">
        <v>21586</v>
      </c>
      <c r="F23154" t="s">
        <v>0</v>
      </c>
      <c r="G23154" t="str">
        <f>"2018-10-06 19:02:44"</f>
        <v>2018-10-06 19:02:44</v>
      </c>
    </row>
    <row r="23155" spans="1:7" x14ac:dyDescent="0.2">
      <c r="A23155" t="s">
        <v>452</v>
      </c>
      <c r="B23155" t="str">
        <f>"15513123233"</f>
        <v>15513123233</v>
      </c>
      <c r="C23155" t="str">
        <f>"411502199212018754"</f>
        <v>411502199212018754</v>
      </c>
      <c r="D23155" t="s">
        <v>1</v>
      </c>
      <c r="E23155" t="s">
        <v>1</v>
      </c>
      <c r="F23155" t="s">
        <v>0</v>
      </c>
      <c r="G23155" t="str">
        <f>"2018-10-06 18:37:35"</f>
        <v>2018-10-06 18:37:35</v>
      </c>
    </row>
    <row r="23156" spans="1:7" x14ac:dyDescent="0.2">
      <c r="A23156" t="s">
        <v>21587</v>
      </c>
      <c r="B23156" t="str">
        <f>"13887584337"</f>
        <v>13887584337</v>
      </c>
      <c r="C23156" t="str">
        <f>"532523198310180021"</f>
        <v>532523198310180021</v>
      </c>
      <c r="D23156" t="s">
        <v>1</v>
      </c>
      <c r="E23156" t="s">
        <v>1</v>
      </c>
      <c r="F23156" t="s">
        <v>0</v>
      </c>
      <c r="G23156" t="str">
        <f>"2018-10-06 18:38:58"</f>
        <v>2018-10-06 18:38:58</v>
      </c>
    </row>
    <row r="23157" spans="1:7" x14ac:dyDescent="0.2">
      <c r="A23157" t="s">
        <v>1</v>
      </c>
      <c r="B23157" t="str">
        <f>"15272948805"</f>
        <v>15272948805</v>
      </c>
      <c r="C23157" t="s">
        <v>1</v>
      </c>
      <c r="D23157" t="s">
        <v>1</v>
      </c>
      <c r="E23157" t="s">
        <v>1</v>
      </c>
      <c r="F23157" t="s">
        <v>0</v>
      </c>
      <c r="G23157" t="str">
        <f>"2018-10-06 18:36:22"</f>
        <v>2018-10-06 18:36:22</v>
      </c>
    </row>
    <row r="23158" spans="1:7" x14ac:dyDescent="0.2">
      <c r="A23158" t="s">
        <v>13693</v>
      </c>
      <c r="B23158" t="str">
        <f>"15983417217"</f>
        <v>15983417217</v>
      </c>
      <c r="C23158" t="str">
        <f>"513423199310056510"</f>
        <v>513423199310056510</v>
      </c>
      <c r="D23158" t="s">
        <v>1</v>
      </c>
      <c r="E23158" t="s">
        <v>1</v>
      </c>
      <c r="F23158" t="s">
        <v>0</v>
      </c>
      <c r="G23158" t="str">
        <f>"2018-10-06 18:38:35"</f>
        <v>2018-10-06 18:38:35</v>
      </c>
    </row>
    <row r="23159" spans="1:7" x14ac:dyDescent="0.2">
      <c r="A23159" t="s">
        <v>21588</v>
      </c>
      <c r="B23159" t="str">
        <f>"15738278827"</f>
        <v>15738278827</v>
      </c>
      <c r="C23159" t="str">
        <f>"411502199802219310"</f>
        <v>411502199802219310</v>
      </c>
      <c r="D23159" t="s">
        <v>1</v>
      </c>
      <c r="E23159" t="s">
        <v>1</v>
      </c>
      <c r="F23159" t="s">
        <v>0</v>
      </c>
      <c r="G23159" t="str">
        <f>"2018-10-06 18:34:31"</f>
        <v>2018-10-06 18:34:31</v>
      </c>
    </row>
    <row r="23160" spans="1:7" x14ac:dyDescent="0.2">
      <c r="A23160" t="s">
        <v>1</v>
      </c>
      <c r="B23160" t="str">
        <f>"17868791384"</f>
        <v>17868791384</v>
      </c>
      <c r="C23160" t="s">
        <v>1</v>
      </c>
      <c r="D23160" t="s">
        <v>1</v>
      </c>
      <c r="E23160" t="s">
        <v>1</v>
      </c>
      <c r="F23160" t="s">
        <v>0</v>
      </c>
      <c r="G23160" t="str">
        <f>"2018-10-06 18:35:56"</f>
        <v>2018-10-06 18:35:56</v>
      </c>
    </row>
    <row r="23161" spans="1:7" x14ac:dyDescent="0.2">
      <c r="A23161" t="s">
        <v>21589</v>
      </c>
      <c r="B23161" t="str">
        <f>"13779365807"</f>
        <v>13779365807</v>
      </c>
      <c r="C23161" t="str">
        <f>"620502199201167138"</f>
        <v>620502199201167138</v>
      </c>
      <c r="D23161" t="s">
        <v>1</v>
      </c>
      <c r="E23161" t="s">
        <v>1</v>
      </c>
      <c r="F23161" t="s">
        <v>0</v>
      </c>
      <c r="G23161" t="str">
        <f>"2018-11-04 12:53:00"</f>
        <v>2018-11-04 12:53:00</v>
      </c>
    </row>
    <row r="23162" spans="1:7" x14ac:dyDescent="0.2">
      <c r="A23162" t="s">
        <v>21590</v>
      </c>
      <c r="B23162" t="str">
        <f>"15817479844"</f>
        <v>15817479844</v>
      </c>
      <c r="C23162" t="str">
        <f>"360734198511074328"</f>
        <v>360734198511074328</v>
      </c>
      <c r="D23162" t="s">
        <v>1</v>
      </c>
      <c r="E23162" t="s">
        <v>1</v>
      </c>
      <c r="F23162" t="s">
        <v>0</v>
      </c>
      <c r="G23162" t="str">
        <f>"2018-10-06 18:32:03"</f>
        <v>2018-10-06 18:32:03</v>
      </c>
    </row>
    <row r="23163" spans="1:7" x14ac:dyDescent="0.2">
      <c r="A23163" t="s">
        <v>21591</v>
      </c>
      <c r="B23163" t="str">
        <f>"15812580888"</f>
        <v>15812580888</v>
      </c>
      <c r="C23163" t="str">
        <f>"441323198602238914"</f>
        <v>441323198602238914</v>
      </c>
      <c r="D23163" t="s">
        <v>1</v>
      </c>
      <c r="E23163" t="s">
        <v>1</v>
      </c>
      <c r="F23163" t="s">
        <v>0</v>
      </c>
      <c r="G23163" t="str">
        <f>"2018-10-06 18:32:03"</f>
        <v>2018-10-06 18:32:03</v>
      </c>
    </row>
    <row r="23164" spans="1:7" x14ac:dyDescent="0.2">
      <c r="A23164" t="s">
        <v>1</v>
      </c>
      <c r="B23164" t="str">
        <f>"13695883235"</f>
        <v>13695883235</v>
      </c>
      <c r="C23164" t="s">
        <v>1</v>
      </c>
      <c r="D23164" t="s">
        <v>1</v>
      </c>
      <c r="E23164" t="s">
        <v>1</v>
      </c>
      <c r="F23164" t="s">
        <v>0</v>
      </c>
      <c r="G23164" t="str">
        <f>"2018-10-06 18:33:19"</f>
        <v>2018-10-06 18:33:19</v>
      </c>
    </row>
    <row r="23165" spans="1:7" x14ac:dyDescent="0.2">
      <c r="A23165" t="s">
        <v>593</v>
      </c>
      <c r="B23165" t="str">
        <f>"13548133473"</f>
        <v>13548133473</v>
      </c>
      <c r="C23165" t="str">
        <f>"510104198910234074"</f>
        <v>510104198910234074</v>
      </c>
      <c r="D23165" t="s">
        <v>1</v>
      </c>
      <c r="E23165" t="s">
        <v>1</v>
      </c>
      <c r="F23165" t="s">
        <v>0</v>
      </c>
      <c r="G23165" t="str">
        <f>"2018-10-06 18:50:22"</f>
        <v>2018-10-06 18:50:22</v>
      </c>
    </row>
    <row r="23166" spans="1:7" x14ac:dyDescent="0.2">
      <c r="A23166" t="s">
        <v>21592</v>
      </c>
      <c r="B23166" t="str">
        <f>"15894524652"</f>
        <v>15894524652</v>
      </c>
      <c r="C23166" t="str">
        <f>"532901199410082670"</f>
        <v>532901199410082670</v>
      </c>
      <c r="D23166" t="s">
        <v>1</v>
      </c>
      <c r="E23166" t="s">
        <v>1</v>
      </c>
      <c r="F23166" t="s">
        <v>0</v>
      </c>
      <c r="G23166" t="str">
        <f>"2018-10-29 09:19:18"</f>
        <v>2018-10-29 09:19:18</v>
      </c>
    </row>
    <row r="23167" spans="1:7" x14ac:dyDescent="0.2">
      <c r="A23167" t="s">
        <v>1</v>
      </c>
      <c r="B23167" t="str">
        <f>"13151214539"</f>
        <v>13151214539</v>
      </c>
      <c r="C23167" t="s">
        <v>1</v>
      </c>
      <c r="D23167" t="s">
        <v>1</v>
      </c>
      <c r="E23167" t="s">
        <v>1</v>
      </c>
      <c r="F23167" t="s">
        <v>0</v>
      </c>
      <c r="G23167" t="str">
        <f>"2018-10-06 18:31:33"</f>
        <v>2018-10-06 18:31:33</v>
      </c>
    </row>
    <row r="23168" spans="1:7" x14ac:dyDescent="0.2">
      <c r="A23168" t="s">
        <v>21593</v>
      </c>
      <c r="B23168" t="str">
        <f>"15733341424"</f>
        <v>15733341424</v>
      </c>
      <c r="C23168" t="str">
        <f>"130224199402173038"</f>
        <v>130224199402173038</v>
      </c>
      <c r="D23168" t="s">
        <v>21594</v>
      </c>
      <c r="E23168" t="s">
        <v>21595</v>
      </c>
      <c r="F23168" t="s">
        <v>0</v>
      </c>
      <c r="G23168" t="str">
        <f>"2018-10-06 18:29:16"</f>
        <v>2018-10-06 18:29:16</v>
      </c>
    </row>
    <row r="23169" spans="1:7" x14ac:dyDescent="0.2">
      <c r="A23169" t="s">
        <v>1424</v>
      </c>
      <c r="B23169" t="str">
        <f>"15693232025"</f>
        <v>15693232025</v>
      </c>
      <c r="C23169" t="str">
        <f>"622421199109015057"</f>
        <v>622421199109015057</v>
      </c>
      <c r="D23169" t="s">
        <v>21596</v>
      </c>
      <c r="E23169" t="s">
        <v>21597</v>
      </c>
      <c r="F23169" t="s">
        <v>0</v>
      </c>
      <c r="G23169" t="str">
        <f>"2018-10-06 18:35:33"</f>
        <v>2018-10-06 18:35:33</v>
      </c>
    </row>
    <row r="23170" spans="1:7" x14ac:dyDescent="0.2">
      <c r="A23170" t="s">
        <v>21598</v>
      </c>
      <c r="B23170" t="str">
        <f>"18214734783"</f>
        <v>18214734783</v>
      </c>
      <c r="C23170" t="str">
        <f>"342425199309288453"</f>
        <v>342425199309288453</v>
      </c>
      <c r="D23170" t="s">
        <v>1</v>
      </c>
      <c r="E23170" t="s">
        <v>1</v>
      </c>
      <c r="F23170" t="s">
        <v>0</v>
      </c>
      <c r="G23170" t="str">
        <f>"2018-10-06 18:30:59"</f>
        <v>2018-10-06 18:30:59</v>
      </c>
    </row>
    <row r="23171" spans="1:7" x14ac:dyDescent="0.2">
      <c r="A23171" t="s">
        <v>21599</v>
      </c>
      <c r="B23171" t="str">
        <f>"15881060437"</f>
        <v>15881060437</v>
      </c>
      <c r="C23171" t="str">
        <f>"511923199508260475"</f>
        <v>511923199508260475</v>
      </c>
      <c r="D23171" t="s">
        <v>21600</v>
      </c>
      <c r="E23171" t="s">
        <v>21601</v>
      </c>
      <c r="F23171" t="s">
        <v>0</v>
      </c>
      <c r="G23171" t="str">
        <f>"2018-10-08 17:31:54"</f>
        <v>2018-10-08 17:31:54</v>
      </c>
    </row>
    <row r="23172" spans="1:7" x14ac:dyDescent="0.2">
      <c r="A23172" t="s">
        <v>21602</v>
      </c>
      <c r="B23172" t="str">
        <f>"18783958055"</f>
        <v>18783958055</v>
      </c>
      <c r="C23172" t="str">
        <f>"511321199003070443"</f>
        <v>511321199003070443</v>
      </c>
      <c r="D23172" t="s">
        <v>1</v>
      </c>
      <c r="E23172" t="s">
        <v>1</v>
      </c>
      <c r="F23172" t="s">
        <v>0</v>
      </c>
      <c r="G23172" t="str">
        <f>"2018-10-06 18:42:58"</f>
        <v>2018-10-06 18:42:58</v>
      </c>
    </row>
    <row r="23173" spans="1:7" x14ac:dyDescent="0.2">
      <c r="A23173" t="s">
        <v>21603</v>
      </c>
      <c r="B23173" t="str">
        <f>"18731481880"</f>
        <v>18731481880</v>
      </c>
      <c r="C23173" t="str">
        <f>"130823199012275617"</f>
        <v>130823199012275617</v>
      </c>
      <c r="D23173" t="s">
        <v>1</v>
      </c>
      <c r="E23173" t="s">
        <v>1</v>
      </c>
      <c r="F23173" t="s">
        <v>0</v>
      </c>
      <c r="G23173" t="str">
        <f>"2018-10-06 18:30:25"</f>
        <v>2018-10-06 18:30:25</v>
      </c>
    </row>
    <row r="23174" spans="1:7" x14ac:dyDescent="0.2">
      <c r="A23174" t="s">
        <v>1</v>
      </c>
      <c r="B23174" t="str">
        <f>"18742488812"</f>
        <v>18742488812</v>
      </c>
      <c r="C23174" t="s">
        <v>1</v>
      </c>
      <c r="D23174" t="s">
        <v>1</v>
      </c>
      <c r="E23174" t="s">
        <v>1</v>
      </c>
      <c r="F23174" t="s">
        <v>0</v>
      </c>
      <c r="G23174" t="str">
        <f>"2018-10-06 18:27:31"</f>
        <v>2018-10-06 18:27:31</v>
      </c>
    </row>
    <row r="23175" spans="1:7" x14ac:dyDescent="0.2">
      <c r="A23175" t="s">
        <v>21604</v>
      </c>
      <c r="B23175" t="str">
        <f>"13557613100"</f>
        <v>13557613100</v>
      </c>
      <c r="C23175" t="str">
        <f>"450721199501166418"</f>
        <v>450721199501166418</v>
      </c>
      <c r="D23175" t="s">
        <v>1</v>
      </c>
      <c r="E23175" t="s">
        <v>1</v>
      </c>
      <c r="F23175" t="s">
        <v>0</v>
      </c>
      <c r="G23175" t="str">
        <f>"2018-10-06 18:28:13"</f>
        <v>2018-10-06 18:28:13</v>
      </c>
    </row>
    <row r="23176" spans="1:7" x14ac:dyDescent="0.2">
      <c r="A23176" t="s">
        <v>21605</v>
      </c>
      <c r="B23176" t="str">
        <f>"18087479226"</f>
        <v>18087479226</v>
      </c>
      <c r="C23176" t="str">
        <f>"530326198701200639"</f>
        <v>530326198701200639</v>
      </c>
      <c r="D23176" t="s">
        <v>1</v>
      </c>
      <c r="E23176" t="s">
        <v>1</v>
      </c>
      <c r="F23176" t="s">
        <v>0</v>
      </c>
      <c r="G23176" t="str">
        <f>"2018-10-06 18:27:31"</f>
        <v>2018-10-06 18:27:31</v>
      </c>
    </row>
    <row r="23177" spans="1:7" x14ac:dyDescent="0.2">
      <c r="A23177" t="s">
        <v>21606</v>
      </c>
      <c r="B23177" t="str">
        <f>"13530459090"</f>
        <v>13530459090</v>
      </c>
      <c r="C23177" t="str">
        <f>"430703199203093955"</f>
        <v>430703199203093955</v>
      </c>
      <c r="D23177" t="s">
        <v>1</v>
      </c>
      <c r="E23177" t="s">
        <v>1</v>
      </c>
      <c r="F23177" t="s">
        <v>0</v>
      </c>
      <c r="G23177" t="str">
        <f>"2018-10-07 08:24:22"</f>
        <v>2018-10-07 08:24:22</v>
      </c>
    </row>
    <row r="23178" spans="1:7" x14ac:dyDescent="0.2">
      <c r="A23178" t="s">
        <v>83</v>
      </c>
      <c r="B23178" t="str">
        <f>"15908808267"</f>
        <v>15908808267</v>
      </c>
      <c r="C23178" t="str">
        <f>"530113199705043118"</f>
        <v>530113199705043118</v>
      </c>
      <c r="D23178" t="s">
        <v>1</v>
      </c>
      <c r="E23178" t="s">
        <v>1</v>
      </c>
      <c r="F23178" t="s">
        <v>0</v>
      </c>
      <c r="G23178" t="str">
        <f>"2018-10-06 18:28:22"</f>
        <v>2018-10-06 18:28:22</v>
      </c>
    </row>
    <row r="23179" spans="1:7" x14ac:dyDescent="0.2">
      <c r="A23179" t="s">
        <v>1085</v>
      </c>
      <c r="B23179" t="str">
        <f>"17686615309"</f>
        <v>17686615309</v>
      </c>
      <c r="C23179" t="str">
        <f>"371425198703058613"</f>
        <v>371425198703058613</v>
      </c>
      <c r="D23179" t="s">
        <v>21607</v>
      </c>
      <c r="E23179" t="s">
        <v>21608</v>
      </c>
      <c r="F23179" t="s">
        <v>0</v>
      </c>
      <c r="G23179" t="str">
        <f>"2018-10-06 18:26:36"</f>
        <v>2018-10-06 18:26:36</v>
      </c>
    </row>
    <row r="23180" spans="1:7" x14ac:dyDescent="0.2">
      <c r="A23180" t="s">
        <v>21609</v>
      </c>
      <c r="B23180" t="str">
        <f>"13855189729"</f>
        <v>13855189729</v>
      </c>
      <c r="C23180" t="str">
        <f>"340104198804281019"</f>
        <v>340104198804281019</v>
      </c>
      <c r="D23180" t="s">
        <v>1</v>
      </c>
      <c r="E23180" t="s">
        <v>1</v>
      </c>
      <c r="F23180" t="s">
        <v>0</v>
      </c>
      <c r="G23180" t="str">
        <f>"2018-10-06 18:25:11"</f>
        <v>2018-10-06 18:25:11</v>
      </c>
    </row>
    <row r="23181" spans="1:7" x14ac:dyDescent="0.2">
      <c r="A23181" t="s">
        <v>21610</v>
      </c>
      <c r="B23181" t="str">
        <f>"13717908173"</f>
        <v>13717908173</v>
      </c>
      <c r="C23181" t="str">
        <f>"13032319890503101X"</f>
        <v>13032319890503101X</v>
      </c>
      <c r="D23181" t="s">
        <v>1</v>
      </c>
      <c r="E23181" t="s">
        <v>1</v>
      </c>
      <c r="F23181" t="s">
        <v>0</v>
      </c>
      <c r="G23181" t="str">
        <f>"2018-10-06 18:25:39"</f>
        <v>2018-10-06 18:25:39</v>
      </c>
    </row>
    <row r="23182" spans="1:7" x14ac:dyDescent="0.2">
      <c r="A23182" t="s">
        <v>1</v>
      </c>
      <c r="B23182" t="str">
        <f>"18625263117"</f>
        <v>18625263117</v>
      </c>
      <c r="C23182" t="s">
        <v>1</v>
      </c>
      <c r="D23182" t="s">
        <v>1</v>
      </c>
      <c r="E23182" t="s">
        <v>1</v>
      </c>
      <c r="F23182" t="s">
        <v>0</v>
      </c>
      <c r="G23182" t="str">
        <f>"2018-10-06 18:24:18"</f>
        <v>2018-10-06 18:24:18</v>
      </c>
    </row>
    <row r="23183" spans="1:7" x14ac:dyDescent="0.2">
      <c r="A23183" t="s">
        <v>21611</v>
      </c>
      <c r="B23183" t="str">
        <f>"15865584551"</f>
        <v>15865584551</v>
      </c>
      <c r="C23183" t="str">
        <f>"410702198508140017"</f>
        <v>410702198508140017</v>
      </c>
      <c r="D23183" t="s">
        <v>21612</v>
      </c>
      <c r="E23183" t="s">
        <v>21613</v>
      </c>
      <c r="F23183" t="s">
        <v>0</v>
      </c>
      <c r="G23183" t="str">
        <f>"2018-10-06 18:26:46"</f>
        <v>2018-10-06 18:26:46</v>
      </c>
    </row>
    <row r="23184" spans="1:7" x14ac:dyDescent="0.2">
      <c r="A23184" t="s">
        <v>1</v>
      </c>
      <c r="B23184" t="str">
        <f>"13555788799"</f>
        <v>13555788799</v>
      </c>
      <c r="C23184" t="s">
        <v>1</v>
      </c>
      <c r="D23184" t="s">
        <v>1</v>
      </c>
      <c r="E23184" t="s">
        <v>1</v>
      </c>
      <c r="F23184" t="s">
        <v>0</v>
      </c>
      <c r="G23184" t="str">
        <f>"2018-10-06 18:23:25"</f>
        <v>2018-10-06 18:23:25</v>
      </c>
    </row>
    <row r="23185" spans="1:7" x14ac:dyDescent="0.2">
      <c r="A23185" t="s">
        <v>21614</v>
      </c>
      <c r="B23185" t="str">
        <f>"17638403351"</f>
        <v>17638403351</v>
      </c>
      <c r="C23185" t="str">
        <f>"411422199412110918"</f>
        <v>411422199412110918</v>
      </c>
      <c r="D23185" t="s">
        <v>21615</v>
      </c>
      <c r="E23185" t="s">
        <v>21616</v>
      </c>
      <c r="F23185" t="s">
        <v>0</v>
      </c>
      <c r="G23185" t="str">
        <f>"2018-10-06 18:42:11"</f>
        <v>2018-10-06 18:42:11</v>
      </c>
    </row>
    <row r="23186" spans="1:7" x14ac:dyDescent="0.2">
      <c r="A23186" t="s">
        <v>1</v>
      </c>
      <c r="B23186" t="str">
        <f>"15948891243"</f>
        <v>15948891243</v>
      </c>
      <c r="C23186" t="s">
        <v>1</v>
      </c>
      <c r="D23186" t="s">
        <v>1</v>
      </c>
      <c r="E23186" t="s">
        <v>1</v>
      </c>
      <c r="F23186" t="s">
        <v>0</v>
      </c>
      <c r="G23186" t="str">
        <f>"2018-10-06 18:22:56"</f>
        <v>2018-10-06 18:22:56</v>
      </c>
    </row>
    <row r="23187" spans="1:7" x14ac:dyDescent="0.2">
      <c r="A23187" t="s">
        <v>21617</v>
      </c>
      <c r="B23187" t="str">
        <f>"15191773370"</f>
        <v>15191773370</v>
      </c>
      <c r="C23187" t="str">
        <f>"610321199611243136"</f>
        <v>610321199611243136</v>
      </c>
      <c r="D23187" t="s">
        <v>1</v>
      </c>
      <c r="E23187" t="s">
        <v>1</v>
      </c>
      <c r="F23187" t="s">
        <v>0</v>
      </c>
      <c r="G23187" t="str">
        <f>"2018-10-06 18:24:04"</f>
        <v>2018-10-06 18:24:04</v>
      </c>
    </row>
    <row r="23188" spans="1:7" x14ac:dyDescent="0.2">
      <c r="A23188" t="s">
        <v>21618</v>
      </c>
      <c r="B23188" t="str">
        <f>"18310372298"</f>
        <v>18310372298</v>
      </c>
      <c r="C23188" t="str">
        <f>"431124199501054532"</f>
        <v>431124199501054532</v>
      </c>
      <c r="D23188" t="s">
        <v>21619</v>
      </c>
      <c r="E23188" t="s">
        <v>21620</v>
      </c>
      <c r="F23188" t="s">
        <v>0</v>
      </c>
      <c r="G23188" t="str">
        <f>"2018-10-18 19:51:22"</f>
        <v>2018-10-18 19:51:22</v>
      </c>
    </row>
    <row r="23189" spans="1:7" x14ac:dyDescent="0.2">
      <c r="A23189" t="s">
        <v>1</v>
      </c>
      <c r="B23189" t="str">
        <f>"13158969279"</f>
        <v>13158969279</v>
      </c>
      <c r="C23189" t="s">
        <v>1</v>
      </c>
      <c r="D23189" t="s">
        <v>1</v>
      </c>
      <c r="E23189" t="s">
        <v>1</v>
      </c>
      <c r="F23189" t="s">
        <v>0</v>
      </c>
      <c r="G23189" t="str">
        <f>"2018-10-06 18:21:18"</f>
        <v>2018-10-06 18:21:18</v>
      </c>
    </row>
    <row r="23190" spans="1:7" x14ac:dyDescent="0.2">
      <c r="A23190" t="s">
        <v>21621</v>
      </c>
      <c r="B23190" t="str">
        <f>"18602072928"</f>
        <v>18602072928</v>
      </c>
      <c r="C23190" t="str">
        <f>"431021198503117817"</f>
        <v>431021198503117817</v>
      </c>
      <c r="D23190" t="s">
        <v>1</v>
      </c>
      <c r="E23190" t="s">
        <v>1</v>
      </c>
      <c r="F23190" t="s">
        <v>0</v>
      </c>
      <c r="G23190" t="str">
        <f>"2018-10-06 18:20:41"</f>
        <v>2018-10-06 18:20:41</v>
      </c>
    </row>
    <row r="23191" spans="1:7" x14ac:dyDescent="0.2">
      <c r="A23191" t="s">
        <v>21622</v>
      </c>
      <c r="B23191" t="str">
        <f>"18913332276"</f>
        <v>18913332276</v>
      </c>
      <c r="C23191" t="str">
        <f>"320125199010012346"</f>
        <v>320125199010012346</v>
      </c>
      <c r="D23191" t="s">
        <v>1</v>
      </c>
      <c r="E23191" t="s">
        <v>1</v>
      </c>
      <c r="F23191" t="s">
        <v>0</v>
      </c>
      <c r="G23191" t="str">
        <f>"2018-10-06 18:37:18"</f>
        <v>2018-10-06 18:37:18</v>
      </c>
    </row>
    <row r="23192" spans="1:7" x14ac:dyDescent="0.2">
      <c r="A23192" t="s">
        <v>21623</v>
      </c>
      <c r="B23192" t="str">
        <f>"15239187079"</f>
        <v>15239187079</v>
      </c>
      <c r="C23192" t="str">
        <f>"410821199204023531"</f>
        <v>410821199204023531</v>
      </c>
      <c r="D23192" t="s">
        <v>1</v>
      </c>
      <c r="E23192" t="s">
        <v>1</v>
      </c>
      <c r="F23192" t="s">
        <v>0</v>
      </c>
      <c r="G23192" t="str">
        <f>"2018-10-06 18:38:52"</f>
        <v>2018-10-06 18:38:52</v>
      </c>
    </row>
    <row r="23193" spans="1:7" x14ac:dyDescent="0.2">
      <c r="A23193" t="s">
        <v>21624</v>
      </c>
      <c r="B23193" t="str">
        <f>"15272843061"</f>
        <v>15272843061</v>
      </c>
      <c r="C23193" t="str">
        <f>"420984199302022754"</f>
        <v>420984199302022754</v>
      </c>
      <c r="D23193" t="s">
        <v>1</v>
      </c>
      <c r="E23193" t="s">
        <v>1</v>
      </c>
      <c r="F23193" t="s">
        <v>0</v>
      </c>
      <c r="G23193" t="str">
        <f>"2018-10-06 22:38:51"</f>
        <v>2018-10-06 22:38:51</v>
      </c>
    </row>
    <row r="23194" spans="1:7" x14ac:dyDescent="0.2">
      <c r="A23194" t="s">
        <v>21625</v>
      </c>
      <c r="B23194" t="str">
        <f>"13750556692"</f>
        <v>13750556692</v>
      </c>
      <c r="C23194" t="str">
        <f>"441424199509202833"</f>
        <v>441424199509202833</v>
      </c>
      <c r="D23194" t="s">
        <v>1</v>
      </c>
      <c r="E23194" t="s">
        <v>1</v>
      </c>
      <c r="F23194" t="s">
        <v>0</v>
      </c>
      <c r="G23194" t="str">
        <f>"2018-10-06 18:52:32"</f>
        <v>2018-10-06 18:52:32</v>
      </c>
    </row>
    <row r="23195" spans="1:7" x14ac:dyDescent="0.2">
      <c r="A23195" t="s">
        <v>1</v>
      </c>
      <c r="B23195" t="str">
        <f>"13790501421"</f>
        <v>13790501421</v>
      </c>
      <c r="C23195" t="s">
        <v>1</v>
      </c>
      <c r="D23195" t="s">
        <v>1</v>
      </c>
      <c r="E23195" t="s">
        <v>1</v>
      </c>
      <c r="F23195" t="s">
        <v>0</v>
      </c>
      <c r="G23195" t="str">
        <f>"2018-10-06 18:17:52"</f>
        <v>2018-10-06 18:17:52</v>
      </c>
    </row>
    <row r="23196" spans="1:7" x14ac:dyDescent="0.2">
      <c r="A23196" t="s">
        <v>21626</v>
      </c>
      <c r="B23196" t="str">
        <f>"18757699212"</f>
        <v>18757699212</v>
      </c>
      <c r="C23196" t="str">
        <f>"411421199207012036"</f>
        <v>411421199207012036</v>
      </c>
      <c r="D23196" t="s">
        <v>1</v>
      </c>
      <c r="E23196" t="s">
        <v>1</v>
      </c>
      <c r="F23196" t="s">
        <v>0</v>
      </c>
      <c r="G23196" t="str">
        <f>"2018-10-06 18:17:59"</f>
        <v>2018-10-06 18:17:59</v>
      </c>
    </row>
    <row r="23197" spans="1:7" x14ac:dyDescent="0.2">
      <c r="A23197" t="s">
        <v>1</v>
      </c>
      <c r="B23197" t="str">
        <f>"15302622760"</f>
        <v>15302622760</v>
      </c>
      <c r="C23197" t="s">
        <v>1</v>
      </c>
      <c r="D23197" t="s">
        <v>1</v>
      </c>
      <c r="E23197" t="s">
        <v>1</v>
      </c>
      <c r="F23197" t="s">
        <v>0</v>
      </c>
      <c r="G23197" t="str">
        <f>"2018-10-06 18:14:45"</f>
        <v>2018-10-06 18:14:45</v>
      </c>
    </row>
    <row r="23198" spans="1:7" x14ac:dyDescent="0.2">
      <c r="A23198" t="s">
        <v>21627</v>
      </c>
      <c r="B23198" t="str">
        <f>"17752959080"</f>
        <v>17752959080</v>
      </c>
      <c r="C23198" t="str">
        <f>"130434198306087315"</f>
        <v>130434198306087315</v>
      </c>
      <c r="D23198" t="s">
        <v>21628</v>
      </c>
      <c r="E23198" t="s">
        <v>21629</v>
      </c>
      <c r="F23198" t="s">
        <v>0</v>
      </c>
      <c r="G23198" t="str">
        <f>"2018-10-22 01:14:22"</f>
        <v>2018-10-22 01:14:22</v>
      </c>
    </row>
    <row r="23199" spans="1:7" x14ac:dyDescent="0.2">
      <c r="A23199" t="s">
        <v>401</v>
      </c>
      <c r="B23199" t="str">
        <f>"15072102312"</f>
        <v>15072102312</v>
      </c>
      <c r="C23199" t="str">
        <f>"42220119910807131X"</f>
        <v>42220119910807131X</v>
      </c>
      <c r="D23199" t="s">
        <v>1</v>
      </c>
      <c r="E23199" t="s">
        <v>1</v>
      </c>
      <c r="F23199" t="s">
        <v>0</v>
      </c>
      <c r="G23199" t="str">
        <f>"2018-10-06 18:18:26"</f>
        <v>2018-10-06 18:18:26</v>
      </c>
    </row>
    <row r="23200" spans="1:7" x14ac:dyDescent="0.2">
      <c r="A23200" t="s">
        <v>1</v>
      </c>
      <c r="B23200" t="str">
        <f>"13721661230"</f>
        <v>13721661230</v>
      </c>
      <c r="C23200" t="s">
        <v>1</v>
      </c>
      <c r="D23200" t="s">
        <v>1</v>
      </c>
      <c r="E23200" t="s">
        <v>1</v>
      </c>
      <c r="F23200" t="s">
        <v>0</v>
      </c>
      <c r="G23200" t="str">
        <f>"2018-10-06 18:12:45"</f>
        <v>2018-10-06 18:12:45</v>
      </c>
    </row>
    <row r="23201" spans="1:7" x14ac:dyDescent="0.2">
      <c r="A23201" t="s">
        <v>21630</v>
      </c>
      <c r="B23201" t="str">
        <f>"18320301264"</f>
        <v>18320301264</v>
      </c>
      <c r="C23201" t="str">
        <f>"440881199509295556"</f>
        <v>440881199509295556</v>
      </c>
      <c r="D23201" t="s">
        <v>1</v>
      </c>
      <c r="E23201" t="s">
        <v>1</v>
      </c>
      <c r="F23201" t="s">
        <v>0</v>
      </c>
      <c r="G23201" t="str">
        <f>"2018-10-06 18:19:02"</f>
        <v>2018-10-06 18:19:02</v>
      </c>
    </row>
    <row r="23202" spans="1:7" x14ac:dyDescent="0.2">
      <c r="A23202" t="s">
        <v>1580</v>
      </c>
      <c r="B23202" t="str">
        <f>"17600043093"</f>
        <v>17600043093</v>
      </c>
      <c r="C23202" t="str">
        <f>"130427199306271156"</f>
        <v>130427199306271156</v>
      </c>
      <c r="D23202" t="s">
        <v>1</v>
      </c>
      <c r="E23202" t="s">
        <v>1</v>
      </c>
      <c r="F23202" t="s">
        <v>0</v>
      </c>
      <c r="G23202" t="str">
        <f>"2018-10-16 11:23:38"</f>
        <v>2018-10-16 11:23:38</v>
      </c>
    </row>
    <row r="23203" spans="1:7" x14ac:dyDescent="0.2">
      <c r="A23203" t="s">
        <v>1</v>
      </c>
      <c r="B23203" t="str">
        <f>"13654613619"</f>
        <v>13654613619</v>
      </c>
      <c r="C23203" t="s">
        <v>1</v>
      </c>
      <c r="D23203" t="s">
        <v>1</v>
      </c>
      <c r="E23203" t="s">
        <v>1</v>
      </c>
      <c r="F23203" t="s">
        <v>0</v>
      </c>
      <c r="G23203" t="str">
        <f>"2018-10-06 18:10:21"</f>
        <v>2018-10-06 18:10:21</v>
      </c>
    </row>
    <row r="23204" spans="1:7" x14ac:dyDescent="0.2">
      <c r="A23204" t="s">
        <v>21631</v>
      </c>
      <c r="B23204" t="str">
        <f>"13091669345"</f>
        <v>13091669345</v>
      </c>
      <c r="C23204" t="str">
        <f>"230623197001080498"</f>
        <v>230623197001080498</v>
      </c>
      <c r="D23204" t="s">
        <v>1</v>
      </c>
      <c r="E23204" t="s">
        <v>1</v>
      </c>
      <c r="F23204" t="s">
        <v>0</v>
      </c>
      <c r="G23204" t="str">
        <f>"2018-10-06 18:10:17"</f>
        <v>2018-10-06 18:10:17</v>
      </c>
    </row>
    <row r="23205" spans="1:7" x14ac:dyDescent="0.2">
      <c r="A23205" t="s">
        <v>1</v>
      </c>
      <c r="B23205" t="str">
        <f>"18665558516"</f>
        <v>18665558516</v>
      </c>
      <c r="C23205" t="s">
        <v>1</v>
      </c>
      <c r="D23205" t="s">
        <v>1</v>
      </c>
      <c r="E23205" t="s">
        <v>1</v>
      </c>
      <c r="F23205" t="s">
        <v>0</v>
      </c>
      <c r="G23205" t="str">
        <f>"2018-10-06 18:11:09"</f>
        <v>2018-10-06 18:11:09</v>
      </c>
    </row>
    <row r="23206" spans="1:7" x14ac:dyDescent="0.2">
      <c r="A23206" t="s">
        <v>21632</v>
      </c>
      <c r="B23206" t="str">
        <f>"15623328841"</f>
        <v>15623328841</v>
      </c>
      <c r="C23206" t="str">
        <f>"42108719930514001X"</f>
        <v>42108719930514001X</v>
      </c>
      <c r="D23206" t="s">
        <v>1</v>
      </c>
      <c r="E23206" t="s">
        <v>1</v>
      </c>
      <c r="F23206" t="s">
        <v>0</v>
      </c>
      <c r="G23206" t="str">
        <f>"2018-10-06 18:43:57"</f>
        <v>2018-10-06 18:43:57</v>
      </c>
    </row>
    <row r="23207" spans="1:7" x14ac:dyDescent="0.2">
      <c r="A23207" t="s">
        <v>1</v>
      </c>
      <c r="B23207" t="str">
        <f>"15239193818"</f>
        <v>15239193818</v>
      </c>
      <c r="C23207" t="s">
        <v>1</v>
      </c>
      <c r="D23207" t="s">
        <v>1</v>
      </c>
      <c r="E23207" t="s">
        <v>1</v>
      </c>
      <c r="F23207" t="s">
        <v>0</v>
      </c>
      <c r="G23207" t="str">
        <f>"2018-10-06 18:09:13"</f>
        <v>2018-10-06 18:09:13</v>
      </c>
    </row>
    <row r="23208" spans="1:7" x14ac:dyDescent="0.2">
      <c r="A23208" t="s">
        <v>21633</v>
      </c>
      <c r="B23208" t="str">
        <f>"13036022027"</f>
        <v>13036022027</v>
      </c>
      <c r="C23208" t="str">
        <f>"460104199104280914"</f>
        <v>460104199104280914</v>
      </c>
      <c r="D23208" t="s">
        <v>1</v>
      </c>
      <c r="E23208" t="s">
        <v>1</v>
      </c>
      <c r="F23208" t="s">
        <v>0</v>
      </c>
      <c r="G23208" t="str">
        <f>"2018-10-06 18:49:27"</f>
        <v>2018-10-06 18:49:27</v>
      </c>
    </row>
    <row r="23209" spans="1:7" x14ac:dyDescent="0.2">
      <c r="A23209" t="s">
        <v>1</v>
      </c>
      <c r="B23209" t="str">
        <f>"15696475744"</f>
        <v>15696475744</v>
      </c>
      <c r="C23209" t="s">
        <v>1</v>
      </c>
      <c r="D23209" t="s">
        <v>1</v>
      </c>
      <c r="E23209" t="s">
        <v>1</v>
      </c>
      <c r="F23209" t="s">
        <v>0</v>
      </c>
      <c r="G23209" t="str">
        <f>"2018-10-06 18:09:11"</f>
        <v>2018-10-06 18:09:11</v>
      </c>
    </row>
    <row r="23210" spans="1:7" x14ac:dyDescent="0.2">
      <c r="A23210" t="s">
        <v>21634</v>
      </c>
      <c r="B23210" t="str">
        <f>"15589770262"</f>
        <v>15589770262</v>
      </c>
      <c r="C23210" t="str">
        <f>"370832198312173926"</f>
        <v>370832198312173926</v>
      </c>
      <c r="D23210" t="s">
        <v>1</v>
      </c>
      <c r="E23210" t="s">
        <v>1</v>
      </c>
      <c r="F23210" t="s">
        <v>0</v>
      </c>
      <c r="G23210" t="str">
        <f>"2018-10-06 18:27:32"</f>
        <v>2018-10-06 18:27:32</v>
      </c>
    </row>
    <row r="23211" spans="1:7" x14ac:dyDescent="0.2">
      <c r="A23211" t="s">
        <v>1184</v>
      </c>
      <c r="B23211" t="str">
        <f>"18792442487"</f>
        <v>18792442487</v>
      </c>
      <c r="C23211" t="str">
        <f>"610431198812214271"</f>
        <v>610431198812214271</v>
      </c>
      <c r="D23211" t="s">
        <v>1</v>
      </c>
      <c r="E23211" t="s">
        <v>1</v>
      </c>
      <c r="F23211" t="s">
        <v>0</v>
      </c>
      <c r="G23211" t="str">
        <f>"2018-10-20 11:38:43"</f>
        <v>2018-10-20 11:38:43</v>
      </c>
    </row>
    <row r="23212" spans="1:7" x14ac:dyDescent="0.2">
      <c r="A23212" t="s">
        <v>21635</v>
      </c>
      <c r="B23212" t="str">
        <f>"13607998479"</f>
        <v>13607998479</v>
      </c>
      <c r="C23212" t="str">
        <f>"360302198707264542"</f>
        <v>360302198707264542</v>
      </c>
      <c r="D23212" t="s">
        <v>21636</v>
      </c>
      <c r="E23212" t="s">
        <v>21637</v>
      </c>
      <c r="F23212" t="s">
        <v>0</v>
      </c>
      <c r="G23212" t="str">
        <f>"2018-10-13 14:00:20"</f>
        <v>2018-10-13 14:00:20</v>
      </c>
    </row>
    <row r="23213" spans="1:7" x14ac:dyDescent="0.2">
      <c r="A23213" t="s">
        <v>21638</v>
      </c>
      <c r="B23213" t="str">
        <f>"18985078212"</f>
        <v>18985078212</v>
      </c>
      <c r="C23213" t="str">
        <f>"522722199802102115"</f>
        <v>522722199802102115</v>
      </c>
      <c r="D23213" t="s">
        <v>1</v>
      </c>
      <c r="E23213" t="s">
        <v>1</v>
      </c>
      <c r="F23213" t="s">
        <v>0</v>
      </c>
      <c r="G23213" t="str">
        <f>"2018-10-06 18:04:50"</f>
        <v>2018-10-06 18:04:50</v>
      </c>
    </row>
    <row r="23214" spans="1:7" x14ac:dyDescent="0.2">
      <c r="A23214" t="s">
        <v>21639</v>
      </c>
      <c r="B23214" t="str">
        <f>"15098737253"</f>
        <v>15098737253</v>
      </c>
      <c r="C23214" t="str">
        <f>"370104199007175811"</f>
        <v>370104199007175811</v>
      </c>
      <c r="D23214" t="s">
        <v>1</v>
      </c>
      <c r="E23214" t="s">
        <v>1</v>
      </c>
      <c r="F23214" t="s">
        <v>0</v>
      </c>
      <c r="G23214" t="str">
        <f>"2018-10-06 18:08:29"</f>
        <v>2018-10-06 18:08:29</v>
      </c>
    </row>
    <row r="23215" spans="1:7" x14ac:dyDescent="0.2">
      <c r="A23215" t="s">
        <v>21640</v>
      </c>
      <c r="B23215" t="str">
        <f>"15046422192"</f>
        <v>15046422192</v>
      </c>
      <c r="C23215" t="str">
        <f>"23088219940520002X"</f>
        <v>23088219940520002X</v>
      </c>
      <c r="D23215" t="s">
        <v>1</v>
      </c>
      <c r="E23215" t="s">
        <v>1</v>
      </c>
      <c r="F23215" t="s">
        <v>0</v>
      </c>
      <c r="G23215" t="str">
        <f>"2018-10-06 18:04:00"</f>
        <v>2018-10-06 18:04:00</v>
      </c>
    </row>
    <row r="23216" spans="1:7" x14ac:dyDescent="0.2">
      <c r="A23216" t="s">
        <v>21641</v>
      </c>
      <c r="B23216" t="str">
        <f>"15623314191"</f>
        <v>15623314191</v>
      </c>
      <c r="C23216" t="str">
        <f>"420104196401242737"</f>
        <v>420104196401242737</v>
      </c>
      <c r="D23216" t="s">
        <v>1</v>
      </c>
      <c r="E23216" t="s">
        <v>1</v>
      </c>
      <c r="F23216" t="s">
        <v>0</v>
      </c>
      <c r="G23216" t="str">
        <f>"2018-10-06 18:08:08"</f>
        <v>2018-10-06 18:08:08</v>
      </c>
    </row>
    <row r="23217" spans="1:7" x14ac:dyDescent="0.2">
      <c r="A23217" t="s">
        <v>1</v>
      </c>
      <c r="B23217" t="str">
        <f>"17630256040"</f>
        <v>17630256040</v>
      </c>
      <c r="C23217" t="s">
        <v>1</v>
      </c>
      <c r="D23217" t="s">
        <v>1</v>
      </c>
      <c r="E23217" t="s">
        <v>1</v>
      </c>
      <c r="F23217" t="s">
        <v>0</v>
      </c>
      <c r="G23217" t="str">
        <f>"2018-10-06 18:03:24"</f>
        <v>2018-10-06 18:03:24</v>
      </c>
    </row>
    <row r="23218" spans="1:7" x14ac:dyDescent="0.2">
      <c r="A23218" t="s">
        <v>1</v>
      </c>
      <c r="B23218" t="str">
        <f>"18235590425"</f>
        <v>18235590425</v>
      </c>
      <c r="C23218" t="s">
        <v>1</v>
      </c>
      <c r="D23218" t="s">
        <v>1</v>
      </c>
      <c r="E23218" t="s">
        <v>1</v>
      </c>
      <c r="F23218" t="s">
        <v>0</v>
      </c>
      <c r="G23218" t="str">
        <f>"2018-10-06 18:20:50"</f>
        <v>2018-10-06 18:20:50</v>
      </c>
    </row>
    <row r="23219" spans="1:7" x14ac:dyDescent="0.2">
      <c r="A23219" t="s">
        <v>1</v>
      </c>
      <c r="B23219" t="str">
        <f>"15845916414"</f>
        <v>15845916414</v>
      </c>
      <c r="C23219" t="s">
        <v>1</v>
      </c>
      <c r="D23219" t="s">
        <v>1</v>
      </c>
      <c r="E23219" t="s">
        <v>1</v>
      </c>
      <c r="F23219" t="s">
        <v>0</v>
      </c>
      <c r="G23219" t="str">
        <f>"2018-10-06 18:02:09"</f>
        <v>2018-10-06 18:02:09</v>
      </c>
    </row>
    <row r="23220" spans="1:7" x14ac:dyDescent="0.2">
      <c r="A23220" t="s">
        <v>21642</v>
      </c>
      <c r="B23220" t="str">
        <f>"18323888850"</f>
        <v>18323888850</v>
      </c>
      <c r="C23220" t="str">
        <f>"500102199503025742"</f>
        <v>500102199503025742</v>
      </c>
      <c r="D23220" t="s">
        <v>1</v>
      </c>
      <c r="E23220" t="s">
        <v>1</v>
      </c>
      <c r="F23220" t="s">
        <v>0</v>
      </c>
      <c r="G23220" t="str">
        <f>"2018-10-13 13:47:38"</f>
        <v>2018-10-13 13:47:38</v>
      </c>
    </row>
    <row r="23221" spans="1:7" x14ac:dyDescent="0.2">
      <c r="A23221" t="s">
        <v>21643</v>
      </c>
      <c r="B23221" t="str">
        <f>"18615205139"</f>
        <v>18615205139</v>
      </c>
      <c r="C23221" t="str">
        <f>"370112199602046811"</f>
        <v>370112199602046811</v>
      </c>
      <c r="D23221" t="s">
        <v>21644</v>
      </c>
      <c r="E23221" t="s">
        <v>21645</v>
      </c>
      <c r="F23221" t="s">
        <v>0</v>
      </c>
      <c r="G23221" t="str">
        <f>"2018-10-06 18:02:40"</f>
        <v>2018-10-06 18:02:40</v>
      </c>
    </row>
    <row r="23222" spans="1:7" x14ac:dyDescent="0.2">
      <c r="A23222" t="s">
        <v>1</v>
      </c>
      <c r="B23222" t="str">
        <f>"13830185271"</f>
        <v>13830185271</v>
      </c>
      <c r="C23222" t="s">
        <v>1</v>
      </c>
      <c r="D23222" t="s">
        <v>1</v>
      </c>
      <c r="E23222" t="s">
        <v>1</v>
      </c>
      <c r="F23222" t="s">
        <v>0</v>
      </c>
      <c r="G23222" t="str">
        <f>"2018-10-06 18:00:25"</f>
        <v>2018-10-06 18:00:25</v>
      </c>
    </row>
    <row r="23223" spans="1:7" x14ac:dyDescent="0.2">
      <c r="A23223" t="s">
        <v>1</v>
      </c>
      <c r="B23223" t="str">
        <f>"15220696242"</f>
        <v>15220696242</v>
      </c>
      <c r="C23223" t="s">
        <v>1</v>
      </c>
      <c r="D23223" t="s">
        <v>1</v>
      </c>
      <c r="E23223" t="s">
        <v>1</v>
      </c>
      <c r="F23223" t="s">
        <v>0</v>
      </c>
      <c r="G23223" t="str">
        <f>"2018-10-06 18:00:23"</f>
        <v>2018-10-06 18:00:23</v>
      </c>
    </row>
    <row r="23224" spans="1:7" x14ac:dyDescent="0.2">
      <c r="A23224" t="s">
        <v>1</v>
      </c>
      <c r="B23224" t="str">
        <f>"15927459425"</f>
        <v>15927459425</v>
      </c>
      <c r="C23224" t="s">
        <v>1</v>
      </c>
      <c r="D23224" t="s">
        <v>1</v>
      </c>
      <c r="E23224" t="s">
        <v>1</v>
      </c>
      <c r="F23224" t="s">
        <v>0</v>
      </c>
      <c r="G23224" t="str">
        <f>"2018-10-22 02:48:12"</f>
        <v>2018-10-22 02:48:12</v>
      </c>
    </row>
    <row r="23225" spans="1:7" x14ac:dyDescent="0.2">
      <c r="A23225" t="s">
        <v>1</v>
      </c>
      <c r="B23225" t="str">
        <f>"15165335135"</f>
        <v>15165335135</v>
      </c>
      <c r="C23225" t="s">
        <v>1</v>
      </c>
      <c r="D23225" t="s">
        <v>1</v>
      </c>
      <c r="E23225" t="s">
        <v>1</v>
      </c>
      <c r="F23225" t="s">
        <v>0</v>
      </c>
      <c r="G23225" t="str">
        <f>"2018-10-06 18:01:26"</f>
        <v>2018-10-06 18:01:26</v>
      </c>
    </row>
    <row r="23226" spans="1:7" x14ac:dyDescent="0.2">
      <c r="A23226" t="s">
        <v>1</v>
      </c>
      <c r="B23226" t="str">
        <f>"18312867152"</f>
        <v>18312867152</v>
      </c>
      <c r="C23226" t="s">
        <v>1</v>
      </c>
      <c r="D23226" t="s">
        <v>1</v>
      </c>
      <c r="E23226" t="s">
        <v>1</v>
      </c>
      <c r="F23226" t="s">
        <v>0</v>
      </c>
      <c r="G23226" t="str">
        <f>"2018-10-06 18:02:35"</f>
        <v>2018-10-06 18:02:35</v>
      </c>
    </row>
    <row r="23227" spans="1:7" x14ac:dyDescent="0.2">
      <c r="A23227" t="s">
        <v>256</v>
      </c>
      <c r="B23227" t="str">
        <f>"18804789559"</f>
        <v>18804789559</v>
      </c>
      <c r="C23227" t="str">
        <f>"15280119841108591X"</f>
        <v>15280119841108591X</v>
      </c>
      <c r="D23227" t="s">
        <v>1</v>
      </c>
      <c r="E23227" t="s">
        <v>1</v>
      </c>
      <c r="F23227" t="s">
        <v>0</v>
      </c>
      <c r="G23227" t="str">
        <f>"2018-10-06 18:05:59"</f>
        <v>2018-10-06 18:05:59</v>
      </c>
    </row>
    <row r="23228" spans="1:7" x14ac:dyDescent="0.2">
      <c r="A23228" t="s">
        <v>1</v>
      </c>
      <c r="B23228" t="str">
        <f>"15619811001"</f>
        <v>15619811001</v>
      </c>
      <c r="C23228" t="s">
        <v>1</v>
      </c>
      <c r="D23228" t="s">
        <v>1</v>
      </c>
      <c r="E23228" t="s">
        <v>1</v>
      </c>
      <c r="F23228" t="s">
        <v>0</v>
      </c>
      <c r="G23228" t="str">
        <f>"2018-10-06 17:59:08"</f>
        <v>2018-10-06 17:59:08</v>
      </c>
    </row>
    <row r="23229" spans="1:7" x14ac:dyDescent="0.2">
      <c r="A23229" t="s">
        <v>21646</v>
      </c>
      <c r="B23229" t="str">
        <f>"15046083080"</f>
        <v>15046083080</v>
      </c>
      <c r="C23229" t="str">
        <f>"232101198311145016"</f>
        <v>232101198311145016</v>
      </c>
      <c r="D23229" t="s">
        <v>1</v>
      </c>
      <c r="E23229" t="s">
        <v>1</v>
      </c>
      <c r="F23229" t="s">
        <v>0</v>
      </c>
      <c r="G23229" t="str">
        <f>"2018-10-06 18:00:15"</f>
        <v>2018-10-06 18:00:15</v>
      </c>
    </row>
    <row r="23230" spans="1:7" x14ac:dyDescent="0.2">
      <c r="A23230" t="s">
        <v>1</v>
      </c>
      <c r="B23230" t="str">
        <f>"13861052391"</f>
        <v>13861052391</v>
      </c>
      <c r="C23230" t="s">
        <v>1</v>
      </c>
      <c r="D23230" t="s">
        <v>1</v>
      </c>
      <c r="E23230" t="s">
        <v>1</v>
      </c>
      <c r="F23230" t="s">
        <v>0</v>
      </c>
      <c r="G23230" t="str">
        <f>"2018-10-06 17:58:37"</f>
        <v>2018-10-06 17:58:37</v>
      </c>
    </row>
    <row r="23231" spans="1:7" x14ac:dyDescent="0.2">
      <c r="A23231" t="s">
        <v>1</v>
      </c>
      <c r="B23231" t="str">
        <f>"13805022668"</f>
        <v>13805022668</v>
      </c>
      <c r="C23231" t="s">
        <v>1</v>
      </c>
      <c r="D23231" t="s">
        <v>1</v>
      </c>
      <c r="E23231" t="s">
        <v>1</v>
      </c>
      <c r="F23231" t="s">
        <v>0</v>
      </c>
      <c r="G23231" t="str">
        <f>"2018-10-07 10:30:14"</f>
        <v>2018-10-07 10:30:14</v>
      </c>
    </row>
    <row r="23232" spans="1:7" x14ac:dyDescent="0.2">
      <c r="A23232" t="s">
        <v>21647</v>
      </c>
      <c r="B23232" t="str">
        <f>"18292542954"</f>
        <v>18292542954</v>
      </c>
      <c r="C23232" t="str">
        <f>"612424199603140811"</f>
        <v>612424199603140811</v>
      </c>
      <c r="D23232" t="s">
        <v>21648</v>
      </c>
      <c r="E23232" t="s">
        <v>21649</v>
      </c>
      <c r="F23232" t="s">
        <v>0</v>
      </c>
      <c r="G23232" t="str">
        <f>"2018-10-06 18:01:27"</f>
        <v>2018-10-06 18:01:27</v>
      </c>
    </row>
    <row r="23233" spans="1:7" x14ac:dyDescent="0.2">
      <c r="A23233" t="s">
        <v>21650</v>
      </c>
      <c r="B23233" t="str">
        <f>"15351732385"</f>
        <v>15351732385</v>
      </c>
      <c r="C23233" t="str">
        <f>"320882199111252256"</f>
        <v>320882199111252256</v>
      </c>
      <c r="D23233" t="s">
        <v>1</v>
      </c>
      <c r="E23233" t="s">
        <v>1</v>
      </c>
      <c r="F23233" t="s">
        <v>0</v>
      </c>
      <c r="G23233" t="str">
        <f>"2018-10-06 17:58:28"</f>
        <v>2018-10-06 17:58:28</v>
      </c>
    </row>
    <row r="23234" spans="1:7" x14ac:dyDescent="0.2">
      <c r="A23234" t="s">
        <v>1</v>
      </c>
      <c r="B23234" t="str">
        <f>"15635306848"</f>
        <v>15635306848</v>
      </c>
      <c r="C23234" t="s">
        <v>1</v>
      </c>
      <c r="D23234" t="s">
        <v>1</v>
      </c>
      <c r="E23234" t="s">
        <v>1</v>
      </c>
      <c r="F23234" t="s">
        <v>0</v>
      </c>
      <c r="G23234" t="str">
        <f>"2018-10-06 17:55:38"</f>
        <v>2018-10-06 17:55:38</v>
      </c>
    </row>
    <row r="23235" spans="1:7" x14ac:dyDescent="0.2">
      <c r="A23235" t="s">
        <v>21651</v>
      </c>
      <c r="B23235" t="str">
        <f>"15169805880"</f>
        <v>15169805880</v>
      </c>
      <c r="C23235" t="str">
        <f>"370923198405204540"</f>
        <v>370923198405204540</v>
      </c>
      <c r="D23235" t="s">
        <v>1</v>
      </c>
      <c r="E23235" t="s">
        <v>1</v>
      </c>
      <c r="F23235" t="s">
        <v>0</v>
      </c>
      <c r="G23235" t="str">
        <f>"2018-10-06 17:58:06"</f>
        <v>2018-10-06 17:58:06</v>
      </c>
    </row>
    <row r="23236" spans="1:7" x14ac:dyDescent="0.2">
      <c r="A23236" t="s">
        <v>21652</v>
      </c>
      <c r="B23236" t="str">
        <f>"18840926221"</f>
        <v>18840926221</v>
      </c>
      <c r="C23236" t="str">
        <f>"210283199602040037"</f>
        <v>210283199602040037</v>
      </c>
      <c r="D23236" t="s">
        <v>1</v>
      </c>
      <c r="E23236" t="s">
        <v>1</v>
      </c>
      <c r="F23236" t="s">
        <v>0</v>
      </c>
      <c r="G23236" t="str">
        <f>"2018-10-08 12:14:29"</f>
        <v>2018-10-08 12:14:29</v>
      </c>
    </row>
    <row r="23237" spans="1:7" x14ac:dyDescent="0.2">
      <c r="A23237" t="s">
        <v>1</v>
      </c>
      <c r="B23237" t="str">
        <f>"15707136220"</f>
        <v>15707136220</v>
      </c>
      <c r="C23237" t="s">
        <v>1</v>
      </c>
      <c r="D23237" t="s">
        <v>1</v>
      </c>
      <c r="E23237" t="s">
        <v>1</v>
      </c>
      <c r="F23237" t="s">
        <v>0</v>
      </c>
      <c r="G23237" t="str">
        <f>"2018-10-06 17:54:27"</f>
        <v>2018-10-06 17:54:27</v>
      </c>
    </row>
    <row r="23238" spans="1:7" x14ac:dyDescent="0.2">
      <c r="A23238" t="s">
        <v>1</v>
      </c>
      <c r="B23238" t="str">
        <f>"15706579721"</f>
        <v>15706579721</v>
      </c>
      <c r="C23238" t="s">
        <v>1</v>
      </c>
      <c r="D23238" t="s">
        <v>1</v>
      </c>
      <c r="E23238" t="s">
        <v>1</v>
      </c>
      <c r="F23238" t="s">
        <v>0</v>
      </c>
      <c r="G23238" t="str">
        <f>"2018-10-06 17:53:33"</f>
        <v>2018-10-06 17:53:33</v>
      </c>
    </row>
    <row r="23239" spans="1:7" x14ac:dyDescent="0.2">
      <c r="A23239" t="s">
        <v>1</v>
      </c>
      <c r="B23239" t="str">
        <f>"15706590910"</f>
        <v>15706590910</v>
      </c>
      <c r="C23239" t="s">
        <v>1</v>
      </c>
      <c r="D23239" t="s">
        <v>1</v>
      </c>
      <c r="E23239" t="s">
        <v>1</v>
      </c>
      <c r="F23239" t="s">
        <v>0</v>
      </c>
      <c r="G23239" t="str">
        <f>"2018-10-06 17:52:41"</f>
        <v>2018-10-06 17:52:41</v>
      </c>
    </row>
    <row r="23240" spans="1:7" x14ac:dyDescent="0.2">
      <c r="A23240" t="s">
        <v>21653</v>
      </c>
      <c r="B23240" t="str">
        <f>"13413495158"</f>
        <v>13413495158</v>
      </c>
      <c r="C23240" t="str">
        <f>"441801198703082356"</f>
        <v>441801198703082356</v>
      </c>
      <c r="D23240" t="s">
        <v>1</v>
      </c>
      <c r="E23240" t="s">
        <v>1</v>
      </c>
      <c r="F23240" t="s">
        <v>0</v>
      </c>
      <c r="G23240" t="str">
        <f>"2018-10-14 10:12:15"</f>
        <v>2018-10-14 10:12:15</v>
      </c>
    </row>
    <row r="23241" spans="1:7" x14ac:dyDescent="0.2">
      <c r="A23241" t="s">
        <v>1</v>
      </c>
      <c r="B23241" t="str">
        <f>"15706596021"</f>
        <v>15706596021</v>
      </c>
      <c r="C23241" t="s">
        <v>1</v>
      </c>
      <c r="D23241" t="s">
        <v>1</v>
      </c>
      <c r="E23241" t="s">
        <v>1</v>
      </c>
      <c r="F23241" t="s">
        <v>0</v>
      </c>
      <c r="G23241" t="str">
        <f>"2018-10-06 17:51:30"</f>
        <v>2018-10-06 17:51:30</v>
      </c>
    </row>
    <row r="23242" spans="1:7" x14ac:dyDescent="0.2">
      <c r="A23242" t="s">
        <v>1</v>
      </c>
      <c r="B23242" t="str">
        <f>"15720660276"</f>
        <v>15720660276</v>
      </c>
      <c r="C23242" t="s">
        <v>1</v>
      </c>
      <c r="D23242" t="s">
        <v>1</v>
      </c>
      <c r="E23242" t="s">
        <v>1</v>
      </c>
      <c r="F23242" t="s">
        <v>0</v>
      </c>
      <c r="G23242" t="str">
        <f>"2018-10-06 17:54:21"</f>
        <v>2018-10-06 17:54:21</v>
      </c>
    </row>
    <row r="23243" spans="1:7" x14ac:dyDescent="0.2">
      <c r="A23243" t="s">
        <v>21654</v>
      </c>
      <c r="B23243" t="str">
        <f>"15509968075"</f>
        <v>15509968075</v>
      </c>
      <c r="C23243" t="str">
        <f>"42080119911101427X"</f>
        <v>42080119911101427X</v>
      </c>
      <c r="D23243" t="s">
        <v>21655</v>
      </c>
      <c r="E23243" t="s">
        <v>21656</v>
      </c>
      <c r="F23243" t="s">
        <v>0</v>
      </c>
      <c r="G23243" t="str">
        <f>"2018-10-06 17:52:01"</f>
        <v>2018-10-06 17:52:01</v>
      </c>
    </row>
    <row r="23244" spans="1:7" x14ac:dyDescent="0.2">
      <c r="A23244" t="s">
        <v>1</v>
      </c>
      <c r="B23244" t="str">
        <f>"15706592618"</f>
        <v>15706592618</v>
      </c>
      <c r="C23244" t="s">
        <v>1</v>
      </c>
      <c r="D23244" t="s">
        <v>1</v>
      </c>
      <c r="E23244" t="s">
        <v>1</v>
      </c>
      <c r="F23244" t="s">
        <v>0</v>
      </c>
      <c r="G23244" t="str">
        <f>"2018-10-06 17:50:42"</f>
        <v>2018-10-06 17:50:42</v>
      </c>
    </row>
    <row r="23245" spans="1:7" x14ac:dyDescent="0.2">
      <c r="A23245" t="s">
        <v>21657</v>
      </c>
      <c r="B23245" t="str">
        <f>"18096824265"</f>
        <v>18096824265</v>
      </c>
      <c r="C23245" t="str">
        <f>"652302200006151546"</f>
        <v>652302200006151546</v>
      </c>
      <c r="D23245" t="s">
        <v>1</v>
      </c>
      <c r="E23245" t="s">
        <v>1</v>
      </c>
      <c r="F23245" t="s">
        <v>0</v>
      </c>
      <c r="G23245" t="str">
        <f>"2018-10-06 19:07:37"</f>
        <v>2018-10-06 19:07:37</v>
      </c>
    </row>
    <row r="23246" spans="1:7" x14ac:dyDescent="0.2">
      <c r="A23246" t="s">
        <v>21658</v>
      </c>
      <c r="B23246" t="str">
        <f>"15280763777"</f>
        <v>15280763777</v>
      </c>
      <c r="C23246" t="str">
        <f>"350782198507270034"</f>
        <v>350782198507270034</v>
      </c>
      <c r="D23246" t="s">
        <v>1</v>
      </c>
      <c r="E23246" t="s">
        <v>1</v>
      </c>
      <c r="F23246" t="s">
        <v>0</v>
      </c>
      <c r="G23246" t="str">
        <f>"2018-10-06 17:55:10"</f>
        <v>2018-10-06 17:55:10</v>
      </c>
    </row>
    <row r="23247" spans="1:7" x14ac:dyDescent="0.2">
      <c r="A23247" t="s">
        <v>21659</v>
      </c>
      <c r="B23247" t="str">
        <f>"13887688831"</f>
        <v>13887688831</v>
      </c>
      <c r="C23247" t="str">
        <f>"532501198801140018"</f>
        <v>532501198801140018</v>
      </c>
      <c r="D23247" t="s">
        <v>21660</v>
      </c>
      <c r="E23247" t="s">
        <v>21661</v>
      </c>
      <c r="F23247" t="s">
        <v>0</v>
      </c>
      <c r="G23247" t="str">
        <f>"2018-10-06 18:09:06"</f>
        <v>2018-10-06 18:09:06</v>
      </c>
    </row>
    <row r="23248" spans="1:7" x14ac:dyDescent="0.2">
      <c r="A23248" t="s">
        <v>1</v>
      </c>
      <c r="B23248" t="str">
        <f>"13207870426"</f>
        <v>13207870426</v>
      </c>
      <c r="C23248" t="s">
        <v>1</v>
      </c>
      <c r="D23248" t="s">
        <v>1</v>
      </c>
      <c r="E23248" t="s">
        <v>1</v>
      </c>
      <c r="F23248" t="s">
        <v>0</v>
      </c>
      <c r="G23248" t="str">
        <f>"2018-10-06 17:49:55"</f>
        <v>2018-10-06 17:49:55</v>
      </c>
    </row>
    <row r="23249" spans="1:7" x14ac:dyDescent="0.2">
      <c r="A23249" t="s">
        <v>1</v>
      </c>
      <c r="B23249" t="str">
        <f>"15706597211"</f>
        <v>15706597211</v>
      </c>
      <c r="C23249" t="s">
        <v>1</v>
      </c>
      <c r="D23249" t="s">
        <v>1</v>
      </c>
      <c r="E23249" t="s">
        <v>1</v>
      </c>
      <c r="F23249" t="s">
        <v>0</v>
      </c>
      <c r="G23249" t="str">
        <f>"2018-10-06 17:49:48"</f>
        <v>2018-10-06 17:49:48</v>
      </c>
    </row>
    <row r="23250" spans="1:7" x14ac:dyDescent="0.2">
      <c r="A23250" t="s">
        <v>21662</v>
      </c>
      <c r="B23250" t="str">
        <f>"15980467585"</f>
        <v>15980467585</v>
      </c>
      <c r="C23250" t="str">
        <f>"350583198903049214"</f>
        <v>350583198903049214</v>
      </c>
      <c r="D23250" t="s">
        <v>21663</v>
      </c>
      <c r="E23250" t="s">
        <v>21664</v>
      </c>
      <c r="F23250" t="s">
        <v>0</v>
      </c>
      <c r="G23250" t="str">
        <f>"2018-10-06 17:49:29"</f>
        <v>2018-10-06 17:49:29</v>
      </c>
    </row>
    <row r="23251" spans="1:7" x14ac:dyDescent="0.2">
      <c r="A23251" t="s">
        <v>21665</v>
      </c>
      <c r="B23251" t="str">
        <f>"13103155188"</f>
        <v>13103155188</v>
      </c>
      <c r="C23251" t="str">
        <f>"130221199301201213"</f>
        <v>130221199301201213</v>
      </c>
      <c r="D23251" t="s">
        <v>1</v>
      </c>
      <c r="E23251" t="s">
        <v>1</v>
      </c>
      <c r="F23251" t="s">
        <v>0</v>
      </c>
      <c r="G23251" t="str">
        <f>"2018-10-06 17:50:15"</f>
        <v>2018-10-06 17:50:15</v>
      </c>
    </row>
    <row r="23252" spans="1:7" x14ac:dyDescent="0.2">
      <c r="A23252" t="s">
        <v>1</v>
      </c>
      <c r="B23252" t="str">
        <f>"15706596729"</f>
        <v>15706596729</v>
      </c>
      <c r="C23252" t="s">
        <v>1</v>
      </c>
      <c r="D23252" t="s">
        <v>1</v>
      </c>
      <c r="E23252" t="s">
        <v>1</v>
      </c>
      <c r="F23252" t="s">
        <v>0</v>
      </c>
      <c r="G23252" t="str">
        <f>"2018-10-06 17:49:03"</f>
        <v>2018-10-06 17:49:03</v>
      </c>
    </row>
    <row r="23253" spans="1:7" x14ac:dyDescent="0.2">
      <c r="A23253" t="s">
        <v>21666</v>
      </c>
      <c r="B23253" t="str">
        <f>"18681185063"</f>
        <v>18681185063</v>
      </c>
      <c r="C23253" t="str">
        <f>"440921199412156890"</f>
        <v>440921199412156890</v>
      </c>
      <c r="D23253" t="s">
        <v>1</v>
      </c>
      <c r="E23253" t="s">
        <v>1</v>
      </c>
      <c r="F23253" t="s">
        <v>0</v>
      </c>
      <c r="G23253" t="str">
        <f>"2018-10-14 15:22:53"</f>
        <v>2018-10-14 15:22:53</v>
      </c>
    </row>
    <row r="23254" spans="1:7" x14ac:dyDescent="0.2">
      <c r="A23254" t="s">
        <v>1</v>
      </c>
      <c r="B23254" t="str">
        <f>"13106288489"</f>
        <v>13106288489</v>
      </c>
      <c r="C23254" t="s">
        <v>1</v>
      </c>
      <c r="D23254" t="s">
        <v>1</v>
      </c>
      <c r="E23254" t="s">
        <v>1</v>
      </c>
      <c r="F23254" t="s">
        <v>0</v>
      </c>
      <c r="G23254" t="str">
        <f>"2018-10-06 17:48:30"</f>
        <v>2018-10-06 17:48:30</v>
      </c>
    </row>
    <row r="23255" spans="1:7" x14ac:dyDescent="0.2">
      <c r="A23255" t="s">
        <v>1</v>
      </c>
      <c r="B23255" t="str">
        <f>"15707138915"</f>
        <v>15707138915</v>
      </c>
      <c r="C23255" t="s">
        <v>1</v>
      </c>
      <c r="D23255" t="s">
        <v>1</v>
      </c>
      <c r="E23255" t="s">
        <v>1</v>
      </c>
      <c r="F23255" t="s">
        <v>0</v>
      </c>
      <c r="G23255" t="str">
        <f>"2018-10-06 17:48:16"</f>
        <v>2018-10-06 17:48:16</v>
      </c>
    </row>
    <row r="23256" spans="1:7" x14ac:dyDescent="0.2">
      <c r="A23256" t="s">
        <v>21667</v>
      </c>
      <c r="B23256" t="str">
        <f>"18408220560"</f>
        <v>18408220560</v>
      </c>
      <c r="C23256" t="str">
        <f>"513701199409016613"</f>
        <v>513701199409016613</v>
      </c>
      <c r="D23256" t="s">
        <v>21668</v>
      </c>
      <c r="E23256" t="s">
        <v>21669</v>
      </c>
      <c r="F23256" t="s">
        <v>0</v>
      </c>
      <c r="G23256" t="str">
        <f>"2018-10-06 17:48:35"</f>
        <v>2018-10-06 17:48:35</v>
      </c>
    </row>
    <row r="23257" spans="1:7" x14ac:dyDescent="0.2">
      <c r="A23257" t="s">
        <v>1</v>
      </c>
      <c r="B23257" t="str">
        <f>"15706592613"</f>
        <v>15706592613</v>
      </c>
      <c r="C23257" t="s">
        <v>1</v>
      </c>
      <c r="D23257" t="s">
        <v>1</v>
      </c>
      <c r="E23257" t="s">
        <v>1</v>
      </c>
      <c r="F23257" t="s">
        <v>0</v>
      </c>
      <c r="G23257" t="str">
        <f>"2018-10-06 17:47:13"</f>
        <v>2018-10-06 17:47:13</v>
      </c>
    </row>
    <row r="23258" spans="1:7" x14ac:dyDescent="0.2">
      <c r="A23258" t="s">
        <v>21670</v>
      </c>
      <c r="B23258" t="str">
        <f>"13531654393"</f>
        <v>13531654393</v>
      </c>
      <c r="C23258" t="str">
        <f>"44132219931027302X"</f>
        <v>44132219931027302X</v>
      </c>
      <c r="D23258" t="s">
        <v>1</v>
      </c>
      <c r="E23258" t="s">
        <v>1</v>
      </c>
      <c r="F23258" t="s">
        <v>0</v>
      </c>
      <c r="G23258" t="str">
        <f>"2018-10-06 17:48:45"</f>
        <v>2018-10-06 17:48:45</v>
      </c>
    </row>
    <row r="23259" spans="1:7" x14ac:dyDescent="0.2">
      <c r="A23259" t="s">
        <v>21671</v>
      </c>
      <c r="B23259" t="str">
        <f>"13070408717"</f>
        <v>13070408717</v>
      </c>
      <c r="C23259" t="str">
        <f>"622225198902271830"</f>
        <v>622225198902271830</v>
      </c>
      <c r="D23259" t="s">
        <v>1</v>
      </c>
      <c r="E23259" t="s">
        <v>1</v>
      </c>
      <c r="F23259" t="s">
        <v>0</v>
      </c>
      <c r="G23259" t="str">
        <f>"2018-10-06 17:46:15"</f>
        <v>2018-10-06 17:46:15</v>
      </c>
    </row>
    <row r="23260" spans="1:7" x14ac:dyDescent="0.2">
      <c r="A23260" t="s">
        <v>1</v>
      </c>
      <c r="B23260" t="str">
        <f>"13105645415"</f>
        <v>13105645415</v>
      </c>
      <c r="C23260" t="s">
        <v>1</v>
      </c>
      <c r="D23260" t="s">
        <v>1</v>
      </c>
      <c r="E23260" t="s">
        <v>1</v>
      </c>
      <c r="F23260" t="s">
        <v>0</v>
      </c>
      <c r="G23260" t="str">
        <f>"2018-10-06 17:45:40"</f>
        <v>2018-10-06 17:45:40</v>
      </c>
    </row>
    <row r="23261" spans="1:7" x14ac:dyDescent="0.2">
      <c r="A23261" t="s">
        <v>1847</v>
      </c>
      <c r="B23261" t="str">
        <f>"15508245235"</f>
        <v>15508245235</v>
      </c>
      <c r="C23261" t="str">
        <f>"51302119880726077X"</f>
        <v>51302119880726077X</v>
      </c>
      <c r="D23261" t="s">
        <v>1</v>
      </c>
      <c r="E23261" t="s">
        <v>1</v>
      </c>
      <c r="F23261" t="s">
        <v>0</v>
      </c>
      <c r="G23261" t="str">
        <f>"2018-10-07 13:19:37"</f>
        <v>2018-10-07 13:19:37</v>
      </c>
    </row>
    <row r="23262" spans="1:7" x14ac:dyDescent="0.2">
      <c r="A23262" t="s">
        <v>21672</v>
      </c>
      <c r="B23262" t="str">
        <f>"13795912999"</f>
        <v>13795912999</v>
      </c>
      <c r="C23262" t="str">
        <f>"510625198103011359"</f>
        <v>510625198103011359</v>
      </c>
      <c r="D23262" t="s">
        <v>1</v>
      </c>
      <c r="E23262" t="s">
        <v>1</v>
      </c>
      <c r="F23262" t="s">
        <v>0</v>
      </c>
      <c r="G23262" t="str">
        <f>"2018-10-06 17:49:41"</f>
        <v>2018-10-06 17:49:41</v>
      </c>
    </row>
    <row r="23263" spans="1:7" x14ac:dyDescent="0.2">
      <c r="A23263" t="s">
        <v>1</v>
      </c>
      <c r="B23263" t="str">
        <f>"15290595859"</f>
        <v>15290595859</v>
      </c>
      <c r="C23263" t="s">
        <v>1</v>
      </c>
      <c r="D23263" t="s">
        <v>1</v>
      </c>
      <c r="E23263" t="s">
        <v>1</v>
      </c>
      <c r="F23263" t="s">
        <v>0</v>
      </c>
      <c r="G23263" t="str">
        <f>"2018-10-06 17:44:25"</f>
        <v>2018-10-06 17:44:25</v>
      </c>
    </row>
    <row r="23264" spans="1:7" x14ac:dyDescent="0.2">
      <c r="A23264" t="s">
        <v>21673</v>
      </c>
      <c r="B23264" t="str">
        <f>"13151807002"</f>
        <v>13151807002</v>
      </c>
      <c r="C23264" t="str">
        <f>"321081199209068415"</f>
        <v>321081199209068415</v>
      </c>
      <c r="D23264" t="s">
        <v>1</v>
      </c>
      <c r="E23264" t="s">
        <v>1</v>
      </c>
      <c r="F23264" t="s">
        <v>0</v>
      </c>
      <c r="G23264" t="str">
        <f>"2018-10-14 10:08:30"</f>
        <v>2018-10-14 10:08:30</v>
      </c>
    </row>
    <row r="23265" spans="1:7" x14ac:dyDescent="0.2">
      <c r="A23265" t="s">
        <v>21674</v>
      </c>
      <c r="B23265" t="str">
        <f>"18610847014"</f>
        <v>18610847014</v>
      </c>
      <c r="C23265" t="str">
        <f>"513022199407142978"</f>
        <v>513022199407142978</v>
      </c>
      <c r="D23265" t="s">
        <v>21675</v>
      </c>
      <c r="E23265" t="s">
        <v>21676</v>
      </c>
      <c r="F23265" t="s">
        <v>0</v>
      </c>
      <c r="G23265" t="str">
        <f>"2018-10-06 17:46:54"</f>
        <v>2018-10-06 17:46:54</v>
      </c>
    </row>
    <row r="23266" spans="1:7" x14ac:dyDescent="0.2">
      <c r="A23266" t="s">
        <v>1</v>
      </c>
      <c r="B23266" t="str">
        <f>"15706578423"</f>
        <v>15706578423</v>
      </c>
      <c r="C23266" t="s">
        <v>1</v>
      </c>
      <c r="D23266" t="s">
        <v>1</v>
      </c>
      <c r="E23266" t="s">
        <v>1</v>
      </c>
      <c r="F23266" t="s">
        <v>0</v>
      </c>
      <c r="G23266" t="str">
        <f>"2018-10-06 17:42:39"</f>
        <v>2018-10-06 17:42:39</v>
      </c>
    </row>
    <row r="23267" spans="1:7" x14ac:dyDescent="0.2">
      <c r="A23267" t="s">
        <v>21677</v>
      </c>
      <c r="B23267" t="str">
        <f>"13290764666"</f>
        <v>13290764666</v>
      </c>
      <c r="C23267" t="str">
        <f>"350681198511201072"</f>
        <v>350681198511201072</v>
      </c>
      <c r="D23267" t="s">
        <v>1</v>
      </c>
      <c r="E23267" t="s">
        <v>1</v>
      </c>
      <c r="F23267" t="s">
        <v>0</v>
      </c>
      <c r="G23267" t="str">
        <f>"2018-10-06 17:45:24"</f>
        <v>2018-10-06 17:45:24</v>
      </c>
    </row>
    <row r="23268" spans="1:7" x14ac:dyDescent="0.2">
      <c r="A23268" t="s">
        <v>21678</v>
      </c>
      <c r="B23268" t="str">
        <f>"18586942720"</f>
        <v>18586942720</v>
      </c>
      <c r="C23268" t="str">
        <f>"522127200007206059"</f>
        <v>522127200007206059</v>
      </c>
      <c r="D23268" t="s">
        <v>1</v>
      </c>
      <c r="E23268" t="s">
        <v>1</v>
      </c>
      <c r="F23268" t="s">
        <v>0</v>
      </c>
      <c r="G23268" t="str">
        <f>"2018-10-06 17:43:05"</f>
        <v>2018-10-06 17:43:05</v>
      </c>
    </row>
    <row r="23269" spans="1:7" x14ac:dyDescent="0.2">
      <c r="A23269" t="s">
        <v>1</v>
      </c>
      <c r="B23269" t="str">
        <f>"15706590512"</f>
        <v>15706590512</v>
      </c>
      <c r="C23269" t="s">
        <v>1</v>
      </c>
      <c r="D23269" t="s">
        <v>1</v>
      </c>
      <c r="E23269" t="s">
        <v>1</v>
      </c>
      <c r="F23269" t="s">
        <v>0</v>
      </c>
      <c r="G23269" t="str">
        <f>"2018-10-06 17:41:36"</f>
        <v>2018-10-06 17:41:36</v>
      </c>
    </row>
    <row r="23270" spans="1:7" x14ac:dyDescent="0.2">
      <c r="A23270" t="s">
        <v>1</v>
      </c>
      <c r="B23270" t="str">
        <f>"15707137515"</f>
        <v>15707137515</v>
      </c>
      <c r="C23270" t="s">
        <v>1</v>
      </c>
      <c r="D23270" t="s">
        <v>1</v>
      </c>
      <c r="E23270" t="s">
        <v>1</v>
      </c>
      <c r="F23270" t="s">
        <v>0</v>
      </c>
      <c r="G23270" t="str">
        <f>"2018-10-06 17:40:29"</f>
        <v>2018-10-06 17:40:29</v>
      </c>
    </row>
    <row r="23271" spans="1:7" x14ac:dyDescent="0.2">
      <c r="A23271" t="s">
        <v>668</v>
      </c>
      <c r="B23271" t="str">
        <f>"13885801539"</f>
        <v>13885801539</v>
      </c>
      <c r="C23271" t="str">
        <f>"522224199312290411"</f>
        <v>522224199312290411</v>
      </c>
      <c r="D23271" t="s">
        <v>1</v>
      </c>
      <c r="E23271" t="s">
        <v>1</v>
      </c>
      <c r="F23271" t="s">
        <v>0</v>
      </c>
      <c r="G23271" t="str">
        <f>"2018-10-06 18:43:05"</f>
        <v>2018-10-06 18:43:05</v>
      </c>
    </row>
    <row r="23272" spans="1:7" x14ac:dyDescent="0.2">
      <c r="A23272" t="s">
        <v>21679</v>
      </c>
      <c r="B23272" t="str">
        <f>"15108703332"</f>
        <v>15108703332</v>
      </c>
      <c r="C23272" t="str">
        <f>"530424198503120614"</f>
        <v>530424198503120614</v>
      </c>
      <c r="D23272" t="s">
        <v>1</v>
      </c>
      <c r="E23272" t="s">
        <v>1</v>
      </c>
      <c r="F23272" t="s">
        <v>0</v>
      </c>
      <c r="G23272" t="str">
        <f>"2018-10-06 17:41:29"</f>
        <v>2018-10-06 17:41:29</v>
      </c>
    </row>
    <row r="23273" spans="1:7" x14ac:dyDescent="0.2">
      <c r="A23273" t="s">
        <v>1</v>
      </c>
      <c r="B23273" t="str">
        <f>"13562507185"</f>
        <v>13562507185</v>
      </c>
      <c r="C23273" t="s">
        <v>1</v>
      </c>
      <c r="D23273" t="s">
        <v>1</v>
      </c>
      <c r="E23273" t="s">
        <v>1</v>
      </c>
      <c r="F23273" t="s">
        <v>0</v>
      </c>
      <c r="G23273" t="str">
        <f>"2018-10-06 17:41:25"</f>
        <v>2018-10-06 17:41:25</v>
      </c>
    </row>
    <row r="23274" spans="1:7" x14ac:dyDescent="0.2">
      <c r="A23274" t="s">
        <v>1</v>
      </c>
      <c r="B23274" t="str">
        <f>"13554512937"</f>
        <v>13554512937</v>
      </c>
      <c r="C23274" t="s">
        <v>1</v>
      </c>
      <c r="D23274" t="s">
        <v>1</v>
      </c>
      <c r="E23274" t="s">
        <v>1</v>
      </c>
      <c r="F23274" t="s">
        <v>0</v>
      </c>
      <c r="G23274" t="str">
        <f>"2018-10-06 17:40:42"</f>
        <v>2018-10-06 17:40:42</v>
      </c>
    </row>
    <row r="23275" spans="1:7" x14ac:dyDescent="0.2">
      <c r="A23275" t="s">
        <v>455</v>
      </c>
      <c r="B23275" t="str">
        <f>"15061651989"</f>
        <v>15061651989</v>
      </c>
      <c r="C23275" t="str">
        <f>"32092419920504437X"</f>
        <v>32092419920504437X</v>
      </c>
      <c r="D23275" t="s">
        <v>1</v>
      </c>
      <c r="E23275" t="s">
        <v>1</v>
      </c>
      <c r="F23275" t="s">
        <v>0</v>
      </c>
      <c r="G23275" t="str">
        <f>"2018-10-06 17:40:33"</f>
        <v>2018-10-06 17:40:33</v>
      </c>
    </row>
    <row r="23276" spans="1:7" x14ac:dyDescent="0.2">
      <c r="A23276" t="s">
        <v>1</v>
      </c>
      <c r="B23276" t="str">
        <f>"15707137216"</f>
        <v>15707137216</v>
      </c>
      <c r="C23276" t="s">
        <v>1</v>
      </c>
      <c r="D23276" t="s">
        <v>1</v>
      </c>
      <c r="E23276" t="s">
        <v>1</v>
      </c>
      <c r="F23276" t="s">
        <v>0</v>
      </c>
      <c r="G23276" t="str">
        <f>"2018-10-06 17:39:15"</f>
        <v>2018-10-06 17:39:15</v>
      </c>
    </row>
    <row r="23277" spans="1:7" x14ac:dyDescent="0.2">
      <c r="A23277" t="s">
        <v>21680</v>
      </c>
      <c r="B23277" t="str">
        <f>"13768370220"</f>
        <v>13768370220</v>
      </c>
      <c r="C23277" t="str">
        <f>"45212219870610553X"</f>
        <v>45212219870610553X</v>
      </c>
      <c r="D23277" t="s">
        <v>1</v>
      </c>
      <c r="E23277" t="s">
        <v>1</v>
      </c>
      <c r="F23277" t="s">
        <v>0</v>
      </c>
      <c r="G23277" t="str">
        <f>"2018-10-06 17:55:41"</f>
        <v>2018-10-06 17:55:41</v>
      </c>
    </row>
    <row r="23278" spans="1:7" x14ac:dyDescent="0.2">
      <c r="A23278" t="s">
        <v>21681</v>
      </c>
      <c r="B23278" t="str">
        <f>"13988831239"</f>
        <v>13988831239</v>
      </c>
      <c r="C23278" t="str">
        <f>"510403197403113142"</f>
        <v>510403197403113142</v>
      </c>
      <c r="D23278" t="s">
        <v>1</v>
      </c>
      <c r="E23278" t="s">
        <v>1</v>
      </c>
      <c r="F23278" t="s">
        <v>0</v>
      </c>
      <c r="G23278" t="str">
        <f>"2018-10-06 17:40:02"</f>
        <v>2018-10-06 17:40:02</v>
      </c>
    </row>
    <row r="23279" spans="1:7" x14ac:dyDescent="0.2">
      <c r="A23279" t="s">
        <v>1</v>
      </c>
      <c r="B23279" t="str">
        <f>"13528881021"</f>
        <v>13528881021</v>
      </c>
      <c r="C23279" t="s">
        <v>1</v>
      </c>
      <c r="D23279" t="s">
        <v>1</v>
      </c>
      <c r="E23279" t="s">
        <v>1</v>
      </c>
      <c r="F23279" t="s">
        <v>0</v>
      </c>
      <c r="G23279" t="str">
        <f>"2018-10-06 17:38:19"</f>
        <v>2018-10-06 17:38:19</v>
      </c>
    </row>
    <row r="23280" spans="1:7" x14ac:dyDescent="0.2">
      <c r="A23280" t="s">
        <v>1</v>
      </c>
      <c r="B23280" t="str">
        <f>"18276780421"</f>
        <v>18276780421</v>
      </c>
      <c r="C23280" t="s">
        <v>1</v>
      </c>
      <c r="D23280" t="s">
        <v>1</v>
      </c>
      <c r="E23280" t="s">
        <v>1</v>
      </c>
      <c r="F23280" t="s">
        <v>0</v>
      </c>
      <c r="G23280" t="str">
        <f>"2018-10-06 17:38:09"</f>
        <v>2018-10-06 17:38:09</v>
      </c>
    </row>
    <row r="23281" spans="1:7" x14ac:dyDescent="0.2">
      <c r="A23281" t="s">
        <v>21682</v>
      </c>
      <c r="B23281" t="str">
        <f>"13428319921"</f>
        <v>13428319921</v>
      </c>
      <c r="C23281" t="str">
        <f>"440582199203256650"</f>
        <v>440582199203256650</v>
      </c>
      <c r="D23281" t="s">
        <v>1</v>
      </c>
      <c r="E23281" t="s">
        <v>1</v>
      </c>
      <c r="F23281" t="s">
        <v>0</v>
      </c>
      <c r="G23281" t="str">
        <f>"2018-10-06 17:41:51"</f>
        <v>2018-10-06 17:41:51</v>
      </c>
    </row>
    <row r="23282" spans="1:7" x14ac:dyDescent="0.2">
      <c r="A23282" t="s">
        <v>21683</v>
      </c>
      <c r="B23282" t="str">
        <f>"18872417977"</f>
        <v>18872417977</v>
      </c>
      <c r="C23282" t="str">
        <f>"420881199110300014"</f>
        <v>420881199110300014</v>
      </c>
      <c r="D23282" t="s">
        <v>21684</v>
      </c>
      <c r="E23282" t="s">
        <v>21685</v>
      </c>
      <c r="F23282" t="s">
        <v>0</v>
      </c>
      <c r="G23282" t="str">
        <f>"2018-10-06 17:39:22"</f>
        <v>2018-10-06 17:39:22</v>
      </c>
    </row>
    <row r="23283" spans="1:7" x14ac:dyDescent="0.2">
      <c r="A23283" t="s">
        <v>21686</v>
      </c>
      <c r="B23283" t="str">
        <f>"18233960809"</f>
        <v>18233960809</v>
      </c>
      <c r="C23283" t="str">
        <f>"132201199403080017"</f>
        <v>132201199403080017</v>
      </c>
      <c r="D23283" t="s">
        <v>21687</v>
      </c>
      <c r="E23283" t="s">
        <v>21688</v>
      </c>
      <c r="F23283" t="s">
        <v>0</v>
      </c>
      <c r="G23283" t="str">
        <f>"2018-10-06 17:44:33"</f>
        <v>2018-10-06 17:44:33</v>
      </c>
    </row>
    <row r="23284" spans="1:7" x14ac:dyDescent="0.2">
      <c r="A23284" t="s">
        <v>1</v>
      </c>
      <c r="B23284" t="str">
        <f>"13558109343"</f>
        <v>13558109343</v>
      </c>
      <c r="C23284" t="s">
        <v>1</v>
      </c>
      <c r="D23284" t="s">
        <v>1</v>
      </c>
      <c r="E23284" t="s">
        <v>1</v>
      </c>
      <c r="F23284" t="s">
        <v>0</v>
      </c>
      <c r="G23284" t="str">
        <f>"2018-10-06 17:37:10"</f>
        <v>2018-10-06 17:37:10</v>
      </c>
    </row>
    <row r="23285" spans="1:7" x14ac:dyDescent="0.2">
      <c r="A23285" t="s">
        <v>21689</v>
      </c>
      <c r="B23285" t="str">
        <f>"15057071671"</f>
        <v>15057071671</v>
      </c>
      <c r="C23285" t="str">
        <f>"362323199605225436"</f>
        <v>362323199605225436</v>
      </c>
      <c r="D23285" t="s">
        <v>1</v>
      </c>
      <c r="E23285" t="s">
        <v>1</v>
      </c>
      <c r="F23285" t="s">
        <v>0</v>
      </c>
      <c r="G23285" t="str">
        <f>"2018-10-06 17:39:29"</f>
        <v>2018-10-06 17:39:29</v>
      </c>
    </row>
    <row r="23286" spans="1:7" x14ac:dyDescent="0.2">
      <c r="A23286" t="s">
        <v>1</v>
      </c>
      <c r="B23286" t="str">
        <f>"13557314745"</f>
        <v>13557314745</v>
      </c>
      <c r="C23286" t="s">
        <v>1</v>
      </c>
      <c r="D23286" t="s">
        <v>1</v>
      </c>
      <c r="E23286" t="s">
        <v>1</v>
      </c>
      <c r="F23286" t="s">
        <v>0</v>
      </c>
      <c r="G23286" t="str">
        <f>"2018-10-06 17:36:06"</f>
        <v>2018-10-06 17:36:06</v>
      </c>
    </row>
    <row r="23287" spans="1:7" x14ac:dyDescent="0.2">
      <c r="A23287" t="s">
        <v>21690</v>
      </c>
      <c r="B23287" t="str">
        <f>"15160703791"</f>
        <v>15160703791</v>
      </c>
      <c r="C23287" t="str">
        <f>"360730199312031113"</f>
        <v>360730199312031113</v>
      </c>
      <c r="D23287" t="s">
        <v>1</v>
      </c>
      <c r="E23287" t="s">
        <v>1</v>
      </c>
      <c r="F23287" t="s">
        <v>0</v>
      </c>
      <c r="G23287" t="str">
        <f>"2018-10-06 17:39:14"</f>
        <v>2018-10-06 17:39:14</v>
      </c>
    </row>
    <row r="23288" spans="1:7" x14ac:dyDescent="0.2">
      <c r="A23288" t="s">
        <v>21691</v>
      </c>
      <c r="B23288" t="str">
        <f>"15866290227"</f>
        <v>15866290227</v>
      </c>
      <c r="C23288" t="str">
        <f>"370303198305011030"</f>
        <v>370303198305011030</v>
      </c>
      <c r="D23288" t="s">
        <v>1</v>
      </c>
      <c r="E23288" t="s">
        <v>1</v>
      </c>
      <c r="F23288" t="s">
        <v>0</v>
      </c>
      <c r="G23288" t="str">
        <f>"2018-10-27 11:25:42"</f>
        <v>2018-10-27 11:25:42</v>
      </c>
    </row>
    <row r="23289" spans="1:7" x14ac:dyDescent="0.2">
      <c r="A23289" t="s">
        <v>21692</v>
      </c>
      <c r="B23289" t="str">
        <f>"18777462994"</f>
        <v>18777462994</v>
      </c>
      <c r="C23289" t="str">
        <f>"450421198912301521"</f>
        <v>450421198912301521</v>
      </c>
      <c r="D23289" t="s">
        <v>21693</v>
      </c>
      <c r="E23289" t="s">
        <v>21694</v>
      </c>
      <c r="F23289" t="s">
        <v>0</v>
      </c>
      <c r="G23289" t="str">
        <f>"2018-10-06 17:35:56"</f>
        <v>2018-10-06 17:35:56</v>
      </c>
    </row>
    <row r="23290" spans="1:7" x14ac:dyDescent="0.2">
      <c r="A23290" t="s">
        <v>1</v>
      </c>
      <c r="B23290" t="str">
        <f>"15800500128"</f>
        <v>15800500128</v>
      </c>
      <c r="C23290" t="s">
        <v>1</v>
      </c>
      <c r="D23290" t="s">
        <v>1</v>
      </c>
      <c r="E23290" t="s">
        <v>1</v>
      </c>
      <c r="F23290" t="s">
        <v>0</v>
      </c>
      <c r="G23290" t="str">
        <f>"2018-10-06 17:33:46"</f>
        <v>2018-10-06 17:33:46</v>
      </c>
    </row>
    <row r="23291" spans="1:7" x14ac:dyDescent="0.2">
      <c r="A23291" t="s">
        <v>1</v>
      </c>
      <c r="B23291" t="str">
        <f>"15707188215"</f>
        <v>15707188215</v>
      </c>
      <c r="C23291" t="s">
        <v>1</v>
      </c>
      <c r="D23291" t="s">
        <v>1</v>
      </c>
      <c r="E23291" t="s">
        <v>1</v>
      </c>
      <c r="F23291" t="s">
        <v>0</v>
      </c>
      <c r="G23291" t="str">
        <f>"2018-10-06 17:33:25"</f>
        <v>2018-10-06 17:33:25</v>
      </c>
    </row>
    <row r="23292" spans="1:7" x14ac:dyDescent="0.2">
      <c r="A23292" t="s">
        <v>21695</v>
      </c>
      <c r="B23292" t="str">
        <f>"15010736050"</f>
        <v>15010736050</v>
      </c>
      <c r="C23292" t="str">
        <f>"630103198802102016"</f>
        <v>630103198802102016</v>
      </c>
      <c r="D23292" t="s">
        <v>1</v>
      </c>
      <c r="E23292" t="s">
        <v>1</v>
      </c>
      <c r="F23292" t="s">
        <v>0</v>
      </c>
      <c r="G23292" t="str">
        <f>"2018-10-06 17:34:13"</f>
        <v>2018-10-06 17:34:13</v>
      </c>
    </row>
    <row r="23293" spans="1:7" x14ac:dyDescent="0.2">
      <c r="A23293" t="s">
        <v>21696</v>
      </c>
      <c r="B23293" t="str">
        <f>"18637954320"</f>
        <v>18637954320</v>
      </c>
      <c r="C23293" t="str">
        <f>"410305199502055323"</f>
        <v>410305199502055323</v>
      </c>
      <c r="D23293" t="s">
        <v>1</v>
      </c>
      <c r="E23293" t="s">
        <v>1</v>
      </c>
      <c r="F23293" t="s">
        <v>0</v>
      </c>
      <c r="G23293" t="str">
        <f>"2018-10-06 17:33:46"</f>
        <v>2018-10-06 17:33:46</v>
      </c>
    </row>
    <row r="23294" spans="1:7" x14ac:dyDescent="0.2">
      <c r="A23294" t="s">
        <v>1</v>
      </c>
      <c r="B23294" t="str">
        <f>"15707135314"</f>
        <v>15707135314</v>
      </c>
      <c r="C23294" t="s">
        <v>1</v>
      </c>
      <c r="D23294" t="s">
        <v>1</v>
      </c>
      <c r="E23294" t="s">
        <v>1</v>
      </c>
      <c r="F23294" t="s">
        <v>0</v>
      </c>
      <c r="G23294" t="str">
        <f>"2018-10-06 17:32:13"</f>
        <v>2018-10-06 17:32:13</v>
      </c>
    </row>
    <row r="23295" spans="1:7" x14ac:dyDescent="0.2">
      <c r="A23295" t="s">
        <v>21697</v>
      </c>
      <c r="B23295" t="str">
        <f>"17534970266"</f>
        <v>17534970266</v>
      </c>
      <c r="C23295" t="str">
        <f>"142422199409093913"</f>
        <v>142422199409093913</v>
      </c>
      <c r="D23295" t="s">
        <v>1</v>
      </c>
      <c r="E23295" t="s">
        <v>1</v>
      </c>
      <c r="F23295" t="s">
        <v>0</v>
      </c>
      <c r="G23295" t="str">
        <f>"2018-10-06 17:37:09"</f>
        <v>2018-10-06 17:37:09</v>
      </c>
    </row>
    <row r="23296" spans="1:7" x14ac:dyDescent="0.2">
      <c r="A23296" t="s">
        <v>1</v>
      </c>
      <c r="B23296" t="str">
        <f>"18376735761"</f>
        <v>18376735761</v>
      </c>
      <c r="C23296" t="s">
        <v>1</v>
      </c>
      <c r="D23296" t="s">
        <v>1</v>
      </c>
      <c r="E23296" t="s">
        <v>1</v>
      </c>
      <c r="F23296" t="s">
        <v>0</v>
      </c>
      <c r="G23296" t="str">
        <f>"2018-10-06 17:30:53"</f>
        <v>2018-10-06 17:30:53</v>
      </c>
    </row>
    <row r="23297" spans="1:7" x14ac:dyDescent="0.2">
      <c r="A23297" t="s">
        <v>1</v>
      </c>
      <c r="B23297" t="str">
        <f>"15224598204"</f>
        <v>15224598204</v>
      </c>
      <c r="C23297" t="s">
        <v>1</v>
      </c>
      <c r="D23297" t="s">
        <v>1</v>
      </c>
      <c r="E23297" t="s">
        <v>1</v>
      </c>
      <c r="F23297" t="s">
        <v>0</v>
      </c>
      <c r="G23297" t="str">
        <f>"2018-10-06 17:29:48"</f>
        <v>2018-10-06 17:29:48</v>
      </c>
    </row>
    <row r="23298" spans="1:7" x14ac:dyDescent="0.2">
      <c r="A23298" t="s">
        <v>21698</v>
      </c>
      <c r="B23298" t="str">
        <f>"13960276436"</f>
        <v>13960276436</v>
      </c>
      <c r="C23298" t="str">
        <f>"350525199206220013"</f>
        <v>350525199206220013</v>
      </c>
      <c r="D23298" t="s">
        <v>1</v>
      </c>
      <c r="E23298" t="s">
        <v>1</v>
      </c>
      <c r="F23298" t="s">
        <v>0</v>
      </c>
      <c r="G23298" t="str">
        <f>"2018-10-06 17:31:04"</f>
        <v>2018-10-06 17:31:04</v>
      </c>
    </row>
    <row r="23299" spans="1:7" x14ac:dyDescent="0.2">
      <c r="A23299" t="s">
        <v>81</v>
      </c>
      <c r="B23299" t="str">
        <f>"17634374306"</f>
        <v>17634374306</v>
      </c>
      <c r="C23299" t="str">
        <f>"412726199605241255"</f>
        <v>412726199605241255</v>
      </c>
      <c r="D23299" t="s">
        <v>1</v>
      </c>
      <c r="E23299" t="s">
        <v>1</v>
      </c>
      <c r="F23299" t="s">
        <v>0</v>
      </c>
      <c r="G23299" t="str">
        <f>"2018-10-06 17:31:42"</f>
        <v>2018-10-06 17:31:42</v>
      </c>
    </row>
    <row r="23300" spans="1:7" x14ac:dyDescent="0.2">
      <c r="A23300" t="s">
        <v>436</v>
      </c>
      <c r="B23300" t="str">
        <f>"13959252614"</f>
        <v>13959252614</v>
      </c>
      <c r="C23300" t="str">
        <f>"350111198111252413"</f>
        <v>350111198111252413</v>
      </c>
      <c r="D23300" t="s">
        <v>1</v>
      </c>
      <c r="E23300" t="s">
        <v>1</v>
      </c>
      <c r="F23300" t="s">
        <v>0</v>
      </c>
      <c r="G23300" t="str">
        <f>"2018-10-06 17:30:47"</f>
        <v>2018-10-06 17:30:47</v>
      </c>
    </row>
    <row r="23301" spans="1:7" x14ac:dyDescent="0.2">
      <c r="A23301" t="s">
        <v>1</v>
      </c>
      <c r="B23301" t="str">
        <f>"15706597914"</f>
        <v>15706597914</v>
      </c>
      <c r="C23301" t="s">
        <v>1</v>
      </c>
      <c r="D23301" t="s">
        <v>1</v>
      </c>
      <c r="E23301" t="s">
        <v>1</v>
      </c>
      <c r="F23301" t="s">
        <v>0</v>
      </c>
      <c r="G23301" t="str">
        <f>"2018-10-06 17:28:35"</f>
        <v>2018-10-06 17:28:35</v>
      </c>
    </row>
    <row r="23302" spans="1:7" x14ac:dyDescent="0.2">
      <c r="A23302" t="s">
        <v>21699</v>
      </c>
      <c r="B23302" t="str">
        <f>"18827982919"</f>
        <v>18827982919</v>
      </c>
      <c r="C23302" t="str">
        <f>"360203198706121532"</f>
        <v>360203198706121532</v>
      </c>
      <c r="D23302" t="s">
        <v>1</v>
      </c>
      <c r="E23302" t="s">
        <v>1</v>
      </c>
      <c r="F23302" t="s">
        <v>0</v>
      </c>
      <c r="G23302" t="str">
        <f>"2018-10-06 17:29:13"</f>
        <v>2018-10-06 17:29:13</v>
      </c>
    </row>
    <row r="23303" spans="1:7" x14ac:dyDescent="0.2">
      <c r="A23303" t="s">
        <v>1</v>
      </c>
      <c r="B23303" t="str">
        <f>"13794578022"</f>
        <v>13794578022</v>
      </c>
      <c r="C23303" t="s">
        <v>1</v>
      </c>
      <c r="D23303" t="s">
        <v>1</v>
      </c>
      <c r="E23303" t="s">
        <v>1</v>
      </c>
      <c r="F23303" t="s">
        <v>0</v>
      </c>
      <c r="G23303" t="str">
        <f>"2018-10-06 17:28:10"</f>
        <v>2018-10-06 17:28:10</v>
      </c>
    </row>
    <row r="23304" spans="1:7" x14ac:dyDescent="0.2">
      <c r="A23304" t="s">
        <v>21700</v>
      </c>
      <c r="B23304" t="str">
        <f>"13202194316"</f>
        <v>13202194316</v>
      </c>
      <c r="C23304" t="str">
        <f>"350624198912302010"</f>
        <v>350624198912302010</v>
      </c>
      <c r="D23304" t="s">
        <v>1</v>
      </c>
      <c r="E23304" t="s">
        <v>1</v>
      </c>
      <c r="F23304" t="s">
        <v>0</v>
      </c>
      <c r="G23304" t="str">
        <f>"2018-10-06 17:29:29"</f>
        <v>2018-10-06 17:29:29</v>
      </c>
    </row>
    <row r="23305" spans="1:7" x14ac:dyDescent="0.2">
      <c r="A23305" t="s">
        <v>1</v>
      </c>
      <c r="B23305" t="str">
        <f>"18613638228"</f>
        <v>18613638228</v>
      </c>
      <c r="C23305" t="s">
        <v>1</v>
      </c>
      <c r="D23305" t="s">
        <v>1</v>
      </c>
      <c r="E23305" t="s">
        <v>1</v>
      </c>
      <c r="F23305" t="s">
        <v>0</v>
      </c>
      <c r="G23305" t="str">
        <f>"2018-10-06 17:27:33"</f>
        <v>2018-10-06 17:27:33</v>
      </c>
    </row>
    <row r="23306" spans="1:7" x14ac:dyDescent="0.2">
      <c r="A23306" t="s">
        <v>1</v>
      </c>
      <c r="B23306" t="str">
        <f>"15706594015"</f>
        <v>15706594015</v>
      </c>
      <c r="C23306" t="s">
        <v>1</v>
      </c>
      <c r="D23306" t="s">
        <v>1</v>
      </c>
      <c r="E23306" t="s">
        <v>1</v>
      </c>
      <c r="F23306" t="s">
        <v>0</v>
      </c>
      <c r="G23306" t="str">
        <f>"2018-10-06 17:27:12"</f>
        <v>2018-10-06 17:27:12</v>
      </c>
    </row>
    <row r="23307" spans="1:7" x14ac:dyDescent="0.2">
      <c r="A23307" t="s">
        <v>1</v>
      </c>
      <c r="B23307" t="str">
        <f>"15014304031"</f>
        <v>15014304031</v>
      </c>
      <c r="C23307" t="s">
        <v>1</v>
      </c>
      <c r="D23307" t="s">
        <v>1</v>
      </c>
      <c r="E23307" t="s">
        <v>1</v>
      </c>
      <c r="F23307" t="s">
        <v>0</v>
      </c>
      <c r="G23307" t="str">
        <f>"2018-10-06 17:26:50"</f>
        <v>2018-10-06 17:26:50</v>
      </c>
    </row>
    <row r="23308" spans="1:7" x14ac:dyDescent="0.2">
      <c r="A23308" t="s">
        <v>21701</v>
      </c>
      <c r="B23308" t="str">
        <f>"15776896764"</f>
        <v>15776896764</v>
      </c>
      <c r="C23308" t="str">
        <f>"232321199803297244"</f>
        <v>232321199803297244</v>
      </c>
      <c r="D23308" t="s">
        <v>1</v>
      </c>
      <c r="E23308" t="s">
        <v>1</v>
      </c>
      <c r="F23308" t="s">
        <v>0</v>
      </c>
      <c r="G23308" t="str">
        <f>"2018-10-06 17:27:44"</f>
        <v>2018-10-06 17:27:44</v>
      </c>
    </row>
    <row r="23309" spans="1:7" x14ac:dyDescent="0.2">
      <c r="A23309" t="s">
        <v>1</v>
      </c>
      <c r="B23309" t="str">
        <f>"14797712195"</f>
        <v>14797712195</v>
      </c>
      <c r="C23309" t="s">
        <v>1</v>
      </c>
      <c r="D23309" t="s">
        <v>1</v>
      </c>
      <c r="E23309" t="s">
        <v>1</v>
      </c>
      <c r="F23309" t="s">
        <v>0</v>
      </c>
      <c r="G23309" t="str">
        <f>"2018-10-06 17:25:56"</f>
        <v>2018-10-06 17:25:56</v>
      </c>
    </row>
    <row r="23310" spans="1:7" x14ac:dyDescent="0.2">
      <c r="A23310" t="s">
        <v>21702</v>
      </c>
      <c r="B23310" t="str">
        <f>"17624062860"</f>
        <v>17624062860</v>
      </c>
      <c r="C23310" t="str">
        <f>"211421199704095613"</f>
        <v>211421199704095613</v>
      </c>
      <c r="D23310" t="s">
        <v>1</v>
      </c>
      <c r="E23310" t="s">
        <v>1</v>
      </c>
      <c r="F23310" t="s">
        <v>0</v>
      </c>
      <c r="G23310" t="str">
        <f>"2018-10-06 17:28:35"</f>
        <v>2018-10-06 17:28:35</v>
      </c>
    </row>
    <row r="23311" spans="1:7" x14ac:dyDescent="0.2">
      <c r="A23311" t="s">
        <v>21703</v>
      </c>
      <c r="B23311" t="str">
        <f>"18086982935"</f>
        <v>18086982935</v>
      </c>
      <c r="C23311" t="str">
        <f>"511602198810045191"</f>
        <v>511602198810045191</v>
      </c>
      <c r="D23311" t="s">
        <v>1</v>
      </c>
      <c r="E23311" t="s">
        <v>1</v>
      </c>
      <c r="F23311" t="s">
        <v>0</v>
      </c>
      <c r="G23311" t="str">
        <f>"2018-10-06 17:32:12"</f>
        <v>2018-10-06 17:32:12</v>
      </c>
    </row>
    <row r="23312" spans="1:7" x14ac:dyDescent="0.2">
      <c r="A23312" t="s">
        <v>1</v>
      </c>
      <c r="B23312" t="str">
        <f>"18899756560"</f>
        <v>18899756560</v>
      </c>
      <c r="C23312" t="s">
        <v>1</v>
      </c>
      <c r="D23312" t="s">
        <v>1</v>
      </c>
      <c r="E23312" t="s">
        <v>1</v>
      </c>
      <c r="F23312" t="s">
        <v>0</v>
      </c>
      <c r="G23312" t="str">
        <f>"2018-10-06 17:35:01"</f>
        <v>2018-10-06 17:35:01</v>
      </c>
    </row>
    <row r="23313" spans="1:7" x14ac:dyDescent="0.2">
      <c r="A23313" t="s">
        <v>1</v>
      </c>
      <c r="B23313" t="str">
        <f>"15706576710"</f>
        <v>15706576710</v>
      </c>
      <c r="C23313" t="s">
        <v>1</v>
      </c>
      <c r="D23313" t="s">
        <v>1</v>
      </c>
      <c r="E23313" t="s">
        <v>1</v>
      </c>
      <c r="F23313" t="s">
        <v>0</v>
      </c>
      <c r="G23313" t="str">
        <f>"2018-10-06 17:24:31"</f>
        <v>2018-10-06 17:24:31</v>
      </c>
    </row>
    <row r="23314" spans="1:7" x14ac:dyDescent="0.2">
      <c r="A23314" t="s">
        <v>1765</v>
      </c>
      <c r="B23314" t="str">
        <f>"13025253773"</f>
        <v>13025253773</v>
      </c>
      <c r="C23314" t="str">
        <f>"441521199801271816"</f>
        <v>441521199801271816</v>
      </c>
      <c r="D23314" t="s">
        <v>1</v>
      </c>
      <c r="E23314" t="s">
        <v>1</v>
      </c>
      <c r="F23314" t="s">
        <v>0</v>
      </c>
      <c r="G23314" t="str">
        <f>"2018-10-06 17:36:41"</f>
        <v>2018-10-06 17:36:41</v>
      </c>
    </row>
    <row r="23315" spans="1:7" x14ac:dyDescent="0.2">
      <c r="A23315" t="s">
        <v>544</v>
      </c>
      <c r="B23315" t="str">
        <f>"17768159006"</f>
        <v>17768159006</v>
      </c>
      <c r="C23315" t="str">
        <f>"321321198902037030"</f>
        <v>321321198902037030</v>
      </c>
      <c r="D23315" t="s">
        <v>1</v>
      </c>
      <c r="E23315" t="s">
        <v>1</v>
      </c>
      <c r="F23315" t="s">
        <v>0</v>
      </c>
      <c r="G23315" t="str">
        <f>"2018-10-06 17:25:34"</f>
        <v>2018-10-06 17:25:34</v>
      </c>
    </row>
    <row r="23316" spans="1:7" x14ac:dyDescent="0.2">
      <c r="A23316" t="s">
        <v>1</v>
      </c>
      <c r="B23316" t="str">
        <f>"13471016433"</f>
        <v>13471016433</v>
      </c>
      <c r="C23316" t="s">
        <v>1</v>
      </c>
      <c r="D23316" t="s">
        <v>1</v>
      </c>
      <c r="E23316" t="s">
        <v>1</v>
      </c>
      <c r="F23316" t="s">
        <v>0</v>
      </c>
      <c r="G23316" t="str">
        <f>"2018-10-06 17:23:26"</f>
        <v>2018-10-06 17:23:26</v>
      </c>
    </row>
    <row r="23317" spans="1:7" x14ac:dyDescent="0.2">
      <c r="A23317" t="s">
        <v>1</v>
      </c>
      <c r="B23317" t="str">
        <f>"13237889481"</f>
        <v>13237889481</v>
      </c>
      <c r="C23317" t="s">
        <v>1</v>
      </c>
      <c r="D23317" t="s">
        <v>1</v>
      </c>
      <c r="E23317" t="s">
        <v>1</v>
      </c>
      <c r="F23317" t="s">
        <v>0</v>
      </c>
      <c r="G23317" t="str">
        <f>"2018-10-06 17:23:12"</f>
        <v>2018-10-06 17:23:12</v>
      </c>
    </row>
    <row r="23318" spans="1:7" x14ac:dyDescent="0.2">
      <c r="A23318" t="s">
        <v>1</v>
      </c>
      <c r="B23318" t="str">
        <f>"15706597526"</f>
        <v>15706597526</v>
      </c>
      <c r="C23318" t="s">
        <v>1</v>
      </c>
      <c r="D23318" t="s">
        <v>1</v>
      </c>
      <c r="E23318" t="s">
        <v>1</v>
      </c>
      <c r="F23318" t="s">
        <v>0</v>
      </c>
      <c r="G23318" t="str">
        <f>"2018-10-06 17:22:25"</f>
        <v>2018-10-06 17:22:25</v>
      </c>
    </row>
    <row r="23319" spans="1:7" x14ac:dyDescent="0.2">
      <c r="A23319" t="s">
        <v>21704</v>
      </c>
      <c r="B23319" t="str">
        <f>"18399698981"</f>
        <v>18399698981</v>
      </c>
      <c r="C23319" t="str">
        <f>"650105198104022226"</f>
        <v>650105198104022226</v>
      </c>
      <c r="D23319" t="s">
        <v>1</v>
      </c>
      <c r="E23319" t="s">
        <v>1</v>
      </c>
      <c r="F23319" t="s">
        <v>0</v>
      </c>
      <c r="G23319" t="str">
        <f>"2018-10-06 17:22:08"</f>
        <v>2018-10-06 17:22:08</v>
      </c>
    </row>
    <row r="23320" spans="1:7" x14ac:dyDescent="0.2">
      <c r="A23320" t="s">
        <v>1</v>
      </c>
      <c r="B23320" t="str">
        <f>"15706592016"</f>
        <v>15706592016</v>
      </c>
      <c r="C23320" t="s">
        <v>1</v>
      </c>
      <c r="D23320" t="s">
        <v>1</v>
      </c>
      <c r="E23320" t="s">
        <v>1</v>
      </c>
      <c r="F23320" t="s">
        <v>0</v>
      </c>
      <c r="G23320" t="str">
        <f>"2018-10-06 17:21:16"</f>
        <v>2018-10-06 17:21:16</v>
      </c>
    </row>
    <row r="23321" spans="1:7" x14ac:dyDescent="0.2">
      <c r="A23321" t="s">
        <v>1</v>
      </c>
      <c r="B23321" t="str">
        <f>"13799613500"</f>
        <v>13799613500</v>
      </c>
      <c r="C23321" t="s">
        <v>1</v>
      </c>
      <c r="D23321" t="s">
        <v>1</v>
      </c>
      <c r="E23321" t="s">
        <v>1</v>
      </c>
      <c r="F23321" t="s">
        <v>0</v>
      </c>
      <c r="G23321" t="str">
        <f>"2018-10-06 17:21:11"</f>
        <v>2018-10-06 17:21:11</v>
      </c>
    </row>
    <row r="23322" spans="1:7" x14ac:dyDescent="0.2">
      <c r="A23322" t="s">
        <v>21705</v>
      </c>
      <c r="B23322" t="str">
        <f>"18737453264"</f>
        <v>18737453264</v>
      </c>
      <c r="C23322" t="str">
        <f>"411082199012131853"</f>
        <v>411082199012131853</v>
      </c>
      <c r="D23322" t="s">
        <v>1</v>
      </c>
      <c r="E23322" t="s">
        <v>1</v>
      </c>
      <c r="F23322" t="s">
        <v>0</v>
      </c>
      <c r="G23322" t="str">
        <f>"2018-10-06 17:40:23"</f>
        <v>2018-10-06 17:40:23</v>
      </c>
    </row>
    <row r="23323" spans="1:7" x14ac:dyDescent="0.2">
      <c r="A23323" t="s">
        <v>21706</v>
      </c>
      <c r="B23323" t="str">
        <f>"13770366167"</f>
        <v>13770366167</v>
      </c>
      <c r="C23323" t="str">
        <f>"320826199212281610"</f>
        <v>320826199212281610</v>
      </c>
      <c r="D23323" t="s">
        <v>1</v>
      </c>
      <c r="E23323" t="s">
        <v>1</v>
      </c>
      <c r="F23323" t="s">
        <v>0</v>
      </c>
      <c r="G23323" t="str">
        <f>"2018-10-06 17:30:33"</f>
        <v>2018-10-06 17:30:33</v>
      </c>
    </row>
    <row r="23324" spans="1:7" x14ac:dyDescent="0.2">
      <c r="A23324" t="s">
        <v>21707</v>
      </c>
      <c r="B23324" t="str">
        <f>"18867995532"</f>
        <v>18867995532</v>
      </c>
      <c r="C23324" t="str">
        <f>"532122199303281410"</f>
        <v>532122199303281410</v>
      </c>
      <c r="D23324" t="s">
        <v>1</v>
      </c>
      <c r="E23324" t="s">
        <v>1</v>
      </c>
      <c r="F23324" t="s">
        <v>0</v>
      </c>
      <c r="G23324" t="str">
        <f>"2018-10-06 17:23:58"</f>
        <v>2018-10-06 17:23:58</v>
      </c>
    </row>
    <row r="23325" spans="1:7" x14ac:dyDescent="0.2">
      <c r="A23325" t="s">
        <v>21708</v>
      </c>
      <c r="B23325" t="str">
        <f>"18085455441"</f>
        <v>18085455441</v>
      </c>
      <c r="C23325" t="str">
        <f>"522425199610043918"</f>
        <v>522425199610043918</v>
      </c>
      <c r="D23325" t="s">
        <v>1</v>
      </c>
      <c r="E23325" t="s">
        <v>1</v>
      </c>
      <c r="F23325" t="s">
        <v>0</v>
      </c>
      <c r="G23325" t="str">
        <f>"2018-10-06 17:50:54"</f>
        <v>2018-10-06 17:50:54</v>
      </c>
    </row>
    <row r="23326" spans="1:7" x14ac:dyDescent="0.2">
      <c r="A23326" t="s">
        <v>21709</v>
      </c>
      <c r="B23326" t="str">
        <f>"15265111669"</f>
        <v>15265111669</v>
      </c>
      <c r="C23326" t="str">
        <f>"371311198901063153"</f>
        <v>371311198901063153</v>
      </c>
      <c r="D23326" t="s">
        <v>1</v>
      </c>
      <c r="E23326" t="s">
        <v>1</v>
      </c>
      <c r="F23326" t="s">
        <v>0</v>
      </c>
      <c r="G23326" t="str">
        <f>"2018-10-06 17:20:25"</f>
        <v>2018-10-06 17:20:25</v>
      </c>
    </row>
    <row r="23327" spans="1:7" x14ac:dyDescent="0.2">
      <c r="A23327" t="s">
        <v>21710</v>
      </c>
      <c r="B23327" t="str">
        <f>"15877896275"</f>
        <v>15877896275</v>
      </c>
      <c r="C23327" t="str">
        <f>"530381198511250015"</f>
        <v>530381198511250015</v>
      </c>
      <c r="D23327" t="s">
        <v>1</v>
      </c>
      <c r="E23327" t="s">
        <v>1</v>
      </c>
      <c r="F23327" t="s">
        <v>0</v>
      </c>
      <c r="G23327" t="str">
        <f>"2018-10-06 17:31:45"</f>
        <v>2018-10-06 17:31:45</v>
      </c>
    </row>
    <row r="23328" spans="1:7" x14ac:dyDescent="0.2">
      <c r="A23328" t="s">
        <v>1</v>
      </c>
      <c r="B23328" t="str">
        <f>"15707111822"</f>
        <v>15707111822</v>
      </c>
      <c r="C23328" t="s">
        <v>1</v>
      </c>
      <c r="D23328" t="s">
        <v>1</v>
      </c>
      <c r="E23328" t="s">
        <v>1</v>
      </c>
      <c r="F23328" t="s">
        <v>0</v>
      </c>
      <c r="G23328" t="str">
        <f>"2018-10-06 17:19:55"</f>
        <v>2018-10-06 17:19:55</v>
      </c>
    </row>
    <row r="23329" spans="1:7" x14ac:dyDescent="0.2">
      <c r="A23329" t="s">
        <v>21711</v>
      </c>
      <c r="B23329" t="str">
        <f>"15997529385"</f>
        <v>15997529385</v>
      </c>
      <c r="C23329" t="str">
        <f>"420527199610244376"</f>
        <v>420527199610244376</v>
      </c>
      <c r="D23329" t="s">
        <v>1</v>
      </c>
      <c r="E23329" t="s">
        <v>1</v>
      </c>
      <c r="F23329" t="s">
        <v>0</v>
      </c>
      <c r="G23329" t="str">
        <f>"2018-10-06 17:26:04"</f>
        <v>2018-10-06 17:26:04</v>
      </c>
    </row>
    <row r="23330" spans="1:7" x14ac:dyDescent="0.2">
      <c r="A23330" t="s">
        <v>21712</v>
      </c>
      <c r="B23330" t="str">
        <f>"15600914555"</f>
        <v>15600914555</v>
      </c>
      <c r="C23330" t="str">
        <f>"230221199109092241"</f>
        <v>230221199109092241</v>
      </c>
      <c r="D23330" t="s">
        <v>1</v>
      </c>
      <c r="E23330" t="s">
        <v>1</v>
      </c>
      <c r="F23330" t="s">
        <v>0</v>
      </c>
      <c r="G23330" t="str">
        <f>"2018-10-06 17:19:23"</f>
        <v>2018-10-06 17:19:23</v>
      </c>
    </row>
    <row r="23331" spans="1:7" x14ac:dyDescent="0.2">
      <c r="A23331" t="s">
        <v>1</v>
      </c>
      <c r="B23331" t="str">
        <f>"13002383666"</f>
        <v>13002383666</v>
      </c>
      <c r="C23331" t="s">
        <v>1</v>
      </c>
      <c r="D23331" t="s">
        <v>1</v>
      </c>
      <c r="E23331" t="s">
        <v>1</v>
      </c>
      <c r="F23331" t="s">
        <v>0</v>
      </c>
      <c r="G23331" t="str">
        <f>"2018-10-06 17:19:03"</f>
        <v>2018-10-06 17:19:03</v>
      </c>
    </row>
    <row r="23332" spans="1:7" x14ac:dyDescent="0.2">
      <c r="A23332" t="s">
        <v>1</v>
      </c>
      <c r="B23332" t="str">
        <f>"17369638156"</f>
        <v>17369638156</v>
      </c>
      <c r="C23332" t="s">
        <v>1</v>
      </c>
      <c r="D23332" t="s">
        <v>1</v>
      </c>
      <c r="E23332" t="s">
        <v>1</v>
      </c>
      <c r="F23332" t="s">
        <v>0</v>
      </c>
      <c r="G23332" t="str">
        <f>"2018-10-06 18:01:29"</f>
        <v>2018-10-06 18:01:29</v>
      </c>
    </row>
    <row r="23333" spans="1:7" x14ac:dyDescent="0.2">
      <c r="A23333" t="s">
        <v>21713</v>
      </c>
      <c r="B23333" t="str">
        <f>"13599469300"</f>
        <v>13599469300</v>
      </c>
      <c r="C23333" t="str">
        <f>"350322198506201012"</f>
        <v>350322198506201012</v>
      </c>
      <c r="D23333" t="s">
        <v>1</v>
      </c>
      <c r="E23333" t="s">
        <v>1</v>
      </c>
      <c r="F23333" t="s">
        <v>0</v>
      </c>
      <c r="G23333" t="str">
        <f>"2018-10-06 17:20:23"</f>
        <v>2018-10-06 17:20:23</v>
      </c>
    </row>
    <row r="23334" spans="1:7" x14ac:dyDescent="0.2">
      <c r="A23334" t="s">
        <v>1</v>
      </c>
      <c r="B23334" t="str">
        <f>"15707139410"</f>
        <v>15707139410</v>
      </c>
      <c r="C23334" t="s">
        <v>1</v>
      </c>
      <c r="D23334" t="s">
        <v>1</v>
      </c>
      <c r="E23334" t="s">
        <v>1</v>
      </c>
      <c r="F23334" t="s">
        <v>0</v>
      </c>
      <c r="G23334" t="str">
        <f>"2018-10-06 17:18:39"</f>
        <v>2018-10-06 17:18:39</v>
      </c>
    </row>
    <row r="23335" spans="1:7" x14ac:dyDescent="0.2">
      <c r="A23335" t="s">
        <v>21714</v>
      </c>
      <c r="B23335" t="str">
        <f>"17379969887"</f>
        <v>17379969887</v>
      </c>
      <c r="C23335" t="str">
        <f>"360301198912230011"</f>
        <v>360301198912230011</v>
      </c>
      <c r="D23335" t="s">
        <v>1</v>
      </c>
      <c r="E23335" t="s">
        <v>1</v>
      </c>
      <c r="F23335" t="s">
        <v>0</v>
      </c>
      <c r="G23335" t="str">
        <f>"2018-10-06 17:19:21"</f>
        <v>2018-10-06 17:19:21</v>
      </c>
    </row>
    <row r="23336" spans="1:7" x14ac:dyDescent="0.2">
      <c r="A23336" t="s">
        <v>1</v>
      </c>
      <c r="B23336" t="str">
        <f>"15957955561"</f>
        <v>15957955561</v>
      </c>
      <c r="C23336" t="s">
        <v>1</v>
      </c>
      <c r="D23336" t="s">
        <v>1</v>
      </c>
      <c r="E23336" t="s">
        <v>1</v>
      </c>
      <c r="F23336" t="s">
        <v>0</v>
      </c>
      <c r="G23336" t="str">
        <f>"2018-10-06 17:17:29"</f>
        <v>2018-10-06 17:17:29</v>
      </c>
    </row>
    <row r="23337" spans="1:7" x14ac:dyDescent="0.2">
      <c r="A23337" t="s">
        <v>1</v>
      </c>
      <c r="B23337" t="str">
        <f>"15706598028"</f>
        <v>15706598028</v>
      </c>
      <c r="C23337" t="s">
        <v>1</v>
      </c>
      <c r="D23337" t="s">
        <v>1</v>
      </c>
      <c r="E23337" t="s">
        <v>1</v>
      </c>
      <c r="F23337" t="s">
        <v>0</v>
      </c>
      <c r="G23337" t="str">
        <f>"2018-10-06 17:17:24"</f>
        <v>2018-10-06 17:17:24</v>
      </c>
    </row>
    <row r="23338" spans="1:7" x14ac:dyDescent="0.2">
      <c r="A23338" t="s">
        <v>1</v>
      </c>
      <c r="B23338" t="str">
        <f>"13281808185"</f>
        <v>13281808185</v>
      </c>
      <c r="C23338" t="s">
        <v>1</v>
      </c>
      <c r="D23338" t="s">
        <v>1</v>
      </c>
      <c r="E23338" t="s">
        <v>1</v>
      </c>
      <c r="F23338" t="s">
        <v>0</v>
      </c>
      <c r="G23338" t="str">
        <f>"2018-10-06 17:17:18"</f>
        <v>2018-10-06 17:17:18</v>
      </c>
    </row>
    <row r="23339" spans="1:7" x14ac:dyDescent="0.2">
      <c r="A23339" t="s">
        <v>21715</v>
      </c>
      <c r="B23339" t="str">
        <f>"15706670850"</f>
        <v>15706670850</v>
      </c>
      <c r="C23339" t="str">
        <f>"44092119880710162X"</f>
        <v>44092119880710162X</v>
      </c>
      <c r="D23339" t="s">
        <v>1</v>
      </c>
      <c r="E23339" t="s">
        <v>1</v>
      </c>
      <c r="F23339" t="s">
        <v>0</v>
      </c>
      <c r="G23339" t="str">
        <f>"2018-10-06 17:23:50"</f>
        <v>2018-10-06 17:23:50</v>
      </c>
    </row>
    <row r="23340" spans="1:7" x14ac:dyDescent="0.2">
      <c r="A23340" t="s">
        <v>21716</v>
      </c>
      <c r="B23340" t="str">
        <f>"13699918921"</f>
        <v>13699918921</v>
      </c>
      <c r="C23340" t="str">
        <f>"652122198411030013"</f>
        <v>652122198411030013</v>
      </c>
      <c r="D23340" t="s">
        <v>1</v>
      </c>
      <c r="E23340" t="s">
        <v>1</v>
      </c>
      <c r="F23340" t="s">
        <v>0</v>
      </c>
      <c r="G23340" t="str">
        <f>"2018-10-06 17:30:55"</f>
        <v>2018-10-06 17:30:55</v>
      </c>
    </row>
    <row r="23341" spans="1:7" x14ac:dyDescent="0.2">
      <c r="A23341" t="s">
        <v>1</v>
      </c>
      <c r="B23341" t="str">
        <f>"13471014790"</f>
        <v>13471014790</v>
      </c>
      <c r="C23341" t="s">
        <v>1</v>
      </c>
      <c r="D23341" t="s">
        <v>1</v>
      </c>
      <c r="E23341" t="s">
        <v>1</v>
      </c>
      <c r="F23341" t="s">
        <v>0</v>
      </c>
      <c r="G23341" t="str">
        <f>"2018-10-06 17:16:24"</f>
        <v>2018-10-06 17:16:24</v>
      </c>
    </row>
    <row r="23342" spans="1:7" x14ac:dyDescent="0.2">
      <c r="A23342" t="s">
        <v>21717</v>
      </c>
      <c r="B23342" t="str">
        <f>"15616359613"</f>
        <v>15616359613</v>
      </c>
      <c r="C23342" t="str">
        <f>"430223199104189159"</f>
        <v>430223199104189159</v>
      </c>
      <c r="D23342" t="s">
        <v>1</v>
      </c>
      <c r="E23342" t="s">
        <v>1</v>
      </c>
      <c r="F23342" t="s">
        <v>0</v>
      </c>
      <c r="G23342" t="str">
        <f>"2018-10-06 17:16:59"</f>
        <v>2018-10-06 17:16:59</v>
      </c>
    </row>
    <row r="23343" spans="1:7" x14ac:dyDescent="0.2">
      <c r="A23343" t="s">
        <v>21718</v>
      </c>
      <c r="B23343" t="str">
        <f>"13432742912"</f>
        <v>13432742912</v>
      </c>
      <c r="C23343" t="str">
        <f>"441521199009261315"</f>
        <v>441521199009261315</v>
      </c>
      <c r="D23343" t="s">
        <v>1</v>
      </c>
      <c r="E23343" t="s">
        <v>1</v>
      </c>
      <c r="F23343" t="s">
        <v>0</v>
      </c>
      <c r="G23343" t="str">
        <f>"2018-10-06 17:17:06"</f>
        <v>2018-10-06 17:17:06</v>
      </c>
    </row>
    <row r="23344" spans="1:7" x14ac:dyDescent="0.2">
      <c r="A23344" t="s">
        <v>1</v>
      </c>
      <c r="B23344" t="str">
        <f>"15707137020"</f>
        <v>15707137020</v>
      </c>
      <c r="C23344" t="s">
        <v>1</v>
      </c>
      <c r="D23344" t="s">
        <v>1</v>
      </c>
      <c r="E23344" t="s">
        <v>1</v>
      </c>
      <c r="F23344" t="s">
        <v>0</v>
      </c>
      <c r="G23344" t="str">
        <f>"2018-10-06 17:15:22"</f>
        <v>2018-10-06 17:15:22</v>
      </c>
    </row>
    <row r="23345" spans="1:7" x14ac:dyDescent="0.2">
      <c r="A23345" t="s">
        <v>21719</v>
      </c>
      <c r="B23345" t="str">
        <f>"15976991072"</f>
        <v>15976991072</v>
      </c>
      <c r="C23345" t="str">
        <f>"220112198709150486"</f>
        <v>220112198709150486</v>
      </c>
      <c r="D23345" t="s">
        <v>1</v>
      </c>
      <c r="E23345" t="s">
        <v>1</v>
      </c>
      <c r="F23345" t="s">
        <v>0</v>
      </c>
      <c r="G23345" t="str">
        <f>"2018-10-06 17:17:16"</f>
        <v>2018-10-06 17:17:16</v>
      </c>
    </row>
    <row r="23346" spans="1:7" x14ac:dyDescent="0.2">
      <c r="A23346" t="s">
        <v>1</v>
      </c>
      <c r="B23346" t="str">
        <f>"15941100281"</f>
        <v>15941100281</v>
      </c>
      <c r="C23346" t="s">
        <v>1</v>
      </c>
      <c r="D23346" t="s">
        <v>1</v>
      </c>
      <c r="E23346" t="s">
        <v>1</v>
      </c>
      <c r="F23346" t="s">
        <v>0</v>
      </c>
      <c r="G23346" t="str">
        <f>"2018-10-06 17:14:13"</f>
        <v>2018-10-06 17:14:13</v>
      </c>
    </row>
    <row r="23347" spans="1:7" x14ac:dyDescent="0.2">
      <c r="A23347" t="s">
        <v>21720</v>
      </c>
      <c r="B23347" t="str">
        <f>"15237667966"</f>
        <v>15237667966</v>
      </c>
      <c r="C23347" t="str">
        <f>"411521198808074698"</f>
        <v>411521198808074698</v>
      </c>
      <c r="D23347" t="s">
        <v>1</v>
      </c>
      <c r="E23347" t="s">
        <v>1</v>
      </c>
      <c r="F23347" t="s">
        <v>0</v>
      </c>
      <c r="G23347" t="str">
        <f>"2018-10-06 17:15:24"</f>
        <v>2018-10-06 17:15:24</v>
      </c>
    </row>
    <row r="23348" spans="1:7" x14ac:dyDescent="0.2">
      <c r="A23348" t="s">
        <v>1</v>
      </c>
      <c r="B23348" t="str">
        <f>"15706595029"</f>
        <v>15706595029</v>
      </c>
      <c r="C23348" t="s">
        <v>1</v>
      </c>
      <c r="D23348" t="s">
        <v>1</v>
      </c>
      <c r="E23348" t="s">
        <v>1</v>
      </c>
      <c r="F23348" t="s">
        <v>0</v>
      </c>
      <c r="G23348" t="str">
        <f>"2018-10-06 17:13:48"</f>
        <v>2018-10-06 17:13:48</v>
      </c>
    </row>
    <row r="23349" spans="1:7" x14ac:dyDescent="0.2">
      <c r="A23349" t="s">
        <v>21721</v>
      </c>
      <c r="B23349" t="str">
        <f>"18786126952"</f>
        <v>18786126952</v>
      </c>
      <c r="C23349" t="str">
        <f>"522424199607051216"</f>
        <v>522424199607051216</v>
      </c>
      <c r="D23349" t="s">
        <v>1</v>
      </c>
      <c r="E23349" t="s">
        <v>1</v>
      </c>
      <c r="F23349" t="s">
        <v>0</v>
      </c>
      <c r="G23349" t="str">
        <f>"2018-10-06 17:22:44"</f>
        <v>2018-10-06 17:22:44</v>
      </c>
    </row>
    <row r="23350" spans="1:7" x14ac:dyDescent="0.2">
      <c r="A23350" t="s">
        <v>21722</v>
      </c>
      <c r="B23350" t="str">
        <f>"13789248295"</f>
        <v>13789248295</v>
      </c>
      <c r="C23350" t="str">
        <f>"432503198511054014"</f>
        <v>432503198511054014</v>
      </c>
      <c r="D23350" t="s">
        <v>1</v>
      </c>
      <c r="E23350" t="s">
        <v>1</v>
      </c>
      <c r="F23350" t="s">
        <v>0</v>
      </c>
      <c r="G23350" t="str">
        <f>"2018-10-06 19:46:19"</f>
        <v>2018-10-06 19:46:19</v>
      </c>
    </row>
    <row r="23351" spans="1:7" x14ac:dyDescent="0.2">
      <c r="A23351" t="s">
        <v>21723</v>
      </c>
      <c r="B23351" t="str">
        <f>"13067162093"</f>
        <v>13067162093</v>
      </c>
      <c r="C23351" t="str">
        <f>"360730199103191110"</f>
        <v>360730199103191110</v>
      </c>
      <c r="D23351" t="s">
        <v>21724</v>
      </c>
      <c r="E23351" t="s">
        <v>21725</v>
      </c>
      <c r="F23351" t="s">
        <v>0</v>
      </c>
      <c r="G23351" t="str">
        <f>"2018-10-06 17:14:39"</f>
        <v>2018-10-06 17:14:39</v>
      </c>
    </row>
    <row r="23352" spans="1:7" x14ac:dyDescent="0.2">
      <c r="A23352" t="s">
        <v>1</v>
      </c>
      <c r="B23352" t="str">
        <f>"15706576825"</f>
        <v>15706576825</v>
      </c>
      <c r="C23352" t="s">
        <v>1</v>
      </c>
      <c r="D23352" t="s">
        <v>1</v>
      </c>
      <c r="E23352" t="s">
        <v>1</v>
      </c>
      <c r="F23352" t="s">
        <v>0</v>
      </c>
      <c r="G23352" t="str">
        <f>"2018-10-06 17:12:34"</f>
        <v>2018-10-06 17:12:34</v>
      </c>
    </row>
    <row r="23353" spans="1:7" x14ac:dyDescent="0.2">
      <c r="A23353" t="s">
        <v>21726</v>
      </c>
      <c r="B23353" t="str">
        <f>"18809782663"</f>
        <v>18809782663</v>
      </c>
      <c r="C23353" t="str">
        <f>"510623198902241027"</f>
        <v>510623198902241027</v>
      </c>
      <c r="D23353" t="s">
        <v>1</v>
      </c>
      <c r="E23353" t="s">
        <v>1</v>
      </c>
      <c r="F23353" t="s">
        <v>0</v>
      </c>
      <c r="G23353" t="str">
        <f>"2018-10-06 17:14:37"</f>
        <v>2018-10-06 17:14:37</v>
      </c>
    </row>
    <row r="23354" spans="1:7" x14ac:dyDescent="0.2">
      <c r="A23354" t="s">
        <v>1548</v>
      </c>
      <c r="B23354" t="str">
        <f>"18702556220"</f>
        <v>18702556220</v>
      </c>
      <c r="C23354" t="str">
        <f>"362525198306250921"</f>
        <v>362525198306250921</v>
      </c>
      <c r="D23354" t="s">
        <v>21727</v>
      </c>
      <c r="E23354" t="s">
        <v>21728</v>
      </c>
      <c r="F23354" t="s">
        <v>0</v>
      </c>
      <c r="G23354" t="str">
        <f>"2018-10-06 17:13:04"</f>
        <v>2018-10-06 17:13:04</v>
      </c>
    </row>
    <row r="23355" spans="1:7" x14ac:dyDescent="0.2">
      <c r="A23355" t="s">
        <v>1</v>
      </c>
      <c r="B23355" t="str">
        <f>"18377475320"</f>
        <v>18377475320</v>
      </c>
      <c r="C23355" t="s">
        <v>1</v>
      </c>
      <c r="D23355" t="s">
        <v>1</v>
      </c>
      <c r="E23355" t="s">
        <v>1</v>
      </c>
      <c r="F23355" t="s">
        <v>0</v>
      </c>
      <c r="G23355" t="str">
        <f>"2018-10-06 17:11:46"</f>
        <v>2018-10-06 17:11:46</v>
      </c>
    </row>
    <row r="23356" spans="1:7" x14ac:dyDescent="0.2">
      <c r="A23356" t="s">
        <v>355</v>
      </c>
      <c r="B23356" t="str">
        <f>"18435113822"</f>
        <v>18435113822</v>
      </c>
      <c r="C23356" t="str">
        <f>"142225199403014039"</f>
        <v>142225199403014039</v>
      </c>
      <c r="D23356" t="s">
        <v>1</v>
      </c>
      <c r="E23356" t="s">
        <v>1</v>
      </c>
      <c r="F23356" t="s">
        <v>0</v>
      </c>
      <c r="G23356" t="str">
        <f>"2018-10-06 17:12:49"</f>
        <v>2018-10-06 17:12:49</v>
      </c>
    </row>
    <row r="23357" spans="1:7" x14ac:dyDescent="0.2">
      <c r="A23357" t="s">
        <v>21729</v>
      </c>
      <c r="B23357" t="str">
        <f>"13424557843"</f>
        <v>13424557843</v>
      </c>
      <c r="C23357" t="str">
        <f>"45048119991229027X"</f>
        <v>45048119991229027X</v>
      </c>
      <c r="D23357" t="s">
        <v>1</v>
      </c>
      <c r="E23357" t="s">
        <v>1</v>
      </c>
      <c r="F23357" t="s">
        <v>0</v>
      </c>
      <c r="G23357" t="str">
        <f>"2018-10-06 17:35:13"</f>
        <v>2018-10-06 17:35:13</v>
      </c>
    </row>
    <row r="23358" spans="1:7" x14ac:dyDescent="0.2">
      <c r="A23358" t="s">
        <v>1</v>
      </c>
      <c r="B23358" t="str">
        <f>"15706593619"</f>
        <v>15706593619</v>
      </c>
      <c r="C23358" t="s">
        <v>1</v>
      </c>
      <c r="D23358" t="s">
        <v>1</v>
      </c>
      <c r="E23358" t="s">
        <v>1</v>
      </c>
      <c r="F23358" t="s">
        <v>0</v>
      </c>
      <c r="G23358" t="str">
        <f>"2018-10-06 17:11:21"</f>
        <v>2018-10-06 17:11:21</v>
      </c>
    </row>
    <row r="23359" spans="1:7" x14ac:dyDescent="0.2">
      <c r="A23359" t="s">
        <v>21730</v>
      </c>
      <c r="B23359" t="str">
        <f>"18379309221"</f>
        <v>18379309221</v>
      </c>
      <c r="C23359" t="str">
        <f>"362321198812213334"</f>
        <v>362321198812213334</v>
      </c>
      <c r="D23359" t="s">
        <v>1</v>
      </c>
      <c r="E23359" t="s">
        <v>1</v>
      </c>
      <c r="F23359" t="s">
        <v>0</v>
      </c>
      <c r="G23359" t="str">
        <f>"2018-10-06 17:11:42"</f>
        <v>2018-10-06 17:11:42</v>
      </c>
    </row>
    <row r="23360" spans="1:7" x14ac:dyDescent="0.2">
      <c r="A23360" t="s">
        <v>1</v>
      </c>
      <c r="B23360" t="str">
        <f>"15377536975"</f>
        <v>15377536975</v>
      </c>
      <c r="C23360" t="s">
        <v>1</v>
      </c>
      <c r="D23360" t="s">
        <v>1</v>
      </c>
      <c r="E23360" t="s">
        <v>1</v>
      </c>
      <c r="F23360" t="s">
        <v>0</v>
      </c>
      <c r="G23360" t="str">
        <f>"2018-10-06 17:10:12"</f>
        <v>2018-10-06 17:10:12</v>
      </c>
    </row>
    <row r="23361" spans="1:7" x14ac:dyDescent="0.2">
      <c r="A23361" t="s">
        <v>1</v>
      </c>
      <c r="B23361" t="str">
        <f>"18824985365"</f>
        <v>18824985365</v>
      </c>
      <c r="C23361" t="s">
        <v>1</v>
      </c>
      <c r="D23361" t="s">
        <v>1</v>
      </c>
      <c r="E23361" t="s">
        <v>1</v>
      </c>
      <c r="F23361" t="s">
        <v>0</v>
      </c>
      <c r="G23361" t="str">
        <f>"2018-10-06 17:09:51"</f>
        <v>2018-10-06 17:09:51</v>
      </c>
    </row>
    <row r="23362" spans="1:7" x14ac:dyDescent="0.2">
      <c r="A23362" t="s">
        <v>21731</v>
      </c>
      <c r="B23362" t="str">
        <f>"13887886969"</f>
        <v>13887886969</v>
      </c>
      <c r="C23362" t="str">
        <f>"532331198407063015"</f>
        <v>532331198407063015</v>
      </c>
      <c r="D23362" t="s">
        <v>1</v>
      </c>
      <c r="E23362" t="s">
        <v>1</v>
      </c>
      <c r="F23362" t="s">
        <v>0</v>
      </c>
      <c r="G23362" t="str">
        <f>"2018-10-06 17:10:51"</f>
        <v>2018-10-06 17:10:51</v>
      </c>
    </row>
    <row r="23363" spans="1:7" x14ac:dyDescent="0.2">
      <c r="A23363" t="s">
        <v>1</v>
      </c>
      <c r="B23363" t="str">
        <f>"15607739834"</f>
        <v>15607739834</v>
      </c>
      <c r="C23363" t="s">
        <v>1</v>
      </c>
      <c r="D23363" t="s">
        <v>1</v>
      </c>
      <c r="E23363" t="s">
        <v>1</v>
      </c>
      <c r="F23363" t="s">
        <v>0</v>
      </c>
      <c r="G23363" t="str">
        <f>"2018-10-06 17:09:37"</f>
        <v>2018-10-06 17:09:37</v>
      </c>
    </row>
    <row r="23364" spans="1:7" x14ac:dyDescent="0.2">
      <c r="A23364" t="s">
        <v>1</v>
      </c>
      <c r="B23364" t="str">
        <f>"13388275298"</f>
        <v>13388275298</v>
      </c>
      <c r="C23364" t="s">
        <v>1</v>
      </c>
      <c r="D23364" t="s">
        <v>1</v>
      </c>
      <c r="E23364" t="s">
        <v>1</v>
      </c>
      <c r="F23364" t="s">
        <v>0</v>
      </c>
      <c r="G23364" t="str">
        <f>"2018-10-06 17:09:24"</f>
        <v>2018-10-06 17:09:24</v>
      </c>
    </row>
    <row r="23365" spans="1:7" x14ac:dyDescent="0.2">
      <c r="A23365" t="s">
        <v>1</v>
      </c>
      <c r="B23365" t="str">
        <f>"15399822233"</f>
        <v>15399822233</v>
      </c>
      <c r="C23365" t="s">
        <v>1</v>
      </c>
      <c r="D23365" t="s">
        <v>1</v>
      </c>
      <c r="E23365" t="s">
        <v>1</v>
      </c>
      <c r="F23365" t="s">
        <v>0</v>
      </c>
      <c r="G23365" t="str">
        <f>"2018-10-06 17:09:15"</f>
        <v>2018-10-06 17:09:15</v>
      </c>
    </row>
    <row r="23366" spans="1:7" x14ac:dyDescent="0.2">
      <c r="A23366" t="s">
        <v>1</v>
      </c>
      <c r="B23366" t="str">
        <f>"15879063575"</f>
        <v>15879063575</v>
      </c>
      <c r="C23366" t="s">
        <v>1</v>
      </c>
      <c r="D23366" t="s">
        <v>1</v>
      </c>
      <c r="E23366" t="s">
        <v>1</v>
      </c>
      <c r="F23366" t="s">
        <v>0</v>
      </c>
      <c r="G23366" t="str">
        <f>"2018-10-06 17:08:59"</f>
        <v>2018-10-06 17:08:59</v>
      </c>
    </row>
    <row r="23367" spans="1:7" x14ac:dyDescent="0.2">
      <c r="A23367" t="s">
        <v>21732</v>
      </c>
      <c r="B23367" t="str">
        <f>"18847765403"</f>
        <v>18847765403</v>
      </c>
      <c r="C23367" t="str">
        <f>"152723199611280979"</f>
        <v>152723199611280979</v>
      </c>
      <c r="D23367" t="s">
        <v>1</v>
      </c>
      <c r="E23367" t="s">
        <v>1</v>
      </c>
      <c r="F23367" t="s">
        <v>0</v>
      </c>
      <c r="G23367" t="str">
        <f>"2018-10-06 17:09:20"</f>
        <v>2018-10-06 17:09:20</v>
      </c>
    </row>
    <row r="23368" spans="1:7" x14ac:dyDescent="0.2">
      <c r="A23368" t="s">
        <v>1</v>
      </c>
      <c r="B23368" t="str">
        <f>"15706597612"</f>
        <v>15706597612</v>
      </c>
      <c r="C23368" t="s">
        <v>1</v>
      </c>
      <c r="D23368" t="s">
        <v>1</v>
      </c>
      <c r="E23368" t="s">
        <v>1</v>
      </c>
      <c r="F23368" t="s">
        <v>0</v>
      </c>
      <c r="G23368" t="str">
        <f>"2018-10-06 17:08:32"</f>
        <v>2018-10-06 17:08:32</v>
      </c>
    </row>
    <row r="23369" spans="1:7" x14ac:dyDescent="0.2">
      <c r="A23369" t="s">
        <v>21733</v>
      </c>
      <c r="B23369" t="str">
        <f>"13530568007"</f>
        <v>13530568007</v>
      </c>
      <c r="C23369" t="str">
        <f>"445224199601272431"</f>
        <v>445224199601272431</v>
      </c>
      <c r="D23369" t="s">
        <v>1</v>
      </c>
      <c r="E23369" t="s">
        <v>1</v>
      </c>
      <c r="F23369" t="s">
        <v>0</v>
      </c>
      <c r="G23369" t="str">
        <f>"2018-10-06 17:10:09"</f>
        <v>2018-10-06 17:10:09</v>
      </c>
    </row>
    <row r="23370" spans="1:7" x14ac:dyDescent="0.2">
      <c r="A23370" t="s">
        <v>21734</v>
      </c>
      <c r="B23370" t="str">
        <f>"18359830536"</f>
        <v>18359830536</v>
      </c>
      <c r="C23370" t="str">
        <f>"360733199810161227"</f>
        <v>360733199810161227</v>
      </c>
      <c r="D23370" t="s">
        <v>1</v>
      </c>
      <c r="E23370" t="s">
        <v>1</v>
      </c>
      <c r="F23370" t="s">
        <v>0</v>
      </c>
      <c r="G23370" t="str">
        <f>"2018-10-06 17:08:08"</f>
        <v>2018-10-06 17:08:08</v>
      </c>
    </row>
    <row r="23371" spans="1:7" x14ac:dyDescent="0.2">
      <c r="A23371" t="s">
        <v>21735</v>
      </c>
      <c r="B23371" t="str">
        <f>"18878217588"</f>
        <v>18878217588</v>
      </c>
      <c r="C23371" t="str">
        <f>"452226198101186315"</f>
        <v>452226198101186315</v>
      </c>
      <c r="D23371" t="s">
        <v>1</v>
      </c>
      <c r="E23371" t="s">
        <v>1</v>
      </c>
      <c r="F23371" t="s">
        <v>0</v>
      </c>
      <c r="G23371" t="str">
        <f>"2018-10-06 17:09:45"</f>
        <v>2018-10-06 17:09:45</v>
      </c>
    </row>
    <row r="23372" spans="1:7" x14ac:dyDescent="0.2">
      <c r="A23372" t="s">
        <v>1</v>
      </c>
      <c r="B23372" t="str">
        <f>"15707166425"</f>
        <v>15707166425</v>
      </c>
      <c r="C23372" t="s">
        <v>1</v>
      </c>
      <c r="D23372" t="s">
        <v>1</v>
      </c>
      <c r="E23372" t="s">
        <v>1</v>
      </c>
      <c r="F23372" t="s">
        <v>0</v>
      </c>
      <c r="G23372" t="str">
        <f>"2018-10-06 17:07:24"</f>
        <v>2018-10-06 17:07:24</v>
      </c>
    </row>
    <row r="23373" spans="1:7" x14ac:dyDescent="0.2">
      <c r="A23373" t="s">
        <v>1</v>
      </c>
      <c r="B23373" t="str">
        <f>"18579449113"</f>
        <v>18579449113</v>
      </c>
      <c r="C23373" t="s">
        <v>1</v>
      </c>
      <c r="D23373" t="s">
        <v>1</v>
      </c>
      <c r="E23373" t="s">
        <v>1</v>
      </c>
      <c r="F23373" t="s">
        <v>0</v>
      </c>
      <c r="G23373" t="str">
        <f>"2018-10-06 17:09:02"</f>
        <v>2018-10-06 17:09:02</v>
      </c>
    </row>
    <row r="23374" spans="1:7" x14ac:dyDescent="0.2">
      <c r="A23374" t="s">
        <v>1</v>
      </c>
      <c r="B23374" t="str">
        <f>"15845975722"</f>
        <v>15845975722</v>
      </c>
      <c r="C23374" t="s">
        <v>1</v>
      </c>
      <c r="D23374" t="s">
        <v>1</v>
      </c>
      <c r="E23374" t="s">
        <v>1</v>
      </c>
      <c r="F23374" t="s">
        <v>0</v>
      </c>
      <c r="G23374" t="str">
        <f>"2018-10-06 17:06:24"</f>
        <v>2018-10-06 17:06:24</v>
      </c>
    </row>
    <row r="23375" spans="1:7" x14ac:dyDescent="0.2">
      <c r="A23375" t="s">
        <v>21736</v>
      </c>
      <c r="B23375" t="str">
        <f>"18572655533"</f>
        <v>18572655533</v>
      </c>
      <c r="C23375" t="str">
        <f>"420821198709032318"</f>
        <v>420821198709032318</v>
      </c>
      <c r="D23375" t="s">
        <v>1</v>
      </c>
      <c r="E23375" t="s">
        <v>1</v>
      </c>
      <c r="F23375" t="s">
        <v>0</v>
      </c>
      <c r="G23375" t="str">
        <f>"2018-10-06 17:09:58"</f>
        <v>2018-10-06 17:09:58</v>
      </c>
    </row>
    <row r="23376" spans="1:7" x14ac:dyDescent="0.2">
      <c r="A23376" t="s">
        <v>21737</v>
      </c>
      <c r="B23376" t="str">
        <f>"15693867465"</f>
        <v>15693867465</v>
      </c>
      <c r="C23376" t="str">
        <f>"620524199203020816"</f>
        <v>620524199203020816</v>
      </c>
      <c r="D23376" t="s">
        <v>1</v>
      </c>
      <c r="E23376" t="s">
        <v>1</v>
      </c>
      <c r="F23376" t="s">
        <v>0</v>
      </c>
      <c r="G23376" t="str">
        <f>"2018-10-06 17:19:52"</f>
        <v>2018-10-06 17:19:52</v>
      </c>
    </row>
    <row r="23377" spans="1:7" x14ac:dyDescent="0.2">
      <c r="A23377" t="s">
        <v>21738</v>
      </c>
      <c r="B23377" t="str">
        <f>"15059393392"</f>
        <v>15059393392</v>
      </c>
      <c r="C23377" t="str">
        <f>"352203198006206324"</f>
        <v>352203198006206324</v>
      </c>
      <c r="D23377" t="s">
        <v>1</v>
      </c>
      <c r="E23377" t="s">
        <v>1</v>
      </c>
      <c r="F23377" t="s">
        <v>0</v>
      </c>
      <c r="G23377" t="str">
        <f>"2018-10-08 16:10:18"</f>
        <v>2018-10-08 16:10:18</v>
      </c>
    </row>
    <row r="23378" spans="1:7" x14ac:dyDescent="0.2">
      <c r="A23378" t="s">
        <v>1</v>
      </c>
      <c r="B23378" t="str">
        <f>"18207724071"</f>
        <v>18207724071</v>
      </c>
      <c r="C23378" t="s">
        <v>1</v>
      </c>
      <c r="D23378" t="s">
        <v>1</v>
      </c>
      <c r="E23378" t="s">
        <v>1</v>
      </c>
      <c r="F23378" t="s">
        <v>0</v>
      </c>
      <c r="G23378" t="str">
        <f>"2018-10-06 17:06:10"</f>
        <v>2018-10-06 17:06:10</v>
      </c>
    </row>
    <row r="23379" spans="1:7" x14ac:dyDescent="0.2">
      <c r="A23379" t="s">
        <v>21739</v>
      </c>
      <c r="B23379" t="str">
        <f>"13765679618"</f>
        <v>13765679618</v>
      </c>
      <c r="C23379" t="str">
        <f>"522222199208050060"</f>
        <v>522222199208050060</v>
      </c>
      <c r="D23379" t="s">
        <v>21740</v>
      </c>
      <c r="E23379" t="s">
        <v>21741</v>
      </c>
      <c r="F23379" t="s">
        <v>0</v>
      </c>
      <c r="G23379" t="str">
        <f>"2018-10-06 17:06:03"</f>
        <v>2018-10-06 17:06:03</v>
      </c>
    </row>
    <row r="23380" spans="1:7" x14ac:dyDescent="0.2">
      <c r="A23380" t="s">
        <v>21742</v>
      </c>
      <c r="B23380" t="str">
        <f>"13923814163"</f>
        <v>13923814163</v>
      </c>
      <c r="C23380" t="str">
        <f>"441624197907042611"</f>
        <v>441624197907042611</v>
      </c>
      <c r="D23380" t="s">
        <v>1</v>
      </c>
      <c r="E23380" t="s">
        <v>1</v>
      </c>
      <c r="F23380" t="s">
        <v>0</v>
      </c>
      <c r="G23380" t="str">
        <f>"2018-10-06 17:26:14"</f>
        <v>2018-10-06 17:26:14</v>
      </c>
    </row>
    <row r="23381" spans="1:7" x14ac:dyDescent="0.2">
      <c r="A23381" t="s">
        <v>21743</v>
      </c>
      <c r="B23381" t="str">
        <f>"18595132161"</f>
        <v>18595132161</v>
      </c>
      <c r="C23381" t="str">
        <f>"640324199107042436"</f>
        <v>640324199107042436</v>
      </c>
      <c r="D23381" t="s">
        <v>21744</v>
      </c>
      <c r="E23381" t="s">
        <v>21745</v>
      </c>
      <c r="F23381" t="s">
        <v>0</v>
      </c>
      <c r="G23381" t="str">
        <f>"2018-10-06 17:09:46"</f>
        <v>2018-10-06 17:09:46</v>
      </c>
    </row>
    <row r="23382" spans="1:7" x14ac:dyDescent="0.2">
      <c r="A23382" t="s">
        <v>21746</v>
      </c>
      <c r="B23382" t="str">
        <f>"15050221054"</f>
        <v>15050221054</v>
      </c>
      <c r="C23382" t="str">
        <f>"342201198805074415"</f>
        <v>342201198805074415</v>
      </c>
      <c r="D23382" t="s">
        <v>1</v>
      </c>
      <c r="E23382" t="s">
        <v>1</v>
      </c>
      <c r="F23382" t="s">
        <v>0</v>
      </c>
      <c r="G23382" t="str">
        <f>"2018-10-06 17:11:08"</f>
        <v>2018-10-06 17:11:08</v>
      </c>
    </row>
    <row r="23383" spans="1:7" x14ac:dyDescent="0.2">
      <c r="A23383" t="s">
        <v>1</v>
      </c>
      <c r="B23383" t="str">
        <f>"15706592316"</f>
        <v>15706592316</v>
      </c>
      <c r="C23383" t="s">
        <v>1</v>
      </c>
      <c r="D23383" t="s">
        <v>1</v>
      </c>
      <c r="E23383" t="s">
        <v>1</v>
      </c>
      <c r="F23383" t="s">
        <v>0</v>
      </c>
      <c r="G23383" t="str">
        <f>"2018-10-06 17:05:01"</f>
        <v>2018-10-06 17:05:01</v>
      </c>
    </row>
    <row r="23384" spans="1:7" x14ac:dyDescent="0.2">
      <c r="A23384" t="s">
        <v>21747</v>
      </c>
      <c r="B23384" t="str">
        <f>"15975993540"</f>
        <v>15975993540</v>
      </c>
      <c r="C23384" t="str">
        <f>"44088219901205127X"</f>
        <v>44088219901205127X</v>
      </c>
      <c r="D23384" t="s">
        <v>21748</v>
      </c>
      <c r="E23384" t="s">
        <v>21749</v>
      </c>
      <c r="F23384" t="s">
        <v>0</v>
      </c>
      <c r="G23384" t="str">
        <f>"2018-10-06 17:06:50"</f>
        <v>2018-10-06 17:06:50</v>
      </c>
    </row>
    <row r="23385" spans="1:7" x14ac:dyDescent="0.2">
      <c r="A23385" t="s">
        <v>21750</v>
      </c>
      <c r="B23385" t="str">
        <f>"18258138981"</f>
        <v>18258138981</v>
      </c>
      <c r="C23385" t="str">
        <f>"330122198702093536"</f>
        <v>330122198702093536</v>
      </c>
      <c r="D23385" t="s">
        <v>1</v>
      </c>
      <c r="E23385" t="s">
        <v>1</v>
      </c>
      <c r="F23385" t="s">
        <v>0</v>
      </c>
      <c r="G23385" t="str">
        <f>"2018-10-06 17:05:54"</f>
        <v>2018-10-06 17:05:54</v>
      </c>
    </row>
    <row r="23386" spans="1:7" x14ac:dyDescent="0.2">
      <c r="A23386" t="s">
        <v>21751</v>
      </c>
      <c r="B23386" t="str">
        <f>"18833042016"</f>
        <v>18833042016</v>
      </c>
      <c r="C23386" t="str">
        <f>"130435199503230054"</f>
        <v>130435199503230054</v>
      </c>
      <c r="D23386" t="s">
        <v>21752</v>
      </c>
      <c r="E23386" t="s">
        <v>21753</v>
      </c>
      <c r="F23386" t="s">
        <v>0</v>
      </c>
      <c r="G23386" t="str">
        <f>"2018-10-06 17:10:40"</f>
        <v>2018-10-06 17:10:40</v>
      </c>
    </row>
    <row r="23387" spans="1:7" x14ac:dyDescent="0.2">
      <c r="A23387" t="s">
        <v>21754</v>
      </c>
      <c r="B23387" t="str">
        <f>"18587733219"</f>
        <v>18587733219</v>
      </c>
      <c r="C23387" t="str">
        <f>"452122199308150014"</f>
        <v>452122199308150014</v>
      </c>
      <c r="D23387" t="s">
        <v>1</v>
      </c>
      <c r="E23387" t="s">
        <v>1</v>
      </c>
      <c r="F23387" t="s">
        <v>0</v>
      </c>
      <c r="G23387" t="str">
        <f>"2018-10-06 17:15:04"</f>
        <v>2018-10-06 17:15:04</v>
      </c>
    </row>
    <row r="23388" spans="1:7" x14ac:dyDescent="0.2">
      <c r="A23388" t="s">
        <v>1</v>
      </c>
      <c r="B23388" t="str">
        <f>"15707111318"</f>
        <v>15707111318</v>
      </c>
      <c r="C23388" t="s">
        <v>1</v>
      </c>
      <c r="D23388" t="s">
        <v>1</v>
      </c>
      <c r="E23388" t="s">
        <v>1</v>
      </c>
      <c r="F23388" t="s">
        <v>0</v>
      </c>
      <c r="G23388" t="str">
        <f>"2018-10-06 17:03:50"</f>
        <v>2018-10-06 17:03:50</v>
      </c>
    </row>
    <row r="23389" spans="1:7" x14ac:dyDescent="0.2">
      <c r="A23389" t="s">
        <v>1</v>
      </c>
      <c r="B23389" t="str">
        <f>"18714470132"</f>
        <v>18714470132</v>
      </c>
      <c r="C23389" t="s">
        <v>1</v>
      </c>
      <c r="D23389" t="s">
        <v>1</v>
      </c>
      <c r="E23389" t="s">
        <v>1</v>
      </c>
      <c r="F23389" t="s">
        <v>0</v>
      </c>
      <c r="G23389" t="str">
        <f>"2018-10-06 17:03:37"</f>
        <v>2018-10-06 17:03:37</v>
      </c>
    </row>
    <row r="23390" spans="1:7" x14ac:dyDescent="0.2">
      <c r="A23390" t="s">
        <v>21755</v>
      </c>
      <c r="B23390" t="str">
        <f>"18200517670"</f>
        <v>18200517670</v>
      </c>
      <c r="C23390" t="str">
        <f>"513126199202094010"</f>
        <v>513126199202094010</v>
      </c>
      <c r="D23390" t="s">
        <v>1</v>
      </c>
      <c r="E23390" t="s">
        <v>1</v>
      </c>
      <c r="F23390" t="s">
        <v>0</v>
      </c>
      <c r="G23390" t="str">
        <f>"2018-10-06 17:04:22"</f>
        <v>2018-10-06 17:04:22</v>
      </c>
    </row>
    <row r="23391" spans="1:7" x14ac:dyDescent="0.2">
      <c r="A23391" t="s">
        <v>21756</v>
      </c>
      <c r="B23391" t="str">
        <f>"15087737378"</f>
        <v>15087737378</v>
      </c>
      <c r="C23391" t="str">
        <f>"530628199711211335"</f>
        <v>530628199711211335</v>
      </c>
      <c r="D23391" t="s">
        <v>1</v>
      </c>
      <c r="E23391" t="s">
        <v>1</v>
      </c>
      <c r="F23391" t="s">
        <v>0</v>
      </c>
      <c r="G23391" t="str">
        <f>"2018-10-06 17:06:04"</f>
        <v>2018-10-06 17:06:04</v>
      </c>
    </row>
    <row r="23392" spans="1:7" x14ac:dyDescent="0.2">
      <c r="A23392" t="s">
        <v>969</v>
      </c>
      <c r="B23392" t="str">
        <f>"15026663846"</f>
        <v>15026663846</v>
      </c>
      <c r="C23392" t="str">
        <f>"410223199504287037"</f>
        <v>410223199504287037</v>
      </c>
      <c r="D23392" t="s">
        <v>1</v>
      </c>
      <c r="E23392" t="s">
        <v>1</v>
      </c>
      <c r="F23392" t="s">
        <v>0</v>
      </c>
      <c r="G23392" t="str">
        <f>"2018-10-06 17:05:31"</f>
        <v>2018-10-06 17:05:31</v>
      </c>
    </row>
    <row r="23393" spans="1:7" x14ac:dyDescent="0.2">
      <c r="A23393" t="s">
        <v>1</v>
      </c>
      <c r="B23393" t="str">
        <f>"15994376830"</f>
        <v>15994376830</v>
      </c>
      <c r="C23393" t="s">
        <v>1</v>
      </c>
      <c r="D23393" t="s">
        <v>1</v>
      </c>
      <c r="E23393" t="s">
        <v>1</v>
      </c>
      <c r="F23393" t="s">
        <v>0</v>
      </c>
      <c r="G23393" t="str">
        <f>"2018-10-06 17:02:38"</f>
        <v>2018-10-06 17:02:38</v>
      </c>
    </row>
    <row r="23394" spans="1:7" x14ac:dyDescent="0.2">
      <c r="A23394" t="s">
        <v>1</v>
      </c>
      <c r="B23394" t="str">
        <f>"13557316803"</f>
        <v>13557316803</v>
      </c>
      <c r="C23394" t="s">
        <v>1</v>
      </c>
      <c r="D23394" t="s">
        <v>1</v>
      </c>
      <c r="E23394" t="s">
        <v>1</v>
      </c>
      <c r="F23394" t="s">
        <v>0</v>
      </c>
      <c r="G23394" t="str">
        <f>"2018-10-06 17:01:21"</f>
        <v>2018-10-06 17:01:21</v>
      </c>
    </row>
    <row r="23395" spans="1:7" x14ac:dyDescent="0.2">
      <c r="A23395" t="s">
        <v>1</v>
      </c>
      <c r="B23395" t="str">
        <f>"18928718881"</f>
        <v>18928718881</v>
      </c>
      <c r="C23395" t="s">
        <v>1</v>
      </c>
      <c r="D23395" t="s">
        <v>1</v>
      </c>
      <c r="E23395" t="s">
        <v>1</v>
      </c>
      <c r="F23395" t="s">
        <v>0</v>
      </c>
      <c r="G23395" t="str">
        <f>"2018-10-06 17:03:11"</f>
        <v>2018-10-06 17:03:11</v>
      </c>
    </row>
    <row r="23396" spans="1:7" x14ac:dyDescent="0.2">
      <c r="A23396" t="s">
        <v>21757</v>
      </c>
      <c r="B23396" t="str">
        <f>"15155269689"</f>
        <v>15155269689</v>
      </c>
      <c r="C23396" t="str">
        <f>"340321198905131535"</f>
        <v>340321198905131535</v>
      </c>
      <c r="D23396" t="s">
        <v>1</v>
      </c>
      <c r="E23396" t="s">
        <v>1</v>
      </c>
      <c r="F23396" t="s">
        <v>0</v>
      </c>
      <c r="G23396" t="str">
        <f>"2018-10-06 17:09:19"</f>
        <v>2018-10-06 17:09:19</v>
      </c>
    </row>
    <row r="23397" spans="1:7" x14ac:dyDescent="0.2">
      <c r="A23397" t="s">
        <v>21758</v>
      </c>
      <c r="B23397" t="str">
        <f>"18707779738"</f>
        <v>18707779738</v>
      </c>
      <c r="C23397" t="str">
        <f>"452128198809152513"</f>
        <v>452128198809152513</v>
      </c>
      <c r="D23397" t="s">
        <v>1</v>
      </c>
      <c r="E23397" t="s">
        <v>1</v>
      </c>
      <c r="F23397" t="s">
        <v>0</v>
      </c>
      <c r="G23397" t="str">
        <f>"2018-10-08 15:44:51"</f>
        <v>2018-10-08 15:44:51</v>
      </c>
    </row>
    <row r="23398" spans="1:7" x14ac:dyDescent="0.2">
      <c r="A23398" t="s">
        <v>21759</v>
      </c>
      <c r="B23398" t="str">
        <f>"15632981271"</f>
        <v>15632981271</v>
      </c>
      <c r="C23398" t="str">
        <f>"132201197609213517"</f>
        <v>132201197609213517</v>
      </c>
      <c r="D23398" t="s">
        <v>1</v>
      </c>
      <c r="E23398" t="s">
        <v>1</v>
      </c>
      <c r="F23398" t="s">
        <v>0</v>
      </c>
      <c r="G23398" t="str">
        <f>"2018-10-14 14:10:59"</f>
        <v>2018-10-14 14:10:59</v>
      </c>
    </row>
    <row r="23399" spans="1:7" x14ac:dyDescent="0.2">
      <c r="A23399" t="s">
        <v>1</v>
      </c>
      <c r="B23399" t="str">
        <f>"15277292054"</f>
        <v>15277292054</v>
      </c>
      <c r="C23399" t="s">
        <v>1</v>
      </c>
      <c r="D23399" t="s">
        <v>1</v>
      </c>
      <c r="E23399" t="s">
        <v>1</v>
      </c>
      <c r="F23399" t="s">
        <v>0</v>
      </c>
      <c r="G23399" t="str">
        <f>"2018-10-06 17:00:25"</f>
        <v>2018-10-06 17:00:25</v>
      </c>
    </row>
    <row r="23400" spans="1:7" x14ac:dyDescent="0.2">
      <c r="A23400" t="s">
        <v>118</v>
      </c>
      <c r="B23400" t="str">
        <f>"18341319453"</f>
        <v>18341319453</v>
      </c>
      <c r="C23400" t="str">
        <f>"210782199402233417"</f>
        <v>210782199402233417</v>
      </c>
      <c r="D23400" t="s">
        <v>1</v>
      </c>
      <c r="E23400" t="s">
        <v>1</v>
      </c>
      <c r="F23400" t="s">
        <v>0</v>
      </c>
      <c r="G23400" t="str">
        <f>"2018-10-13 19:33:32"</f>
        <v>2018-10-13 19:33:32</v>
      </c>
    </row>
    <row r="23401" spans="1:7" x14ac:dyDescent="0.2">
      <c r="A23401" t="s">
        <v>1</v>
      </c>
      <c r="B23401" t="str">
        <f>"15707139424"</f>
        <v>15707139424</v>
      </c>
      <c r="C23401" t="s">
        <v>1</v>
      </c>
      <c r="D23401" t="s">
        <v>1</v>
      </c>
      <c r="E23401" t="s">
        <v>1</v>
      </c>
      <c r="F23401" t="s">
        <v>0</v>
      </c>
      <c r="G23401" t="str">
        <f>"2018-10-06 16:59:32"</f>
        <v>2018-10-06 16:59:32</v>
      </c>
    </row>
    <row r="23402" spans="1:7" x14ac:dyDescent="0.2">
      <c r="A23402" t="s">
        <v>52</v>
      </c>
      <c r="B23402" t="str">
        <f>"13572830766"</f>
        <v>13572830766</v>
      </c>
      <c r="C23402" t="str">
        <f>"610422198903231417"</f>
        <v>610422198903231417</v>
      </c>
      <c r="D23402" t="s">
        <v>21760</v>
      </c>
      <c r="E23402" t="s">
        <v>21760</v>
      </c>
      <c r="F23402" t="s">
        <v>0</v>
      </c>
      <c r="G23402" t="str">
        <f>"2018-10-06 17:01:33"</f>
        <v>2018-10-06 17:01:33</v>
      </c>
    </row>
    <row r="23403" spans="1:7" x14ac:dyDescent="0.2">
      <c r="A23403" t="s">
        <v>21761</v>
      </c>
      <c r="B23403" t="str">
        <f>"13048139621"</f>
        <v>13048139621</v>
      </c>
      <c r="C23403" t="str">
        <f>"440783199905051526"</f>
        <v>440783199905051526</v>
      </c>
      <c r="D23403" t="s">
        <v>1</v>
      </c>
      <c r="E23403" t="s">
        <v>1</v>
      </c>
      <c r="F23403" t="s">
        <v>0</v>
      </c>
      <c r="G23403" t="str">
        <f>"2018-10-06 17:01:51"</f>
        <v>2018-10-06 17:01:51</v>
      </c>
    </row>
    <row r="23404" spans="1:7" x14ac:dyDescent="0.2">
      <c r="A23404" t="s">
        <v>21762</v>
      </c>
      <c r="B23404" t="str">
        <f>"18361960036"</f>
        <v>18361960036</v>
      </c>
      <c r="C23404" t="str">
        <f>"511524198703130617"</f>
        <v>511524198703130617</v>
      </c>
      <c r="D23404" t="s">
        <v>1</v>
      </c>
      <c r="E23404" t="s">
        <v>1</v>
      </c>
      <c r="F23404" t="s">
        <v>0</v>
      </c>
      <c r="G23404" t="str">
        <f>"2018-10-08 12:04:06"</f>
        <v>2018-10-08 12:04:06</v>
      </c>
    </row>
    <row r="23405" spans="1:7" x14ac:dyDescent="0.2">
      <c r="A23405" t="s">
        <v>21763</v>
      </c>
      <c r="B23405" t="str">
        <f>"15861698813"</f>
        <v>15861698813</v>
      </c>
      <c r="C23405" t="str">
        <f>"320924199002222199"</f>
        <v>320924199002222199</v>
      </c>
      <c r="D23405" t="s">
        <v>21764</v>
      </c>
      <c r="E23405" t="s">
        <v>21765</v>
      </c>
      <c r="F23405" t="s">
        <v>0</v>
      </c>
      <c r="G23405" t="str">
        <f>"2018-10-06 17:20:44"</f>
        <v>2018-10-06 17:20:44</v>
      </c>
    </row>
    <row r="23406" spans="1:7" x14ac:dyDescent="0.2">
      <c r="A23406" t="s">
        <v>1</v>
      </c>
      <c r="B23406" t="str">
        <f>"15707166129"</f>
        <v>15707166129</v>
      </c>
      <c r="C23406" t="s">
        <v>1</v>
      </c>
      <c r="D23406" t="s">
        <v>1</v>
      </c>
      <c r="E23406" t="s">
        <v>1</v>
      </c>
      <c r="F23406" t="s">
        <v>0</v>
      </c>
      <c r="G23406" t="str">
        <f>"2018-10-06 16:58:30"</f>
        <v>2018-10-06 16:58:30</v>
      </c>
    </row>
    <row r="23407" spans="1:7" x14ac:dyDescent="0.2">
      <c r="A23407" t="s">
        <v>21766</v>
      </c>
      <c r="B23407" t="str">
        <f>"13523008223"</f>
        <v>13523008223</v>
      </c>
      <c r="C23407" t="str">
        <f>"410223199903209810"</f>
        <v>410223199903209810</v>
      </c>
      <c r="D23407" t="s">
        <v>21767</v>
      </c>
      <c r="E23407" t="s">
        <v>21768</v>
      </c>
      <c r="F23407" t="s">
        <v>0</v>
      </c>
      <c r="G23407" t="str">
        <f>"2018-10-06 17:15:49"</f>
        <v>2018-10-06 17:15:49</v>
      </c>
    </row>
    <row r="23408" spans="1:7" x14ac:dyDescent="0.2">
      <c r="A23408" t="s">
        <v>21769</v>
      </c>
      <c r="B23408" t="str">
        <f>"18945784151"</f>
        <v>18945784151</v>
      </c>
      <c r="C23408" t="str">
        <f>"230524199108112015"</f>
        <v>230524199108112015</v>
      </c>
      <c r="D23408" t="s">
        <v>1</v>
      </c>
      <c r="E23408" t="s">
        <v>1</v>
      </c>
      <c r="F23408" t="s">
        <v>0</v>
      </c>
      <c r="G23408" t="str">
        <f>"2018-10-06 17:05:46"</f>
        <v>2018-10-06 17:05:46</v>
      </c>
    </row>
    <row r="23409" spans="1:7" x14ac:dyDescent="0.2">
      <c r="A23409" t="s">
        <v>1</v>
      </c>
      <c r="B23409" t="str">
        <f>"13656148316"</f>
        <v>13656148316</v>
      </c>
      <c r="C23409" t="s">
        <v>1</v>
      </c>
      <c r="D23409" t="s">
        <v>1</v>
      </c>
      <c r="E23409" t="s">
        <v>1</v>
      </c>
      <c r="F23409" t="s">
        <v>0</v>
      </c>
      <c r="G23409" t="str">
        <f>"2018-10-06 16:57:41"</f>
        <v>2018-10-06 16:57:41</v>
      </c>
    </row>
    <row r="23410" spans="1:7" x14ac:dyDescent="0.2">
      <c r="A23410" t="s">
        <v>1</v>
      </c>
      <c r="B23410" t="str">
        <f>"15706598011"</f>
        <v>15706598011</v>
      </c>
      <c r="C23410" t="s">
        <v>1</v>
      </c>
      <c r="D23410" t="s">
        <v>1</v>
      </c>
      <c r="E23410" t="s">
        <v>1</v>
      </c>
      <c r="F23410" t="s">
        <v>0</v>
      </c>
      <c r="G23410" t="str">
        <f>"2018-10-06 16:57:34"</f>
        <v>2018-10-06 16:57:34</v>
      </c>
    </row>
    <row r="23411" spans="1:7" x14ac:dyDescent="0.2">
      <c r="A23411" t="s">
        <v>21770</v>
      </c>
      <c r="B23411" t="str">
        <f>"18350311600"</f>
        <v>18350311600</v>
      </c>
      <c r="C23411" t="str">
        <f>"352203198608063332"</f>
        <v>352203198608063332</v>
      </c>
      <c r="D23411" t="s">
        <v>1</v>
      </c>
      <c r="E23411" t="s">
        <v>1</v>
      </c>
      <c r="F23411" t="s">
        <v>0</v>
      </c>
      <c r="G23411" t="str">
        <f>"2018-10-06 17:04:51"</f>
        <v>2018-10-06 17:04:51</v>
      </c>
    </row>
    <row r="23412" spans="1:7" x14ac:dyDescent="0.2">
      <c r="A23412" t="s">
        <v>21771</v>
      </c>
      <c r="B23412" t="str">
        <f>"18306491247"</f>
        <v>18306491247</v>
      </c>
      <c r="C23412" t="str">
        <f>"620422198906034330"</f>
        <v>620422198906034330</v>
      </c>
      <c r="D23412" t="s">
        <v>21772</v>
      </c>
      <c r="E23412" t="s">
        <v>21773</v>
      </c>
      <c r="F23412" t="s">
        <v>0</v>
      </c>
      <c r="G23412" t="str">
        <f>"2018-10-06 17:34:25"</f>
        <v>2018-10-06 17:34:25</v>
      </c>
    </row>
    <row r="23413" spans="1:7" x14ac:dyDescent="0.2">
      <c r="A23413" t="s">
        <v>1</v>
      </c>
      <c r="B23413" t="str">
        <f>"15706566718"</f>
        <v>15706566718</v>
      </c>
      <c r="C23413" t="s">
        <v>1</v>
      </c>
      <c r="D23413" t="s">
        <v>1</v>
      </c>
      <c r="E23413" t="s">
        <v>1</v>
      </c>
      <c r="F23413" t="s">
        <v>0</v>
      </c>
      <c r="G23413" t="str">
        <f>"2018-10-06 16:56:35"</f>
        <v>2018-10-06 16:56:35</v>
      </c>
    </row>
    <row r="23414" spans="1:7" x14ac:dyDescent="0.2">
      <c r="A23414" t="s">
        <v>1</v>
      </c>
      <c r="B23414" t="str">
        <f>"15191075779"</f>
        <v>15191075779</v>
      </c>
      <c r="C23414" t="s">
        <v>1</v>
      </c>
      <c r="D23414" t="s">
        <v>1</v>
      </c>
      <c r="E23414" t="s">
        <v>1</v>
      </c>
      <c r="F23414" t="s">
        <v>0</v>
      </c>
      <c r="G23414" t="str">
        <f>"2018-10-06 16:56:13"</f>
        <v>2018-10-06 16:56:13</v>
      </c>
    </row>
    <row r="23415" spans="1:7" x14ac:dyDescent="0.2">
      <c r="A23415" t="s">
        <v>21774</v>
      </c>
      <c r="B23415" t="str">
        <f>"15821562990"</f>
        <v>15821562990</v>
      </c>
      <c r="C23415" t="str">
        <f>"513721199406207575"</f>
        <v>513721199406207575</v>
      </c>
      <c r="D23415" t="s">
        <v>21775</v>
      </c>
      <c r="E23415" t="s">
        <v>21776</v>
      </c>
      <c r="F23415" t="s">
        <v>0</v>
      </c>
      <c r="G23415" t="str">
        <f>"2018-10-21 07:27:15"</f>
        <v>2018-10-21 07:27:15</v>
      </c>
    </row>
    <row r="23416" spans="1:7" x14ac:dyDescent="0.2">
      <c r="A23416" t="s">
        <v>1</v>
      </c>
      <c r="B23416" t="str">
        <f>"15706593528"</f>
        <v>15706593528</v>
      </c>
      <c r="C23416" t="s">
        <v>1</v>
      </c>
      <c r="D23416" t="s">
        <v>1</v>
      </c>
      <c r="E23416" t="s">
        <v>1</v>
      </c>
      <c r="F23416" t="s">
        <v>0</v>
      </c>
      <c r="G23416" t="str">
        <f>"2018-10-06 16:55:36"</f>
        <v>2018-10-06 16:55:36</v>
      </c>
    </row>
    <row r="23417" spans="1:7" x14ac:dyDescent="0.2">
      <c r="A23417" t="s">
        <v>273</v>
      </c>
      <c r="B23417" t="str">
        <f>"18775710017"</f>
        <v>18775710017</v>
      </c>
      <c r="C23417" t="str">
        <f>"450722198903156521"</f>
        <v>450722198903156521</v>
      </c>
      <c r="D23417" t="s">
        <v>1</v>
      </c>
      <c r="E23417" t="s">
        <v>1</v>
      </c>
      <c r="F23417" t="s">
        <v>0</v>
      </c>
      <c r="G23417" t="str">
        <f>"2018-10-06 16:57:37"</f>
        <v>2018-10-06 16:57:37</v>
      </c>
    </row>
    <row r="23418" spans="1:7" x14ac:dyDescent="0.2">
      <c r="A23418" t="s">
        <v>21777</v>
      </c>
      <c r="B23418" t="str">
        <f>"17803782188"</f>
        <v>17803782188</v>
      </c>
      <c r="C23418" t="str">
        <f>"410221199107016556"</f>
        <v>410221199107016556</v>
      </c>
      <c r="D23418" t="s">
        <v>1</v>
      </c>
      <c r="E23418" t="s">
        <v>1</v>
      </c>
      <c r="F23418" t="s">
        <v>0</v>
      </c>
      <c r="G23418" t="str">
        <f>"2018-10-13 09:48:15"</f>
        <v>2018-10-13 09:48:15</v>
      </c>
    </row>
    <row r="23419" spans="1:7" x14ac:dyDescent="0.2">
      <c r="A23419" t="s">
        <v>21778</v>
      </c>
      <c r="B23419" t="str">
        <f>"18379779663"</f>
        <v>18379779663</v>
      </c>
      <c r="C23419" t="str">
        <f>"360732199009255619"</f>
        <v>360732199009255619</v>
      </c>
      <c r="D23419" t="s">
        <v>1</v>
      </c>
      <c r="E23419" t="s">
        <v>1</v>
      </c>
      <c r="F23419" t="s">
        <v>0</v>
      </c>
      <c r="G23419" t="str">
        <f>"2018-10-06 16:54:44"</f>
        <v>2018-10-06 16:54:44</v>
      </c>
    </row>
    <row r="23420" spans="1:7" x14ac:dyDescent="0.2">
      <c r="A23420" t="s">
        <v>1</v>
      </c>
      <c r="B23420" t="str">
        <f>"18776946743"</f>
        <v>18776946743</v>
      </c>
      <c r="C23420" t="s">
        <v>1</v>
      </c>
      <c r="D23420" t="s">
        <v>1</v>
      </c>
      <c r="E23420" t="s">
        <v>1</v>
      </c>
      <c r="F23420" t="s">
        <v>0</v>
      </c>
      <c r="G23420" t="str">
        <f>"2018-10-06 16:54:29"</f>
        <v>2018-10-06 16:54:29</v>
      </c>
    </row>
    <row r="23421" spans="1:7" x14ac:dyDescent="0.2">
      <c r="A23421" t="s">
        <v>96</v>
      </c>
      <c r="B23421" t="str">
        <f>"18872036228"</f>
        <v>18872036228</v>
      </c>
      <c r="C23421" t="str">
        <f>"420381197912090091"</f>
        <v>420381197912090091</v>
      </c>
      <c r="D23421" t="s">
        <v>1</v>
      </c>
      <c r="E23421" t="s">
        <v>1</v>
      </c>
      <c r="F23421" t="s">
        <v>0</v>
      </c>
      <c r="G23421" t="str">
        <f>"2018-11-02 13:23:56"</f>
        <v>2018-11-02 13:23:56</v>
      </c>
    </row>
    <row r="23422" spans="1:7" x14ac:dyDescent="0.2">
      <c r="A23422" t="s">
        <v>1</v>
      </c>
      <c r="B23422" t="str">
        <f>"13122598531"</f>
        <v>13122598531</v>
      </c>
      <c r="C23422" t="s">
        <v>1</v>
      </c>
      <c r="D23422" t="s">
        <v>1</v>
      </c>
      <c r="E23422" t="s">
        <v>1</v>
      </c>
      <c r="F23422" t="s">
        <v>0</v>
      </c>
      <c r="G23422" t="str">
        <f>"2018-10-06 16:54:09"</f>
        <v>2018-10-06 16:54:09</v>
      </c>
    </row>
    <row r="23423" spans="1:7" x14ac:dyDescent="0.2">
      <c r="A23423" t="s">
        <v>21779</v>
      </c>
      <c r="B23423" t="str">
        <f>"13615067288"</f>
        <v>13615067288</v>
      </c>
      <c r="C23423" t="str">
        <f>"350627198306202078"</f>
        <v>350627198306202078</v>
      </c>
      <c r="D23423" t="s">
        <v>1</v>
      </c>
      <c r="E23423" t="s">
        <v>1</v>
      </c>
      <c r="F23423" t="s">
        <v>0</v>
      </c>
      <c r="G23423" t="str">
        <f>"2018-10-06 17:07:59"</f>
        <v>2018-10-06 17:07:59</v>
      </c>
    </row>
    <row r="23424" spans="1:7" x14ac:dyDescent="0.2">
      <c r="A23424" t="s">
        <v>1</v>
      </c>
      <c r="B23424" t="str">
        <f>"15706593814"</f>
        <v>15706593814</v>
      </c>
      <c r="C23424" t="s">
        <v>1</v>
      </c>
      <c r="D23424" t="s">
        <v>1</v>
      </c>
      <c r="E23424" t="s">
        <v>1</v>
      </c>
      <c r="F23424" t="s">
        <v>0</v>
      </c>
      <c r="G23424" t="str">
        <f>"2018-10-06 16:53:31"</f>
        <v>2018-10-06 16:53:31</v>
      </c>
    </row>
    <row r="23425" spans="1:7" x14ac:dyDescent="0.2">
      <c r="A23425" t="s">
        <v>470</v>
      </c>
      <c r="B23425" t="str">
        <f>"13473233673"</f>
        <v>13473233673</v>
      </c>
      <c r="C23425" t="str">
        <f>"132440198107174634"</f>
        <v>132440198107174634</v>
      </c>
      <c r="D23425" t="s">
        <v>21780</v>
      </c>
      <c r="E23425" t="s">
        <v>21781</v>
      </c>
      <c r="F23425" t="s">
        <v>0</v>
      </c>
      <c r="G23425" t="str">
        <f>"2018-10-06 16:55:18"</f>
        <v>2018-10-06 16:55:18</v>
      </c>
    </row>
    <row r="23426" spans="1:7" x14ac:dyDescent="0.2">
      <c r="A23426" t="s">
        <v>1</v>
      </c>
      <c r="B23426" t="str">
        <f>"15844705233"</f>
        <v>15844705233</v>
      </c>
      <c r="C23426" t="s">
        <v>1</v>
      </c>
      <c r="D23426" t="s">
        <v>1</v>
      </c>
      <c r="E23426" t="s">
        <v>1</v>
      </c>
      <c r="F23426" t="s">
        <v>0</v>
      </c>
      <c r="G23426" t="str">
        <f>"2018-10-06 16:52:38"</f>
        <v>2018-10-06 16:52:38</v>
      </c>
    </row>
    <row r="23427" spans="1:7" x14ac:dyDescent="0.2">
      <c r="A23427" t="s">
        <v>21782</v>
      </c>
      <c r="B23427" t="str">
        <f>"15998547656"</f>
        <v>15998547656</v>
      </c>
      <c r="C23427" t="str">
        <f>"210282199101139112"</f>
        <v>210282199101139112</v>
      </c>
      <c r="D23427" t="s">
        <v>1</v>
      </c>
      <c r="E23427" t="s">
        <v>1</v>
      </c>
      <c r="F23427" t="s">
        <v>0</v>
      </c>
      <c r="G23427" t="str">
        <f>"2018-10-06 17:01:38"</f>
        <v>2018-10-06 17:01:38</v>
      </c>
    </row>
    <row r="23428" spans="1:7" x14ac:dyDescent="0.2">
      <c r="A23428" t="s">
        <v>1</v>
      </c>
      <c r="B23428" t="str">
        <f>"15706593723"</f>
        <v>15706593723</v>
      </c>
      <c r="C23428" t="s">
        <v>1</v>
      </c>
      <c r="D23428" t="s">
        <v>1</v>
      </c>
      <c r="E23428" t="s">
        <v>1</v>
      </c>
      <c r="F23428" t="s">
        <v>0</v>
      </c>
      <c r="G23428" t="str">
        <f>"2018-10-06 16:52:24"</f>
        <v>2018-10-06 16:52:24</v>
      </c>
    </row>
    <row r="23429" spans="1:7" x14ac:dyDescent="0.2">
      <c r="A23429" t="s">
        <v>21783</v>
      </c>
      <c r="B23429" t="str">
        <f>"18516131226"</f>
        <v>18516131226</v>
      </c>
      <c r="C23429" t="str">
        <f>"310221197611282818"</f>
        <v>310221197611282818</v>
      </c>
      <c r="D23429" t="s">
        <v>21784</v>
      </c>
      <c r="E23429" t="s">
        <v>21785</v>
      </c>
      <c r="F23429" t="s">
        <v>0</v>
      </c>
      <c r="G23429" t="str">
        <f>"2018-10-30 14:47:50"</f>
        <v>2018-10-30 14:47:50</v>
      </c>
    </row>
    <row r="23430" spans="1:7" x14ac:dyDescent="0.2">
      <c r="A23430" t="s">
        <v>1</v>
      </c>
      <c r="B23430" t="str">
        <f>"15906511907"</f>
        <v>15906511907</v>
      </c>
      <c r="C23430" t="s">
        <v>1</v>
      </c>
      <c r="D23430" t="s">
        <v>1</v>
      </c>
      <c r="E23430" t="s">
        <v>1</v>
      </c>
      <c r="F23430" t="s">
        <v>0</v>
      </c>
      <c r="G23430" t="str">
        <f>"2018-10-06 16:52:56"</f>
        <v>2018-10-06 16:52:56</v>
      </c>
    </row>
    <row r="23431" spans="1:7" x14ac:dyDescent="0.2">
      <c r="A23431" t="s">
        <v>1</v>
      </c>
      <c r="B23431" t="str">
        <f>"15706577023"</f>
        <v>15706577023</v>
      </c>
      <c r="C23431" t="s">
        <v>1</v>
      </c>
      <c r="D23431" t="s">
        <v>1</v>
      </c>
      <c r="E23431" t="s">
        <v>1</v>
      </c>
      <c r="F23431" t="s">
        <v>0</v>
      </c>
      <c r="G23431" t="str">
        <f>"2018-10-06 16:51:32"</f>
        <v>2018-10-06 16:51:32</v>
      </c>
    </row>
    <row r="23432" spans="1:7" x14ac:dyDescent="0.2">
      <c r="A23432" t="s">
        <v>21786</v>
      </c>
      <c r="B23432" t="str">
        <f>"18254482456"</f>
        <v>18254482456</v>
      </c>
      <c r="C23432" t="str">
        <f>"370481198908045672"</f>
        <v>370481198908045672</v>
      </c>
      <c r="D23432" t="s">
        <v>1</v>
      </c>
      <c r="E23432" t="s">
        <v>1</v>
      </c>
      <c r="F23432" t="s">
        <v>0</v>
      </c>
      <c r="G23432" t="str">
        <f>"2018-10-06 16:51:19"</f>
        <v>2018-10-06 16:51:19</v>
      </c>
    </row>
    <row r="23433" spans="1:7" x14ac:dyDescent="0.2">
      <c r="A23433" t="s">
        <v>1564</v>
      </c>
      <c r="B23433" t="str">
        <f>"18684952369"</f>
        <v>18684952369</v>
      </c>
      <c r="C23433" t="str">
        <f>"430223199603125117"</f>
        <v>430223199603125117</v>
      </c>
      <c r="D23433" t="s">
        <v>1</v>
      </c>
      <c r="E23433" t="s">
        <v>1</v>
      </c>
      <c r="F23433" t="s">
        <v>0</v>
      </c>
      <c r="G23433" t="str">
        <f>"2018-10-06 16:53:05"</f>
        <v>2018-10-06 16:53:05</v>
      </c>
    </row>
    <row r="23434" spans="1:7" x14ac:dyDescent="0.2">
      <c r="A23434" t="s">
        <v>1</v>
      </c>
      <c r="B23434" t="str">
        <f>"15718253980"</f>
        <v>15718253980</v>
      </c>
      <c r="C23434" t="s">
        <v>1</v>
      </c>
      <c r="D23434" t="s">
        <v>1</v>
      </c>
      <c r="E23434" t="s">
        <v>1</v>
      </c>
      <c r="F23434" t="s">
        <v>0</v>
      </c>
      <c r="G23434" t="str">
        <f>"2018-10-06 16:52:27"</f>
        <v>2018-10-06 16:52:27</v>
      </c>
    </row>
    <row r="23435" spans="1:7" x14ac:dyDescent="0.2">
      <c r="A23435" t="s">
        <v>21787</v>
      </c>
      <c r="B23435" t="str">
        <f>"18070555779"</f>
        <v>18070555779</v>
      </c>
      <c r="C23435" t="str">
        <f>"362204199406168139"</f>
        <v>362204199406168139</v>
      </c>
      <c r="D23435" t="s">
        <v>1</v>
      </c>
      <c r="E23435" t="s">
        <v>1</v>
      </c>
      <c r="F23435" t="s">
        <v>0</v>
      </c>
      <c r="G23435" t="str">
        <f>"2018-10-28 21:14:32"</f>
        <v>2018-10-28 21:14:32</v>
      </c>
    </row>
    <row r="23436" spans="1:7" x14ac:dyDescent="0.2">
      <c r="A23436" t="s">
        <v>1</v>
      </c>
      <c r="B23436" t="str">
        <f>"13284706470"</f>
        <v>13284706470</v>
      </c>
      <c r="C23436" t="s">
        <v>1</v>
      </c>
      <c r="D23436" t="s">
        <v>1</v>
      </c>
      <c r="E23436" t="s">
        <v>1</v>
      </c>
      <c r="F23436" t="s">
        <v>0</v>
      </c>
      <c r="G23436" t="str">
        <f>"2018-10-06 16:51:12"</f>
        <v>2018-10-06 16:51:12</v>
      </c>
    </row>
    <row r="23437" spans="1:7" x14ac:dyDescent="0.2">
      <c r="A23437" t="s">
        <v>1</v>
      </c>
      <c r="B23437" t="str">
        <f>"18669070391"</f>
        <v>18669070391</v>
      </c>
      <c r="C23437" t="s">
        <v>1</v>
      </c>
      <c r="D23437" t="s">
        <v>1</v>
      </c>
      <c r="E23437" t="s">
        <v>1</v>
      </c>
      <c r="F23437" t="s">
        <v>0</v>
      </c>
      <c r="G23437" t="str">
        <f>"2018-10-06 16:51:11"</f>
        <v>2018-10-06 16:51:11</v>
      </c>
    </row>
    <row r="23438" spans="1:7" x14ac:dyDescent="0.2">
      <c r="A23438" t="s">
        <v>21788</v>
      </c>
      <c r="B23438" t="str">
        <f>"13265870952"</f>
        <v>13265870952</v>
      </c>
      <c r="C23438" t="str">
        <f>"450521199112245533"</f>
        <v>450521199112245533</v>
      </c>
      <c r="D23438" t="s">
        <v>1</v>
      </c>
      <c r="E23438" t="s">
        <v>1</v>
      </c>
      <c r="F23438" t="s">
        <v>0</v>
      </c>
      <c r="G23438" t="str">
        <f>"2018-10-06 16:52:34"</f>
        <v>2018-10-06 16:52:34</v>
      </c>
    </row>
    <row r="23439" spans="1:7" x14ac:dyDescent="0.2">
      <c r="A23439" t="s">
        <v>1</v>
      </c>
      <c r="B23439" t="str">
        <f>"15706595226"</f>
        <v>15706595226</v>
      </c>
      <c r="C23439" t="s">
        <v>1</v>
      </c>
      <c r="D23439" t="s">
        <v>1</v>
      </c>
      <c r="E23439" t="s">
        <v>1</v>
      </c>
      <c r="F23439" t="s">
        <v>0</v>
      </c>
      <c r="G23439" t="str">
        <f>"2018-10-06 16:50:27"</f>
        <v>2018-10-06 16:50:27</v>
      </c>
    </row>
    <row r="23440" spans="1:7" x14ac:dyDescent="0.2">
      <c r="A23440" t="s">
        <v>21789</v>
      </c>
      <c r="B23440" t="str">
        <f>"15091897643"</f>
        <v>15091897643</v>
      </c>
      <c r="C23440" t="str">
        <f>"610528199005255714"</f>
        <v>610528199005255714</v>
      </c>
      <c r="D23440" t="s">
        <v>1</v>
      </c>
      <c r="E23440" t="s">
        <v>1</v>
      </c>
      <c r="F23440" t="s">
        <v>0</v>
      </c>
      <c r="G23440" t="str">
        <f>"2018-10-06 16:50:02"</f>
        <v>2018-10-06 16:50:02</v>
      </c>
    </row>
    <row r="23441" spans="1:7" x14ac:dyDescent="0.2">
      <c r="A23441" t="s">
        <v>21790</v>
      </c>
      <c r="B23441" t="str">
        <f>"18660770022"</f>
        <v>18660770022</v>
      </c>
      <c r="C23441" t="str">
        <f>"370102198707092526"</f>
        <v>370102198707092526</v>
      </c>
      <c r="D23441" t="s">
        <v>1</v>
      </c>
      <c r="E23441" t="s">
        <v>1</v>
      </c>
      <c r="F23441" t="s">
        <v>0</v>
      </c>
      <c r="G23441" t="str">
        <f>"2018-10-06 20:29:26"</f>
        <v>2018-10-06 20:29:26</v>
      </c>
    </row>
    <row r="23442" spans="1:7" x14ac:dyDescent="0.2">
      <c r="A23442" t="s">
        <v>21791</v>
      </c>
      <c r="B23442" t="str">
        <f>"18458302895"</f>
        <v>18458302895</v>
      </c>
      <c r="C23442" t="str">
        <f>"330821199010031111"</f>
        <v>330821199010031111</v>
      </c>
      <c r="D23442" t="s">
        <v>21792</v>
      </c>
      <c r="E23442" t="s">
        <v>21793</v>
      </c>
      <c r="F23442" t="s">
        <v>0</v>
      </c>
      <c r="G23442" t="str">
        <f>"2018-10-06 18:41:33"</f>
        <v>2018-10-06 18:41:33</v>
      </c>
    </row>
    <row r="23443" spans="1:7" x14ac:dyDescent="0.2">
      <c r="A23443" t="s">
        <v>21794</v>
      </c>
      <c r="B23443" t="str">
        <f>"15340865518"</f>
        <v>15340865518</v>
      </c>
      <c r="C23443" t="str">
        <f>"140502198308272238"</f>
        <v>140502198308272238</v>
      </c>
      <c r="D23443" t="s">
        <v>21795</v>
      </c>
      <c r="E23443" t="s">
        <v>21796</v>
      </c>
      <c r="F23443" t="s">
        <v>0</v>
      </c>
      <c r="G23443" t="str">
        <f>"2018-10-06 16:49:24"</f>
        <v>2018-10-06 16:49:24</v>
      </c>
    </row>
    <row r="23444" spans="1:7" x14ac:dyDescent="0.2">
      <c r="A23444" t="s">
        <v>1</v>
      </c>
      <c r="B23444" t="str">
        <f>"15706594423"</f>
        <v>15706594423</v>
      </c>
      <c r="C23444" t="s">
        <v>1</v>
      </c>
      <c r="D23444" t="s">
        <v>1</v>
      </c>
      <c r="E23444" t="s">
        <v>1</v>
      </c>
      <c r="F23444" t="s">
        <v>0</v>
      </c>
      <c r="G23444" t="str">
        <f>"2018-10-06 16:48:44"</f>
        <v>2018-10-06 16:48:44</v>
      </c>
    </row>
    <row r="23445" spans="1:7" x14ac:dyDescent="0.2">
      <c r="A23445" t="s">
        <v>21797</v>
      </c>
      <c r="B23445" t="str">
        <f>"18985643112"</f>
        <v>18985643112</v>
      </c>
      <c r="C23445" t="str">
        <f>"522121198705116036"</f>
        <v>522121198705116036</v>
      </c>
      <c r="D23445" t="s">
        <v>1</v>
      </c>
      <c r="E23445" t="s">
        <v>1</v>
      </c>
      <c r="F23445" t="s">
        <v>0</v>
      </c>
      <c r="G23445" t="str">
        <f>"2018-10-06 16:55:21"</f>
        <v>2018-10-06 16:55:21</v>
      </c>
    </row>
    <row r="23446" spans="1:7" x14ac:dyDescent="0.2">
      <c r="A23446" t="s">
        <v>21798</v>
      </c>
      <c r="B23446" t="str">
        <f>"17620504506"</f>
        <v>17620504506</v>
      </c>
      <c r="C23446" t="str">
        <f>"452702199411032670"</f>
        <v>452702199411032670</v>
      </c>
      <c r="D23446" t="s">
        <v>1</v>
      </c>
      <c r="E23446" t="s">
        <v>1</v>
      </c>
      <c r="F23446" t="s">
        <v>0</v>
      </c>
      <c r="G23446" t="str">
        <f>"2018-10-18 17:11:23"</f>
        <v>2018-10-18 17:11:23</v>
      </c>
    </row>
    <row r="23447" spans="1:7" x14ac:dyDescent="0.2">
      <c r="A23447" t="s">
        <v>1</v>
      </c>
      <c r="B23447" t="str">
        <f>"15353092187"</f>
        <v>15353092187</v>
      </c>
      <c r="C23447" t="s">
        <v>1</v>
      </c>
      <c r="D23447" t="s">
        <v>1</v>
      </c>
      <c r="E23447" t="s">
        <v>1</v>
      </c>
      <c r="F23447" t="s">
        <v>0</v>
      </c>
      <c r="G23447" t="str">
        <f>"2018-10-06 16:50:50"</f>
        <v>2018-10-06 16:50:50</v>
      </c>
    </row>
    <row r="23448" spans="1:7" x14ac:dyDescent="0.2">
      <c r="A23448" t="s">
        <v>21799</v>
      </c>
      <c r="B23448" t="str">
        <f>"13692975339"</f>
        <v>13692975339</v>
      </c>
      <c r="C23448" t="str">
        <f>"441522199408292115"</f>
        <v>441522199408292115</v>
      </c>
      <c r="D23448" t="s">
        <v>21800</v>
      </c>
      <c r="E23448" t="s">
        <v>21801</v>
      </c>
      <c r="F23448" t="s">
        <v>0</v>
      </c>
      <c r="G23448" t="str">
        <f>"2018-10-06 16:54:40"</f>
        <v>2018-10-06 16:54:40</v>
      </c>
    </row>
    <row r="23449" spans="1:7" x14ac:dyDescent="0.2">
      <c r="A23449" t="s">
        <v>21802</v>
      </c>
      <c r="B23449" t="str">
        <f>"17775306360"</f>
        <v>17775306360</v>
      </c>
      <c r="C23449" t="str">
        <f>"342401199701310466"</f>
        <v>342401199701310466</v>
      </c>
      <c r="D23449" t="s">
        <v>1</v>
      </c>
      <c r="E23449" t="s">
        <v>1</v>
      </c>
      <c r="F23449" t="s">
        <v>0</v>
      </c>
      <c r="G23449" t="str">
        <f>"2018-10-06 16:47:27"</f>
        <v>2018-10-06 16:47:27</v>
      </c>
    </row>
    <row r="23450" spans="1:7" x14ac:dyDescent="0.2">
      <c r="A23450" t="s">
        <v>1</v>
      </c>
      <c r="B23450" t="str">
        <f>"15767951970"</f>
        <v>15767951970</v>
      </c>
      <c r="C23450" t="s">
        <v>1</v>
      </c>
      <c r="D23450" t="s">
        <v>1</v>
      </c>
      <c r="E23450" t="s">
        <v>1</v>
      </c>
      <c r="F23450" t="s">
        <v>0</v>
      </c>
      <c r="G23450" t="str">
        <f>"2018-10-06 16:52:31"</f>
        <v>2018-10-06 16:52:31</v>
      </c>
    </row>
    <row r="23451" spans="1:7" x14ac:dyDescent="0.2">
      <c r="A23451" t="s">
        <v>1</v>
      </c>
      <c r="B23451" t="str">
        <f>"15706594525"</f>
        <v>15706594525</v>
      </c>
      <c r="C23451" t="s">
        <v>1</v>
      </c>
      <c r="D23451" t="s">
        <v>1</v>
      </c>
      <c r="E23451" t="s">
        <v>1</v>
      </c>
      <c r="F23451" t="s">
        <v>0</v>
      </c>
      <c r="G23451" t="str">
        <f>"2018-10-06 16:46:17"</f>
        <v>2018-10-06 16:46:17</v>
      </c>
    </row>
    <row r="23452" spans="1:7" x14ac:dyDescent="0.2">
      <c r="A23452" t="s">
        <v>21803</v>
      </c>
      <c r="B23452" t="str">
        <f>"13282719858"</f>
        <v>13282719858</v>
      </c>
      <c r="C23452" t="str">
        <f>"362201197905082016"</f>
        <v>362201197905082016</v>
      </c>
      <c r="D23452" t="s">
        <v>1</v>
      </c>
      <c r="E23452" t="s">
        <v>1</v>
      </c>
      <c r="F23452" t="s">
        <v>0</v>
      </c>
      <c r="G23452" t="str">
        <f>"2018-10-06 16:46:36"</f>
        <v>2018-10-06 16:46:36</v>
      </c>
    </row>
    <row r="23453" spans="1:7" x14ac:dyDescent="0.2">
      <c r="A23453" t="s">
        <v>21804</v>
      </c>
      <c r="B23453" t="str">
        <f>"18648839990"</f>
        <v>18648839990</v>
      </c>
      <c r="C23453" t="str">
        <f>"440582199303045834"</f>
        <v>440582199303045834</v>
      </c>
      <c r="D23453" t="s">
        <v>21805</v>
      </c>
      <c r="E23453" t="s">
        <v>21806</v>
      </c>
      <c r="F23453" t="s">
        <v>0</v>
      </c>
      <c r="G23453" t="str">
        <f>"2018-10-18 15:02:10"</f>
        <v>2018-10-18 15:02:10</v>
      </c>
    </row>
    <row r="23454" spans="1:7" x14ac:dyDescent="0.2">
      <c r="A23454" t="s">
        <v>1</v>
      </c>
      <c r="B23454" t="str">
        <f>"14797710775"</f>
        <v>14797710775</v>
      </c>
      <c r="C23454" t="s">
        <v>1</v>
      </c>
      <c r="D23454" t="s">
        <v>1</v>
      </c>
      <c r="E23454" t="s">
        <v>1</v>
      </c>
      <c r="F23454" t="s">
        <v>0</v>
      </c>
      <c r="G23454" t="str">
        <f>"2018-10-06 16:45:20"</f>
        <v>2018-10-06 16:45:20</v>
      </c>
    </row>
    <row r="23455" spans="1:7" x14ac:dyDescent="0.2">
      <c r="A23455" t="s">
        <v>1</v>
      </c>
      <c r="B23455" t="str">
        <f>"18676078794"</f>
        <v>18676078794</v>
      </c>
      <c r="C23455" t="s">
        <v>1</v>
      </c>
      <c r="D23455" t="s">
        <v>1</v>
      </c>
      <c r="E23455" t="s">
        <v>1</v>
      </c>
      <c r="F23455" t="s">
        <v>0</v>
      </c>
      <c r="G23455" t="str">
        <f>"2018-10-08 10:42:09"</f>
        <v>2018-10-08 10:42:09</v>
      </c>
    </row>
    <row r="23456" spans="1:7" x14ac:dyDescent="0.2">
      <c r="A23456" t="s">
        <v>21807</v>
      </c>
      <c r="B23456" t="str">
        <f>"13928415028"</f>
        <v>13928415028</v>
      </c>
      <c r="C23456" t="str">
        <f>"622301197504220536"</f>
        <v>622301197504220536</v>
      </c>
      <c r="D23456" t="s">
        <v>1</v>
      </c>
      <c r="E23456" t="s">
        <v>1</v>
      </c>
      <c r="F23456" t="s">
        <v>0</v>
      </c>
      <c r="G23456" t="str">
        <f>"2018-10-06 16:46:13"</f>
        <v>2018-10-06 16:46:13</v>
      </c>
    </row>
    <row r="23457" spans="1:7" x14ac:dyDescent="0.2">
      <c r="A23457" t="s">
        <v>1</v>
      </c>
      <c r="B23457" t="str">
        <f>"17875111570"</f>
        <v>17875111570</v>
      </c>
      <c r="C23457" t="s">
        <v>1</v>
      </c>
      <c r="D23457" t="s">
        <v>1</v>
      </c>
      <c r="E23457" t="s">
        <v>1</v>
      </c>
      <c r="F23457" t="s">
        <v>0</v>
      </c>
      <c r="G23457" t="str">
        <f>"2018-10-06 16:44:25"</f>
        <v>2018-10-06 16:44:25</v>
      </c>
    </row>
    <row r="23458" spans="1:7" x14ac:dyDescent="0.2">
      <c r="A23458" t="s">
        <v>1</v>
      </c>
      <c r="B23458" t="str">
        <f>"15706566413"</f>
        <v>15706566413</v>
      </c>
      <c r="C23458" t="s">
        <v>1</v>
      </c>
      <c r="D23458" t="s">
        <v>1</v>
      </c>
      <c r="E23458" t="s">
        <v>1</v>
      </c>
      <c r="F23458" t="s">
        <v>0</v>
      </c>
      <c r="G23458" t="str">
        <f>"2018-10-06 16:44:22"</f>
        <v>2018-10-06 16:44:22</v>
      </c>
    </row>
    <row r="23459" spans="1:7" x14ac:dyDescent="0.2">
      <c r="A23459" t="s">
        <v>21808</v>
      </c>
      <c r="B23459" t="str">
        <f>"15215607796"</f>
        <v>15215607796</v>
      </c>
      <c r="C23459" t="str">
        <f>"340821197912126139"</f>
        <v>340821197912126139</v>
      </c>
      <c r="D23459" t="s">
        <v>1</v>
      </c>
      <c r="E23459" t="s">
        <v>1</v>
      </c>
      <c r="F23459" t="s">
        <v>0</v>
      </c>
      <c r="G23459" t="str">
        <f>"2018-10-08 15:51:23"</f>
        <v>2018-10-08 15:51:23</v>
      </c>
    </row>
    <row r="23460" spans="1:7" x14ac:dyDescent="0.2">
      <c r="A23460" t="s">
        <v>21809</v>
      </c>
      <c r="B23460" t="str">
        <f>"18349107159"</f>
        <v>18349107159</v>
      </c>
      <c r="C23460" t="str">
        <f>"350781199408035643"</f>
        <v>350781199408035643</v>
      </c>
      <c r="D23460" t="s">
        <v>1</v>
      </c>
      <c r="E23460" t="s">
        <v>1</v>
      </c>
      <c r="F23460" t="s">
        <v>0</v>
      </c>
      <c r="G23460" t="str">
        <f>"2018-10-06 16:45:11"</f>
        <v>2018-10-06 16:45:11</v>
      </c>
    </row>
    <row r="23461" spans="1:7" x14ac:dyDescent="0.2">
      <c r="A23461" t="s">
        <v>21810</v>
      </c>
      <c r="B23461" t="str">
        <f>"15214315521"</f>
        <v>15214315521</v>
      </c>
      <c r="C23461" t="str">
        <f>"362425199712053615"</f>
        <v>362425199712053615</v>
      </c>
      <c r="D23461" t="s">
        <v>1</v>
      </c>
      <c r="E23461" t="s">
        <v>1</v>
      </c>
      <c r="F23461" t="s">
        <v>0</v>
      </c>
      <c r="G23461" t="str">
        <f>"2018-10-06 16:46:51"</f>
        <v>2018-10-06 16:46:51</v>
      </c>
    </row>
    <row r="23462" spans="1:7" x14ac:dyDescent="0.2">
      <c r="A23462" t="s">
        <v>1</v>
      </c>
      <c r="B23462" t="str">
        <f>"15078507284"</f>
        <v>15078507284</v>
      </c>
      <c r="C23462" t="s">
        <v>1</v>
      </c>
      <c r="D23462" t="s">
        <v>1</v>
      </c>
      <c r="E23462" t="s">
        <v>1</v>
      </c>
      <c r="F23462" t="s">
        <v>0</v>
      </c>
      <c r="G23462" t="str">
        <f>"2018-10-06 16:43:22"</f>
        <v>2018-10-06 16:43:22</v>
      </c>
    </row>
    <row r="23463" spans="1:7" x14ac:dyDescent="0.2">
      <c r="A23463" t="s">
        <v>1</v>
      </c>
      <c r="B23463" t="str">
        <f>"17788645217"</f>
        <v>17788645217</v>
      </c>
      <c r="C23463" t="s">
        <v>1</v>
      </c>
      <c r="D23463" t="s">
        <v>1</v>
      </c>
      <c r="E23463" t="s">
        <v>1</v>
      </c>
      <c r="F23463" t="s">
        <v>0</v>
      </c>
      <c r="G23463" t="str">
        <f>"2018-10-06 17:21:10"</f>
        <v>2018-10-06 17:21:10</v>
      </c>
    </row>
    <row r="23464" spans="1:7" x14ac:dyDescent="0.2">
      <c r="A23464" t="s">
        <v>1</v>
      </c>
      <c r="B23464" t="str">
        <f>"15082777337"</f>
        <v>15082777337</v>
      </c>
      <c r="C23464" t="s">
        <v>1</v>
      </c>
      <c r="D23464" t="s">
        <v>1</v>
      </c>
      <c r="E23464" t="s">
        <v>1</v>
      </c>
      <c r="F23464" t="s">
        <v>0</v>
      </c>
      <c r="G23464" t="str">
        <f>"2018-10-06 16:43:08"</f>
        <v>2018-10-06 16:43:08</v>
      </c>
    </row>
    <row r="23465" spans="1:7" x14ac:dyDescent="0.2">
      <c r="A23465" t="s">
        <v>1</v>
      </c>
      <c r="B23465" t="str">
        <f>"14797712144"</f>
        <v>14797712144</v>
      </c>
      <c r="C23465" t="s">
        <v>1</v>
      </c>
      <c r="D23465" t="s">
        <v>1</v>
      </c>
      <c r="E23465" t="s">
        <v>1</v>
      </c>
      <c r="F23465" t="s">
        <v>0</v>
      </c>
      <c r="G23465" t="str">
        <f>"2018-10-06 16:42:13"</f>
        <v>2018-10-06 16:42:13</v>
      </c>
    </row>
    <row r="23466" spans="1:7" x14ac:dyDescent="0.2">
      <c r="A23466" t="s">
        <v>21811</v>
      </c>
      <c r="B23466" t="str">
        <f>"15907490657"</f>
        <v>15907490657</v>
      </c>
      <c r="C23466" t="str">
        <f>"43110319931220064X"</f>
        <v>43110319931220064X</v>
      </c>
      <c r="D23466" t="s">
        <v>1</v>
      </c>
      <c r="E23466" t="s">
        <v>1</v>
      </c>
      <c r="F23466" t="s">
        <v>0</v>
      </c>
      <c r="G23466" t="str">
        <f>"2018-10-06 16:43:08"</f>
        <v>2018-10-06 16:43:08</v>
      </c>
    </row>
    <row r="23467" spans="1:7" x14ac:dyDescent="0.2">
      <c r="A23467" t="s">
        <v>1</v>
      </c>
      <c r="B23467" t="str">
        <f>"15853411813"</f>
        <v>15853411813</v>
      </c>
      <c r="C23467" t="s">
        <v>1</v>
      </c>
      <c r="D23467" t="s">
        <v>1</v>
      </c>
      <c r="E23467" t="s">
        <v>1</v>
      </c>
      <c r="F23467" t="s">
        <v>0</v>
      </c>
      <c r="G23467" t="str">
        <f>"2018-10-06 16:41:30"</f>
        <v>2018-10-06 16:41:30</v>
      </c>
    </row>
    <row r="23468" spans="1:7" x14ac:dyDescent="0.2">
      <c r="A23468" t="s">
        <v>21812</v>
      </c>
      <c r="B23468" t="str">
        <f>"15103457027"</f>
        <v>15103457027</v>
      </c>
      <c r="C23468" t="str">
        <f>"140421200104248037"</f>
        <v>140421200104248037</v>
      </c>
      <c r="D23468" t="s">
        <v>1</v>
      </c>
      <c r="E23468" t="s">
        <v>1</v>
      </c>
      <c r="F23468" t="s">
        <v>0</v>
      </c>
      <c r="G23468" t="str">
        <f>"2018-10-06 16:42:15"</f>
        <v>2018-10-06 16:42:15</v>
      </c>
    </row>
    <row r="23469" spans="1:7" x14ac:dyDescent="0.2">
      <c r="A23469" t="s">
        <v>1</v>
      </c>
      <c r="B23469" t="str">
        <f>"18776973563"</f>
        <v>18776973563</v>
      </c>
      <c r="C23469" t="s">
        <v>1</v>
      </c>
      <c r="D23469" t="s">
        <v>1</v>
      </c>
      <c r="E23469" t="s">
        <v>1</v>
      </c>
      <c r="F23469" t="s">
        <v>0</v>
      </c>
      <c r="G23469" t="str">
        <f>"2018-10-06 16:41:09"</f>
        <v>2018-10-06 16:41:09</v>
      </c>
    </row>
    <row r="23470" spans="1:7" x14ac:dyDescent="0.2">
      <c r="A23470" t="s">
        <v>21813</v>
      </c>
      <c r="B23470" t="str">
        <f>"15914401141"</f>
        <v>15914401141</v>
      </c>
      <c r="C23470" t="str">
        <f>"362132197803273830"</f>
        <v>362132197803273830</v>
      </c>
      <c r="D23470" t="s">
        <v>1</v>
      </c>
      <c r="E23470" t="s">
        <v>1</v>
      </c>
      <c r="F23470" t="s">
        <v>0</v>
      </c>
      <c r="G23470" t="str">
        <f>"2018-10-06 16:57:45"</f>
        <v>2018-10-06 16:57:45</v>
      </c>
    </row>
    <row r="23471" spans="1:7" x14ac:dyDescent="0.2">
      <c r="A23471" t="s">
        <v>21814</v>
      </c>
      <c r="B23471" t="str">
        <f>"13249724778"</f>
        <v>13249724778</v>
      </c>
      <c r="C23471" t="str">
        <f>"440921198211181614"</f>
        <v>440921198211181614</v>
      </c>
      <c r="D23471" t="s">
        <v>1</v>
      </c>
      <c r="E23471" t="s">
        <v>1</v>
      </c>
      <c r="F23471" t="s">
        <v>0</v>
      </c>
      <c r="G23471" t="str">
        <f>"2018-10-06 16:43:46"</f>
        <v>2018-10-06 16:43:46</v>
      </c>
    </row>
    <row r="23472" spans="1:7" x14ac:dyDescent="0.2">
      <c r="A23472" t="s">
        <v>1</v>
      </c>
      <c r="B23472" t="str">
        <f>"18062146689"</f>
        <v>18062146689</v>
      </c>
      <c r="C23472" t="s">
        <v>1</v>
      </c>
      <c r="D23472" t="s">
        <v>1</v>
      </c>
      <c r="E23472" t="s">
        <v>1</v>
      </c>
      <c r="F23472" t="s">
        <v>0</v>
      </c>
      <c r="G23472" t="str">
        <f>"2018-10-06 16:42:26"</f>
        <v>2018-10-06 16:42:26</v>
      </c>
    </row>
    <row r="23473" spans="1:7" x14ac:dyDescent="0.2">
      <c r="A23473" t="s">
        <v>21815</v>
      </c>
      <c r="B23473" t="str">
        <f>"15830236257"</f>
        <v>15830236257</v>
      </c>
      <c r="C23473" t="str">
        <f>"13063419850502131X"</f>
        <v>13063419850502131X</v>
      </c>
      <c r="D23473" t="s">
        <v>21816</v>
      </c>
      <c r="E23473" t="s">
        <v>21817</v>
      </c>
      <c r="F23473" t="s">
        <v>0</v>
      </c>
      <c r="G23473" t="str">
        <f>"2018-10-21 13:15:58"</f>
        <v>2018-10-21 13:15:58</v>
      </c>
    </row>
    <row r="23474" spans="1:7" x14ac:dyDescent="0.2">
      <c r="A23474" t="s">
        <v>1</v>
      </c>
      <c r="B23474" t="str">
        <f>"15224594834"</f>
        <v>15224594834</v>
      </c>
      <c r="C23474" t="s">
        <v>1</v>
      </c>
      <c r="D23474" t="s">
        <v>1</v>
      </c>
      <c r="E23474" t="s">
        <v>1</v>
      </c>
      <c r="F23474" t="s">
        <v>0</v>
      </c>
      <c r="G23474" t="str">
        <f>"2018-10-06 16:40:03"</f>
        <v>2018-10-06 16:40:03</v>
      </c>
    </row>
    <row r="23475" spans="1:7" x14ac:dyDescent="0.2">
      <c r="A23475" t="s">
        <v>1</v>
      </c>
      <c r="B23475" t="str">
        <f>"18111323329"</f>
        <v>18111323329</v>
      </c>
      <c r="C23475" t="s">
        <v>1</v>
      </c>
      <c r="D23475" t="s">
        <v>1</v>
      </c>
      <c r="E23475" t="s">
        <v>1</v>
      </c>
      <c r="F23475" t="s">
        <v>0</v>
      </c>
      <c r="G23475" t="str">
        <f>"2018-10-06 16:40:00"</f>
        <v>2018-10-06 16:40:00</v>
      </c>
    </row>
    <row r="23476" spans="1:7" x14ac:dyDescent="0.2">
      <c r="A23476" t="s">
        <v>1</v>
      </c>
      <c r="B23476" t="str">
        <f>"18791963024"</f>
        <v>18791963024</v>
      </c>
      <c r="C23476" t="s">
        <v>1</v>
      </c>
      <c r="D23476" t="s">
        <v>1</v>
      </c>
      <c r="E23476" t="s">
        <v>1</v>
      </c>
      <c r="F23476" t="s">
        <v>0</v>
      </c>
      <c r="G23476" t="str">
        <f>"2018-10-06 16:39:34"</f>
        <v>2018-10-06 16:39:34</v>
      </c>
    </row>
    <row r="23477" spans="1:7" x14ac:dyDescent="0.2">
      <c r="A23477" t="s">
        <v>1</v>
      </c>
      <c r="B23477" t="str">
        <f>"15707111013"</f>
        <v>15707111013</v>
      </c>
      <c r="C23477" t="s">
        <v>1</v>
      </c>
      <c r="D23477" t="s">
        <v>1</v>
      </c>
      <c r="E23477" t="s">
        <v>1</v>
      </c>
      <c r="F23477" t="s">
        <v>0</v>
      </c>
      <c r="G23477" t="str">
        <f>"2018-10-06 16:38:59"</f>
        <v>2018-10-06 16:38:59</v>
      </c>
    </row>
    <row r="23478" spans="1:7" x14ac:dyDescent="0.2">
      <c r="A23478" t="s">
        <v>863</v>
      </c>
      <c r="B23478" t="str">
        <f>"18066135949"</f>
        <v>18066135949</v>
      </c>
      <c r="C23478" t="str">
        <f>"32010619890701326X"</f>
        <v>32010619890701326X</v>
      </c>
      <c r="D23478" t="s">
        <v>1</v>
      </c>
      <c r="E23478" t="s">
        <v>1</v>
      </c>
      <c r="F23478" t="s">
        <v>0</v>
      </c>
      <c r="G23478" t="str">
        <f>"2018-10-17 09:25:56"</f>
        <v>2018-10-17 09:25:56</v>
      </c>
    </row>
    <row r="23479" spans="1:7" x14ac:dyDescent="0.2">
      <c r="A23479" t="s">
        <v>21818</v>
      </c>
      <c r="B23479" t="str">
        <f>"13633666585"</f>
        <v>13633666585</v>
      </c>
      <c r="C23479" t="str">
        <f>"230621199109100450"</f>
        <v>230621199109100450</v>
      </c>
      <c r="D23479" t="s">
        <v>21819</v>
      </c>
      <c r="E23479" t="s">
        <v>21820</v>
      </c>
      <c r="F23479" t="s">
        <v>0</v>
      </c>
      <c r="G23479" t="str">
        <f>"2018-10-06 16:38:46"</f>
        <v>2018-10-06 16:38:46</v>
      </c>
    </row>
    <row r="23480" spans="1:7" x14ac:dyDescent="0.2">
      <c r="A23480" t="s">
        <v>21821</v>
      </c>
      <c r="B23480" t="str">
        <f>"18610772073"</f>
        <v>18610772073</v>
      </c>
      <c r="C23480" t="str">
        <f>"130682199401180629"</f>
        <v>130682199401180629</v>
      </c>
      <c r="D23480" t="s">
        <v>1</v>
      </c>
      <c r="E23480" t="s">
        <v>1</v>
      </c>
      <c r="F23480" t="s">
        <v>0</v>
      </c>
      <c r="G23480" t="str">
        <f>"2018-10-06 16:38:44"</f>
        <v>2018-10-06 16:38:44</v>
      </c>
    </row>
    <row r="23481" spans="1:7" x14ac:dyDescent="0.2">
      <c r="A23481" t="s">
        <v>1</v>
      </c>
      <c r="B23481" t="str">
        <f>"13123413852"</f>
        <v>13123413852</v>
      </c>
      <c r="C23481" t="s">
        <v>1</v>
      </c>
      <c r="D23481" t="s">
        <v>1</v>
      </c>
      <c r="E23481" t="s">
        <v>1</v>
      </c>
      <c r="F23481" t="s">
        <v>0</v>
      </c>
      <c r="G23481" t="str">
        <f>"2018-10-06 16:38:13"</f>
        <v>2018-10-06 16:38:13</v>
      </c>
    </row>
    <row r="23482" spans="1:7" x14ac:dyDescent="0.2">
      <c r="A23482" t="s">
        <v>450</v>
      </c>
      <c r="B23482" t="str">
        <f>"15153242987"</f>
        <v>15153242987</v>
      </c>
      <c r="C23482" t="str">
        <f>"210422198907130627"</f>
        <v>210422198907130627</v>
      </c>
      <c r="D23482" t="s">
        <v>1</v>
      </c>
      <c r="E23482" t="s">
        <v>1</v>
      </c>
      <c r="F23482" t="s">
        <v>0</v>
      </c>
      <c r="G23482" t="str">
        <f>"2018-10-06 16:41:31"</f>
        <v>2018-10-06 16:41:31</v>
      </c>
    </row>
    <row r="23483" spans="1:7" x14ac:dyDescent="0.2">
      <c r="A23483" t="s">
        <v>1</v>
      </c>
      <c r="B23483" t="str">
        <f>"15706593621"</f>
        <v>15706593621</v>
      </c>
      <c r="C23483" t="s">
        <v>1</v>
      </c>
      <c r="D23483" t="s">
        <v>1</v>
      </c>
      <c r="E23483" t="s">
        <v>1</v>
      </c>
      <c r="F23483" t="s">
        <v>0</v>
      </c>
      <c r="G23483" t="str">
        <f>"2018-10-06 16:37:39"</f>
        <v>2018-10-06 16:37:39</v>
      </c>
    </row>
    <row r="23484" spans="1:7" x14ac:dyDescent="0.2">
      <c r="A23484" t="s">
        <v>21822</v>
      </c>
      <c r="B23484" t="str">
        <f>"18213046305"</f>
        <v>18213046305</v>
      </c>
      <c r="C23484" t="str">
        <f>"532329198804201512"</f>
        <v>532329198804201512</v>
      </c>
      <c r="D23484" t="s">
        <v>1</v>
      </c>
      <c r="E23484" t="s">
        <v>1</v>
      </c>
      <c r="F23484" t="s">
        <v>0</v>
      </c>
      <c r="G23484" t="str">
        <f>"2018-10-06 16:36:58"</f>
        <v>2018-10-06 16:36:58</v>
      </c>
    </row>
    <row r="23485" spans="1:7" x14ac:dyDescent="0.2">
      <c r="A23485" t="s">
        <v>1</v>
      </c>
      <c r="B23485" t="str">
        <f>"13905044088"</f>
        <v>13905044088</v>
      </c>
      <c r="C23485" t="s">
        <v>1</v>
      </c>
      <c r="D23485" t="s">
        <v>1</v>
      </c>
      <c r="E23485" t="s">
        <v>1</v>
      </c>
      <c r="F23485" t="s">
        <v>0</v>
      </c>
      <c r="G23485" t="str">
        <f>"2018-10-06 16:36:56"</f>
        <v>2018-10-06 16:36:56</v>
      </c>
    </row>
    <row r="23486" spans="1:7" x14ac:dyDescent="0.2">
      <c r="A23486" t="s">
        <v>1</v>
      </c>
      <c r="B23486" t="str">
        <f>"15706596325"</f>
        <v>15706596325</v>
      </c>
      <c r="C23486" t="s">
        <v>1</v>
      </c>
      <c r="D23486" t="s">
        <v>1</v>
      </c>
      <c r="E23486" t="s">
        <v>1</v>
      </c>
      <c r="F23486" t="s">
        <v>0</v>
      </c>
      <c r="G23486" t="str">
        <f>"2018-10-06 16:36:42"</f>
        <v>2018-10-06 16:36:42</v>
      </c>
    </row>
    <row r="23487" spans="1:7" x14ac:dyDescent="0.2">
      <c r="A23487" t="s">
        <v>21823</v>
      </c>
      <c r="B23487" t="str">
        <f>"13686350847"</f>
        <v>13686350847</v>
      </c>
      <c r="C23487" t="str">
        <f>"371523198410235973"</f>
        <v>371523198410235973</v>
      </c>
      <c r="D23487" t="s">
        <v>1</v>
      </c>
      <c r="E23487" t="s">
        <v>1</v>
      </c>
      <c r="F23487" t="s">
        <v>0</v>
      </c>
      <c r="G23487" t="str">
        <f>"2018-10-06 16:37:59"</f>
        <v>2018-10-06 16:37:59</v>
      </c>
    </row>
    <row r="23488" spans="1:7" x14ac:dyDescent="0.2">
      <c r="A23488" t="s">
        <v>1</v>
      </c>
      <c r="B23488" t="str">
        <f>"15864418800"</f>
        <v>15864418800</v>
      </c>
      <c r="C23488" t="s">
        <v>1</v>
      </c>
      <c r="D23488" t="s">
        <v>1</v>
      </c>
      <c r="E23488" t="s">
        <v>1</v>
      </c>
      <c r="F23488" t="s">
        <v>0</v>
      </c>
      <c r="G23488" t="str">
        <f>"2018-10-06 16:35:58"</f>
        <v>2018-10-06 16:35:58</v>
      </c>
    </row>
    <row r="23489" spans="1:7" x14ac:dyDescent="0.2">
      <c r="A23489" t="s">
        <v>1</v>
      </c>
      <c r="B23489" t="str">
        <f>"18207720471"</f>
        <v>18207720471</v>
      </c>
      <c r="C23489" t="s">
        <v>1</v>
      </c>
      <c r="D23489" t="s">
        <v>1</v>
      </c>
      <c r="E23489" t="s">
        <v>1</v>
      </c>
      <c r="F23489" t="s">
        <v>0</v>
      </c>
      <c r="G23489" t="str">
        <f>"2018-10-06 16:35:39"</f>
        <v>2018-10-06 16:35:39</v>
      </c>
    </row>
    <row r="23490" spans="1:7" x14ac:dyDescent="0.2">
      <c r="A23490" t="s">
        <v>1052</v>
      </c>
      <c r="B23490" t="str">
        <f>"15198112964"</f>
        <v>15198112964</v>
      </c>
      <c r="C23490" t="str">
        <f>"513002199809284156"</f>
        <v>513002199809284156</v>
      </c>
      <c r="D23490" t="s">
        <v>1</v>
      </c>
      <c r="E23490" t="s">
        <v>1</v>
      </c>
      <c r="F23490" t="s">
        <v>0</v>
      </c>
      <c r="G23490" t="str">
        <f>"2018-10-06 16:35:29"</f>
        <v>2018-10-06 16:35:29</v>
      </c>
    </row>
    <row r="23491" spans="1:7" x14ac:dyDescent="0.2">
      <c r="A23491" t="s">
        <v>21824</v>
      </c>
      <c r="B23491" t="str">
        <f>"15031213475"</f>
        <v>15031213475</v>
      </c>
      <c r="C23491" t="str">
        <f>"130638199308244514"</f>
        <v>130638199308244514</v>
      </c>
      <c r="D23491" t="s">
        <v>1</v>
      </c>
      <c r="E23491" t="s">
        <v>1</v>
      </c>
      <c r="F23491" t="s">
        <v>0</v>
      </c>
      <c r="G23491" t="str">
        <f>"2018-10-06 16:37:00"</f>
        <v>2018-10-06 16:37:00</v>
      </c>
    </row>
    <row r="23492" spans="1:7" x14ac:dyDescent="0.2">
      <c r="A23492" t="s">
        <v>20042</v>
      </c>
      <c r="B23492" t="str">
        <f>"15159758854"</f>
        <v>15159758854</v>
      </c>
      <c r="C23492" t="str">
        <f>"350521198708154060"</f>
        <v>350521198708154060</v>
      </c>
      <c r="D23492" t="s">
        <v>1</v>
      </c>
      <c r="E23492" t="s">
        <v>1</v>
      </c>
      <c r="F23492" t="s">
        <v>0</v>
      </c>
      <c r="G23492" t="str">
        <f>"2018-10-07 09:34:08"</f>
        <v>2018-10-07 09:34:08</v>
      </c>
    </row>
    <row r="23493" spans="1:7" x14ac:dyDescent="0.2">
      <c r="A23493" t="s">
        <v>1</v>
      </c>
      <c r="B23493" t="str">
        <f>"15706578124"</f>
        <v>15706578124</v>
      </c>
      <c r="C23493" t="s">
        <v>1</v>
      </c>
      <c r="D23493" t="s">
        <v>1</v>
      </c>
      <c r="E23493" t="s">
        <v>1</v>
      </c>
      <c r="F23493" t="s">
        <v>0</v>
      </c>
      <c r="G23493" t="str">
        <f>"2018-10-06 16:34:40"</f>
        <v>2018-10-06 16:34:40</v>
      </c>
    </row>
    <row r="23494" spans="1:7" x14ac:dyDescent="0.2">
      <c r="A23494" t="s">
        <v>1</v>
      </c>
      <c r="B23494" t="str">
        <f>"17673851751"</f>
        <v>17673851751</v>
      </c>
      <c r="C23494" t="s">
        <v>1</v>
      </c>
      <c r="D23494" t="s">
        <v>1</v>
      </c>
      <c r="E23494" t="s">
        <v>1</v>
      </c>
      <c r="F23494" t="s">
        <v>0</v>
      </c>
      <c r="G23494" t="str">
        <f>"2018-10-06 16:36:11"</f>
        <v>2018-10-06 16:36:11</v>
      </c>
    </row>
    <row r="23495" spans="1:7" x14ac:dyDescent="0.2">
      <c r="A23495" t="s">
        <v>21825</v>
      </c>
      <c r="B23495" t="str">
        <f>"15853360771"</f>
        <v>15853360771</v>
      </c>
      <c r="C23495" t="str">
        <f>"370323199312102424"</f>
        <v>370323199312102424</v>
      </c>
      <c r="D23495" t="s">
        <v>1</v>
      </c>
      <c r="E23495" t="s">
        <v>1</v>
      </c>
      <c r="F23495" t="s">
        <v>0</v>
      </c>
      <c r="G23495" t="str">
        <f>"2018-10-06 16:38:07"</f>
        <v>2018-10-06 16:38:07</v>
      </c>
    </row>
    <row r="23496" spans="1:7" x14ac:dyDescent="0.2">
      <c r="A23496" t="s">
        <v>21826</v>
      </c>
      <c r="B23496" t="str">
        <f>"15982852703"</f>
        <v>15982852703</v>
      </c>
      <c r="C23496" t="str">
        <f>"510132199101187028"</f>
        <v>510132199101187028</v>
      </c>
      <c r="D23496" t="s">
        <v>1</v>
      </c>
      <c r="E23496" t="s">
        <v>1</v>
      </c>
      <c r="F23496" t="s">
        <v>0</v>
      </c>
      <c r="G23496" t="str">
        <f>"2018-10-06 16:35:27"</f>
        <v>2018-10-06 16:35:27</v>
      </c>
    </row>
    <row r="23497" spans="1:7" x14ac:dyDescent="0.2">
      <c r="A23497" t="s">
        <v>1</v>
      </c>
      <c r="B23497" t="str">
        <f>"13123471491"</f>
        <v>13123471491</v>
      </c>
      <c r="C23497" t="s">
        <v>1</v>
      </c>
      <c r="D23497" t="s">
        <v>1</v>
      </c>
      <c r="E23497" t="s">
        <v>1</v>
      </c>
      <c r="F23497" t="s">
        <v>0</v>
      </c>
      <c r="G23497" t="str">
        <f>"2018-10-06 16:34:01"</f>
        <v>2018-10-06 16:34:01</v>
      </c>
    </row>
    <row r="23498" spans="1:7" x14ac:dyDescent="0.2">
      <c r="A23498" t="s">
        <v>1</v>
      </c>
      <c r="B23498" t="str">
        <f>"15208902962"</f>
        <v>15208902962</v>
      </c>
      <c r="C23498" t="s">
        <v>1</v>
      </c>
      <c r="D23498" t="s">
        <v>1</v>
      </c>
      <c r="E23498" t="s">
        <v>1</v>
      </c>
      <c r="F23498" t="s">
        <v>0</v>
      </c>
      <c r="G23498" t="str">
        <f>"2018-10-06 16:33:59"</f>
        <v>2018-10-06 16:33:59</v>
      </c>
    </row>
    <row r="23499" spans="1:7" x14ac:dyDescent="0.2">
      <c r="A23499" t="s">
        <v>21827</v>
      </c>
      <c r="B23499" t="str">
        <f>"13687626335"</f>
        <v>13687626335</v>
      </c>
      <c r="C23499" t="str">
        <f>"370682198606196456"</f>
        <v>370682198606196456</v>
      </c>
      <c r="D23499" t="s">
        <v>1</v>
      </c>
      <c r="E23499" t="s">
        <v>1</v>
      </c>
      <c r="F23499" t="s">
        <v>0</v>
      </c>
      <c r="G23499" t="str">
        <f>"2018-10-06 16:48:48"</f>
        <v>2018-10-06 16:48:48</v>
      </c>
    </row>
    <row r="23500" spans="1:7" x14ac:dyDescent="0.2">
      <c r="A23500" t="s">
        <v>1</v>
      </c>
      <c r="B23500" t="str">
        <f>"15994374251"</f>
        <v>15994374251</v>
      </c>
      <c r="C23500" t="s">
        <v>1</v>
      </c>
      <c r="D23500" t="s">
        <v>1</v>
      </c>
      <c r="E23500" t="s">
        <v>1</v>
      </c>
      <c r="F23500" t="s">
        <v>0</v>
      </c>
      <c r="G23500" t="str">
        <f>"2018-10-06 16:33:27"</f>
        <v>2018-10-06 16:33:27</v>
      </c>
    </row>
    <row r="23501" spans="1:7" x14ac:dyDescent="0.2">
      <c r="A23501" t="s">
        <v>1</v>
      </c>
      <c r="B23501" t="str">
        <f>"15707138524"</f>
        <v>15707138524</v>
      </c>
      <c r="C23501" t="s">
        <v>1</v>
      </c>
      <c r="D23501" t="s">
        <v>1</v>
      </c>
      <c r="E23501" t="s">
        <v>1</v>
      </c>
      <c r="F23501" t="s">
        <v>0</v>
      </c>
      <c r="G23501" t="str">
        <f>"2018-10-06 16:32:23"</f>
        <v>2018-10-06 16:32:23</v>
      </c>
    </row>
    <row r="23502" spans="1:7" x14ac:dyDescent="0.2">
      <c r="A23502" t="s">
        <v>1</v>
      </c>
      <c r="B23502" t="str">
        <f>"18728031513"</f>
        <v>18728031513</v>
      </c>
      <c r="C23502" t="s">
        <v>1</v>
      </c>
      <c r="D23502" t="s">
        <v>1</v>
      </c>
      <c r="E23502" t="s">
        <v>1</v>
      </c>
      <c r="F23502" t="s">
        <v>0</v>
      </c>
      <c r="G23502" t="str">
        <f>"2018-10-06 16:32:22"</f>
        <v>2018-10-06 16:32:22</v>
      </c>
    </row>
    <row r="23503" spans="1:7" x14ac:dyDescent="0.2">
      <c r="A23503" t="s">
        <v>21828</v>
      </c>
      <c r="B23503" t="str">
        <f>"18685650414"</f>
        <v>18685650414</v>
      </c>
      <c r="C23503" t="str">
        <f>"522226200002050103"</f>
        <v>522226200002050103</v>
      </c>
      <c r="D23503" t="s">
        <v>21829</v>
      </c>
      <c r="E23503" t="s">
        <v>21830</v>
      </c>
      <c r="F23503" t="s">
        <v>0</v>
      </c>
      <c r="G23503" t="str">
        <f>"2018-10-06 16:32:34"</f>
        <v>2018-10-06 16:32:34</v>
      </c>
    </row>
    <row r="23504" spans="1:7" x14ac:dyDescent="0.2">
      <c r="A23504" t="s">
        <v>1</v>
      </c>
      <c r="B23504" t="str">
        <f>"18876925202"</f>
        <v>18876925202</v>
      </c>
      <c r="C23504" t="s">
        <v>1</v>
      </c>
      <c r="D23504" t="s">
        <v>1</v>
      </c>
      <c r="E23504" t="s">
        <v>1</v>
      </c>
      <c r="F23504" t="s">
        <v>0</v>
      </c>
      <c r="G23504" t="str">
        <f>"2018-10-06 16:31:27"</f>
        <v>2018-10-06 16:31:27</v>
      </c>
    </row>
    <row r="23505" spans="1:7" x14ac:dyDescent="0.2">
      <c r="A23505" t="s">
        <v>1</v>
      </c>
      <c r="B23505" t="str">
        <f>"15706595825"</f>
        <v>15706595825</v>
      </c>
      <c r="C23505" t="s">
        <v>1</v>
      </c>
      <c r="D23505" t="s">
        <v>1</v>
      </c>
      <c r="E23505" t="s">
        <v>1</v>
      </c>
      <c r="F23505" t="s">
        <v>0</v>
      </c>
      <c r="G23505" t="str">
        <f>"2018-10-06 16:31:19"</f>
        <v>2018-10-06 16:31:19</v>
      </c>
    </row>
    <row r="23506" spans="1:7" x14ac:dyDescent="0.2">
      <c r="A23506" t="s">
        <v>21831</v>
      </c>
      <c r="B23506" t="str">
        <f>"13526728393"</f>
        <v>13526728393</v>
      </c>
      <c r="C23506" t="str">
        <f>"410482198902101740"</f>
        <v>410482198902101740</v>
      </c>
      <c r="D23506" t="s">
        <v>1</v>
      </c>
      <c r="E23506" t="s">
        <v>1</v>
      </c>
      <c r="F23506" t="s">
        <v>0</v>
      </c>
      <c r="G23506" t="str">
        <f>"2018-10-06 16:35:32"</f>
        <v>2018-10-06 16:35:32</v>
      </c>
    </row>
    <row r="23507" spans="1:7" x14ac:dyDescent="0.2">
      <c r="A23507" t="s">
        <v>21832</v>
      </c>
      <c r="B23507" t="str">
        <f>"13551135224"</f>
        <v>13551135224</v>
      </c>
      <c r="C23507" t="str">
        <f>"513922199310212000"</f>
        <v>513922199310212000</v>
      </c>
      <c r="D23507" t="s">
        <v>1</v>
      </c>
      <c r="E23507" t="s">
        <v>1</v>
      </c>
      <c r="F23507" t="s">
        <v>0</v>
      </c>
      <c r="G23507" t="str">
        <f>"2018-10-06 16:30:26"</f>
        <v>2018-10-06 16:30:26</v>
      </c>
    </row>
    <row r="23508" spans="1:7" x14ac:dyDescent="0.2">
      <c r="A23508" t="s">
        <v>1</v>
      </c>
      <c r="B23508" t="str">
        <f>"15706590313"</f>
        <v>15706590313</v>
      </c>
      <c r="C23508" t="s">
        <v>1</v>
      </c>
      <c r="D23508" t="s">
        <v>1</v>
      </c>
      <c r="E23508" t="s">
        <v>1</v>
      </c>
      <c r="F23508" t="s">
        <v>0</v>
      </c>
      <c r="G23508" t="str">
        <f>"2018-10-06 16:30:24"</f>
        <v>2018-10-06 16:30:24</v>
      </c>
    </row>
    <row r="23509" spans="1:7" x14ac:dyDescent="0.2">
      <c r="A23509" t="s">
        <v>21833</v>
      </c>
      <c r="B23509" t="str">
        <f>"13148329318"</f>
        <v>13148329318</v>
      </c>
      <c r="C23509" t="str">
        <f>"532125199303181953"</f>
        <v>532125199303181953</v>
      </c>
      <c r="D23509" t="s">
        <v>1</v>
      </c>
      <c r="E23509" t="s">
        <v>1</v>
      </c>
      <c r="F23509" t="s">
        <v>0</v>
      </c>
      <c r="G23509" t="str">
        <f>"2018-10-06 16:30:56"</f>
        <v>2018-10-06 16:30:56</v>
      </c>
    </row>
    <row r="23510" spans="1:7" x14ac:dyDescent="0.2">
      <c r="A23510" t="s">
        <v>21834</v>
      </c>
      <c r="B23510" t="str">
        <f>"13640309425"</f>
        <v>13640309425</v>
      </c>
      <c r="C23510" t="str">
        <f>"440102198004110626"</f>
        <v>440102198004110626</v>
      </c>
      <c r="D23510" t="s">
        <v>1</v>
      </c>
      <c r="E23510" t="s">
        <v>1</v>
      </c>
      <c r="F23510" t="s">
        <v>0</v>
      </c>
      <c r="G23510" t="str">
        <f>"2018-10-06 16:32:31"</f>
        <v>2018-10-06 16:32:31</v>
      </c>
    </row>
    <row r="23511" spans="1:7" x14ac:dyDescent="0.2">
      <c r="A23511" t="s">
        <v>1</v>
      </c>
      <c r="B23511" t="str">
        <f>"18276740846"</f>
        <v>18276740846</v>
      </c>
      <c r="C23511" t="s">
        <v>1</v>
      </c>
      <c r="D23511" t="s">
        <v>1</v>
      </c>
      <c r="E23511" t="s">
        <v>1</v>
      </c>
      <c r="F23511" t="s">
        <v>0</v>
      </c>
      <c r="G23511" t="str">
        <f>"2018-10-06 16:29:25"</f>
        <v>2018-10-06 16:29:25</v>
      </c>
    </row>
    <row r="23512" spans="1:7" x14ac:dyDescent="0.2">
      <c r="A23512" t="s">
        <v>21835</v>
      </c>
      <c r="B23512" t="str">
        <f>"15833298359"</f>
        <v>15833298359</v>
      </c>
      <c r="C23512" t="str">
        <f>"132224197801203612"</f>
        <v>132224197801203612</v>
      </c>
      <c r="D23512" t="s">
        <v>21836</v>
      </c>
      <c r="E23512" t="s">
        <v>21837</v>
      </c>
      <c r="F23512" t="s">
        <v>0</v>
      </c>
      <c r="G23512" t="str">
        <f>"2018-10-06 17:10:58"</f>
        <v>2018-10-06 17:10:58</v>
      </c>
    </row>
    <row r="23513" spans="1:7" x14ac:dyDescent="0.2">
      <c r="A23513" t="s">
        <v>1</v>
      </c>
      <c r="B23513" t="str">
        <f>"15619675895"</f>
        <v>15619675895</v>
      </c>
      <c r="C23513" t="s">
        <v>1</v>
      </c>
      <c r="D23513" t="s">
        <v>1</v>
      </c>
      <c r="E23513" t="s">
        <v>1</v>
      </c>
      <c r="F23513" t="s">
        <v>0</v>
      </c>
      <c r="G23513" t="str">
        <f>"2018-10-06 16:28:54"</f>
        <v>2018-10-06 16:28:54</v>
      </c>
    </row>
    <row r="23514" spans="1:7" x14ac:dyDescent="0.2">
      <c r="A23514" t="s">
        <v>21838</v>
      </c>
      <c r="B23514" t="str">
        <f>"13555203352"</f>
        <v>13555203352</v>
      </c>
      <c r="C23514" t="str">
        <f>"231102199408012922"</f>
        <v>231102199408012922</v>
      </c>
      <c r="D23514" t="s">
        <v>1</v>
      </c>
      <c r="E23514" t="s">
        <v>1</v>
      </c>
      <c r="F23514" t="s">
        <v>0</v>
      </c>
      <c r="G23514" t="str">
        <f>"2018-10-06 16:36:45"</f>
        <v>2018-10-06 16:36:45</v>
      </c>
    </row>
    <row r="23515" spans="1:7" x14ac:dyDescent="0.2">
      <c r="A23515" t="s">
        <v>21839</v>
      </c>
      <c r="B23515" t="str">
        <f>"15842624807"</f>
        <v>15842624807</v>
      </c>
      <c r="C23515" t="str">
        <f>"21020419880219142X"</f>
        <v>21020419880219142X</v>
      </c>
      <c r="D23515" t="s">
        <v>1</v>
      </c>
      <c r="E23515" t="s">
        <v>1</v>
      </c>
      <c r="F23515" t="s">
        <v>0</v>
      </c>
      <c r="G23515" t="str">
        <f>"2018-10-06 16:30:43"</f>
        <v>2018-10-06 16:30:43</v>
      </c>
    </row>
    <row r="23516" spans="1:7" x14ac:dyDescent="0.2">
      <c r="A23516" t="s">
        <v>1</v>
      </c>
      <c r="B23516" t="str">
        <f>"13336634118"</f>
        <v>13336634118</v>
      </c>
      <c r="C23516" t="s">
        <v>1</v>
      </c>
      <c r="D23516" t="s">
        <v>1</v>
      </c>
      <c r="E23516" t="s">
        <v>1</v>
      </c>
      <c r="F23516" t="s">
        <v>0</v>
      </c>
      <c r="G23516" t="str">
        <f>"2018-10-06 16:28:40"</f>
        <v>2018-10-06 16:28:40</v>
      </c>
    </row>
    <row r="23517" spans="1:7" x14ac:dyDescent="0.2">
      <c r="A23517" t="s">
        <v>1</v>
      </c>
      <c r="B23517" t="str">
        <f>"15194220768"</f>
        <v>15194220768</v>
      </c>
      <c r="C23517" t="s">
        <v>1</v>
      </c>
      <c r="D23517" t="s">
        <v>1</v>
      </c>
      <c r="E23517" t="s">
        <v>1</v>
      </c>
      <c r="F23517" t="s">
        <v>0</v>
      </c>
      <c r="G23517" t="str">
        <f>"2018-10-08 12:11:45"</f>
        <v>2018-10-08 12:11:45</v>
      </c>
    </row>
    <row r="23518" spans="1:7" x14ac:dyDescent="0.2">
      <c r="A23518" t="s">
        <v>508</v>
      </c>
      <c r="B23518" t="str">
        <f>"15352493250"</f>
        <v>15352493250</v>
      </c>
      <c r="C23518" t="str">
        <f>"622226198106091034"</f>
        <v>622226198106091034</v>
      </c>
      <c r="D23518" t="s">
        <v>1</v>
      </c>
      <c r="E23518" t="s">
        <v>1</v>
      </c>
      <c r="F23518" t="s">
        <v>0</v>
      </c>
      <c r="G23518" t="str">
        <f>"2018-11-02 16:52:27"</f>
        <v>2018-11-02 16:52:27</v>
      </c>
    </row>
    <row r="23519" spans="1:7" x14ac:dyDescent="0.2">
      <c r="A23519" t="s">
        <v>1</v>
      </c>
      <c r="B23519" t="str">
        <f>"18276741941"</f>
        <v>18276741941</v>
      </c>
      <c r="C23519" t="s">
        <v>1</v>
      </c>
      <c r="D23519" t="s">
        <v>1</v>
      </c>
      <c r="E23519" t="s">
        <v>1</v>
      </c>
      <c r="F23519" t="s">
        <v>0</v>
      </c>
      <c r="G23519" t="str">
        <f>"2018-10-06 16:28:25"</f>
        <v>2018-10-06 16:28:25</v>
      </c>
    </row>
    <row r="23520" spans="1:7" x14ac:dyDescent="0.2">
      <c r="A23520" t="s">
        <v>21840</v>
      </c>
      <c r="B23520" t="str">
        <f>"13636971807"</f>
        <v>13636971807</v>
      </c>
      <c r="C23520" t="str">
        <f>"350581199006242091"</f>
        <v>350581199006242091</v>
      </c>
      <c r="D23520" t="s">
        <v>1</v>
      </c>
      <c r="E23520" t="s">
        <v>1</v>
      </c>
      <c r="F23520" t="s">
        <v>0</v>
      </c>
      <c r="G23520" t="str">
        <f>"2018-10-06 16:28:21"</f>
        <v>2018-10-06 16:28:21</v>
      </c>
    </row>
    <row r="23521" spans="1:7" x14ac:dyDescent="0.2">
      <c r="A23521" t="s">
        <v>1</v>
      </c>
      <c r="B23521" t="str">
        <f>"15707166923"</f>
        <v>15707166923</v>
      </c>
      <c r="C23521" t="s">
        <v>1</v>
      </c>
      <c r="D23521" t="s">
        <v>1</v>
      </c>
      <c r="E23521" t="s">
        <v>1</v>
      </c>
      <c r="F23521" t="s">
        <v>0</v>
      </c>
      <c r="G23521" t="str">
        <f>"2018-10-06 16:27:11"</f>
        <v>2018-10-06 16:27:11</v>
      </c>
    </row>
    <row r="23522" spans="1:7" x14ac:dyDescent="0.2">
      <c r="A23522" t="s">
        <v>463</v>
      </c>
      <c r="B23522" t="str">
        <f>"15755926359"</f>
        <v>15755926359</v>
      </c>
      <c r="C23522" t="str">
        <f>"341022199206260034"</f>
        <v>341022199206260034</v>
      </c>
      <c r="D23522" t="s">
        <v>1</v>
      </c>
      <c r="E23522" t="s">
        <v>1</v>
      </c>
      <c r="F23522" t="s">
        <v>0</v>
      </c>
      <c r="G23522" t="str">
        <f>"2018-10-31 02:21:20"</f>
        <v>2018-10-31 02:21:20</v>
      </c>
    </row>
    <row r="23523" spans="1:7" x14ac:dyDescent="0.2">
      <c r="A23523" t="s">
        <v>1</v>
      </c>
      <c r="B23523" t="str">
        <f>"13771048407"</f>
        <v>13771048407</v>
      </c>
      <c r="C23523" t="s">
        <v>1</v>
      </c>
      <c r="D23523" t="s">
        <v>1</v>
      </c>
      <c r="E23523" t="s">
        <v>1</v>
      </c>
      <c r="F23523" t="s">
        <v>0</v>
      </c>
      <c r="G23523" t="str">
        <f>"2018-10-06 16:27:02"</f>
        <v>2018-10-06 16:27:02</v>
      </c>
    </row>
    <row r="23524" spans="1:7" x14ac:dyDescent="0.2">
      <c r="A23524" t="s">
        <v>21841</v>
      </c>
      <c r="B23524" t="str">
        <f>"13841611020"</f>
        <v>13841611020</v>
      </c>
      <c r="C23524" t="str">
        <f>"210726198809286910"</f>
        <v>210726198809286910</v>
      </c>
      <c r="D23524" t="s">
        <v>21842</v>
      </c>
      <c r="E23524" t="s">
        <v>21843</v>
      </c>
      <c r="F23524" t="s">
        <v>0</v>
      </c>
      <c r="G23524" t="str">
        <f>"2018-10-13 11:12:09"</f>
        <v>2018-10-13 11:12:09</v>
      </c>
    </row>
    <row r="23525" spans="1:7" x14ac:dyDescent="0.2">
      <c r="A23525" t="s">
        <v>1</v>
      </c>
      <c r="B23525" t="str">
        <f>"17772255897"</f>
        <v>17772255897</v>
      </c>
      <c r="C23525" t="s">
        <v>1</v>
      </c>
      <c r="D23525" t="s">
        <v>1</v>
      </c>
      <c r="E23525" t="s">
        <v>1</v>
      </c>
      <c r="F23525" t="s">
        <v>0</v>
      </c>
      <c r="G23525" t="str">
        <f>"2018-10-06 16:26:41"</f>
        <v>2018-10-06 16:26:41</v>
      </c>
    </row>
    <row r="23526" spans="1:7" x14ac:dyDescent="0.2">
      <c r="A23526" t="s">
        <v>1</v>
      </c>
      <c r="B23526" t="str">
        <f>"15224591554"</f>
        <v>15224591554</v>
      </c>
      <c r="C23526" t="s">
        <v>1</v>
      </c>
      <c r="D23526" t="s">
        <v>1</v>
      </c>
      <c r="E23526" t="s">
        <v>1</v>
      </c>
      <c r="F23526" t="s">
        <v>0</v>
      </c>
      <c r="G23526" t="str">
        <f>"2018-10-06 16:26:12"</f>
        <v>2018-10-06 16:26:12</v>
      </c>
    </row>
    <row r="23527" spans="1:7" x14ac:dyDescent="0.2">
      <c r="A23527" t="s">
        <v>1</v>
      </c>
      <c r="B23527" t="str">
        <f>"13877566440"</f>
        <v>13877566440</v>
      </c>
      <c r="C23527" t="s">
        <v>1</v>
      </c>
      <c r="D23527" t="s">
        <v>1</v>
      </c>
      <c r="E23527" t="s">
        <v>1</v>
      </c>
      <c r="F23527" t="s">
        <v>0</v>
      </c>
      <c r="G23527" t="str">
        <f>"2018-10-06 16:25:59"</f>
        <v>2018-10-06 16:25:59</v>
      </c>
    </row>
    <row r="23528" spans="1:7" x14ac:dyDescent="0.2">
      <c r="A23528" t="s">
        <v>1</v>
      </c>
      <c r="B23528" t="str">
        <f>"13164616657"</f>
        <v>13164616657</v>
      </c>
      <c r="C23528" t="s">
        <v>1</v>
      </c>
      <c r="D23528" t="s">
        <v>1</v>
      </c>
      <c r="E23528" t="s">
        <v>1</v>
      </c>
      <c r="F23528" t="s">
        <v>0</v>
      </c>
      <c r="G23528" t="str">
        <f>"2018-10-06 16:25:50"</f>
        <v>2018-10-06 16:25:50</v>
      </c>
    </row>
    <row r="23529" spans="1:7" x14ac:dyDescent="0.2">
      <c r="A23529" t="s">
        <v>21844</v>
      </c>
      <c r="B23529" t="str">
        <f>"15641605567"</f>
        <v>15641605567</v>
      </c>
      <c r="C23529" t="str">
        <f>"210726199206116722"</f>
        <v>210726199206116722</v>
      </c>
      <c r="D23529" t="s">
        <v>1</v>
      </c>
      <c r="E23529" t="s">
        <v>1</v>
      </c>
      <c r="F23529" t="s">
        <v>0</v>
      </c>
      <c r="G23529" t="str">
        <f>"2018-10-06 18:45:18"</f>
        <v>2018-10-06 18:45:18</v>
      </c>
    </row>
    <row r="23530" spans="1:7" x14ac:dyDescent="0.2">
      <c r="A23530" t="s">
        <v>21845</v>
      </c>
      <c r="B23530" t="str">
        <f>"18772583394"</f>
        <v>18772583394</v>
      </c>
      <c r="C23530" t="str">
        <f>"421022199402156031"</f>
        <v>421022199402156031</v>
      </c>
      <c r="D23530" t="s">
        <v>1</v>
      </c>
      <c r="E23530" t="s">
        <v>1</v>
      </c>
      <c r="F23530" t="s">
        <v>0</v>
      </c>
      <c r="G23530" t="str">
        <f>"2018-10-06 16:25:24"</f>
        <v>2018-10-06 16:25:24</v>
      </c>
    </row>
    <row r="23531" spans="1:7" x14ac:dyDescent="0.2">
      <c r="A23531" t="s">
        <v>1756</v>
      </c>
      <c r="B23531" t="str">
        <f>"13987249408"</f>
        <v>13987249408</v>
      </c>
      <c r="C23531" t="str">
        <f>"532927199403250326"</f>
        <v>532927199403250326</v>
      </c>
      <c r="D23531" t="s">
        <v>1</v>
      </c>
      <c r="E23531" t="s">
        <v>1</v>
      </c>
      <c r="F23531" t="s">
        <v>0</v>
      </c>
      <c r="G23531" t="str">
        <f>"2018-11-04 14:11:11"</f>
        <v>2018-11-04 14:11:11</v>
      </c>
    </row>
    <row r="23532" spans="1:7" x14ac:dyDescent="0.2">
      <c r="A23532" t="s">
        <v>1</v>
      </c>
      <c r="B23532" t="str">
        <f>"18796221869"</f>
        <v>18796221869</v>
      </c>
      <c r="C23532" t="s">
        <v>1</v>
      </c>
      <c r="D23532" t="s">
        <v>1</v>
      </c>
      <c r="E23532" t="s">
        <v>1</v>
      </c>
      <c r="F23532" t="s">
        <v>0</v>
      </c>
      <c r="G23532" t="str">
        <f>"2018-10-06 16:31:06"</f>
        <v>2018-10-06 16:31:06</v>
      </c>
    </row>
    <row r="23533" spans="1:7" x14ac:dyDescent="0.2">
      <c r="A23533" t="s">
        <v>1</v>
      </c>
      <c r="B23533" t="str">
        <f>"18207729947"</f>
        <v>18207729947</v>
      </c>
      <c r="C23533" t="s">
        <v>1</v>
      </c>
      <c r="D23533" t="s">
        <v>1</v>
      </c>
      <c r="E23533" t="s">
        <v>1</v>
      </c>
      <c r="F23533" t="s">
        <v>0</v>
      </c>
      <c r="G23533" t="str">
        <f>"2018-10-06 16:25:16"</f>
        <v>2018-10-06 16:25:16</v>
      </c>
    </row>
    <row r="23534" spans="1:7" x14ac:dyDescent="0.2">
      <c r="A23534" t="s">
        <v>1</v>
      </c>
      <c r="B23534" t="str">
        <f>"15362523955"</f>
        <v>15362523955</v>
      </c>
      <c r="C23534" t="s">
        <v>1</v>
      </c>
      <c r="D23534" t="s">
        <v>1</v>
      </c>
      <c r="E23534" t="s">
        <v>1</v>
      </c>
      <c r="F23534" t="s">
        <v>0</v>
      </c>
      <c r="G23534" t="str">
        <f>"2018-10-06 16:24:58"</f>
        <v>2018-10-06 16:24:58</v>
      </c>
    </row>
    <row r="23535" spans="1:7" x14ac:dyDescent="0.2">
      <c r="A23535" t="s">
        <v>1</v>
      </c>
      <c r="B23535" t="str">
        <f>"18595507868"</f>
        <v>18595507868</v>
      </c>
      <c r="C23535" t="s">
        <v>1</v>
      </c>
      <c r="D23535" t="s">
        <v>1</v>
      </c>
      <c r="E23535" t="s">
        <v>1</v>
      </c>
      <c r="F23535" t="s">
        <v>0</v>
      </c>
      <c r="G23535" t="str">
        <f>"2018-10-06 16:24:37"</f>
        <v>2018-10-06 16:24:37</v>
      </c>
    </row>
    <row r="23536" spans="1:7" x14ac:dyDescent="0.2">
      <c r="A23536" t="s">
        <v>50</v>
      </c>
      <c r="B23536" t="str">
        <f>"13968749458"</f>
        <v>13968749458</v>
      </c>
      <c r="C23536" t="str">
        <f>"330382198505196525"</f>
        <v>330382198505196525</v>
      </c>
      <c r="D23536" t="s">
        <v>1</v>
      </c>
      <c r="E23536" t="s">
        <v>1</v>
      </c>
      <c r="F23536" t="s">
        <v>0</v>
      </c>
      <c r="G23536" t="str">
        <f>"2018-10-06 16:26:39"</f>
        <v>2018-10-06 16:26:39</v>
      </c>
    </row>
    <row r="23537" spans="1:7" x14ac:dyDescent="0.2">
      <c r="A23537" t="s">
        <v>1</v>
      </c>
      <c r="B23537" t="str">
        <f>"18741550220"</f>
        <v>18741550220</v>
      </c>
      <c r="C23537" t="s">
        <v>1</v>
      </c>
      <c r="D23537" t="s">
        <v>1</v>
      </c>
      <c r="E23537" t="s">
        <v>1</v>
      </c>
      <c r="F23537" t="s">
        <v>0</v>
      </c>
      <c r="G23537" t="str">
        <f>"2018-10-06 16:24:23"</f>
        <v>2018-10-06 16:24:23</v>
      </c>
    </row>
    <row r="23538" spans="1:7" x14ac:dyDescent="0.2">
      <c r="A23538" t="s">
        <v>21846</v>
      </c>
      <c r="B23538" t="str">
        <f>"13556436565"</f>
        <v>13556436565</v>
      </c>
      <c r="C23538" t="str">
        <f>"440582198304194837"</f>
        <v>440582198304194837</v>
      </c>
      <c r="D23538" t="s">
        <v>21847</v>
      </c>
      <c r="E23538" t="s">
        <v>21848</v>
      </c>
      <c r="F23538" t="s">
        <v>0</v>
      </c>
      <c r="G23538" t="str">
        <f>"2018-10-06 16:26:39"</f>
        <v>2018-10-06 16:26:39</v>
      </c>
    </row>
    <row r="23539" spans="1:7" x14ac:dyDescent="0.2">
      <c r="A23539" t="s">
        <v>1</v>
      </c>
      <c r="B23539" t="str">
        <f>"15185127554"</f>
        <v>15185127554</v>
      </c>
      <c r="C23539" t="s">
        <v>1</v>
      </c>
      <c r="D23539" t="s">
        <v>1</v>
      </c>
      <c r="E23539" t="s">
        <v>1</v>
      </c>
      <c r="F23539" t="s">
        <v>0</v>
      </c>
      <c r="G23539" t="str">
        <f>"2018-10-06 21:05:24"</f>
        <v>2018-10-06 21:05:24</v>
      </c>
    </row>
    <row r="23540" spans="1:7" x14ac:dyDescent="0.2">
      <c r="A23540" t="s">
        <v>1</v>
      </c>
      <c r="B23540" t="str">
        <f>"13017849060"</f>
        <v>13017849060</v>
      </c>
      <c r="C23540" t="s">
        <v>1</v>
      </c>
      <c r="D23540" t="s">
        <v>1</v>
      </c>
      <c r="E23540" t="s">
        <v>1</v>
      </c>
      <c r="F23540" t="s">
        <v>0</v>
      </c>
      <c r="G23540" t="str">
        <f>"2018-10-06 16:24:10"</f>
        <v>2018-10-06 16:24:10</v>
      </c>
    </row>
    <row r="23541" spans="1:7" x14ac:dyDescent="0.2">
      <c r="A23541" t="s">
        <v>1</v>
      </c>
      <c r="B23541" t="str">
        <f>"18276741423"</f>
        <v>18276741423</v>
      </c>
      <c r="C23541" t="s">
        <v>1</v>
      </c>
      <c r="D23541" t="s">
        <v>1</v>
      </c>
      <c r="E23541" t="s">
        <v>1</v>
      </c>
      <c r="F23541" t="s">
        <v>0</v>
      </c>
      <c r="G23541" t="str">
        <f>"2018-10-06 16:24:08"</f>
        <v>2018-10-06 16:24:08</v>
      </c>
    </row>
    <row r="23542" spans="1:7" x14ac:dyDescent="0.2">
      <c r="A23542" t="s">
        <v>21849</v>
      </c>
      <c r="B23542" t="str">
        <f>"13020004233"</f>
        <v>13020004233</v>
      </c>
      <c r="C23542" t="str">
        <f>"220881199107106010"</f>
        <v>220881199107106010</v>
      </c>
      <c r="D23542" t="s">
        <v>21850</v>
      </c>
      <c r="E23542" t="s">
        <v>21851</v>
      </c>
      <c r="F23542" t="s">
        <v>0</v>
      </c>
      <c r="G23542" t="str">
        <f>"2018-10-20 13:32:09"</f>
        <v>2018-10-20 13:32:09</v>
      </c>
    </row>
    <row r="23543" spans="1:7" x14ac:dyDescent="0.2">
      <c r="A23543" t="s">
        <v>1</v>
      </c>
      <c r="B23543" t="str">
        <f>"13277773091"</f>
        <v>13277773091</v>
      </c>
      <c r="C23543" t="s">
        <v>1</v>
      </c>
      <c r="D23543" t="s">
        <v>1</v>
      </c>
      <c r="E23543" t="s">
        <v>1</v>
      </c>
      <c r="F23543" t="s">
        <v>0</v>
      </c>
      <c r="G23543" t="str">
        <f>"2018-10-06 16:23:44"</f>
        <v>2018-10-06 16:23:44</v>
      </c>
    </row>
    <row r="23544" spans="1:7" x14ac:dyDescent="0.2">
      <c r="A23544" t="s">
        <v>663</v>
      </c>
      <c r="B23544" t="str">
        <f>"15253910304"</f>
        <v>15253910304</v>
      </c>
      <c r="C23544" t="str">
        <f>"371328199703195528"</f>
        <v>371328199703195528</v>
      </c>
      <c r="D23544" t="s">
        <v>21852</v>
      </c>
      <c r="E23544" t="s">
        <v>21852</v>
      </c>
      <c r="F23544" t="s">
        <v>0</v>
      </c>
      <c r="G23544" t="str">
        <f>"2018-10-06 16:25:51"</f>
        <v>2018-10-06 16:25:51</v>
      </c>
    </row>
    <row r="23545" spans="1:7" x14ac:dyDescent="0.2">
      <c r="A23545" t="s">
        <v>1</v>
      </c>
      <c r="B23545" t="str">
        <f>"18605195700"</f>
        <v>18605195700</v>
      </c>
      <c r="C23545" t="s">
        <v>1</v>
      </c>
      <c r="D23545" t="s">
        <v>1</v>
      </c>
      <c r="E23545" t="s">
        <v>1</v>
      </c>
      <c r="F23545" t="s">
        <v>0</v>
      </c>
      <c r="G23545" t="str">
        <f>"2018-10-06 16:23:18"</f>
        <v>2018-10-06 16:23:18</v>
      </c>
    </row>
    <row r="23546" spans="1:7" x14ac:dyDescent="0.2">
      <c r="A23546" t="s">
        <v>21853</v>
      </c>
      <c r="B23546" t="str">
        <f>"17713075988"</f>
        <v>17713075988</v>
      </c>
      <c r="C23546" t="str">
        <f>"510822197802066719"</f>
        <v>510822197802066719</v>
      </c>
      <c r="D23546" t="s">
        <v>1</v>
      </c>
      <c r="E23546" t="s">
        <v>1</v>
      </c>
      <c r="F23546" t="s">
        <v>0</v>
      </c>
      <c r="G23546" t="str">
        <f>"2018-10-20 14:40:27"</f>
        <v>2018-10-20 14:40:27</v>
      </c>
    </row>
    <row r="23547" spans="1:7" x14ac:dyDescent="0.2">
      <c r="A23547" t="s">
        <v>1</v>
      </c>
      <c r="B23547" t="str">
        <f>"15707139215"</f>
        <v>15707139215</v>
      </c>
      <c r="C23547" t="s">
        <v>1</v>
      </c>
      <c r="D23547" t="s">
        <v>1</v>
      </c>
      <c r="E23547" t="s">
        <v>1</v>
      </c>
      <c r="F23547" t="s">
        <v>0</v>
      </c>
      <c r="G23547" t="str">
        <f>"2018-10-06 16:22:58"</f>
        <v>2018-10-06 16:22:58</v>
      </c>
    </row>
    <row r="23548" spans="1:7" x14ac:dyDescent="0.2">
      <c r="A23548" t="s">
        <v>21854</v>
      </c>
      <c r="B23548" t="str">
        <f>"13774135622"</f>
        <v>13774135622</v>
      </c>
      <c r="C23548" t="str">
        <f>"429001198711011224"</f>
        <v>429001198711011224</v>
      </c>
      <c r="D23548" t="s">
        <v>1</v>
      </c>
      <c r="E23548" t="s">
        <v>1</v>
      </c>
      <c r="F23548" t="s">
        <v>0</v>
      </c>
      <c r="G23548" t="str">
        <f>"2018-10-06 16:23:38"</f>
        <v>2018-10-06 16:23:38</v>
      </c>
    </row>
    <row r="23549" spans="1:7" x14ac:dyDescent="0.2">
      <c r="A23549" t="s">
        <v>1</v>
      </c>
      <c r="B23549" t="str">
        <f>"18628998524"</f>
        <v>18628998524</v>
      </c>
      <c r="C23549" t="s">
        <v>1</v>
      </c>
      <c r="D23549" t="s">
        <v>1</v>
      </c>
      <c r="E23549" t="s">
        <v>1</v>
      </c>
      <c r="F23549" t="s">
        <v>0</v>
      </c>
      <c r="G23549" t="str">
        <f>"2018-10-06 16:24:38"</f>
        <v>2018-10-06 16:24:38</v>
      </c>
    </row>
    <row r="23550" spans="1:7" x14ac:dyDescent="0.2">
      <c r="A23550" t="s">
        <v>21855</v>
      </c>
      <c r="B23550" t="str">
        <f>"18093769666"</f>
        <v>18093769666</v>
      </c>
      <c r="C23550" t="str">
        <f>"622123199103121453"</f>
        <v>622123199103121453</v>
      </c>
      <c r="D23550" t="s">
        <v>1</v>
      </c>
      <c r="E23550" t="s">
        <v>1</v>
      </c>
      <c r="F23550" t="s">
        <v>0</v>
      </c>
      <c r="G23550" t="str">
        <f>"2018-10-06 16:23:21"</f>
        <v>2018-10-06 16:23:21</v>
      </c>
    </row>
    <row r="23551" spans="1:7" x14ac:dyDescent="0.2">
      <c r="A23551" t="s">
        <v>1</v>
      </c>
      <c r="B23551" t="str">
        <f>"15706592319"</f>
        <v>15706592319</v>
      </c>
      <c r="C23551" t="s">
        <v>1</v>
      </c>
      <c r="D23551" t="s">
        <v>1</v>
      </c>
      <c r="E23551" t="s">
        <v>1</v>
      </c>
      <c r="F23551" t="s">
        <v>0</v>
      </c>
      <c r="G23551" t="str">
        <f>"2018-10-06 16:22:01"</f>
        <v>2018-10-06 16:22:01</v>
      </c>
    </row>
    <row r="23552" spans="1:7" x14ac:dyDescent="0.2">
      <c r="A23552" t="s">
        <v>21856</v>
      </c>
      <c r="B23552" t="str">
        <f>"18250640471"</f>
        <v>18250640471</v>
      </c>
      <c r="C23552" t="str">
        <f>"350628199112033035"</f>
        <v>350628199112033035</v>
      </c>
      <c r="D23552" t="s">
        <v>21857</v>
      </c>
      <c r="E23552" t="s">
        <v>21858</v>
      </c>
      <c r="F23552" t="s">
        <v>0</v>
      </c>
      <c r="G23552" t="str">
        <f>"2018-10-06 16:22:00"</f>
        <v>2018-10-06 16:22:00</v>
      </c>
    </row>
    <row r="23553" spans="1:7" x14ac:dyDescent="0.2">
      <c r="A23553" t="s">
        <v>21859</v>
      </c>
      <c r="B23553" t="str">
        <f>"13899194565"</f>
        <v>13899194565</v>
      </c>
      <c r="C23553" t="str">
        <f>"653124198607020486"</f>
        <v>653124198607020486</v>
      </c>
      <c r="D23553" t="s">
        <v>1</v>
      </c>
      <c r="E23553" t="s">
        <v>1</v>
      </c>
      <c r="F23553" t="s">
        <v>0</v>
      </c>
      <c r="G23553" t="str">
        <f>"2018-10-06 16:23:35"</f>
        <v>2018-10-06 16:23:35</v>
      </c>
    </row>
    <row r="23554" spans="1:7" x14ac:dyDescent="0.2">
      <c r="A23554" t="s">
        <v>21860</v>
      </c>
      <c r="B23554" t="str">
        <f>"15942043306"</f>
        <v>15942043306</v>
      </c>
      <c r="C23554" t="str">
        <f>"210181198912028313"</f>
        <v>210181198912028313</v>
      </c>
      <c r="D23554" t="s">
        <v>1</v>
      </c>
      <c r="E23554" t="s">
        <v>1</v>
      </c>
      <c r="F23554" t="s">
        <v>0</v>
      </c>
      <c r="G23554" t="str">
        <f>"2018-10-06 16:23:42"</f>
        <v>2018-10-06 16:23:42</v>
      </c>
    </row>
    <row r="23555" spans="1:7" x14ac:dyDescent="0.2">
      <c r="A23555" t="s">
        <v>21861</v>
      </c>
      <c r="B23555" t="str">
        <f>"13788939353"</f>
        <v>13788939353</v>
      </c>
      <c r="C23555" t="str">
        <f>"32128319880805361X"</f>
        <v>32128319880805361X</v>
      </c>
      <c r="D23555" t="s">
        <v>1</v>
      </c>
      <c r="E23555" t="s">
        <v>1</v>
      </c>
      <c r="F23555" t="s">
        <v>0</v>
      </c>
      <c r="G23555" t="str">
        <f>"2018-10-14 10:35:29"</f>
        <v>2018-10-14 10:35:29</v>
      </c>
    </row>
    <row r="23556" spans="1:7" x14ac:dyDescent="0.2">
      <c r="A23556" t="s">
        <v>21862</v>
      </c>
      <c r="B23556" t="str">
        <f>"17691214196"</f>
        <v>17691214196</v>
      </c>
      <c r="C23556" t="str">
        <f>"220122198409042021"</f>
        <v>220122198409042021</v>
      </c>
      <c r="D23556" t="s">
        <v>1</v>
      </c>
      <c r="E23556" t="s">
        <v>1</v>
      </c>
      <c r="F23556" t="s">
        <v>0</v>
      </c>
      <c r="G23556" t="str">
        <f>"2018-10-06 16:22:29"</f>
        <v>2018-10-06 16:22:29</v>
      </c>
    </row>
    <row r="23557" spans="1:7" x14ac:dyDescent="0.2">
      <c r="A23557" t="s">
        <v>21863</v>
      </c>
      <c r="B23557" t="str">
        <f>"18244863215"</f>
        <v>18244863215</v>
      </c>
      <c r="C23557" t="str">
        <f>"431224199909158111"</f>
        <v>431224199909158111</v>
      </c>
      <c r="D23557" t="s">
        <v>21864</v>
      </c>
      <c r="E23557" t="s">
        <v>21865</v>
      </c>
      <c r="F23557" t="s">
        <v>0</v>
      </c>
      <c r="G23557" t="str">
        <f>"2018-10-06 16:21:01"</f>
        <v>2018-10-06 16:21:01</v>
      </c>
    </row>
    <row r="23558" spans="1:7" x14ac:dyDescent="0.2">
      <c r="A23558" t="s">
        <v>1</v>
      </c>
      <c r="B23558" t="str">
        <f>"15706591215"</f>
        <v>15706591215</v>
      </c>
      <c r="C23558" t="s">
        <v>1</v>
      </c>
      <c r="D23558" t="s">
        <v>1</v>
      </c>
      <c r="E23558" t="s">
        <v>1</v>
      </c>
      <c r="F23558" t="s">
        <v>0</v>
      </c>
      <c r="G23558" t="str">
        <f>"2018-10-06 16:20:55"</f>
        <v>2018-10-06 16:20:55</v>
      </c>
    </row>
    <row r="23559" spans="1:7" x14ac:dyDescent="0.2">
      <c r="A23559" t="s">
        <v>21866</v>
      </c>
      <c r="B23559" t="str">
        <f>"18565683810"</f>
        <v>18565683810</v>
      </c>
      <c r="C23559" t="str">
        <f>"513822199512291936"</f>
        <v>513822199512291936</v>
      </c>
      <c r="D23559" t="s">
        <v>1</v>
      </c>
      <c r="E23559" t="s">
        <v>1</v>
      </c>
      <c r="F23559" t="s">
        <v>0</v>
      </c>
      <c r="G23559" t="str">
        <f>"2018-10-06 16:21:28"</f>
        <v>2018-10-06 16:21:28</v>
      </c>
    </row>
    <row r="23560" spans="1:7" x14ac:dyDescent="0.2">
      <c r="A23560" t="s">
        <v>21867</v>
      </c>
      <c r="B23560" t="str">
        <f>"13577497760"</f>
        <v>13577497760</v>
      </c>
      <c r="C23560" t="str">
        <f>"530322199707111054"</f>
        <v>530322199707111054</v>
      </c>
      <c r="D23560" t="s">
        <v>21868</v>
      </c>
      <c r="E23560" t="s">
        <v>21869</v>
      </c>
      <c r="F23560" t="s">
        <v>0</v>
      </c>
      <c r="G23560" t="str">
        <f>"2018-10-06 16:19:53"</f>
        <v>2018-10-06 16:19:53</v>
      </c>
    </row>
    <row r="23561" spans="1:7" x14ac:dyDescent="0.2">
      <c r="A23561" t="s">
        <v>1</v>
      </c>
      <c r="B23561" t="str">
        <f>"18678737579"</f>
        <v>18678737579</v>
      </c>
      <c r="C23561" t="s">
        <v>1</v>
      </c>
      <c r="D23561" t="s">
        <v>1</v>
      </c>
      <c r="E23561" t="s">
        <v>1</v>
      </c>
      <c r="F23561" t="s">
        <v>0</v>
      </c>
      <c r="G23561" t="str">
        <f>"2018-10-06 16:20:59"</f>
        <v>2018-10-06 16:20:59</v>
      </c>
    </row>
    <row r="23562" spans="1:7" x14ac:dyDescent="0.2">
      <c r="A23562" t="s">
        <v>1380</v>
      </c>
      <c r="B23562" t="str">
        <f>"13273231558"</f>
        <v>13273231558</v>
      </c>
      <c r="C23562" t="str">
        <f>"132428197906202815"</f>
        <v>132428197906202815</v>
      </c>
      <c r="D23562" t="s">
        <v>1</v>
      </c>
      <c r="E23562" t="s">
        <v>1</v>
      </c>
      <c r="F23562" t="s">
        <v>0</v>
      </c>
      <c r="G23562" t="str">
        <f>"2018-10-06 16:19:49"</f>
        <v>2018-10-06 16:19:49</v>
      </c>
    </row>
    <row r="23563" spans="1:7" x14ac:dyDescent="0.2">
      <c r="A23563" t="s">
        <v>21870</v>
      </c>
      <c r="B23563" t="str">
        <f>"13418666523"</f>
        <v>13418666523</v>
      </c>
      <c r="C23563" t="str">
        <f>"441581198605230015"</f>
        <v>441581198605230015</v>
      </c>
      <c r="D23563" t="s">
        <v>1</v>
      </c>
      <c r="E23563" t="s">
        <v>1</v>
      </c>
      <c r="F23563" t="s">
        <v>0</v>
      </c>
      <c r="G23563" t="str">
        <f>"2018-10-07 12:55:49"</f>
        <v>2018-10-07 12:55:49</v>
      </c>
    </row>
    <row r="23564" spans="1:7" x14ac:dyDescent="0.2">
      <c r="A23564" t="s">
        <v>1</v>
      </c>
      <c r="B23564" t="str">
        <f>"15706596214"</f>
        <v>15706596214</v>
      </c>
      <c r="C23564" t="s">
        <v>1</v>
      </c>
      <c r="D23564" t="s">
        <v>1</v>
      </c>
      <c r="E23564" t="s">
        <v>1</v>
      </c>
      <c r="F23564" t="s">
        <v>0</v>
      </c>
      <c r="G23564" t="str">
        <f>"2018-10-06 16:19:37"</f>
        <v>2018-10-06 16:19:37</v>
      </c>
    </row>
    <row r="23565" spans="1:7" x14ac:dyDescent="0.2">
      <c r="A23565" t="s">
        <v>21871</v>
      </c>
      <c r="B23565" t="str">
        <f>"15059234568"</f>
        <v>15059234568</v>
      </c>
      <c r="C23565" t="str">
        <f>"350521198712226514"</f>
        <v>350521198712226514</v>
      </c>
      <c r="D23565" t="s">
        <v>21872</v>
      </c>
      <c r="E23565" t="s">
        <v>21873</v>
      </c>
      <c r="F23565" t="s">
        <v>0</v>
      </c>
      <c r="G23565" t="str">
        <f>"2018-10-06 16:19:26"</f>
        <v>2018-10-06 16:19:26</v>
      </c>
    </row>
    <row r="23566" spans="1:7" x14ac:dyDescent="0.2">
      <c r="A23566" t="s">
        <v>9149</v>
      </c>
      <c r="B23566" t="str">
        <f>"13378944066"</f>
        <v>13378944066</v>
      </c>
      <c r="C23566" t="str">
        <f>"430419198205183399"</f>
        <v>430419198205183399</v>
      </c>
      <c r="D23566" t="s">
        <v>701</v>
      </c>
      <c r="E23566" t="s">
        <v>21874</v>
      </c>
      <c r="F23566" t="s">
        <v>0</v>
      </c>
      <c r="G23566" t="str">
        <f>"2018-10-06 16:21:28"</f>
        <v>2018-10-06 16:21:28</v>
      </c>
    </row>
    <row r="23567" spans="1:7" x14ac:dyDescent="0.2">
      <c r="A23567" t="s">
        <v>21875</v>
      </c>
      <c r="B23567" t="str">
        <f>"18181215100"</f>
        <v>18181215100</v>
      </c>
      <c r="C23567" t="str">
        <f>"512221197311162979"</f>
        <v>512221197311162979</v>
      </c>
      <c r="D23567" t="s">
        <v>1</v>
      </c>
      <c r="E23567" t="s">
        <v>1</v>
      </c>
      <c r="F23567" t="s">
        <v>0</v>
      </c>
      <c r="G23567" t="str">
        <f>"2018-10-06 16:20:53"</f>
        <v>2018-10-06 16:20:53</v>
      </c>
    </row>
    <row r="23568" spans="1:7" x14ac:dyDescent="0.2">
      <c r="A23568" t="s">
        <v>21876</v>
      </c>
      <c r="B23568" t="str">
        <f>"15128620889"</f>
        <v>15128620889</v>
      </c>
      <c r="C23568" t="str">
        <f>"132629197104243313"</f>
        <v>132629197104243313</v>
      </c>
      <c r="D23568" t="s">
        <v>1</v>
      </c>
      <c r="E23568" t="s">
        <v>1</v>
      </c>
      <c r="F23568" t="s">
        <v>0</v>
      </c>
      <c r="G23568" t="str">
        <f>"2018-10-06 16:19:08"</f>
        <v>2018-10-06 16:19:08</v>
      </c>
    </row>
    <row r="23569" spans="1:7" x14ac:dyDescent="0.2">
      <c r="A23569" t="s">
        <v>1</v>
      </c>
      <c r="B23569" t="str">
        <f>"13881955855"</f>
        <v>13881955855</v>
      </c>
      <c r="C23569" t="s">
        <v>1</v>
      </c>
      <c r="D23569" t="s">
        <v>1</v>
      </c>
      <c r="E23569" t="s">
        <v>1</v>
      </c>
      <c r="F23569" t="s">
        <v>0</v>
      </c>
      <c r="G23569" t="str">
        <f>"2018-10-06 16:20:03"</f>
        <v>2018-10-06 16:20:03</v>
      </c>
    </row>
    <row r="23570" spans="1:7" x14ac:dyDescent="0.2">
      <c r="A23570" t="s">
        <v>454</v>
      </c>
      <c r="B23570" t="str">
        <f>"17625362355"</f>
        <v>17625362355</v>
      </c>
      <c r="C23570" t="str">
        <f>"42032119970707313X"</f>
        <v>42032119970707313X</v>
      </c>
      <c r="D23570" t="s">
        <v>1</v>
      </c>
      <c r="E23570" t="s">
        <v>1</v>
      </c>
      <c r="F23570" t="s">
        <v>0</v>
      </c>
      <c r="G23570" t="str">
        <f>"2018-10-06 16:19:42"</f>
        <v>2018-10-06 16:19:42</v>
      </c>
    </row>
    <row r="23571" spans="1:7" x14ac:dyDescent="0.2">
      <c r="A23571" t="s">
        <v>1257</v>
      </c>
      <c r="B23571" t="str">
        <f>"18986242505"</f>
        <v>18986242505</v>
      </c>
      <c r="C23571" t="str">
        <f>"42090219880720225X"</f>
        <v>42090219880720225X</v>
      </c>
      <c r="D23571" t="s">
        <v>21877</v>
      </c>
      <c r="E23571" t="s">
        <v>21878</v>
      </c>
      <c r="F23571" t="s">
        <v>0</v>
      </c>
      <c r="G23571" t="str">
        <f>"2018-10-06 16:25:52"</f>
        <v>2018-10-06 16:25:52</v>
      </c>
    </row>
    <row r="23572" spans="1:7" x14ac:dyDescent="0.2">
      <c r="A23572" t="s">
        <v>9452</v>
      </c>
      <c r="B23572" t="str">
        <f>"15038805674"</f>
        <v>15038805674</v>
      </c>
      <c r="C23572" t="str">
        <f>"410425198612196537"</f>
        <v>410425198612196537</v>
      </c>
      <c r="D23572" t="s">
        <v>1</v>
      </c>
      <c r="E23572" t="s">
        <v>1</v>
      </c>
      <c r="F23572" t="s">
        <v>0</v>
      </c>
      <c r="G23572" t="str">
        <f>"2018-10-13 11:15:39"</f>
        <v>2018-10-13 11:15:39</v>
      </c>
    </row>
    <row r="23573" spans="1:7" x14ac:dyDescent="0.2">
      <c r="A23573" t="s">
        <v>21879</v>
      </c>
      <c r="B23573" t="str">
        <f>"18656948790"</f>
        <v>18656948790</v>
      </c>
      <c r="C23573" t="str">
        <f>"362323199502023217"</f>
        <v>362323199502023217</v>
      </c>
      <c r="D23573" t="s">
        <v>1</v>
      </c>
      <c r="E23573" t="s">
        <v>1</v>
      </c>
      <c r="F23573" t="s">
        <v>0</v>
      </c>
      <c r="G23573" t="str">
        <f>"2018-10-06 17:31:55"</f>
        <v>2018-10-06 17:31:55</v>
      </c>
    </row>
    <row r="23574" spans="1:7" x14ac:dyDescent="0.2">
      <c r="A23574" t="s">
        <v>21880</v>
      </c>
      <c r="B23574" t="str">
        <f>"18826176668"</f>
        <v>18826176668</v>
      </c>
      <c r="C23574" t="str">
        <f>"522226199610253240"</f>
        <v>522226199610253240</v>
      </c>
      <c r="D23574" t="s">
        <v>1</v>
      </c>
      <c r="E23574" t="s">
        <v>1</v>
      </c>
      <c r="F23574" t="s">
        <v>0</v>
      </c>
      <c r="G23574" t="str">
        <f>"2018-10-06 16:24:47"</f>
        <v>2018-10-06 16:24:47</v>
      </c>
    </row>
    <row r="23575" spans="1:7" x14ac:dyDescent="0.2">
      <c r="A23575" t="s">
        <v>622</v>
      </c>
      <c r="B23575" t="str">
        <f>"18611534285"</f>
        <v>18611534285</v>
      </c>
      <c r="C23575" t="str">
        <f>"370911199002105213"</f>
        <v>370911199002105213</v>
      </c>
      <c r="D23575" t="s">
        <v>1</v>
      </c>
      <c r="E23575" t="s">
        <v>1</v>
      </c>
      <c r="F23575" t="s">
        <v>0</v>
      </c>
      <c r="G23575" t="str">
        <f>"2018-10-22 16:20:03"</f>
        <v>2018-10-22 16:20:03</v>
      </c>
    </row>
    <row r="23576" spans="1:7" x14ac:dyDescent="0.2">
      <c r="A23576" t="s">
        <v>1</v>
      </c>
      <c r="B23576" t="str">
        <f>"18240333348"</f>
        <v>18240333348</v>
      </c>
      <c r="C23576" t="s">
        <v>1</v>
      </c>
      <c r="D23576" t="s">
        <v>1</v>
      </c>
      <c r="E23576" t="s">
        <v>1</v>
      </c>
      <c r="F23576" t="s">
        <v>0</v>
      </c>
      <c r="G23576" t="str">
        <f>"2018-10-06 16:19:21"</f>
        <v>2018-10-06 16:19:21</v>
      </c>
    </row>
    <row r="23577" spans="1:7" x14ac:dyDescent="0.2">
      <c r="A23577" t="s">
        <v>21881</v>
      </c>
      <c r="B23577" t="str">
        <f>"18579811512"</f>
        <v>18579811512</v>
      </c>
      <c r="C23577" t="str">
        <f>"452128199312101512"</f>
        <v>452128199312101512</v>
      </c>
      <c r="D23577" t="s">
        <v>1</v>
      </c>
      <c r="E23577" t="s">
        <v>1</v>
      </c>
      <c r="F23577" t="s">
        <v>0</v>
      </c>
      <c r="G23577" t="str">
        <f>"2018-10-06 16:17:35"</f>
        <v>2018-10-06 16:17:35</v>
      </c>
    </row>
    <row r="23578" spans="1:7" x14ac:dyDescent="0.2">
      <c r="A23578" t="s">
        <v>1</v>
      </c>
      <c r="B23578" t="str">
        <f>"15707174518"</f>
        <v>15707174518</v>
      </c>
      <c r="C23578" t="s">
        <v>1</v>
      </c>
      <c r="D23578" t="s">
        <v>1</v>
      </c>
      <c r="E23578" t="s">
        <v>1</v>
      </c>
      <c r="F23578" t="s">
        <v>0</v>
      </c>
      <c r="G23578" t="str">
        <f>"2018-10-06 16:16:33"</f>
        <v>2018-10-06 16:16:33</v>
      </c>
    </row>
    <row r="23579" spans="1:7" x14ac:dyDescent="0.2">
      <c r="A23579" t="s">
        <v>1567</v>
      </c>
      <c r="B23579" t="str">
        <f>"13227023368"</f>
        <v>13227023368</v>
      </c>
      <c r="C23579" t="str">
        <f>"610122199112094952"</f>
        <v>610122199112094952</v>
      </c>
      <c r="D23579" t="s">
        <v>21882</v>
      </c>
      <c r="E23579" t="s">
        <v>21883</v>
      </c>
      <c r="F23579" t="s">
        <v>0</v>
      </c>
      <c r="G23579" t="str">
        <f>"2018-10-06 16:17:52"</f>
        <v>2018-10-06 16:17:52</v>
      </c>
    </row>
    <row r="23580" spans="1:7" x14ac:dyDescent="0.2">
      <c r="A23580" t="s">
        <v>1</v>
      </c>
      <c r="B23580" t="str">
        <f>"13389759630"</f>
        <v>13389759630</v>
      </c>
      <c r="C23580" t="s">
        <v>1</v>
      </c>
      <c r="D23580" t="s">
        <v>1</v>
      </c>
      <c r="E23580" t="s">
        <v>1</v>
      </c>
      <c r="F23580" t="s">
        <v>0</v>
      </c>
      <c r="G23580" t="str">
        <f>"2018-10-06 16:16:01"</f>
        <v>2018-10-06 16:16:01</v>
      </c>
    </row>
    <row r="23581" spans="1:7" x14ac:dyDescent="0.2">
      <c r="A23581" t="s">
        <v>21884</v>
      </c>
      <c r="B23581" t="str">
        <f>"18968600862"</f>
        <v>18968600862</v>
      </c>
      <c r="C23581" t="str">
        <f>"331022200002093012"</f>
        <v>331022200002093012</v>
      </c>
      <c r="D23581" t="s">
        <v>1</v>
      </c>
      <c r="E23581" t="s">
        <v>1</v>
      </c>
      <c r="F23581" t="s">
        <v>0</v>
      </c>
      <c r="G23581" t="str">
        <f>"2018-10-06 16:17:32"</f>
        <v>2018-10-06 16:17:32</v>
      </c>
    </row>
    <row r="23582" spans="1:7" x14ac:dyDescent="0.2">
      <c r="A23582" t="s">
        <v>21885</v>
      </c>
      <c r="B23582" t="str">
        <f>"18083225000"</f>
        <v>18083225000</v>
      </c>
      <c r="C23582" t="str">
        <f>"522221198810205810"</f>
        <v>522221198810205810</v>
      </c>
      <c r="D23582" t="s">
        <v>1</v>
      </c>
      <c r="E23582" t="s">
        <v>1</v>
      </c>
      <c r="F23582" t="s">
        <v>0</v>
      </c>
      <c r="G23582" t="str">
        <f>"2018-10-06 16:18:16"</f>
        <v>2018-10-06 16:18:16</v>
      </c>
    </row>
    <row r="23583" spans="1:7" x14ac:dyDescent="0.2">
      <c r="A23583" t="s">
        <v>1</v>
      </c>
      <c r="B23583" t="str">
        <f>"15122202072"</f>
        <v>15122202072</v>
      </c>
      <c r="C23583" t="s">
        <v>1</v>
      </c>
      <c r="D23583" t="s">
        <v>1</v>
      </c>
      <c r="E23583" t="s">
        <v>1</v>
      </c>
      <c r="F23583" t="s">
        <v>0</v>
      </c>
      <c r="G23583" t="str">
        <f>"2018-10-06 16:15:40"</f>
        <v>2018-10-06 16:15:40</v>
      </c>
    </row>
    <row r="23584" spans="1:7" x14ac:dyDescent="0.2">
      <c r="A23584" t="s">
        <v>1</v>
      </c>
      <c r="B23584" t="str">
        <f>"18577173887"</f>
        <v>18577173887</v>
      </c>
      <c r="C23584" t="s">
        <v>1</v>
      </c>
      <c r="D23584" t="s">
        <v>1</v>
      </c>
      <c r="E23584" t="s">
        <v>1</v>
      </c>
      <c r="F23584" t="s">
        <v>0</v>
      </c>
      <c r="G23584" t="str">
        <f>"2018-10-06 16:15:38"</f>
        <v>2018-10-06 16:15:38</v>
      </c>
    </row>
    <row r="23585" spans="1:7" x14ac:dyDescent="0.2">
      <c r="A23585" t="s">
        <v>21886</v>
      </c>
      <c r="B23585" t="str">
        <f>"15151417667"</f>
        <v>15151417667</v>
      </c>
      <c r="C23585" t="str">
        <f>"341103199306241478"</f>
        <v>341103199306241478</v>
      </c>
      <c r="D23585" t="s">
        <v>1</v>
      </c>
      <c r="E23585" t="s">
        <v>1</v>
      </c>
      <c r="F23585" t="s">
        <v>0</v>
      </c>
      <c r="G23585" t="str">
        <f>"2018-10-06 16:16:15"</f>
        <v>2018-10-06 16:16:15</v>
      </c>
    </row>
    <row r="23586" spans="1:7" x14ac:dyDescent="0.2">
      <c r="A23586" t="s">
        <v>1</v>
      </c>
      <c r="B23586" t="str">
        <f>"13737035246"</f>
        <v>13737035246</v>
      </c>
      <c r="C23586" t="s">
        <v>1</v>
      </c>
      <c r="D23586" t="s">
        <v>1</v>
      </c>
      <c r="E23586" t="s">
        <v>1</v>
      </c>
      <c r="F23586" t="s">
        <v>0</v>
      </c>
      <c r="G23586" t="str">
        <f>"2018-10-06 16:15:07"</f>
        <v>2018-10-06 16:15:07</v>
      </c>
    </row>
    <row r="23587" spans="1:7" x14ac:dyDescent="0.2">
      <c r="A23587" t="s">
        <v>21887</v>
      </c>
      <c r="B23587" t="str">
        <f>"18827553293"</f>
        <v>18827553293</v>
      </c>
      <c r="C23587" t="str">
        <f>"612324199701203171"</f>
        <v>612324199701203171</v>
      </c>
      <c r="D23587" t="s">
        <v>1</v>
      </c>
      <c r="E23587" t="s">
        <v>1</v>
      </c>
      <c r="F23587" t="s">
        <v>0</v>
      </c>
      <c r="G23587" t="str">
        <f>"2018-10-06 16:16:37"</f>
        <v>2018-10-06 16:16:37</v>
      </c>
    </row>
    <row r="23588" spans="1:7" x14ac:dyDescent="0.2">
      <c r="A23588" t="s">
        <v>21888</v>
      </c>
      <c r="B23588" t="str">
        <f>"13581374780"</f>
        <v>13581374780</v>
      </c>
      <c r="C23588" t="str">
        <f>"420325198404087017"</f>
        <v>420325198404087017</v>
      </c>
      <c r="D23588" t="s">
        <v>21889</v>
      </c>
      <c r="E23588" t="s">
        <v>21890</v>
      </c>
      <c r="F23588" t="s">
        <v>0</v>
      </c>
      <c r="G23588" t="str">
        <f>"2018-10-11 19:55:39"</f>
        <v>2018-10-11 19:55:39</v>
      </c>
    </row>
    <row r="23589" spans="1:7" x14ac:dyDescent="0.2">
      <c r="A23589" t="s">
        <v>1</v>
      </c>
      <c r="B23589" t="str">
        <f>"15706591620"</f>
        <v>15706591620</v>
      </c>
      <c r="C23589" t="s">
        <v>1</v>
      </c>
      <c r="D23589" t="s">
        <v>1</v>
      </c>
      <c r="E23589" t="s">
        <v>1</v>
      </c>
      <c r="F23589" t="s">
        <v>0</v>
      </c>
      <c r="G23589" t="str">
        <f>"2018-10-06 16:13:51"</f>
        <v>2018-10-06 16:13:51</v>
      </c>
    </row>
    <row r="23590" spans="1:7" x14ac:dyDescent="0.2">
      <c r="A23590" t="s">
        <v>21891</v>
      </c>
      <c r="B23590" t="str">
        <f>"15088385791"</f>
        <v>15088385791</v>
      </c>
      <c r="C23590" t="str">
        <f>"330521198403253830"</f>
        <v>330521198403253830</v>
      </c>
      <c r="D23590" t="s">
        <v>21892</v>
      </c>
      <c r="E23590" t="s">
        <v>21893</v>
      </c>
      <c r="F23590" t="s">
        <v>0</v>
      </c>
      <c r="G23590" t="str">
        <f>"2018-10-06 16:15:17"</f>
        <v>2018-10-06 16:15:17</v>
      </c>
    </row>
    <row r="23591" spans="1:7" x14ac:dyDescent="0.2">
      <c r="A23591" t="s">
        <v>21894</v>
      </c>
      <c r="B23591" t="str">
        <f>"15190296883"</f>
        <v>15190296883</v>
      </c>
      <c r="C23591" t="str">
        <f>"370982199108250422"</f>
        <v>370982199108250422</v>
      </c>
      <c r="D23591" t="s">
        <v>21895</v>
      </c>
      <c r="E23591" t="s">
        <v>21896</v>
      </c>
      <c r="F23591" t="s">
        <v>0</v>
      </c>
      <c r="G23591" t="str">
        <f>"2018-10-06 16:20:07"</f>
        <v>2018-10-06 16:20:07</v>
      </c>
    </row>
    <row r="23592" spans="1:7" x14ac:dyDescent="0.2">
      <c r="A23592" t="s">
        <v>21897</v>
      </c>
      <c r="B23592" t="str">
        <f>"18075210990"</f>
        <v>18075210990</v>
      </c>
      <c r="C23592" t="str">
        <f>"341622199701063321"</f>
        <v>341622199701063321</v>
      </c>
      <c r="D23592" t="s">
        <v>1</v>
      </c>
      <c r="E23592" t="s">
        <v>1</v>
      </c>
      <c r="F23592" t="s">
        <v>0</v>
      </c>
      <c r="G23592" t="str">
        <f>"2018-10-06 16:17:02"</f>
        <v>2018-10-06 16:17:02</v>
      </c>
    </row>
    <row r="23593" spans="1:7" x14ac:dyDescent="0.2">
      <c r="A23593" t="s">
        <v>1</v>
      </c>
      <c r="B23593" t="str">
        <f>"13235444702"</f>
        <v>13235444702</v>
      </c>
      <c r="C23593" t="s">
        <v>1</v>
      </c>
      <c r="D23593" t="s">
        <v>1</v>
      </c>
      <c r="E23593" t="s">
        <v>1</v>
      </c>
      <c r="F23593" t="s">
        <v>0</v>
      </c>
      <c r="G23593" t="str">
        <f>"2018-10-06 16:12:22"</f>
        <v>2018-10-06 16:12:22</v>
      </c>
    </row>
    <row r="23594" spans="1:7" x14ac:dyDescent="0.2">
      <c r="A23594" t="s">
        <v>21898</v>
      </c>
      <c r="B23594" t="str">
        <f>"15929422522"</f>
        <v>15929422522</v>
      </c>
      <c r="C23594" t="str">
        <f>"612322199603115415"</f>
        <v>612322199603115415</v>
      </c>
      <c r="D23594" t="s">
        <v>1</v>
      </c>
      <c r="E23594" t="s">
        <v>1</v>
      </c>
      <c r="F23594" t="s">
        <v>0</v>
      </c>
      <c r="G23594" t="str">
        <f>"2018-10-13 18:20:40"</f>
        <v>2018-10-13 18:20:40</v>
      </c>
    </row>
    <row r="23595" spans="1:7" x14ac:dyDescent="0.2">
      <c r="A23595" t="s">
        <v>21899</v>
      </c>
      <c r="B23595" t="str">
        <f>"18071735820"</f>
        <v>18071735820</v>
      </c>
      <c r="C23595" t="str">
        <f>"420104197702260415"</f>
        <v>420104197702260415</v>
      </c>
      <c r="D23595" t="s">
        <v>1</v>
      </c>
      <c r="E23595" t="s">
        <v>1</v>
      </c>
      <c r="F23595" t="s">
        <v>0</v>
      </c>
      <c r="G23595" t="str">
        <f>"2018-10-06 16:15:03"</f>
        <v>2018-10-06 16:15:03</v>
      </c>
    </row>
    <row r="23596" spans="1:7" x14ac:dyDescent="0.2">
      <c r="A23596" t="s">
        <v>21900</v>
      </c>
      <c r="B23596" t="str">
        <f>"18607018097"</f>
        <v>18607018097</v>
      </c>
      <c r="C23596" t="str">
        <f>"360681198702090813"</f>
        <v>360681198702090813</v>
      </c>
      <c r="D23596" t="s">
        <v>1</v>
      </c>
      <c r="E23596" t="s">
        <v>1</v>
      </c>
      <c r="F23596" t="s">
        <v>0</v>
      </c>
      <c r="G23596" t="str">
        <f>"2018-10-15 09:48:15"</f>
        <v>2018-10-15 09:48:15</v>
      </c>
    </row>
    <row r="23597" spans="1:7" x14ac:dyDescent="0.2">
      <c r="A23597" t="s">
        <v>1</v>
      </c>
      <c r="B23597" t="str">
        <f>"15577619497"</f>
        <v>15577619497</v>
      </c>
      <c r="C23597" t="s">
        <v>1</v>
      </c>
      <c r="D23597" t="s">
        <v>1</v>
      </c>
      <c r="E23597" t="s">
        <v>1</v>
      </c>
      <c r="F23597" t="s">
        <v>0</v>
      </c>
      <c r="G23597" t="str">
        <f>"2018-10-06 16:11:48"</f>
        <v>2018-10-06 16:11:48</v>
      </c>
    </row>
    <row r="23598" spans="1:7" x14ac:dyDescent="0.2">
      <c r="A23598" t="s">
        <v>1</v>
      </c>
      <c r="B23598" t="str">
        <f>"15707188420"</f>
        <v>15707188420</v>
      </c>
      <c r="C23598" t="s">
        <v>1</v>
      </c>
      <c r="D23598" t="s">
        <v>1</v>
      </c>
      <c r="E23598" t="s">
        <v>1</v>
      </c>
      <c r="F23598" t="s">
        <v>0</v>
      </c>
      <c r="G23598" t="str">
        <f>"2018-10-06 16:11:14"</f>
        <v>2018-10-06 16:11:14</v>
      </c>
    </row>
    <row r="23599" spans="1:7" x14ac:dyDescent="0.2">
      <c r="A23599" t="s">
        <v>1</v>
      </c>
      <c r="B23599" t="str">
        <f>"18052239889"</f>
        <v>18052239889</v>
      </c>
      <c r="C23599" t="s">
        <v>1</v>
      </c>
      <c r="D23599" t="s">
        <v>1</v>
      </c>
      <c r="E23599" t="s">
        <v>1</v>
      </c>
      <c r="F23599" t="s">
        <v>0</v>
      </c>
      <c r="G23599" t="str">
        <f>"2018-10-06 16:10:48"</f>
        <v>2018-10-06 16:10:48</v>
      </c>
    </row>
    <row r="23600" spans="1:7" x14ac:dyDescent="0.2">
      <c r="A23600" t="s">
        <v>21901</v>
      </c>
      <c r="B23600" t="str">
        <f>"13790164032"</f>
        <v>13790164032</v>
      </c>
      <c r="C23600" t="str">
        <f>"42102419730815341X"</f>
        <v>42102419730815341X</v>
      </c>
      <c r="D23600" t="s">
        <v>1</v>
      </c>
      <c r="E23600" t="s">
        <v>1</v>
      </c>
      <c r="F23600" t="s">
        <v>0</v>
      </c>
      <c r="G23600" t="str">
        <f>"2018-10-06 16:10:10"</f>
        <v>2018-10-06 16:10:10</v>
      </c>
    </row>
    <row r="23601" spans="1:7" x14ac:dyDescent="0.2">
      <c r="A23601" t="s">
        <v>21902</v>
      </c>
      <c r="B23601" t="str">
        <f>"15243891567"</f>
        <v>15243891567</v>
      </c>
      <c r="C23601" t="str">
        <f>"432524198904150033"</f>
        <v>432524198904150033</v>
      </c>
      <c r="D23601" t="s">
        <v>21903</v>
      </c>
      <c r="E23601" t="s">
        <v>21904</v>
      </c>
      <c r="F23601" t="s">
        <v>0</v>
      </c>
      <c r="G23601" t="str">
        <f>"2018-10-06 16:28:00"</f>
        <v>2018-10-06 16:28:00</v>
      </c>
    </row>
    <row r="23602" spans="1:7" x14ac:dyDescent="0.2">
      <c r="A23602" t="s">
        <v>21902</v>
      </c>
      <c r="B23602" t="str">
        <f>"15243891567"</f>
        <v>15243891567</v>
      </c>
      <c r="C23602" t="str">
        <f>"432524198904150033"</f>
        <v>432524198904150033</v>
      </c>
      <c r="D23602" t="s">
        <v>21903</v>
      </c>
      <c r="E23602" t="s">
        <v>21904</v>
      </c>
      <c r="F23602" t="s">
        <v>0</v>
      </c>
      <c r="G23602" t="str">
        <f>"2018-10-06 16:28:00"</f>
        <v>2018-10-06 16:28:00</v>
      </c>
    </row>
    <row r="23603" spans="1:7" x14ac:dyDescent="0.2">
      <c r="A23603" t="s">
        <v>1</v>
      </c>
      <c r="B23603" t="str">
        <f>"15706595414"</f>
        <v>15706595414</v>
      </c>
      <c r="C23603" t="s">
        <v>1</v>
      </c>
      <c r="D23603" t="s">
        <v>1</v>
      </c>
      <c r="E23603" t="s">
        <v>1</v>
      </c>
      <c r="F23603" t="s">
        <v>0</v>
      </c>
      <c r="G23603" t="str">
        <f>"2018-10-06 16:09:43"</f>
        <v>2018-10-06 16:09:43</v>
      </c>
    </row>
    <row r="23604" spans="1:7" x14ac:dyDescent="0.2">
      <c r="A23604" t="s">
        <v>21905</v>
      </c>
      <c r="B23604" t="str">
        <f>"15608099812"</f>
        <v>15608099812</v>
      </c>
      <c r="C23604" t="str">
        <f>"510503199505233051"</f>
        <v>510503199505233051</v>
      </c>
      <c r="D23604" t="s">
        <v>1</v>
      </c>
      <c r="E23604" t="s">
        <v>1</v>
      </c>
      <c r="F23604" t="s">
        <v>0</v>
      </c>
      <c r="G23604" t="str">
        <f>"2018-10-06 16:10:40"</f>
        <v>2018-10-06 16:10:40</v>
      </c>
    </row>
    <row r="23605" spans="1:7" x14ac:dyDescent="0.2">
      <c r="A23605" t="s">
        <v>1</v>
      </c>
      <c r="B23605" t="str">
        <f>"13197600542"</f>
        <v>13197600542</v>
      </c>
      <c r="C23605" t="s">
        <v>1</v>
      </c>
      <c r="D23605" t="s">
        <v>1</v>
      </c>
      <c r="E23605" t="s">
        <v>1</v>
      </c>
      <c r="F23605" t="s">
        <v>0</v>
      </c>
      <c r="G23605" t="str">
        <f>"2018-10-06 16:09:31"</f>
        <v>2018-10-06 16:09:31</v>
      </c>
    </row>
    <row r="23606" spans="1:7" x14ac:dyDescent="0.2">
      <c r="A23606" t="s">
        <v>1</v>
      </c>
      <c r="B23606" t="str">
        <f>"15269960036"</f>
        <v>15269960036</v>
      </c>
      <c r="C23606" t="s">
        <v>1</v>
      </c>
      <c r="D23606" t="s">
        <v>1</v>
      </c>
      <c r="E23606" t="s">
        <v>1</v>
      </c>
      <c r="F23606" t="s">
        <v>0</v>
      </c>
      <c r="G23606" t="str">
        <f>"2018-10-07 07:58:44"</f>
        <v>2018-10-07 07:58:44</v>
      </c>
    </row>
    <row r="23607" spans="1:7" x14ac:dyDescent="0.2">
      <c r="A23607" t="s">
        <v>21906</v>
      </c>
      <c r="B23607" t="str">
        <f>"18724719521"</f>
        <v>18724719521</v>
      </c>
      <c r="C23607" t="str">
        <f>"370282199506183853"</f>
        <v>370282199506183853</v>
      </c>
      <c r="D23607" t="s">
        <v>1</v>
      </c>
      <c r="E23607" t="s">
        <v>1</v>
      </c>
      <c r="F23607" t="s">
        <v>0</v>
      </c>
      <c r="G23607" t="str">
        <f>"2018-10-06 16:11:34"</f>
        <v>2018-10-06 16:11:34</v>
      </c>
    </row>
    <row r="23608" spans="1:7" x14ac:dyDescent="0.2">
      <c r="A23608" t="s">
        <v>1</v>
      </c>
      <c r="B23608" t="str">
        <f>"18149192330"</f>
        <v>18149192330</v>
      </c>
      <c r="C23608" t="s">
        <v>1</v>
      </c>
      <c r="D23608" t="s">
        <v>1</v>
      </c>
      <c r="E23608" t="s">
        <v>1</v>
      </c>
      <c r="F23608" t="s">
        <v>0</v>
      </c>
      <c r="G23608" t="str">
        <f>"2018-10-06 16:09:19"</f>
        <v>2018-10-06 16:09:19</v>
      </c>
    </row>
    <row r="23609" spans="1:7" x14ac:dyDescent="0.2">
      <c r="A23609" t="s">
        <v>251</v>
      </c>
      <c r="B23609" t="str">
        <f>"15516448676"</f>
        <v>15516448676</v>
      </c>
      <c r="C23609" t="str">
        <f>"410703197403183549"</f>
        <v>410703197403183549</v>
      </c>
      <c r="D23609" t="s">
        <v>21907</v>
      </c>
      <c r="E23609" t="s">
        <v>21908</v>
      </c>
      <c r="F23609" t="s">
        <v>0</v>
      </c>
      <c r="G23609" t="str">
        <f>"2018-10-06 16:40:32"</f>
        <v>2018-10-06 16:40:32</v>
      </c>
    </row>
    <row r="23610" spans="1:7" x14ac:dyDescent="0.2">
      <c r="A23610" t="s">
        <v>21909</v>
      </c>
      <c r="B23610" t="str">
        <f>"13213811160"</f>
        <v>13213811160</v>
      </c>
      <c r="C23610" t="str">
        <f>"410421199108104583"</f>
        <v>410421199108104583</v>
      </c>
      <c r="D23610" t="s">
        <v>1</v>
      </c>
      <c r="E23610" t="s">
        <v>1</v>
      </c>
      <c r="F23610" t="s">
        <v>0</v>
      </c>
      <c r="G23610" t="str">
        <f>"2018-10-20 11:33:14"</f>
        <v>2018-10-20 11:33:14</v>
      </c>
    </row>
    <row r="23611" spans="1:7" x14ac:dyDescent="0.2">
      <c r="A23611" t="s">
        <v>21910</v>
      </c>
      <c r="B23611" t="str">
        <f>"13616090803"</f>
        <v>13616090803</v>
      </c>
      <c r="C23611" t="str">
        <f>"352228199902034016"</f>
        <v>352228199902034016</v>
      </c>
      <c r="D23611" t="s">
        <v>21911</v>
      </c>
      <c r="E23611" t="s">
        <v>21912</v>
      </c>
      <c r="F23611" t="s">
        <v>0</v>
      </c>
      <c r="G23611" t="str">
        <f>"2018-10-06 16:39:39"</f>
        <v>2018-10-06 16:39:39</v>
      </c>
    </row>
    <row r="23612" spans="1:7" x14ac:dyDescent="0.2">
      <c r="A23612" t="s">
        <v>1</v>
      </c>
      <c r="B23612" t="str">
        <f>"15295744159"</f>
        <v>15295744159</v>
      </c>
      <c r="C23612" t="s">
        <v>1</v>
      </c>
      <c r="D23612" t="s">
        <v>1</v>
      </c>
      <c r="E23612" t="s">
        <v>1</v>
      </c>
      <c r="F23612" t="s">
        <v>0</v>
      </c>
      <c r="G23612" t="str">
        <f>"2018-10-06 16:08:52"</f>
        <v>2018-10-06 16:08:52</v>
      </c>
    </row>
    <row r="23613" spans="1:7" x14ac:dyDescent="0.2">
      <c r="A23613" t="s">
        <v>21913</v>
      </c>
      <c r="B23613" t="str">
        <f>"18322218314"</f>
        <v>18322218314</v>
      </c>
      <c r="C23613" t="str">
        <f>"120225198811255237"</f>
        <v>120225198811255237</v>
      </c>
      <c r="D23613" t="s">
        <v>1</v>
      </c>
      <c r="E23613" t="s">
        <v>1</v>
      </c>
      <c r="F23613" t="s">
        <v>0</v>
      </c>
      <c r="G23613" t="str">
        <f>"2018-10-06 16:10:37"</f>
        <v>2018-10-06 16:10:37</v>
      </c>
    </row>
    <row r="23614" spans="1:7" x14ac:dyDescent="0.2">
      <c r="A23614" t="s">
        <v>1</v>
      </c>
      <c r="B23614" t="str">
        <f>"18984156284"</f>
        <v>18984156284</v>
      </c>
      <c r="C23614" t="s">
        <v>1</v>
      </c>
      <c r="D23614" t="s">
        <v>1</v>
      </c>
      <c r="E23614" t="s">
        <v>1</v>
      </c>
      <c r="F23614" t="s">
        <v>0</v>
      </c>
      <c r="G23614" t="str">
        <f>"2018-10-06 16:12:59"</f>
        <v>2018-10-06 16:12:59</v>
      </c>
    </row>
    <row r="23615" spans="1:7" x14ac:dyDescent="0.2">
      <c r="A23615" t="s">
        <v>1</v>
      </c>
      <c r="B23615" t="str">
        <f>"18739194705"</f>
        <v>18739194705</v>
      </c>
      <c r="C23615" t="s">
        <v>1</v>
      </c>
      <c r="D23615" t="s">
        <v>1</v>
      </c>
      <c r="E23615" t="s">
        <v>1</v>
      </c>
      <c r="F23615" t="s">
        <v>0</v>
      </c>
      <c r="G23615" t="str">
        <f>"2018-10-06 16:08:24"</f>
        <v>2018-10-06 16:08:24</v>
      </c>
    </row>
    <row r="23616" spans="1:7" x14ac:dyDescent="0.2">
      <c r="A23616" t="s">
        <v>21914</v>
      </c>
      <c r="B23616" t="str">
        <f>"13055257555"</f>
        <v>13055257555</v>
      </c>
      <c r="C23616" t="str">
        <f>"352225198510171069"</f>
        <v>352225198510171069</v>
      </c>
      <c r="D23616" t="s">
        <v>1</v>
      </c>
      <c r="E23616" t="s">
        <v>1</v>
      </c>
      <c r="F23616" t="s">
        <v>0</v>
      </c>
      <c r="G23616" t="str">
        <f>"2018-10-06 16:55:19"</f>
        <v>2018-10-06 16:55:19</v>
      </c>
    </row>
    <row r="23617" spans="1:7" x14ac:dyDescent="0.2">
      <c r="A23617" t="s">
        <v>21915</v>
      </c>
      <c r="B23617" t="str">
        <f>"18771783533"</f>
        <v>18771783533</v>
      </c>
      <c r="C23617" t="str">
        <f>"420984199105102085"</f>
        <v>420984199105102085</v>
      </c>
      <c r="D23617" t="s">
        <v>1</v>
      </c>
      <c r="E23617" t="s">
        <v>1</v>
      </c>
      <c r="F23617" t="s">
        <v>0</v>
      </c>
      <c r="G23617" t="str">
        <f>"2018-10-06 16:10:17"</f>
        <v>2018-10-06 16:10:17</v>
      </c>
    </row>
    <row r="23618" spans="1:7" x14ac:dyDescent="0.2">
      <c r="A23618" t="s">
        <v>1</v>
      </c>
      <c r="B23618" t="str">
        <f>"15706589913"</f>
        <v>15706589913</v>
      </c>
      <c r="C23618" t="s">
        <v>1</v>
      </c>
      <c r="D23618" t="s">
        <v>1</v>
      </c>
      <c r="E23618" t="s">
        <v>1</v>
      </c>
      <c r="F23618" t="s">
        <v>0</v>
      </c>
      <c r="G23618" t="str">
        <f>"2018-10-06 16:07:05"</f>
        <v>2018-10-06 16:07:05</v>
      </c>
    </row>
    <row r="23619" spans="1:7" x14ac:dyDescent="0.2">
      <c r="A23619" t="s">
        <v>1</v>
      </c>
      <c r="B23619" t="str">
        <f>"13367814131"</f>
        <v>13367814131</v>
      </c>
      <c r="C23619" t="s">
        <v>1</v>
      </c>
      <c r="D23619" t="s">
        <v>1</v>
      </c>
      <c r="E23619" t="s">
        <v>1</v>
      </c>
      <c r="F23619" t="s">
        <v>0</v>
      </c>
      <c r="G23619" t="str">
        <f>"2018-10-06 16:06:36"</f>
        <v>2018-10-06 16:06:36</v>
      </c>
    </row>
    <row r="23620" spans="1:7" x14ac:dyDescent="0.2">
      <c r="A23620" t="s">
        <v>1</v>
      </c>
      <c r="B23620" t="str">
        <f>"15374120888"</f>
        <v>15374120888</v>
      </c>
      <c r="C23620" t="s">
        <v>1</v>
      </c>
      <c r="D23620" t="s">
        <v>1</v>
      </c>
      <c r="E23620" t="s">
        <v>1</v>
      </c>
      <c r="F23620" t="s">
        <v>0</v>
      </c>
      <c r="G23620" t="str">
        <f>"2018-10-06 16:06:04"</f>
        <v>2018-10-06 16:06:04</v>
      </c>
    </row>
    <row r="23621" spans="1:7" x14ac:dyDescent="0.2">
      <c r="A23621" t="s">
        <v>21916</v>
      </c>
      <c r="B23621" t="str">
        <f>"18733618486"</f>
        <v>18733618486</v>
      </c>
      <c r="C23621" t="str">
        <f>"131023198303052029"</f>
        <v>131023198303052029</v>
      </c>
      <c r="D23621" t="s">
        <v>21917</v>
      </c>
      <c r="E23621" t="s">
        <v>21918</v>
      </c>
      <c r="F23621" t="s">
        <v>0</v>
      </c>
      <c r="G23621" t="str">
        <f>"2018-10-06 16:52:40"</f>
        <v>2018-10-06 16:52:40</v>
      </c>
    </row>
    <row r="23622" spans="1:7" x14ac:dyDescent="0.2">
      <c r="A23622" t="s">
        <v>21919</v>
      </c>
      <c r="B23622" t="str">
        <f>"15779769190"</f>
        <v>15779769190</v>
      </c>
      <c r="C23622" t="str">
        <f>"36078119960604581X"</f>
        <v>36078119960604581X</v>
      </c>
      <c r="D23622" t="s">
        <v>21920</v>
      </c>
      <c r="E23622" t="s">
        <v>21921</v>
      </c>
      <c r="F23622" t="s">
        <v>0</v>
      </c>
      <c r="G23622" t="str">
        <f>"2018-10-06 16:11:49"</f>
        <v>2018-10-06 16:11:49</v>
      </c>
    </row>
    <row r="23623" spans="1:7" x14ac:dyDescent="0.2">
      <c r="A23623" t="s">
        <v>21922</v>
      </c>
      <c r="B23623" t="str">
        <f>"17664401516"</f>
        <v>17664401516</v>
      </c>
      <c r="C23623" t="str">
        <f>"370923199605292519"</f>
        <v>370923199605292519</v>
      </c>
      <c r="D23623" t="s">
        <v>1</v>
      </c>
      <c r="E23623" t="s">
        <v>1</v>
      </c>
      <c r="F23623" t="s">
        <v>0</v>
      </c>
      <c r="G23623" t="str">
        <f>"2018-10-06 16:06:58"</f>
        <v>2018-10-06 16:06:58</v>
      </c>
    </row>
    <row r="23624" spans="1:7" x14ac:dyDescent="0.2">
      <c r="A23624" t="s">
        <v>1</v>
      </c>
      <c r="B23624" t="str">
        <f>"15707137323"</f>
        <v>15707137323</v>
      </c>
      <c r="C23624" t="s">
        <v>1</v>
      </c>
      <c r="D23624" t="s">
        <v>1</v>
      </c>
      <c r="E23624" t="s">
        <v>1</v>
      </c>
      <c r="F23624" t="s">
        <v>0</v>
      </c>
      <c r="G23624" t="str">
        <f>"2018-10-06 16:04:34"</f>
        <v>2018-10-06 16:04:34</v>
      </c>
    </row>
    <row r="23625" spans="1:7" x14ac:dyDescent="0.2">
      <c r="A23625" t="s">
        <v>1</v>
      </c>
      <c r="B23625" t="str">
        <f>"15379923092"</f>
        <v>15379923092</v>
      </c>
      <c r="C23625" t="s">
        <v>1</v>
      </c>
      <c r="D23625" t="s">
        <v>1</v>
      </c>
      <c r="E23625" t="s">
        <v>1</v>
      </c>
      <c r="F23625" t="s">
        <v>0</v>
      </c>
      <c r="G23625" t="str">
        <f>"2018-10-06 16:04:34"</f>
        <v>2018-10-06 16:04:34</v>
      </c>
    </row>
    <row r="23626" spans="1:7" x14ac:dyDescent="0.2">
      <c r="A23626" t="s">
        <v>21923</v>
      </c>
      <c r="B23626" t="str">
        <f>"13546048942"</f>
        <v>13546048942</v>
      </c>
      <c r="C23626" t="str">
        <f>"130727199403130511"</f>
        <v>130727199403130511</v>
      </c>
      <c r="D23626" t="s">
        <v>1</v>
      </c>
      <c r="E23626" t="s">
        <v>1</v>
      </c>
      <c r="F23626" t="s">
        <v>0</v>
      </c>
      <c r="G23626" t="str">
        <f>"2018-10-06 16:30:06"</f>
        <v>2018-10-06 16:30:06</v>
      </c>
    </row>
    <row r="23627" spans="1:7" x14ac:dyDescent="0.2">
      <c r="A23627" t="s">
        <v>1</v>
      </c>
      <c r="B23627" t="str">
        <f>"17797653375"</f>
        <v>17797653375</v>
      </c>
      <c r="C23627" t="s">
        <v>1</v>
      </c>
      <c r="D23627" t="s">
        <v>1</v>
      </c>
      <c r="E23627" t="s">
        <v>1</v>
      </c>
      <c r="F23627" t="s">
        <v>0</v>
      </c>
      <c r="G23627" t="str">
        <f>"2018-10-06 16:04:28"</f>
        <v>2018-10-06 16:04:28</v>
      </c>
    </row>
    <row r="23628" spans="1:7" x14ac:dyDescent="0.2">
      <c r="A23628" t="s">
        <v>1</v>
      </c>
      <c r="B23628" t="str">
        <f>"13346031555"</f>
        <v>13346031555</v>
      </c>
      <c r="C23628" t="s">
        <v>1</v>
      </c>
      <c r="D23628" t="s">
        <v>1</v>
      </c>
      <c r="E23628" t="s">
        <v>1</v>
      </c>
      <c r="F23628" t="s">
        <v>0</v>
      </c>
      <c r="G23628" t="str">
        <f>"2018-10-06 16:03:19"</f>
        <v>2018-10-06 16:03:19</v>
      </c>
    </row>
    <row r="23629" spans="1:7" x14ac:dyDescent="0.2">
      <c r="A23629" t="s">
        <v>1</v>
      </c>
      <c r="B23629" t="str">
        <f>"13615336596"</f>
        <v>13615336596</v>
      </c>
      <c r="C23629" t="s">
        <v>1</v>
      </c>
      <c r="D23629" t="s">
        <v>1</v>
      </c>
      <c r="E23629" t="s">
        <v>1</v>
      </c>
      <c r="F23629" t="s">
        <v>0</v>
      </c>
      <c r="G23629" t="str">
        <f>"2018-10-06 16:06:14"</f>
        <v>2018-10-06 16:06:14</v>
      </c>
    </row>
    <row r="23630" spans="1:7" x14ac:dyDescent="0.2">
      <c r="A23630" t="s">
        <v>336</v>
      </c>
      <c r="B23630" t="str">
        <f>"15926340611"</f>
        <v>15926340611</v>
      </c>
      <c r="C23630" t="str">
        <f>"420107198304121034"</f>
        <v>420107198304121034</v>
      </c>
      <c r="D23630" t="s">
        <v>1</v>
      </c>
      <c r="E23630" t="s">
        <v>1</v>
      </c>
      <c r="F23630" t="s">
        <v>0</v>
      </c>
      <c r="G23630" t="str">
        <f>"2018-10-06 16:06:24"</f>
        <v>2018-10-06 16:06:24</v>
      </c>
    </row>
    <row r="23631" spans="1:7" x14ac:dyDescent="0.2">
      <c r="A23631" t="s">
        <v>21924</v>
      </c>
      <c r="B23631" t="str">
        <f>"13903107040"</f>
        <v>13903107040</v>
      </c>
      <c r="C23631" t="str">
        <f>"130423198001082450"</f>
        <v>130423198001082450</v>
      </c>
      <c r="D23631" t="s">
        <v>1</v>
      </c>
      <c r="E23631" t="s">
        <v>1</v>
      </c>
      <c r="F23631" t="s">
        <v>0</v>
      </c>
      <c r="G23631" t="str">
        <f>"2018-10-06 16:04:22"</f>
        <v>2018-10-06 16:04:22</v>
      </c>
    </row>
    <row r="23632" spans="1:7" x14ac:dyDescent="0.2">
      <c r="A23632" t="s">
        <v>21925</v>
      </c>
      <c r="B23632" t="str">
        <f>"18789115890"</f>
        <v>18789115890</v>
      </c>
      <c r="C23632" t="str">
        <f>"46000219990623281X"</f>
        <v>46000219990623281X</v>
      </c>
      <c r="D23632" t="s">
        <v>1</v>
      </c>
      <c r="E23632" t="s">
        <v>1</v>
      </c>
      <c r="F23632" t="s">
        <v>0</v>
      </c>
      <c r="G23632" t="str">
        <f>"2018-10-06 16:08:53"</f>
        <v>2018-10-06 16:08:53</v>
      </c>
    </row>
    <row r="23633" spans="1:7" x14ac:dyDescent="0.2">
      <c r="A23633" t="s">
        <v>1</v>
      </c>
      <c r="B23633" t="str">
        <f>"13608863009"</f>
        <v>13608863009</v>
      </c>
      <c r="C23633" t="s">
        <v>1</v>
      </c>
      <c r="D23633" t="s">
        <v>1</v>
      </c>
      <c r="E23633" t="s">
        <v>1</v>
      </c>
      <c r="F23633" t="s">
        <v>0</v>
      </c>
      <c r="G23633" t="str">
        <f>"2018-10-06 16:01:27"</f>
        <v>2018-10-06 16:01:27</v>
      </c>
    </row>
    <row r="23634" spans="1:7" x14ac:dyDescent="0.2">
      <c r="A23634" t="s">
        <v>21926</v>
      </c>
      <c r="B23634" t="str">
        <f>"15166121803"</f>
        <v>15166121803</v>
      </c>
      <c r="C23634" t="str">
        <f>"371002198903140527"</f>
        <v>371002198903140527</v>
      </c>
      <c r="D23634" t="s">
        <v>21927</v>
      </c>
      <c r="E23634" t="s">
        <v>21928</v>
      </c>
      <c r="F23634" t="s">
        <v>0</v>
      </c>
      <c r="G23634" t="str">
        <f>"2018-10-06 16:02:39"</f>
        <v>2018-10-06 16:02:39</v>
      </c>
    </row>
    <row r="23635" spans="1:7" x14ac:dyDescent="0.2">
      <c r="A23635" t="s">
        <v>1</v>
      </c>
      <c r="B23635" t="str">
        <f>"15920802073"</f>
        <v>15920802073</v>
      </c>
      <c r="C23635" t="s">
        <v>1</v>
      </c>
      <c r="D23635" t="s">
        <v>1</v>
      </c>
      <c r="E23635" t="s">
        <v>1</v>
      </c>
      <c r="F23635" t="s">
        <v>0</v>
      </c>
      <c r="G23635" t="str">
        <f>"2018-10-06 16:01:16"</f>
        <v>2018-10-06 16:01:16</v>
      </c>
    </row>
    <row r="23636" spans="1:7" x14ac:dyDescent="0.2">
      <c r="A23636" t="s">
        <v>1</v>
      </c>
      <c r="B23636" t="str">
        <f>"15223936071"</f>
        <v>15223936071</v>
      </c>
      <c r="C23636" t="s">
        <v>1</v>
      </c>
      <c r="D23636" t="s">
        <v>1</v>
      </c>
      <c r="E23636" t="s">
        <v>1</v>
      </c>
      <c r="F23636" t="s">
        <v>0</v>
      </c>
      <c r="G23636" t="str">
        <f>"2018-10-06 16:00:57"</f>
        <v>2018-10-06 16:00:57</v>
      </c>
    </row>
    <row r="23637" spans="1:7" x14ac:dyDescent="0.2">
      <c r="A23637" t="s">
        <v>21929</v>
      </c>
      <c r="B23637" t="str">
        <f>"18722186800"</f>
        <v>18722186800</v>
      </c>
      <c r="C23637" t="str">
        <f>"13062119870728663X"</f>
        <v>13062119870728663X</v>
      </c>
      <c r="D23637" t="s">
        <v>1</v>
      </c>
      <c r="E23637" t="s">
        <v>1</v>
      </c>
      <c r="F23637" t="s">
        <v>0</v>
      </c>
      <c r="G23637" t="str">
        <f>"2018-10-06 16:01:37"</f>
        <v>2018-10-06 16:01:37</v>
      </c>
    </row>
    <row r="23638" spans="1:7" x14ac:dyDescent="0.2">
      <c r="A23638" t="s">
        <v>1</v>
      </c>
      <c r="B23638" t="str">
        <f>"15706578515"</f>
        <v>15706578515</v>
      </c>
      <c r="C23638" t="s">
        <v>1</v>
      </c>
      <c r="D23638" t="s">
        <v>1</v>
      </c>
      <c r="E23638" t="s">
        <v>1</v>
      </c>
      <c r="F23638" t="s">
        <v>0</v>
      </c>
      <c r="G23638" t="str">
        <f>"2018-10-06 15:59:47"</f>
        <v>2018-10-06 15:59:47</v>
      </c>
    </row>
    <row r="23639" spans="1:7" x14ac:dyDescent="0.2">
      <c r="A23639" t="s">
        <v>21930</v>
      </c>
      <c r="B23639" t="str">
        <f>"13709655226"</f>
        <v>13709655226</v>
      </c>
      <c r="C23639" t="str">
        <f>"500235199112228457"</f>
        <v>500235199112228457</v>
      </c>
      <c r="D23639" t="s">
        <v>1</v>
      </c>
      <c r="E23639" t="s">
        <v>1</v>
      </c>
      <c r="F23639" t="s">
        <v>0</v>
      </c>
      <c r="G23639" t="str">
        <f>"2018-10-06 16:02:08"</f>
        <v>2018-10-06 16:02:08</v>
      </c>
    </row>
    <row r="23640" spans="1:7" x14ac:dyDescent="0.2">
      <c r="A23640" t="s">
        <v>21931</v>
      </c>
      <c r="B23640" t="str">
        <f>"13720894790"</f>
        <v>13720894790</v>
      </c>
      <c r="C23640" t="str">
        <f>"350524199108233826"</f>
        <v>350524199108233826</v>
      </c>
      <c r="D23640" t="s">
        <v>1</v>
      </c>
      <c r="E23640" t="s">
        <v>1</v>
      </c>
      <c r="F23640" t="s">
        <v>0</v>
      </c>
      <c r="G23640" t="str">
        <f>"2018-10-06 16:05:41"</f>
        <v>2018-10-06 16:05:41</v>
      </c>
    </row>
    <row r="23641" spans="1:7" x14ac:dyDescent="0.2">
      <c r="A23641" t="s">
        <v>21932</v>
      </c>
      <c r="B23641" t="str">
        <f>"13531707997"</f>
        <v>13531707997</v>
      </c>
      <c r="C23641" t="str">
        <f>"441303199105137724"</f>
        <v>441303199105137724</v>
      </c>
      <c r="D23641" t="s">
        <v>21933</v>
      </c>
      <c r="E23641" t="s">
        <v>21934</v>
      </c>
      <c r="F23641" t="s">
        <v>0</v>
      </c>
      <c r="G23641" t="str">
        <f>"2018-10-06 16:00:52"</f>
        <v>2018-10-06 16:00:52</v>
      </c>
    </row>
    <row r="23642" spans="1:7" x14ac:dyDescent="0.2">
      <c r="A23642" t="s">
        <v>21935</v>
      </c>
      <c r="B23642" t="str">
        <f>"13588262913"</f>
        <v>13588262913</v>
      </c>
      <c r="C23642" t="str">
        <f>"330124198910130023"</f>
        <v>330124198910130023</v>
      </c>
      <c r="D23642" t="s">
        <v>1</v>
      </c>
      <c r="E23642" t="s">
        <v>1</v>
      </c>
      <c r="F23642" t="s">
        <v>0</v>
      </c>
      <c r="G23642" t="str">
        <f>"2018-10-06 16:27:08"</f>
        <v>2018-10-06 16:27:08</v>
      </c>
    </row>
    <row r="23643" spans="1:7" x14ac:dyDescent="0.2">
      <c r="A23643" t="s">
        <v>21936</v>
      </c>
      <c r="B23643" t="str">
        <f>"15825196116"</f>
        <v>15825196116</v>
      </c>
      <c r="C23643" t="str">
        <f>"532527198707280819"</f>
        <v>532527198707280819</v>
      </c>
      <c r="D23643" t="s">
        <v>1</v>
      </c>
      <c r="E23643" t="s">
        <v>1</v>
      </c>
      <c r="F23643" t="s">
        <v>0</v>
      </c>
      <c r="G23643" t="str">
        <f>"2018-10-06 16:02:34"</f>
        <v>2018-10-06 16:02:34</v>
      </c>
    </row>
    <row r="23644" spans="1:7" x14ac:dyDescent="0.2">
      <c r="A23644" t="s">
        <v>1</v>
      </c>
      <c r="B23644" t="str">
        <f>"15707111517"</f>
        <v>15707111517</v>
      </c>
      <c r="C23644" t="s">
        <v>1</v>
      </c>
      <c r="D23644" t="s">
        <v>1</v>
      </c>
      <c r="E23644" t="s">
        <v>1</v>
      </c>
      <c r="F23644" t="s">
        <v>0</v>
      </c>
      <c r="G23644" t="str">
        <f>"2018-10-06 15:58:44"</f>
        <v>2018-10-06 15:58:44</v>
      </c>
    </row>
    <row r="23645" spans="1:7" x14ac:dyDescent="0.2">
      <c r="A23645" t="s">
        <v>21937</v>
      </c>
      <c r="B23645" t="str">
        <f>"15091184704"</f>
        <v>15091184704</v>
      </c>
      <c r="C23645" t="str">
        <f>"610502198701176632"</f>
        <v>610502198701176632</v>
      </c>
      <c r="D23645" t="s">
        <v>1</v>
      </c>
      <c r="E23645" t="s">
        <v>1</v>
      </c>
      <c r="F23645" t="s">
        <v>0</v>
      </c>
      <c r="G23645" t="str">
        <f>"2018-10-06 16:00:33"</f>
        <v>2018-10-06 16:00:33</v>
      </c>
    </row>
    <row r="23646" spans="1:7" x14ac:dyDescent="0.2">
      <c r="A23646" t="s">
        <v>21938</v>
      </c>
      <c r="B23646" t="str">
        <f>"13707700797"</f>
        <v>13707700797</v>
      </c>
      <c r="C23646" t="str">
        <f>"450681199106030917"</f>
        <v>450681199106030917</v>
      </c>
      <c r="D23646" t="s">
        <v>1</v>
      </c>
      <c r="E23646" t="s">
        <v>1</v>
      </c>
      <c r="F23646" t="s">
        <v>0</v>
      </c>
      <c r="G23646" t="str">
        <f>"2018-10-06 16:00:20"</f>
        <v>2018-10-06 16:00:20</v>
      </c>
    </row>
    <row r="23647" spans="1:7" x14ac:dyDescent="0.2">
      <c r="A23647" t="s">
        <v>1</v>
      </c>
      <c r="B23647" t="str">
        <f>"13960194501"</f>
        <v>13960194501</v>
      </c>
      <c r="C23647" t="s">
        <v>1</v>
      </c>
      <c r="D23647" t="s">
        <v>1</v>
      </c>
      <c r="E23647" t="s">
        <v>1</v>
      </c>
      <c r="F23647" t="s">
        <v>0</v>
      </c>
      <c r="G23647" t="str">
        <f>"2018-10-06 15:58:17"</f>
        <v>2018-10-06 15:58:17</v>
      </c>
    </row>
    <row r="23648" spans="1:7" x14ac:dyDescent="0.2">
      <c r="A23648" t="s">
        <v>1541</v>
      </c>
      <c r="B23648" t="str">
        <f>"13298658699"</f>
        <v>13298658699</v>
      </c>
      <c r="C23648" t="str">
        <f>"430381198305226520"</f>
        <v>430381198305226520</v>
      </c>
      <c r="D23648" t="s">
        <v>21939</v>
      </c>
      <c r="E23648" t="s">
        <v>21940</v>
      </c>
      <c r="F23648" t="s">
        <v>0</v>
      </c>
      <c r="G23648" t="str">
        <f>"2018-10-22 23:36:15"</f>
        <v>2018-10-22 23:36:15</v>
      </c>
    </row>
    <row r="23649" spans="1:7" x14ac:dyDescent="0.2">
      <c r="A23649" t="s">
        <v>1</v>
      </c>
      <c r="B23649" t="str">
        <f>"14797711543"</f>
        <v>14797711543</v>
      </c>
      <c r="C23649" t="s">
        <v>1</v>
      </c>
      <c r="D23649" t="s">
        <v>1</v>
      </c>
      <c r="E23649" t="s">
        <v>1</v>
      </c>
      <c r="F23649" t="s">
        <v>0</v>
      </c>
      <c r="G23649" t="str">
        <f>"2018-10-06 15:57:40"</f>
        <v>2018-10-06 15:57:40</v>
      </c>
    </row>
    <row r="23650" spans="1:7" x14ac:dyDescent="0.2">
      <c r="A23650" t="s">
        <v>21941</v>
      </c>
      <c r="B23650" t="str">
        <f>"13298158519"</f>
        <v>13298158519</v>
      </c>
      <c r="C23650" t="str">
        <f>"410527198005223837"</f>
        <v>410527198005223837</v>
      </c>
      <c r="D23650" t="s">
        <v>1</v>
      </c>
      <c r="E23650" t="s">
        <v>1</v>
      </c>
      <c r="F23650" t="s">
        <v>0</v>
      </c>
      <c r="G23650" t="str">
        <f>"2018-10-06 15:58:33"</f>
        <v>2018-10-06 15:58:33</v>
      </c>
    </row>
    <row r="23651" spans="1:7" x14ac:dyDescent="0.2">
      <c r="A23651" t="s">
        <v>21942</v>
      </c>
      <c r="B23651" t="str">
        <f>"15971070331"</f>
        <v>15971070331</v>
      </c>
      <c r="C23651" t="str">
        <f>"420621197909103816"</f>
        <v>420621197909103816</v>
      </c>
      <c r="D23651" t="s">
        <v>1</v>
      </c>
      <c r="E23651" t="s">
        <v>1</v>
      </c>
      <c r="F23651" t="s">
        <v>0</v>
      </c>
      <c r="G23651" t="str">
        <f>"2018-10-06 16:00:52"</f>
        <v>2018-10-06 16:00:52</v>
      </c>
    </row>
    <row r="23652" spans="1:7" x14ac:dyDescent="0.2">
      <c r="A23652" t="s">
        <v>1</v>
      </c>
      <c r="B23652" t="str">
        <f>"15706592629"</f>
        <v>15706592629</v>
      </c>
      <c r="C23652" t="s">
        <v>1</v>
      </c>
      <c r="D23652" t="s">
        <v>1</v>
      </c>
      <c r="E23652" t="s">
        <v>1</v>
      </c>
      <c r="F23652" t="s">
        <v>0</v>
      </c>
      <c r="G23652" t="str">
        <f>"2018-10-06 15:56:27"</f>
        <v>2018-10-06 15:56:27</v>
      </c>
    </row>
    <row r="23653" spans="1:7" x14ac:dyDescent="0.2">
      <c r="A23653" t="s">
        <v>21943</v>
      </c>
      <c r="B23653" t="str">
        <f>"13672747286"</f>
        <v>13672747286</v>
      </c>
      <c r="C23653" t="str">
        <f>"445381198702041139"</f>
        <v>445381198702041139</v>
      </c>
      <c r="D23653" t="s">
        <v>1</v>
      </c>
      <c r="E23653" t="s">
        <v>1</v>
      </c>
      <c r="F23653" t="s">
        <v>0</v>
      </c>
      <c r="G23653" t="str">
        <f>"2018-11-05 00:47:09"</f>
        <v>2018-11-05 00:47:09</v>
      </c>
    </row>
    <row r="23654" spans="1:7" x14ac:dyDescent="0.2">
      <c r="A23654" t="s">
        <v>21944</v>
      </c>
      <c r="B23654" t="str">
        <f>"18859476063"</f>
        <v>18859476063</v>
      </c>
      <c r="C23654" t="str">
        <f>"350521199003173549"</f>
        <v>350521199003173549</v>
      </c>
      <c r="D23654" t="s">
        <v>21945</v>
      </c>
      <c r="E23654" t="s">
        <v>21946</v>
      </c>
      <c r="F23654" t="s">
        <v>0</v>
      </c>
      <c r="G23654" t="str">
        <f>"2018-10-06 16:00:37"</f>
        <v>2018-10-06 16:00:37</v>
      </c>
    </row>
    <row r="23655" spans="1:7" x14ac:dyDescent="0.2">
      <c r="A23655" t="s">
        <v>21947</v>
      </c>
      <c r="B23655" t="str">
        <f>"15119098818"</f>
        <v>15119098818</v>
      </c>
      <c r="C23655" t="str">
        <f>"42112719951014131X"</f>
        <v>42112719951014131X</v>
      </c>
      <c r="D23655" t="s">
        <v>1</v>
      </c>
      <c r="E23655" t="s">
        <v>1</v>
      </c>
      <c r="F23655" t="s">
        <v>0</v>
      </c>
      <c r="G23655" t="str">
        <f>"2018-10-06 16:17:58"</f>
        <v>2018-10-06 16:17:58</v>
      </c>
    </row>
    <row r="23656" spans="1:7" x14ac:dyDescent="0.2">
      <c r="A23656" t="s">
        <v>1</v>
      </c>
      <c r="B23656" t="str">
        <f>"13983231364"</f>
        <v>13983231364</v>
      </c>
      <c r="C23656" t="s">
        <v>1</v>
      </c>
      <c r="D23656" t="s">
        <v>1</v>
      </c>
      <c r="E23656" t="s">
        <v>1</v>
      </c>
      <c r="F23656" t="s">
        <v>0</v>
      </c>
      <c r="G23656" t="str">
        <f>"2018-10-06 15:55:39"</f>
        <v>2018-10-06 15:55:39</v>
      </c>
    </row>
    <row r="23657" spans="1:7" x14ac:dyDescent="0.2">
      <c r="A23657" t="s">
        <v>21948</v>
      </c>
      <c r="B23657" t="str">
        <f>"13869828596"</f>
        <v>13869828596</v>
      </c>
      <c r="C23657" t="str">
        <f>"37020319860123513X"</f>
        <v>37020319860123513X</v>
      </c>
      <c r="D23657" t="s">
        <v>1</v>
      </c>
      <c r="E23657" t="s">
        <v>1</v>
      </c>
      <c r="F23657" t="s">
        <v>0</v>
      </c>
      <c r="G23657" t="str">
        <f>"2018-10-06 16:41:03"</f>
        <v>2018-10-06 16:41:03</v>
      </c>
    </row>
    <row r="23658" spans="1:7" x14ac:dyDescent="0.2">
      <c r="A23658" t="s">
        <v>21949</v>
      </c>
      <c r="B23658" t="str">
        <f>"17685688768"</f>
        <v>17685688768</v>
      </c>
      <c r="C23658" t="str">
        <f>"130434199009011618"</f>
        <v>130434199009011618</v>
      </c>
      <c r="D23658" t="s">
        <v>1</v>
      </c>
      <c r="E23658" t="s">
        <v>1</v>
      </c>
      <c r="F23658" t="s">
        <v>0</v>
      </c>
      <c r="G23658" t="str">
        <f>"2018-10-06 15:57:05"</f>
        <v>2018-10-06 15:57:05</v>
      </c>
    </row>
    <row r="23659" spans="1:7" x14ac:dyDescent="0.2">
      <c r="A23659" t="s">
        <v>1</v>
      </c>
      <c r="B23659" t="str">
        <f>"15539528269"</f>
        <v>15539528269</v>
      </c>
      <c r="C23659" t="s">
        <v>1</v>
      </c>
      <c r="D23659" t="s">
        <v>1</v>
      </c>
      <c r="E23659" t="s">
        <v>1</v>
      </c>
      <c r="F23659" t="s">
        <v>0</v>
      </c>
      <c r="G23659" t="str">
        <f>"2018-10-06 15:56:48"</f>
        <v>2018-10-06 15:56:48</v>
      </c>
    </row>
    <row r="23660" spans="1:7" x14ac:dyDescent="0.2">
      <c r="A23660" t="s">
        <v>1</v>
      </c>
      <c r="B23660" t="str">
        <f>"15277294754"</f>
        <v>15277294754</v>
      </c>
      <c r="C23660" t="s">
        <v>1</v>
      </c>
      <c r="D23660" t="s">
        <v>1</v>
      </c>
      <c r="E23660" t="s">
        <v>1</v>
      </c>
      <c r="F23660" t="s">
        <v>0</v>
      </c>
      <c r="G23660" t="str">
        <f>"2018-10-06 15:55:10"</f>
        <v>2018-10-06 15:55:10</v>
      </c>
    </row>
    <row r="23661" spans="1:7" x14ac:dyDescent="0.2">
      <c r="A23661" t="s">
        <v>21950</v>
      </c>
      <c r="B23661" t="str">
        <f>"18200157177"</f>
        <v>18200157177</v>
      </c>
      <c r="C23661" t="str">
        <f>"513029199701173358"</f>
        <v>513029199701173358</v>
      </c>
      <c r="D23661" t="s">
        <v>1</v>
      </c>
      <c r="E23661" t="s">
        <v>1</v>
      </c>
      <c r="F23661" t="s">
        <v>0</v>
      </c>
      <c r="G23661" t="str">
        <f>"2018-10-18 14:03:20"</f>
        <v>2018-10-18 14:03:20</v>
      </c>
    </row>
    <row r="23662" spans="1:7" x14ac:dyDescent="0.2">
      <c r="A23662" t="s">
        <v>21951</v>
      </c>
      <c r="B23662" t="str">
        <f>"15294023900"</f>
        <v>15294023900</v>
      </c>
      <c r="C23662" t="str">
        <f>"622222198710100018"</f>
        <v>622222198710100018</v>
      </c>
      <c r="D23662" t="s">
        <v>21952</v>
      </c>
      <c r="E23662" t="s">
        <v>21953</v>
      </c>
      <c r="F23662" t="s">
        <v>0</v>
      </c>
      <c r="G23662" t="str">
        <f>"2018-10-06 15:56:50"</f>
        <v>2018-10-06 15:56:50</v>
      </c>
    </row>
    <row r="23663" spans="1:7" x14ac:dyDescent="0.2">
      <c r="A23663" t="s">
        <v>228</v>
      </c>
      <c r="B23663" t="str">
        <f>"15067191392"</f>
        <v>15067191392</v>
      </c>
      <c r="C23663" t="str">
        <f>"411381199702076134"</f>
        <v>411381199702076134</v>
      </c>
      <c r="D23663" t="s">
        <v>1</v>
      </c>
      <c r="E23663" t="s">
        <v>1</v>
      </c>
      <c r="F23663" t="s">
        <v>0</v>
      </c>
      <c r="G23663" t="str">
        <f>"2018-10-06 16:53:28"</f>
        <v>2018-10-06 16:53:28</v>
      </c>
    </row>
    <row r="23664" spans="1:7" x14ac:dyDescent="0.2">
      <c r="A23664" t="s">
        <v>1</v>
      </c>
      <c r="B23664" t="str">
        <f>"15706566322"</f>
        <v>15706566322</v>
      </c>
      <c r="C23664" t="s">
        <v>1</v>
      </c>
      <c r="D23664" t="s">
        <v>1</v>
      </c>
      <c r="E23664" t="s">
        <v>1</v>
      </c>
      <c r="F23664" t="s">
        <v>0</v>
      </c>
      <c r="G23664" t="str">
        <f>"2018-10-06 15:53:47"</f>
        <v>2018-10-06 15:53:47</v>
      </c>
    </row>
    <row r="23665" spans="1:7" x14ac:dyDescent="0.2">
      <c r="A23665" t="s">
        <v>1</v>
      </c>
      <c r="B23665" t="str">
        <f>"18664821225"</f>
        <v>18664821225</v>
      </c>
      <c r="C23665" t="s">
        <v>1</v>
      </c>
      <c r="D23665" t="s">
        <v>1</v>
      </c>
      <c r="E23665" t="s">
        <v>1</v>
      </c>
      <c r="F23665" t="s">
        <v>0</v>
      </c>
      <c r="G23665" t="str">
        <f>"2018-10-06 15:53:42"</f>
        <v>2018-10-06 15:53:42</v>
      </c>
    </row>
    <row r="23666" spans="1:7" x14ac:dyDescent="0.2">
      <c r="A23666" t="s">
        <v>212</v>
      </c>
      <c r="B23666" t="str">
        <f>"18295326661"</f>
        <v>18295326661</v>
      </c>
      <c r="C23666" t="str">
        <f>"640202197104080039"</f>
        <v>640202197104080039</v>
      </c>
      <c r="D23666" t="s">
        <v>21954</v>
      </c>
      <c r="E23666" t="s">
        <v>21955</v>
      </c>
      <c r="F23666" t="s">
        <v>0</v>
      </c>
      <c r="G23666" t="str">
        <f>"2018-10-06 16:03:01"</f>
        <v>2018-10-06 16:03:01</v>
      </c>
    </row>
    <row r="23667" spans="1:7" x14ac:dyDescent="0.2">
      <c r="A23667" t="s">
        <v>21956</v>
      </c>
      <c r="B23667" t="str">
        <f>"13624937998"</f>
        <v>13624937998</v>
      </c>
      <c r="C23667" t="str">
        <f>"211422198908154613"</f>
        <v>211422198908154613</v>
      </c>
      <c r="D23667" t="s">
        <v>21957</v>
      </c>
      <c r="E23667" t="s">
        <v>21958</v>
      </c>
      <c r="F23667" t="s">
        <v>0</v>
      </c>
      <c r="G23667" t="str">
        <f>"2018-10-06 15:55:22"</f>
        <v>2018-10-06 15:55:22</v>
      </c>
    </row>
    <row r="23668" spans="1:7" x14ac:dyDescent="0.2">
      <c r="A23668" t="s">
        <v>21959</v>
      </c>
      <c r="B23668" t="str">
        <f>"18604217411"</f>
        <v>18604217411</v>
      </c>
      <c r="C23668" t="str">
        <f>"211324199903196517"</f>
        <v>211324199903196517</v>
      </c>
      <c r="D23668" t="s">
        <v>21960</v>
      </c>
      <c r="E23668" t="s">
        <v>21961</v>
      </c>
      <c r="F23668" t="s">
        <v>0</v>
      </c>
      <c r="G23668" t="str">
        <f>"2018-10-06 15:55:17"</f>
        <v>2018-10-06 15:55:17</v>
      </c>
    </row>
    <row r="23669" spans="1:7" x14ac:dyDescent="0.2">
      <c r="A23669" t="s">
        <v>209</v>
      </c>
      <c r="B23669" t="str">
        <f>"17787005177"</f>
        <v>17787005177</v>
      </c>
      <c r="C23669" t="str">
        <f>"533526199606060015"</f>
        <v>533526199606060015</v>
      </c>
      <c r="D23669" t="s">
        <v>21962</v>
      </c>
      <c r="E23669" t="s">
        <v>21963</v>
      </c>
      <c r="F23669" t="s">
        <v>0</v>
      </c>
      <c r="G23669" t="str">
        <f>"2018-10-06 16:32:15"</f>
        <v>2018-10-06 16:32:15</v>
      </c>
    </row>
    <row r="23670" spans="1:7" x14ac:dyDescent="0.2">
      <c r="A23670" t="s">
        <v>1</v>
      </c>
      <c r="B23670" t="str">
        <f>"15885720579"</f>
        <v>15885720579</v>
      </c>
      <c r="C23670" t="s">
        <v>1</v>
      </c>
      <c r="D23670" t="s">
        <v>1</v>
      </c>
      <c r="E23670" t="s">
        <v>1</v>
      </c>
      <c r="F23670" t="s">
        <v>0</v>
      </c>
      <c r="G23670" t="str">
        <f>"2018-10-06 15:52:21"</f>
        <v>2018-10-06 15:52:21</v>
      </c>
    </row>
    <row r="23671" spans="1:7" x14ac:dyDescent="0.2">
      <c r="A23671" t="s">
        <v>21964</v>
      </c>
      <c r="B23671" t="str">
        <f>"13654775485"</f>
        <v>13654775485</v>
      </c>
      <c r="C23671" t="str">
        <f>"152724198508180031"</f>
        <v>152724198508180031</v>
      </c>
      <c r="D23671" t="s">
        <v>1</v>
      </c>
      <c r="E23671" t="s">
        <v>1</v>
      </c>
      <c r="F23671" t="s">
        <v>0</v>
      </c>
      <c r="G23671" t="str">
        <f>"2018-10-06 15:55:30"</f>
        <v>2018-10-06 15:55:30</v>
      </c>
    </row>
    <row r="23672" spans="1:7" x14ac:dyDescent="0.2">
      <c r="A23672" t="s">
        <v>21965</v>
      </c>
      <c r="B23672" t="str">
        <f>"13241646134"</f>
        <v>13241646134</v>
      </c>
      <c r="C23672" t="str">
        <f>"130681199202054332"</f>
        <v>130681199202054332</v>
      </c>
      <c r="D23672" t="s">
        <v>1</v>
      </c>
      <c r="E23672" t="s">
        <v>1</v>
      </c>
      <c r="F23672" t="s">
        <v>0</v>
      </c>
      <c r="G23672" t="str">
        <f>"2018-10-06 15:54:20"</f>
        <v>2018-10-06 15:54:20</v>
      </c>
    </row>
    <row r="23673" spans="1:7" x14ac:dyDescent="0.2">
      <c r="A23673" t="s">
        <v>21966</v>
      </c>
      <c r="B23673" t="str">
        <f>"18032363836"</f>
        <v>18032363836</v>
      </c>
      <c r="C23673" t="str">
        <f>"130726199112250410"</f>
        <v>130726199112250410</v>
      </c>
      <c r="D23673" t="s">
        <v>1</v>
      </c>
      <c r="E23673" t="s">
        <v>1</v>
      </c>
      <c r="F23673" t="s">
        <v>0</v>
      </c>
      <c r="G23673" t="str">
        <f>"2018-10-06 15:55:18"</f>
        <v>2018-10-06 15:55:18</v>
      </c>
    </row>
    <row r="23674" spans="1:7" x14ac:dyDescent="0.2">
      <c r="A23674" t="s">
        <v>21967</v>
      </c>
      <c r="B23674" t="str">
        <f>"13407113864"</f>
        <v>13407113864</v>
      </c>
      <c r="C23674" t="str">
        <f>"421102199011073212"</f>
        <v>421102199011073212</v>
      </c>
      <c r="D23674" t="s">
        <v>1</v>
      </c>
      <c r="E23674" t="s">
        <v>1</v>
      </c>
      <c r="F23674" t="s">
        <v>0</v>
      </c>
      <c r="G23674" t="str">
        <f>"2018-10-26 09:47:28"</f>
        <v>2018-10-26 09:47:28</v>
      </c>
    </row>
    <row r="23675" spans="1:7" x14ac:dyDescent="0.2">
      <c r="A23675" t="s">
        <v>1</v>
      </c>
      <c r="B23675" t="str">
        <f>"15713108277"</f>
        <v>15713108277</v>
      </c>
      <c r="C23675" t="s">
        <v>1</v>
      </c>
      <c r="D23675" t="s">
        <v>1</v>
      </c>
      <c r="E23675" t="s">
        <v>1</v>
      </c>
      <c r="F23675" t="s">
        <v>0</v>
      </c>
      <c r="G23675" t="str">
        <f>"2018-10-06 15:50:53"</f>
        <v>2018-10-06 15:50:53</v>
      </c>
    </row>
    <row r="23676" spans="1:7" x14ac:dyDescent="0.2">
      <c r="A23676" t="s">
        <v>1</v>
      </c>
      <c r="B23676" t="str">
        <f>"13314797744"</f>
        <v>13314797744</v>
      </c>
      <c r="C23676" t="s">
        <v>1</v>
      </c>
      <c r="D23676" t="s">
        <v>1</v>
      </c>
      <c r="E23676" t="s">
        <v>1</v>
      </c>
      <c r="F23676" t="s">
        <v>0</v>
      </c>
      <c r="G23676" t="str">
        <f>"2018-10-06 15:50:41"</f>
        <v>2018-10-06 15:50:41</v>
      </c>
    </row>
    <row r="23677" spans="1:7" x14ac:dyDescent="0.2">
      <c r="A23677" t="s">
        <v>21968</v>
      </c>
      <c r="B23677" t="str">
        <f>"18756903969"</f>
        <v>18756903969</v>
      </c>
      <c r="C23677" t="str">
        <f>"342601199406091214"</f>
        <v>342601199406091214</v>
      </c>
      <c r="D23677" t="s">
        <v>1</v>
      </c>
      <c r="E23677" t="s">
        <v>1</v>
      </c>
      <c r="F23677" t="s">
        <v>0</v>
      </c>
      <c r="G23677" t="str">
        <f>"2018-10-06 15:51:30"</f>
        <v>2018-10-06 15:51:30</v>
      </c>
    </row>
    <row r="23678" spans="1:7" x14ac:dyDescent="0.2">
      <c r="A23678" t="s">
        <v>21969</v>
      </c>
      <c r="B23678" t="str">
        <f>"13722965186"</f>
        <v>13722965186</v>
      </c>
      <c r="C23678" t="str">
        <f>"130603198608030935"</f>
        <v>130603198608030935</v>
      </c>
      <c r="D23678" t="s">
        <v>1</v>
      </c>
      <c r="E23678" t="s">
        <v>1</v>
      </c>
      <c r="F23678" t="s">
        <v>0</v>
      </c>
      <c r="G23678" t="str">
        <f>"2018-10-06 15:51:05"</f>
        <v>2018-10-06 15:51:05</v>
      </c>
    </row>
    <row r="23679" spans="1:7" x14ac:dyDescent="0.2">
      <c r="A23679" t="s">
        <v>21970</v>
      </c>
      <c r="B23679" t="str">
        <f>"15369179806"</f>
        <v>15369179806</v>
      </c>
      <c r="C23679" t="str">
        <f>"372930199707214111"</f>
        <v>372930199707214111</v>
      </c>
      <c r="D23679" t="s">
        <v>1</v>
      </c>
      <c r="E23679" t="s">
        <v>1</v>
      </c>
      <c r="F23679" t="s">
        <v>0</v>
      </c>
      <c r="G23679" t="str">
        <f>"2018-10-08 13:51:39"</f>
        <v>2018-10-08 13:51:39</v>
      </c>
    </row>
    <row r="23680" spans="1:7" x14ac:dyDescent="0.2">
      <c r="A23680" t="s">
        <v>21971</v>
      </c>
      <c r="B23680" t="str">
        <f>"18813577500"</f>
        <v>18813577500</v>
      </c>
      <c r="C23680" t="str">
        <f>"430422199510230027"</f>
        <v>430422199510230027</v>
      </c>
      <c r="D23680" t="s">
        <v>21972</v>
      </c>
      <c r="E23680" t="s">
        <v>21973</v>
      </c>
      <c r="F23680" t="s">
        <v>0</v>
      </c>
      <c r="G23680" t="str">
        <f>"2018-10-06 15:50:10"</f>
        <v>2018-10-06 15:50:10</v>
      </c>
    </row>
    <row r="23681" spans="1:7" x14ac:dyDescent="0.2">
      <c r="A23681" t="s">
        <v>1</v>
      </c>
      <c r="B23681" t="str">
        <f>"15707111026"</f>
        <v>15707111026</v>
      </c>
      <c r="C23681" t="s">
        <v>1</v>
      </c>
      <c r="D23681" t="s">
        <v>1</v>
      </c>
      <c r="E23681" t="s">
        <v>1</v>
      </c>
      <c r="F23681" t="s">
        <v>0</v>
      </c>
      <c r="G23681" t="str">
        <f>"2018-10-06 15:48:42"</f>
        <v>2018-10-06 15:48:42</v>
      </c>
    </row>
    <row r="23682" spans="1:7" x14ac:dyDescent="0.2">
      <c r="A23682" t="s">
        <v>1</v>
      </c>
      <c r="B23682" t="str">
        <f>"13329183711"</f>
        <v>13329183711</v>
      </c>
      <c r="C23682" t="s">
        <v>1</v>
      </c>
      <c r="D23682" t="s">
        <v>1</v>
      </c>
      <c r="E23682" t="s">
        <v>1</v>
      </c>
      <c r="F23682" t="s">
        <v>0</v>
      </c>
      <c r="G23682" t="str">
        <f>"2018-10-06 15:48:25"</f>
        <v>2018-10-06 15:48:25</v>
      </c>
    </row>
    <row r="23683" spans="1:7" x14ac:dyDescent="0.2">
      <c r="A23683" t="s">
        <v>21974</v>
      </c>
      <c r="B23683" t="str">
        <f>"15059699240"</f>
        <v>15059699240</v>
      </c>
      <c r="C23683" t="str">
        <f>"350626199008050537"</f>
        <v>350626199008050537</v>
      </c>
      <c r="D23683" t="s">
        <v>1</v>
      </c>
      <c r="E23683" t="s">
        <v>1</v>
      </c>
      <c r="F23683" t="s">
        <v>0</v>
      </c>
      <c r="G23683" t="str">
        <f>"2018-10-06 15:51:41"</f>
        <v>2018-10-06 15:51:41</v>
      </c>
    </row>
    <row r="23684" spans="1:7" x14ac:dyDescent="0.2">
      <c r="A23684" t="s">
        <v>895</v>
      </c>
      <c r="B23684" t="str">
        <f>"18062696976"</f>
        <v>18062696976</v>
      </c>
      <c r="C23684" t="str">
        <f>"420103198808014616"</f>
        <v>420103198808014616</v>
      </c>
      <c r="D23684" t="s">
        <v>21975</v>
      </c>
      <c r="E23684" t="s">
        <v>21976</v>
      </c>
      <c r="F23684" t="s">
        <v>0</v>
      </c>
      <c r="G23684" t="str">
        <f>"2018-10-19 10:36:07"</f>
        <v>2018-10-19 10:36:07</v>
      </c>
    </row>
    <row r="23685" spans="1:7" x14ac:dyDescent="0.2">
      <c r="A23685" t="s">
        <v>956</v>
      </c>
      <c r="B23685" t="str">
        <f>"13778523958"</f>
        <v>13778523958</v>
      </c>
      <c r="C23685" t="str">
        <f>"510304198611101061"</f>
        <v>510304198611101061</v>
      </c>
      <c r="D23685" t="s">
        <v>1</v>
      </c>
      <c r="E23685" t="s">
        <v>1</v>
      </c>
      <c r="F23685" t="s">
        <v>0</v>
      </c>
      <c r="G23685" t="str">
        <f>"2018-10-21 13:51:58"</f>
        <v>2018-10-21 13:51:58</v>
      </c>
    </row>
    <row r="23686" spans="1:7" x14ac:dyDescent="0.2">
      <c r="A23686" t="s">
        <v>1</v>
      </c>
      <c r="B23686" t="str">
        <f>"13638446880"</f>
        <v>13638446880</v>
      </c>
      <c r="C23686" t="s">
        <v>1</v>
      </c>
      <c r="D23686" t="s">
        <v>1</v>
      </c>
      <c r="E23686" t="s">
        <v>1</v>
      </c>
      <c r="F23686" t="s">
        <v>0</v>
      </c>
      <c r="G23686" t="str">
        <f>"2018-10-06 15:54:42"</f>
        <v>2018-10-06 15:54:42</v>
      </c>
    </row>
    <row r="23687" spans="1:7" x14ac:dyDescent="0.2">
      <c r="A23687" t="s">
        <v>1</v>
      </c>
      <c r="B23687" t="str">
        <f>"14797712362"</f>
        <v>14797712362</v>
      </c>
      <c r="C23687" t="s">
        <v>1</v>
      </c>
      <c r="D23687" t="s">
        <v>1</v>
      </c>
      <c r="E23687" t="s">
        <v>1</v>
      </c>
      <c r="F23687" t="s">
        <v>0</v>
      </c>
      <c r="G23687" t="str">
        <f>"2018-10-06 15:47:47"</f>
        <v>2018-10-06 15:47:47</v>
      </c>
    </row>
    <row r="23688" spans="1:7" x14ac:dyDescent="0.2">
      <c r="A23688" t="s">
        <v>21977</v>
      </c>
      <c r="B23688" t="str">
        <f>"18549914429"</f>
        <v>18549914429</v>
      </c>
      <c r="C23688" t="str">
        <f>"500240199801145092"</f>
        <v>500240199801145092</v>
      </c>
      <c r="D23688" t="s">
        <v>1</v>
      </c>
      <c r="E23688" t="s">
        <v>1</v>
      </c>
      <c r="F23688" t="s">
        <v>0</v>
      </c>
      <c r="G23688" t="str">
        <f>"2018-10-06 15:50:11"</f>
        <v>2018-10-06 15:50:11</v>
      </c>
    </row>
    <row r="23689" spans="1:7" x14ac:dyDescent="0.2">
      <c r="A23689" t="s">
        <v>1</v>
      </c>
      <c r="B23689" t="str">
        <f>"13266572238"</f>
        <v>13266572238</v>
      </c>
      <c r="C23689" t="s">
        <v>1</v>
      </c>
      <c r="D23689" t="s">
        <v>1</v>
      </c>
      <c r="E23689" t="s">
        <v>1</v>
      </c>
      <c r="F23689" t="s">
        <v>0</v>
      </c>
      <c r="G23689" t="str">
        <f>"2018-10-06 15:59:34"</f>
        <v>2018-10-06 15:59:34</v>
      </c>
    </row>
    <row r="23690" spans="1:7" x14ac:dyDescent="0.2">
      <c r="A23690" t="s">
        <v>21978</v>
      </c>
      <c r="B23690" t="str">
        <f>"15882220434"</f>
        <v>15882220434</v>
      </c>
      <c r="C23690" t="str">
        <f>"513825199503132828"</f>
        <v>513825199503132828</v>
      </c>
      <c r="D23690" t="s">
        <v>1</v>
      </c>
      <c r="E23690" t="s">
        <v>1</v>
      </c>
      <c r="F23690" t="s">
        <v>0</v>
      </c>
      <c r="G23690" t="str">
        <f>"2018-10-06 15:48:30"</f>
        <v>2018-10-06 15:48:30</v>
      </c>
    </row>
    <row r="23691" spans="1:7" x14ac:dyDescent="0.2">
      <c r="A23691" t="s">
        <v>1</v>
      </c>
      <c r="B23691" t="str">
        <f>"14797711176"</f>
        <v>14797711176</v>
      </c>
      <c r="C23691" t="s">
        <v>1</v>
      </c>
      <c r="D23691" t="s">
        <v>1</v>
      </c>
      <c r="E23691" t="s">
        <v>1</v>
      </c>
      <c r="F23691" t="s">
        <v>0</v>
      </c>
      <c r="G23691" t="str">
        <f>"2018-10-06 15:46:52"</f>
        <v>2018-10-06 15:46:52</v>
      </c>
    </row>
    <row r="23692" spans="1:7" x14ac:dyDescent="0.2">
      <c r="A23692" t="s">
        <v>1</v>
      </c>
      <c r="B23692" t="str">
        <f>"17385861923"</f>
        <v>17385861923</v>
      </c>
      <c r="C23692" t="s">
        <v>1</v>
      </c>
      <c r="D23692" t="s">
        <v>1</v>
      </c>
      <c r="E23692" t="s">
        <v>1</v>
      </c>
      <c r="F23692" t="s">
        <v>0</v>
      </c>
      <c r="G23692" t="str">
        <f>"2018-10-06 17:48:05"</f>
        <v>2018-10-06 17:48:05</v>
      </c>
    </row>
    <row r="23693" spans="1:7" x14ac:dyDescent="0.2">
      <c r="A23693" t="s">
        <v>829</v>
      </c>
      <c r="B23693" t="str">
        <f>"15825830769"</f>
        <v>15825830769</v>
      </c>
      <c r="C23693" t="str">
        <f>"622701199101270310"</f>
        <v>622701199101270310</v>
      </c>
      <c r="D23693" t="s">
        <v>21979</v>
      </c>
      <c r="E23693" t="s">
        <v>21980</v>
      </c>
      <c r="F23693" t="s">
        <v>0</v>
      </c>
      <c r="G23693" t="str">
        <f>"2018-10-06 15:50:52"</f>
        <v>2018-10-06 15:50:52</v>
      </c>
    </row>
    <row r="23694" spans="1:7" x14ac:dyDescent="0.2">
      <c r="A23694" t="s">
        <v>209</v>
      </c>
      <c r="B23694" t="str">
        <f>"13624703933"</f>
        <v>13624703933</v>
      </c>
      <c r="C23694" t="str">
        <f>"152127198301312718"</f>
        <v>152127198301312718</v>
      </c>
      <c r="D23694" t="s">
        <v>1</v>
      </c>
      <c r="E23694" t="s">
        <v>1</v>
      </c>
      <c r="F23694" t="s">
        <v>0</v>
      </c>
      <c r="G23694" t="str">
        <f>"2018-10-06 15:47:45"</f>
        <v>2018-10-06 15:47:45</v>
      </c>
    </row>
    <row r="23695" spans="1:7" x14ac:dyDescent="0.2">
      <c r="A23695" t="s">
        <v>21981</v>
      </c>
      <c r="B23695" t="str">
        <f>"15039367357"</f>
        <v>15039367357</v>
      </c>
      <c r="C23695" t="str">
        <f>"230107198412042223"</f>
        <v>230107198412042223</v>
      </c>
      <c r="D23695" t="s">
        <v>1</v>
      </c>
      <c r="E23695" t="s">
        <v>1</v>
      </c>
      <c r="F23695" t="s">
        <v>0</v>
      </c>
      <c r="G23695" t="str">
        <f>"2018-10-06 15:48:09"</f>
        <v>2018-10-06 15:48:09</v>
      </c>
    </row>
    <row r="23696" spans="1:7" x14ac:dyDescent="0.2">
      <c r="A23696" t="s">
        <v>1</v>
      </c>
      <c r="B23696" t="str">
        <f>"15706590619"</f>
        <v>15706590619</v>
      </c>
      <c r="C23696" t="s">
        <v>1</v>
      </c>
      <c r="D23696" t="s">
        <v>1</v>
      </c>
      <c r="E23696" t="s">
        <v>1</v>
      </c>
      <c r="F23696" t="s">
        <v>0</v>
      </c>
      <c r="G23696" t="str">
        <f>"2018-10-06 15:45:54"</f>
        <v>2018-10-06 15:45:54</v>
      </c>
    </row>
    <row r="23697" spans="1:7" x14ac:dyDescent="0.2">
      <c r="A23697" t="s">
        <v>1</v>
      </c>
      <c r="B23697" t="str">
        <f>"17660908785"</f>
        <v>17660908785</v>
      </c>
      <c r="C23697" t="s">
        <v>1</v>
      </c>
      <c r="D23697" t="s">
        <v>1</v>
      </c>
      <c r="E23697" t="s">
        <v>1</v>
      </c>
      <c r="F23697" t="s">
        <v>0</v>
      </c>
      <c r="G23697" t="str">
        <f>"2018-10-06 16:10:53"</f>
        <v>2018-10-06 16:10:53</v>
      </c>
    </row>
    <row r="23698" spans="1:7" x14ac:dyDescent="0.2">
      <c r="A23698" t="s">
        <v>343</v>
      </c>
      <c r="B23698" t="str">
        <f>"15802025621"</f>
        <v>15802025621</v>
      </c>
      <c r="C23698" t="str">
        <f>"440107198309170023"</f>
        <v>440107198309170023</v>
      </c>
      <c r="D23698" t="s">
        <v>1</v>
      </c>
      <c r="E23698" t="s">
        <v>1</v>
      </c>
      <c r="F23698" t="s">
        <v>0</v>
      </c>
      <c r="G23698" t="str">
        <f>"2018-10-06 15:45:20"</f>
        <v>2018-10-06 15:45:20</v>
      </c>
    </row>
    <row r="23699" spans="1:7" x14ac:dyDescent="0.2">
      <c r="A23699" t="s">
        <v>1</v>
      </c>
      <c r="B23699" t="str">
        <f>"14797711943"</f>
        <v>14797711943</v>
      </c>
      <c r="C23699" t="s">
        <v>1</v>
      </c>
      <c r="D23699" t="s">
        <v>1</v>
      </c>
      <c r="E23699" t="s">
        <v>1</v>
      </c>
      <c r="F23699" t="s">
        <v>0</v>
      </c>
      <c r="G23699" t="str">
        <f>"2018-10-06 15:44:52"</f>
        <v>2018-10-06 15:44:52</v>
      </c>
    </row>
    <row r="23700" spans="1:7" x14ac:dyDescent="0.2">
      <c r="A23700" t="s">
        <v>1</v>
      </c>
      <c r="B23700" t="str">
        <f>"13845755372"</f>
        <v>13845755372</v>
      </c>
      <c r="C23700" t="s">
        <v>1</v>
      </c>
      <c r="D23700" t="s">
        <v>1</v>
      </c>
      <c r="E23700" t="s">
        <v>1</v>
      </c>
      <c r="F23700" t="s">
        <v>0</v>
      </c>
      <c r="G23700" t="str">
        <f>"2018-10-06 16:05:47"</f>
        <v>2018-10-06 16:05:47</v>
      </c>
    </row>
    <row r="23701" spans="1:7" x14ac:dyDescent="0.2">
      <c r="A23701" t="s">
        <v>21982</v>
      </c>
      <c r="B23701" t="str">
        <f>"18251520845"</f>
        <v>18251520845</v>
      </c>
      <c r="C23701" t="str">
        <f>"320823198205204621"</f>
        <v>320823198205204621</v>
      </c>
      <c r="D23701" t="s">
        <v>1</v>
      </c>
      <c r="E23701" t="s">
        <v>1</v>
      </c>
      <c r="F23701" t="s">
        <v>0</v>
      </c>
      <c r="G23701" t="str">
        <f>"2018-10-06 15:47:45"</f>
        <v>2018-10-06 15:47:45</v>
      </c>
    </row>
    <row r="23702" spans="1:7" x14ac:dyDescent="0.2">
      <c r="A23702" t="s">
        <v>1</v>
      </c>
      <c r="B23702" t="str">
        <f>"17665137220"</f>
        <v>17665137220</v>
      </c>
      <c r="C23702" t="s">
        <v>1</v>
      </c>
      <c r="D23702" t="s">
        <v>1</v>
      </c>
      <c r="E23702" t="s">
        <v>1</v>
      </c>
      <c r="F23702" t="s">
        <v>0</v>
      </c>
      <c r="G23702" t="str">
        <f>"2018-10-06 15:44:05"</f>
        <v>2018-10-06 15:44:05</v>
      </c>
    </row>
    <row r="23703" spans="1:7" x14ac:dyDescent="0.2">
      <c r="A23703" t="s">
        <v>21983</v>
      </c>
      <c r="B23703" t="str">
        <f>"18006247323"</f>
        <v>18006247323</v>
      </c>
      <c r="C23703" t="str">
        <f>"320829199407141617"</f>
        <v>320829199407141617</v>
      </c>
      <c r="D23703" t="s">
        <v>1</v>
      </c>
      <c r="E23703" t="s">
        <v>1</v>
      </c>
      <c r="F23703" t="s">
        <v>0</v>
      </c>
      <c r="G23703" t="str">
        <f>"2018-10-06 15:47:45"</f>
        <v>2018-10-06 15:47:45</v>
      </c>
    </row>
    <row r="23704" spans="1:7" x14ac:dyDescent="0.2">
      <c r="A23704" t="s">
        <v>21984</v>
      </c>
      <c r="B23704" t="str">
        <f>"18515507059"</f>
        <v>18515507059</v>
      </c>
      <c r="C23704" t="str">
        <f>"372823197802154518"</f>
        <v>372823197802154518</v>
      </c>
      <c r="D23704" t="s">
        <v>21985</v>
      </c>
      <c r="E23704" t="s">
        <v>21986</v>
      </c>
      <c r="F23704" t="s">
        <v>0</v>
      </c>
      <c r="G23704" t="str">
        <f>"2018-11-01 14:32:23"</f>
        <v>2018-11-01 14:32:23</v>
      </c>
    </row>
    <row r="23705" spans="1:7" x14ac:dyDescent="0.2">
      <c r="A23705" t="s">
        <v>1</v>
      </c>
      <c r="B23705" t="str">
        <f>"15224597484"</f>
        <v>15224597484</v>
      </c>
      <c r="C23705" t="s">
        <v>1</v>
      </c>
      <c r="D23705" t="s">
        <v>1</v>
      </c>
      <c r="E23705" t="s">
        <v>1</v>
      </c>
      <c r="F23705" t="s">
        <v>0</v>
      </c>
      <c r="G23705" t="str">
        <f>"2018-10-06 15:43:47"</f>
        <v>2018-10-06 15:43:47</v>
      </c>
    </row>
    <row r="23706" spans="1:7" x14ac:dyDescent="0.2">
      <c r="A23706" t="s">
        <v>1</v>
      </c>
      <c r="B23706" t="str">
        <f>"18383977600"</f>
        <v>18383977600</v>
      </c>
      <c r="C23706" t="s">
        <v>1</v>
      </c>
      <c r="D23706" t="s">
        <v>1</v>
      </c>
      <c r="E23706" t="s">
        <v>1</v>
      </c>
      <c r="F23706" t="s">
        <v>0</v>
      </c>
      <c r="G23706" t="str">
        <f>"2018-10-06 15:45:12"</f>
        <v>2018-10-06 15:45:12</v>
      </c>
    </row>
    <row r="23707" spans="1:7" x14ac:dyDescent="0.2">
      <c r="A23707" t="s">
        <v>21987</v>
      </c>
      <c r="B23707" t="str">
        <f>"13609938189"</f>
        <v>13609938189</v>
      </c>
      <c r="C23707" t="str">
        <f>"622323199404053774"</f>
        <v>622323199404053774</v>
      </c>
      <c r="D23707" t="s">
        <v>1</v>
      </c>
      <c r="E23707" t="s">
        <v>1</v>
      </c>
      <c r="F23707" t="s">
        <v>0</v>
      </c>
      <c r="G23707" t="str">
        <f>"2018-10-06 15:44:47"</f>
        <v>2018-10-06 15:44:47</v>
      </c>
    </row>
    <row r="23708" spans="1:7" x14ac:dyDescent="0.2">
      <c r="A23708" t="s">
        <v>21988</v>
      </c>
      <c r="B23708" t="str">
        <f>"15960593400"</f>
        <v>15960593400</v>
      </c>
      <c r="C23708" t="str">
        <f>"350525199304141917"</f>
        <v>350525199304141917</v>
      </c>
      <c r="D23708" t="s">
        <v>1</v>
      </c>
      <c r="E23708" t="s">
        <v>1</v>
      </c>
      <c r="F23708" t="s">
        <v>0</v>
      </c>
      <c r="G23708" t="str">
        <f>"2018-10-21 16:39:02"</f>
        <v>2018-10-21 16:39:02</v>
      </c>
    </row>
    <row r="23709" spans="1:7" x14ac:dyDescent="0.2">
      <c r="A23709" t="s">
        <v>21989</v>
      </c>
      <c r="B23709" t="str">
        <f>"15766605855"</f>
        <v>15766605855</v>
      </c>
      <c r="C23709" t="str">
        <f>"362301198506084049"</f>
        <v>362301198506084049</v>
      </c>
      <c r="D23709" t="s">
        <v>1</v>
      </c>
      <c r="E23709" t="s">
        <v>1</v>
      </c>
      <c r="F23709" t="s">
        <v>0</v>
      </c>
      <c r="G23709" t="str">
        <f>"2018-10-06 15:44:06"</f>
        <v>2018-10-06 15:44:06</v>
      </c>
    </row>
    <row r="23710" spans="1:7" x14ac:dyDescent="0.2">
      <c r="A23710" t="s">
        <v>1525</v>
      </c>
      <c r="B23710" t="str">
        <f>"18203808580"</f>
        <v>18203808580</v>
      </c>
      <c r="C23710" t="str">
        <f>"411303198712023753"</f>
        <v>411303198712023753</v>
      </c>
      <c r="D23710" t="s">
        <v>21990</v>
      </c>
      <c r="E23710" t="s">
        <v>21991</v>
      </c>
      <c r="F23710" t="s">
        <v>0</v>
      </c>
      <c r="G23710" t="str">
        <f>"2018-10-06 15:49:15"</f>
        <v>2018-10-06 15:49:15</v>
      </c>
    </row>
    <row r="23711" spans="1:7" x14ac:dyDescent="0.2">
      <c r="A23711" t="s">
        <v>21992</v>
      </c>
      <c r="B23711" t="str">
        <f>"18761678632"</f>
        <v>18761678632</v>
      </c>
      <c r="C23711" t="str">
        <f>"321284199301155634"</f>
        <v>321284199301155634</v>
      </c>
      <c r="D23711" t="s">
        <v>1</v>
      </c>
      <c r="E23711" t="s">
        <v>1</v>
      </c>
      <c r="F23711" t="s">
        <v>0</v>
      </c>
      <c r="G23711" t="str">
        <f>"2018-10-06 15:44:14"</f>
        <v>2018-10-06 15:44:14</v>
      </c>
    </row>
    <row r="23712" spans="1:7" x14ac:dyDescent="0.2">
      <c r="A23712" t="s">
        <v>21993</v>
      </c>
      <c r="B23712" t="str">
        <f>"13940428182"</f>
        <v>13940428182</v>
      </c>
      <c r="C23712" t="str">
        <f>"210521198603191374"</f>
        <v>210521198603191374</v>
      </c>
      <c r="D23712" t="s">
        <v>1</v>
      </c>
      <c r="E23712" t="s">
        <v>1</v>
      </c>
      <c r="F23712" t="s">
        <v>0</v>
      </c>
      <c r="G23712" t="str">
        <f>"2018-10-06 15:47:43"</f>
        <v>2018-10-06 15:47:43</v>
      </c>
    </row>
    <row r="23713" spans="1:7" x14ac:dyDescent="0.2">
      <c r="A23713" t="s">
        <v>1</v>
      </c>
      <c r="B23713" t="str">
        <f>"13359293811"</f>
        <v>13359293811</v>
      </c>
      <c r="C23713" t="s">
        <v>1</v>
      </c>
      <c r="D23713" t="s">
        <v>1</v>
      </c>
      <c r="E23713" t="s">
        <v>1</v>
      </c>
      <c r="F23713" t="s">
        <v>0</v>
      </c>
      <c r="G23713" t="str">
        <f>"2018-10-06 17:31:38"</f>
        <v>2018-10-06 17:31:38</v>
      </c>
    </row>
    <row r="23714" spans="1:7" x14ac:dyDescent="0.2">
      <c r="A23714" t="s">
        <v>21994</v>
      </c>
      <c r="B23714" t="str">
        <f>"13608722340"</f>
        <v>13608722340</v>
      </c>
      <c r="C23714" t="str">
        <f>"532923198610050036"</f>
        <v>532923198610050036</v>
      </c>
      <c r="D23714" t="s">
        <v>1</v>
      </c>
      <c r="E23714" t="s">
        <v>1</v>
      </c>
      <c r="F23714" t="s">
        <v>0</v>
      </c>
      <c r="G23714" t="str">
        <f>"2018-10-06 15:48:53"</f>
        <v>2018-10-06 15:48:53</v>
      </c>
    </row>
    <row r="23715" spans="1:7" x14ac:dyDescent="0.2">
      <c r="A23715" t="s">
        <v>1</v>
      </c>
      <c r="B23715" t="str">
        <f>"13110431262"</f>
        <v>13110431262</v>
      </c>
      <c r="C23715" t="s">
        <v>1</v>
      </c>
      <c r="D23715" t="s">
        <v>1</v>
      </c>
      <c r="E23715" t="s">
        <v>1</v>
      </c>
      <c r="F23715" t="s">
        <v>0</v>
      </c>
      <c r="G23715" t="str">
        <f>"2018-10-06 15:41:59"</f>
        <v>2018-10-06 15:41:59</v>
      </c>
    </row>
    <row r="23716" spans="1:7" x14ac:dyDescent="0.2">
      <c r="A23716" t="s">
        <v>1</v>
      </c>
      <c r="B23716" t="str">
        <f>"13608240270"</f>
        <v>13608240270</v>
      </c>
      <c r="C23716" t="s">
        <v>1</v>
      </c>
      <c r="D23716" t="s">
        <v>1</v>
      </c>
      <c r="E23716" t="s">
        <v>1</v>
      </c>
      <c r="F23716" t="s">
        <v>0</v>
      </c>
      <c r="G23716" t="str">
        <f>"2018-10-06 15:41:47"</f>
        <v>2018-10-06 15:41:47</v>
      </c>
    </row>
    <row r="23717" spans="1:7" x14ac:dyDescent="0.2">
      <c r="A23717" t="s">
        <v>21995</v>
      </c>
      <c r="B23717" t="str">
        <f>"13830397088"</f>
        <v>13830397088</v>
      </c>
      <c r="C23717" t="str">
        <f>"622701199006111610"</f>
        <v>622701199006111610</v>
      </c>
      <c r="D23717" t="s">
        <v>21996</v>
      </c>
      <c r="E23717" t="s">
        <v>21997</v>
      </c>
      <c r="F23717" t="s">
        <v>0</v>
      </c>
      <c r="G23717" t="str">
        <f>"2018-10-06 15:43:34"</f>
        <v>2018-10-06 15:43:34</v>
      </c>
    </row>
    <row r="23718" spans="1:7" x14ac:dyDescent="0.2">
      <c r="A23718" t="s">
        <v>21998</v>
      </c>
      <c r="B23718" t="str">
        <f>"18525439068"</f>
        <v>18525439068</v>
      </c>
      <c r="C23718" t="str">
        <f>"211224199410026813"</f>
        <v>211224199410026813</v>
      </c>
      <c r="D23718" t="s">
        <v>21999</v>
      </c>
      <c r="E23718" t="s">
        <v>22000</v>
      </c>
      <c r="F23718" t="s">
        <v>0</v>
      </c>
      <c r="G23718" t="str">
        <f>"2018-10-06 16:04:49"</f>
        <v>2018-10-06 16:04:49</v>
      </c>
    </row>
    <row r="23719" spans="1:7" x14ac:dyDescent="0.2">
      <c r="A23719" t="s">
        <v>22001</v>
      </c>
      <c r="B23719" t="str">
        <f>"18893581999"</f>
        <v>18893581999</v>
      </c>
      <c r="C23719" t="str">
        <f>"622102198702216618"</f>
        <v>622102198702216618</v>
      </c>
      <c r="D23719" t="s">
        <v>22002</v>
      </c>
      <c r="E23719" t="s">
        <v>22003</v>
      </c>
      <c r="F23719" t="s">
        <v>0</v>
      </c>
      <c r="G23719" t="str">
        <f>"2018-10-29 18:56:17"</f>
        <v>2018-10-29 18:56:17</v>
      </c>
    </row>
    <row r="23720" spans="1:7" x14ac:dyDescent="0.2">
      <c r="A23720" t="s">
        <v>22004</v>
      </c>
      <c r="B23720" t="str">
        <f>"17309508335"</f>
        <v>17309508335</v>
      </c>
      <c r="C23720" t="str">
        <f>"142325199111197510"</f>
        <v>142325199111197510</v>
      </c>
      <c r="D23720" t="s">
        <v>22005</v>
      </c>
      <c r="E23720" t="s">
        <v>22006</v>
      </c>
      <c r="F23720" t="s">
        <v>0</v>
      </c>
      <c r="G23720" t="str">
        <f>"2018-10-28 16:14:18"</f>
        <v>2018-10-28 16:14:18</v>
      </c>
    </row>
    <row r="23721" spans="1:7" x14ac:dyDescent="0.2">
      <c r="A23721" t="s">
        <v>22007</v>
      </c>
      <c r="B23721" t="str">
        <f>"13798674832"</f>
        <v>13798674832</v>
      </c>
      <c r="C23721" t="str">
        <f>"445381198709260027"</f>
        <v>445381198709260027</v>
      </c>
      <c r="D23721" t="s">
        <v>1</v>
      </c>
      <c r="E23721" t="s">
        <v>1</v>
      </c>
      <c r="F23721" t="s">
        <v>0</v>
      </c>
      <c r="G23721" t="str">
        <f>"2018-10-06 15:40:45"</f>
        <v>2018-10-06 15:40:45</v>
      </c>
    </row>
    <row r="23722" spans="1:7" x14ac:dyDescent="0.2">
      <c r="A23722" t="s">
        <v>22008</v>
      </c>
      <c r="B23722" t="str">
        <f>"13351194106"</f>
        <v>13351194106</v>
      </c>
      <c r="C23722" t="str">
        <f>"23062119760122275X"</f>
        <v>23062119760122275X</v>
      </c>
      <c r="D23722" t="s">
        <v>1</v>
      </c>
      <c r="E23722" t="s">
        <v>1</v>
      </c>
      <c r="F23722" t="s">
        <v>0</v>
      </c>
      <c r="G23722" t="str">
        <f>"2018-10-06 15:41:11"</f>
        <v>2018-10-06 15:41:11</v>
      </c>
    </row>
    <row r="23723" spans="1:7" x14ac:dyDescent="0.2">
      <c r="A23723" t="s">
        <v>1</v>
      </c>
      <c r="B23723" t="str">
        <f>"13064564206"</f>
        <v>13064564206</v>
      </c>
      <c r="C23723" t="s">
        <v>1</v>
      </c>
      <c r="D23723" t="s">
        <v>1</v>
      </c>
      <c r="E23723" t="s">
        <v>1</v>
      </c>
      <c r="F23723" t="s">
        <v>0</v>
      </c>
      <c r="G23723" t="str">
        <f>"2018-10-06 15:39:17"</f>
        <v>2018-10-06 15:39:17</v>
      </c>
    </row>
    <row r="23724" spans="1:7" x14ac:dyDescent="0.2">
      <c r="A23724" t="s">
        <v>1</v>
      </c>
      <c r="B23724" t="str">
        <f>"15177464251"</f>
        <v>15177464251</v>
      </c>
      <c r="C23724" t="s">
        <v>1</v>
      </c>
      <c r="D23724" t="s">
        <v>1</v>
      </c>
      <c r="E23724" t="s">
        <v>1</v>
      </c>
      <c r="F23724" t="s">
        <v>0</v>
      </c>
      <c r="G23724" t="str">
        <f>"2018-10-06 15:39:08"</f>
        <v>2018-10-06 15:39:08</v>
      </c>
    </row>
    <row r="23725" spans="1:7" x14ac:dyDescent="0.2">
      <c r="A23725" t="s">
        <v>22009</v>
      </c>
      <c r="B23725" t="str">
        <f>"13465811957"</f>
        <v>13465811957</v>
      </c>
      <c r="C23725" t="str">
        <f>"370211199411140521"</f>
        <v>370211199411140521</v>
      </c>
      <c r="D23725" t="s">
        <v>22010</v>
      </c>
      <c r="E23725" t="s">
        <v>22011</v>
      </c>
      <c r="F23725" t="s">
        <v>0</v>
      </c>
      <c r="G23725" t="str">
        <f>"2018-10-06 15:37:29"</f>
        <v>2018-10-06 15:37:29</v>
      </c>
    </row>
    <row r="23726" spans="1:7" x14ac:dyDescent="0.2">
      <c r="A23726" t="s">
        <v>1</v>
      </c>
      <c r="B23726" t="str">
        <f>"15210015350"</f>
        <v>15210015350</v>
      </c>
      <c r="C23726" t="s">
        <v>1</v>
      </c>
      <c r="D23726" t="s">
        <v>1</v>
      </c>
      <c r="E23726" t="s">
        <v>1</v>
      </c>
      <c r="F23726" t="s">
        <v>0</v>
      </c>
      <c r="G23726" t="str">
        <f>"2018-10-06 15:37:22"</f>
        <v>2018-10-06 15:37:22</v>
      </c>
    </row>
    <row r="23727" spans="1:7" x14ac:dyDescent="0.2">
      <c r="A23727" t="s">
        <v>22012</v>
      </c>
      <c r="B23727" t="str">
        <f>"18976759948"</f>
        <v>18976759948</v>
      </c>
      <c r="C23727" t="str">
        <f>"460103198202200016"</f>
        <v>460103198202200016</v>
      </c>
      <c r="D23727" t="s">
        <v>22013</v>
      </c>
      <c r="E23727" t="s">
        <v>22014</v>
      </c>
      <c r="F23727" t="s">
        <v>0</v>
      </c>
      <c r="G23727" t="str">
        <f>"2018-10-06 15:40:13"</f>
        <v>2018-10-06 15:40:13</v>
      </c>
    </row>
    <row r="23728" spans="1:7" x14ac:dyDescent="0.2">
      <c r="A23728" t="s">
        <v>1</v>
      </c>
      <c r="B23728" t="str">
        <f>"17520276606"</f>
        <v>17520276606</v>
      </c>
      <c r="C23728" t="s">
        <v>1</v>
      </c>
      <c r="D23728" t="s">
        <v>1</v>
      </c>
      <c r="E23728" t="s">
        <v>1</v>
      </c>
      <c r="F23728" t="s">
        <v>0</v>
      </c>
      <c r="G23728" t="str">
        <f>"2018-10-06 15:38:59"</f>
        <v>2018-10-06 15:38:59</v>
      </c>
    </row>
    <row r="23729" spans="1:7" x14ac:dyDescent="0.2">
      <c r="A23729" t="s">
        <v>22015</v>
      </c>
      <c r="B23729" t="str">
        <f>"13709470362"</f>
        <v>13709470362</v>
      </c>
      <c r="C23729" t="str">
        <f>"512323197010130015"</f>
        <v>512323197010130015</v>
      </c>
      <c r="D23729" t="s">
        <v>1</v>
      </c>
      <c r="E23729" t="s">
        <v>1</v>
      </c>
      <c r="F23729" t="s">
        <v>0</v>
      </c>
      <c r="G23729" t="str">
        <f>"2018-10-06 15:40:30"</f>
        <v>2018-10-06 15:40:30</v>
      </c>
    </row>
    <row r="23730" spans="1:7" x14ac:dyDescent="0.2">
      <c r="A23730" t="s">
        <v>1</v>
      </c>
      <c r="B23730" t="str">
        <f>"18271478905"</f>
        <v>18271478905</v>
      </c>
      <c r="C23730" t="s">
        <v>1</v>
      </c>
      <c r="D23730" t="s">
        <v>1</v>
      </c>
      <c r="E23730" t="s">
        <v>1</v>
      </c>
      <c r="F23730" t="s">
        <v>0</v>
      </c>
      <c r="G23730" t="str">
        <f>"2018-10-06 15:36:31"</f>
        <v>2018-10-06 15:36:31</v>
      </c>
    </row>
    <row r="23731" spans="1:7" x14ac:dyDescent="0.2">
      <c r="A23731" t="s">
        <v>22016</v>
      </c>
      <c r="B23731" t="str">
        <f>"17716951139"</f>
        <v>17716951139</v>
      </c>
      <c r="C23731" t="str">
        <f>"622426199608010033"</f>
        <v>622426199608010033</v>
      </c>
      <c r="D23731" t="s">
        <v>1</v>
      </c>
      <c r="E23731" t="s">
        <v>1</v>
      </c>
      <c r="F23731" t="s">
        <v>0</v>
      </c>
      <c r="G23731" t="str">
        <f>"2018-10-06 15:38:24"</f>
        <v>2018-10-06 15:38:24</v>
      </c>
    </row>
    <row r="23732" spans="1:7" x14ac:dyDescent="0.2">
      <c r="A23732" t="s">
        <v>22017</v>
      </c>
      <c r="B23732" t="str">
        <f>"15066073311"</f>
        <v>15066073311</v>
      </c>
      <c r="C23732" t="str">
        <f>"370502199304062820"</f>
        <v>370502199304062820</v>
      </c>
      <c r="D23732" t="s">
        <v>1</v>
      </c>
      <c r="E23732" t="s">
        <v>1</v>
      </c>
      <c r="F23732" t="s">
        <v>0</v>
      </c>
      <c r="G23732" t="str">
        <f>"2018-10-06 15:37:38"</f>
        <v>2018-10-06 15:37:38</v>
      </c>
    </row>
    <row r="23733" spans="1:7" x14ac:dyDescent="0.2">
      <c r="A23733" t="s">
        <v>1</v>
      </c>
      <c r="B23733" t="str">
        <f>"15089311669"</f>
        <v>15089311669</v>
      </c>
      <c r="C23733" t="s">
        <v>1</v>
      </c>
      <c r="D23733" t="s">
        <v>1</v>
      </c>
      <c r="E23733" t="s">
        <v>1</v>
      </c>
      <c r="F23733" t="s">
        <v>0</v>
      </c>
      <c r="G23733" t="str">
        <f>"2018-10-06 15:36:00"</f>
        <v>2018-10-06 15:36:00</v>
      </c>
    </row>
    <row r="23734" spans="1:7" x14ac:dyDescent="0.2">
      <c r="A23734" t="s">
        <v>1567</v>
      </c>
      <c r="B23734" t="str">
        <f>"13612134268"</f>
        <v>13612134268</v>
      </c>
      <c r="C23734" t="str">
        <f>"120104197808062934"</f>
        <v>120104197808062934</v>
      </c>
      <c r="D23734" t="s">
        <v>1</v>
      </c>
      <c r="E23734" t="s">
        <v>1</v>
      </c>
      <c r="F23734" t="s">
        <v>0</v>
      </c>
      <c r="G23734" t="str">
        <f>"2018-10-06 15:38:27"</f>
        <v>2018-10-06 15:38:27</v>
      </c>
    </row>
    <row r="23735" spans="1:7" x14ac:dyDescent="0.2">
      <c r="A23735" t="s">
        <v>22018</v>
      </c>
      <c r="B23735" t="str">
        <f>"15944311273"</f>
        <v>15944311273</v>
      </c>
      <c r="C23735" t="str">
        <f>"222402198208230619"</f>
        <v>222402198208230619</v>
      </c>
      <c r="D23735" t="s">
        <v>1</v>
      </c>
      <c r="E23735" t="s">
        <v>1</v>
      </c>
      <c r="F23735" t="s">
        <v>0</v>
      </c>
      <c r="G23735" t="str">
        <f>"2018-10-06 15:38:01"</f>
        <v>2018-10-06 15:38:01</v>
      </c>
    </row>
    <row r="23736" spans="1:7" x14ac:dyDescent="0.2">
      <c r="A23736" t="s">
        <v>22019</v>
      </c>
      <c r="B23736" t="str">
        <f>"13728805008"</f>
        <v>13728805008</v>
      </c>
      <c r="C23736" t="str">
        <f>"422425197408255252"</f>
        <v>422425197408255252</v>
      </c>
      <c r="D23736" t="s">
        <v>1</v>
      </c>
      <c r="E23736" t="s">
        <v>1</v>
      </c>
      <c r="F23736" t="s">
        <v>0</v>
      </c>
      <c r="G23736" t="str">
        <f>"2018-10-06 15:37:24"</f>
        <v>2018-10-06 15:37:24</v>
      </c>
    </row>
    <row r="23737" spans="1:7" x14ac:dyDescent="0.2">
      <c r="A23737" t="s">
        <v>22020</v>
      </c>
      <c r="B23737" t="str">
        <f>"18322855610"</f>
        <v>18322855610</v>
      </c>
      <c r="C23737" t="str">
        <f>"36028119980108434X"</f>
        <v>36028119980108434X</v>
      </c>
      <c r="D23737" t="s">
        <v>1</v>
      </c>
      <c r="E23737" t="s">
        <v>1</v>
      </c>
      <c r="F23737" t="s">
        <v>0</v>
      </c>
      <c r="G23737" t="str">
        <f>"2018-10-06 15:37:20"</f>
        <v>2018-10-06 15:37:20</v>
      </c>
    </row>
    <row r="23738" spans="1:7" x14ac:dyDescent="0.2">
      <c r="A23738" t="s">
        <v>22021</v>
      </c>
      <c r="B23738" t="str">
        <f>"17691163958"</f>
        <v>17691163958</v>
      </c>
      <c r="C23738" t="str">
        <f>"610124199607073929"</f>
        <v>610124199607073929</v>
      </c>
      <c r="D23738" t="s">
        <v>1</v>
      </c>
      <c r="E23738" t="s">
        <v>1</v>
      </c>
      <c r="F23738" t="s">
        <v>0</v>
      </c>
      <c r="G23738" t="str">
        <f>"2018-10-06 15:50:08"</f>
        <v>2018-10-06 15:50:08</v>
      </c>
    </row>
    <row r="23739" spans="1:7" x14ac:dyDescent="0.2">
      <c r="A23739" t="s">
        <v>22022</v>
      </c>
      <c r="B23739" t="str">
        <f>"15203438281"</f>
        <v>15203438281</v>
      </c>
      <c r="C23739" t="str">
        <f>"142325198610135512"</f>
        <v>142325198610135512</v>
      </c>
      <c r="D23739" t="s">
        <v>22023</v>
      </c>
      <c r="E23739" t="s">
        <v>22024</v>
      </c>
      <c r="F23739" t="s">
        <v>0</v>
      </c>
      <c r="G23739" t="str">
        <f>"2018-10-06 16:48:57"</f>
        <v>2018-10-06 16:48:57</v>
      </c>
    </row>
    <row r="23740" spans="1:7" x14ac:dyDescent="0.2">
      <c r="A23740" t="s">
        <v>22025</v>
      </c>
      <c r="B23740" t="str">
        <f>"13738580282"</f>
        <v>13738580282</v>
      </c>
      <c r="C23740" t="str">
        <f>"331081199001203042"</f>
        <v>331081199001203042</v>
      </c>
      <c r="D23740" t="s">
        <v>22026</v>
      </c>
      <c r="E23740" t="s">
        <v>22027</v>
      </c>
      <c r="F23740" t="s">
        <v>0</v>
      </c>
      <c r="G23740" t="str">
        <f>"2018-10-06 15:38:02"</f>
        <v>2018-10-06 15:38:02</v>
      </c>
    </row>
    <row r="23741" spans="1:7" x14ac:dyDescent="0.2">
      <c r="A23741" t="s">
        <v>22028</v>
      </c>
      <c r="B23741" t="str">
        <f>"15262126735"</f>
        <v>15262126735</v>
      </c>
      <c r="C23741" t="str">
        <f>"320324199511225416"</f>
        <v>320324199511225416</v>
      </c>
      <c r="D23741" t="s">
        <v>22029</v>
      </c>
      <c r="E23741" t="s">
        <v>22030</v>
      </c>
      <c r="F23741" t="s">
        <v>0</v>
      </c>
      <c r="G23741" t="str">
        <f>"2018-10-06 15:36:45"</f>
        <v>2018-10-06 15:36:45</v>
      </c>
    </row>
    <row r="23742" spans="1:7" x14ac:dyDescent="0.2">
      <c r="A23742" t="s">
        <v>22031</v>
      </c>
      <c r="B23742" t="str">
        <f>"18993528616"</f>
        <v>18993528616</v>
      </c>
      <c r="C23742" t="str">
        <f>"620321199008160311"</f>
        <v>620321199008160311</v>
      </c>
      <c r="D23742" t="s">
        <v>1</v>
      </c>
      <c r="E23742" t="s">
        <v>1</v>
      </c>
      <c r="F23742" t="s">
        <v>0</v>
      </c>
      <c r="G23742" t="str">
        <f>"2018-10-06 15:35:40"</f>
        <v>2018-10-06 15:35:40</v>
      </c>
    </row>
    <row r="23743" spans="1:7" x14ac:dyDescent="0.2">
      <c r="A23743" t="s">
        <v>22032</v>
      </c>
      <c r="B23743" t="str">
        <f>"18505225222"</f>
        <v>18505225222</v>
      </c>
      <c r="C23743" t="str">
        <f>"321081197709122116"</f>
        <v>321081197709122116</v>
      </c>
      <c r="D23743" t="s">
        <v>1</v>
      </c>
      <c r="E23743" t="s">
        <v>1</v>
      </c>
      <c r="F23743" t="s">
        <v>0</v>
      </c>
      <c r="G23743" t="str">
        <f>"2018-10-06 15:33:49"</f>
        <v>2018-10-06 15:33:49</v>
      </c>
    </row>
    <row r="23744" spans="1:7" x14ac:dyDescent="0.2">
      <c r="A23744" t="s">
        <v>22033</v>
      </c>
      <c r="B23744" t="str">
        <f>"15335572551"</f>
        <v>15335572551</v>
      </c>
      <c r="C23744" t="str">
        <f>"150122199311233125"</f>
        <v>150122199311233125</v>
      </c>
      <c r="D23744" t="s">
        <v>1</v>
      </c>
      <c r="E23744" t="s">
        <v>1</v>
      </c>
      <c r="F23744" t="s">
        <v>0</v>
      </c>
      <c r="G23744" t="str">
        <f>"2018-10-06 15:32:48"</f>
        <v>2018-10-06 15:32:48</v>
      </c>
    </row>
    <row r="23745" spans="1:7" x14ac:dyDescent="0.2">
      <c r="A23745" t="s">
        <v>1</v>
      </c>
      <c r="B23745" t="str">
        <f>"13385456865"</f>
        <v>13385456865</v>
      </c>
      <c r="C23745" t="s">
        <v>1</v>
      </c>
      <c r="D23745" t="s">
        <v>1</v>
      </c>
      <c r="E23745" t="s">
        <v>1</v>
      </c>
      <c r="F23745" t="s">
        <v>0</v>
      </c>
      <c r="G23745" t="str">
        <f>"2018-10-06 15:32:46"</f>
        <v>2018-10-06 15:32:46</v>
      </c>
    </row>
    <row r="23746" spans="1:7" x14ac:dyDescent="0.2">
      <c r="A23746" t="s">
        <v>22034</v>
      </c>
      <c r="B23746" t="str">
        <f>"18702284948"</f>
        <v>18702284948</v>
      </c>
      <c r="C23746" t="str">
        <f>"410221199905101851"</f>
        <v>410221199905101851</v>
      </c>
      <c r="D23746" t="s">
        <v>22035</v>
      </c>
      <c r="E23746" t="s">
        <v>22036</v>
      </c>
      <c r="F23746" t="s">
        <v>0</v>
      </c>
      <c r="G23746" t="str">
        <f>"2018-10-06 15:32:44"</f>
        <v>2018-10-06 15:32:44</v>
      </c>
    </row>
    <row r="23747" spans="1:7" x14ac:dyDescent="0.2">
      <c r="A23747" t="s">
        <v>22037</v>
      </c>
      <c r="B23747" t="str">
        <f>"18047952364"</f>
        <v>18047952364</v>
      </c>
      <c r="C23747" t="str">
        <f>"152624198303081579"</f>
        <v>152624198303081579</v>
      </c>
      <c r="D23747" t="s">
        <v>1</v>
      </c>
      <c r="E23747" t="s">
        <v>1</v>
      </c>
      <c r="F23747" t="s">
        <v>0</v>
      </c>
      <c r="G23747" t="str">
        <f>"2018-10-06 15:34:51"</f>
        <v>2018-10-06 15:34:51</v>
      </c>
    </row>
    <row r="23748" spans="1:7" x14ac:dyDescent="0.2">
      <c r="A23748" t="s">
        <v>22038</v>
      </c>
      <c r="B23748" t="str">
        <f>"13810877338"</f>
        <v>13810877338</v>
      </c>
      <c r="C23748" t="str">
        <f>"110111199009090315"</f>
        <v>110111199009090315</v>
      </c>
      <c r="D23748" t="s">
        <v>22039</v>
      </c>
      <c r="E23748" t="s">
        <v>22040</v>
      </c>
      <c r="F23748" t="s">
        <v>0</v>
      </c>
      <c r="G23748" t="str">
        <f>"2018-10-12 12:24:10"</f>
        <v>2018-10-12 12:24:10</v>
      </c>
    </row>
    <row r="23749" spans="1:7" x14ac:dyDescent="0.2">
      <c r="A23749" t="s">
        <v>1</v>
      </c>
      <c r="B23749" t="str">
        <f>"18754360026"</f>
        <v>18754360026</v>
      </c>
      <c r="C23749" t="s">
        <v>1</v>
      </c>
      <c r="D23749" t="s">
        <v>1</v>
      </c>
      <c r="E23749" t="s">
        <v>1</v>
      </c>
      <c r="F23749" t="s">
        <v>0</v>
      </c>
      <c r="G23749" t="str">
        <f>"2018-10-26 13:13:21"</f>
        <v>2018-10-26 13:13:21</v>
      </c>
    </row>
    <row r="23750" spans="1:7" x14ac:dyDescent="0.2">
      <c r="A23750" t="s">
        <v>1266</v>
      </c>
      <c r="B23750" t="str">
        <f>"18904801305"</f>
        <v>18904801305</v>
      </c>
      <c r="C23750" t="str">
        <f>"230102198408251338"</f>
        <v>230102198408251338</v>
      </c>
      <c r="D23750" t="s">
        <v>22041</v>
      </c>
      <c r="E23750" t="s">
        <v>22042</v>
      </c>
      <c r="F23750" t="s">
        <v>0</v>
      </c>
      <c r="G23750" t="str">
        <f>"2018-10-06 15:34:00"</f>
        <v>2018-10-06 15:34:00</v>
      </c>
    </row>
    <row r="23751" spans="1:7" x14ac:dyDescent="0.2">
      <c r="A23751" t="s">
        <v>1</v>
      </c>
      <c r="B23751" t="str">
        <f>"15383075333"</f>
        <v>15383075333</v>
      </c>
      <c r="C23751" t="s">
        <v>1</v>
      </c>
      <c r="D23751" t="s">
        <v>1</v>
      </c>
      <c r="E23751" t="s">
        <v>1</v>
      </c>
      <c r="F23751" t="s">
        <v>0</v>
      </c>
      <c r="G23751" t="str">
        <f>"2018-10-06 15:32:47"</f>
        <v>2018-10-06 15:32:47</v>
      </c>
    </row>
    <row r="23752" spans="1:7" x14ac:dyDescent="0.2">
      <c r="A23752" t="s">
        <v>22043</v>
      </c>
      <c r="B23752" t="str">
        <f>"13585006178"</f>
        <v>13585006178</v>
      </c>
      <c r="C23752" t="str">
        <f>"320222197711234416"</f>
        <v>320222197711234416</v>
      </c>
      <c r="D23752" t="s">
        <v>1</v>
      </c>
      <c r="E23752" t="s">
        <v>1</v>
      </c>
      <c r="F23752" t="s">
        <v>0</v>
      </c>
      <c r="G23752" t="str">
        <f>"2018-10-06 15:32:51"</f>
        <v>2018-10-06 15:32:51</v>
      </c>
    </row>
    <row r="23753" spans="1:7" x14ac:dyDescent="0.2">
      <c r="A23753" t="s">
        <v>22044</v>
      </c>
      <c r="B23753" t="str">
        <f>"18786382709"</f>
        <v>18786382709</v>
      </c>
      <c r="C23753" t="str">
        <f>"522724199706101828"</f>
        <v>522724199706101828</v>
      </c>
      <c r="D23753" t="s">
        <v>1</v>
      </c>
      <c r="E23753" t="s">
        <v>1</v>
      </c>
      <c r="F23753" t="s">
        <v>0</v>
      </c>
      <c r="G23753" t="str">
        <f>"2018-10-06 15:30:57"</f>
        <v>2018-10-06 15:30:57</v>
      </c>
    </row>
    <row r="23754" spans="1:7" x14ac:dyDescent="0.2">
      <c r="A23754" t="s">
        <v>22045</v>
      </c>
      <c r="B23754" t="str">
        <f>"13804314747"</f>
        <v>13804314747</v>
      </c>
      <c r="C23754" t="str">
        <f>"220122199405152535"</f>
        <v>220122199405152535</v>
      </c>
      <c r="D23754" t="s">
        <v>1</v>
      </c>
      <c r="E23754" t="s">
        <v>1</v>
      </c>
      <c r="F23754" t="s">
        <v>0</v>
      </c>
      <c r="G23754" t="str">
        <f>"2018-10-13 14:12:28"</f>
        <v>2018-10-13 14:12:28</v>
      </c>
    </row>
    <row r="23755" spans="1:7" x14ac:dyDescent="0.2">
      <c r="A23755" t="s">
        <v>22046</v>
      </c>
      <c r="B23755" t="str">
        <f>"13453402783"</f>
        <v>13453402783</v>
      </c>
      <c r="C23755" t="str">
        <f>"142223199502282415"</f>
        <v>142223199502282415</v>
      </c>
      <c r="D23755" t="s">
        <v>1</v>
      </c>
      <c r="E23755" t="s">
        <v>1</v>
      </c>
      <c r="F23755" t="s">
        <v>0</v>
      </c>
      <c r="G23755" t="str">
        <f>"2018-10-08 23:31:05"</f>
        <v>2018-10-08 23:31:05</v>
      </c>
    </row>
    <row r="23756" spans="1:7" x14ac:dyDescent="0.2">
      <c r="A23756" t="s">
        <v>22047</v>
      </c>
      <c r="B23756" t="str">
        <f>"18960176367"</f>
        <v>18960176367</v>
      </c>
      <c r="C23756" t="str">
        <f>"350627198403300016"</f>
        <v>350627198403300016</v>
      </c>
      <c r="D23756" t="s">
        <v>1</v>
      </c>
      <c r="E23756" t="s">
        <v>1</v>
      </c>
      <c r="F23756" t="s">
        <v>0</v>
      </c>
      <c r="G23756" t="str">
        <f>"2018-10-13 18:06:48"</f>
        <v>2018-10-13 18:06:48</v>
      </c>
    </row>
    <row r="23757" spans="1:7" x14ac:dyDescent="0.2">
      <c r="A23757" t="s">
        <v>22048</v>
      </c>
      <c r="B23757" t="str">
        <f>"18228103129"</f>
        <v>18228103129</v>
      </c>
      <c r="C23757" t="str">
        <f>"513821199307152391"</f>
        <v>513821199307152391</v>
      </c>
      <c r="D23757" t="s">
        <v>1</v>
      </c>
      <c r="E23757" t="s">
        <v>1</v>
      </c>
      <c r="F23757" t="s">
        <v>0</v>
      </c>
      <c r="G23757" t="str">
        <f>"2018-10-06 15:58:07"</f>
        <v>2018-10-06 15:58:07</v>
      </c>
    </row>
    <row r="23758" spans="1:7" x14ac:dyDescent="0.2">
      <c r="A23758" t="s">
        <v>22049</v>
      </c>
      <c r="B23758" t="str">
        <f>"18259761955"</f>
        <v>18259761955</v>
      </c>
      <c r="C23758" t="str">
        <f>"350426199307141016"</f>
        <v>350426199307141016</v>
      </c>
      <c r="D23758" t="s">
        <v>1</v>
      </c>
      <c r="E23758" t="s">
        <v>1</v>
      </c>
      <c r="F23758" t="s">
        <v>0</v>
      </c>
      <c r="G23758" t="str">
        <f>"2018-10-06 15:29:33"</f>
        <v>2018-10-06 15:29:33</v>
      </c>
    </row>
    <row r="23759" spans="1:7" x14ac:dyDescent="0.2">
      <c r="A23759" t="s">
        <v>1</v>
      </c>
      <c r="B23759" t="str">
        <f>"15073200040"</f>
        <v>15073200040</v>
      </c>
      <c r="C23759" t="s">
        <v>1</v>
      </c>
      <c r="D23759" t="s">
        <v>1</v>
      </c>
      <c r="E23759" t="s">
        <v>1</v>
      </c>
      <c r="F23759" t="s">
        <v>0</v>
      </c>
      <c r="G23759" t="str">
        <f>"2018-10-06 15:26:57"</f>
        <v>2018-10-06 15:26:57</v>
      </c>
    </row>
    <row r="23760" spans="1:7" x14ac:dyDescent="0.2">
      <c r="A23760" t="s">
        <v>1734</v>
      </c>
      <c r="B23760" t="str">
        <f>"18860487135"</f>
        <v>18860487135</v>
      </c>
      <c r="C23760" t="str">
        <f>"342401199510029911"</f>
        <v>342401199510029911</v>
      </c>
      <c r="D23760" t="s">
        <v>1</v>
      </c>
      <c r="E23760" t="s">
        <v>1</v>
      </c>
      <c r="F23760" t="s">
        <v>0</v>
      </c>
      <c r="G23760" t="str">
        <f>"2018-10-06 15:28:19"</f>
        <v>2018-10-06 15:28:19</v>
      </c>
    </row>
    <row r="23761" spans="1:7" x14ac:dyDescent="0.2">
      <c r="A23761" t="s">
        <v>22050</v>
      </c>
      <c r="B23761" t="str">
        <f>"13108288928"</f>
        <v>13108288928</v>
      </c>
      <c r="C23761" t="str">
        <f>"610303199601301213"</f>
        <v>610303199601301213</v>
      </c>
      <c r="D23761" t="s">
        <v>1</v>
      </c>
      <c r="E23761" t="s">
        <v>1</v>
      </c>
      <c r="F23761" t="s">
        <v>0</v>
      </c>
      <c r="G23761" t="str">
        <f>"2018-10-06 16:28:33"</f>
        <v>2018-10-06 16:28:33</v>
      </c>
    </row>
    <row r="23762" spans="1:7" x14ac:dyDescent="0.2">
      <c r="A23762" t="s">
        <v>1</v>
      </c>
      <c r="B23762" t="str">
        <f>"13524950877"</f>
        <v>13524950877</v>
      </c>
      <c r="C23762" t="s">
        <v>1</v>
      </c>
      <c r="D23762" t="s">
        <v>1</v>
      </c>
      <c r="E23762" t="s">
        <v>1</v>
      </c>
      <c r="F23762" t="s">
        <v>0</v>
      </c>
      <c r="G23762" t="str">
        <f>"2018-10-06 15:26:32"</f>
        <v>2018-10-06 15:26:32</v>
      </c>
    </row>
    <row r="23763" spans="1:7" x14ac:dyDescent="0.2">
      <c r="A23763" t="s">
        <v>22051</v>
      </c>
      <c r="B23763" t="str">
        <f>"15733439533"</f>
        <v>15733439533</v>
      </c>
      <c r="C23763" t="str">
        <f>"130427199507256913"</f>
        <v>130427199507256913</v>
      </c>
      <c r="D23763" t="s">
        <v>1</v>
      </c>
      <c r="E23763" t="s">
        <v>1</v>
      </c>
      <c r="F23763" t="s">
        <v>0</v>
      </c>
      <c r="G23763" t="str">
        <f>"2018-10-06 15:26:30"</f>
        <v>2018-10-06 15:26:30</v>
      </c>
    </row>
    <row r="23764" spans="1:7" x14ac:dyDescent="0.2">
      <c r="A23764" t="s">
        <v>1</v>
      </c>
      <c r="B23764" t="str">
        <f>"18357332358"</f>
        <v>18357332358</v>
      </c>
      <c r="C23764" t="s">
        <v>1</v>
      </c>
      <c r="D23764" t="s">
        <v>1</v>
      </c>
      <c r="E23764" t="s">
        <v>1</v>
      </c>
      <c r="F23764" t="s">
        <v>0</v>
      </c>
      <c r="G23764" t="str">
        <f>"2018-10-06 15:26:10"</f>
        <v>2018-10-06 15:26:10</v>
      </c>
    </row>
    <row r="23765" spans="1:7" x14ac:dyDescent="0.2">
      <c r="A23765" t="s">
        <v>22052</v>
      </c>
      <c r="B23765" t="str">
        <f>"18157930559"</f>
        <v>18157930559</v>
      </c>
      <c r="C23765" t="str">
        <f>"422827198411011127"</f>
        <v>422827198411011127</v>
      </c>
      <c r="D23765" t="s">
        <v>22053</v>
      </c>
      <c r="E23765" t="s">
        <v>22054</v>
      </c>
    </row>
    <row r="23766" spans="1:7" x14ac:dyDescent="0.2">
      <c r="A23766" t="s">
        <v>22055</v>
      </c>
    </row>
    <row r="23767" spans="1:7" x14ac:dyDescent="0.2">
      <c r="B23767" t="s">
        <v>0</v>
      </c>
      <c r="C23767" t="str">
        <f>"2018-10-06 15:37:31"</f>
        <v>2018-10-06 15:37:31</v>
      </c>
    </row>
    <row r="23768" spans="1:7" x14ac:dyDescent="0.2">
      <c r="A23768" t="s">
        <v>22056</v>
      </c>
      <c r="B23768" t="str">
        <f>"15559188896"</f>
        <v>15559188896</v>
      </c>
      <c r="C23768" t="str">
        <f>"350524199301153051"</f>
        <v>350524199301153051</v>
      </c>
      <c r="D23768" t="s">
        <v>1</v>
      </c>
      <c r="E23768" t="s">
        <v>1</v>
      </c>
      <c r="F23768" t="s">
        <v>0</v>
      </c>
      <c r="G23768" t="str">
        <f>"2018-10-06 15:55:24"</f>
        <v>2018-10-06 15:55:24</v>
      </c>
    </row>
    <row r="23769" spans="1:7" x14ac:dyDescent="0.2">
      <c r="A23769" t="s">
        <v>22057</v>
      </c>
      <c r="B23769" t="str">
        <f>"15203228187"</f>
        <v>15203228187</v>
      </c>
      <c r="C23769" t="str">
        <f>"130684199004124765"</f>
        <v>130684199004124765</v>
      </c>
      <c r="D23769" t="s">
        <v>1</v>
      </c>
      <c r="E23769" t="s">
        <v>1</v>
      </c>
      <c r="F23769" t="s">
        <v>0</v>
      </c>
      <c r="G23769" t="str">
        <f>"2018-10-06 15:28:15"</f>
        <v>2018-10-06 15:28:15</v>
      </c>
    </row>
    <row r="23770" spans="1:7" x14ac:dyDescent="0.2">
      <c r="A23770" t="s">
        <v>22058</v>
      </c>
      <c r="B23770" t="str">
        <f>"17701482886"</f>
        <v>17701482886</v>
      </c>
      <c r="C23770" t="str">
        <f>"320682199302072206"</f>
        <v>320682199302072206</v>
      </c>
      <c r="D23770" t="s">
        <v>22059</v>
      </c>
      <c r="E23770" t="s">
        <v>22060</v>
      </c>
      <c r="F23770" t="s">
        <v>0</v>
      </c>
      <c r="G23770" t="str">
        <f>"2018-10-06 15:28:11"</f>
        <v>2018-10-06 15:28:11</v>
      </c>
    </row>
    <row r="23771" spans="1:7" x14ac:dyDescent="0.2">
      <c r="A23771" t="s">
        <v>22061</v>
      </c>
      <c r="B23771" t="str">
        <f>"15022640689"</f>
        <v>15022640689</v>
      </c>
      <c r="C23771" t="str">
        <f>"120223199508084078"</f>
        <v>120223199508084078</v>
      </c>
      <c r="D23771" t="s">
        <v>1</v>
      </c>
      <c r="E23771" t="s">
        <v>1</v>
      </c>
      <c r="F23771" t="s">
        <v>0</v>
      </c>
      <c r="G23771" t="str">
        <f>"2018-10-06 15:27:55"</f>
        <v>2018-10-06 15:27:55</v>
      </c>
    </row>
    <row r="23772" spans="1:7" x14ac:dyDescent="0.2">
      <c r="A23772" t="s">
        <v>22062</v>
      </c>
      <c r="B23772" t="str">
        <f>"15195838046"</f>
        <v>15195838046</v>
      </c>
      <c r="C23772" t="str">
        <f>"320123199302012812"</f>
        <v>320123199302012812</v>
      </c>
      <c r="D23772" t="s">
        <v>22063</v>
      </c>
      <c r="E23772" t="s">
        <v>22064</v>
      </c>
      <c r="F23772" t="s">
        <v>0</v>
      </c>
      <c r="G23772" t="str">
        <f>"2018-10-08 17:41:48"</f>
        <v>2018-10-08 17:41:48</v>
      </c>
    </row>
    <row r="23773" spans="1:7" x14ac:dyDescent="0.2">
      <c r="A23773" t="s">
        <v>22065</v>
      </c>
      <c r="B23773" t="str">
        <f>"13713708198"</f>
        <v>13713708198</v>
      </c>
      <c r="C23773" t="str">
        <f>"500234198907115471"</f>
        <v>500234198907115471</v>
      </c>
      <c r="D23773" t="s">
        <v>1</v>
      </c>
      <c r="E23773" t="s">
        <v>1</v>
      </c>
      <c r="F23773" t="s">
        <v>0</v>
      </c>
      <c r="G23773" t="str">
        <f>"2018-10-06 15:26:15"</f>
        <v>2018-10-06 15:26:15</v>
      </c>
    </row>
    <row r="23774" spans="1:7" x14ac:dyDescent="0.2">
      <c r="A23774" t="s">
        <v>1137</v>
      </c>
      <c r="B23774" t="str">
        <f>"15886319734"</f>
        <v>15886319734</v>
      </c>
      <c r="C23774" t="str">
        <f>"430221199011042913"</f>
        <v>430221199011042913</v>
      </c>
      <c r="D23774" t="s">
        <v>1</v>
      </c>
      <c r="E23774" t="s">
        <v>1</v>
      </c>
      <c r="F23774" t="s">
        <v>0</v>
      </c>
      <c r="G23774" t="str">
        <f>"2018-10-06 16:31:03"</f>
        <v>2018-10-06 16:31:03</v>
      </c>
    </row>
    <row r="23775" spans="1:7" x14ac:dyDescent="0.2">
      <c r="A23775" t="s">
        <v>22066</v>
      </c>
      <c r="B23775" t="str">
        <f>"13787808377"</f>
        <v>13787808377</v>
      </c>
      <c r="C23775" t="str">
        <f>"62282719890615491X"</f>
        <v>62282719890615491X</v>
      </c>
      <c r="D23775" t="s">
        <v>1</v>
      </c>
      <c r="E23775" t="s">
        <v>1</v>
      </c>
      <c r="F23775" t="s">
        <v>0</v>
      </c>
      <c r="G23775" t="str">
        <f>"2018-10-06 15:22:15"</f>
        <v>2018-10-06 15:22:15</v>
      </c>
    </row>
    <row r="23776" spans="1:7" x14ac:dyDescent="0.2">
      <c r="A23776" t="s">
        <v>22067</v>
      </c>
      <c r="B23776" t="str">
        <f>"15117062150"</f>
        <v>15117062150</v>
      </c>
      <c r="C23776" t="str">
        <f>"620121199009290512"</f>
        <v>620121199009290512</v>
      </c>
      <c r="D23776" t="s">
        <v>22068</v>
      </c>
      <c r="E23776" t="s">
        <v>22069</v>
      </c>
      <c r="F23776" t="s">
        <v>0</v>
      </c>
      <c r="G23776" t="str">
        <f>"2018-10-06 15:31:51"</f>
        <v>2018-10-06 15:31:51</v>
      </c>
    </row>
    <row r="23777" spans="1:7" x14ac:dyDescent="0.2">
      <c r="A23777" t="s">
        <v>22070</v>
      </c>
      <c r="B23777" t="str">
        <f>"15087010806"</f>
        <v>15087010806</v>
      </c>
      <c r="C23777" t="str">
        <f>"530426199602060626"</f>
        <v>530426199602060626</v>
      </c>
      <c r="D23777" t="s">
        <v>1</v>
      </c>
      <c r="E23777" t="s">
        <v>1</v>
      </c>
      <c r="F23777" t="s">
        <v>0</v>
      </c>
      <c r="G23777" t="str">
        <f>"2018-10-06 15:25:22"</f>
        <v>2018-10-06 15:25:22</v>
      </c>
    </row>
    <row r="23778" spans="1:7" x14ac:dyDescent="0.2">
      <c r="A23778" t="s">
        <v>1657</v>
      </c>
      <c r="B23778" t="str">
        <f>"18639277071"</f>
        <v>18639277071</v>
      </c>
      <c r="C23778" t="str">
        <f>"410323199807073023"</f>
        <v>410323199807073023</v>
      </c>
      <c r="D23778" t="s">
        <v>1</v>
      </c>
      <c r="E23778" t="s">
        <v>1</v>
      </c>
      <c r="F23778" t="s">
        <v>0</v>
      </c>
      <c r="G23778" t="str">
        <f>"2018-10-19 14:44:37"</f>
        <v>2018-10-19 14:44:37</v>
      </c>
    </row>
    <row r="23779" spans="1:7" x14ac:dyDescent="0.2">
      <c r="A23779" t="s">
        <v>628</v>
      </c>
      <c r="B23779" t="str">
        <f>"15070499111"</f>
        <v>15070499111</v>
      </c>
      <c r="C23779" t="str">
        <f>"362522198508080036"</f>
        <v>362522198508080036</v>
      </c>
      <c r="D23779" t="s">
        <v>22071</v>
      </c>
      <c r="E23779" t="s">
        <v>22072</v>
      </c>
      <c r="F23779" t="s">
        <v>0</v>
      </c>
      <c r="G23779" t="str">
        <f>"2018-10-06 15:35:22"</f>
        <v>2018-10-06 15:35:22</v>
      </c>
    </row>
    <row r="23780" spans="1:7" x14ac:dyDescent="0.2">
      <c r="A23780" t="s">
        <v>22073</v>
      </c>
      <c r="B23780" t="str">
        <f>"15256587077"</f>
        <v>15256587077</v>
      </c>
      <c r="C23780" t="str">
        <f>"342523199412054922"</f>
        <v>342523199412054922</v>
      </c>
      <c r="D23780" t="s">
        <v>1</v>
      </c>
      <c r="E23780" t="s">
        <v>1</v>
      </c>
      <c r="F23780" t="s">
        <v>0</v>
      </c>
      <c r="G23780" t="str">
        <f>"2018-10-06 15:27:43"</f>
        <v>2018-10-06 15:27:43</v>
      </c>
    </row>
    <row r="23781" spans="1:7" x14ac:dyDescent="0.2">
      <c r="A23781" t="s">
        <v>9419</v>
      </c>
      <c r="B23781" t="str">
        <f>"18229028533"</f>
        <v>18229028533</v>
      </c>
      <c r="C23781" t="str">
        <f>"622421199009035050"</f>
        <v>622421199009035050</v>
      </c>
      <c r="D23781" t="s">
        <v>22074</v>
      </c>
      <c r="E23781" t="s">
        <v>22075</v>
      </c>
      <c r="F23781" t="s">
        <v>0</v>
      </c>
      <c r="G23781" t="str">
        <f>"2018-10-06 15:23:11"</f>
        <v>2018-10-06 15:23:11</v>
      </c>
    </row>
    <row r="23782" spans="1:7" x14ac:dyDescent="0.2">
      <c r="A23782" t="s">
        <v>22076</v>
      </c>
      <c r="B23782" t="str">
        <f>"13561783000"</f>
        <v>13561783000</v>
      </c>
      <c r="C23782" t="str">
        <f>"370982198903063875"</f>
        <v>370982198903063875</v>
      </c>
      <c r="D23782" t="s">
        <v>1</v>
      </c>
      <c r="E23782" t="s">
        <v>1</v>
      </c>
      <c r="F23782" t="s">
        <v>0</v>
      </c>
      <c r="G23782" t="str">
        <f>"2018-10-06 15:22:12"</f>
        <v>2018-10-06 15:22:12</v>
      </c>
    </row>
    <row r="23783" spans="1:7" x14ac:dyDescent="0.2">
      <c r="A23783" t="s">
        <v>1</v>
      </c>
      <c r="B23783" t="str">
        <f>"13785026265"</f>
        <v>13785026265</v>
      </c>
      <c r="C23783" t="s">
        <v>1</v>
      </c>
      <c r="D23783" t="s">
        <v>1</v>
      </c>
      <c r="E23783" t="s">
        <v>1</v>
      </c>
      <c r="F23783" t="s">
        <v>0</v>
      </c>
      <c r="G23783" t="str">
        <f>"2018-10-06 15:19:21"</f>
        <v>2018-10-06 15:19:21</v>
      </c>
    </row>
    <row r="23784" spans="1:7" x14ac:dyDescent="0.2">
      <c r="A23784" t="s">
        <v>1</v>
      </c>
      <c r="B23784" t="str">
        <f>"18000599564"</f>
        <v>18000599564</v>
      </c>
      <c r="C23784" t="s">
        <v>1</v>
      </c>
      <c r="D23784" t="s">
        <v>1</v>
      </c>
      <c r="E23784" t="s">
        <v>1</v>
      </c>
      <c r="F23784" t="s">
        <v>0</v>
      </c>
      <c r="G23784" t="str">
        <f>"2018-10-06 15:20:37"</f>
        <v>2018-10-06 15:20:37</v>
      </c>
    </row>
    <row r="23785" spans="1:7" x14ac:dyDescent="0.2">
      <c r="A23785" t="s">
        <v>1</v>
      </c>
      <c r="B23785" t="str">
        <f>"13507371125"</f>
        <v>13507371125</v>
      </c>
      <c r="C23785" t="s">
        <v>1</v>
      </c>
      <c r="D23785" t="s">
        <v>1</v>
      </c>
      <c r="E23785" t="s">
        <v>1</v>
      </c>
      <c r="F23785" t="s">
        <v>0</v>
      </c>
      <c r="G23785" t="str">
        <f>"2018-10-06 15:19:14"</f>
        <v>2018-10-06 15:19:14</v>
      </c>
    </row>
    <row r="23786" spans="1:7" x14ac:dyDescent="0.2">
      <c r="A23786" t="s">
        <v>22077</v>
      </c>
      <c r="B23786" t="str">
        <f>"13419528512"</f>
        <v>13419528512</v>
      </c>
      <c r="C23786" t="str">
        <f>"420103199007132828"</f>
        <v>420103199007132828</v>
      </c>
      <c r="D23786" t="s">
        <v>1</v>
      </c>
      <c r="E23786" t="s">
        <v>1</v>
      </c>
      <c r="F23786" t="s">
        <v>0</v>
      </c>
      <c r="G23786" t="str">
        <f>"2018-10-06 15:27:29"</f>
        <v>2018-10-06 15:27:29</v>
      </c>
    </row>
    <row r="23787" spans="1:7" x14ac:dyDescent="0.2">
      <c r="A23787" t="s">
        <v>1</v>
      </c>
      <c r="B23787" t="str">
        <f>"13011668418"</f>
        <v>13011668418</v>
      </c>
      <c r="C23787" t="s">
        <v>1</v>
      </c>
      <c r="D23787" t="s">
        <v>1</v>
      </c>
      <c r="E23787" t="s">
        <v>1</v>
      </c>
      <c r="F23787" t="s">
        <v>0</v>
      </c>
      <c r="G23787" t="str">
        <f>"2018-10-06 15:18:59"</f>
        <v>2018-10-06 15:18:59</v>
      </c>
    </row>
    <row r="23788" spans="1:7" x14ac:dyDescent="0.2">
      <c r="A23788" t="s">
        <v>22078</v>
      </c>
      <c r="B23788" t="str">
        <f>"15823421494"</f>
        <v>15823421494</v>
      </c>
      <c r="C23788" t="str">
        <f>"500226199910145713"</f>
        <v>500226199910145713</v>
      </c>
      <c r="D23788" t="s">
        <v>1</v>
      </c>
      <c r="E23788" t="s">
        <v>1</v>
      </c>
      <c r="F23788" t="s">
        <v>0</v>
      </c>
      <c r="G23788" t="str">
        <f>"2018-10-06 15:20:57"</f>
        <v>2018-10-06 15:20:57</v>
      </c>
    </row>
    <row r="23789" spans="1:7" x14ac:dyDescent="0.2">
      <c r="A23789" t="s">
        <v>22079</v>
      </c>
      <c r="B23789" t="str">
        <f>"18075225588"</f>
        <v>18075225588</v>
      </c>
      <c r="C23789" t="str">
        <f>"342701197708290215"</f>
        <v>342701197708290215</v>
      </c>
      <c r="D23789" t="s">
        <v>1</v>
      </c>
      <c r="E23789" t="s">
        <v>1</v>
      </c>
      <c r="F23789" t="s">
        <v>0</v>
      </c>
      <c r="G23789" t="str">
        <f>"2018-10-06 17:28:35"</f>
        <v>2018-10-06 17:28:35</v>
      </c>
    </row>
    <row r="23790" spans="1:7" x14ac:dyDescent="0.2">
      <c r="A23790" t="s">
        <v>22080</v>
      </c>
      <c r="B23790" t="str">
        <f>"17628280246"</f>
        <v>17628280246</v>
      </c>
      <c r="C23790" t="str">
        <f>"510125199512064117"</f>
        <v>510125199512064117</v>
      </c>
      <c r="D23790" t="s">
        <v>1</v>
      </c>
      <c r="E23790" t="s">
        <v>1</v>
      </c>
      <c r="F23790" t="s">
        <v>0</v>
      </c>
      <c r="G23790" t="str">
        <f>"2018-10-06 15:19:52"</f>
        <v>2018-10-06 15:19:52</v>
      </c>
    </row>
    <row r="23791" spans="1:7" x14ac:dyDescent="0.2">
      <c r="A23791" t="s">
        <v>1</v>
      </c>
      <c r="B23791" t="str">
        <f>"18153193070"</f>
        <v>18153193070</v>
      </c>
      <c r="C23791" t="s">
        <v>1</v>
      </c>
      <c r="D23791" t="s">
        <v>1</v>
      </c>
      <c r="E23791" t="s">
        <v>1</v>
      </c>
      <c r="F23791" t="s">
        <v>0</v>
      </c>
      <c r="G23791" t="str">
        <f>"2018-10-06 15:17:51"</f>
        <v>2018-10-06 15:17:51</v>
      </c>
    </row>
    <row r="23792" spans="1:7" x14ac:dyDescent="0.2">
      <c r="A23792" t="s">
        <v>22081</v>
      </c>
      <c r="B23792" t="str">
        <f>"18535013339"</f>
        <v>18535013339</v>
      </c>
      <c r="C23792" t="str">
        <f>"142201199106202710"</f>
        <v>142201199106202710</v>
      </c>
      <c r="D23792" t="s">
        <v>22082</v>
      </c>
      <c r="E23792" t="s">
        <v>22083</v>
      </c>
      <c r="F23792" t="s">
        <v>0</v>
      </c>
      <c r="G23792" t="str">
        <f>"2018-10-16 15:35:54"</f>
        <v>2018-10-16 15:35:54</v>
      </c>
    </row>
    <row r="23793" spans="1:7" x14ac:dyDescent="0.2">
      <c r="A23793" t="s">
        <v>22084</v>
      </c>
      <c r="B23793" t="str">
        <f>"15517603060"</f>
        <v>15517603060</v>
      </c>
      <c r="C23793" t="str">
        <f>"413026199501158193"</f>
        <v>413026199501158193</v>
      </c>
      <c r="D23793" t="s">
        <v>1</v>
      </c>
      <c r="E23793" t="s">
        <v>1</v>
      </c>
      <c r="F23793" t="s">
        <v>0</v>
      </c>
      <c r="G23793" t="str">
        <f>"2018-10-06 15:21:13"</f>
        <v>2018-10-06 15:21:13</v>
      </c>
    </row>
    <row r="23794" spans="1:7" x14ac:dyDescent="0.2">
      <c r="A23794" t="s">
        <v>22085</v>
      </c>
      <c r="B23794" t="str">
        <f>"15753976157"</f>
        <v>15753976157</v>
      </c>
      <c r="C23794" t="str">
        <f>"37132419960923242X"</f>
        <v>37132419960923242X</v>
      </c>
      <c r="D23794" t="s">
        <v>1</v>
      </c>
      <c r="E23794" t="s">
        <v>1</v>
      </c>
      <c r="F23794" t="s">
        <v>0</v>
      </c>
      <c r="G23794" t="str">
        <f>"2018-10-06 15:18:09"</f>
        <v>2018-10-06 15:18:09</v>
      </c>
    </row>
    <row r="23795" spans="1:7" x14ac:dyDescent="0.2">
      <c r="A23795" t="s">
        <v>1029</v>
      </c>
      <c r="B23795" t="str">
        <f>"18913200295"</f>
        <v>18913200295</v>
      </c>
      <c r="C23795" t="str">
        <f>"320583198011227614"</f>
        <v>320583198011227614</v>
      </c>
      <c r="D23795" t="s">
        <v>1</v>
      </c>
      <c r="E23795" t="s">
        <v>1</v>
      </c>
      <c r="F23795" t="s">
        <v>0</v>
      </c>
      <c r="G23795" t="str">
        <f>"2018-10-06 15:18:46"</f>
        <v>2018-10-06 15:18:46</v>
      </c>
    </row>
    <row r="23796" spans="1:7" x14ac:dyDescent="0.2">
      <c r="A23796" t="s">
        <v>22086</v>
      </c>
      <c r="B23796" t="str">
        <f>"13352637353"</f>
        <v>13352637353</v>
      </c>
      <c r="C23796" t="str">
        <f>"441381198407011515"</f>
        <v>441381198407011515</v>
      </c>
      <c r="D23796" t="s">
        <v>1</v>
      </c>
      <c r="E23796" t="s">
        <v>1</v>
      </c>
      <c r="F23796" t="s">
        <v>0</v>
      </c>
      <c r="G23796" t="str">
        <f>"2018-10-06 15:17:50"</f>
        <v>2018-10-06 15:17:50</v>
      </c>
    </row>
    <row r="23797" spans="1:7" x14ac:dyDescent="0.2">
      <c r="A23797" t="s">
        <v>22087</v>
      </c>
      <c r="B23797" t="str">
        <f>"18195157775"</f>
        <v>18195157775</v>
      </c>
      <c r="C23797" t="str">
        <f>"64222119800619277X"</f>
        <v>64222119800619277X</v>
      </c>
      <c r="D23797" t="s">
        <v>1</v>
      </c>
      <c r="E23797" t="s">
        <v>1</v>
      </c>
      <c r="F23797" t="s">
        <v>0</v>
      </c>
      <c r="G23797" t="str">
        <f>"2018-10-06 15:16:05"</f>
        <v>2018-10-06 15:16:05</v>
      </c>
    </row>
    <row r="23798" spans="1:7" x14ac:dyDescent="0.2">
      <c r="A23798" t="s">
        <v>1829</v>
      </c>
      <c r="B23798" t="str">
        <f>"15542203334"</f>
        <v>15542203334</v>
      </c>
      <c r="C23798" t="str">
        <f>"370682199510020012"</f>
        <v>370682199510020012</v>
      </c>
      <c r="D23798" t="s">
        <v>22088</v>
      </c>
      <c r="E23798" t="s">
        <v>22089</v>
      </c>
      <c r="F23798" t="s">
        <v>0</v>
      </c>
      <c r="G23798" t="str">
        <f>"2018-10-22 14:37:20"</f>
        <v>2018-10-22 14:37:20</v>
      </c>
    </row>
    <row r="23799" spans="1:7" x14ac:dyDescent="0.2">
      <c r="A23799" t="s">
        <v>1202</v>
      </c>
      <c r="B23799" t="str">
        <f>"15694188881"</f>
        <v>15694188881</v>
      </c>
      <c r="C23799" t="str">
        <f>"210904198608230518"</f>
        <v>210904198608230518</v>
      </c>
      <c r="D23799" t="s">
        <v>22090</v>
      </c>
      <c r="E23799" t="s">
        <v>22091</v>
      </c>
      <c r="F23799" t="s">
        <v>0</v>
      </c>
      <c r="G23799" t="str">
        <f>"2018-10-06 15:18:27"</f>
        <v>2018-10-06 15:18:27</v>
      </c>
    </row>
    <row r="23800" spans="1:7" x14ac:dyDescent="0.2">
      <c r="A23800" t="s">
        <v>22092</v>
      </c>
      <c r="B23800" t="str">
        <f>"15319858929"</f>
        <v>15319858929</v>
      </c>
      <c r="C23800" t="str">
        <f>"362326199308191830"</f>
        <v>362326199308191830</v>
      </c>
      <c r="D23800" t="s">
        <v>1</v>
      </c>
      <c r="E23800" t="s">
        <v>1</v>
      </c>
      <c r="F23800" t="s">
        <v>0</v>
      </c>
      <c r="G23800" t="str">
        <f>"2018-10-07 08:24:06"</f>
        <v>2018-10-07 08:24:06</v>
      </c>
    </row>
    <row r="23801" spans="1:7" x14ac:dyDescent="0.2">
      <c r="A23801" t="s">
        <v>22093</v>
      </c>
      <c r="B23801" t="str">
        <f>"13259297111"</f>
        <v>13259297111</v>
      </c>
      <c r="C23801" t="str">
        <f>"61232819840207071X"</f>
        <v>61232819840207071X</v>
      </c>
      <c r="D23801" t="s">
        <v>22094</v>
      </c>
      <c r="E23801" t="s">
        <v>22095</v>
      </c>
      <c r="F23801" t="s">
        <v>0</v>
      </c>
      <c r="G23801" t="str">
        <f>"2018-10-06 17:21:42"</f>
        <v>2018-10-06 17:21:42</v>
      </c>
    </row>
    <row r="23802" spans="1:7" x14ac:dyDescent="0.2">
      <c r="A23802" t="s">
        <v>22096</v>
      </c>
      <c r="B23802" t="str">
        <f>"15669530603"</f>
        <v>15669530603</v>
      </c>
      <c r="C23802" t="str">
        <f>"330723199506034110"</f>
        <v>330723199506034110</v>
      </c>
      <c r="D23802" t="s">
        <v>22097</v>
      </c>
      <c r="E23802" t="s">
        <v>22098</v>
      </c>
      <c r="F23802" t="s">
        <v>0</v>
      </c>
      <c r="G23802" t="str">
        <f>"2018-10-13 10:21:26"</f>
        <v>2018-10-13 10:21:26</v>
      </c>
    </row>
    <row r="23803" spans="1:7" x14ac:dyDescent="0.2">
      <c r="A23803" t="s">
        <v>22099</v>
      </c>
      <c r="B23803" t="str">
        <f>"13816610146"</f>
        <v>13816610146</v>
      </c>
      <c r="C23803" t="str">
        <f>"310109198409082550"</f>
        <v>310109198409082550</v>
      </c>
      <c r="D23803" t="s">
        <v>22100</v>
      </c>
      <c r="E23803" t="s">
        <v>22101</v>
      </c>
      <c r="F23803" t="s">
        <v>0</v>
      </c>
      <c r="G23803" t="str">
        <f>"2018-10-19 10:36:16"</f>
        <v>2018-10-19 10:36:16</v>
      </c>
    </row>
    <row r="23804" spans="1:7" x14ac:dyDescent="0.2">
      <c r="A23804" t="s">
        <v>800</v>
      </c>
      <c r="B23804" t="str">
        <f>"15912002525"</f>
        <v>15912002525</v>
      </c>
      <c r="C23804" t="str">
        <f>"530381198707102161"</f>
        <v>530381198707102161</v>
      </c>
      <c r="D23804" t="s">
        <v>1</v>
      </c>
      <c r="E23804" t="s">
        <v>1</v>
      </c>
      <c r="F23804" t="s">
        <v>0</v>
      </c>
      <c r="G23804" t="str">
        <f>"2018-10-25 23:16:41"</f>
        <v>2018-10-25 23:16:41</v>
      </c>
    </row>
    <row r="23805" spans="1:7" x14ac:dyDescent="0.2">
      <c r="A23805" t="s">
        <v>1</v>
      </c>
      <c r="B23805" t="str">
        <f>"15359318523"</f>
        <v>15359318523</v>
      </c>
      <c r="C23805" t="s">
        <v>1</v>
      </c>
      <c r="D23805" t="s">
        <v>1</v>
      </c>
      <c r="E23805" t="s">
        <v>1</v>
      </c>
      <c r="F23805" t="s">
        <v>0</v>
      </c>
      <c r="G23805" t="str">
        <f>"2018-10-06 15:18:59"</f>
        <v>2018-10-06 15:18:59</v>
      </c>
    </row>
    <row r="23806" spans="1:7" x14ac:dyDescent="0.2">
      <c r="A23806" t="s">
        <v>22102</v>
      </c>
      <c r="B23806" t="str">
        <f>"18321209903"</f>
        <v>18321209903</v>
      </c>
      <c r="C23806" t="str">
        <f>"350722198602050658"</f>
        <v>350722198602050658</v>
      </c>
      <c r="D23806" t="s">
        <v>1</v>
      </c>
      <c r="E23806" t="s">
        <v>1</v>
      </c>
      <c r="F23806" t="s">
        <v>0</v>
      </c>
      <c r="G23806" t="str">
        <f>"2018-10-06 15:17:09"</f>
        <v>2018-10-06 15:17:09</v>
      </c>
    </row>
    <row r="23807" spans="1:7" x14ac:dyDescent="0.2">
      <c r="A23807" t="s">
        <v>22103</v>
      </c>
      <c r="B23807" t="str">
        <f>"13841232345"</f>
        <v>13841232345</v>
      </c>
      <c r="C23807" t="str">
        <f>"210381197703185925"</f>
        <v>210381197703185925</v>
      </c>
      <c r="D23807" t="s">
        <v>1</v>
      </c>
      <c r="E23807" t="s">
        <v>1</v>
      </c>
      <c r="F23807" t="s">
        <v>0</v>
      </c>
      <c r="G23807" t="str">
        <f>"2018-10-06 15:14:43"</f>
        <v>2018-10-06 15:14:43</v>
      </c>
    </row>
    <row r="23808" spans="1:7" x14ac:dyDescent="0.2">
      <c r="A23808" t="s">
        <v>22104</v>
      </c>
      <c r="B23808" t="str">
        <f>"15155578567"</f>
        <v>15155578567</v>
      </c>
      <c r="C23808" t="str">
        <f>"410225199006266623"</f>
        <v>410225199006266623</v>
      </c>
      <c r="D23808" t="s">
        <v>1</v>
      </c>
      <c r="E23808" t="s">
        <v>1</v>
      </c>
      <c r="F23808" t="s">
        <v>0</v>
      </c>
      <c r="G23808" t="str">
        <f>"2018-10-06 15:14:23"</f>
        <v>2018-10-06 15:14:23</v>
      </c>
    </row>
    <row r="23809" spans="1:7" x14ac:dyDescent="0.2">
      <c r="A23809" t="s">
        <v>1</v>
      </c>
      <c r="B23809" t="str">
        <f>"13332776711"</f>
        <v>13332776711</v>
      </c>
      <c r="C23809" t="s">
        <v>1</v>
      </c>
      <c r="D23809" t="s">
        <v>1</v>
      </c>
      <c r="E23809" t="s">
        <v>1</v>
      </c>
      <c r="F23809" t="s">
        <v>0</v>
      </c>
      <c r="G23809" t="str">
        <f>"2018-10-06 15:13:06"</f>
        <v>2018-10-06 15:13:06</v>
      </c>
    </row>
    <row r="23810" spans="1:7" x14ac:dyDescent="0.2">
      <c r="A23810" t="s">
        <v>22105</v>
      </c>
      <c r="B23810" t="str">
        <f>"17359809333"</f>
        <v>17359809333</v>
      </c>
      <c r="C23810" t="str">
        <f>"350783199111047515"</f>
        <v>350783199111047515</v>
      </c>
      <c r="D23810" t="s">
        <v>1</v>
      </c>
      <c r="E23810" t="s">
        <v>1</v>
      </c>
      <c r="F23810" t="s">
        <v>0</v>
      </c>
      <c r="G23810" t="str">
        <f>"2018-10-06 15:14:13"</f>
        <v>2018-10-06 15:14:13</v>
      </c>
    </row>
    <row r="23811" spans="1:7" x14ac:dyDescent="0.2">
      <c r="A23811" t="s">
        <v>13970</v>
      </c>
      <c r="B23811" t="str">
        <f>"13515641010"</f>
        <v>13515641010</v>
      </c>
      <c r="C23811" t="str">
        <f>"340102197907260512"</f>
        <v>340102197907260512</v>
      </c>
      <c r="D23811" t="s">
        <v>1</v>
      </c>
      <c r="E23811" t="s">
        <v>1</v>
      </c>
      <c r="F23811" t="s">
        <v>0</v>
      </c>
      <c r="G23811" t="str">
        <f>"2018-10-06 15:14:06"</f>
        <v>2018-10-06 15:14:06</v>
      </c>
    </row>
    <row r="23812" spans="1:7" x14ac:dyDescent="0.2">
      <c r="A23812" t="s">
        <v>22106</v>
      </c>
      <c r="B23812" t="str">
        <f>"18873875230"</f>
        <v>18873875230</v>
      </c>
      <c r="C23812" t="str">
        <f>"432524199405288016"</f>
        <v>432524199405288016</v>
      </c>
      <c r="D23812" t="s">
        <v>1</v>
      </c>
      <c r="E23812" t="s">
        <v>1</v>
      </c>
      <c r="F23812" t="s">
        <v>0</v>
      </c>
      <c r="G23812" t="str">
        <f>"2018-10-06 15:17:12"</f>
        <v>2018-10-06 15:17:12</v>
      </c>
    </row>
    <row r="23813" spans="1:7" x14ac:dyDescent="0.2">
      <c r="A23813" t="s">
        <v>1</v>
      </c>
      <c r="B23813" t="str">
        <f>"15035093314"</f>
        <v>15035093314</v>
      </c>
      <c r="C23813" t="s">
        <v>1</v>
      </c>
      <c r="D23813" t="s">
        <v>1</v>
      </c>
      <c r="E23813" t="s">
        <v>1</v>
      </c>
      <c r="F23813" t="s">
        <v>0</v>
      </c>
      <c r="G23813" t="str">
        <f>"2018-10-06 15:12:46"</f>
        <v>2018-10-06 15:12:46</v>
      </c>
    </row>
    <row r="23814" spans="1:7" x14ac:dyDescent="0.2">
      <c r="A23814" t="s">
        <v>22107</v>
      </c>
      <c r="B23814" t="str">
        <f>"13587519517"</f>
        <v>13587519517</v>
      </c>
      <c r="C23814" t="str">
        <f>"330381199901144311"</f>
        <v>330381199901144311</v>
      </c>
      <c r="D23814" t="s">
        <v>1</v>
      </c>
      <c r="E23814" t="s">
        <v>1</v>
      </c>
      <c r="F23814" t="s">
        <v>0</v>
      </c>
      <c r="G23814" t="str">
        <f>"2018-10-06 15:34:28"</f>
        <v>2018-10-06 15:34:28</v>
      </c>
    </row>
    <row r="23815" spans="1:7" x14ac:dyDescent="0.2">
      <c r="A23815" t="s">
        <v>144</v>
      </c>
      <c r="B23815" t="str">
        <f>"13918771546"</f>
        <v>13918771546</v>
      </c>
      <c r="C23815" t="str">
        <f>"310108198802072811"</f>
        <v>310108198802072811</v>
      </c>
      <c r="D23815" t="s">
        <v>1</v>
      </c>
      <c r="E23815" t="s">
        <v>1</v>
      </c>
      <c r="F23815" t="s">
        <v>0</v>
      </c>
      <c r="G23815" t="str">
        <f>"2018-10-06 15:21:14"</f>
        <v>2018-10-06 15:21:14</v>
      </c>
    </row>
    <row r="23816" spans="1:7" x14ac:dyDescent="0.2">
      <c r="A23816" t="s">
        <v>22108</v>
      </c>
      <c r="B23816" t="str">
        <f>"18176853767"</f>
        <v>18176853767</v>
      </c>
      <c r="C23816" t="str">
        <f>"450122197906057716"</f>
        <v>450122197906057716</v>
      </c>
      <c r="D23816" t="s">
        <v>1</v>
      </c>
      <c r="E23816" t="s">
        <v>1</v>
      </c>
      <c r="F23816" t="s">
        <v>0</v>
      </c>
      <c r="G23816" t="str">
        <f>"2018-10-06 15:14:07"</f>
        <v>2018-10-06 15:14:07</v>
      </c>
    </row>
    <row r="23817" spans="1:7" x14ac:dyDescent="0.2">
      <c r="A23817" t="s">
        <v>1786</v>
      </c>
      <c r="B23817" t="str">
        <f>"13820143907"</f>
        <v>13820143907</v>
      </c>
      <c r="C23817" t="str">
        <f>"120222199112117025"</f>
        <v>120222199112117025</v>
      </c>
      <c r="D23817" t="s">
        <v>22109</v>
      </c>
      <c r="E23817" t="s">
        <v>22110</v>
      </c>
      <c r="F23817" t="s">
        <v>0</v>
      </c>
      <c r="G23817" t="str">
        <f>"2018-10-06 15:11:54"</f>
        <v>2018-10-06 15:11:54</v>
      </c>
    </row>
    <row r="23818" spans="1:7" x14ac:dyDescent="0.2">
      <c r="A23818" t="s">
        <v>1</v>
      </c>
      <c r="B23818" t="str">
        <f>"18981208258"</f>
        <v>18981208258</v>
      </c>
      <c r="C23818" t="s">
        <v>1</v>
      </c>
      <c r="D23818" t="s">
        <v>1</v>
      </c>
      <c r="E23818" t="s">
        <v>1</v>
      </c>
      <c r="F23818" t="s">
        <v>0</v>
      </c>
      <c r="G23818" t="str">
        <f>"2018-10-06 15:10:52"</f>
        <v>2018-10-06 15:10:52</v>
      </c>
    </row>
    <row r="23819" spans="1:7" x14ac:dyDescent="0.2">
      <c r="A23819" t="s">
        <v>22111</v>
      </c>
      <c r="B23819" t="str">
        <f>"13914258025"</f>
        <v>13914258025</v>
      </c>
      <c r="C23819" t="str">
        <f>"320723198507245212"</f>
        <v>320723198507245212</v>
      </c>
      <c r="D23819" t="s">
        <v>22112</v>
      </c>
      <c r="E23819" t="s">
        <v>22113</v>
      </c>
      <c r="F23819" t="s">
        <v>0</v>
      </c>
      <c r="G23819" t="str">
        <f>"2018-10-06 15:11:46"</f>
        <v>2018-10-06 15:11:46</v>
      </c>
    </row>
    <row r="23820" spans="1:7" x14ac:dyDescent="0.2">
      <c r="A23820" t="s">
        <v>33</v>
      </c>
      <c r="B23820" t="str">
        <f>"13615982084"</f>
        <v>13615982084</v>
      </c>
      <c r="C23820" t="str">
        <f>"350322199504206527"</f>
        <v>350322199504206527</v>
      </c>
      <c r="D23820" t="s">
        <v>1</v>
      </c>
      <c r="E23820" t="s">
        <v>1</v>
      </c>
      <c r="F23820" t="s">
        <v>0</v>
      </c>
      <c r="G23820" t="str">
        <f>"2018-10-06 15:10:23"</f>
        <v>2018-10-06 15:10:23</v>
      </c>
    </row>
    <row r="23821" spans="1:7" x14ac:dyDescent="0.2">
      <c r="A23821" t="s">
        <v>366</v>
      </c>
      <c r="B23821" t="str">
        <f>"15307177228"</f>
        <v>15307177228</v>
      </c>
      <c r="C23821" t="str">
        <f>"420102197505023151"</f>
        <v>420102197505023151</v>
      </c>
      <c r="D23821" t="s">
        <v>1</v>
      </c>
      <c r="E23821" t="s">
        <v>1</v>
      </c>
      <c r="F23821" t="s">
        <v>0</v>
      </c>
      <c r="G23821" t="str">
        <f>"2018-10-06 15:22:41"</f>
        <v>2018-10-06 15:22:41</v>
      </c>
    </row>
    <row r="23822" spans="1:7" x14ac:dyDescent="0.2">
      <c r="A23822" t="s">
        <v>1</v>
      </c>
      <c r="B23822" t="str">
        <f>"15164573957"</f>
        <v>15164573957</v>
      </c>
      <c r="C23822" t="s">
        <v>1</v>
      </c>
      <c r="D23822" t="s">
        <v>1</v>
      </c>
      <c r="E23822" t="s">
        <v>1</v>
      </c>
      <c r="F23822" t="s">
        <v>0</v>
      </c>
      <c r="G23822" t="str">
        <f>"2018-10-06 15:13:26"</f>
        <v>2018-10-06 15:13:26</v>
      </c>
    </row>
    <row r="23823" spans="1:7" x14ac:dyDescent="0.2">
      <c r="A23823" t="s">
        <v>22114</v>
      </c>
      <c r="B23823" t="str">
        <f>"15165381222"</f>
        <v>15165381222</v>
      </c>
      <c r="C23823" t="str">
        <f>"370982199307083874"</f>
        <v>370982199307083874</v>
      </c>
      <c r="D23823" t="s">
        <v>1</v>
      </c>
      <c r="E23823" t="s">
        <v>1</v>
      </c>
      <c r="F23823" t="s">
        <v>0</v>
      </c>
      <c r="G23823" t="str">
        <f>"2018-10-06 15:11:44"</f>
        <v>2018-10-06 15:11:44</v>
      </c>
    </row>
    <row r="23824" spans="1:7" x14ac:dyDescent="0.2">
      <c r="A23824" t="s">
        <v>22115</v>
      </c>
      <c r="B23824" t="str">
        <f>"15839221993"</f>
        <v>15839221993</v>
      </c>
      <c r="C23824" t="str">
        <f>"410603199006110032"</f>
        <v>410603199006110032</v>
      </c>
      <c r="D23824" t="s">
        <v>1</v>
      </c>
      <c r="E23824" t="s">
        <v>1</v>
      </c>
      <c r="F23824" t="s">
        <v>0</v>
      </c>
      <c r="G23824" t="str">
        <f>"2018-10-06 15:10:02"</f>
        <v>2018-10-06 15:10:02</v>
      </c>
    </row>
    <row r="23825" spans="1:7" x14ac:dyDescent="0.2">
      <c r="A23825" t="s">
        <v>22116</v>
      </c>
      <c r="B23825" t="str">
        <f>"18552238855"</f>
        <v>18552238855</v>
      </c>
      <c r="C23825" t="str">
        <f>"220183198707283010"</f>
        <v>220183198707283010</v>
      </c>
      <c r="D23825" t="s">
        <v>22117</v>
      </c>
      <c r="E23825" t="s">
        <v>22118</v>
      </c>
      <c r="F23825" t="s">
        <v>0</v>
      </c>
      <c r="G23825" t="str">
        <f>"2018-10-06 15:12:02"</f>
        <v>2018-10-06 15:12:02</v>
      </c>
    </row>
    <row r="23826" spans="1:7" x14ac:dyDescent="0.2">
      <c r="A23826" t="s">
        <v>1</v>
      </c>
      <c r="B23826" t="str">
        <f>"13221829243"</f>
        <v>13221829243</v>
      </c>
      <c r="C23826" t="s">
        <v>1</v>
      </c>
      <c r="D23826" t="s">
        <v>1</v>
      </c>
      <c r="E23826" t="s">
        <v>1</v>
      </c>
      <c r="F23826" t="s">
        <v>0</v>
      </c>
      <c r="G23826" t="str">
        <f>"2018-10-06 15:08:21"</f>
        <v>2018-10-06 15:08:21</v>
      </c>
    </row>
    <row r="23827" spans="1:7" x14ac:dyDescent="0.2">
      <c r="A23827" t="s">
        <v>22119</v>
      </c>
      <c r="B23827" t="str">
        <f>"15653682111"</f>
        <v>15653682111</v>
      </c>
      <c r="C23827" t="str">
        <f>"370702197804190011"</f>
        <v>370702197804190011</v>
      </c>
      <c r="D23827" t="s">
        <v>1</v>
      </c>
      <c r="E23827" t="s">
        <v>1</v>
      </c>
      <c r="F23827" t="s">
        <v>0</v>
      </c>
      <c r="G23827" t="str">
        <f>"2018-10-06 15:09:59"</f>
        <v>2018-10-06 15:09:59</v>
      </c>
    </row>
    <row r="23828" spans="1:7" x14ac:dyDescent="0.2">
      <c r="A23828" t="s">
        <v>1</v>
      </c>
      <c r="B23828" t="str">
        <f>"18730089837"</f>
        <v>18730089837</v>
      </c>
      <c r="C23828" t="s">
        <v>1</v>
      </c>
      <c r="D23828" t="s">
        <v>1</v>
      </c>
      <c r="E23828" t="s">
        <v>1</v>
      </c>
      <c r="F23828" t="s">
        <v>0</v>
      </c>
      <c r="G23828" t="str">
        <f>"2018-10-06 15:07:53"</f>
        <v>2018-10-06 15:07:53</v>
      </c>
    </row>
    <row r="23829" spans="1:7" x14ac:dyDescent="0.2">
      <c r="A23829" t="s">
        <v>1</v>
      </c>
      <c r="B23829" t="str">
        <f>"13552376155"</f>
        <v>13552376155</v>
      </c>
      <c r="C23829" t="s">
        <v>1</v>
      </c>
      <c r="D23829" t="s">
        <v>1</v>
      </c>
      <c r="E23829" t="s">
        <v>1</v>
      </c>
      <c r="F23829" t="s">
        <v>0</v>
      </c>
      <c r="G23829" t="str">
        <f>"2018-10-06 15:09:56"</f>
        <v>2018-10-06 15:09:56</v>
      </c>
    </row>
    <row r="23830" spans="1:7" x14ac:dyDescent="0.2">
      <c r="A23830" t="s">
        <v>96</v>
      </c>
      <c r="B23830" t="str">
        <f>"15248879278"</f>
        <v>15248879278</v>
      </c>
      <c r="C23830" t="str">
        <f>"150303198903100032"</f>
        <v>150303198903100032</v>
      </c>
      <c r="D23830" t="s">
        <v>22120</v>
      </c>
      <c r="E23830" t="s">
        <v>22121</v>
      </c>
      <c r="F23830" t="s">
        <v>0</v>
      </c>
      <c r="G23830" t="str">
        <f>"2018-10-06 15:06:47"</f>
        <v>2018-10-06 15:06:47</v>
      </c>
    </row>
    <row r="23831" spans="1:7" x14ac:dyDescent="0.2">
      <c r="A23831" t="s">
        <v>1302</v>
      </c>
      <c r="B23831" t="str">
        <f>"18009259904"</f>
        <v>18009259904</v>
      </c>
      <c r="C23831" t="str">
        <f>"612527198602095414"</f>
        <v>612527198602095414</v>
      </c>
      <c r="D23831" t="s">
        <v>1</v>
      </c>
      <c r="E23831" t="s">
        <v>1</v>
      </c>
      <c r="F23831" t="s">
        <v>0</v>
      </c>
      <c r="G23831" t="str">
        <f>"2018-10-06 15:03:56"</f>
        <v>2018-10-06 15:03:56</v>
      </c>
    </row>
    <row r="23832" spans="1:7" x14ac:dyDescent="0.2">
      <c r="A23832" t="s">
        <v>22122</v>
      </c>
      <c r="B23832" t="str">
        <f>"15172001227"</f>
        <v>15172001227</v>
      </c>
      <c r="C23832" t="str">
        <f>"420281199211052934"</f>
        <v>420281199211052934</v>
      </c>
      <c r="D23832" t="s">
        <v>22123</v>
      </c>
      <c r="E23832" t="s">
        <v>22124</v>
      </c>
      <c r="F23832" t="s">
        <v>0</v>
      </c>
      <c r="G23832" t="str">
        <f>"2018-10-06 15:05:14"</f>
        <v>2018-10-06 15:05:14</v>
      </c>
    </row>
    <row r="23833" spans="1:7" x14ac:dyDescent="0.2">
      <c r="A23833" t="s">
        <v>22125</v>
      </c>
      <c r="B23833" t="str">
        <f>"13917780376"</f>
        <v>13917780376</v>
      </c>
      <c r="C23833" t="str">
        <f>"310226198111224132"</f>
        <v>310226198111224132</v>
      </c>
      <c r="D23833" t="s">
        <v>1</v>
      </c>
      <c r="E23833" t="s">
        <v>1</v>
      </c>
      <c r="F23833" t="s">
        <v>0</v>
      </c>
      <c r="G23833" t="str">
        <f>"2018-10-07 11:02:26"</f>
        <v>2018-10-07 11:02:26</v>
      </c>
    </row>
    <row r="23834" spans="1:7" x14ac:dyDescent="0.2">
      <c r="A23834" t="s">
        <v>1</v>
      </c>
      <c r="B23834" t="str">
        <f>"18118228119"</f>
        <v>18118228119</v>
      </c>
      <c r="C23834" t="s">
        <v>1</v>
      </c>
      <c r="D23834" t="s">
        <v>1</v>
      </c>
      <c r="E23834" t="s">
        <v>1</v>
      </c>
      <c r="F23834" t="s">
        <v>0</v>
      </c>
      <c r="G23834" t="str">
        <f>"2018-10-06 15:51:57"</f>
        <v>2018-10-06 15:51:57</v>
      </c>
    </row>
    <row r="23835" spans="1:7" x14ac:dyDescent="0.2">
      <c r="A23835" t="s">
        <v>22126</v>
      </c>
      <c r="B23835" t="str">
        <f>"18006776288"</f>
        <v>18006776288</v>
      </c>
      <c r="C23835" t="str">
        <f>"330326198211300795"</f>
        <v>330326198211300795</v>
      </c>
      <c r="D23835" t="s">
        <v>22127</v>
      </c>
      <c r="E23835" t="s">
        <v>22128</v>
      </c>
      <c r="F23835" t="s">
        <v>0</v>
      </c>
      <c r="G23835" t="str">
        <f>"2018-10-07 12:38:37"</f>
        <v>2018-10-07 12:38:37</v>
      </c>
    </row>
    <row r="23836" spans="1:7" x14ac:dyDescent="0.2">
      <c r="A23836" t="s">
        <v>22129</v>
      </c>
      <c r="B23836" t="str">
        <f>"18785574420"</f>
        <v>18785574420</v>
      </c>
      <c r="C23836" t="str">
        <f>"522601199701134428"</f>
        <v>522601199701134428</v>
      </c>
      <c r="D23836" t="s">
        <v>1</v>
      </c>
      <c r="E23836" t="s">
        <v>1</v>
      </c>
      <c r="F23836" t="s">
        <v>0</v>
      </c>
      <c r="G23836" t="str">
        <f>"2018-10-06 15:04:10"</f>
        <v>2018-10-06 15:04:10</v>
      </c>
    </row>
    <row r="23837" spans="1:7" x14ac:dyDescent="0.2">
      <c r="A23837" t="s">
        <v>22130</v>
      </c>
      <c r="B23837" t="str">
        <f>"13709134769"</f>
        <v>13709134769</v>
      </c>
      <c r="C23837" t="str">
        <f>"610521198608012464"</f>
        <v>610521198608012464</v>
      </c>
      <c r="D23837" t="s">
        <v>1</v>
      </c>
      <c r="E23837" t="s">
        <v>1</v>
      </c>
      <c r="F23837" t="s">
        <v>0</v>
      </c>
      <c r="G23837" t="str">
        <f>"2018-10-06 15:02:52"</f>
        <v>2018-10-06 15:02:52</v>
      </c>
    </row>
    <row r="23838" spans="1:7" x14ac:dyDescent="0.2">
      <c r="A23838" t="s">
        <v>22131</v>
      </c>
      <c r="B23838" t="str">
        <f>"13825045222"</f>
        <v>13825045222</v>
      </c>
      <c r="C23838" t="str">
        <f>"445281198006290056"</f>
        <v>445281198006290056</v>
      </c>
      <c r="D23838" t="s">
        <v>22132</v>
      </c>
      <c r="E23838" t="s">
        <v>22133</v>
      </c>
      <c r="F23838" t="s">
        <v>0</v>
      </c>
      <c r="G23838" t="str">
        <f>"2018-10-06 15:03:42"</f>
        <v>2018-10-06 15:03:42</v>
      </c>
    </row>
    <row r="23839" spans="1:7" x14ac:dyDescent="0.2">
      <c r="A23839" t="s">
        <v>22134</v>
      </c>
      <c r="B23839" t="str">
        <f>"13518194797"</f>
        <v>13518194797</v>
      </c>
      <c r="C23839" t="str">
        <f>"510184199310231925"</f>
        <v>510184199310231925</v>
      </c>
      <c r="D23839" t="s">
        <v>22135</v>
      </c>
      <c r="E23839" t="s">
        <v>22136</v>
      </c>
      <c r="F23839" t="s">
        <v>0</v>
      </c>
      <c r="G23839" t="str">
        <f>"2018-10-06 15:09:07"</f>
        <v>2018-10-06 15:09:07</v>
      </c>
    </row>
    <row r="23840" spans="1:7" x14ac:dyDescent="0.2">
      <c r="A23840" t="s">
        <v>22137</v>
      </c>
      <c r="B23840" t="str">
        <f>"15911319159"</f>
        <v>15911319159</v>
      </c>
      <c r="C23840" t="str">
        <f>"532530199601080643"</f>
        <v>532530199601080643</v>
      </c>
      <c r="D23840" t="s">
        <v>1</v>
      </c>
      <c r="E23840" t="s">
        <v>1</v>
      </c>
      <c r="F23840" t="s">
        <v>0</v>
      </c>
      <c r="G23840" t="str">
        <f>"2018-10-07 11:38:39"</f>
        <v>2018-10-07 11:38:39</v>
      </c>
    </row>
    <row r="23841" spans="1:7" x14ac:dyDescent="0.2">
      <c r="A23841" t="s">
        <v>1444</v>
      </c>
      <c r="B23841" t="str">
        <f>"15908962775"</f>
        <v>15908962775</v>
      </c>
      <c r="C23841" t="str">
        <f>"370683198503081230"</f>
        <v>370683198503081230</v>
      </c>
      <c r="D23841" t="s">
        <v>1</v>
      </c>
      <c r="E23841" t="s">
        <v>1</v>
      </c>
      <c r="F23841" t="s">
        <v>0</v>
      </c>
      <c r="G23841" t="str">
        <f>"2018-10-06 15:02:39"</f>
        <v>2018-10-06 15:02:39</v>
      </c>
    </row>
    <row r="23842" spans="1:7" x14ac:dyDescent="0.2">
      <c r="A23842" t="s">
        <v>1</v>
      </c>
      <c r="B23842" t="str">
        <f>"18719685737"</f>
        <v>18719685737</v>
      </c>
      <c r="C23842" t="s">
        <v>1</v>
      </c>
      <c r="D23842" t="s">
        <v>1</v>
      </c>
      <c r="E23842" t="s">
        <v>1</v>
      </c>
      <c r="F23842" t="s">
        <v>0</v>
      </c>
      <c r="G23842" t="str">
        <f>"2018-10-06 15:02:38"</f>
        <v>2018-10-06 15:02:38</v>
      </c>
    </row>
    <row r="23843" spans="1:7" x14ac:dyDescent="0.2">
      <c r="A23843" t="s">
        <v>22138</v>
      </c>
      <c r="B23843" t="str">
        <f>"17563077803"</f>
        <v>17563077803</v>
      </c>
      <c r="C23843" t="str">
        <f>"320481199303250011"</f>
        <v>320481199303250011</v>
      </c>
      <c r="D23843" t="s">
        <v>1</v>
      </c>
      <c r="E23843" t="s">
        <v>1</v>
      </c>
      <c r="F23843" t="s">
        <v>0</v>
      </c>
      <c r="G23843" t="str">
        <f>"2018-10-23 07:28:14"</f>
        <v>2018-10-23 07:28:14</v>
      </c>
    </row>
    <row r="23844" spans="1:7" x14ac:dyDescent="0.2">
      <c r="A23844" t="s">
        <v>22139</v>
      </c>
      <c r="B23844" t="str">
        <f>"18813099436"</f>
        <v>18813099436</v>
      </c>
      <c r="C23844" t="str">
        <f>"420322199610041840"</f>
        <v>420322199610041840</v>
      </c>
      <c r="D23844" t="s">
        <v>1</v>
      </c>
      <c r="E23844" t="s">
        <v>1</v>
      </c>
      <c r="F23844" t="s">
        <v>0</v>
      </c>
      <c r="G23844" t="str">
        <f>"2018-11-02 17:27:45"</f>
        <v>2018-11-02 17:27:45</v>
      </c>
    </row>
    <row r="23845" spans="1:7" x14ac:dyDescent="0.2">
      <c r="A23845" t="s">
        <v>1</v>
      </c>
      <c r="B23845" t="str">
        <f>"13381016465"</f>
        <v>13381016465</v>
      </c>
      <c r="C23845" t="s">
        <v>1</v>
      </c>
      <c r="D23845" t="s">
        <v>1</v>
      </c>
      <c r="E23845" t="s">
        <v>1</v>
      </c>
      <c r="F23845" t="s">
        <v>0</v>
      </c>
      <c r="G23845" t="str">
        <f>"2018-10-06 15:01:17"</f>
        <v>2018-10-06 15:01:17</v>
      </c>
    </row>
    <row r="23846" spans="1:7" x14ac:dyDescent="0.2">
      <c r="A23846" t="s">
        <v>1</v>
      </c>
      <c r="B23846" t="str">
        <f>"15280978660"</f>
        <v>15280978660</v>
      </c>
      <c r="C23846" t="s">
        <v>1</v>
      </c>
      <c r="D23846" t="s">
        <v>1</v>
      </c>
      <c r="E23846" t="s">
        <v>1</v>
      </c>
      <c r="F23846" t="s">
        <v>0</v>
      </c>
      <c r="G23846" t="str">
        <f>"2018-10-06 15:02:03"</f>
        <v>2018-10-06 15:02:03</v>
      </c>
    </row>
    <row r="23847" spans="1:7" x14ac:dyDescent="0.2">
      <c r="A23847" t="s">
        <v>1</v>
      </c>
      <c r="B23847" t="str">
        <f>"15881060370"</f>
        <v>15881060370</v>
      </c>
      <c r="C23847" t="s">
        <v>1</v>
      </c>
      <c r="D23847" t="s">
        <v>1</v>
      </c>
      <c r="E23847" t="s">
        <v>1</v>
      </c>
      <c r="F23847" t="s">
        <v>0</v>
      </c>
      <c r="G23847" t="str">
        <f>"2018-10-06 14:59:39"</f>
        <v>2018-10-06 14:59:39</v>
      </c>
    </row>
    <row r="23848" spans="1:7" x14ac:dyDescent="0.2">
      <c r="A23848" t="s">
        <v>22140</v>
      </c>
      <c r="B23848" t="str">
        <f>"13651533071"</f>
        <v>13651533071</v>
      </c>
      <c r="C23848" t="str">
        <f>"32108119890515331X"</f>
        <v>32108119890515331X</v>
      </c>
      <c r="D23848" t="s">
        <v>1</v>
      </c>
      <c r="E23848" t="s">
        <v>1</v>
      </c>
      <c r="F23848" t="s">
        <v>0</v>
      </c>
      <c r="G23848" t="str">
        <f>"2018-10-06 15:07:33"</f>
        <v>2018-10-06 15:07:33</v>
      </c>
    </row>
    <row r="23849" spans="1:7" x14ac:dyDescent="0.2">
      <c r="A23849" t="s">
        <v>22141</v>
      </c>
      <c r="B23849" t="str">
        <f>"13820662659"</f>
        <v>13820662659</v>
      </c>
      <c r="C23849" t="str">
        <f>"120106198303117028"</f>
        <v>120106198303117028</v>
      </c>
      <c r="D23849" t="s">
        <v>22142</v>
      </c>
      <c r="E23849" t="s">
        <v>22143</v>
      </c>
      <c r="F23849" t="s">
        <v>0</v>
      </c>
      <c r="G23849" t="str">
        <f>"2018-10-06 15:00:41"</f>
        <v>2018-10-06 15:00:41</v>
      </c>
    </row>
    <row r="23850" spans="1:7" x14ac:dyDescent="0.2">
      <c r="A23850" t="s">
        <v>22144</v>
      </c>
      <c r="B23850" t="str">
        <f>"15613532903"</f>
        <v>15613532903</v>
      </c>
      <c r="C23850" t="str">
        <f>"130225199902286529"</f>
        <v>130225199902286529</v>
      </c>
      <c r="D23850" t="s">
        <v>1</v>
      </c>
      <c r="E23850" t="s">
        <v>1</v>
      </c>
      <c r="F23850" t="s">
        <v>0</v>
      </c>
      <c r="G23850" t="str">
        <f>"2018-10-06 15:02:04"</f>
        <v>2018-10-06 15:02:04</v>
      </c>
    </row>
    <row r="23851" spans="1:7" x14ac:dyDescent="0.2">
      <c r="A23851" t="s">
        <v>753</v>
      </c>
      <c r="B23851" t="str">
        <f>"13349373335"</f>
        <v>13349373335</v>
      </c>
      <c r="C23851" t="str">
        <f>"232700198305230413"</f>
        <v>232700198305230413</v>
      </c>
      <c r="D23851" t="s">
        <v>1</v>
      </c>
      <c r="E23851" t="s">
        <v>1</v>
      </c>
      <c r="F23851" t="s">
        <v>0</v>
      </c>
      <c r="G23851" t="str">
        <f>"2018-10-06 14:59:57"</f>
        <v>2018-10-06 14:59:57</v>
      </c>
    </row>
    <row r="23852" spans="1:7" x14ac:dyDescent="0.2">
      <c r="A23852" t="s">
        <v>22145</v>
      </c>
      <c r="B23852" t="str">
        <f>"13487288372"</f>
        <v>13487288372</v>
      </c>
      <c r="C23852" t="str">
        <f>"420502198202081115"</f>
        <v>420502198202081115</v>
      </c>
      <c r="D23852" t="s">
        <v>1</v>
      </c>
      <c r="E23852" t="s">
        <v>1</v>
      </c>
      <c r="F23852" t="s">
        <v>0</v>
      </c>
      <c r="G23852" t="str">
        <f>"2018-10-06 14:59:48"</f>
        <v>2018-10-06 14:59:48</v>
      </c>
    </row>
    <row r="23853" spans="1:7" x14ac:dyDescent="0.2">
      <c r="A23853" t="s">
        <v>22146</v>
      </c>
      <c r="B23853" t="str">
        <f>"13559941960"</f>
        <v>13559941960</v>
      </c>
      <c r="C23853" t="str">
        <f>"350103198711105337"</f>
        <v>350103198711105337</v>
      </c>
      <c r="D23853" t="s">
        <v>22147</v>
      </c>
      <c r="E23853" t="s">
        <v>22148</v>
      </c>
      <c r="F23853" t="s">
        <v>0</v>
      </c>
      <c r="G23853" t="str">
        <f>"2018-10-28 12:25:19"</f>
        <v>2018-10-28 12:25:19</v>
      </c>
    </row>
    <row r="23854" spans="1:7" x14ac:dyDescent="0.2">
      <c r="A23854" t="s">
        <v>1</v>
      </c>
      <c r="B23854" t="str">
        <f>"18995383999"</f>
        <v>18995383999</v>
      </c>
      <c r="C23854" t="s">
        <v>1</v>
      </c>
      <c r="D23854" t="s">
        <v>1</v>
      </c>
      <c r="E23854" t="s">
        <v>1</v>
      </c>
      <c r="F23854" t="s">
        <v>0</v>
      </c>
      <c r="G23854" t="str">
        <f>"2018-10-06 14:58:26"</f>
        <v>2018-10-06 14:58:26</v>
      </c>
    </row>
    <row r="23855" spans="1:7" x14ac:dyDescent="0.2">
      <c r="A23855" t="s">
        <v>7644</v>
      </c>
      <c r="B23855" t="str">
        <f>"18915021018"</f>
        <v>18915021018</v>
      </c>
      <c r="C23855" t="str">
        <f>"320404197303200610"</f>
        <v>320404197303200610</v>
      </c>
      <c r="D23855" t="s">
        <v>1</v>
      </c>
      <c r="E23855" t="s">
        <v>1</v>
      </c>
      <c r="F23855" t="s">
        <v>0</v>
      </c>
      <c r="G23855" t="str">
        <f>"2018-10-06 14:59:11"</f>
        <v>2018-10-06 14:59:11</v>
      </c>
    </row>
    <row r="23856" spans="1:7" x14ac:dyDescent="0.2">
      <c r="A23856" t="s">
        <v>1</v>
      </c>
      <c r="B23856" t="str">
        <f>"15635937336"</f>
        <v>15635937336</v>
      </c>
      <c r="C23856" t="s">
        <v>1</v>
      </c>
      <c r="D23856" t="s">
        <v>1</v>
      </c>
      <c r="E23856" t="s">
        <v>1</v>
      </c>
      <c r="F23856" t="s">
        <v>0</v>
      </c>
      <c r="G23856" t="str">
        <f>"2018-10-06 14:57:10"</f>
        <v>2018-10-06 14:57:10</v>
      </c>
    </row>
    <row r="23857" spans="1:7" x14ac:dyDescent="0.2">
      <c r="A23857" t="s">
        <v>1</v>
      </c>
      <c r="B23857" t="str">
        <f>"15008344190"</f>
        <v>15008344190</v>
      </c>
      <c r="C23857" t="s">
        <v>1</v>
      </c>
      <c r="D23857" t="s">
        <v>1</v>
      </c>
      <c r="E23857" t="s">
        <v>1</v>
      </c>
      <c r="F23857" t="s">
        <v>0</v>
      </c>
      <c r="G23857" t="str">
        <f>"2018-10-06 14:57:35"</f>
        <v>2018-10-06 14:57:35</v>
      </c>
    </row>
    <row r="23858" spans="1:7" x14ac:dyDescent="0.2">
      <c r="A23858" t="s">
        <v>865</v>
      </c>
      <c r="B23858" t="str">
        <f>"15333978675"</f>
        <v>15333978675</v>
      </c>
      <c r="C23858" t="str">
        <f>"411526199003213837"</f>
        <v>411526199003213837</v>
      </c>
      <c r="D23858" t="s">
        <v>1</v>
      </c>
      <c r="E23858" t="s">
        <v>1</v>
      </c>
      <c r="F23858" t="s">
        <v>0</v>
      </c>
      <c r="G23858" t="str">
        <f>"2018-10-06 14:58:29"</f>
        <v>2018-10-06 14:58:29</v>
      </c>
    </row>
    <row r="23859" spans="1:7" x14ac:dyDescent="0.2">
      <c r="A23859" t="s">
        <v>1</v>
      </c>
      <c r="B23859" t="str">
        <f>"15840489423"</f>
        <v>15840489423</v>
      </c>
      <c r="C23859" t="s">
        <v>1</v>
      </c>
      <c r="D23859" t="s">
        <v>1</v>
      </c>
      <c r="E23859" t="s">
        <v>1</v>
      </c>
      <c r="F23859" t="s">
        <v>0</v>
      </c>
      <c r="G23859" t="str">
        <f>"2018-10-06 14:56:53"</f>
        <v>2018-10-06 14:56:53</v>
      </c>
    </row>
    <row r="23860" spans="1:7" x14ac:dyDescent="0.2">
      <c r="A23860" t="s">
        <v>22149</v>
      </c>
      <c r="B23860" t="str">
        <f>"15397975926"</f>
        <v>15397975926</v>
      </c>
      <c r="C23860" t="str">
        <f>"362131198111040348"</f>
        <v>362131198111040348</v>
      </c>
      <c r="D23860" t="s">
        <v>1</v>
      </c>
      <c r="E23860" t="s">
        <v>1</v>
      </c>
      <c r="F23860" t="s">
        <v>0</v>
      </c>
      <c r="G23860" t="str">
        <f>"2018-10-06 14:57:34"</f>
        <v>2018-10-06 14:57:34</v>
      </c>
    </row>
    <row r="23861" spans="1:7" x14ac:dyDescent="0.2">
      <c r="A23861" t="s">
        <v>1</v>
      </c>
      <c r="B23861" t="str">
        <f>"18651482807"</f>
        <v>18651482807</v>
      </c>
      <c r="C23861" t="s">
        <v>1</v>
      </c>
      <c r="D23861" t="s">
        <v>1</v>
      </c>
      <c r="E23861" t="s">
        <v>1</v>
      </c>
      <c r="F23861" t="s">
        <v>0</v>
      </c>
      <c r="G23861" t="str">
        <f>"2018-10-06 14:56:25"</f>
        <v>2018-10-06 14:56:25</v>
      </c>
    </row>
    <row r="23862" spans="1:7" x14ac:dyDescent="0.2">
      <c r="A23862" t="s">
        <v>22150</v>
      </c>
      <c r="B23862" t="str">
        <f>"18953839572"</f>
        <v>18953839572</v>
      </c>
      <c r="C23862" t="str">
        <f>"370902198907194811"</f>
        <v>370902198907194811</v>
      </c>
      <c r="D23862" t="s">
        <v>1</v>
      </c>
      <c r="E23862" t="s">
        <v>1</v>
      </c>
      <c r="F23862" t="s">
        <v>0</v>
      </c>
      <c r="G23862" t="str">
        <f>"2018-10-06 14:57:54"</f>
        <v>2018-10-06 14:57:54</v>
      </c>
    </row>
    <row r="23863" spans="1:7" x14ac:dyDescent="0.2">
      <c r="A23863" t="s">
        <v>1</v>
      </c>
      <c r="B23863" t="str">
        <f>"13332275656"</f>
        <v>13332275656</v>
      </c>
      <c r="C23863" t="s">
        <v>1</v>
      </c>
      <c r="D23863" t="s">
        <v>1</v>
      </c>
      <c r="E23863" t="s">
        <v>1</v>
      </c>
      <c r="F23863" t="s">
        <v>0</v>
      </c>
      <c r="G23863" t="str">
        <f>"2018-10-06 14:56:12"</f>
        <v>2018-10-06 14:56:12</v>
      </c>
    </row>
    <row r="23864" spans="1:7" x14ac:dyDescent="0.2">
      <c r="A23864" t="s">
        <v>22151</v>
      </c>
      <c r="B23864" t="str">
        <f>"13762402580"</f>
        <v>13762402580</v>
      </c>
      <c r="C23864" t="str">
        <f>"430403198402092022"</f>
        <v>430403198402092022</v>
      </c>
      <c r="D23864" t="s">
        <v>1</v>
      </c>
      <c r="E23864" t="s">
        <v>1</v>
      </c>
      <c r="F23864" t="s">
        <v>0</v>
      </c>
      <c r="G23864" t="str">
        <f>"2018-10-06 14:56:07"</f>
        <v>2018-10-06 14:56:07</v>
      </c>
    </row>
    <row r="23865" spans="1:7" x14ac:dyDescent="0.2">
      <c r="A23865" t="s">
        <v>22152</v>
      </c>
      <c r="B23865" t="str">
        <f>"15980778277"</f>
        <v>15980778277</v>
      </c>
      <c r="C23865" t="str">
        <f>"350521199308133089"</f>
        <v>350521199308133089</v>
      </c>
      <c r="D23865" t="s">
        <v>1</v>
      </c>
      <c r="E23865" t="s">
        <v>1</v>
      </c>
      <c r="F23865" t="s">
        <v>0</v>
      </c>
      <c r="G23865" t="str">
        <f>"2018-10-14 13:22:49"</f>
        <v>2018-10-14 13:22:49</v>
      </c>
    </row>
    <row r="23866" spans="1:7" x14ac:dyDescent="0.2">
      <c r="A23866" t="s">
        <v>22153</v>
      </c>
      <c r="B23866" t="str">
        <f>"18202898808"</f>
        <v>18202898808</v>
      </c>
      <c r="C23866" t="str">
        <f>"43052719820207001X"</f>
        <v>43052719820207001X</v>
      </c>
      <c r="D23866" t="s">
        <v>1</v>
      </c>
      <c r="E23866" t="s">
        <v>1</v>
      </c>
      <c r="F23866" t="s">
        <v>0</v>
      </c>
      <c r="G23866" t="str">
        <f>"2018-10-06 14:57:16"</f>
        <v>2018-10-06 14:57:16</v>
      </c>
    </row>
    <row r="23867" spans="1:7" x14ac:dyDescent="0.2">
      <c r="A23867" t="s">
        <v>22154</v>
      </c>
      <c r="B23867" t="str">
        <f>"15814635622"</f>
        <v>15814635622</v>
      </c>
      <c r="C23867" t="str">
        <f>"450821199808202933"</f>
        <v>450821199808202933</v>
      </c>
      <c r="D23867" t="s">
        <v>1</v>
      </c>
      <c r="E23867" t="s">
        <v>1</v>
      </c>
      <c r="F23867" t="s">
        <v>0</v>
      </c>
      <c r="G23867" t="str">
        <f>"2018-10-06 15:00:43"</f>
        <v>2018-10-06 15:00:43</v>
      </c>
    </row>
    <row r="23868" spans="1:7" x14ac:dyDescent="0.2">
      <c r="A23868" t="s">
        <v>22155</v>
      </c>
      <c r="B23868" t="str">
        <f>"17771022978"</f>
        <v>17771022978</v>
      </c>
      <c r="C23868" t="str">
        <f>"420683198710080518"</f>
        <v>420683198710080518</v>
      </c>
      <c r="D23868" t="s">
        <v>1</v>
      </c>
      <c r="E23868" t="s">
        <v>1</v>
      </c>
      <c r="F23868" t="s">
        <v>0</v>
      </c>
      <c r="G23868" t="str">
        <f>"2018-10-14 11:57:09"</f>
        <v>2018-10-14 11:57:09</v>
      </c>
    </row>
    <row r="23869" spans="1:7" x14ac:dyDescent="0.2">
      <c r="A23869" t="s">
        <v>22156</v>
      </c>
      <c r="B23869" t="str">
        <f>"13399983007"</f>
        <v>13399983007</v>
      </c>
      <c r="C23869" t="str">
        <f>"65313019870805261X"</f>
        <v>65313019870805261X</v>
      </c>
      <c r="D23869" t="s">
        <v>22157</v>
      </c>
      <c r="E23869" t="s">
        <v>22158</v>
      </c>
      <c r="F23869" t="s">
        <v>0</v>
      </c>
      <c r="G23869" t="str">
        <f>"2018-10-06 14:56:37"</f>
        <v>2018-10-06 14:56:37</v>
      </c>
    </row>
    <row r="23870" spans="1:7" x14ac:dyDescent="0.2">
      <c r="A23870" t="s">
        <v>22159</v>
      </c>
      <c r="B23870" t="str">
        <f>"18339379799"</f>
        <v>18339379799</v>
      </c>
      <c r="C23870" t="str">
        <f>"410922199105133112"</f>
        <v>410922199105133112</v>
      </c>
      <c r="D23870" t="s">
        <v>1</v>
      </c>
      <c r="E23870" t="s">
        <v>1</v>
      </c>
      <c r="F23870" t="s">
        <v>0</v>
      </c>
      <c r="G23870" t="str">
        <f>"2018-10-06 14:56:44"</f>
        <v>2018-10-06 14:56:44</v>
      </c>
    </row>
    <row r="23871" spans="1:7" x14ac:dyDescent="0.2">
      <c r="A23871" t="s">
        <v>1077</v>
      </c>
      <c r="B23871" t="str">
        <f>"15136029814"</f>
        <v>15136029814</v>
      </c>
      <c r="C23871" t="str">
        <f>"420528199704064727"</f>
        <v>420528199704064727</v>
      </c>
      <c r="D23871" t="s">
        <v>1</v>
      </c>
      <c r="E23871" t="s">
        <v>1</v>
      </c>
      <c r="F23871" t="s">
        <v>0</v>
      </c>
      <c r="G23871" t="str">
        <f>"2018-10-06 15:12:11"</f>
        <v>2018-10-06 15:12:11</v>
      </c>
    </row>
    <row r="23872" spans="1:7" x14ac:dyDescent="0.2">
      <c r="A23872" t="s">
        <v>22160</v>
      </c>
      <c r="B23872" t="str">
        <f>"18638700603"</f>
        <v>18638700603</v>
      </c>
      <c r="C23872" t="str">
        <f>"411123199901207016"</f>
        <v>411123199901207016</v>
      </c>
      <c r="D23872" t="s">
        <v>22161</v>
      </c>
      <c r="E23872" t="s">
        <v>22162</v>
      </c>
      <c r="F23872" t="s">
        <v>0</v>
      </c>
      <c r="G23872" t="str">
        <f>"2018-10-06 14:56:20"</f>
        <v>2018-10-06 14:56:20</v>
      </c>
    </row>
    <row r="23873" spans="1:7" x14ac:dyDescent="0.2">
      <c r="A23873" t="s">
        <v>515</v>
      </c>
      <c r="B23873" t="str">
        <f>"15592806336"</f>
        <v>15592806336</v>
      </c>
      <c r="C23873" t="str">
        <f>"610625199811231115"</f>
        <v>610625199811231115</v>
      </c>
      <c r="D23873" t="s">
        <v>1</v>
      </c>
      <c r="E23873" t="s">
        <v>1</v>
      </c>
      <c r="F23873" t="s">
        <v>0</v>
      </c>
      <c r="G23873" t="str">
        <f>"2018-10-06 14:54:37"</f>
        <v>2018-10-06 14:54:37</v>
      </c>
    </row>
    <row r="23874" spans="1:7" x14ac:dyDescent="0.2">
      <c r="A23874" t="s">
        <v>22163</v>
      </c>
      <c r="B23874" t="str">
        <f>"17318842028"</f>
        <v>17318842028</v>
      </c>
      <c r="C23874" t="str">
        <f>"321028196707275411"</f>
        <v>321028196707275411</v>
      </c>
      <c r="D23874" t="s">
        <v>1</v>
      </c>
      <c r="E23874" t="s">
        <v>1</v>
      </c>
      <c r="F23874" t="s">
        <v>0</v>
      </c>
      <c r="G23874" t="str">
        <f>"2018-10-06 15:25:22"</f>
        <v>2018-10-06 15:25:22</v>
      </c>
    </row>
    <row r="23875" spans="1:7" x14ac:dyDescent="0.2">
      <c r="A23875" t="s">
        <v>1735</v>
      </c>
      <c r="B23875" t="str">
        <f>"13339223391"</f>
        <v>13339223391</v>
      </c>
      <c r="C23875" t="str">
        <f>"341225199702210415"</f>
        <v>341225199702210415</v>
      </c>
      <c r="D23875" t="s">
        <v>22164</v>
      </c>
      <c r="E23875" t="s">
        <v>22165</v>
      </c>
      <c r="F23875" t="s">
        <v>0</v>
      </c>
      <c r="G23875" t="str">
        <f>"2018-10-06 14:55:25"</f>
        <v>2018-10-06 14:55:25</v>
      </c>
    </row>
    <row r="23876" spans="1:7" x14ac:dyDescent="0.2">
      <c r="A23876" t="s">
        <v>9217</v>
      </c>
      <c r="B23876" t="str">
        <f>"15858448048"</f>
        <v>15858448048</v>
      </c>
      <c r="C23876" t="str">
        <f>"330282199301082592"</f>
        <v>330282199301082592</v>
      </c>
      <c r="D23876" t="s">
        <v>1</v>
      </c>
      <c r="E23876" t="s">
        <v>1</v>
      </c>
      <c r="F23876" t="s">
        <v>0</v>
      </c>
      <c r="G23876" t="str">
        <f>"2018-10-07 15:57:02"</f>
        <v>2018-10-07 15:57:02</v>
      </c>
    </row>
    <row r="23877" spans="1:7" x14ac:dyDescent="0.2">
      <c r="A23877" t="s">
        <v>22166</v>
      </c>
      <c r="B23877" t="str">
        <f>"13363862353"</f>
        <v>13363862353</v>
      </c>
      <c r="C23877" t="str">
        <f>"130530198110180024"</f>
        <v>130530198110180024</v>
      </c>
      <c r="D23877" t="s">
        <v>1</v>
      </c>
      <c r="E23877" t="s">
        <v>1</v>
      </c>
      <c r="F23877" t="s">
        <v>0</v>
      </c>
      <c r="G23877" t="str">
        <f>"2018-10-06 14:55:23"</f>
        <v>2018-10-06 14:55:23</v>
      </c>
    </row>
    <row r="23878" spans="1:7" x14ac:dyDescent="0.2">
      <c r="A23878" t="s">
        <v>22167</v>
      </c>
      <c r="B23878" t="str">
        <f>"15073261321"</f>
        <v>15073261321</v>
      </c>
      <c r="C23878" t="str">
        <f>"430321199112046556"</f>
        <v>430321199112046556</v>
      </c>
      <c r="D23878" t="s">
        <v>22168</v>
      </c>
      <c r="E23878" t="s">
        <v>22169</v>
      </c>
      <c r="F23878" t="s">
        <v>0</v>
      </c>
      <c r="G23878" t="str">
        <f>"2018-10-06 14:57:02"</f>
        <v>2018-10-06 14:57:02</v>
      </c>
    </row>
    <row r="23879" spans="1:7" x14ac:dyDescent="0.2">
      <c r="A23879" t="s">
        <v>401</v>
      </c>
      <c r="B23879" t="str">
        <f>"13583192103"</f>
        <v>13583192103</v>
      </c>
      <c r="C23879" t="str">
        <f>"370125199801066315"</f>
        <v>370125199801066315</v>
      </c>
      <c r="D23879" t="s">
        <v>1</v>
      </c>
      <c r="E23879" t="s">
        <v>1</v>
      </c>
      <c r="F23879" t="s">
        <v>0</v>
      </c>
      <c r="G23879" t="str">
        <f>"2018-10-08 11:44:50"</f>
        <v>2018-10-08 11:44:50</v>
      </c>
    </row>
    <row r="23880" spans="1:7" x14ac:dyDescent="0.2">
      <c r="A23880" t="s">
        <v>22170</v>
      </c>
      <c r="B23880" t="str">
        <f>"15040638836"</f>
        <v>15040638836</v>
      </c>
      <c r="C23880" t="str">
        <f>"210281198912284822"</f>
        <v>210281198912284822</v>
      </c>
      <c r="D23880" t="s">
        <v>1</v>
      </c>
      <c r="E23880" t="s">
        <v>1</v>
      </c>
      <c r="F23880" t="s">
        <v>0</v>
      </c>
      <c r="G23880" t="str">
        <f>"2018-10-06 14:53:13"</f>
        <v>2018-10-06 14:53:13</v>
      </c>
    </row>
    <row r="23881" spans="1:7" x14ac:dyDescent="0.2">
      <c r="A23881" t="s">
        <v>1</v>
      </c>
      <c r="B23881" t="str">
        <f>"15933555800"</f>
        <v>15933555800</v>
      </c>
      <c r="C23881" t="s">
        <v>1</v>
      </c>
      <c r="D23881" t="s">
        <v>1</v>
      </c>
      <c r="E23881" t="s">
        <v>1</v>
      </c>
      <c r="F23881" t="s">
        <v>0</v>
      </c>
      <c r="G23881" t="str">
        <f>"2018-10-06 14:53:06"</f>
        <v>2018-10-06 14:53:06</v>
      </c>
    </row>
    <row r="23882" spans="1:7" x14ac:dyDescent="0.2">
      <c r="A23882" t="s">
        <v>22171</v>
      </c>
      <c r="B23882" t="str">
        <f>"13618398685"</f>
        <v>13618398685</v>
      </c>
      <c r="C23882" t="str">
        <f>"510211197804081224"</f>
        <v>510211197804081224</v>
      </c>
      <c r="D23882" t="s">
        <v>22172</v>
      </c>
      <c r="E23882" t="s">
        <v>22173</v>
      </c>
      <c r="F23882" t="s">
        <v>0</v>
      </c>
      <c r="G23882" t="str">
        <f>"2018-10-26 23:08:50"</f>
        <v>2018-10-26 23:08:50</v>
      </c>
    </row>
    <row r="23883" spans="1:7" x14ac:dyDescent="0.2">
      <c r="A23883" t="s">
        <v>22174</v>
      </c>
      <c r="B23883" t="str">
        <f>"18113430810"</f>
        <v>18113430810</v>
      </c>
      <c r="C23883" t="str">
        <f>"511126199108101526"</f>
        <v>511126199108101526</v>
      </c>
      <c r="D23883" t="s">
        <v>1</v>
      </c>
      <c r="E23883" t="s">
        <v>1</v>
      </c>
      <c r="F23883" t="s">
        <v>0</v>
      </c>
      <c r="G23883" t="str">
        <f>"2018-10-06 14:54:34"</f>
        <v>2018-10-06 14:54:34</v>
      </c>
    </row>
    <row r="23884" spans="1:7" x14ac:dyDescent="0.2">
      <c r="A23884" t="s">
        <v>22175</v>
      </c>
      <c r="B23884" t="str">
        <f>"15883836230"</f>
        <v>15883836230</v>
      </c>
      <c r="C23884" t="str">
        <f>"510622198602235411"</f>
        <v>510622198602235411</v>
      </c>
      <c r="D23884" t="s">
        <v>1</v>
      </c>
      <c r="E23884" t="s">
        <v>1</v>
      </c>
      <c r="F23884" t="s">
        <v>0</v>
      </c>
      <c r="G23884" t="str">
        <f>"2018-10-06 14:53:22"</f>
        <v>2018-10-06 14:53:22</v>
      </c>
    </row>
    <row r="23885" spans="1:7" x14ac:dyDescent="0.2">
      <c r="A23885" t="s">
        <v>22176</v>
      </c>
      <c r="B23885" t="str">
        <f>"13827212682"</f>
        <v>13827212682</v>
      </c>
      <c r="C23885" t="str">
        <f>"441900199107096341"</f>
        <v>441900199107096341</v>
      </c>
      <c r="D23885" t="s">
        <v>1</v>
      </c>
      <c r="E23885" t="s">
        <v>1</v>
      </c>
      <c r="F23885" t="s">
        <v>0</v>
      </c>
      <c r="G23885" t="str">
        <f>"2018-10-06 14:53:49"</f>
        <v>2018-10-06 14:53:49</v>
      </c>
    </row>
    <row r="23886" spans="1:7" x14ac:dyDescent="0.2">
      <c r="A23886" t="s">
        <v>22177</v>
      </c>
      <c r="B23886" t="str">
        <f>"13590950884"</f>
        <v>13590950884</v>
      </c>
      <c r="C23886" t="str">
        <f>"44040219820506903X"</f>
        <v>44040219820506903X</v>
      </c>
      <c r="D23886" t="s">
        <v>1</v>
      </c>
      <c r="E23886" t="s">
        <v>1</v>
      </c>
      <c r="F23886" t="s">
        <v>0</v>
      </c>
      <c r="G23886" t="str">
        <f>"2018-10-06 14:55:54"</f>
        <v>2018-10-06 14:55:54</v>
      </c>
    </row>
    <row r="23887" spans="1:7" x14ac:dyDescent="0.2">
      <c r="A23887" t="s">
        <v>22178</v>
      </c>
      <c r="B23887" t="str">
        <f>"13660558793"</f>
        <v>13660558793</v>
      </c>
      <c r="C23887" t="str">
        <f>"44530219940129334X"</f>
        <v>44530219940129334X</v>
      </c>
      <c r="D23887" t="s">
        <v>1</v>
      </c>
      <c r="E23887" t="s">
        <v>1</v>
      </c>
      <c r="F23887" t="s">
        <v>0</v>
      </c>
      <c r="G23887" t="str">
        <f>"2018-10-06 15:30:58"</f>
        <v>2018-10-06 15:30:58</v>
      </c>
    </row>
    <row r="23888" spans="1:7" x14ac:dyDescent="0.2">
      <c r="A23888" t="s">
        <v>22179</v>
      </c>
      <c r="B23888" t="str">
        <f>"15619507616"</f>
        <v>15619507616</v>
      </c>
      <c r="C23888" t="str">
        <f>"610404198506300519"</f>
        <v>610404198506300519</v>
      </c>
      <c r="D23888" t="s">
        <v>1</v>
      </c>
      <c r="E23888" t="s">
        <v>1</v>
      </c>
      <c r="F23888" t="s">
        <v>0</v>
      </c>
      <c r="G23888" t="str">
        <f>"2018-10-06 14:55:13"</f>
        <v>2018-10-06 14:55:13</v>
      </c>
    </row>
    <row r="23889" spans="1:7" x14ac:dyDescent="0.2">
      <c r="A23889" t="s">
        <v>1171</v>
      </c>
      <c r="B23889" t="str">
        <f>"15210535235"</f>
        <v>15210535235</v>
      </c>
      <c r="C23889" t="str">
        <f>"412825199004016713"</f>
        <v>412825199004016713</v>
      </c>
      <c r="D23889" t="s">
        <v>22180</v>
      </c>
      <c r="E23889" t="s">
        <v>22181</v>
      </c>
      <c r="F23889" t="s">
        <v>0</v>
      </c>
      <c r="G23889" t="str">
        <f>"2018-10-06 14:59:24"</f>
        <v>2018-10-06 14:59:24</v>
      </c>
    </row>
    <row r="23890" spans="1:7" x14ac:dyDescent="0.2">
      <c r="A23890" t="s">
        <v>1</v>
      </c>
      <c r="B23890" t="str">
        <f>"15846789261"</f>
        <v>15846789261</v>
      </c>
      <c r="C23890" t="s">
        <v>1</v>
      </c>
      <c r="D23890" t="s">
        <v>1</v>
      </c>
      <c r="E23890" t="s">
        <v>1</v>
      </c>
      <c r="F23890" t="s">
        <v>0</v>
      </c>
      <c r="G23890" t="str">
        <f>"2018-10-06 14:50:47"</f>
        <v>2018-10-06 14:50:47</v>
      </c>
    </row>
    <row r="23891" spans="1:7" x14ac:dyDescent="0.2">
      <c r="A23891" t="s">
        <v>1</v>
      </c>
      <c r="B23891" t="str">
        <f>"13429236696"</f>
        <v>13429236696</v>
      </c>
      <c r="C23891" t="s">
        <v>1</v>
      </c>
      <c r="D23891" t="s">
        <v>1</v>
      </c>
      <c r="E23891" t="s">
        <v>1</v>
      </c>
      <c r="F23891" t="s">
        <v>0</v>
      </c>
      <c r="G23891" t="str">
        <f>"2018-10-06 15:01:10"</f>
        <v>2018-10-06 15:01:10</v>
      </c>
    </row>
    <row r="23892" spans="1:7" x14ac:dyDescent="0.2">
      <c r="A23892" t="s">
        <v>1514</v>
      </c>
      <c r="B23892" t="str">
        <f>"18203011557"</f>
        <v>18203011557</v>
      </c>
      <c r="C23892" t="str">
        <f>"500382199607258412"</f>
        <v>500382199607258412</v>
      </c>
      <c r="D23892" t="s">
        <v>1</v>
      </c>
      <c r="E23892" t="s">
        <v>1</v>
      </c>
      <c r="F23892" t="s">
        <v>0</v>
      </c>
      <c r="G23892" t="str">
        <f>"2018-10-06 14:56:05"</f>
        <v>2018-10-06 14:56:05</v>
      </c>
    </row>
    <row r="23893" spans="1:7" x14ac:dyDescent="0.2">
      <c r="A23893" t="s">
        <v>1495</v>
      </c>
      <c r="B23893" t="str">
        <f>"18159359131"</f>
        <v>18159359131</v>
      </c>
      <c r="C23893" t="str">
        <f>"350583198911062232"</f>
        <v>350583198911062232</v>
      </c>
      <c r="D23893" t="s">
        <v>1</v>
      </c>
      <c r="E23893" t="s">
        <v>1</v>
      </c>
      <c r="F23893" t="s">
        <v>0</v>
      </c>
      <c r="G23893" t="str">
        <f>"2018-10-06 14:49:44"</f>
        <v>2018-10-06 14:49:44</v>
      </c>
    </row>
    <row r="23894" spans="1:7" x14ac:dyDescent="0.2">
      <c r="A23894" t="s">
        <v>101</v>
      </c>
      <c r="B23894" t="str">
        <f>"13786685886"</f>
        <v>13786685886</v>
      </c>
      <c r="C23894" t="str">
        <f>"430703199012265638"</f>
        <v>430703199012265638</v>
      </c>
      <c r="D23894" t="s">
        <v>1</v>
      </c>
      <c r="E23894" t="s">
        <v>1</v>
      </c>
      <c r="F23894" t="s">
        <v>0</v>
      </c>
      <c r="G23894" t="str">
        <f>"2018-10-06 23:02:53"</f>
        <v>2018-10-06 23:02:53</v>
      </c>
    </row>
    <row r="23895" spans="1:7" x14ac:dyDescent="0.2">
      <c r="A23895" t="s">
        <v>1</v>
      </c>
      <c r="B23895" t="str">
        <f>"18007135487"</f>
        <v>18007135487</v>
      </c>
      <c r="C23895" t="s">
        <v>1</v>
      </c>
      <c r="D23895" t="s">
        <v>1</v>
      </c>
      <c r="E23895" t="s">
        <v>1</v>
      </c>
      <c r="F23895" t="s">
        <v>0</v>
      </c>
      <c r="G23895" t="str">
        <f>"2018-10-06 14:49:22"</f>
        <v>2018-10-06 14:49:22</v>
      </c>
    </row>
    <row r="23896" spans="1:7" x14ac:dyDescent="0.2">
      <c r="A23896" t="s">
        <v>22182</v>
      </c>
      <c r="B23896" t="str">
        <f>"13813562627"</f>
        <v>13813562627</v>
      </c>
      <c r="C23896" t="str">
        <f>"32040219850703373X"</f>
        <v>32040219850703373X</v>
      </c>
      <c r="D23896" t="s">
        <v>22183</v>
      </c>
      <c r="E23896" t="s">
        <v>22184</v>
      </c>
      <c r="F23896" t="s">
        <v>0</v>
      </c>
      <c r="G23896" t="str">
        <f>"2018-10-06 14:50:07"</f>
        <v>2018-10-06 14:50:07</v>
      </c>
    </row>
    <row r="23897" spans="1:7" x14ac:dyDescent="0.2">
      <c r="A23897" t="s">
        <v>22185</v>
      </c>
      <c r="B23897" t="str">
        <f>"18154892507"</f>
        <v>18154892507</v>
      </c>
      <c r="C23897" t="str">
        <f>"652201199508080226"</f>
        <v>652201199508080226</v>
      </c>
      <c r="D23897" t="s">
        <v>1</v>
      </c>
      <c r="E23897" t="s">
        <v>1</v>
      </c>
      <c r="F23897" t="s">
        <v>0</v>
      </c>
      <c r="G23897" t="str">
        <f>"2018-10-06 14:56:21"</f>
        <v>2018-10-06 14:56:21</v>
      </c>
    </row>
    <row r="23898" spans="1:7" x14ac:dyDescent="0.2">
      <c r="A23898" t="s">
        <v>1</v>
      </c>
      <c r="B23898" t="str">
        <f>"15117328174"</f>
        <v>15117328174</v>
      </c>
      <c r="C23898" t="s">
        <v>1</v>
      </c>
      <c r="D23898" t="s">
        <v>1</v>
      </c>
      <c r="E23898" t="s">
        <v>1</v>
      </c>
      <c r="F23898" t="s">
        <v>0</v>
      </c>
      <c r="G23898" t="str">
        <f>"2018-10-06 14:48:45"</f>
        <v>2018-10-06 14:48:45</v>
      </c>
    </row>
    <row r="23899" spans="1:7" x14ac:dyDescent="0.2">
      <c r="A23899" t="s">
        <v>1</v>
      </c>
      <c r="B23899" t="str">
        <f>"13429601786"</f>
        <v>13429601786</v>
      </c>
      <c r="C23899" t="s">
        <v>1</v>
      </c>
      <c r="D23899" t="s">
        <v>1</v>
      </c>
      <c r="E23899" t="s">
        <v>1</v>
      </c>
      <c r="F23899" t="s">
        <v>0</v>
      </c>
      <c r="G23899" t="str">
        <f>"2018-10-06 14:50:10"</f>
        <v>2018-10-06 14:50:10</v>
      </c>
    </row>
    <row r="23900" spans="1:7" x14ac:dyDescent="0.2">
      <c r="A23900" t="s">
        <v>22186</v>
      </c>
      <c r="B23900" t="str">
        <f>"17780758223"</f>
        <v>17780758223</v>
      </c>
      <c r="C23900" t="str">
        <f>"511324198812192074"</f>
        <v>511324198812192074</v>
      </c>
      <c r="D23900" t="s">
        <v>1</v>
      </c>
      <c r="E23900" t="s">
        <v>1</v>
      </c>
      <c r="F23900" t="s">
        <v>0</v>
      </c>
      <c r="G23900" t="str">
        <f>"2018-10-06 14:54:55"</f>
        <v>2018-10-06 14:54:55</v>
      </c>
    </row>
    <row r="23901" spans="1:7" x14ac:dyDescent="0.2">
      <c r="A23901" t="s">
        <v>22187</v>
      </c>
      <c r="B23901" t="str">
        <f>"18207160325"</f>
        <v>18207160325</v>
      </c>
      <c r="C23901" t="str">
        <f>"420704198910055077"</f>
        <v>420704198910055077</v>
      </c>
      <c r="D23901" t="s">
        <v>1</v>
      </c>
      <c r="E23901" t="s">
        <v>1</v>
      </c>
      <c r="F23901" t="s">
        <v>0</v>
      </c>
      <c r="G23901" t="str">
        <f>"2018-10-06 14:50:34"</f>
        <v>2018-10-06 14:50:34</v>
      </c>
    </row>
    <row r="23902" spans="1:7" x14ac:dyDescent="0.2">
      <c r="A23902" t="s">
        <v>22188</v>
      </c>
      <c r="B23902" t="str">
        <f>"13484767363"</f>
        <v>13484767363</v>
      </c>
      <c r="C23902" t="str">
        <f>"150423198109163512"</f>
        <v>150423198109163512</v>
      </c>
      <c r="D23902" t="s">
        <v>1</v>
      </c>
      <c r="E23902" t="s">
        <v>1</v>
      </c>
      <c r="F23902" t="s">
        <v>0</v>
      </c>
      <c r="G23902" t="str">
        <f>"2018-10-06 15:04:30"</f>
        <v>2018-10-06 15:04:30</v>
      </c>
    </row>
    <row r="23903" spans="1:7" x14ac:dyDescent="0.2">
      <c r="A23903" t="s">
        <v>1</v>
      </c>
      <c r="B23903" t="str">
        <f>"17665160133"</f>
        <v>17665160133</v>
      </c>
      <c r="C23903" t="s">
        <v>1</v>
      </c>
      <c r="D23903" t="s">
        <v>1</v>
      </c>
      <c r="E23903" t="s">
        <v>1</v>
      </c>
      <c r="F23903" t="s">
        <v>0</v>
      </c>
      <c r="G23903" t="str">
        <f>"2018-10-06 14:49:23"</f>
        <v>2018-10-06 14:49:23</v>
      </c>
    </row>
    <row r="23904" spans="1:7" x14ac:dyDescent="0.2">
      <c r="A23904" t="s">
        <v>1</v>
      </c>
      <c r="B23904" t="str">
        <f>"17665160133"</f>
        <v>17665160133</v>
      </c>
      <c r="C23904" t="s">
        <v>1</v>
      </c>
      <c r="D23904" t="s">
        <v>1</v>
      </c>
      <c r="E23904" t="s">
        <v>1</v>
      </c>
      <c r="F23904" t="s">
        <v>0</v>
      </c>
      <c r="G23904" t="str">
        <f>"2018-10-06 14:49:23"</f>
        <v>2018-10-06 14:49:23</v>
      </c>
    </row>
    <row r="23905" spans="1:7" x14ac:dyDescent="0.2">
      <c r="A23905" t="s">
        <v>22189</v>
      </c>
      <c r="B23905" t="str">
        <f>"13427161642"</f>
        <v>13427161642</v>
      </c>
      <c r="C23905" t="str">
        <f>"440785199710103114"</f>
        <v>440785199710103114</v>
      </c>
      <c r="D23905" t="s">
        <v>1</v>
      </c>
      <c r="E23905" t="s">
        <v>1</v>
      </c>
      <c r="F23905" t="s">
        <v>0</v>
      </c>
      <c r="G23905" t="str">
        <f>"2018-10-06 14:46:42"</f>
        <v>2018-10-06 14:46:42</v>
      </c>
    </row>
    <row r="23906" spans="1:7" x14ac:dyDescent="0.2">
      <c r="A23906" t="s">
        <v>22190</v>
      </c>
      <c r="B23906" t="str">
        <f>"15228352838"</f>
        <v>15228352838</v>
      </c>
      <c r="C23906" t="str">
        <f>"510703199403290531"</f>
        <v>510703199403290531</v>
      </c>
      <c r="D23906" t="s">
        <v>1</v>
      </c>
      <c r="E23906" t="s">
        <v>1</v>
      </c>
      <c r="F23906" t="s">
        <v>0</v>
      </c>
      <c r="G23906" t="str">
        <f>"2018-10-06 14:56:09"</f>
        <v>2018-10-06 14:56:09</v>
      </c>
    </row>
    <row r="23907" spans="1:7" x14ac:dyDescent="0.2">
      <c r="A23907" t="s">
        <v>22191</v>
      </c>
      <c r="B23907" t="str">
        <f>"15961078530"</f>
        <v>15961078530</v>
      </c>
      <c r="C23907" t="str">
        <f>"321002198107193346"</f>
        <v>321002198107193346</v>
      </c>
      <c r="D23907" t="s">
        <v>1</v>
      </c>
      <c r="E23907" t="s">
        <v>1</v>
      </c>
      <c r="F23907" t="s">
        <v>0</v>
      </c>
      <c r="G23907" t="str">
        <f>"2018-10-12 11:55:16"</f>
        <v>2018-10-12 11:55:16</v>
      </c>
    </row>
    <row r="23908" spans="1:7" x14ac:dyDescent="0.2">
      <c r="A23908" t="s">
        <v>22192</v>
      </c>
      <c r="B23908" t="str">
        <f>"13962988416"</f>
        <v>13962988416</v>
      </c>
      <c r="C23908" t="str">
        <f>"320382198610069470"</f>
        <v>320382198610069470</v>
      </c>
      <c r="D23908" t="s">
        <v>1</v>
      </c>
      <c r="E23908" t="s">
        <v>1</v>
      </c>
      <c r="F23908" t="s">
        <v>0</v>
      </c>
      <c r="G23908" t="str">
        <f>"2018-10-06 19:23:06"</f>
        <v>2018-10-06 19:23:06</v>
      </c>
    </row>
    <row r="23909" spans="1:7" x14ac:dyDescent="0.2">
      <c r="A23909" t="s">
        <v>22193</v>
      </c>
      <c r="B23909" t="str">
        <f>"13938563861"</f>
        <v>13938563861</v>
      </c>
      <c r="C23909" t="str">
        <f>"41012119700312382X"</f>
        <v>41012119700312382X</v>
      </c>
      <c r="D23909" t="s">
        <v>1</v>
      </c>
      <c r="E23909" t="s">
        <v>1</v>
      </c>
      <c r="F23909" t="s">
        <v>0</v>
      </c>
      <c r="G23909" t="str">
        <f>"2018-10-06 14:45:25"</f>
        <v>2018-10-06 14:45:25</v>
      </c>
    </row>
    <row r="23910" spans="1:7" x14ac:dyDescent="0.2">
      <c r="A23910" t="s">
        <v>22194</v>
      </c>
      <c r="B23910" t="str">
        <f>"15129433168"</f>
        <v>15129433168</v>
      </c>
      <c r="C23910" t="str">
        <f>"612128197703295538"</f>
        <v>612128197703295538</v>
      </c>
      <c r="D23910" t="s">
        <v>1</v>
      </c>
      <c r="E23910" t="s">
        <v>1</v>
      </c>
      <c r="F23910" t="s">
        <v>0</v>
      </c>
      <c r="G23910" t="str">
        <f>"2018-10-06 14:43:22"</f>
        <v>2018-10-06 14:43:22</v>
      </c>
    </row>
    <row r="23911" spans="1:7" x14ac:dyDescent="0.2">
      <c r="A23911" t="s">
        <v>1</v>
      </c>
      <c r="B23911" t="str">
        <f>"13669709321"</f>
        <v>13669709321</v>
      </c>
      <c r="C23911" t="s">
        <v>1</v>
      </c>
      <c r="D23911" t="s">
        <v>1</v>
      </c>
      <c r="E23911" t="s">
        <v>1</v>
      </c>
      <c r="F23911" t="s">
        <v>0</v>
      </c>
      <c r="G23911" t="str">
        <f>"2018-10-06 14:43:08"</f>
        <v>2018-10-06 14:43:08</v>
      </c>
    </row>
    <row r="23912" spans="1:7" x14ac:dyDescent="0.2">
      <c r="A23912" t="s">
        <v>1</v>
      </c>
      <c r="B23912" t="str">
        <f>"18744268220"</f>
        <v>18744268220</v>
      </c>
      <c r="C23912" t="s">
        <v>1</v>
      </c>
      <c r="D23912" t="s">
        <v>1</v>
      </c>
      <c r="E23912" t="s">
        <v>1</v>
      </c>
      <c r="F23912" t="s">
        <v>0</v>
      </c>
      <c r="G23912" t="str">
        <f>"2018-10-06 14:42:27"</f>
        <v>2018-10-06 14:42:27</v>
      </c>
    </row>
    <row r="23913" spans="1:7" x14ac:dyDescent="0.2">
      <c r="A23913" t="s">
        <v>1</v>
      </c>
      <c r="B23913" t="str">
        <f>"18685005992"</f>
        <v>18685005992</v>
      </c>
      <c r="C23913" t="s">
        <v>1</v>
      </c>
      <c r="D23913" t="s">
        <v>1</v>
      </c>
      <c r="E23913" t="s">
        <v>1</v>
      </c>
      <c r="F23913" t="s">
        <v>0</v>
      </c>
      <c r="G23913" t="str">
        <f>"2018-10-06 14:42:24"</f>
        <v>2018-10-06 14:42:24</v>
      </c>
    </row>
    <row r="23914" spans="1:7" x14ac:dyDescent="0.2">
      <c r="A23914" t="s">
        <v>22195</v>
      </c>
      <c r="B23914" t="str">
        <f>"15392676695"</f>
        <v>15392676695</v>
      </c>
      <c r="C23914" t="str">
        <f>"14032119741009091X"</f>
        <v>14032119741009091X</v>
      </c>
      <c r="D23914" t="s">
        <v>1</v>
      </c>
      <c r="E23914" t="s">
        <v>1</v>
      </c>
      <c r="F23914" t="s">
        <v>0</v>
      </c>
      <c r="G23914" t="str">
        <f>"2018-11-02 15:38:36"</f>
        <v>2018-11-02 15:38:36</v>
      </c>
    </row>
    <row r="23915" spans="1:7" x14ac:dyDescent="0.2">
      <c r="A23915" t="s">
        <v>22196</v>
      </c>
      <c r="B23915" t="str">
        <f>"13530301607"</f>
        <v>13530301607</v>
      </c>
      <c r="C23915" t="str">
        <f>"430426198107186311"</f>
        <v>430426198107186311</v>
      </c>
      <c r="D23915" t="s">
        <v>22197</v>
      </c>
      <c r="E23915" t="s">
        <v>22198</v>
      </c>
      <c r="F23915" t="s">
        <v>0</v>
      </c>
      <c r="G23915" t="str">
        <f>"2018-10-06 14:45:07"</f>
        <v>2018-10-06 14:45:07</v>
      </c>
    </row>
    <row r="23916" spans="1:7" x14ac:dyDescent="0.2">
      <c r="A23916" t="s">
        <v>1</v>
      </c>
      <c r="B23916" t="str">
        <f>"13760457343"</f>
        <v>13760457343</v>
      </c>
      <c r="C23916" t="s">
        <v>1</v>
      </c>
      <c r="D23916" t="s">
        <v>1</v>
      </c>
      <c r="E23916" t="s">
        <v>1</v>
      </c>
      <c r="F23916" t="s">
        <v>0</v>
      </c>
      <c r="G23916" t="str">
        <f>"2018-10-06 14:42:10"</f>
        <v>2018-10-06 14:42:10</v>
      </c>
    </row>
    <row r="23917" spans="1:7" x14ac:dyDescent="0.2">
      <c r="A23917" t="s">
        <v>1</v>
      </c>
      <c r="B23917" t="str">
        <f>"15677715594"</f>
        <v>15677715594</v>
      </c>
      <c r="C23917" t="s">
        <v>1</v>
      </c>
      <c r="D23917" t="s">
        <v>1</v>
      </c>
      <c r="E23917" t="s">
        <v>1</v>
      </c>
      <c r="F23917" t="s">
        <v>0</v>
      </c>
      <c r="G23917" t="str">
        <f>"2018-10-06 14:42:09"</f>
        <v>2018-10-06 14:42:09</v>
      </c>
    </row>
    <row r="23918" spans="1:7" x14ac:dyDescent="0.2">
      <c r="A23918" t="s">
        <v>22199</v>
      </c>
      <c r="B23918" t="str">
        <f>"15265658999"</f>
        <v>15265658999</v>
      </c>
      <c r="C23918" t="str">
        <f>"320611198610181535"</f>
        <v>320611198610181535</v>
      </c>
      <c r="D23918" t="s">
        <v>1</v>
      </c>
      <c r="E23918" t="s">
        <v>1</v>
      </c>
      <c r="F23918" t="s">
        <v>0</v>
      </c>
      <c r="G23918" t="str">
        <f>"2018-10-06 14:44:16"</f>
        <v>2018-10-06 14:44:16</v>
      </c>
    </row>
    <row r="23919" spans="1:7" x14ac:dyDescent="0.2">
      <c r="A23919" t="s">
        <v>22200</v>
      </c>
      <c r="B23919" t="str">
        <f>"18244553918"</f>
        <v>18244553918</v>
      </c>
      <c r="C23919" t="str">
        <f>"130823199706090019"</f>
        <v>130823199706090019</v>
      </c>
      <c r="D23919" t="s">
        <v>1</v>
      </c>
      <c r="E23919" t="s">
        <v>1</v>
      </c>
      <c r="F23919" t="s">
        <v>0</v>
      </c>
      <c r="G23919" t="str">
        <f>"2018-10-06 15:37:18"</f>
        <v>2018-10-06 15:37:18</v>
      </c>
    </row>
    <row r="23920" spans="1:7" x14ac:dyDescent="0.2">
      <c r="A23920" t="s">
        <v>22201</v>
      </c>
      <c r="B23920" t="str">
        <f>"15605828121"</f>
        <v>15605828121</v>
      </c>
      <c r="C23920" t="str">
        <f>"511321199412183377"</f>
        <v>511321199412183377</v>
      </c>
      <c r="D23920" t="s">
        <v>22202</v>
      </c>
      <c r="E23920" t="s">
        <v>22203</v>
      </c>
      <c r="F23920" t="s">
        <v>0</v>
      </c>
      <c r="G23920" t="str">
        <f>"2018-10-06 14:48:14"</f>
        <v>2018-10-06 14:48:14</v>
      </c>
    </row>
    <row r="23921" spans="1:7" x14ac:dyDescent="0.2">
      <c r="A23921" t="s">
        <v>22204</v>
      </c>
      <c r="B23921" t="str">
        <f>"15128105135"</f>
        <v>15128105135</v>
      </c>
      <c r="C23921" t="str">
        <f>"130132198501084735"</f>
        <v>130132198501084735</v>
      </c>
      <c r="D23921" t="s">
        <v>1</v>
      </c>
      <c r="E23921" t="s">
        <v>1</v>
      </c>
      <c r="F23921" t="s">
        <v>0</v>
      </c>
      <c r="G23921" t="str">
        <f>"2018-10-06 14:42:47"</f>
        <v>2018-10-06 14:42:47</v>
      </c>
    </row>
    <row r="23922" spans="1:7" x14ac:dyDescent="0.2">
      <c r="A23922" t="s">
        <v>22205</v>
      </c>
      <c r="B23922" t="str">
        <f>"15040552802"</f>
        <v>15040552802</v>
      </c>
      <c r="C23922" t="str">
        <f>"210213199709173615"</f>
        <v>210213199709173615</v>
      </c>
      <c r="D23922" t="s">
        <v>22206</v>
      </c>
      <c r="E23922" t="s">
        <v>22207</v>
      </c>
      <c r="F23922" t="s">
        <v>0</v>
      </c>
      <c r="G23922" t="str">
        <f>"2018-10-06 14:45:23"</f>
        <v>2018-10-06 14:45:23</v>
      </c>
    </row>
    <row r="23923" spans="1:7" x14ac:dyDescent="0.2">
      <c r="A23923" t="s">
        <v>1297</v>
      </c>
      <c r="B23923" t="str">
        <f>"18100800147"</f>
        <v>18100800147</v>
      </c>
      <c r="C23923" t="str">
        <f>"513023199111207118"</f>
        <v>513023199111207118</v>
      </c>
      <c r="D23923" t="s">
        <v>1</v>
      </c>
      <c r="E23923" t="s">
        <v>1</v>
      </c>
      <c r="F23923" t="s">
        <v>0</v>
      </c>
      <c r="G23923" t="str">
        <f>"2018-10-06 15:32:39"</f>
        <v>2018-10-06 15:32:39</v>
      </c>
    </row>
    <row r="23924" spans="1:7" x14ac:dyDescent="0.2">
      <c r="A23924" t="s">
        <v>22208</v>
      </c>
      <c r="B23924" t="str">
        <f>"15502161129"</f>
        <v>15502161129</v>
      </c>
      <c r="C23924" t="str">
        <f>"362233199207160013"</f>
        <v>362233199207160013</v>
      </c>
      <c r="D23924" t="s">
        <v>1</v>
      </c>
      <c r="E23924" t="s">
        <v>1</v>
      </c>
      <c r="F23924" t="s">
        <v>0</v>
      </c>
      <c r="G23924" t="str">
        <f>"2018-10-06 14:41:55"</f>
        <v>2018-10-06 14:41:55</v>
      </c>
    </row>
    <row r="23925" spans="1:7" x14ac:dyDescent="0.2">
      <c r="A23925" t="s">
        <v>1</v>
      </c>
      <c r="B23925" t="str">
        <f>"15191155137"</f>
        <v>15191155137</v>
      </c>
      <c r="C23925" t="s">
        <v>1</v>
      </c>
      <c r="D23925" t="s">
        <v>1</v>
      </c>
      <c r="E23925" t="s">
        <v>1</v>
      </c>
      <c r="F23925" t="s">
        <v>0</v>
      </c>
      <c r="G23925" t="str">
        <f>"2018-10-06 14:40:34"</f>
        <v>2018-10-06 14:40:34</v>
      </c>
    </row>
    <row r="23926" spans="1:7" x14ac:dyDescent="0.2">
      <c r="A23926" t="s">
        <v>22209</v>
      </c>
      <c r="B23926" t="str">
        <f>"13760829493"</f>
        <v>13760829493</v>
      </c>
      <c r="C23926" t="str">
        <f>"440181199103300038"</f>
        <v>440181199103300038</v>
      </c>
      <c r="D23926" t="s">
        <v>1</v>
      </c>
      <c r="E23926" t="s">
        <v>1</v>
      </c>
      <c r="F23926" t="s">
        <v>0</v>
      </c>
      <c r="G23926" t="str">
        <f>"2018-10-06 14:48:09"</f>
        <v>2018-10-06 14:48:09</v>
      </c>
    </row>
    <row r="23927" spans="1:7" x14ac:dyDescent="0.2">
      <c r="A23927" t="s">
        <v>22210</v>
      </c>
      <c r="B23927" t="str">
        <f>"13017987912"</f>
        <v>13017987912</v>
      </c>
      <c r="C23927" t="str">
        <f>"411321199811114113"</f>
        <v>411321199811114113</v>
      </c>
      <c r="D23927" t="s">
        <v>22211</v>
      </c>
      <c r="E23927" t="s">
        <v>22212</v>
      </c>
      <c r="F23927" t="s">
        <v>0</v>
      </c>
      <c r="G23927" t="str">
        <f>"2018-10-06 14:42:09"</f>
        <v>2018-10-06 14:42:09</v>
      </c>
    </row>
    <row r="23928" spans="1:7" x14ac:dyDescent="0.2">
      <c r="A23928" t="s">
        <v>1551</v>
      </c>
      <c r="B23928" t="str">
        <f>"18962641393"</f>
        <v>18962641393</v>
      </c>
      <c r="C23928" t="str">
        <f>"500235198812265860"</f>
        <v>500235198812265860</v>
      </c>
      <c r="D23928" t="s">
        <v>1</v>
      </c>
      <c r="E23928" t="s">
        <v>1</v>
      </c>
      <c r="F23928" t="s">
        <v>0</v>
      </c>
      <c r="G23928" t="str">
        <f>"2018-10-06 14:43:01"</f>
        <v>2018-10-06 14:43:01</v>
      </c>
    </row>
    <row r="23929" spans="1:7" x14ac:dyDescent="0.2">
      <c r="A23929" t="s">
        <v>22213</v>
      </c>
      <c r="B23929" t="str">
        <f>"18260431609"</f>
        <v>18260431609</v>
      </c>
      <c r="C23929" t="str">
        <f>"320829198307071020"</f>
        <v>320829198307071020</v>
      </c>
      <c r="D23929" t="s">
        <v>1</v>
      </c>
      <c r="E23929" t="s">
        <v>1</v>
      </c>
      <c r="F23929" t="s">
        <v>0</v>
      </c>
      <c r="G23929" t="str">
        <f>"2018-10-06 14:42:04"</f>
        <v>2018-10-06 14:42:04</v>
      </c>
    </row>
    <row r="23930" spans="1:7" x14ac:dyDescent="0.2">
      <c r="A23930" t="s">
        <v>22214</v>
      </c>
      <c r="B23930" t="str">
        <f>"17739795789"</f>
        <v>17739795789</v>
      </c>
      <c r="C23930" t="str">
        <f>"410603198812081016"</f>
        <v>410603198812081016</v>
      </c>
      <c r="D23930" t="s">
        <v>1</v>
      </c>
      <c r="E23930" t="s">
        <v>1</v>
      </c>
      <c r="F23930" t="s">
        <v>0</v>
      </c>
      <c r="G23930" t="str">
        <f>"2018-10-18 20:34:31"</f>
        <v>2018-10-18 20:34:31</v>
      </c>
    </row>
    <row r="23931" spans="1:7" x14ac:dyDescent="0.2">
      <c r="A23931" t="s">
        <v>22215</v>
      </c>
      <c r="B23931" t="str">
        <f>"13140004662"</f>
        <v>13140004662</v>
      </c>
      <c r="C23931" t="str">
        <f>"410181199904227525"</f>
        <v>410181199904227525</v>
      </c>
      <c r="D23931" t="s">
        <v>1</v>
      </c>
      <c r="E23931" t="s">
        <v>1</v>
      </c>
      <c r="F23931" t="s">
        <v>0</v>
      </c>
      <c r="G23931" t="str">
        <f>"2018-10-30 14:59:27"</f>
        <v>2018-10-30 14:59:27</v>
      </c>
    </row>
    <row r="23932" spans="1:7" x14ac:dyDescent="0.2">
      <c r="A23932" t="s">
        <v>1</v>
      </c>
      <c r="B23932" t="str">
        <f>"15908960992"</f>
        <v>15908960992</v>
      </c>
      <c r="C23932" t="s">
        <v>1</v>
      </c>
      <c r="D23932" t="s">
        <v>1</v>
      </c>
      <c r="E23932" t="s">
        <v>1</v>
      </c>
      <c r="F23932" t="s">
        <v>0</v>
      </c>
      <c r="G23932" t="str">
        <f>"2018-10-06 14:39:16"</f>
        <v>2018-10-06 14:39:16</v>
      </c>
    </row>
    <row r="23933" spans="1:7" x14ac:dyDescent="0.2">
      <c r="A23933" t="s">
        <v>1</v>
      </c>
      <c r="B23933" t="str">
        <f>"15208224115"</f>
        <v>15208224115</v>
      </c>
      <c r="C23933" t="s">
        <v>1</v>
      </c>
      <c r="D23933" t="s">
        <v>1</v>
      </c>
      <c r="E23933" t="s">
        <v>1</v>
      </c>
      <c r="F23933" t="s">
        <v>0</v>
      </c>
      <c r="G23933" t="str">
        <f>"2018-10-06 14:39:13"</f>
        <v>2018-10-06 14:39:13</v>
      </c>
    </row>
    <row r="23934" spans="1:7" x14ac:dyDescent="0.2">
      <c r="A23934" t="s">
        <v>22216</v>
      </c>
      <c r="B23934" t="str">
        <f>"13039670990"</f>
        <v>13039670990</v>
      </c>
      <c r="C23934" t="str">
        <f>"230712198309030519"</f>
        <v>230712198309030519</v>
      </c>
      <c r="D23934" t="s">
        <v>1</v>
      </c>
      <c r="E23934" t="s">
        <v>1</v>
      </c>
      <c r="F23934" t="s">
        <v>0</v>
      </c>
      <c r="G23934" t="str">
        <f>"2018-10-06 14:41:40"</f>
        <v>2018-10-06 14:41:40</v>
      </c>
    </row>
    <row r="23935" spans="1:7" x14ac:dyDescent="0.2">
      <c r="A23935" t="s">
        <v>22217</v>
      </c>
      <c r="B23935" t="str">
        <f>"13726529386"</f>
        <v>13726529386</v>
      </c>
      <c r="C23935" t="str">
        <f>"440582199801030942"</f>
        <v>440582199801030942</v>
      </c>
      <c r="D23935" t="s">
        <v>1</v>
      </c>
      <c r="E23935" t="s">
        <v>1</v>
      </c>
      <c r="F23935" t="s">
        <v>0</v>
      </c>
      <c r="G23935" t="str">
        <f>"2018-10-06 18:08:12"</f>
        <v>2018-10-06 18:08:12</v>
      </c>
    </row>
    <row r="23936" spans="1:7" x14ac:dyDescent="0.2">
      <c r="A23936" t="s">
        <v>22218</v>
      </c>
      <c r="B23936" t="str">
        <f>"13909793496"</f>
        <v>13909793496</v>
      </c>
      <c r="C23936" t="str">
        <f>"411023198201173521"</f>
        <v>411023198201173521</v>
      </c>
      <c r="D23936" t="s">
        <v>1</v>
      </c>
      <c r="E23936" t="s">
        <v>1</v>
      </c>
      <c r="F23936" t="s">
        <v>0</v>
      </c>
      <c r="G23936" t="str">
        <f>"2018-10-17 13:40:59"</f>
        <v>2018-10-17 13:40:59</v>
      </c>
    </row>
    <row r="23937" spans="1:7" x14ac:dyDescent="0.2">
      <c r="A23937" t="s">
        <v>1</v>
      </c>
      <c r="B23937" t="str">
        <f>"17689339715"</f>
        <v>17689339715</v>
      </c>
      <c r="C23937" t="s">
        <v>1</v>
      </c>
      <c r="D23937" t="s">
        <v>1</v>
      </c>
      <c r="E23937" t="s">
        <v>1</v>
      </c>
      <c r="F23937" t="s">
        <v>0</v>
      </c>
      <c r="G23937" t="str">
        <f>"2018-10-06 14:38:36"</f>
        <v>2018-10-06 14:38:36</v>
      </c>
    </row>
    <row r="23938" spans="1:7" x14ac:dyDescent="0.2">
      <c r="A23938" t="s">
        <v>22219</v>
      </c>
      <c r="B23938" t="str">
        <f>"15130066707"</f>
        <v>15130066707</v>
      </c>
      <c r="C23938" t="str">
        <f>"130181198810318248"</f>
        <v>130181198810318248</v>
      </c>
      <c r="D23938" t="s">
        <v>1</v>
      </c>
      <c r="E23938" t="s">
        <v>1</v>
      </c>
      <c r="F23938" t="s">
        <v>0</v>
      </c>
      <c r="G23938" t="str">
        <f>"2018-10-06 14:55:08"</f>
        <v>2018-10-06 14:55:08</v>
      </c>
    </row>
    <row r="23939" spans="1:7" x14ac:dyDescent="0.2">
      <c r="A23939" t="s">
        <v>22220</v>
      </c>
      <c r="B23939" t="str">
        <f>"13634034028"</f>
        <v>13634034028</v>
      </c>
      <c r="C23939" t="str">
        <f>"422825197204080413"</f>
        <v>422825197204080413</v>
      </c>
      <c r="D23939" t="s">
        <v>1</v>
      </c>
      <c r="E23939" t="s">
        <v>1</v>
      </c>
      <c r="F23939" t="s">
        <v>0</v>
      </c>
      <c r="G23939" t="str">
        <f>"2018-10-06 14:37:15"</f>
        <v>2018-10-06 14:37:15</v>
      </c>
    </row>
    <row r="23940" spans="1:7" x14ac:dyDescent="0.2">
      <c r="A23940" t="s">
        <v>1</v>
      </c>
      <c r="B23940" t="str">
        <f>"15195112476"</f>
        <v>15195112476</v>
      </c>
      <c r="C23940" t="s">
        <v>1</v>
      </c>
      <c r="D23940" t="s">
        <v>1</v>
      </c>
      <c r="E23940" t="s">
        <v>1</v>
      </c>
      <c r="F23940" t="s">
        <v>0</v>
      </c>
      <c r="G23940" t="str">
        <f>"2018-10-06 14:36:48"</f>
        <v>2018-10-06 14:36:48</v>
      </c>
    </row>
    <row r="23941" spans="1:7" x14ac:dyDescent="0.2">
      <c r="A23941" t="s">
        <v>22221</v>
      </c>
      <c r="B23941" t="str">
        <f>"15536917055"</f>
        <v>15536917055</v>
      </c>
      <c r="C23941" t="str">
        <f>"14010319811203331X"</f>
        <v>14010319811203331X</v>
      </c>
      <c r="D23941" t="s">
        <v>1</v>
      </c>
      <c r="E23941" t="s">
        <v>1</v>
      </c>
      <c r="F23941" t="s">
        <v>0</v>
      </c>
      <c r="G23941" t="str">
        <f>"2018-10-06 14:36:43"</f>
        <v>2018-10-06 14:36:43</v>
      </c>
    </row>
    <row r="23942" spans="1:7" x14ac:dyDescent="0.2">
      <c r="A23942" t="s">
        <v>22222</v>
      </c>
      <c r="B23942" t="str">
        <f>"15709485772"</f>
        <v>15709485772</v>
      </c>
      <c r="C23942" t="str">
        <f>"612327199502080139"</f>
        <v>612327199502080139</v>
      </c>
      <c r="D23942" t="s">
        <v>22223</v>
      </c>
      <c r="E23942" t="s">
        <v>22224</v>
      </c>
      <c r="F23942" t="s">
        <v>0</v>
      </c>
      <c r="G23942" t="str">
        <f>"2018-10-06 14:38:23"</f>
        <v>2018-10-06 14:38:23</v>
      </c>
    </row>
    <row r="23943" spans="1:7" x14ac:dyDescent="0.2">
      <c r="A23943" t="s">
        <v>1</v>
      </c>
      <c r="B23943" t="str">
        <f>"13546720630"</f>
        <v>13546720630</v>
      </c>
      <c r="C23943" t="s">
        <v>1</v>
      </c>
      <c r="D23943" t="s">
        <v>1</v>
      </c>
      <c r="E23943" t="s">
        <v>1</v>
      </c>
      <c r="F23943" t="s">
        <v>0</v>
      </c>
      <c r="G23943" t="str">
        <f>"2018-10-06 20:09:25"</f>
        <v>2018-10-06 20:09:25</v>
      </c>
    </row>
    <row r="23944" spans="1:7" x14ac:dyDescent="0.2">
      <c r="A23944" t="s">
        <v>22225</v>
      </c>
      <c r="B23944" t="str">
        <f>"18778858640"</f>
        <v>18778858640</v>
      </c>
      <c r="C23944" t="str">
        <f>"220621199603291414"</f>
        <v>220621199603291414</v>
      </c>
      <c r="D23944" t="s">
        <v>1</v>
      </c>
      <c r="E23944" t="s">
        <v>1</v>
      </c>
      <c r="F23944" t="s">
        <v>0</v>
      </c>
      <c r="G23944" t="str">
        <f>"2018-10-06 15:53:37"</f>
        <v>2018-10-06 15:53:37</v>
      </c>
    </row>
    <row r="23945" spans="1:7" x14ac:dyDescent="0.2">
      <c r="A23945" t="s">
        <v>22226</v>
      </c>
      <c r="B23945" t="str">
        <f>"15168706623"</f>
        <v>15168706623</v>
      </c>
      <c r="C23945" t="str">
        <f>"230421198802220033"</f>
        <v>230421198802220033</v>
      </c>
      <c r="D23945" t="s">
        <v>1</v>
      </c>
      <c r="E23945" t="s">
        <v>1</v>
      </c>
      <c r="F23945" t="s">
        <v>0</v>
      </c>
      <c r="G23945" t="str">
        <f>"2018-10-13 10:55:44"</f>
        <v>2018-10-13 10:55:44</v>
      </c>
    </row>
    <row r="23946" spans="1:7" x14ac:dyDescent="0.2">
      <c r="A23946" t="s">
        <v>1</v>
      </c>
      <c r="B23946" t="str">
        <f>"18973679003"</f>
        <v>18973679003</v>
      </c>
      <c r="C23946" t="s">
        <v>1</v>
      </c>
      <c r="D23946" t="s">
        <v>1</v>
      </c>
      <c r="E23946" t="s">
        <v>1</v>
      </c>
      <c r="F23946" t="s">
        <v>0</v>
      </c>
      <c r="G23946" t="str">
        <f>"2018-10-06 14:35:05"</f>
        <v>2018-10-06 14:35:05</v>
      </c>
    </row>
    <row r="23947" spans="1:7" x14ac:dyDescent="0.2">
      <c r="A23947" t="s">
        <v>22227</v>
      </c>
      <c r="B23947" t="str">
        <f>"15269100970"</f>
        <v>15269100970</v>
      </c>
      <c r="C23947" t="str">
        <f>"370726197304261822"</f>
        <v>370726197304261822</v>
      </c>
      <c r="D23947" t="s">
        <v>1</v>
      </c>
      <c r="E23947" t="s">
        <v>1</v>
      </c>
      <c r="F23947" t="s">
        <v>0</v>
      </c>
      <c r="G23947" t="str">
        <f>"2018-10-08 17:44:23"</f>
        <v>2018-10-08 17:44:23</v>
      </c>
    </row>
    <row r="23948" spans="1:7" x14ac:dyDescent="0.2">
      <c r="A23948" t="s">
        <v>521</v>
      </c>
      <c r="B23948" t="str">
        <f>"18370131862"</f>
        <v>18370131862</v>
      </c>
      <c r="C23948" t="str">
        <f>"360421198001065239"</f>
        <v>360421198001065239</v>
      </c>
      <c r="D23948" t="s">
        <v>1</v>
      </c>
      <c r="E23948" t="s">
        <v>1</v>
      </c>
      <c r="F23948" t="s">
        <v>0</v>
      </c>
      <c r="G23948" t="str">
        <f>"2018-10-06 14:52:43"</f>
        <v>2018-10-06 14:52:43</v>
      </c>
    </row>
    <row r="23949" spans="1:7" x14ac:dyDescent="0.2">
      <c r="A23949" t="s">
        <v>22228</v>
      </c>
      <c r="B23949" t="str">
        <f>"13206074936"</f>
        <v>13206074936</v>
      </c>
      <c r="C23949" t="str">
        <f>"500382199601215331"</f>
        <v>500382199601215331</v>
      </c>
      <c r="D23949" t="s">
        <v>1</v>
      </c>
      <c r="E23949" t="s">
        <v>1</v>
      </c>
      <c r="F23949" t="s">
        <v>0</v>
      </c>
      <c r="G23949" t="str">
        <f>"2018-10-06 14:38:51"</f>
        <v>2018-10-06 14:38:51</v>
      </c>
    </row>
    <row r="23950" spans="1:7" x14ac:dyDescent="0.2">
      <c r="A23950" t="s">
        <v>22229</v>
      </c>
      <c r="B23950" t="str">
        <f>"13098995256"</f>
        <v>13098995256</v>
      </c>
      <c r="C23950" t="str">
        <f>"460027198209164754"</f>
        <v>460027198209164754</v>
      </c>
      <c r="D23950" t="s">
        <v>1</v>
      </c>
      <c r="E23950" t="s">
        <v>1</v>
      </c>
      <c r="F23950" t="s">
        <v>0</v>
      </c>
      <c r="G23950" t="str">
        <f>"2018-10-14 18:15:15"</f>
        <v>2018-10-14 18:15:15</v>
      </c>
    </row>
    <row r="23951" spans="1:7" x14ac:dyDescent="0.2">
      <c r="A23951" t="s">
        <v>1</v>
      </c>
      <c r="B23951" t="str">
        <f>"18817917232"</f>
        <v>18817917232</v>
      </c>
      <c r="C23951" t="s">
        <v>1</v>
      </c>
      <c r="D23951" t="s">
        <v>1</v>
      </c>
      <c r="E23951" t="s">
        <v>1</v>
      </c>
      <c r="F23951" t="s">
        <v>0</v>
      </c>
      <c r="G23951" t="str">
        <f>"2018-10-06 14:33:32"</f>
        <v>2018-10-06 14:33:32</v>
      </c>
    </row>
    <row r="23952" spans="1:7" x14ac:dyDescent="0.2">
      <c r="A23952" t="s">
        <v>1</v>
      </c>
      <c r="B23952" t="str">
        <f>"18178779649"</f>
        <v>18178779649</v>
      </c>
      <c r="C23952" t="s">
        <v>1</v>
      </c>
      <c r="D23952" t="s">
        <v>1</v>
      </c>
      <c r="E23952" t="s">
        <v>1</v>
      </c>
      <c r="F23952" t="s">
        <v>0</v>
      </c>
      <c r="G23952" t="str">
        <f>"2018-10-06 14:33:09"</f>
        <v>2018-10-06 14:33:09</v>
      </c>
    </row>
    <row r="23953" spans="1:7" x14ac:dyDescent="0.2">
      <c r="A23953" t="s">
        <v>22230</v>
      </c>
      <c r="B23953" t="str">
        <f>"15378368707"</f>
        <v>15378368707</v>
      </c>
      <c r="C23953" t="str">
        <f>"510403199110083727"</f>
        <v>510403199110083727</v>
      </c>
      <c r="D23953" t="s">
        <v>1</v>
      </c>
      <c r="E23953" t="s">
        <v>1</v>
      </c>
      <c r="F23953" t="s">
        <v>0</v>
      </c>
      <c r="G23953" t="str">
        <f>"2018-10-06 14:34:09"</f>
        <v>2018-10-06 14:34:09</v>
      </c>
    </row>
    <row r="23954" spans="1:7" x14ac:dyDescent="0.2">
      <c r="A23954" t="s">
        <v>22231</v>
      </c>
      <c r="B23954" t="str">
        <f>"15567810810"</f>
        <v>15567810810</v>
      </c>
      <c r="C23954" t="str">
        <f>"421022199410273641"</f>
        <v>421022199410273641</v>
      </c>
      <c r="D23954" t="s">
        <v>1</v>
      </c>
      <c r="E23954" t="s">
        <v>1</v>
      </c>
      <c r="F23954" t="s">
        <v>0</v>
      </c>
      <c r="G23954" t="str">
        <f>"2018-10-06 14:35:36"</f>
        <v>2018-10-06 14:35:36</v>
      </c>
    </row>
    <row r="23955" spans="1:7" x14ac:dyDescent="0.2">
      <c r="A23955" t="s">
        <v>22232</v>
      </c>
      <c r="B23955" t="str">
        <f>"15280888574"</f>
        <v>15280888574</v>
      </c>
      <c r="C23955" t="str">
        <f>"350521198203254015"</f>
        <v>350521198203254015</v>
      </c>
      <c r="D23955" t="s">
        <v>22233</v>
      </c>
      <c r="E23955" t="s">
        <v>22234</v>
      </c>
      <c r="F23955" t="s">
        <v>0</v>
      </c>
      <c r="G23955" t="str">
        <f>"2018-10-06 17:02:49"</f>
        <v>2018-10-06 17:02:49</v>
      </c>
    </row>
    <row r="23956" spans="1:7" x14ac:dyDescent="0.2">
      <c r="A23956" t="s">
        <v>1</v>
      </c>
      <c r="B23956" t="str">
        <f>"13934669586"</f>
        <v>13934669586</v>
      </c>
      <c r="C23956" t="s">
        <v>1</v>
      </c>
      <c r="D23956" t="s">
        <v>1</v>
      </c>
      <c r="E23956" t="s">
        <v>1</v>
      </c>
      <c r="F23956" t="s">
        <v>0</v>
      </c>
      <c r="G23956" t="str">
        <f>"2018-10-06 14:32:33"</f>
        <v>2018-10-06 14:32:33</v>
      </c>
    </row>
    <row r="23957" spans="1:7" x14ac:dyDescent="0.2">
      <c r="A23957" t="s">
        <v>22235</v>
      </c>
      <c r="B23957" t="str">
        <f>"13847322496"</f>
        <v>13847322496</v>
      </c>
      <c r="C23957" t="str">
        <f>"150304198306033528"</f>
        <v>150304198306033528</v>
      </c>
      <c r="D23957" t="s">
        <v>1</v>
      </c>
      <c r="E23957" t="s">
        <v>1</v>
      </c>
      <c r="F23957" t="s">
        <v>0</v>
      </c>
      <c r="G23957" t="str">
        <f>"2018-10-06 14:41:14"</f>
        <v>2018-10-06 14:41:14</v>
      </c>
    </row>
    <row r="23958" spans="1:7" x14ac:dyDescent="0.2">
      <c r="A23958" t="s">
        <v>22236</v>
      </c>
      <c r="B23958" t="str">
        <f>"18865539739"</f>
        <v>18865539739</v>
      </c>
      <c r="C23958" t="str">
        <f>"370321199504153039"</f>
        <v>370321199504153039</v>
      </c>
      <c r="D23958" t="s">
        <v>1</v>
      </c>
      <c r="E23958" t="s">
        <v>1</v>
      </c>
      <c r="F23958" t="s">
        <v>0</v>
      </c>
      <c r="G23958" t="str">
        <f>"2018-10-10 21:46:57"</f>
        <v>2018-10-10 21:46:57</v>
      </c>
    </row>
    <row r="23959" spans="1:7" x14ac:dyDescent="0.2">
      <c r="A23959" t="s">
        <v>22237</v>
      </c>
      <c r="B23959" t="str">
        <f>"13338228177"</f>
        <v>13338228177</v>
      </c>
      <c r="C23959" t="str">
        <f>"352201198204255810"</f>
        <v>352201198204255810</v>
      </c>
      <c r="D23959" t="s">
        <v>1</v>
      </c>
      <c r="E23959" t="s">
        <v>1</v>
      </c>
      <c r="F23959" t="s">
        <v>0</v>
      </c>
      <c r="G23959" t="str">
        <f>"2018-10-06 14:33:32"</f>
        <v>2018-10-06 14:33:32</v>
      </c>
    </row>
    <row r="23960" spans="1:7" x14ac:dyDescent="0.2">
      <c r="A23960" t="s">
        <v>22238</v>
      </c>
      <c r="B23960" t="str">
        <f>"18885250844"</f>
        <v>18885250844</v>
      </c>
      <c r="C23960" t="str">
        <f>"522121199004197077"</f>
        <v>522121199004197077</v>
      </c>
      <c r="D23960" t="s">
        <v>1</v>
      </c>
      <c r="E23960" t="s">
        <v>1</v>
      </c>
      <c r="F23960" t="s">
        <v>0</v>
      </c>
      <c r="G23960" t="str">
        <f>"2018-10-06 14:32:28"</f>
        <v>2018-10-06 14:32:28</v>
      </c>
    </row>
    <row r="23961" spans="1:7" x14ac:dyDescent="0.2">
      <c r="A23961" t="s">
        <v>50</v>
      </c>
      <c r="B23961" t="str">
        <f>"18762371850"</f>
        <v>18762371850</v>
      </c>
      <c r="C23961" t="str">
        <f>"320922198706101427"</f>
        <v>320922198706101427</v>
      </c>
      <c r="D23961" t="s">
        <v>1</v>
      </c>
      <c r="E23961" t="s">
        <v>1</v>
      </c>
      <c r="F23961" t="s">
        <v>0</v>
      </c>
      <c r="G23961" t="str">
        <f>"2018-10-08 14:46:25"</f>
        <v>2018-10-08 14:46:25</v>
      </c>
    </row>
    <row r="23962" spans="1:7" x14ac:dyDescent="0.2">
      <c r="A23962" t="s">
        <v>22239</v>
      </c>
      <c r="B23962" t="str">
        <f>"18889297895"</f>
        <v>18889297895</v>
      </c>
      <c r="C23962" t="str">
        <f>"460007197210287612"</f>
        <v>460007197210287612</v>
      </c>
      <c r="D23962" t="s">
        <v>1</v>
      </c>
      <c r="E23962" t="s">
        <v>1</v>
      </c>
      <c r="F23962" t="s">
        <v>0</v>
      </c>
      <c r="G23962" t="str">
        <f>"2018-10-07 15:19:20"</f>
        <v>2018-10-07 15:19:20</v>
      </c>
    </row>
    <row r="23963" spans="1:7" x14ac:dyDescent="0.2">
      <c r="A23963" t="s">
        <v>1</v>
      </c>
      <c r="B23963" t="str">
        <f>"15217830644"</f>
        <v>15217830644</v>
      </c>
      <c r="C23963" t="s">
        <v>1</v>
      </c>
      <c r="D23963" t="s">
        <v>1</v>
      </c>
      <c r="E23963" t="s">
        <v>1</v>
      </c>
      <c r="F23963" t="s">
        <v>0</v>
      </c>
      <c r="G23963" t="str">
        <f>"2018-10-06 14:30:47"</f>
        <v>2018-10-06 14:30:47</v>
      </c>
    </row>
    <row r="23964" spans="1:7" x14ac:dyDescent="0.2">
      <c r="A23964" t="s">
        <v>489</v>
      </c>
      <c r="B23964" t="str">
        <f>"18239881628"</f>
        <v>18239881628</v>
      </c>
      <c r="C23964" t="str">
        <f>"411282199711294556"</f>
        <v>411282199711294556</v>
      </c>
      <c r="D23964" t="s">
        <v>1</v>
      </c>
      <c r="E23964" t="s">
        <v>1</v>
      </c>
      <c r="F23964" t="s">
        <v>0</v>
      </c>
      <c r="G23964" t="str">
        <f>"2018-10-12 15:50:51"</f>
        <v>2018-10-12 15:50:51</v>
      </c>
    </row>
    <row r="23965" spans="1:7" x14ac:dyDescent="0.2">
      <c r="A23965" t="s">
        <v>22240</v>
      </c>
      <c r="B23965" t="str">
        <f>"13080033411"</f>
        <v>13080033411</v>
      </c>
      <c r="C23965" t="str">
        <f>"22038119930616083X"</f>
        <v>22038119930616083X</v>
      </c>
      <c r="D23965" t="s">
        <v>1</v>
      </c>
      <c r="E23965" t="s">
        <v>1</v>
      </c>
      <c r="F23965" t="s">
        <v>0</v>
      </c>
      <c r="G23965" t="str">
        <f>"2018-10-08 15:13:40"</f>
        <v>2018-10-08 15:13:40</v>
      </c>
    </row>
    <row r="23966" spans="1:7" x14ac:dyDescent="0.2">
      <c r="A23966" t="s">
        <v>1</v>
      </c>
      <c r="B23966" t="str">
        <f>"15678833048"</f>
        <v>15678833048</v>
      </c>
      <c r="C23966" t="s">
        <v>1</v>
      </c>
      <c r="D23966" t="s">
        <v>1</v>
      </c>
      <c r="E23966" t="s">
        <v>1</v>
      </c>
      <c r="F23966" t="s">
        <v>0</v>
      </c>
      <c r="G23966" t="str">
        <f>"2018-10-06 14:30:04"</f>
        <v>2018-10-06 14:30:04</v>
      </c>
    </row>
    <row r="23967" spans="1:7" x14ac:dyDescent="0.2">
      <c r="A23967" t="s">
        <v>1</v>
      </c>
      <c r="B23967" t="str">
        <f>"13452555730"</f>
        <v>13452555730</v>
      </c>
      <c r="C23967" t="s">
        <v>1</v>
      </c>
      <c r="D23967" t="s">
        <v>1</v>
      </c>
      <c r="E23967" t="s">
        <v>1</v>
      </c>
      <c r="F23967" t="s">
        <v>0</v>
      </c>
      <c r="G23967" t="str">
        <f>"2018-10-06 14:33:24"</f>
        <v>2018-10-06 14:33:24</v>
      </c>
    </row>
    <row r="23968" spans="1:7" x14ac:dyDescent="0.2">
      <c r="A23968" t="s">
        <v>22241</v>
      </c>
      <c r="B23968" t="str">
        <f>"13071385357"</f>
        <v>13071385357</v>
      </c>
      <c r="C23968" t="str">
        <f>"522723199912254191"</f>
        <v>522723199912254191</v>
      </c>
      <c r="D23968" t="s">
        <v>1</v>
      </c>
      <c r="E23968" t="s">
        <v>1</v>
      </c>
      <c r="F23968" t="s">
        <v>0</v>
      </c>
      <c r="G23968" t="str">
        <f>"2018-10-06 14:32:52"</f>
        <v>2018-10-06 14:32:52</v>
      </c>
    </row>
    <row r="23969" spans="1:7" x14ac:dyDescent="0.2">
      <c r="A23969" t="s">
        <v>22242</v>
      </c>
      <c r="B23969" t="str">
        <f>"13958007077"</f>
        <v>13958007077</v>
      </c>
      <c r="C23969" t="str">
        <f>"330103198609280020"</f>
        <v>330103198609280020</v>
      </c>
      <c r="D23969" t="s">
        <v>1</v>
      </c>
      <c r="E23969" t="s">
        <v>1</v>
      </c>
      <c r="F23969" t="s">
        <v>0</v>
      </c>
      <c r="G23969" t="str">
        <f>"2018-10-06 14:29:12"</f>
        <v>2018-10-06 14:29:12</v>
      </c>
    </row>
    <row r="23970" spans="1:7" x14ac:dyDescent="0.2">
      <c r="A23970" t="s">
        <v>1</v>
      </c>
      <c r="B23970" t="str">
        <f>"18977946062"</f>
        <v>18977946062</v>
      </c>
      <c r="C23970" t="s">
        <v>1</v>
      </c>
      <c r="D23970" t="s">
        <v>1</v>
      </c>
      <c r="E23970" t="s">
        <v>1</v>
      </c>
      <c r="F23970" t="s">
        <v>0</v>
      </c>
      <c r="G23970" t="str">
        <f>"2018-10-06 14:29:07"</f>
        <v>2018-10-06 14:29:07</v>
      </c>
    </row>
    <row r="23971" spans="1:7" x14ac:dyDescent="0.2">
      <c r="A23971" t="s">
        <v>1</v>
      </c>
      <c r="B23971" t="str">
        <f>"13018224000"</f>
        <v>13018224000</v>
      </c>
      <c r="C23971" t="s">
        <v>1</v>
      </c>
      <c r="D23971" t="s">
        <v>1</v>
      </c>
      <c r="E23971" t="s">
        <v>1</v>
      </c>
      <c r="F23971" t="s">
        <v>0</v>
      </c>
      <c r="G23971" t="str">
        <f>"2018-10-06 14:28:52"</f>
        <v>2018-10-06 14:28:52</v>
      </c>
    </row>
    <row r="23972" spans="1:7" x14ac:dyDescent="0.2">
      <c r="A23972" t="s">
        <v>1</v>
      </c>
      <c r="B23972" t="str">
        <f>"13854345110"</f>
        <v>13854345110</v>
      </c>
      <c r="C23972" t="s">
        <v>1</v>
      </c>
      <c r="D23972" t="s">
        <v>1</v>
      </c>
      <c r="E23972" t="s">
        <v>1</v>
      </c>
      <c r="F23972" t="s">
        <v>0</v>
      </c>
      <c r="G23972" t="str">
        <f>"2018-10-06 14:28:51"</f>
        <v>2018-10-06 14:28:51</v>
      </c>
    </row>
    <row r="23973" spans="1:7" x14ac:dyDescent="0.2">
      <c r="A23973" t="s">
        <v>22243</v>
      </c>
      <c r="B23973" t="str">
        <f>"15051978070"</f>
        <v>15051978070</v>
      </c>
      <c r="C23973" t="str">
        <f>"320483199402283321"</f>
        <v>320483199402283321</v>
      </c>
      <c r="D23973" t="s">
        <v>1</v>
      </c>
      <c r="E23973" t="s">
        <v>1</v>
      </c>
      <c r="F23973" t="s">
        <v>0</v>
      </c>
      <c r="G23973" t="str">
        <f>"2018-10-18 17:19:43"</f>
        <v>2018-10-18 17:19:43</v>
      </c>
    </row>
    <row r="23974" spans="1:7" x14ac:dyDescent="0.2">
      <c r="A23974" t="s">
        <v>244</v>
      </c>
      <c r="B23974" t="str">
        <f>"18885005043"</f>
        <v>18885005043</v>
      </c>
      <c r="C23974" t="str">
        <f>"52012319890130123X"</f>
        <v>52012319890130123X</v>
      </c>
      <c r="D23974" t="s">
        <v>22244</v>
      </c>
      <c r="E23974" t="s">
        <v>22245</v>
      </c>
      <c r="F23974" t="s">
        <v>0</v>
      </c>
      <c r="G23974" t="str">
        <f>"2018-10-28 22:49:30"</f>
        <v>2018-10-28 22:49:30</v>
      </c>
    </row>
    <row r="23975" spans="1:7" x14ac:dyDescent="0.2">
      <c r="A23975" t="s">
        <v>22246</v>
      </c>
      <c r="B23975" t="str">
        <f>"15039175596"</f>
        <v>15039175596</v>
      </c>
      <c r="C23975" t="str">
        <f>"410881198009147020"</f>
        <v>410881198009147020</v>
      </c>
      <c r="D23975" t="s">
        <v>1</v>
      </c>
      <c r="E23975" t="s">
        <v>1</v>
      </c>
      <c r="F23975" t="s">
        <v>0</v>
      </c>
      <c r="G23975" t="str">
        <f>"2018-10-06 14:28:45"</f>
        <v>2018-10-06 14:28:45</v>
      </c>
    </row>
    <row r="23976" spans="1:7" x14ac:dyDescent="0.2">
      <c r="A23976" t="s">
        <v>22247</v>
      </c>
      <c r="B23976" t="str">
        <f>"13806277008"</f>
        <v>13806277008</v>
      </c>
      <c r="C23976" t="str">
        <f>"320621199101114518"</f>
        <v>320621199101114518</v>
      </c>
      <c r="D23976" t="s">
        <v>1</v>
      </c>
      <c r="E23976" t="s">
        <v>1</v>
      </c>
      <c r="F23976" t="s">
        <v>0</v>
      </c>
      <c r="G23976" t="str">
        <f>"2018-10-06 14:28:26"</f>
        <v>2018-10-06 14:28:26</v>
      </c>
    </row>
    <row r="23977" spans="1:7" x14ac:dyDescent="0.2">
      <c r="A23977" t="s">
        <v>1</v>
      </c>
      <c r="B23977" t="str">
        <f>"15712113656"</f>
        <v>15712113656</v>
      </c>
      <c r="C23977" t="s">
        <v>1</v>
      </c>
      <c r="D23977" t="s">
        <v>1</v>
      </c>
      <c r="E23977" t="s">
        <v>1</v>
      </c>
      <c r="F23977" t="s">
        <v>0</v>
      </c>
      <c r="G23977" t="str">
        <f>"2018-10-20 08:39:01"</f>
        <v>2018-10-20 08:39:01</v>
      </c>
    </row>
    <row r="23978" spans="1:7" x14ac:dyDescent="0.2">
      <c r="A23978" t="s">
        <v>22248</v>
      </c>
      <c r="B23978" t="str">
        <f>"13977913501"</f>
        <v>13977913501</v>
      </c>
      <c r="C23978" t="str">
        <f>"450205197401150738"</f>
        <v>450205197401150738</v>
      </c>
      <c r="D23978" t="s">
        <v>1</v>
      </c>
      <c r="E23978" t="s">
        <v>1</v>
      </c>
      <c r="F23978" t="s">
        <v>0</v>
      </c>
      <c r="G23978" t="str">
        <f>"2018-10-29 10:30:26"</f>
        <v>2018-10-29 10:30:26</v>
      </c>
    </row>
    <row r="23979" spans="1:7" x14ac:dyDescent="0.2">
      <c r="A23979" t="s">
        <v>22249</v>
      </c>
      <c r="B23979" t="str">
        <f>"14769102501"</f>
        <v>14769102501</v>
      </c>
      <c r="C23979" t="str">
        <f>"532123199801185313"</f>
        <v>532123199801185313</v>
      </c>
      <c r="D23979" t="s">
        <v>22250</v>
      </c>
      <c r="E23979" t="s">
        <v>22251</v>
      </c>
      <c r="F23979" t="s">
        <v>0</v>
      </c>
      <c r="G23979" t="str">
        <f>"2018-10-06 21:32:36"</f>
        <v>2018-10-06 21:32:36</v>
      </c>
    </row>
    <row r="23980" spans="1:7" x14ac:dyDescent="0.2">
      <c r="A23980" t="s">
        <v>1</v>
      </c>
      <c r="B23980" t="str">
        <f>"17630013679"</f>
        <v>17630013679</v>
      </c>
      <c r="C23980" t="s">
        <v>1</v>
      </c>
      <c r="D23980" t="s">
        <v>1</v>
      </c>
      <c r="E23980" t="s">
        <v>1</v>
      </c>
      <c r="F23980" t="s">
        <v>0</v>
      </c>
      <c r="G23980" t="str">
        <f>"2018-10-06 14:26:59"</f>
        <v>2018-10-06 14:26:59</v>
      </c>
    </row>
    <row r="23981" spans="1:7" x14ac:dyDescent="0.2">
      <c r="A23981" t="s">
        <v>1</v>
      </c>
      <c r="B23981" t="str">
        <f>"13097871774"</f>
        <v>13097871774</v>
      </c>
      <c r="C23981" t="s">
        <v>1</v>
      </c>
      <c r="D23981" t="s">
        <v>1</v>
      </c>
      <c r="E23981" t="s">
        <v>1</v>
      </c>
      <c r="F23981" t="s">
        <v>0</v>
      </c>
      <c r="G23981" t="str">
        <f>"2018-10-06 14:26:52"</f>
        <v>2018-10-06 14:26:52</v>
      </c>
    </row>
    <row r="23982" spans="1:7" x14ac:dyDescent="0.2">
      <c r="A23982" t="s">
        <v>1238</v>
      </c>
      <c r="B23982" t="str">
        <f>"15904269765"</f>
        <v>15904269765</v>
      </c>
      <c r="C23982" t="str">
        <f>"220122199512074827"</f>
        <v>220122199512074827</v>
      </c>
      <c r="D23982" t="s">
        <v>22252</v>
      </c>
      <c r="E23982" t="s">
        <v>22253</v>
      </c>
      <c r="F23982" t="s">
        <v>0</v>
      </c>
      <c r="G23982" t="str">
        <f>"2018-10-06 14:27:47"</f>
        <v>2018-10-06 14:27:47</v>
      </c>
    </row>
    <row r="23983" spans="1:7" x14ac:dyDescent="0.2">
      <c r="A23983" t="s">
        <v>22254</v>
      </c>
      <c r="B23983" t="str">
        <f>"15270737252"</f>
        <v>15270737252</v>
      </c>
      <c r="C23983" t="str">
        <f>"362124197610291434"</f>
        <v>362124197610291434</v>
      </c>
      <c r="D23983" t="s">
        <v>22255</v>
      </c>
      <c r="E23983" t="s">
        <v>22256</v>
      </c>
      <c r="F23983" t="s">
        <v>0</v>
      </c>
      <c r="G23983" t="str">
        <f>"2018-10-06 14:29:21"</f>
        <v>2018-10-06 14:29:21</v>
      </c>
    </row>
    <row r="23984" spans="1:7" x14ac:dyDescent="0.2">
      <c r="A23984" t="s">
        <v>1</v>
      </c>
      <c r="B23984" t="str">
        <f>"15683380481"</f>
        <v>15683380481</v>
      </c>
      <c r="C23984" t="s">
        <v>1</v>
      </c>
      <c r="D23984" t="s">
        <v>1</v>
      </c>
      <c r="E23984" t="s">
        <v>1</v>
      </c>
      <c r="F23984" t="s">
        <v>0</v>
      </c>
      <c r="G23984" t="str">
        <f>"2018-10-06 14:26:21"</f>
        <v>2018-10-06 14:26:21</v>
      </c>
    </row>
    <row r="23985" spans="1:7" x14ac:dyDescent="0.2">
      <c r="A23985" t="s">
        <v>1</v>
      </c>
      <c r="B23985" t="str">
        <f>"18583911196"</f>
        <v>18583911196</v>
      </c>
      <c r="C23985" t="s">
        <v>1</v>
      </c>
      <c r="D23985" t="s">
        <v>1</v>
      </c>
      <c r="E23985" t="s">
        <v>1</v>
      </c>
      <c r="F23985" t="s">
        <v>0</v>
      </c>
      <c r="G23985" t="str">
        <f>"2018-11-01 06:27:08"</f>
        <v>2018-11-01 06:27:08</v>
      </c>
    </row>
    <row r="23986" spans="1:7" x14ac:dyDescent="0.2">
      <c r="A23986" t="s">
        <v>22257</v>
      </c>
      <c r="B23986" t="str">
        <f>"15279377129"</f>
        <v>15279377129</v>
      </c>
      <c r="C23986" t="str">
        <f>"362323199010091731"</f>
        <v>362323199010091731</v>
      </c>
      <c r="D23986" t="s">
        <v>1</v>
      </c>
      <c r="E23986" t="s">
        <v>1</v>
      </c>
      <c r="F23986" t="s">
        <v>0</v>
      </c>
      <c r="G23986" t="str">
        <f>"2018-10-06 14:27:14"</f>
        <v>2018-10-06 14:27:14</v>
      </c>
    </row>
    <row r="23987" spans="1:7" x14ac:dyDescent="0.2">
      <c r="A23987" t="s">
        <v>1</v>
      </c>
      <c r="B23987" t="str">
        <f>"15965822069"</f>
        <v>15965822069</v>
      </c>
      <c r="C23987" t="s">
        <v>1</v>
      </c>
      <c r="D23987" t="s">
        <v>1</v>
      </c>
      <c r="E23987" t="s">
        <v>1</v>
      </c>
      <c r="F23987" t="s">
        <v>0</v>
      </c>
      <c r="G23987" t="str">
        <f>"2018-10-06 14:25:17"</f>
        <v>2018-10-06 14:25:17</v>
      </c>
    </row>
    <row r="23988" spans="1:7" x14ac:dyDescent="0.2">
      <c r="A23988" t="s">
        <v>22258</v>
      </c>
      <c r="B23988" t="str">
        <f>"13519770134"</f>
        <v>13519770134</v>
      </c>
      <c r="C23988" t="str">
        <f>"632222196810302015"</f>
        <v>632222196810302015</v>
      </c>
      <c r="D23988" t="s">
        <v>1</v>
      </c>
      <c r="E23988" t="s">
        <v>1</v>
      </c>
      <c r="F23988" t="s">
        <v>0</v>
      </c>
      <c r="G23988" t="str">
        <f>"2018-10-06 14:26:35"</f>
        <v>2018-10-06 14:26:35</v>
      </c>
    </row>
    <row r="23989" spans="1:7" x14ac:dyDescent="0.2">
      <c r="A23989" t="s">
        <v>1</v>
      </c>
      <c r="B23989" t="str">
        <f>"17354282879"</f>
        <v>17354282879</v>
      </c>
      <c r="C23989" t="s">
        <v>1</v>
      </c>
      <c r="D23989" t="s">
        <v>1</v>
      </c>
      <c r="E23989" t="s">
        <v>1</v>
      </c>
      <c r="F23989" t="s">
        <v>0</v>
      </c>
      <c r="G23989" t="str">
        <f>"2018-10-06 14:26:02"</f>
        <v>2018-10-06 14:26:02</v>
      </c>
    </row>
    <row r="23990" spans="1:7" x14ac:dyDescent="0.2">
      <c r="A23990" t="s">
        <v>22259</v>
      </c>
      <c r="B23990" t="str">
        <f>"17361773386"</f>
        <v>17361773386</v>
      </c>
      <c r="C23990" t="str">
        <f>"320922199510119021"</f>
        <v>320922199510119021</v>
      </c>
      <c r="D23990" t="s">
        <v>1</v>
      </c>
      <c r="E23990" t="s">
        <v>1</v>
      </c>
      <c r="F23990" t="s">
        <v>0</v>
      </c>
      <c r="G23990" t="str">
        <f>"2018-10-06 14:25:04"</f>
        <v>2018-10-06 14:25:04</v>
      </c>
    </row>
    <row r="23991" spans="1:7" x14ac:dyDescent="0.2">
      <c r="A23991" t="s">
        <v>3</v>
      </c>
      <c r="B23991" t="str">
        <f>"15910613860"</f>
        <v>15910613860</v>
      </c>
      <c r="C23991" t="str">
        <f>"110105197509256514"</f>
        <v>110105197509256514</v>
      </c>
      <c r="D23991" t="s">
        <v>22260</v>
      </c>
      <c r="E23991" t="s">
        <v>22261</v>
      </c>
      <c r="F23991" t="s">
        <v>0</v>
      </c>
      <c r="G23991" t="str">
        <f>"2018-10-06 14:29:36"</f>
        <v>2018-10-06 14:29:36</v>
      </c>
    </row>
    <row r="23992" spans="1:7" x14ac:dyDescent="0.2">
      <c r="A23992" t="s">
        <v>22262</v>
      </c>
      <c r="B23992" t="str">
        <f>"15261355721"</f>
        <v>15261355721</v>
      </c>
      <c r="C23992" t="str">
        <f>"320723198512063851"</f>
        <v>320723198512063851</v>
      </c>
      <c r="D23992" t="s">
        <v>1</v>
      </c>
      <c r="E23992" t="s">
        <v>1</v>
      </c>
      <c r="F23992" t="s">
        <v>0</v>
      </c>
      <c r="G23992" t="str">
        <f>"2018-10-07 11:09:56"</f>
        <v>2018-10-07 11:09:56</v>
      </c>
    </row>
    <row r="23993" spans="1:7" x14ac:dyDescent="0.2">
      <c r="A23993" t="s">
        <v>1642</v>
      </c>
      <c r="B23993" t="str">
        <f>"17351263221"</f>
        <v>17351263221</v>
      </c>
      <c r="C23993" t="str">
        <f>"513030199208223011"</f>
        <v>513030199208223011</v>
      </c>
      <c r="D23993" t="s">
        <v>1</v>
      </c>
      <c r="E23993" t="s">
        <v>1</v>
      </c>
      <c r="F23993" t="s">
        <v>0</v>
      </c>
      <c r="G23993" t="str">
        <f>"2018-10-06 14:27:56"</f>
        <v>2018-10-06 14:27:56</v>
      </c>
    </row>
    <row r="23994" spans="1:7" x14ac:dyDescent="0.2">
      <c r="A23994" t="s">
        <v>22263</v>
      </c>
      <c r="B23994" t="str">
        <f>"15866964301"</f>
        <v>15866964301</v>
      </c>
      <c r="C23994" t="str">
        <f>"372827197706084017"</f>
        <v>372827197706084017</v>
      </c>
      <c r="D23994" t="s">
        <v>1</v>
      </c>
      <c r="E23994" t="s">
        <v>1</v>
      </c>
      <c r="F23994" t="s">
        <v>0</v>
      </c>
      <c r="G23994" t="str">
        <f>"2018-10-06 14:24:03"</f>
        <v>2018-10-06 14:24:03</v>
      </c>
    </row>
    <row r="23995" spans="1:7" x14ac:dyDescent="0.2">
      <c r="A23995" t="s">
        <v>22264</v>
      </c>
      <c r="B23995" t="str">
        <f>"17520307806"</f>
        <v>17520307806</v>
      </c>
      <c r="C23995" t="str">
        <f>"440781199103215012"</f>
        <v>440781199103215012</v>
      </c>
      <c r="D23995" t="s">
        <v>1</v>
      </c>
      <c r="E23995" t="s">
        <v>1</v>
      </c>
      <c r="F23995" t="s">
        <v>0</v>
      </c>
      <c r="G23995" t="str">
        <f>"2018-10-06 14:43:40"</f>
        <v>2018-10-06 14:43:40</v>
      </c>
    </row>
    <row r="23996" spans="1:7" x14ac:dyDescent="0.2">
      <c r="A23996" t="s">
        <v>1</v>
      </c>
      <c r="B23996" t="str">
        <f>"13242434156"</f>
        <v>13242434156</v>
      </c>
      <c r="C23996" t="s">
        <v>1</v>
      </c>
      <c r="D23996" t="s">
        <v>1</v>
      </c>
      <c r="E23996" t="s">
        <v>1</v>
      </c>
      <c r="F23996" t="s">
        <v>0</v>
      </c>
      <c r="G23996" t="str">
        <f>"2018-10-06 14:26:46"</f>
        <v>2018-10-06 14:26:46</v>
      </c>
    </row>
    <row r="23997" spans="1:7" x14ac:dyDescent="0.2">
      <c r="A23997" t="s">
        <v>22265</v>
      </c>
      <c r="B23997" t="str">
        <f>"18152165860"</f>
        <v>18152165860</v>
      </c>
      <c r="C23997" t="str">
        <f>"620402199512252115"</f>
        <v>620402199512252115</v>
      </c>
      <c r="D23997" t="s">
        <v>22266</v>
      </c>
      <c r="E23997" t="s">
        <v>22267</v>
      </c>
      <c r="F23997" t="s">
        <v>0</v>
      </c>
      <c r="G23997" t="str">
        <f>"2018-10-06 14:25:28"</f>
        <v>2018-10-06 14:25:28</v>
      </c>
    </row>
    <row r="23998" spans="1:7" x14ac:dyDescent="0.2">
      <c r="A23998" t="s">
        <v>1</v>
      </c>
      <c r="B23998" t="str">
        <f>"18079416192"</f>
        <v>18079416192</v>
      </c>
      <c r="C23998" t="s">
        <v>1</v>
      </c>
      <c r="D23998" t="s">
        <v>1</v>
      </c>
      <c r="E23998" t="s">
        <v>1</v>
      </c>
      <c r="F23998" t="s">
        <v>0</v>
      </c>
      <c r="G23998" t="str">
        <f>"2018-10-06 14:23:34"</f>
        <v>2018-10-06 14:23:34</v>
      </c>
    </row>
    <row r="23999" spans="1:7" x14ac:dyDescent="0.2">
      <c r="A23999" t="s">
        <v>1</v>
      </c>
      <c r="B23999" t="str">
        <f>"13707517879"</f>
        <v>13707517879</v>
      </c>
      <c r="C23999" t="s">
        <v>1</v>
      </c>
      <c r="D23999" t="s">
        <v>1</v>
      </c>
      <c r="E23999" t="s">
        <v>1</v>
      </c>
      <c r="F23999" t="s">
        <v>0</v>
      </c>
      <c r="G23999" t="str">
        <f>"2018-10-06 14:23:10"</f>
        <v>2018-10-06 14:23:10</v>
      </c>
    </row>
    <row r="24000" spans="1:7" x14ac:dyDescent="0.2">
      <c r="A24000" t="s">
        <v>22268</v>
      </c>
      <c r="B24000" t="str">
        <f>"13720401727"</f>
        <v>13720401727</v>
      </c>
      <c r="C24000" t="str">
        <f>"610422197312051719"</f>
        <v>610422197312051719</v>
      </c>
      <c r="D24000" t="s">
        <v>1</v>
      </c>
      <c r="E24000" t="s">
        <v>1</v>
      </c>
      <c r="F24000" t="s">
        <v>0</v>
      </c>
      <c r="G24000" t="str">
        <f>"2018-10-06 14:22:41"</f>
        <v>2018-10-06 14:22:41</v>
      </c>
    </row>
    <row r="24001" spans="1:7" x14ac:dyDescent="0.2">
      <c r="A24001" t="s">
        <v>1</v>
      </c>
      <c r="B24001" t="str">
        <f>"15697760314"</f>
        <v>15697760314</v>
      </c>
      <c r="C24001" t="s">
        <v>1</v>
      </c>
      <c r="D24001" t="s">
        <v>1</v>
      </c>
      <c r="E24001" t="s">
        <v>1</v>
      </c>
      <c r="F24001" t="s">
        <v>0</v>
      </c>
      <c r="G24001" t="str">
        <f>"2018-10-06 14:22:35"</f>
        <v>2018-10-06 14:22:35</v>
      </c>
    </row>
    <row r="24002" spans="1:7" x14ac:dyDescent="0.2">
      <c r="A24002" t="s">
        <v>1</v>
      </c>
      <c r="B24002" t="str">
        <f>"18690664597"</f>
        <v>18690664597</v>
      </c>
      <c r="C24002" t="s">
        <v>1</v>
      </c>
      <c r="D24002" t="s">
        <v>1</v>
      </c>
      <c r="E24002" t="s">
        <v>1</v>
      </c>
      <c r="F24002" t="s">
        <v>0</v>
      </c>
      <c r="G24002" t="str">
        <f>"2018-10-06 14:30:02"</f>
        <v>2018-10-06 14:30:02</v>
      </c>
    </row>
    <row r="24003" spans="1:7" x14ac:dyDescent="0.2">
      <c r="A24003" t="s">
        <v>22269</v>
      </c>
      <c r="B24003" t="str">
        <f>"15008388210"</f>
        <v>15008388210</v>
      </c>
      <c r="C24003" t="str">
        <f>"510682199308105676"</f>
        <v>510682199308105676</v>
      </c>
      <c r="D24003" t="s">
        <v>22270</v>
      </c>
      <c r="E24003" t="s">
        <v>22271</v>
      </c>
      <c r="F24003" t="s">
        <v>0</v>
      </c>
      <c r="G24003" t="str">
        <f>"2018-10-06 14:48:41"</f>
        <v>2018-10-06 14:48:41</v>
      </c>
    </row>
    <row r="24004" spans="1:7" x14ac:dyDescent="0.2">
      <c r="A24004" t="s">
        <v>22272</v>
      </c>
      <c r="B24004" t="str">
        <f>"17865063721"</f>
        <v>17865063721</v>
      </c>
      <c r="C24004" t="str">
        <f>"371323198506077438"</f>
        <v>371323198506077438</v>
      </c>
      <c r="D24004" t="s">
        <v>22273</v>
      </c>
      <c r="E24004" t="s">
        <v>22274</v>
      </c>
      <c r="F24004" t="s">
        <v>0</v>
      </c>
      <c r="G24004" t="str">
        <f>"2018-10-06 14:25:01"</f>
        <v>2018-10-06 14:25:01</v>
      </c>
    </row>
    <row r="24005" spans="1:7" x14ac:dyDescent="0.2">
      <c r="A24005" t="s">
        <v>22275</v>
      </c>
      <c r="B24005" t="str">
        <f>"15679258876"</f>
        <v>15679258876</v>
      </c>
      <c r="C24005" t="str">
        <f>"362330199710173133"</f>
        <v>362330199710173133</v>
      </c>
      <c r="D24005" t="s">
        <v>1</v>
      </c>
      <c r="E24005" t="s">
        <v>1</v>
      </c>
      <c r="F24005" t="s">
        <v>0</v>
      </c>
      <c r="G24005" t="str">
        <f>"2018-10-06 14:21:48"</f>
        <v>2018-10-06 14:21:48</v>
      </c>
    </row>
    <row r="24006" spans="1:7" x14ac:dyDescent="0.2">
      <c r="A24006" t="s">
        <v>22276</v>
      </c>
      <c r="B24006" t="str">
        <f>"13418718725"</f>
        <v>13418718725</v>
      </c>
      <c r="C24006" t="str">
        <f>"441581199008102589"</f>
        <v>441581199008102589</v>
      </c>
      <c r="D24006" t="s">
        <v>1</v>
      </c>
      <c r="E24006" t="s">
        <v>1</v>
      </c>
      <c r="F24006" t="s">
        <v>0</v>
      </c>
      <c r="G24006" t="str">
        <f>"2018-10-26 16:38:21"</f>
        <v>2018-10-26 16:38:21</v>
      </c>
    </row>
    <row r="24007" spans="1:7" x14ac:dyDescent="0.2">
      <c r="A24007" t="s">
        <v>22277</v>
      </c>
      <c r="B24007" t="str">
        <f>"13987674590"</f>
        <v>13987674590</v>
      </c>
      <c r="C24007" t="str">
        <f>"53018119901027002X"</f>
        <v>53018119901027002X</v>
      </c>
      <c r="D24007" t="s">
        <v>1</v>
      </c>
      <c r="E24007" t="s">
        <v>1</v>
      </c>
      <c r="F24007" t="s">
        <v>0</v>
      </c>
      <c r="G24007" t="str">
        <f>"2018-10-06 14:24:34"</f>
        <v>2018-10-06 14:24:34</v>
      </c>
    </row>
    <row r="24008" spans="1:7" x14ac:dyDescent="0.2">
      <c r="A24008" t="s">
        <v>1</v>
      </c>
      <c r="B24008" t="str">
        <f>"15876830084"</f>
        <v>15876830084</v>
      </c>
      <c r="C24008" t="s">
        <v>1</v>
      </c>
      <c r="D24008" t="s">
        <v>1</v>
      </c>
      <c r="E24008" t="s">
        <v>1</v>
      </c>
      <c r="F24008" t="s">
        <v>0</v>
      </c>
      <c r="G24008" t="str">
        <f>"2018-10-06 14:20:13"</f>
        <v>2018-10-06 14:20:13</v>
      </c>
    </row>
    <row r="24009" spans="1:7" x14ac:dyDescent="0.2">
      <c r="A24009" t="s">
        <v>22278</v>
      </c>
      <c r="B24009" t="str">
        <f>"13960928869"</f>
        <v>13960928869</v>
      </c>
      <c r="C24009" t="str">
        <f>"350102197811262419"</f>
        <v>350102197811262419</v>
      </c>
      <c r="D24009" t="s">
        <v>1</v>
      </c>
      <c r="E24009" t="s">
        <v>1</v>
      </c>
      <c r="F24009" t="s">
        <v>0</v>
      </c>
      <c r="G24009" t="str">
        <f>"2018-10-06 14:23:28"</f>
        <v>2018-10-06 14:23:28</v>
      </c>
    </row>
    <row r="24010" spans="1:7" x14ac:dyDescent="0.2">
      <c r="A24010" t="s">
        <v>1</v>
      </c>
      <c r="B24010" t="str">
        <f>"13649316857"</f>
        <v>13649316857</v>
      </c>
      <c r="C24010" t="s">
        <v>1</v>
      </c>
      <c r="D24010" t="s">
        <v>1</v>
      </c>
      <c r="E24010" t="s">
        <v>1</v>
      </c>
      <c r="F24010" t="s">
        <v>0</v>
      </c>
      <c r="G24010" t="str">
        <f>"2018-10-06 14:19:50"</f>
        <v>2018-10-06 14:19:50</v>
      </c>
    </row>
    <row r="24011" spans="1:7" x14ac:dyDescent="0.2">
      <c r="A24011" t="s">
        <v>22279</v>
      </c>
      <c r="B24011" t="str">
        <f>"15140815270"</f>
        <v>15140815270</v>
      </c>
      <c r="C24011" t="str">
        <f>"211221198905284212"</f>
        <v>211221198905284212</v>
      </c>
      <c r="D24011" t="s">
        <v>22280</v>
      </c>
      <c r="E24011" t="s">
        <v>22281</v>
      </c>
      <c r="F24011" t="s">
        <v>0</v>
      </c>
      <c r="G24011" t="str">
        <f>"2018-10-06 14:23:54"</f>
        <v>2018-10-06 14:23:54</v>
      </c>
    </row>
    <row r="24012" spans="1:7" x14ac:dyDescent="0.2">
      <c r="A24012" t="s">
        <v>22282</v>
      </c>
      <c r="B24012" t="str">
        <f>"18318035422"</f>
        <v>18318035422</v>
      </c>
      <c r="C24012" t="str">
        <f>"142731198805014517"</f>
        <v>142731198805014517</v>
      </c>
      <c r="D24012" t="s">
        <v>1</v>
      </c>
      <c r="E24012" t="s">
        <v>1</v>
      </c>
      <c r="F24012" t="s">
        <v>0</v>
      </c>
      <c r="G24012" t="str">
        <f>"2018-10-06 14:19:48"</f>
        <v>2018-10-06 14:19:48</v>
      </c>
    </row>
    <row r="24013" spans="1:7" x14ac:dyDescent="0.2">
      <c r="A24013" t="s">
        <v>1</v>
      </c>
      <c r="B24013" t="str">
        <f>"17677176281"</f>
        <v>17677176281</v>
      </c>
      <c r="C24013" t="s">
        <v>1</v>
      </c>
      <c r="D24013" t="s">
        <v>1</v>
      </c>
      <c r="E24013" t="s">
        <v>1</v>
      </c>
      <c r="F24013" t="s">
        <v>0</v>
      </c>
      <c r="G24013" t="str">
        <f>"2018-10-06 14:19:28"</f>
        <v>2018-10-06 14:19:28</v>
      </c>
    </row>
    <row r="24014" spans="1:7" x14ac:dyDescent="0.2">
      <c r="A24014" t="s">
        <v>22283</v>
      </c>
      <c r="B24014" t="str">
        <f>"18296357347"</f>
        <v>18296357347</v>
      </c>
      <c r="C24014" t="str">
        <f>"362302199108048510"</f>
        <v>362302199108048510</v>
      </c>
      <c r="D24014" t="s">
        <v>1</v>
      </c>
      <c r="E24014" t="s">
        <v>1</v>
      </c>
      <c r="F24014" t="s">
        <v>0</v>
      </c>
      <c r="G24014" t="str">
        <f>"2018-10-06 14:20:44"</f>
        <v>2018-10-06 14:20:44</v>
      </c>
    </row>
    <row r="24015" spans="1:7" x14ac:dyDescent="0.2">
      <c r="A24015" t="s">
        <v>22284</v>
      </c>
      <c r="B24015" t="str">
        <f>"17695101213"</f>
        <v>17695101213</v>
      </c>
      <c r="C24015" t="str">
        <f>"422828198712140068"</f>
        <v>422828198712140068</v>
      </c>
      <c r="D24015" t="s">
        <v>1</v>
      </c>
      <c r="E24015" t="s">
        <v>1</v>
      </c>
      <c r="F24015" t="s">
        <v>0</v>
      </c>
      <c r="G24015" t="str">
        <f>"2018-10-06 14:19:42"</f>
        <v>2018-10-06 14:19:42</v>
      </c>
    </row>
    <row r="24016" spans="1:7" x14ac:dyDescent="0.2">
      <c r="A24016" t="s">
        <v>22285</v>
      </c>
      <c r="B24016" t="str">
        <f>"15918169445"</f>
        <v>15918169445</v>
      </c>
      <c r="C24016" t="str">
        <f>"35032219970706483X"</f>
        <v>35032219970706483X</v>
      </c>
      <c r="D24016" t="s">
        <v>1</v>
      </c>
      <c r="E24016" t="s">
        <v>1</v>
      </c>
      <c r="F24016" t="s">
        <v>0</v>
      </c>
      <c r="G24016" t="str">
        <f>"2018-10-06 14:26:34"</f>
        <v>2018-10-06 14:26:34</v>
      </c>
    </row>
    <row r="24017" spans="1:7" x14ac:dyDescent="0.2">
      <c r="A24017" t="s">
        <v>22286</v>
      </c>
      <c r="B24017" t="str">
        <f>"13804972760"</f>
        <v>13804972760</v>
      </c>
      <c r="C24017" t="str">
        <f>"211203197812250518"</f>
        <v>211203197812250518</v>
      </c>
      <c r="D24017" t="s">
        <v>1</v>
      </c>
      <c r="E24017" t="s">
        <v>1</v>
      </c>
      <c r="F24017" t="s">
        <v>0</v>
      </c>
      <c r="G24017" t="str">
        <f>"2018-10-06 14:20:52"</f>
        <v>2018-10-06 14:20:52</v>
      </c>
    </row>
    <row r="24018" spans="1:7" x14ac:dyDescent="0.2">
      <c r="A24018" t="s">
        <v>1</v>
      </c>
      <c r="B24018" t="str">
        <f>"18734160495"</f>
        <v>18734160495</v>
      </c>
      <c r="C24018" t="s">
        <v>1</v>
      </c>
      <c r="D24018" t="s">
        <v>1</v>
      </c>
      <c r="E24018" t="s">
        <v>1</v>
      </c>
      <c r="F24018" t="s">
        <v>0</v>
      </c>
      <c r="G24018" t="str">
        <f>"2018-10-06 14:17:11"</f>
        <v>2018-10-06 14:17:11</v>
      </c>
    </row>
    <row r="24019" spans="1:7" x14ac:dyDescent="0.2">
      <c r="A24019" t="s">
        <v>1</v>
      </c>
      <c r="B24019" t="str">
        <f>"18970880693"</f>
        <v>18970880693</v>
      </c>
      <c r="C24019" t="s">
        <v>1</v>
      </c>
      <c r="D24019" t="s">
        <v>1</v>
      </c>
      <c r="E24019" t="s">
        <v>1</v>
      </c>
      <c r="F24019" t="s">
        <v>0</v>
      </c>
      <c r="G24019" t="str">
        <f>"2018-10-06 14:34:41"</f>
        <v>2018-10-06 14:34:41</v>
      </c>
    </row>
    <row r="24020" spans="1:7" x14ac:dyDescent="0.2">
      <c r="A24020" t="s">
        <v>22287</v>
      </c>
      <c r="B24020" t="str">
        <f>"13588406130"</f>
        <v>13588406130</v>
      </c>
      <c r="C24020" t="str">
        <f>"330106198402203318"</f>
        <v>330106198402203318</v>
      </c>
      <c r="D24020" t="s">
        <v>1</v>
      </c>
      <c r="E24020" t="s">
        <v>1</v>
      </c>
      <c r="F24020" t="s">
        <v>0</v>
      </c>
      <c r="G24020" t="str">
        <f>"2018-10-06 14:17:38"</f>
        <v>2018-10-06 14:17:38</v>
      </c>
    </row>
    <row r="24021" spans="1:7" x14ac:dyDescent="0.2">
      <c r="A24021" t="s">
        <v>1</v>
      </c>
      <c r="B24021" t="str">
        <f>"13675995554"</f>
        <v>13675995554</v>
      </c>
      <c r="C24021" t="s">
        <v>1</v>
      </c>
      <c r="D24021" t="s">
        <v>1</v>
      </c>
      <c r="E24021" t="s">
        <v>1</v>
      </c>
      <c r="F24021" t="s">
        <v>0</v>
      </c>
      <c r="G24021" t="str">
        <f>"2018-10-06 14:18:28"</f>
        <v>2018-10-06 14:18:28</v>
      </c>
    </row>
    <row r="24022" spans="1:7" x14ac:dyDescent="0.2">
      <c r="A24022" t="s">
        <v>1</v>
      </c>
      <c r="B24022" t="str">
        <f>"13823464847"</f>
        <v>13823464847</v>
      </c>
      <c r="C24022" t="s">
        <v>1</v>
      </c>
      <c r="D24022" t="s">
        <v>1</v>
      </c>
      <c r="E24022" t="s">
        <v>1</v>
      </c>
      <c r="F24022" t="s">
        <v>0</v>
      </c>
      <c r="G24022" t="str">
        <f>"2018-10-06 14:15:58"</f>
        <v>2018-10-06 14:15:58</v>
      </c>
    </row>
    <row r="24023" spans="1:7" x14ac:dyDescent="0.2">
      <c r="A24023" t="s">
        <v>4467</v>
      </c>
      <c r="B24023" t="str">
        <f>"13737162776"</f>
        <v>13737162776</v>
      </c>
      <c r="C24023" t="str">
        <f>"452123198712215889"</f>
        <v>452123198712215889</v>
      </c>
      <c r="D24023" t="s">
        <v>1</v>
      </c>
      <c r="E24023" t="s">
        <v>1</v>
      </c>
      <c r="F24023" t="s">
        <v>0</v>
      </c>
      <c r="G24023" t="str">
        <f>"2018-10-31 15:38:22"</f>
        <v>2018-10-31 15:38:22</v>
      </c>
    </row>
    <row r="24024" spans="1:7" x14ac:dyDescent="0.2">
      <c r="A24024" t="s">
        <v>22288</v>
      </c>
      <c r="B24024" t="str">
        <f>"13922840314"</f>
        <v>13922840314</v>
      </c>
      <c r="C24024" t="str">
        <f>"430111198403141731"</f>
        <v>430111198403141731</v>
      </c>
      <c r="D24024" t="s">
        <v>1</v>
      </c>
      <c r="E24024" t="s">
        <v>1</v>
      </c>
      <c r="F24024" t="s">
        <v>0</v>
      </c>
      <c r="G24024" t="str">
        <f>"2018-10-06 14:16:21"</f>
        <v>2018-10-06 14:16:21</v>
      </c>
    </row>
    <row r="24025" spans="1:7" x14ac:dyDescent="0.2">
      <c r="A24025" t="s">
        <v>1</v>
      </c>
      <c r="B24025" t="str">
        <f>"13097994494"</f>
        <v>13097994494</v>
      </c>
      <c r="C24025" t="s">
        <v>1</v>
      </c>
      <c r="D24025" t="s">
        <v>1</v>
      </c>
      <c r="E24025" t="s">
        <v>1</v>
      </c>
      <c r="F24025" t="s">
        <v>0</v>
      </c>
      <c r="G24025" t="str">
        <f>"2018-10-06 14:14:38"</f>
        <v>2018-10-06 14:14:38</v>
      </c>
    </row>
    <row r="24026" spans="1:7" x14ac:dyDescent="0.2">
      <c r="A24026" t="s">
        <v>22289</v>
      </c>
      <c r="B24026" t="str">
        <f>"18164637877"</f>
        <v>18164637877</v>
      </c>
      <c r="C24026" t="str">
        <f>"41112119880921403X"</f>
        <v>41112119880921403X</v>
      </c>
      <c r="D24026" t="s">
        <v>1</v>
      </c>
      <c r="E24026" t="s">
        <v>1</v>
      </c>
      <c r="F24026" t="s">
        <v>0</v>
      </c>
      <c r="G24026" t="str">
        <f>"2018-10-06 14:15:27"</f>
        <v>2018-10-06 14:15:27</v>
      </c>
    </row>
    <row r="24027" spans="1:7" x14ac:dyDescent="0.2">
      <c r="A24027" t="s">
        <v>22290</v>
      </c>
      <c r="B24027" t="str">
        <f>"18259114496"</f>
        <v>18259114496</v>
      </c>
      <c r="C24027" t="str">
        <f>"340603199906290632"</f>
        <v>340603199906290632</v>
      </c>
      <c r="D24027" t="s">
        <v>1</v>
      </c>
      <c r="E24027" t="s">
        <v>1</v>
      </c>
      <c r="F24027" t="s">
        <v>0</v>
      </c>
      <c r="G24027" t="str">
        <f>"2018-10-06 14:15:57"</f>
        <v>2018-10-06 14:15:57</v>
      </c>
    </row>
    <row r="24028" spans="1:7" x14ac:dyDescent="0.2">
      <c r="A24028" t="s">
        <v>22291</v>
      </c>
      <c r="B24028" t="str">
        <f>"13385770938"</f>
        <v>13385770938</v>
      </c>
      <c r="C24028" t="str">
        <f>"330302198408140026"</f>
        <v>330302198408140026</v>
      </c>
      <c r="D24028" t="s">
        <v>22292</v>
      </c>
      <c r="E24028" t="s">
        <v>22293</v>
      </c>
      <c r="F24028" t="s">
        <v>0</v>
      </c>
      <c r="G24028" t="str">
        <f>"2018-10-06 14:17:18"</f>
        <v>2018-10-06 14:17:18</v>
      </c>
    </row>
    <row r="24029" spans="1:7" x14ac:dyDescent="0.2">
      <c r="A24029" t="s">
        <v>987</v>
      </c>
      <c r="B24029" t="str">
        <f>"18626383768"</f>
        <v>18626383768</v>
      </c>
      <c r="C24029" t="str">
        <f>"320283198701296514"</f>
        <v>320283198701296514</v>
      </c>
      <c r="D24029" t="s">
        <v>1</v>
      </c>
      <c r="E24029" t="s">
        <v>1</v>
      </c>
      <c r="F24029" t="s">
        <v>0</v>
      </c>
      <c r="G24029" t="str">
        <f>"2018-10-06 14:14:48"</f>
        <v>2018-10-06 14:14:48</v>
      </c>
    </row>
    <row r="24030" spans="1:7" x14ac:dyDescent="0.2">
      <c r="A24030" t="s">
        <v>1</v>
      </c>
      <c r="B24030" t="str">
        <f>"14762228211"</f>
        <v>14762228211</v>
      </c>
      <c r="C24030" t="s">
        <v>1</v>
      </c>
      <c r="D24030" t="s">
        <v>1</v>
      </c>
      <c r="E24030" t="s">
        <v>1</v>
      </c>
      <c r="F24030" t="s">
        <v>0</v>
      </c>
      <c r="G24030" t="str">
        <f>"2018-10-06 14:13:13"</f>
        <v>2018-10-06 14:13:13</v>
      </c>
    </row>
    <row r="24031" spans="1:7" x14ac:dyDescent="0.2">
      <c r="A24031" t="s">
        <v>1</v>
      </c>
      <c r="B24031" t="str">
        <f>"15228702275"</f>
        <v>15228702275</v>
      </c>
      <c r="C24031" t="s">
        <v>1</v>
      </c>
      <c r="D24031" t="s">
        <v>1</v>
      </c>
      <c r="E24031" t="s">
        <v>1</v>
      </c>
      <c r="F24031" t="s">
        <v>0</v>
      </c>
      <c r="G24031" t="str">
        <f>"2018-10-06 14:12:17"</f>
        <v>2018-10-06 14:12:17</v>
      </c>
    </row>
    <row r="24032" spans="1:7" x14ac:dyDescent="0.2">
      <c r="A24032" t="s">
        <v>1</v>
      </c>
      <c r="B24032" t="str">
        <f>"15905982593"</f>
        <v>15905982593</v>
      </c>
      <c r="C24032" t="s">
        <v>1</v>
      </c>
      <c r="D24032" t="s">
        <v>1</v>
      </c>
      <c r="E24032" t="s">
        <v>1</v>
      </c>
      <c r="F24032" t="s">
        <v>0</v>
      </c>
      <c r="G24032" t="str">
        <f>"2018-10-06 14:14:29"</f>
        <v>2018-10-06 14:14:29</v>
      </c>
    </row>
    <row r="24033" spans="1:7" x14ac:dyDescent="0.2">
      <c r="A24033" t="s">
        <v>22294</v>
      </c>
      <c r="B24033" t="str">
        <f>"18593974080"</f>
        <v>18593974080</v>
      </c>
      <c r="C24033" t="str">
        <f>"642222198212200028"</f>
        <v>642222198212200028</v>
      </c>
      <c r="D24033" t="s">
        <v>1</v>
      </c>
      <c r="E24033" t="s">
        <v>1</v>
      </c>
      <c r="F24033" t="s">
        <v>0</v>
      </c>
      <c r="G24033" t="str">
        <f>"2018-10-06 14:13:25"</f>
        <v>2018-10-06 14:13:25</v>
      </c>
    </row>
    <row r="24034" spans="1:7" x14ac:dyDescent="0.2">
      <c r="A24034" t="s">
        <v>811</v>
      </c>
      <c r="B24034" t="str">
        <f>"15041652234"</f>
        <v>15041652234</v>
      </c>
      <c r="C24034" t="str">
        <f>"210726197611220014"</f>
        <v>210726197611220014</v>
      </c>
      <c r="D24034" t="s">
        <v>22295</v>
      </c>
      <c r="E24034" t="s">
        <v>22296</v>
      </c>
      <c r="F24034" t="s">
        <v>0</v>
      </c>
      <c r="G24034" t="str">
        <f>"2018-10-06 15:05:14"</f>
        <v>2018-10-06 15:05:14</v>
      </c>
    </row>
    <row r="24035" spans="1:7" x14ac:dyDescent="0.2">
      <c r="A24035" t="s">
        <v>22297</v>
      </c>
      <c r="B24035" t="str">
        <f>"15014459040"</f>
        <v>15014459040</v>
      </c>
      <c r="C24035" t="str">
        <f>"441283199810101010"</f>
        <v>441283199810101010</v>
      </c>
      <c r="D24035" t="s">
        <v>22298</v>
      </c>
      <c r="E24035" t="s">
        <v>22299</v>
      </c>
      <c r="F24035" t="s">
        <v>0</v>
      </c>
      <c r="G24035" t="str">
        <f>"2018-10-06 14:47:34"</f>
        <v>2018-10-06 14:47:34</v>
      </c>
    </row>
    <row r="24036" spans="1:7" x14ac:dyDescent="0.2">
      <c r="A24036" t="s">
        <v>22300</v>
      </c>
      <c r="B24036" t="str">
        <f>"15860737709"</f>
        <v>15860737709</v>
      </c>
      <c r="C24036" t="str">
        <f>"350425197902031633"</f>
        <v>350425197902031633</v>
      </c>
      <c r="D24036" t="s">
        <v>22301</v>
      </c>
      <c r="E24036" t="s">
        <v>22302</v>
      </c>
      <c r="F24036" t="s">
        <v>0</v>
      </c>
      <c r="G24036" t="str">
        <f>"2018-10-06 14:14:24"</f>
        <v>2018-10-06 14:14:24</v>
      </c>
    </row>
    <row r="24037" spans="1:7" x14ac:dyDescent="0.2">
      <c r="A24037" t="s">
        <v>22303</v>
      </c>
      <c r="B24037" t="str">
        <f>"15974519058"</f>
        <v>15974519058</v>
      </c>
      <c r="C24037" t="str">
        <f>"53032819870218061X"</f>
        <v>53032819870218061X</v>
      </c>
      <c r="D24037" t="s">
        <v>1</v>
      </c>
      <c r="E24037" t="s">
        <v>1</v>
      </c>
      <c r="F24037" t="s">
        <v>0</v>
      </c>
      <c r="G24037" t="str">
        <f>"2018-10-06 15:57:39"</f>
        <v>2018-10-06 15:57:39</v>
      </c>
    </row>
    <row r="24038" spans="1:7" x14ac:dyDescent="0.2">
      <c r="A24038" t="s">
        <v>22304</v>
      </c>
      <c r="B24038" t="str">
        <f>"18330632712"</f>
        <v>18330632712</v>
      </c>
      <c r="C24038" t="str">
        <f>"320321198802107029"</f>
        <v>320321198802107029</v>
      </c>
      <c r="D24038" t="s">
        <v>1</v>
      </c>
      <c r="E24038" t="s">
        <v>1</v>
      </c>
      <c r="F24038" t="s">
        <v>0</v>
      </c>
      <c r="G24038" t="str">
        <f>"2018-10-06 14:13:03"</f>
        <v>2018-10-06 14:13:03</v>
      </c>
    </row>
    <row r="24039" spans="1:7" x14ac:dyDescent="0.2">
      <c r="A24039" t="s">
        <v>22305</v>
      </c>
      <c r="B24039" t="str">
        <f>"18273420645"</f>
        <v>18273420645</v>
      </c>
      <c r="C24039" t="str">
        <f>"430421198705197019"</f>
        <v>430421198705197019</v>
      </c>
      <c r="D24039" t="s">
        <v>1</v>
      </c>
      <c r="E24039" t="s">
        <v>1</v>
      </c>
      <c r="F24039" t="s">
        <v>0</v>
      </c>
      <c r="G24039" t="str">
        <f>"2018-10-06 14:12:42"</f>
        <v>2018-10-06 14:12:42</v>
      </c>
    </row>
    <row r="24040" spans="1:7" x14ac:dyDescent="0.2">
      <c r="A24040" t="s">
        <v>22306</v>
      </c>
      <c r="B24040" t="str">
        <f>"15040744292"</f>
        <v>15040744292</v>
      </c>
      <c r="C24040" t="str">
        <f>"152224199906125529"</f>
        <v>152224199906125529</v>
      </c>
      <c r="D24040" t="s">
        <v>1</v>
      </c>
      <c r="E24040" t="s">
        <v>1</v>
      </c>
      <c r="F24040" t="s">
        <v>0</v>
      </c>
      <c r="G24040" t="str">
        <f>"2018-10-06 14:13:34"</f>
        <v>2018-10-06 14:13:34</v>
      </c>
    </row>
    <row r="24041" spans="1:7" x14ac:dyDescent="0.2">
      <c r="A24041" t="s">
        <v>22307</v>
      </c>
      <c r="B24041" t="str">
        <f>"13783825771"</f>
        <v>13783825771</v>
      </c>
      <c r="C24041" t="str">
        <f>"410522199912215534"</f>
        <v>410522199912215534</v>
      </c>
      <c r="D24041" t="s">
        <v>1</v>
      </c>
      <c r="E24041" t="s">
        <v>1</v>
      </c>
      <c r="F24041" t="s">
        <v>0</v>
      </c>
      <c r="G24041" t="str">
        <f>"2018-10-06 14:11:45"</f>
        <v>2018-10-06 14:11:45</v>
      </c>
    </row>
    <row r="24042" spans="1:7" x14ac:dyDescent="0.2">
      <c r="A24042" t="s">
        <v>1</v>
      </c>
      <c r="B24042" t="str">
        <f>"15524237237"</f>
        <v>15524237237</v>
      </c>
      <c r="C24042" t="s">
        <v>1</v>
      </c>
      <c r="D24042" t="s">
        <v>1</v>
      </c>
      <c r="E24042" t="s">
        <v>1</v>
      </c>
      <c r="F24042" t="s">
        <v>0</v>
      </c>
      <c r="G24042" t="str">
        <f>"2018-10-06 14:09:30"</f>
        <v>2018-10-06 14:09:30</v>
      </c>
    </row>
    <row r="24043" spans="1:7" x14ac:dyDescent="0.2">
      <c r="A24043" t="s">
        <v>475</v>
      </c>
      <c r="B24043" t="str">
        <f>"13041167147"</f>
        <v>13041167147</v>
      </c>
      <c r="C24043" t="str">
        <f>"500235199608240492"</f>
        <v>500235199608240492</v>
      </c>
      <c r="D24043" t="s">
        <v>22308</v>
      </c>
      <c r="E24043" t="s">
        <v>22309</v>
      </c>
      <c r="F24043" t="s">
        <v>0</v>
      </c>
      <c r="G24043" t="str">
        <f>"2018-10-06 14:10:44"</f>
        <v>2018-10-06 14:10:44</v>
      </c>
    </row>
    <row r="24044" spans="1:7" x14ac:dyDescent="0.2">
      <c r="A24044" t="s">
        <v>1256</v>
      </c>
      <c r="B24044" t="str">
        <f>"13466597490"</f>
        <v>13466597490</v>
      </c>
      <c r="C24044" t="str">
        <f>"11010919810831092X"</f>
        <v>11010919810831092X</v>
      </c>
      <c r="D24044" t="s">
        <v>1</v>
      </c>
      <c r="E24044" t="s">
        <v>1</v>
      </c>
      <c r="F24044" t="s">
        <v>0</v>
      </c>
      <c r="G24044" t="str">
        <f>"2018-11-05 11:34:18"</f>
        <v>2018-11-05 11:34:18</v>
      </c>
    </row>
    <row r="24045" spans="1:7" x14ac:dyDescent="0.2">
      <c r="A24045" t="s">
        <v>22310</v>
      </c>
      <c r="B24045" t="str">
        <f>"13024884661"</f>
        <v>13024884661</v>
      </c>
      <c r="C24045" t="str">
        <f>"350525199312054522"</f>
        <v>350525199312054522</v>
      </c>
      <c r="D24045" t="s">
        <v>1</v>
      </c>
      <c r="E24045" t="s">
        <v>1</v>
      </c>
      <c r="F24045" t="s">
        <v>0</v>
      </c>
      <c r="G24045" t="str">
        <f>"2018-10-30 12:09:43"</f>
        <v>2018-10-30 12:09:43</v>
      </c>
    </row>
    <row r="24046" spans="1:7" x14ac:dyDescent="0.2">
      <c r="A24046" t="s">
        <v>22311</v>
      </c>
      <c r="B24046" t="str">
        <f>"18372658311"</f>
        <v>18372658311</v>
      </c>
      <c r="C24046" t="str">
        <f>"420682199210280546"</f>
        <v>420682199210280546</v>
      </c>
      <c r="D24046" t="s">
        <v>1</v>
      </c>
      <c r="E24046" t="s">
        <v>1</v>
      </c>
      <c r="F24046" t="s">
        <v>0</v>
      </c>
      <c r="G24046" t="str">
        <f>"2018-10-06 14:09:37"</f>
        <v>2018-10-06 14:09:37</v>
      </c>
    </row>
    <row r="24047" spans="1:7" x14ac:dyDescent="0.2">
      <c r="A24047" t="s">
        <v>901</v>
      </c>
      <c r="B24047" t="str">
        <f>"15064923816"</f>
        <v>15064923816</v>
      </c>
      <c r="C24047" t="str">
        <f>"371311199711152352"</f>
        <v>371311199711152352</v>
      </c>
      <c r="D24047" t="s">
        <v>1</v>
      </c>
      <c r="E24047" t="s">
        <v>1</v>
      </c>
      <c r="F24047" t="s">
        <v>0</v>
      </c>
      <c r="G24047" t="str">
        <f>"2018-10-06 14:07:40"</f>
        <v>2018-10-06 14:07:40</v>
      </c>
    </row>
    <row r="24048" spans="1:7" x14ac:dyDescent="0.2">
      <c r="A24048" t="s">
        <v>22312</v>
      </c>
      <c r="B24048" t="str">
        <f>"13485945989"</f>
        <v>13485945989</v>
      </c>
      <c r="C24048" t="str">
        <f>"342524199406071810"</f>
        <v>342524199406071810</v>
      </c>
      <c r="D24048" t="s">
        <v>1</v>
      </c>
      <c r="E24048" t="s">
        <v>1</v>
      </c>
      <c r="F24048" t="s">
        <v>0</v>
      </c>
      <c r="G24048" t="str">
        <f>"2018-10-26 03:08:58"</f>
        <v>2018-10-26 03:08:58</v>
      </c>
    </row>
    <row r="24049" spans="1:7" x14ac:dyDescent="0.2">
      <c r="A24049" t="s">
        <v>1426</v>
      </c>
      <c r="B24049" t="str">
        <f>"13578310221"</f>
        <v>13578310221</v>
      </c>
      <c r="C24049" t="str">
        <f>"533523198804290416"</f>
        <v>533523198804290416</v>
      </c>
      <c r="D24049" t="s">
        <v>1</v>
      </c>
      <c r="E24049" t="s">
        <v>1</v>
      </c>
      <c r="F24049" t="s">
        <v>0</v>
      </c>
      <c r="G24049" t="str">
        <f>"2018-10-06 14:09:40"</f>
        <v>2018-10-06 14:09:40</v>
      </c>
    </row>
    <row r="24050" spans="1:7" x14ac:dyDescent="0.2">
      <c r="A24050" t="s">
        <v>22313</v>
      </c>
      <c r="B24050" t="str">
        <f>"18199277757"</f>
        <v>18199277757</v>
      </c>
      <c r="C24050" t="str">
        <f>"652325198205132035"</f>
        <v>652325198205132035</v>
      </c>
      <c r="D24050" t="s">
        <v>22314</v>
      </c>
      <c r="E24050" t="s">
        <v>22315</v>
      </c>
      <c r="F24050" t="s">
        <v>0</v>
      </c>
      <c r="G24050" t="str">
        <f>"2018-10-06 14:19:16"</f>
        <v>2018-10-06 14:19:16</v>
      </c>
    </row>
    <row r="24051" spans="1:7" x14ac:dyDescent="0.2">
      <c r="A24051" t="s">
        <v>641</v>
      </c>
      <c r="B24051" t="str">
        <f>"15800993974"</f>
        <v>15800993974</v>
      </c>
      <c r="C24051" t="str">
        <f>"310108198611292838"</f>
        <v>310108198611292838</v>
      </c>
      <c r="D24051" t="s">
        <v>1</v>
      </c>
      <c r="E24051" t="s">
        <v>1</v>
      </c>
      <c r="F24051" t="s">
        <v>0</v>
      </c>
      <c r="G24051" t="str">
        <f>"2018-10-06 14:09:41"</f>
        <v>2018-10-06 14:09:41</v>
      </c>
    </row>
    <row r="24052" spans="1:7" x14ac:dyDescent="0.2">
      <c r="A24052" t="s">
        <v>1</v>
      </c>
      <c r="B24052" t="str">
        <f>"15180735420"</f>
        <v>15180735420</v>
      </c>
      <c r="C24052" t="s">
        <v>1</v>
      </c>
      <c r="D24052" t="s">
        <v>1</v>
      </c>
      <c r="E24052" t="s">
        <v>1</v>
      </c>
      <c r="F24052" t="s">
        <v>0</v>
      </c>
      <c r="G24052" t="str">
        <f>"2018-10-06 18:14:24"</f>
        <v>2018-10-06 18:14:24</v>
      </c>
    </row>
    <row r="24053" spans="1:7" x14ac:dyDescent="0.2">
      <c r="A24053" t="s">
        <v>22316</v>
      </c>
      <c r="B24053" t="str">
        <f>"15218998392"</f>
        <v>15218998392</v>
      </c>
      <c r="C24053" t="str">
        <f>"360781199010172017"</f>
        <v>360781199010172017</v>
      </c>
      <c r="D24053" t="s">
        <v>1</v>
      </c>
      <c r="E24053" t="s">
        <v>1</v>
      </c>
      <c r="F24053" t="s">
        <v>0</v>
      </c>
      <c r="G24053" t="str">
        <f>"2018-10-06 14:42:32"</f>
        <v>2018-10-06 14:42:32</v>
      </c>
    </row>
    <row r="24054" spans="1:7" x14ac:dyDescent="0.2">
      <c r="A24054" t="s">
        <v>22317</v>
      </c>
      <c r="B24054" t="str">
        <f>"18409487642"</f>
        <v>18409487642</v>
      </c>
      <c r="C24054" t="str">
        <f>"620102199109170017"</f>
        <v>620102199109170017</v>
      </c>
      <c r="D24054" t="s">
        <v>1</v>
      </c>
      <c r="E24054" t="s">
        <v>1</v>
      </c>
      <c r="F24054" t="s">
        <v>0</v>
      </c>
      <c r="G24054" t="str">
        <f>"2018-10-06 14:05:55"</f>
        <v>2018-10-06 14:05:55</v>
      </c>
    </row>
    <row r="24055" spans="1:7" x14ac:dyDescent="0.2">
      <c r="A24055" t="s">
        <v>2208</v>
      </c>
      <c r="B24055" t="str">
        <f>"18398989860"</f>
        <v>18398989860</v>
      </c>
      <c r="C24055" t="str">
        <f>"513701198410023912"</f>
        <v>513701198410023912</v>
      </c>
      <c r="D24055" t="s">
        <v>1</v>
      </c>
      <c r="E24055" t="s">
        <v>1</v>
      </c>
      <c r="F24055" t="s">
        <v>0</v>
      </c>
      <c r="G24055" t="str">
        <f>"2018-10-06 14:06:31"</f>
        <v>2018-10-06 14:06:31</v>
      </c>
    </row>
    <row r="24056" spans="1:7" x14ac:dyDescent="0.2">
      <c r="A24056" t="s">
        <v>1</v>
      </c>
      <c r="B24056" t="str">
        <f>"13221637449"</f>
        <v>13221637449</v>
      </c>
      <c r="C24056" t="s">
        <v>1</v>
      </c>
      <c r="D24056" t="s">
        <v>1</v>
      </c>
      <c r="E24056" t="s">
        <v>1</v>
      </c>
      <c r="F24056" t="s">
        <v>0</v>
      </c>
      <c r="G24056" t="str">
        <f>"2018-10-06 14:05:31"</f>
        <v>2018-10-06 14:05:31</v>
      </c>
    </row>
    <row r="24057" spans="1:7" x14ac:dyDescent="0.2">
      <c r="A24057" t="s">
        <v>1</v>
      </c>
      <c r="B24057" t="str">
        <f>"13397849309"</f>
        <v>13397849309</v>
      </c>
      <c r="C24057" t="s">
        <v>1</v>
      </c>
      <c r="D24057" t="s">
        <v>1</v>
      </c>
      <c r="E24057" t="s">
        <v>1</v>
      </c>
      <c r="F24057" t="s">
        <v>0</v>
      </c>
      <c r="G24057" t="str">
        <f>"2018-10-06 14:05:29"</f>
        <v>2018-10-06 14:05:29</v>
      </c>
    </row>
    <row r="24058" spans="1:7" x14ac:dyDescent="0.2">
      <c r="A24058" t="s">
        <v>9777</v>
      </c>
      <c r="B24058" t="str">
        <f>"17506169622"</f>
        <v>17506169622</v>
      </c>
      <c r="C24058" t="str">
        <f>"610424199412285813"</f>
        <v>610424199412285813</v>
      </c>
      <c r="D24058" t="s">
        <v>1</v>
      </c>
      <c r="E24058" t="s">
        <v>1</v>
      </c>
      <c r="F24058" t="s">
        <v>0</v>
      </c>
      <c r="G24058" t="str">
        <f>"2018-10-06 14:06:53"</f>
        <v>2018-10-06 14:06:53</v>
      </c>
    </row>
    <row r="24059" spans="1:7" x14ac:dyDescent="0.2">
      <c r="A24059" t="s">
        <v>22318</v>
      </c>
      <c r="B24059" t="str">
        <f>"15251415520"</f>
        <v>15251415520</v>
      </c>
      <c r="C24059" t="str">
        <f>"321281198703151894"</f>
        <v>321281198703151894</v>
      </c>
      <c r="D24059" t="s">
        <v>1</v>
      </c>
      <c r="E24059" t="s">
        <v>1</v>
      </c>
      <c r="F24059" t="s">
        <v>0</v>
      </c>
      <c r="G24059" t="str">
        <f>"2018-10-06 14:04:07"</f>
        <v>2018-10-06 14:04:07</v>
      </c>
    </row>
    <row r="24060" spans="1:7" x14ac:dyDescent="0.2">
      <c r="A24060" t="s">
        <v>22319</v>
      </c>
      <c r="B24060" t="str">
        <f>"15007153178"</f>
        <v>15007153178</v>
      </c>
      <c r="C24060" t="str">
        <f>"654323199205043714"</f>
        <v>654323199205043714</v>
      </c>
      <c r="D24060" t="s">
        <v>1</v>
      </c>
      <c r="E24060" t="s">
        <v>1</v>
      </c>
      <c r="F24060" t="s">
        <v>0</v>
      </c>
      <c r="G24060" t="str">
        <f>"2018-10-06 14:06:48"</f>
        <v>2018-10-06 14:06:48</v>
      </c>
    </row>
    <row r="24061" spans="1:7" x14ac:dyDescent="0.2">
      <c r="A24061" t="s">
        <v>22320</v>
      </c>
      <c r="B24061" t="str">
        <f>"15287811315"</f>
        <v>15287811315</v>
      </c>
      <c r="C24061" t="str">
        <f>"530302200008063014"</f>
        <v>530302200008063014</v>
      </c>
      <c r="D24061" t="s">
        <v>1</v>
      </c>
      <c r="E24061" t="s">
        <v>1</v>
      </c>
      <c r="F24061" t="s">
        <v>0</v>
      </c>
      <c r="G24061" t="str">
        <f>"2018-10-06 14:04:36"</f>
        <v>2018-10-06 14:04:36</v>
      </c>
    </row>
    <row r="24062" spans="1:7" x14ac:dyDescent="0.2">
      <c r="A24062" t="s">
        <v>22321</v>
      </c>
      <c r="B24062" t="str">
        <f>"18088434995"</f>
        <v>18088434995</v>
      </c>
      <c r="C24062" t="str">
        <f>"530127199107101021"</f>
        <v>530127199107101021</v>
      </c>
      <c r="D24062" t="s">
        <v>1</v>
      </c>
      <c r="E24062" t="s">
        <v>1</v>
      </c>
      <c r="F24062" t="s">
        <v>0</v>
      </c>
      <c r="G24062" t="str">
        <f>"2018-10-06 14:05:11"</f>
        <v>2018-10-06 14:05:11</v>
      </c>
    </row>
    <row r="24063" spans="1:7" x14ac:dyDescent="0.2">
      <c r="A24063" t="s">
        <v>22322</v>
      </c>
      <c r="B24063" t="str">
        <f>"15120423400"</f>
        <v>15120423400</v>
      </c>
      <c r="C24063" t="str">
        <f>"622727199502175932"</f>
        <v>622727199502175932</v>
      </c>
      <c r="D24063" t="s">
        <v>22323</v>
      </c>
      <c r="E24063" t="s">
        <v>22324</v>
      </c>
      <c r="F24063" t="s">
        <v>0</v>
      </c>
      <c r="G24063" t="str">
        <f>"2018-10-06 14:05:13"</f>
        <v>2018-10-06 14:05:13</v>
      </c>
    </row>
    <row r="24064" spans="1:7" x14ac:dyDescent="0.2">
      <c r="A24064" t="s">
        <v>22325</v>
      </c>
      <c r="B24064" t="str">
        <f>"15201219315"</f>
        <v>15201219315</v>
      </c>
      <c r="C24064" t="str">
        <f>"130925199509266239"</f>
        <v>130925199509266239</v>
      </c>
      <c r="D24064" t="s">
        <v>1</v>
      </c>
      <c r="E24064" t="s">
        <v>1</v>
      </c>
      <c r="F24064" t="s">
        <v>0</v>
      </c>
      <c r="G24064" t="str">
        <f>"2018-10-06 14:04:35"</f>
        <v>2018-10-06 14:04:35</v>
      </c>
    </row>
    <row r="24065" spans="1:7" x14ac:dyDescent="0.2">
      <c r="A24065" t="s">
        <v>22326</v>
      </c>
      <c r="B24065" t="str">
        <f>"15208545136"</f>
        <v>15208545136</v>
      </c>
      <c r="C24065" t="str">
        <f>"522725198210093037"</f>
        <v>522725198210093037</v>
      </c>
      <c r="D24065" t="s">
        <v>1</v>
      </c>
      <c r="E24065" t="s">
        <v>1</v>
      </c>
      <c r="F24065" t="s">
        <v>0</v>
      </c>
      <c r="G24065" t="str">
        <f>"2018-10-06 14:10:27"</f>
        <v>2018-10-06 14:10:27</v>
      </c>
    </row>
    <row r="24066" spans="1:7" x14ac:dyDescent="0.2">
      <c r="A24066" t="s">
        <v>22327</v>
      </c>
      <c r="B24066" t="str">
        <f>"18379807450"</f>
        <v>18379807450</v>
      </c>
      <c r="C24066" t="str">
        <f>"360730199811201455"</f>
        <v>360730199811201455</v>
      </c>
      <c r="D24066" t="s">
        <v>1</v>
      </c>
      <c r="E24066" t="s">
        <v>1</v>
      </c>
      <c r="F24066" t="s">
        <v>0</v>
      </c>
      <c r="G24066" t="str">
        <f>"2018-10-06 14:03:51"</f>
        <v>2018-10-06 14:03:51</v>
      </c>
    </row>
    <row r="24067" spans="1:7" x14ac:dyDescent="0.2">
      <c r="A24067" t="s">
        <v>194</v>
      </c>
      <c r="B24067" t="str">
        <f>"13961995572"</f>
        <v>13961995572</v>
      </c>
      <c r="C24067" t="str">
        <f>"320902198109093515"</f>
        <v>320902198109093515</v>
      </c>
      <c r="D24067" t="s">
        <v>1</v>
      </c>
      <c r="E24067" t="s">
        <v>1</v>
      </c>
      <c r="F24067" t="s">
        <v>0</v>
      </c>
      <c r="G24067" t="str">
        <f>"2018-10-07 17:09:08"</f>
        <v>2018-10-07 17:09:08</v>
      </c>
    </row>
    <row r="24068" spans="1:7" x14ac:dyDescent="0.2">
      <c r="A24068" t="s">
        <v>22328</v>
      </c>
      <c r="B24068" t="str">
        <f>"17826637533"</f>
        <v>17826637533</v>
      </c>
      <c r="C24068" t="str">
        <f>"340828199009032711"</f>
        <v>340828199009032711</v>
      </c>
      <c r="D24068" t="s">
        <v>1</v>
      </c>
      <c r="E24068" t="s">
        <v>1</v>
      </c>
      <c r="F24068" t="s">
        <v>0</v>
      </c>
      <c r="G24068" t="str">
        <f>"2018-10-06 14:01:02"</f>
        <v>2018-10-06 14:01:02</v>
      </c>
    </row>
    <row r="24069" spans="1:7" x14ac:dyDescent="0.2">
      <c r="A24069" t="s">
        <v>22329</v>
      </c>
      <c r="B24069" t="str">
        <f>"15266601722"</f>
        <v>15266601722</v>
      </c>
      <c r="C24069" t="str">
        <f>"370406199104232215"</f>
        <v>370406199104232215</v>
      </c>
      <c r="D24069" t="s">
        <v>22330</v>
      </c>
      <c r="E24069" t="s">
        <v>22331</v>
      </c>
      <c r="F24069" t="s">
        <v>0</v>
      </c>
      <c r="G24069" t="str">
        <f>"2018-10-08 13:39:52"</f>
        <v>2018-10-08 13:39:52</v>
      </c>
    </row>
    <row r="24070" spans="1:7" x14ac:dyDescent="0.2">
      <c r="A24070" t="s">
        <v>22332</v>
      </c>
      <c r="B24070" t="str">
        <f>"13627233206"</f>
        <v>13627233206</v>
      </c>
      <c r="C24070" t="str">
        <f>"420984198805017549"</f>
        <v>420984198805017549</v>
      </c>
      <c r="D24070" t="s">
        <v>1</v>
      </c>
      <c r="E24070" t="s">
        <v>1</v>
      </c>
      <c r="F24070" t="s">
        <v>0</v>
      </c>
      <c r="G24070" t="str">
        <f>"2018-10-23 22:33:15"</f>
        <v>2018-10-23 22:33:15</v>
      </c>
    </row>
    <row r="24071" spans="1:7" x14ac:dyDescent="0.2">
      <c r="A24071" t="s">
        <v>22333</v>
      </c>
      <c r="B24071" t="str">
        <f>"18798672147"</f>
        <v>18798672147</v>
      </c>
      <c r="C24071" t="str">
        <f>"520122199510222647"</f>
        <v>520122199510222647</v>
      </c>
      <c r="D24071" t="s">
        <v>1</v>
      </c>
      <c r="E24071" t="s">
        <v>1</v>
      </c>
      <c r="F24071" t="s">
        <v>0</v>
      </c>
      <c r="G24071" t="str">
        <f>"2018-10-06 13:59:01"</f>
        <v>2018-10-06 13:59:01</v>
      </c>
    </row>
    <row r="24072" spans="1:7" x14ac:dyDescent="0.2">
      <c r="A24072" t="s">
        <v>1</v>
      </c>
      <c r="B24072" t="str">
        <f>"15035935062"</f>
        <v>15035935062</v>
      </c>
      <c r="C24072" t="s">
        <v>1</v>
      </c>
      <c r="D24072" t="s">
        <v>1</v>
      </c>
      <c r="E24072" t="s">
        <v>1</v>
      </c>
      <c r="F24072" t="s">
        <v>0</v>
      </c>
      <c r="G24072" t="str">
        <f>"2018-10-06 14:00:22"</f>
        <v>2018-10-06 14:00:22</v>
      </c>
    </row>
    <row r="24073" spans="1:7" x14ac:dyDescent="0.2">
      <c r="A24073" t="s">
        <v>9778</v>
      </c>
      <c r="B24073" t="str">
        <f>"15866122207"</f>
        <v>15866122207</v>
      </c>
      <c r="C24073" t="str">
        <f>"370785199906122335"</f>
        <v>370785199906122335</v>
      </c>
      <c r="D24073" t="s">
        <v>1</v>
      </c>
      <c r="E24073" t="s">
        <v>1</v>
      </c>
      <c r="F24073" t="s">
        <v>0</v>
      </c>
      <c r="G24073" t="str">
        <f>"2018-10-06 14:00:06"</f>
        <v>2018-10-06 14:00:06</v>
      </c>
    </row>
    <row r="24074" spans="1:7" x14ac:dyDescent="0.2">
      <c r="A24074" t="s">
        <v>22334</v>
      </c>
      <c r="B24074" t="str">
        <f>"17640108393"</f>
        <v>17640108393</v>
      </c>
      <c r="C24074" t="str">
        <f>"211122199712181714"</f>
        <v>211122199712181714</v>
      </c>
      <c r="D24074" t="s">
        <v>1</v>
      </c>
      <c r="E24074" t="s">
        <v>1</v>
      </c>
      <c r="F24074" t="s">
        <v>0</v>
      </c>
      <c r="G24074" t="str">
        <f>"2018-10-06 13:59:19"</f>
        <v>2018-10-06 13:59:19</v>
      </c>
    </row>
    <row r="24075" spans="1:7" x14ac:dyDescent="0.2">
      <c r="A24075" t="s">
        <v>1</v>
      </c>
      <c r="B24075" t="str">
        <f>"13299405224"</f>
        <v>13299405224</v>
      </c>
      <c r="C24075" t="s">
        <v>1</v>
      </c>
      <c r="D24075" t="s">
        <v>1</v>
      </c>
      <c r="E24075" t="s">
        <v>1</v>
      </c>
      <c r="F24075" t="s">
        <v>0</v>
      </c>
      <c r="G24075" t="str">
        <f>"2018-10-06 13:57:17"</f>
        <v>2018-10-06 13:57:17</v>
      </c>
    </row>
    <row r="24076" spans="1:7" x14ac:dyDescent="0.2">
      <c r="A24076" t="s">
        <v>22335</v>
      </c>
      <c r="B24076" t="str">
        <f>"13802925674"</f>
        <v>13802925674</v>
      </c>
      <c r="C24076" t="str">
        <f>"445224199411084261"</f>
        <v>445224199411084261</v>
      </c>
      <c r="D24076" t="s">
        <v>1</v>
      </c>
      <c r="E24076" t="s">
        <v>1</v>
      </c>
      <c r="F24076" t="s">
        <v>0</v>
      </c>
      <c r="G24076" t="str">
        <f>"2018-10-06 13:58:19"</f>
        <v>2018-10-06 13:58:19</v>
      </c>
    </row>
    <row r="24077" spans="1:7" x14ac:dyDescent="0.2">
      <c r="A24077" t="s">
        <v>22336</v>
      </c>
      <c r="B24077" t="str">
        <f>"15218181342"</f>
        <v>15218181342</v>
      </c>
      <c r="C24077" t="str">
        <f>"441723199810242076"</f>
        <v>441723199810242076</v>
      </c>
      <c r="D24077" t="s">
        <v>1</v>
      </c>
      <c r="E24077" t="s">
        <v>1</v>
      </c>
      <c r="F24077" t="s">
        <v>0</v>
      </c>
      <c r="G24077" t="str">
        <f>"2018-10-06 13:55:50"</f>
        <v>2018-10-06 13:55:50</v>
      </c>
    </row>
    <row r="24078" spans="1:7" x14ac:dyDescent="0.2">
      <c r="A24078" t="s">
        <v>1</v>
      </c>
      <c r="B24078" t="str">
        <f>"15606800592"</f>
        <v>15606800592</v>
      </c>
      <c r="C24078" t="s">
        <v>1</v>
      </c>
      <c r="D24078" t="s">
        <v>1</v>
      </c>
      <c r="E24078" t="s">
        <v>1</v>
      </c>
      <c r="F24078" t="s">
        <v>0</v>
      </c>
      <c r="G24078" t="str">
        <f>"2018-10-06 14:03:06"</f>
        <v>2018-10-06 14:03:06</v>
      </c>
    </row>
    <row r="24079" spans="1:7" x14ac:dyDescent="0.2">
      <c r="A24079" t="s">
        <v>967</v>
      </c>
      <c r="B24079" t="str">
        <f>"15997319942"</f>
        <v>15997319942</v>
      </c>
      <c r="C24079" t="str">
        <f>"420606198201233528"</f>
        <v>420606198201233528</v>
      </c>
      <c r="D24079" t="s">
        <v>1</v>
      </c>
      <c r="E24079" t="s">
        <v>1</v>
      </c>
      <c r="F24079" t="s">
        <v>0</v>
      </c>
      <c r="G24079" t="str">
        <f>"2018-10-06 14:04:12"</f>
        <v>2018-10-06 14:04:12</v>
      </c>
    </row>
    <row r="24080" spans="1:7" x14ac:dyDescent="0.2">
      <c r="A24080" t="s">
        <v>22337</v>
      </c>
      <c r="B24080" t="str">
        <f>"15151054088"</f>
        <v>15151054088</v>
      </c>
      <c r="C24080" t="str">
        <f>"320911197710084355"</f>
        <v>320911197710084355</v>
      </c>
      <c r="D24080" t="s">
        <v>22338</v>
      </c>
      <c r="E24080" t="s">
        <v>22339</v>
      </c>
      <c r="F24080" t="s">
        <v>0</v>
      </c>
      <c r="G24080" t="str">
        <f>"2018-10-06 13:57:28"</f>
        <v>2018-10-06 13:57:28</v>
      </c>
    </row>
    <row r="24081" spans="1:7" x14ac:dyDescent="0.2">
      <c r="A24081" t="s">
        <v>22340</v>
      </c>
      <c r="B24081" t="str">
        <f>"15815171519"</f>
        <v>15815171519</v>
      </c>
      <c r="C24081" t="str">
        <f>"440508198010141015"</f>
        <v>440508198010141015</v>
      </c>
      <c r="D24081" t="s">
        <v>1</v>
      </c>
      <c r="E24081" t="s">
        <v>1</v>
      </c>
      <c r="F24081" t="s">
        <v>0</v>
      </c>
      <c r="G24081" t="str">
        <f>"2018-10-06 13:55:31"</f>
        <v>2018-10-06 13:55:31</v>
      </c>
    </row>
    <row r="24082" spans="1:7" x14ac:dyDescent="0.2">
      <c r="A24082" t="s">
        <v>1</v>
      </c>
      <c r="B24082" t="str">
        <f>"13426452359"</f>
        <v>13426452359</v>
      </c>
      <c r="C24082" t="s">
        <v>1</v>
      </c>
      <c r="D24082" t="s">
        <v>1</v>
      </c>
      <c r="E24082" t="s">
        <v>1</v>
      </c>
      <c r="F24082" t="s">
        <v>0</v>
      </c>
      <c r="G24082" t="str">
        <f>"2018-10-06 13:54:15"</f>
        <v>2018-10-06 13:54:15</v>
      </c>
    </row>
    <row r="24083" spans="1:7" x14ac:dyDescent="0.2">
      <c r="A24083" t="s">
        <v>22341</v>
      </c>
      <c r="B24083" t="str">
        <f>"13981864035"</f>
        <v>13981864035</v>
      </c>
      <c r="C24083" t="str">
        <f>"441225198111172938"</f>
        <v>441225198111172938</v>
      </c>
      <c r="D24083" t="s">
        <v>22342</v>
      </c>
      <c r="E24083" t="s">
        <v>22343</v>
      </c>
      <c r="F24083" t="s">
        <v>0</v>
      </c>
      <c r="G24083" t="str">
        <f>"2018-10-08 13:54:41"</f>
        <v>2018-10-08 13:54:41</v>
      </c>
    </row>
    <row r="24084" spans="1:7" x14ac:dyDescent="0.2">
      <c r="A24084" t="s">
        <v>304</v>
      </c>
      <c r="B24084" t="str">
        <f>"13588764666"</f>
        <v>13588764666</v>
      </c>
      <c r="C24084" t="str">
        <f>"33900519820906771X"</f>
        <v>33900519820906771X</v>
      </c>
      <c r="D24084" t="s">
        <v>1</v>
      </c>
      <c r="E24084" t="s">
        <v>1</v>
      </c>
      <c r="F24084" t="s">
        <v>0</v>
      </c>
      <c r="G24084" t="str">
        <f>"2018-10-06 13:55:57"</f>
        <v>2018-10-06 13:55:57</v>
      </c>
    </row>
    <row r="24085" spans="1:7" x14ac:dyDescent="0.2">
      <c r="A24085" t="s">
        <v>1</v>
      </c>
      <c r="B24085" t="str">
        <f>"13185019076"</f>
        <v>13185019076</v>
      </c>
      <c r="C24085" t="s">
        <v>1</v>
      </c>
      <c r="D24085" t="s">
        <v>1</v>
      </c>
      <c r="E24085" t="s">
        <v>1</v>
      </c>
      <c r="F24085" t="s">
        <v>0</v>
      </c>
      <c r="G24085" t="str">
        <f>"2018-10-06 13:53:23"</f>
        <v>2018-10-06 13:53:23</v>
      </c>
    </row>
    <row r="24086" spans="1:7" x14ac:dyDescent="0.2">
      <c r="A24086" t="s">
        <v>19732</v>
      </c>
      <c r="B24086" t="str">
        <f>"18348682123"</f>
        <v>18348682123</v>
      </c>
      <c r="C24086" t="str">
        <f>"230123199406140243"</f>
        <v>230123199406140243</v>
      </c>
      <c r="D24086" t="s">
        <v>1</v>
      </c>
      <c r="E24086" t="s">
        <v>1</v>
      </c>
      <c r="F24086" t="s">
        <v>0</v>
      </c>
      <c r="G24086" t="str">
        <f>"2018-10-06 13:54:16"</f>
        <v>2018-10-06 13:54:16</v>
      </c>
    </row>
    <row r="24087" spans="1:7" x14ac:dyDescent="0.2">
      <c r="A24087" t="s">
        <v>1</v>
      </c>
      <c r="B24087" t="str">
        <f>"13203844411"</f>
        <v>13203844411</v>
      </c>
      <c r="C24087" t="s">
        <v>1</v>
      </c>
      <c r="D24087" t="s">
        <v>1</v>
      </c>
      <c r="E24087" t="s">
        <v>1</v>
      </c>
      <c r="F24087" t="s">
        <v>0</v>
      </c>
      <c r="G24087" t="str">
        <f>"2018-10-06 13:52:43"</f>
        <v>2018-10-06 13:52:43</v>
      </c>
    </row>
    <row r="24088" spans="1:7" x14ac:dyDescent="0.2">
      <c r="A24088" t="s">
        <v>22344</v>
      </c>
      <c r="B24088" t="str">
        <f>"15130692581"</f>
        <v>15130692581</v>
      </c>
      <c r="C24088" t="str">
        <f>"130121198804140037"</f>
        <v>130121198804140037</v>
      </c>
      <c r="D24088" t="s">
        <v>1</v>
      </c>
      <c r="E24088" t="s">
        <v>1</v>
      </c>
      <c r="F24088" t="s">
        <v>0</v>
      </c>
      <c r="G24088" t="str">
        <f>"2018-10-06 13:52:58"</f>
        <v>2018-10-06 13:52:58</v>
      </c>
    </row>
    <row r="24089" spans="1:7" x14ac:dyDescent="0.2">
      <c r="A24089" t="s">
        <v>22345</v>
      </c>
      <c r="B24089" t="str">
        <f>"15954971456"</f>
        <v>15954971456</v>
      </c>
      <c r="C24089" t="str">
        <f>"370683199410278522"</f>
        <v>370683199410278522</v>
      </c>
      <c r="D24089" t="s">
        <v>1</v>
      </c>
      <c r="E24089" t="s">
        <v>1</v>
      </c>
      <c r="F24089" t="s">
        <v>0</v>
      </c>
      <c r="G24089" t="str">
        <f>"2018-10-06 13:54:25"</f>
        <v>2018-10-06 13:54:25</v>
      </c>
    </row>
    <row r="24090" spans="1:7" x14ac:dyDescent="0.2">
      <c r="A24090" t="s">
        <v>22346</v>
      </c>
      <c r="B24090" t="str">
        <f>"13915309815"</f>
        <v>13915309815</v>
      </c>
      <c r="C24090" t="str">
        <f>"320281198802093510"</f>
        <v>320281198802093510</v>
      </c>
      <c r="D24090" t="s">
        <v>1</v>
      </c>
      <c r="E24090" t="s">
        <v>1</v>
      </c>
      <c r="F24090" t="s">
        <v>0</v>
      </c>
      <c r="G24090" t="str">
        <f>"2018-10-06 13:50:30"</f>
        <v>2018-10-06 13:50:30</v>
      </c>
    </row>
    <row r="24091" spans="1:7" x14ac:dyDescent="0.2">
      <c r="A24091" t="s">
        <v>1</v>
      </c>
      <c r="B24091" t="str">
        <f>"13540602387"</f>
        <v>13540602387</v>
      </c>
      <c r="C24091" t="s">
        <v>1</v>
      </c>
      <c r="D24091" t="s">
        <v>1</v>
      </c>
      <c r="E24091" t="s">
        <v>1</v>
      </c>
      <c r="F24091" t="s">
        <v>0</v>
      </c>
      <c r="G24091" t="str">
        <f>"2018-10-06 14:00:40"</f>
        <v>2018-10-06 14:00:40</v>
      </c>
    </row>
    <row r="24092" spans="1:7" x14ac:dyDescent="0.2">
      <c r="A24092" t="s">
        <v>1</v>
      </c>
      <c r="B24092" t="str">
        <f>"18659646405"</f>
        <v>18659646405</v>
      </c>
      <c r="C24092" t="s">
        <v>1</v>
      </c>
      <c r="D24092" t="s">
        <v>1</v>
      </c>
      <c r="E24092" t="s">
        <v>1</v>
      </c>
      <c r="F24092" t="s">
        <v>0</v>
      </c>
      <c r="G24092" t="str">
        <f>"2018-10-06 13:50:01"</f>
        <v>2018-10-06 13:50:01</v>
      </c>
    </row>
    <row r="24093" spans="1:7" x14ac:dyDescent="0.2">
      <c r="A24093" t="s">
        <v>22347</v>
      </c>
      <c r="B24093" t="str">
        <f>"18774954279"</f>
        <v>18774954279</v>
      </c>
      <c r="C24093" t="str">
        <f>"431003199209091312"</f>
        <v>431003199209091312</v>
      </c>
      <c r="D24093" t="s">
        <v>1</v>
      </c>
      <c r="E24093" t="s">
        <v>1</v>
      </c>
      <c r="F24093" t="s">
        <v>0</v>
      </c>
      <c r="G24093" t="str">
        <f>"2018-10-06 13:51:00"</f>
        <v>2018-10-06 13:51:00</v>
      </c>
    </row>
    <row r="24094" spans="1:7" x14ac:dyDescent="0.2">
      <c r="A24094" t="s">
        <v>22348</v>
      </c>
      <c r="B24094" t="str">
        <f>"15129303677"</f>
        <v>15129303677</v>
      </c>
      <c r="C24094" t="str">
        <f>"610481199810152220"</f>
        <v>610481199810152220</v>
      </c>
      <c r="D24094" t="s">
        <v>1</v>
      </c>
      <c r="E24094" t="s">
        <v>1</v>
      </c>
      <c r="F24094" t="s">
        <v>0</v>
      </c>
      <c r="G24094" t="str">
        <f>"2018-10-06 13:49:27"</f>
        <v>2018-10-06 13:49:27</v>
      </c>
    </row>
    <row r="24095" spans="1:7" x14ac:dyDescent="0.2">
      <c r="A24095" t="s">
        <v>848</v>
      </c>
      <c r="B24095" t="str">
        <f>"13182229263"</f>
        <v>13182229263</v>
      </c>
      <c r="C24095" t="str">
        <f>"411522199203093037"</f>
        <v>411522199203093037</v>
      </c>
      <c r="D24095" t="s">
        <v>1</v>
      </c>
      <c r="E24095" t="s">
        <v>1</v>
      </c>
      <c r="F24095" t="s">
        <v>0</v>
      </c>
      <c r="G24095" t="str">
        <f>"2018-10-06 13:48:56"</f>
        <v>2018-10-06 13:48:56</v>
      </c>
    </row>
    <row r="24096" spans="1:7" x14ac:dyDescent="0.2">
      <c r="A24096" t="s">
        <v>22349</v>
      </c>
      <c r="B24096" t="str">
        <f>"13180917547"</f>
        <v>13180917547</v>
      </c>
      <c r="C24096" t="str">
        <f>"222403198805177824"</f>
        <v>222403198805177824</v>
      </c>
      <c r="D24096" t="s">
        <v>1</v>
      </c>
      <c r="E24096" t="s">
        <v>1</v>
      </c>
      <c r="F24096" t="s">
        <v>0</v>
      </c>
      <c r="G24096" t="str">
        <f>"2018-10-06 14:00:22"</f>
        <v>2018-10-06 14:00:22</v>
      </c>
    </row>
    <row r="24097" spans="1:7" x14ac:dyDescent="0.2">
      <c r="A24097" t="s">
        <v>1</v>
      </c>
      <c r="B24097" t="str">
        <f>"15678504954"</f>
        <v>15678504954</v>
      </c>
      <c r="C24097" t="s">
        <v>1</v>
      </c>
      <c r="D24097" t="s">
        <v>1</v>
      </c>
      <c r="E24097" t="s">
        <v>1</v>
      </c>
      <c r="F24097" t="s">
        <v>0</v>
      </c>
      <c r="G24097" t="str">
        <f>"2018-10-06 13:47:16"</f>
        <v>2018-10-06 13:47:16</v>
      </c>
    </row>
    <row r="24098" spans="1:7" x14ac:dyDescent="0.2">
      <c r="A24098" t="s">
        <v>1</v>
      </c>
      <c r="B24098" t="str">
        <f>"18052229188"</f>
        <v>18052229188</v>
      </c>
      <c r="C24098" t="s">
        <v>1</v>
      </c>
      <c r="D24098" t="s">
        <v>1</v>
      </c>
      <c r="E24098" t="s">
        <v>1</v>
      </c>
      <c r="F24098" t="s">
        <v>0</v>
      </c>
      <c r="G24098" t="str">
        <f>"2018-10-06 13:46:48"</f>
        <v>2018-10-06 13:46:48</v>
      </c>
    </row>
    <row r="24099" spans="1:7" x14ac:dyDescent="0.2">
      <c r="A24099" t="s">
        <v>1</v>
      </c>
      <c r="B24099" t="str">
        <f>"18271297973"</f>
        <v>18271297973</v>
      </c>
      <c r="C24099" t="s">
        <v>1</v>
      </c>
      <c r="D24099" t="s">
        <v>1</v>
      </c>
      <c r="E24099" t="s">
        <v>1</v>
      </c>
      <c r="F24099" t="s">
        <v>0</v>
      </c>
      <c r="G24099" t="str">
        <f>"2018-10-06 13:46:01"</f>
        <v>2018-10-06 13:46:01</v>
      </c>
    </row>
    <row r="24100" spans="1:7" x14ac:dyDescent="0.2">
      <c r="A24100" t="s">
        <v>1</v>
      </c>
      <c r="B24100" t="str">
        <f>"18802766094"</f>
        <v>18802766094</v>
      </c>
      <c r="C24100" t="s">
        <v>1</v>
      </c>
      <c r="D24100" t="s">
        <v>1</v>
      </c>
      <c r="E24100" t="s">
        <v>1</v>
      </c>
      <c r="F24100" t="s">
        <v>0</v>
      </c>
      <c r="G24100" t="str">
        <f>"2018-10-06 13:45:29"</f>
        <v>2018-10-06 13:45:29</v>
      </c>
    </row>
    <row r="24101" spans="1:7" x14ac:dyDescent="0.2">
      <c r="A24101" t="s">
        <v>22350</v>
      </c>
      <c r="B24101" t="str">
        <f>"18602962739"</f>
        <v>18602962739</v>
      </c>
      <c r="C24101" t="str">
        <f>"610431198009011512"</f>
        <v>610431198009011512</v>
      </c>
      <c r="D24101" t="s">
        <v>1</v>
      </c>
      <c r="E24101" t="s">
        <v>1</v>
      </c>
      <c r="F24101" t="s">
        <v>0</v>
      </c>
      <c r="G24101" t="str">
        <f>"2018-10-06 13:48:44"</f>
        <v>2018-10-06 13:48:44</v>
      </c>
    </row>
    <row r="24102" spans="1:7" x14ac:dyDescent="0.2">
      <c r="A24102" t="s">
        <v>1</v>
      </c>
      <c r="B24102" t="str">
        <f>"13753909090"</f>
        <v>13753909090</v>
      </c>
      <c r="C24102" t="s">
        <v>1</v>
      </c>
      <c r="D24102" t="s">
        <v>1</v>
      </c>
      <c r="E24102" t="s">
        <v>1</v>
      </c>
      <c r="F24102" t="s">
        <v>0</v>
      </c>
      <c r="G24102" t="str">
        <f>"2018-10-06 13:47:05"</f>
        <v>2018-10-06 13:47:05</v>
      </c>
    </row>
    <row r="24103" spans="1:7" x14ac:dyDescent="0.2">
      <c r="A24103" t="s">
        <v>22351</v>
      </c>
      <c r="B24103" t="str">
        <f>"15109250078"</f>
        <v>15109250078</v>
      </c>
      <c r="C24103" t="str">
        <f>"61230119871221191X"</f>
        <v>61230119871221191X</v>
      </c>
      <c r="D24103" t="s">
        <v>1</v>
      </c>
      <c r="E24103" t="s">
        <v>1</v>
      </c>
      <c r="F24103" t="s">
        <v>0</v>
      </c>
      <c r="G24103" t="str">
        <f>"2018-10-18 15:42:09"</f>
        <v>2018-10-18 15:42:09</v>
      </c>
    </row>
    <row r="24104" spans="1:7" x14ac:dyDescent="0.2">
      <c r="A24104" t="s">
        <v>22352</v>
      </c>
      <c r="B24104" t="str">
        <f>"18962813123"</f>
        <v>18962813123</v>
      </c>
      <c r="C24104" t="str">
        <f>"320602198908112536"</f>
        <v>320602198908112536</v>
      </c>
      <c r="D24104" t="s">
        <v>1</v>
      </c>
      <c r="E24104" t="s">
        <v>1</v>
      </c>
      <c r="F24104" t="s">
        <v>0</v>
      </c>
      <c r="G24104" t="str">
        <f>"2018-10-06 13:45:39"</f>
        <v>2018-10-06 13:45:39</v>
      </c>
    </row>
    <row r="24105" spans="1:7" x14ac:dyDescent="0.2">
      <c r="A24105" t="s">
        <v>90</v>
      </c>
      <c r="B24105" t="str">
        <f>"15088890521"</f>
        <v>15088890521</v>
      </c>
      <c r="C24105" t="str">
        <f>"330225199305071551"</f>
        <v>330225199305071551</v>
      </c>
      <c r="D24105" t="s">
        <v>1</v>
      </c>
      <c r="E24105" t="s">
        <v>1</v>
      </c>
      <c r="F24105" t="s">
        <v>0</v>
      </c>
      <c r="G24105" t="str">
        <f>"2018-10-06 14:06:06"</f>
        <v>2018-10-06 14:06:06</v>
      </c>
    </row>
    <row r="24106" spans="1:7" x14ac:dyDescent="0.2">
      <c r="A24106" t="s">
        <v>1</v>
      </c>
      <c r="B24106" t="str">
        <f>"13216794912"</f>
        <v>13216794912</v>
      </c>
      <c r="C24106" t="s">
        <v>1</v>
      </c>
      <c r="D24106" t="s">
        <v>1</v>
      </c>
      <c r="E24106" t="s">
        <v>1</v>
      </c>
      <c r="F24106" t="s">
        <v>0</v>
      </c>
      <c r="G24106" t="str">
        <f>"2018-10-06 13:43:06"</f>
        <v>2018-10-06 13:43:06</v>
      </c>
    </row>
    <row r="24107" spans="1:7" x14ac:dyDescent="0.2">
      <c r="A24107" t="s">
        <v>22353</v>
      </c>
      <c r="B24107" t="str">
        <f>"13705652921"</f>
        <v>13705652921</v>
      </c>
      <c r="C24107" t="str">
        <f>"342601198609074671"</f>
        <v>342601198609074671</v>
      </c>
      <c r="D24107" t="s">
        <v>1</v>
      </c>
      <c r="E24107" t="s">
        <v>1</v>
      </c>
      <c r="F24107" t="s">
        <v>0</v>
      </c>
      <c r="G24107" t="str">
        <f>"2018-10-06 13:43:59"</f>
        <v>2018-10-06 13:43:59</v>
      </c>
    </row>
    <row r="24108" spans="1:7" x14ac:dyDescent="0.2">
      <c r="A24108" t="s">
        <v>1</v>
      </c>
      <c r="B24108" t="str">
        <f>"15387014211"</f>
        <v>15387014211</v>
      </c>
      <c r="C24108" t="s">
        <v>1</v>
      </c>
      <c r="D24108" t="s">
        <v>1</v>
      </c>
      <c r="E24108" t="s">
        <v>1</v>
      </c>
      <c r="F24108" t="s">
        <v>0</v>
      </c>
      <c r="G24108" t="str">
        <f>"2018-10-06 13:42:27"</f>
        <v>2018-10-06 13:42:27</v>
      </c>
    </row>
    <row r="24109" spans="1:7" x14ac:dyDescent="0.2">
      <c r="A24109" t="s">
        <v>1</v>
      </c>
      <c r="B24109" t="str">
        <f>"13657997300"</f>
        <v>13657997300</v>
      </c>
      <c r="C24109" t="s">
        <v>1</v>
      </c>
      <c r="D24109" t="s">
        <v>1</v>
      </c>
      <c r="E24109" t="s">
        <v>1</v>
      </c>
      <c r="F24109" t="s">
        <v>0</v>
      </c>
      <c r="G24109" t="str">
        <f>"2018-10-06 13:42:24"</f>
        <v>2018-10-06 13:42:24</v>
      </c>
    </row>
    <row r="24110" spans="1:7" x14ac:dyDescent="0.2">
      <c r="A24110" t="s">
        <v>1</v>
      </c>
      <c r="B24110" t="str">
        <f>"15061010702"</f>
        <v>15061010702</v>
      </c>
      <c r="C24110" t="s">
        <v>1</v>
      </c>
      <c r="D24110" t="s">
        <v>1</v>
      </c>
      <c r="E24110" t="s">
        <v>1</v>
      </c>
      <c r="F24110" t="s">
        <v>0</v>
      </c>
      <c r="G24110" t="str">
        <f>"2018-10-06 13:40:56"</f>
        <v>2018-10-06 13:40:56</v>
      </c>
    </row>
    <row r="24111" spans="1:7" x14ac:dyDescent="0.2">
      <c r="A24111" t="s">
        <v>22354</v>
      </c>
      <c r="B24111" t="str">
        <f>"15094986611"</f>
        <v>15094986611</v>
      </c>
      <c r="C24111" t="str">
        <f>"37078219880901745X"</f>
        <v>37078219880901745X</v>
      </c>
      <c r="D24111" t="s">
        <v>1</v>
      </c>
      <c r="E24111" t="s">
        <v>1</v>
      </c>
      <c r="F24111" t="s">
        <v>0</v>
      </c>
      <c r="G24111" t="str">
        <f>"2018-10-06 13:52:19"</f>
        <v>2018-10-06 13:52:19</v>
      </c>
    </row>
    <row r="24112" spans="1:7" x14ac:dyDescent="0.2">
      <c r="A24112" t="s">
        <v>22355</v>
      </c>
      <c r="B24112" t="str">
        <f>"15045117990"</f>
        <v>15045117990</v>
      </c>
      <c r="C24112" t="str">
        <f>"232302198606280714"</f>
        <v>232302198606280714</v>
      </c>
      <c r="D24112" t="s">
        <v>22356</v>
      </c>
      <c r="E24112" t="s">
        <v>22357</v>
      </c>
      <c r="F24112" t="s">
        <v>0</v>
      </c>
      <c r="G24112" t="str">
        <f>"2018-10-06 13:41:37"</f>
        <v>2018-10-06 13:41:37</v>
      </c>
    </row>
    <row r="24113" spans="1:7" x14ac:dyDescent="0.2">
      <c r="A24113" t="s">
        <v>22358</v>
      </c>
      <c r="B24113" t="str">
        <f>"13512180662"</f>
        <v>13512180662</v>
      </c>
      <c r="C24113" t="str">
        <f>"362422199204216714"</f>
        <v>362422199204216714</v>
      </c>
      <c r="D24113" t="s">
        <v>22359</v>
      </c>
      <c r="E24113" t="s">
        <v>22360</v>
      </c>
      <c r="F24113" t="s">
        <v>0</v>
      </c>
      <c r="G24113" t="str">
        <f>"2018-10-06 13:39:15"</f>
        <v>2018-10-06 13:39:15</v>
      </c>
    </row>
    <row r="24114" spans="1:7" x14ac:dyDescent="0.2">
      <c r="A24114" t="s">
        <v>22361</v>
      </c>
      <c r="B24114" t="str">
        <f>"15550948196"</f>
        <v>15550948196</v>
      </c>
      <c r="C24114" t="str">
        <f>"371325199105105036"</f>
        <v>371325199105105036</v>
      </c>
      <c r="D24114" t="s">
        <v>1</v>
      </c>
      <c r="E24114" t="s">
        <v>1</v>
      </c>
      <c r="F24114" t="s">
        <v>0</v>
      </c>
      <c r="G24114" t="str">
        <f>"2018-10-06 13:39:33"</f>
        <v>2018-10-06 13:39:33</v>
      </c>
    </row>
    <row r="24115" spans="1:7" x14ac:dyDescent="0.2">
      <c r="A24115" t="s">
        <v>22362</v>
      </c>
      <c r="B24115" t="str">
        <f>"13437787297"</f>
        <v>13437787297</v>
      </c>
      <c r="C24115" t="str">
        <f>"441523198803257231"</f>
        <v>441523198803257231</v>
      </c>
      <c r="D24115" t="s">
        <v>1</v>
      </c>
      <c r="E24115" t="s">
        <v>1</v>
      </c>
      <c r="F24115" t="s">
        <v>0</v>
      </c>
      <c r="G24115" t="str">
        <f>"2018-10-06 14:39:29"</f>
        <v>2018-10-06 14:39:29</v>
      </c>
    </row>
    <row r="24116" spans="1:7" x14ac:dyDescent="0.2">
      <c r="A24116" t="s">
        <v>1</v>
      </c>
      <c r="B24116" t="str">
        <f>"13299665884"</f>
        <v>13299665884</v>
      </c>
      <c r="C24116" t="s">
        <v>1</v>
      </c>
      <c r="D24116" t="s">
        <v>1</v>
      </c>
      <c r="E24116" t="s">
        <v>1</v>
      </c>
      <c r="F24116" t="s">
        <v>0</v>
      </c>
      <c r="G24116" t="str">
        <f>"2018-10-06 13:38:22"</f>
        <v>2018-10-06 13:38:22</v>
      </c>
    </row>
    <row r="24117" spans="1:7" x14ac:dyDescent="0.2">
      <c r="A24117" t="s">
        <v>1</v>
      </c>
      <c r="B24117" t="str">
        <f>"13171833977"</f>
        <v>13171833977</v>
      </c>
      <c r="C24117" t="s">
        <v>1</v>
      </c>
      <c r="D24117" t="s">
        <v>1</v>
      </c>
      <c r="E24117" t="s">
        <v>1</v>
      </c>
      <c r="F24117" t="s">
        <v>0</v>
      </c>
      <c r="G24117" t="str">
        <f>"2018-10-06 13:37:44"</f>
        <v>2018-10-06 13:37:44</v>
      </c>
    </row>
    <row r="24118" spans="1:7" x14ac:dyDescent="0.2">
      <c r="A24118" t="s">
        <v>22363</v>
      </c>
      <c r="B24118" t="str">
        <f>"18500782360"</f>
        <v>18500782360</v>
      </c>
      <c r="C24118" t="str">
        <f>"130524199006210550"</f>
        <v>130524199006210550</v>
      </c>
      <c r="D24118" t="s">
        <v>1</v>
      </c>
      <c r="E24118" t="s">
        <v>1</v>
      </c>
      <c r="F24118" t="s">
        <v>0</v>
      </c>
      <c r="G24118" t="str">
        <f>"2018-10-06 13:39:35"</f>
        <v>2018-10-06 13:39:35</v>
      </c>
    </row>
    <row r="24119" spans="1:7" x14ac:dyDescent="0.2">
      <c r="A24119" t="s">
        <v>938</v>
      </c>
      <c r="B24119" t="str">
        <f>"15877264303"</f>
        <v>15877264303</v>
      </c>
      <c r="C24119" t="str">
        <f>"450204197812101440"</f>
        <v>450204197812101440</v>
      </c>
      <c r="D24119" t="s">
        <v>1</v>
      </c>
      <c r="E24119" t="s">
        <v>1</v>
      </c>
      <c r="F24119" t="s">
        <v>0</v>
      </c>
      <c r="G24119" t="str">
        <f>"2018-10-07 20:12:32"</f>
        <v>2018-10-07 20:12:32</v>
      </c>
    </row>
    <row r="24120" spans="1:7" x14ac:dyDescent="0.2">
      <c r="A24120" t="s">
        <v>22364</v>
      </c>
      <c r="B24120" t="str">
        <f>"15541850723"</f>
        <v>15541850723</v>
      </c>
      <c r="C24120" t="str">
        <f>"211404198907233616"</f>
        <v>211404198907233616</v>
      </c>
      <c r="D24120" t="s">
        <v>22365</v>
      </c>
      <c r="E24120" t="s">
        <v>22366</v>
      </c>
      <c r="F24120" t="s">
        <v>0</v>
      </c>
      <c r="G24120" t="str">
        <f>"2018-10-12 19:23:02"</f>
        <v>2018-10-12 19:23:02</v>
      </c>
    </row>
    <row r="24121" spans="1:7" x14ac:dyDescent="0.2">
      <c r="A24121" t="s">
        <v>22367</v>
      </c>
      <c r="B24121" t="str">
        <f>"15817083896"</f>
        <v>15817083896</v>
      </c>
      <c r="C24121" t="str">
        <f>"445122199110157414"</f>
        <v>445122199110157414</v>
      </c>
      <c r="D24121" t="s">
        <v>1</v>
      </c>
      <c r="E24121" t="s">
        <v>1</v>
      </c>
      <c r="F24121" t="s">
        <v>0</v>
      </c>
      <c r="G24121" t="str">
        <f>"2018-10-08 10:03:00"</f>
        <v>2018-10-08 10:03:00</v>
      </c>
    </row>
    <row r="24122" spans="1:7" x14ac:dyDescent="0.2">
      <c r="A24122" t="s">
        <v>1</v>
      </c>
      <c r="B24122" t="str">
        <f>"18261336653"</f>
        <v>18261336653</v>
      </c>
      <c r="C24122" t="s">
        <v>1</v>
      </c>
      <c r="D24122" t="s">
        <v>1</v>
      </c>
      <c r="E24122" t="s">
        <v>1</v>
      </c>
      <c r="F24122" t="s">
        <v>0</v>
      </c>
      <c r="G24122" t="str">
        <f>"2018-10-06 13:33:16"</f>
        <v>2018-10-06 13:33:16</v>
      </c>
    </row>
    <row r="24123" spans="1:7" x14ac:dyDescent="0.2">
      <c r="A24123" t="s">
        <v>22368</v>
      </c>
      <c r="B24123" t="str">
        <f>"13823370460"</f>
        <v>13823370460</v>
      </c>
      <c r="C24123" t="str">
        <f>"44162519920826611X"</f>
        <v>44162519920826611X</v>
      </c>
      <c r="D24123" t="s">
        <v>1</v>
      </c>
      <c r="E24123" t="s">
        <v>1</v>
      </c>
      <c r="F24123" t="s">
        <v>0</v>
      </c>
      <c r="G24123" t="str">
        <f>"2018-10-06 13:34:40"</f>
        <v>2018-10-06 13:34:40</v>
      </c>
    </row>
    <row r="24124" spans="1:7" x14ac:dyDescent="0.2">
      <c r="A24124" t="s">
        <v>22369</v>
      </c>
      <c r="B24124" t="str">
        <f>"15299624513"</f>
        <v>15299624513</v>
      </c>
      <c r="C24124" t="str">
        <f>"65230219930820103X"</f>
        <v>65230219930820103X</v>
      </c>
      <c r="D24124" t="s">
        <v>1</v>
      </c>
      <c r="E24124" t="s">
        <v>1</v>
      </c>
      <c r="F24124" t="s">
        <v>0</v>
      </c>
      <c r="G24124" t="str">
        <f>"2018-10-06 14:10:18"</f>
        <v>2018-10-06 14:10:18</v>
      </c>
    </row>
    <row r="24125" spans="1:7" x14ac:dyDescent="0.2">
      <c r="A24125" t="s">
        <v>22370</v>
      </c>
      <c r="B24125" t="str">
        <f>"18699152193"</f>
        <v>18699152193</v>
      </c>
      <c r="C24125" t="str">
        <f>"622725199401112622"</f>
        <v>622725199401112622</v>
      </c>
      <c r="D24125" t="s">
        <v>1</v>
      </c>
      <c r="E24125" t="s">
        <v>1</v>
      </c>
      <c r="F24125" t="s">
        <v>0</v>
      </c>
      <c r="G24125" t="str">
        <f>"2018-10-19 19:20:07"</f>
        <v>2018-10-19 19:20:07</v>
      </c>
    </row>
    <row r="24126" spans="1:7" x14ac:dyDescent="0.2">
      <c r="A24126" t="s">
        <v>22371</v>
      </c>
      <c r="B24126" t="str">
        <f>"18523715166"</f>
        <v>18523715166</v>
      </c>
      <c r="C24126" t="str">
        <f>"500105198403250912"</f>
        <v>500105198403250912</v>
      </c>
      <c r="D24126" t="s">
        <v>1</v>
      </c>
      <c r="E24126" t="s">
        <v>1</v>
      </c>
      <c r="F24126" t="s">
        <v>0</v>
      </c>
      <c r="G24126" t="str">
        <f>"2018-10-06 13:34:18"</f>
        <v>2018-10-06 13:34:18</v>
      </c>
    </row>
    <row r="24127" spans="1:7" x14ac:dyDescent="0.2">
      <c r="A24127" t="s">
        <v>22372</v>
      </c>
      <c r="B24127" t="str">
        <f>"15923367014"</f>
        <v>15923367014</v>
      </c>
      <c r="C24127" t="str">
        <f>"500381198608299434"</f>
        <v>500381198608299434</v>
      </c>
      <c r="D24127" t="s">
        <v>1</v>
      </c>
      <c r="E24127" t="s">
        <v>1</v>
      </c>
      <c r="F24127" t="s">
        <v>0</v>
      </c>
      <c r="G24127" t="str">
        <f>"2018-10-06 13:34:31"</f>
        <v>2018-10-06 13:34:31</v>
      </c>
    </row>
    <row r="24128" spans="1:7" x14ac:dyDescent="0.2">
      <c r="A24128" t="s">
        <v>1</v>
      </c>
      <c r="B24128" t="str">
        <f>"15932122840"</f>
        <v>15932122840</v>
      </c>
      <c r="C24128" t="s">
        <v>1</v>
      </c>
      <c r="D24128" t="s">
        <v>1</v>
      </c>
      <c r="E24128" t="s">
        <v>1</v>
      </c>
      <c r="F24128" t="s">
        <v>0</v>
      </c>
      <c r="G24128" t="str">
        <f>"2018-10-06 13:32:03"</f>
        <v>2018-10-06 13:32:03</v>
      </c>
    </row>
    <row r="24129" spans="1:7" x14ac:dyDescent="0.2">
      <c r="A24129" t="s">
        <v>1</v>
      </c>
      <c r="B24129" t="str">
        <f>"15545141200"</f>
        <v>15545141200</v>
      </c>
      <c r="C24129" t="s">
        <v>1</v>
      </c>
      <c r="D24129" t="s">
        <v>1</v>
      </c>
      <c r="E24129" t="s">
        <v>1</v>
      </c>
      <c r="F24129" t="s">
        <v>0</v>
      </c>
      <c r="G24129" t="str">
        <f>"2018-10-06 13:31:44"</f>
        <v>2018-10-06 13:31:44</v>
      </c>
    </row>
    <row r="24130" spans="1:7" x14ac:dyDescent="0.2">
      <c r="A24130" t="s">
        <v>22373</v>
      </c>
      <c r="B24130" t="str">
        <f>"18770099670"</f>
        <v>18770099670</v>
      </c>
      <c r="C24130" t="str">
        <f>"360122198806131811"</f>
        <v>360122198806131811</v>
      </c>
      <c r="D24130" t="s">
        <v>1</v>
      </c>
      <c r="E24130" t="s">
        <v>1</v>
      </c>
      <c r="F24130" t="s">
        <v>0</v>
      </c>
      <c r="G24130" t="str">
        <f>"2018-10-06 14:13:08"</f>
        <v>2018-10-06 14:13:08</v>
      </c>
    </row>
    <row r="24131" spans="1:7" x14ac:dyDescent="0.2">
      <c r="A24131" t="s">
        <v>22374</v>
      </c>
      <c r="B24131" t="str">
        <f>"15210556876"</f>
        <v>15210556876</v>
      </c>
      <c r="C24131" t="str">
        <f>"140402199205300418"</f>
        <v>140402199205300418</v>
      </c>
      <c r="D24131" t="s">
        <v>1</v>
      </c>
      <c r="E24131" t="s">
        <v>1</v>
      </c>
      <c r="F24131" t="s">
        <v>0</v>
      </c>
      <c r="G24131" t="str">
        <f>"2018-10-06 13:33:33"</f>
        <v>2018-10-06 13:33:33</v>
      </c>
    </row>
    <row r="24132" spans="1:7" x14ac:dyDescent="0.2">
      <c r="A24132" t="s">
        <v>22375</v>
      </c>
      <c r="B24132" t="str">
        <f>"15509927559"</f>
        <v>15509927559</v>
      </c>
      <c r="C24132" t="str">
        <f>"65422319921118151X"</f>
        <v>65422319921118151X</v>
      </c>
      <c r="D24132" t="s">
        <v>22376</v>
      </c>
      <c r="E24132" t="s">
        <v>22377</v>
      </c>
      <c r="F24132" t="s">
        <v>0</v>
      </c>
      <c r="G24132" t="str">
        <f>"2018-10-06 13:38:16"</f>
        <v>2018-10-06 13:38:16</v>
      </c>
    </row>
    <row r="24133" spans="1:7" x14ac:dyDescent="0.2">
      <c r="A24133" t="s">
        <v>22378</v>
      </c>
      <c r="B24133" t="str">
        <f>"13472824782"</f>
        <v>13472824782</v>
      </c>
      <c r="C24133" t="str">
        <f>"350521198111185577"</f>
        <v>350521198111185577</v>
      </c>
      <c r="D24133" t="s">
        <v>1</v>
      </c>
      <c r="E24133" t="s">
        <v>1</v>
      </c>
      <c r="F24133" t="s">
        <v>0</v>
      </c>
      <c r="G24133" t="str">
        <f>"2018-10-06 13:42:43"</f>
        <v>2018-10-06 13:42:43</v>
      </c>
    </row>
    <row r="24134" spans="1:7" x14ac:dyDescent="0.2">
      <c r="A24134" t="s">
        <v>22379</v>
      </c>
      <c r="B24134" t="str">
        <f>"18084152814"</f>
        <v>18084152814</v>
      </c>
      <c r="C24134" t="str">
        <f>"520203199408230014"</f>
        <v>520203199408230014</v>
      </c>
      <c r="D24134" t="s">
        <v>22380</v>
      </c>
      <c r="E24134" t="s">
        <v>22381</v>
      </c>
      <c r="F24134" t="s">
        <v>0</v>
      </c>
      <c r="G24134" t="str">
        <f>"2018-10-06 13:31:54"</f>
        <v>2018-10-06 13:31:54</v>
      </c>
    </row>
    <row r="24135" spans="1:7" x14ac:dyDescent="0.2">
      <c r="A24135" t="s">
        <v>22382</v>
      </c>
      <c r="B24135" t="str">
        <f>"13827124159"</f>
        <v>13827124159</v>
      </c>
      <c r="C24135" t="str">
        <f>"440804198905031694"</f>
        <v>440804198905031694</v>
      </c>
      <c r="D24135" t="s">
        <v>22383</v>
      </c>
      <c r="E24135" t="s">
        <v>22384</v>
      </c>
      <c r="F24135" t="s">
        <v>0</v>
      </c>
      <c r="G24135" t="str">
        <f>"2018-10-17 18:57:24"</f>
        <v>2018-10-17 18:57:24</v>
      </c>
    </row>
    <row r="24136" spans="1:7" x14ac:dyDescent="0.2">
      <c r="A24136" t="s">
        <v>22385</v>
      </c>
      <c r="B24136" t="str">
        <f>"18355122088"</f>
        <v>18355122088</v>
      </c>
      <c r="C24136" t="str">
        <f>"342201198802075674"</f>
        <v>342201198802075674</v>
      </c>
      <c r="D24136" t="s">
        <v>1</v>
      </c>
      <c r="E24136" t="s">
        <v>1</v>
      </c>
      <c r="F24136" t="s">
        <v>0</v>
      </c>
      <c r="G24136" t="str">
        <f>"2018-10-06 13:31:43"</f>
        <v>2018-10-06 13:31:43</v>
      </c>
    </row>
    <row r="24137" spans="1:7" x14ac:dyDescent="0.2">
      <c r="A24137" t="s">
        <v>1</v>
      </c>
      <c r="B24137" t="str">
        <f>"17733665470"</f>
        <v>17733665470</v>
      </c>
      <c r="C24137" t="s">
        <v>1</v>
      </c>
      <c r="D24137" t="s">
        <v>1</v>
      </c>
      <c r="E24137" t="s">
        <v>1</v>
      </c>
      <c r="F24137" t="s">
        <v>0</v>
      </c>
      <c r="G24137" t="str">
        <f>"2018-10-06 13:29:33"</f>
        <v>2018-10-06 13:29:33</v>
      </c>
    </row>
    <row r="24138" spans="1:7" x14ac:dyDescent="0.2">
      <c r="A24138" t="s">
        <v>22386</v>
      </c>
      <c r="B24138" t="str">
        <f>"18537753067"</f>
        <v>18537753067</v>
      </c>
      <c r="C24138" t="str">
        <f>"411329199307103133"</f>
        <v>411329199307103133</v>
      </c>
      <c r="D24138" t="s">
        <v>1</v>
      </c>
      <c r="E24138" t="s">
        <v>1</v>
      </c>
      <c r="F24138" t="s">
        <v>0</v>
      </c>
      <c r="G24138" t="str">
        <f>"2018-10-06 13:29:32"</f>
        <v>2018-10-06 13:29:32</v>
      </c>
    </row>
    <row r="24139" spans="1:7" x14ac:dyDescent="0.2">
      <c r="A24139" t="s">
        <v>22387</v>
      </c>
      <c r="B24139" t="str">
        <f>"18603992231"</f>
        <v>18603992231</v>
      </c>
      <c r="C24139" t="str">
        <f>"411081199504151272"</f>
        <v>411081199504151272</v>
      </c>
      <c r="D24139" t="s">
        <v>1</v>
      </c>
      <c r="E24139" t="s">
        <v>1</v>
      </c>
      <c r="F24139" t="s">
        <v>0</v>
      </c>
      <c r="G24139" t="str">
        <f>"2018-10-06 13:32:42"</f>
        <v>2018-10-06 13:32:42</v>
      </c>
    </row>
    <row r="24140" spans="1:7" x14ac:dyDescent="0.2">
      <c r="A24140" t="s">
        <v>1</v>
      </c>
      <c r="B24140" t="str">
        <f>"17377704804"</f>
        <v>17377704804</v>
      </c>
      <c r="C24140" t="s">
        <v>1</v>
      </c>
      <c r="D24140" t="s">
        <v>1</v>
      </c>
      <c r="E24140" t="s">
        <v>1</v>
      </c>
      <c r="F24140" t="s">
        <v>0</v>
      </c>
      <c r="G24140" t="str">
        <f>"2018-10-06 13:28:55"</f>
        <v>2018-10-06 13:28:55</v>
      </c>
    </row>
    <row r="24141" spans="1:7" x14ac:dyDescent="0.2">
      <c r="A24141" t="s">
        <v>22388</v>
      </c>
      <c r="B24141" t="str">
        <f>"18940989191"</f>
        <v>18940989191</v>
      </c>
      <c r="C24141" t="str">
        <f>"21028219890226041X"</f>
        <v>21028219890226041X</v>
      </c>
      <c r="D24141" t="s">
        <v>1</v>
      </c>
      <c r="E24141" t="s">
        <v>1</v>
      </c>
      <c r="F24141" t="s">
        <v>0</v>
      </c>
      <c r="G24141" t="str">
        <f>"2018-10-06 13:30:14"</f>
        <v>2018-10-06 13:30:14</v>
      </c>
    </row>
    <row r="24142" spans="1:7" x14ac:dyDescent="0.2">
      <c r="A24142" t="s">
        <v>22389</v>
      </c>
      <c r="B24142" t="str">
        <f>"14741456314"</f>
        <v>14741456314</v>
      </c>
      <c r="C24142" t="str">
        <f>"210905198510182016"</f>
        <v>210905198510182016</v>
      </c>
      <c r="D24142" t="s">
        <v>22390</v>
      </c>
      <c r="E24142" t="s">
        <v>22391</v>
      </c>
      <c r="F24142" t="s">
        <v>0</v>
      </c>
      <c r="G24142" t="str">
        <f>"2018-10-06 13:29:54"</f>
        <v>2018-10-06 13:29:54</v>
      </c>
    </row>
    <row r="24143" spans="1:7" x14ac:dyDescent="0.2">
      <c r="A24143" t="s">
        <v>1</v>
      </c>
      <c r="B24143" t="str">
        <f>"18666832987"</f>
        <v>18666832987</v>
      </c>
      <c r="C24143" t="s">
        <v>1</v>
      </c>
      <c r="D24143" t="s">
        <v>1</v>
      </c>
      <c r="E24143" t="s">
        <v>1</v>
      </c>
      <c r="F24143" t="s">
        <v>0</v>
      </c>
      <c r="G24143" t="str">
        <f>"2018-10-06 16:38:16"</f>
        <v>2018-10-06 16:38:16</v>
      </c>
    </row>
    <row r="24144" spans="1:7" x14ac:dyDescent="0.2">
      <c r="A24144" t="s">
        <v>131</v>
      </c>
      <c r="B24144" t="str">
        <f>"18895681020"</f>
        <v>18895681020</v>
      </c>
      <c r="C24144" t="str">
        <f>"341621199507065159"</f>
        <v>341621199507065159</v>
      </c>
      <c r="D24144" t="s">
        <v>22392</v>
      </c>
      <c r="E24144" t="s">
        <v>22393</v>
      </c>
      <c r="F24144" t="s">
        <v>0</v>
      </c>
      <c r="G24144" t="str">
        <f>"2018-10-06 13:29:25"</f>
        <v>2018-10-06 13:29:25</v>
      </c>
    </row>
    <row r="24145" spans="1:7" x14ac:dyDescent="0.2">
      <c r="A24145" t="s">
        <v>1</v>
      </c>
      <c r="B24145" t="str">
        <f>"18344600413"</f>
        <v>18344600413</v>
      </c>
      <c r="C24145" t="s">
        <v>1</v>
      </c>
      <c r="D24145" t="s">
        <v>1</v>
      </c>
      <c r="E24145" t="s">
        <v>1</v>
      </c>
      <c r="F24145" t="s">
        <v>0</v>
      </c>
      <c r="G24145" t="str">
        <f>"2018-10-06 13:27:46"</f>
        <v>2018-10-06 13:27:46</v>
      </c>
    </row>
    <row r="24146" spans="1:7" x14ac:dyDescent="0.2">
      <c r="A24146" t="s">
        <v>1</v>
      </c>
      <c r="B24146" t="str">
        <f>"18814113647"</f>
        <v>18814113647</v>
      </c>
      <c r="C24146" t="s">
        <v>1</v>
      </c>
      <c r="D24146" t="s">
        <v>1</v>
      </c>
      <c r="E24146" t="s">
        <v>1</v>
      </c>
      <c r="F24146" t="s">
        <v>0</v>
      </c>
      <c r="G24146" t="str">
        <f>"2018-10-06 13:30:39"</f>
        <v>2018-10-06 13:30:39</v>
      </c>
    </row>
    <row r="24147" spans="1:7" x14ac:dyDescent="0.2">
      <c r="A24147" t="s">
        <v>22394</v>
      </c>
      <c r="B24147" t="str">
        <f>"18682700670"</f>
        <v>18682700670</v>
      </c>
      <c r="C24147" t="str">
        <f>"51372219891022523X"</f>
        <v>51372219891022523X</v>
      </c>
      <c r="D24147" t="s">
        <v>1</v>
      </c>
      <c r="E24147" t="s">
        <v>1</v>
      </c>
      <c r="F24147" t="s">
        <v>0</v>
      </c>
      <c r="G24147" t="str">
        <f>"2018-10-06 13:28:37"</f>
        <v>2018-10-06 13:28:37</v>
      </c>
    </row>
    <row r="24148" spans="1:7" x14ac:dyDescent="0.2">
      <c r="A24148" t="s">
        <v>22395</v>
      </c>
      <c r="B24148" t="str">
        <f>"15685080613"</f>
        <v>15685080613</v>
      </c>
      <c r="C24148" t="str">
        <f>"522701198406135947"</f>
        <v>522701198406135947</v>
      </c>
      <c r="D24148" t="s">
        <v>22396</v>
      </c>
      <c r="E24148" t="s">
        <v>22397</v>
      </c>
      <c r="F24148" t="s">
        <v>0</v>
      </c>
      <c r="G24148" t="str">
        <f>"2018-10-06 13:28:46"</f>
        <v>2018-10-06 13:28:46</v>
      </c>
    </row>
    <row r="24149" spans="1:7" x14ac:dyDescent="0.2">
      <c r="A24149" t="s">
        <v>1</v>
      </c>
      <c r="B24149" t="str">
        <f>"15253859736"</f>
        <v>15253859736</v>
      </c>
      <c r="C24149" t="s">
        <v>1</v>
      </c>
      <c r="D24149" t="s">
        <v>1</v>
      </c>
      <c r="E24149" t="s">
        <v>1</v>
      </c>
      <c r="F24149" t="s">
        <v>0</v>
      </c>
      <c r="G24149" t="str">
        <f>"2018-10-06 13:26:39"</f>
        <v>2018-10-06 13:26:39</v>
      </c>
    </row>
    <row r="24150" spans="1:7" x14ac:dyDescent="0.2">
      <c r="A24150" t="s">
        <v>22398</v>
      </c>
      <c r="B24150" t="str">
        <f>"15243783053"</f>
        <v>15243783053</v>
      </c>
      <c r="C24150" t="str">
        <f>"430922198703222042"</f>
        <v>430922198703222042</v>
      </c>
      <c r="D24150" t="s">
        <v>1</v>
      </c>
      <c r="E24150" t="s">
        <v>1</v>
      </c>
      <c r="F24150" t="s">
        <v>0</v>
      </c>
      <c r="G24150" t="str">
        <f>"2018-10-06 13:28:41"</f>
        <v>2018-10-06 13:28:41</v>
      </c>
    </row>
    <row r="24151" spans="1:7" x14ac:dyDescent="0.2">
      <c r="A24151" t="s">
        <v>1</v>
      </c>
      <c r="B24151" t="str">
        <f>"18217222557"</f>
        <v>18217222557</v>
      </c>
      <c r="C24151" t="s">
        <v>1</v>
      </c>
      <c r="D24151" t="s">
        <v>1</v>
      </c>
      <c r="E24151" t="s">
        <v>1</v>
      </c>
      <c r="F24151" t="s">
        <v>0</v>
      </c>
      <c r="G24151" t="str">
        <f>"2018-11-05 13:49:18"</f>
        <v>2018-11-05 13:49:18</v>
      </c>
    </row>
    <row r="24152" spans="1:7" x14ac:dyDescent="0.2">
      <c r="A24152" t="s">
        <v>1</v>
      </c>
      <c r="B24152" t="str">
        <f>"18666913663"</f>
        <v>18666913663</v>
      </c>
      <c r="C24152" t="s">
        <v>1</v>
      </c>
      <c r="D24152" t="s">
        <v>1</v>
      </c>
      <c r="E24152" t="s">
        <v>1</v>
      </c>
      <c r="F24152" t="s">
        <v>0</v>
      </c>
      <c r="G24152" t="str">
        <f>"2018-10-06 13:26:00"</f>
        <v>2018-10-06 13:26:00</v>
      </c>
    </row>
    <row r="24153" spans="1:7" x14ac:dyDescent="0.2">
      <c r="A24153" t="s">
        <v>1</v>
      </c>
      <c r="B24153" t="str">
        <f>"15676640474"</f>
        <v>15676640474</v>
      </c>
      <c r="C24153" t="s">
        <v>1</v>
      </c>
      <c r="D24153" t="s">
        <v>1</v>
      </c>
      <c r="E24153" t="s">
        <v>1</v>
      </c>
      <c r="F24153" t="s">
        <v>0</v>
      </c>
      <c r="G24153" t="str">
        <f>"2018-10-06 13:25:55"</f>
        <v>2018-10-06 13:25:55</v>
      </c>
    </row>
    <row r="24154" spans="1:7" x14ac:dyDescent="0.2">
      <c r="A24154" t="s">
        <v>22399</v>
      </c>
      <c r="B24154" t="str">
        <f>"18646961610"</f>
        <v>18646961610</v>
      </c>
      <c r="C24154" t="str">
        <f>"230523199703101218"</f>
        <v>230523199703101218</v>
      </c>
      <c r="D24154" t="s">
        <v>22400</v>
      </c>
      <c r="E24154" t="s">
        <v>22401</v>
      </c>
      <c r="F24154" t="s">
        <v>0</v>
      </c>
      <c r="G24154" t="str">
        <f>"2018-10-06 13:30:56"</f>
        <v>2018-10-06 13:30:56</v>
      </c>
    </row>
    <row r="24155" spans="1:7" x14ac:dyDescent="0.2">
      <c r="A24155" t="s">
        <v>1</v>
      </c>
      <c r="B24155" t="str">
        <f>"18666474719"</f>
        <v>18666474719</v>
      </c>
      <c r="C24155" t="s">
        <v>1</v>
      </c>
      <c r="D24155" t="s">
        <v>1</v>
      </c>
      <c r="E24155" t="s">
        <v>1</v>
      </c>
      <c r="F24155" t="s">
        <v>0</v>
      </c>
      <c r="G24155" t="str">
        <f>"2018-10-06 13:25:38"</f>
        <v>2018-10-06 13:25:38</v>
      </c>
    </row>
    <row r="24156" spans="1:7" x14ac:dyDescent="0.2">
      <c r="A24156" t="s">
        <v>22402</v>
      </c>
      <c r="B24156" t="str">
        <f>"13947009246"</f>
        <v>13947009246</v>
      </c>
      <c r="C24156" t="str">
        <f>"152104198611285220"</f>
        <v>152104198611285220</v>
      </c>
      <c r="D24156" t="s">
        <v>1</v>
      </c>
      <c r="E24156" t="s">
        <v>1</v>
      </c>
      <c r="F24156" t="s">
        <v>0</v>
      </c>
      <c r="G24156" t="str">
        <f>"2018-10-09 10:26:29"</f>
        <v>2018-10-09 10:26:29</v>
      </c>
    </row>
    <row r="24157" spans="1:7" x14ac:dyDescent="0.2">
      <c r="A24157" t="s">
        <v>22403</v>
      </c>
      <c r="B24157" t="str">
        <f>"13841654846"</f>
        <v>13841654846</v>
      </c>
      <c r="C24157" t="str">
        <f>"21038119890520421X"</f>
        <v>21038119890520421X</v>
      </c>
      <c r="D24157" t="s">
        <v>1</v>
      </c>
      <c r="E24157" t="s">
        <v>1</v>
      </c>
      <c r="F24157" t="s">
        <v>0</v>
      </c>
      <c r="G24157" t="str">
        <f>"2018-10-06 13:28:55"</f>
        <v>2018-10-06 13:28:55</v>
      </c>
    </row>
    <row r="24158" spans="1:7" x14ac:dyDescent="0.2">
      <c r="A24158" t="s">
        <v>22404</v>
      </c>
      <c r="B24158" t="str">
        <f>"13782881960"</f>
        <v>13782881960</v>
      </c>
      <c r="C24158" t="str">
        <f>"410825199112201519"</f>
        <v>410825199112201519</v>
      </c>
      <c r="D24158" t="s">
        <v>1</v>
      </c>
      <c r="E24158" t="s">
        <v>1</v>
      </c>
      <c r="F24158" t="s">
        <v>0</v>
      </c>
      <c r="G24158" t="str">
        <f>"2018-10-06 17:11:08"</f>
        <v>2018-10-06 17:11:08</v>
      </c>
    </row>
    <row r="24159" spans="1:7" x14ac:dyDescent="0.2">
      <c r="A24159" t="s">
        <v>595</v>
      </c>
      <c r="B24159" t="str">
        <f>"13503865267"</f>
        <v>13503865267</v>
      </c>
      <c r="C24159" t="str">
        <f>"410105198101136135"</f>
        <v>410105198101136135</v>
      </c>
      <c r="D24159" t="s">
        <v>22405</v>
      </c>
      <c r="E24159" t="s">
        <v>22406</v>
      </c>
      <c r="F24159" t="s">
        <v>0</v>
      </c>
      <c r="G24159" t="str">
        <f>"2018-10-06 13:26:55"</f>
        <v>2018-10-06 13:26:55</v>
      </c>
    </row>
    <row r="24160" spans="1:7" x14ac:dyDescent="0.2">
      <c r="A24160" t="s">
        <v>1</v>
      </c>
      <c r="B24160" t="str">
        <f>"18912115011"</f>
        <v>18912115011</v>
      </c>
      <c r="C24160" t="s">
        <v>1</v>
      </c>
      <c r="D24160" t="s">
        <v>1</v>
      </c>
      <c r="E24160" t="s">
        <v>1</v>
      </c>
      <c r="F24160" t="s">
        <v>0</v>
      </c>
      <c r="G24160" t="str">
        <f>"2018-10-06 13:24:07"</f>
        <v>2018-10-06 13:24:07</v>
      </c>
    </row>
    <row r="24161" spans="1:7" x14ac:dyDescent="0.2">
      <c r="A24161" t="s">
        <v>1</v>
      </c>
      <c r="B24161" t="str">
        <f>"13757779827"</f>
        <v>13757779827</v>
      </c>
      <c r="C24161" t="s">
        <v>1</v>
      </c>
      <c r="D24161" t="s">
        <v>1</v>
      </c>
      <c r="E24161" t="s">
        <v>1</v>
      </c>
      <c r="F24161" t="s">
        <v>0</v>
      </c>
      <c r="G24161" t="str">
        <f>"2018-10-06 13:24:00"</f>
        <v>2018-10-06 13:24:00</v>
      </c>
    </row>
    <row r="24162" spans="1:7" x14ac:dyDescent="0.2">
      <c r="A24162" t="s">
        <v>22407</v>
      </c>
      <c r="B24162" t="str">
        <f>"18642133736"</f>
        <v>18642133736</v>
      </c>
      <c r="C24162" t="str">
        <f>"142433198907180045"</f>
        <v>142433198907180045</v>
      </c>
      <c r="D24162" t="s">
        <v>1</v>
      </c>
      <c r="E24162" t="s">
        <v>1</v>
      </c>
      <c r="F24162" t="s">
        <v>0</v>
      </c>
      <c r="G24162" t="str">
        <f>"2018-10-06 13:25:44"</f>
        <v>2018-10-06 13:25:44</v>
      </c>
    </row>
    <row r="24163" spans="1:7" x14ac:dyDescent="0.2">
      <c r="A24163" t="s">
        <v>1</v>
      </c>
      <c r="B24163" t="str">
        <f>"17721027559"</f>
        <v>17721027559</v>
      </c>
      <c r="C24163" t="s">
        <v>1</v>
      </c>
      <c r="D24163" t="s">
        <v>1</v>
      </c>
      <c r="E24163" t="s">
        <v>1</v>
      </c>
      <c r="F24163" t="s">
        <v>0</v>
      </c>
      <c r="G24163" t="str">
        <f>"2018-10-06 13:23:24"</f>
        <v>2018-10-06 13:23:24</v>
      </c>
    </row>
    <row r="24164" spans="1:7" x14ac:dyDescent="0.2">
      <c r="A24164" t="s">
        <v>22408</v>
      </c>
      <c r="B24164" t="str">
        <f>"15206646664"</f>
        <v>15206646664</v>
      </c>
      <c r="C24164" t="str">
        <f>"371581199601096054"</f>
        <v>371581199601096054</v>
      </c>
      <c r="D24164" t="s">
        <v>22409</v>
      </c>
      <c r="E24164" t="s">
        <v>22410</v>
      </c>
      <c r="F24164" t="s">
        <v>0</v>
      </c>
      <c r="G24164" t="str">
        <f>"2018-10-06 13:25:28"</f>
        <v>2018-10-06 13:25:28</v>
      </c>
    </row>
    <row r="24165" spans="1:7" x14ac:dyDescent="0.2">
      <c r="A24165" t="s">
        <v>22411</v>
      </c>
      <c r="B24165" t="str">
        <f>"17603472669"</f>
        <v>17603472669</v>
      </c>
      <c r="C24165" t="str">
        <f>"142623199212100013"</f>
        <v>142623199212100013</v>
      </c>
      <c r="D24165" t="s">
        <v>1</v>
      </c>
      <c r="E24165" t="s">
        <v>1</v>
      </c>
      <c r="F24165" t="s">
        <v>0</v>
      </c>
      <c r="G24165" t="str">
        <f>"2018-10-06 13:26:53"</f>
        <v>2018-10-06 13:26:53</v>
      </c>
    </row>
    <row r="24166" spans="1:7" x14ac:dyDescent="0.2">
      <c r="A24166" t="s">
        <v>22412</v>
      </c>
      <c r="B24166" t="str">
        <f>"15157416929"</f>
        <v>15157416929</v>
      </c>
      <c r="C24166" t="str">
        <f>"362334198011176213"</f>
        <v>362334198011176213</v>
      </c>
      <c r="D24166" t="s">
        <v>1</v>
      </c>
      <c r="E24166" t="s">
        <v>1</v>
      </c>
      <c r="F24166" t="s">
        <v>0</v>
      </c>
      <c r="G24166" t="str">
        <f>"2018-10-06 13:25:20"</f>
        <v>2018-10-06 13:25:20</v>
      </c>
    </row>
    <row r="24167" spans="1:7" x14ac:dyDescent="0.2">
      <c r="A24167" t="s">
        <v>22413</v>
      </c>
      <c r="B24167" t="str">
        <f>"15659925359"</f>
        <v>15659925359</v>
      </c>
      <c r="C24167" t="str">
        <f>"51052519960912611X"</f>
        <v>51052519960912611X</v>
      </c>
      <c r="D24167" t="s">
        <v>1</v>
      </c>
      <c r="E24167" t="s">
        <v>1</v>
      </c>
      <c r="F24167" t="s">
        <v>0</v>
      </c>
      <c r="G24167" t="str">
        <f>"2018-10-06 13:22:07"</f>
        <v>2018-10-06 13:22:07</v>
      </c>
    </row>
    <row r="24168" spans="1:7" x14ac:dyDescent="0.2">
      <c r="A24168" t="s">
        <v>1</v>
      </c>
      <c r="B24168" t="str">
        <f>"15548257507"</f>
        <v>15548257507</v>
      </c>
      <c r="C24168" t="s">
        <v>1</v>
      </c>
      <c r="D24168" t="s">
        <v>1</v>
      </c>
      <c r="E24168" t="s">
        <v>1</v>
      </c>
      <c r="F24168" t="s">
        <v>0</v>
      </c>
      <c r="G24168" t="str">
        <f>"2018-10-06 13:20:37"</f>
        <v>2018-10-06 13:20:37</v>
      </c>
    </row>
    <row r="24169" spans="1:7" x14ac:dyDescent="0.2">
      <c r="A24169" t="s">
        <v>1</v>
      </c>
      <c r="B24169" t="str">
        <f>"13080049613"</f>
        <v>13080049613</v>
      </c>
      <c r="C24169" t="s">
        <v>1</v>
      </c>
      <c r="D24169" t="s">
        <v>1</v>
      </c>
      <c r="E24169" t="s">
        <v>1</v>
      </c>
      <c r="F24169" t="s">
        <v>0</v>
      </c>
      <c r="G24169" t="str">
        <f>"2018-10-06 13:19:56"</f>
        <v>2018-10-06 13:19:56</v>
      </c>
    </row>
    <row r="24170" spans="1:7" x14ac:dyDescent="0.2">
      <c r="A24170" t="s">
        <v>1</v>
      </c>
      <c r="B24170" t="str">
        <f>"13559434303"</f>
        <v>13559434303</v>
      </c>
      <c r="C24170" t="s">
        <v>1</v>
      </c>
      <c r="D24170" t="s">
        <v>1</v>
      </c>
      <c r="E24170" t="s">
        <v>1</v>
      </c>
      <c r="F24170" t="s">
        <v>0</v>
      </c>
      <c r="G24170" t="str">
        <f>"2018-10-06 13:23:14"</f>
        <v>2018-10-06 13:23:14</v>
      </c>
    </row>
    <row r="24171" spans="1:7" x14ac:dyDescent="0.2">
      <c r="A24171" t="s">
        <v>1</v>
      </c>
      <c r="B24171" t="str">
        <f>"15602384709"</f>
        <v>15602384709</v>
      </c>
      <c r="C24171" t="s">
        <v>1</v>
      </c>
      <c r="D24171" t="s">
        <v>1</v>
      </c>
      <c r="E24171" t="s">
        <v>1</v>
      </c>
      <c r="F24171" t="s">
        <v>0</v>
      </c>
      <c r="G24171" t="str">
        <f>"2018-10-06 13:22:58"</f>
        <v>2018-10-06 13:22:58</v>
      </c>
    </row>
    <row r="24172" spans="1:7" x14ac:dyDescent="0.2">
      <c r="A24172" t="s">
        <v>22414</v>
      </c>
      <c r="B24172" t="str">
        <f>"18586394750"</f>
        <v>18586394750</v>
      </c>
      <c r="C24172" t="str">
        <f>"522129199508232586"</f>
        <v>522129199508232586</v>
      </c>
      <c r="D24172" t="s">
        <v>1</v>
      </c>
      <c r="E24172" t="s">
        <v>1</v>
      </c>
      <c r="F24172" t="s">
        <v>0</v>
      </c>
      <c r="G24172" t="str">
        <f>"2018-10-06 13:26:18"</f>
        <v>2018-10-06 13:26:18</v>
      </c>
    </row>
    <row r="24173" spans="1:7" x14ac:dyDescent="0.2">
      <c r="A24173" t="s">
        <v>22415</v>
      </c>
      <c r="B24173" t="str">
        <f>"15157799609"</f>
        <v>15157799609</v>
      </c>
      <c r="C24173" t="str">
        <f>"330381199004055327"</f>
        <v>330381199004055327</v>
      </c>
      <c r="D24173" t="s">
        <v>22416</v>
      </c>
      <c r="E24173" t="s">
        <v>22417</v>
      </c>
      <c r="F24173" t="s">
        <v>0</v>
      </c>
      <c r="G24173" t="str">
        <f>"2018-10-06 13:21:54"</f>
        <v>2018-10-06 13:21:54</v>
      </c>
    </row>
    <row r="24174" spans="1:7" x14ac:dyDescent="0.2">
      <c r="A24174" t="s">
        <v>22418</v>
      </c>
      <c r="B24174" t="str">
        <f>"15234075232"</f>
        <v>15234075232</v>
      </c>
      <c r="C24174" t="str">
        <f>"140123199010231112"</f>
        <v>140123199010231112</v>
      </c>
      <c r="D24174" t="s">
        <v>1</v>
      </c>
      <c r="E24174" t="s">
        <v>1</v>
      </c>
      <c r="F24174" t="s">
        <v>0</v>
      </c>
      <c r="G24174" t="str">
        <f>"2018-10-06 13:25:28"</f>
        <v>2018-10-06 13:25:28</v>
      </c>
    </row>
    <row r="24175" spans="1:7" x14ac:dyDescent="0.2">
      <c r="A24175" t="s">
        <v>1</v>
      </c>
      <c r="B24175" t="str">
        <f>"13851311513"</f>
        <v>13851311513</v>
      </c>
      <c r="C24175" t="s">
        <v>1</v>
      </c>
      <c r="D24175" t="s">
        <v>1</v>
      </c>
      <c r="E24175" t="s">
        <v>1</v>
      </c>
      <c r="F24175" t="s">
        <v>0</v>
      </c>
      <c r="G24175" t="str">
        <f>"2018-10-06 13:24:46"</f>
        <v>2018-10-06 13:24:46</v>
      </c>
    </row>
    <row r="24176" spans="1:7" x14ac:dyDescent="0.2">
      <c r="A24176" t="s">
        <v>4223</v>
      </c>
      <c r="B24176" t="str">
        <f>"15076033362"</f>
        <v>15076033362</v>
      </c>
      <c r="C24176" t="str">
        <f>"131002199808213425"</f>
        <v>131002199808213425</v>
      </c>
      <c r="D24176" t="s">
        <v>1</v>
      </c>
      <c r="E24176" t="s">
        <v>1</v>
      </c>
      <c r="F24176" t="s">
        <v>0</v>
      </c>
      <c r="G24176" t="str">
        <f>"2018-10-06 13:18:18"</f>
        <v>2018-10-06 13:18:18</v>
      </c>
    </row>
    <row r="24177" spans="1:7" x14ac:dyDescent="0.2">
      <c r="A24177" t="s">
        <v>1</v>
      </c>
      <c r="B24177" t="str">
        <f>"15339514216"</f>
        <v>15339514216</v>
      </c>
      <c r="C24177" t="s">
        <v>1</v>
      </c>
      <c r="D24177" t="s">
        <v>1</v>
      </c>
      <c r="E24177" t="s">
        <v>1</v>
      </c>
      <c r="F24177" t="s">
        <v>0</v>
      </c>
      <c r="G24177" t="str">
        <f>"2018-10-06 13:19:00"</f>
        <v>2018-10-06 13:19:00</v>
      </c>
    </row>
    <row r="24178" spans="1:7" x14ac:dyDescent="0.2">
      <c r="A24178" t="s">
        <v>1</v>
      </c>
      <c r="B24178" t="str">
        <f>"18681594582"</f>
        <v>18681594582</v>
      </c>
      <c r="C24178" t="s">
        <v>1</v>
      </c>
      <c r="D24178" t="s">
        <v>1</v>
      </c>
      <c r="E24178" t="s">
        <v>1</v>
      </c>
      <c r="F24178" t="s">
        <v>0</v>
      </c>
      <c r="G24178" t="str">
        <f>"2018-10-06 13:19:08"</f>
        <v>2018-10-06 13:19:08</v>
      </c>
    </row>
    <row r="24179" spans="1:7" x14ac:dyDescent="0.2">
      <c r="A24179" t="s">
        <v>1</v>
      </c>
      <c r="B24179" t="str">
        <f>"15245145065"</f>
        <v>15245145065</v>
      </c>
      <c r="C24179" t="s">
        <v>1</v>
      </c>
      <c r="D24179" t="s">
        <v>1</v>
      </c>
      <c r="E24179" t="s">
        <v>1</v>
      </c>
      <c r="F24179" t="s">
        <v>0</v>
      </c>
      <c r="G24179" t="str">
        <f>"2018-10-06 13:16:31"</f>
        <v>2018-10-06 13:16:31</v>
      </c>
    </row>
    <row r="24180" spans="1:7" x14ac:dyDescent="0.2">
      <c r="A24180" t="s">
        <v>386</v>
      </c>
      <c r="B24180" t="str">
        <f>"18636171180"</f>
        <v>18636171180</v>
      </c>
      <c r="C24180" t="str">
        <f>"141124199109160024"</f>
        <v>141124199109160024</v>
      </c>
      <c r="D24180" t="s">
        <v>22419</v>
      </c>
      <c r="E24180" t="s">
        <v>22420</v>
      </c>
      <c r="F24180" t="s">
        <v>0</v>
      </c>
      <c r="G24180" t="str">
        <f>"2018-10-06 13:16:29"</f>
        <v>2018-10-06 13:16:29</v>
      </c>
    </row>
    <row r="24181" spans="1:7" x14ac:dyDescent="0.2">
      <c r="A24181" t="s">
        <v>1</v>
      </c>
      <c r="B24181" t="str">
        <f>"15729089652"</f>
        <v>15729089652</v>
      </c>
      <c r="C24181" t="s">
        <v>1</v>
      </c>
      <c r="D24181" t="s">
        <v>1</v>
      </c>
      <c r="E24181" t="s">
        <v>1</v>
      </c>
      <c r="F24181" t="s">
        <v>0</v>
      </c>
      <c r="G24181" t="str">
        <f>"2018-10-06 13:15:24"</f>
        <v>2018-10-06 13:15:24</v>
      </c>
    </row>
    <row r="24182" spans="1:7" x14ac:dyDescent="0.2">
      <c r="A24182" t="s">
        <v>22421</v>
      </c>
      <c r="B24182" t="str">
        <f>"13464476880"</f>
        <v>13464476880</v>
      </c>
      <c r="C24182" t="str">
        <f>"211302198311242839"</f>
        <v>211302198311242839</v>
      </c>
      <c r="D24182" t="s">
        <v>1</v>
      </c>
      <c r="E24182" t="s">
        <v>1</v>
      </c>
      <c r="F24182" t="s">
        <v>0</v>
      </c>
      <c r="G24182" t="str">
        <f>"2018-10-06 13:19:01"</f>
        <v>2018-10-06 13:19:01</v>
      </c>
    </row>
    <row r="24183" spans="1:7" x14ac:dyDescent="0.2">
      <c r="A24183" t="s">
        <v>22422</v>
      </c>
      <c r="B24183" t="str">
        <f>"13694297347"</f>
        <v>13694297347</v>
      </c>
      <c r="C24183" t="str">
        <f>"440183198008103739"</f>
        <v>440183198008103739</v>
      </c>
      <c r="D24183" t="s">
        <v>1</v>
      </c>
      <c r="E24183" t="s">
        <v>1</v>
      </c>
      <c r="F24183" t="s">
        <v>0</v>
      </c>
      <c r="G24183" t="str">
        <f>"2018-10-06 13:16:54"</f>
        <v>2018-10-06 13:16:54</v>
      </c>
    </row>
    <row r="24184" spans="1:7" x14ac:dyDescent="0.2">
      <c r="A24184" t="s">
        <v>22423</v>
      </c>
      <c r="B24184" t="str">
        <f>"13554357717"</f>
        <v>13554357717</v>
      </c>
      <c r="C24184" t="str">
        <f>"420116198511274515"</f>
        <v>420116198511274515</v>
      </c>
      <c r="D24184" t="s">
        <v>1</v>
      </c>
      <c r="E24184" t="s">
        <v>1</v>
      </c>
      <c r="F24184" t="s">
        <v>0</v>
      </c>
      <c r="G24184" t="str">
        <f>"2018-10-06 13:22:26"</f>
        <v>2018-10-06 13:22:26</v>
      </c>
    </row>
    <row r="24185" spans="1:7" x14ac:dyDescent="0.2">
      <c r="A24185" t="s">
        <v>22424</v>
      </c>
      <c r="B24185" t="str">
        <f>"15193413938"</f>
        <v>15193413938</v>
      </c>
      <c r="C24185" t="str">
        <f>"622201198801256315"</f>
        <v>622201198801256315</v>
      </c>
      <c r="D24185" t="s">
        <v>1</v>
      </c>
      <c r="E24185" t="s">
        <v>1</v>
      </c>
      <c r="F24185" t="s">
        <v>0</v>
      </c>
      <c r="G24185" t="str">
        <f>"2018-10-06 13:26:49"</f>
        <v>2018-10-06 13:26:49</v>
      </c>
    </row>
    <row r="24186" spans="1:7" x14ac:dyDescent="0.2">
      <c r="A24186" t="s">
        <v>22425</v>
      </c>
      <c r="B24186" t="str">
        <f>"15542255861"</f>
        <v>15542255861</v>
      </c>
      <c r="C24186" t="str">
        <f>"21012319791211087X"</f>
        <v>21012319791211087X</v>
      </c>
      <c r="D24186" t="s">
        <v>1</v>
      </c>
      <c r="E24186" t="s">
        <v>1</v>
      </c>
      <c r="F24186" t="s">
        <v>0</v>
      </c>
      <c r="G24186" t="str">
        <f>"2018-10-06 13:15:51"</f>
        <v>2018-10-06 13:15:51</v>
      </c>
    </row>
    <row r="24187" spans="1:7" x14ac:dyDescent="0.2">
      <c r="A24187" t="s">
        <v>22426</v>
      </c>
      <c r="B24187" t="str">
        <f>"18715516632"</f>
        <v>18715516632</v>
      </c>
      <c r="C24187" t="str">
        <f>"340122199103184838"</f>
        <v>340122199103184838</v>
      </c>
      <c r="D24187" t="s">
        <v>1</v>
      </c>
      <c r="E24187" t="s">
        <v>1</v>
      </c>
      <c r="F24187" t="s">
        <v>0</v>
      </c>
      <c r="G24187" t="str">
        <f>"2018-10-06 13:13:28"</f>
        <v>2018-10-06 13:13:28</v>
      </c>
    </row>
    <row r="24188" spans="1:7" x14ac:dyDescent="0.2">
      <c r="A24188" t="s">
        <v>22427</v>
      </c>
      <c r="B24188" t="str">
        <f>"18140273629"</f>
        <v>18140273629</v>
      </c>
      <c r="C24188" t="str">
        <f>"622427198501043777"</f>
        <v>622427198501043777</v>
      </c>
      <c r="D24188" t="s">
        <v>1</v>
      </c>
      <c r="E24188" t="s">
        <v>1</v>
      </c>
      <c r="F24188" t="s">
        <v>0</v>
      </c>
      <c r="G24188" t="str">
        <f>"2018-10-06 13:15:09"</f>
        <v>2018-10-06 13:15:09</v>
      </c>
    </row>
    <row r="24189" spans="1:7" x14ac:dyDescent="0.2">
      <c r="A24189" t="s">
        <v>22428</v>
      </c>
      <c r="B24189" t="str">
        <f>"13910101210"</f>
        <v>13910101210</v>
      </c>
      <c r="C24189" t="str">
        <f>"110108198606198110"</f>
        <v>110108198606198110</v>
      </c>
      <c r="D24189" t="s">
        <v>22429</v>
      </c>
      <c r="E24189" t="s">
        <v>22430</v>
      </c>
      <c r="F24189" t="s">
        <v>0</v>
      </c>
      <c r="G24189" t="str">
        <f>"2018-10-08 14:12:33"</f>
        <v>2018-10-08 14:12:33</v>
      </c>
    </row>
    <row r="24190" spans="1:7" x14ac:dyDescent="0.2">
      <c r="A24190" t="s">
        <v>4861</v>
      </c>
      <c r="B24190" t="str">
        <f>"18871904789"</f>
        <v>18871904789</v>
      </c>
      <c r="C24190" t="str">
        <f>"420322199509050013"</f>
        <v>420322199509050013</v>
      </c>
      <c r="D24190" t="s">
        <v>1</v>
      </c>
      <c r="E24190" t="s">
        <v>1</v>
      </c>
      <c r="F24190" t="s">
        <v>0</v>
      </c>
      <c r="G24190" t="str">
        <f>"2018-10-06 15:34:17"</f>
        <v>2018-10-06 15:34:17</v>
      </c>
    </row>
    <row r="24191" spans="1:7" x14ac:dyDescent="0.2">
      <c r="A24191" t="s">
        <v>535</v>
      </c>
      <c r="B24191" t="str">
        <f>"18338632822"</f>
        <v>18338632822</v>
      </c>
      <c r="C24191" t="str">
        <f>"411502199603119018"</f>
        <v>411502199603119018</v>
      </c>
      <c r="D24191" t="s">
        <v>1</v>
      </c>
      <c r="E24191" t="s">
        <v>1</v>
      </c>
      <c r="F24191" t="s">
        <v>0</v>
      </c>
      <c r="G24191" t="str">
        <f>"2018-11-02 04:02:15"</f>
        <v>2018-11-02 04:02:15</v>
      </c>
    </row>
    <row r="24192" spans="1:7" x14ac:dyDescent="0.2">
      <c r="A24192" t="s">
        <v>1</v>
      </c>
      <c r="B24192" t="str">
        <f>"18849406187"</f>
        <v>18849406187</v>
      </c>
      <c r="C24192" t="s">
        <v>1</v>
      </c>
      <c r="D24192" t="s">
        <v>1</v>
      </c>
      <c r="E24192" t="s">
        <v>1</v>
      </c>
      <c r="F24192" t="s">
        <v>0</v>
      </c>
      <c r="G24192" t="str">
        <f>"2018-10-06 13:11:35"</f>
        <v>2018-10-06 13:11:35</v>
      </c>
    </row>
    <row r="24193" spans="1:7" x14ac:dyDescent="0.2">
      <c r="A24193" t="s">
        <v>5312</v>
      </c>
      <c r="B24193" t="str">
        <f>"18874016859"</f>
        <v>18874016859</v>
      </c>
      <c r="C24193" t="str">
        <f>"422729197602023318"</f>
        <v>422729197602023318</v>
      </c>
      <c r="D24193" t="s">
        <v>1</v>
      </c>
      <c r="E24193" t="s">
        <v>1</v>
      </c>
      <c r="F24193" t="s">
        <v>0</v>
      </c>
      <c r="G24193" t="str">
        <f>"2018-10-06 13:12:11"</f>
        <v>2018-10-06 13:12:11</v>
      </c>
    </row>
    <row r="24194" spans="1:7" x14ac:dyDescent="0.2">
      <c r="A24194" t="s">
        <v>22431</v>
      </c>
      <c r="B24194" t="str">
        <f>"15085077646"</f>
        <v>15085077646</v>
      </c>
      <c r="C24194" t="str">
        <f>"522121199411033846"</f>
        <v>522121199411033846</v>
      </c>
      <c r="D24194" t="s">
        <v>1</v>
      </c>
      <c r="E24194" t="s">
        <v>1</v>
      </c>
      <c r="F24194" t="s">
        <v>0</v>
      </c>
      <c r="G24194" t="str">
        <f>"2018-10-06 14:01:09"</f>
        <v>2018-10-06 14:01:09</v>
      </c>
    </row>
    <row r="24195" spans="1:7" x14ac:dyDescent="0.2">
      <c r="A24195" t="s">
        <v>1</v>
      </c>
      <c r="B24195" t="str">
        <f>"15555293862"</f>
        <v>15555293862</v>
      </c>
      <c r="C24195" t="s">
        <v>1</v>
      </c>
      <c r="D24195" t="s">
        <v>1</v>
      </c>
      <c r="E24195" t="s">
        <v>1</v>
      </c>
      <c r="F24195" t="s">
        <v>0</v>
      </c>
      <c r="G24195" t="str">
        <f>"2018-10-06 13:10:37"</f>
        <v>2018-10-06 13:10:37</v>
      </c>
    </row>
    <row r="24196" spans="1:7" x14ac:dyDescent="0.2">
      <c r="A24196" t="s">
        <v>22432</v>
      </c>
      <c r="B24196" t="str">
        <f>"13988960680"</f>
        <v>13988960680</v>
      </c>
      <c r="C24196" t="str">
        <f>"532224198310201574"</f>
        <v>532224198310201574</v>
      </c>
      <c r="D24196" t="s">
        <v>22433</v>
      </c>
      <c r="E24196" t="s">
        <v>22434</v>
      </c>
      <c r="F24196" t="s">
        <v>0</v>
      </c>
      <c r="G24196" t="str">
        <f>"2018-10-06 13:10:54"</f>
        <v>2018-10-06 13:10:54</v>
      </c>
    </row>
    <row r="24197" spans="1:7" x14ac:dyDescent="0.2">
      <c r="A24197" t="s">
        <v>22435</v>
      </c>
      <c r="B24197" t="str">
        <f>"13137809203"</f>
        <v>13137809203</v>
      </c>
      <c r="C24197" t="str">
        <f>"410221199610105919"</f>
        <v>410221199610105919</v>
      </c>
      <c r="D24197" t="s">
        <v>1</v>
      </c>
      <c r="E24197" t="s">
        <v>1</v>
      </c>
      <c r="F24197" t="s">
        <v>0</v>
      </c>
      <c r="G24197" t="str">
        <f>"2018-10-06 13:10:57"</f>
        <v>2018-10-06 13:10:57</v>
      </c>
    </row>
    <row r="24198" spans="1:7" x14ac:dyDescent="0.2">
      <c r="A24198" t="s">
        <v>22436</v>
      </c>
      <c r="B24198" t="str">
        <f>"15759567178"</f>
        <v>15759567178</v>
      </c>
      <c r="C24198" t="str">
        <f>"350521199412073514"</f>
        <v>350521199412073514</v>
      </c>
      <c r="D24198" t="s">
        <v>1</v>
      </c>
      <c r="E24198" t="s">
        <v>1</v>
      </c>
      <c r="F24198" t="s">
        <v>0</v>
      </c>
      <c r="G24198" t="str">
        <f>"2018-10-06 13:23:15"</f>
        <v>2018-10-06 13:23:15</v>
      </c>
    </row>
    <row r="24199" spans="1:7" x14ac:dyDescent="0.2">
      <c r="A24199" t="s">
        <v>1</v>
      </c>
      <c r="B24199" t="str">
        <f>"13203018646"</f>
        <v>13203018646</v>
      </c>
      <c r="C24199" t="s">
        <v>1</v>
      </c>
      <c r="D24199" t="s">
        <v>1</v>
      </c>
      <c r="E24199" t="s">
        <v>1</v>
      </c>
      <c r="F24199" t="s">
        <v>0</v>
      </c>
      <c r="G24199" t="str">
        <f>"2018-10-06 13:11:18"</f>
        <v>2018-10-06 13:11:18</v>
      </c>
    </row>
    <row r="24200" spans="1:7" x14ac:dyDescent="0.2">
      <c r="A24200" t="s">
        <v>20104</v>
      </c>
      <c r="B24200" t="str">
        <f>"13181486786"</f>
        <v>13181486786</v>
      </c>
      <c r="C24200" t="str">
        <f>"371324198905114327"</f>
        <v>371324198905114327</v>
      </c>
      <c r="D24200" t="s">
        <v>1</v>
      </c>
      <c r="E24200" t="s">
        <v>1</v>
      </c>
      <c r="F24200" t="s">
        <v>0</v>
      </c>
      <c r="G24200" t="str">
        <f>"2018-10-06 13:06:59"</f>
        <v>2018-10-06 13:06:59</v>
      </c>
    </row>
    <row r="24201" spans="1:7" x14ac:dyDescent="0.2">
      <c r="A24201" t="s">
        <v>22437</v>
      </c>
      <c r="B24201" t="str">
        <f>"18547728642"</f>
        <v>18547728642</v>
      </c>
      <c r="C24201" t="str">
        <f>"140624199905172516"</f>
        <v>140624199905172516</v>
      </c>
      <c r="D24201" t="s">
        <v>22438</v>
      </c>
      <c r="E24201" t="s">
        <v>22439</v>
      </c>
      <c r="F24201" t="s">
        <v>0</v>
      </c>
      <c r="G24201" t="str">
        <f>"2018-10-06 13:15:49"</f>
        <v>2018-10-06 13:15:49</v>
      </c>
    </row>
    <row r="24202" spans="1:7" x14ac:dyDescent="0.2">
      <c r="A24202" t="s">
        <v>1</v>
      </c>
      <c r="B24202" t="str">
        <f>"13639624392"</f>
        <v>13639624392</v>
      </c>
      <c r="C24202" t="s">
        <v>1</v>
      </c>
      <c r="D24202" t="s">
        <v>1</v>
      </c>
      <c r="E24202" t="s">
        <v>1</v>
      </c>
      <c r="F24202" t="s">
        <v>0</v>
      </c>
      <c r="G24202" t="str">
        <f>"2018-10-06 13:06:26"</f>
        <v>2018-10-06 13:06:26</v>
      </c>
    </row>
    <row r="24203" spans="1:7" x14ac:dyDescent="0.2">
      <c r="A24203" t="s">
        <v>1</v>
      </c>
      <c r="B24203" t="str">
        <f>"18581768226"</f>
        <v>18581768226</v>
      </c>
      <c r="C24203" t="s">
        <v>1</v>
      </c>
      <c r="D24203" t="s">
        <v>1</v>
      </c>
      <c r="E24203" t="s">
        <v>1</v>
      </c>
      <c r="F24203" t="s">
        <v>0</v>
      </c>
      <c r="G24203" t="str">
        <f>"2018-10-06 13:08:13"</f>
        <v>2018-10-06 13:08:13</v>
      </c>
    </row>
    <row r="24204" spans="1:7" x14ac:dyDescent="0.2">
      <c r="A24204" t="s">
        <v>22440</v>
      </c>
      <c r="B24204" t="str">
        <f>"15003703530"</f>
        <v>15003703530</v>
      </c>
      <c r="C24204" t="str">
        <f>"413026198808108153"</f>
        <v>413026198808108153</v>
      </c>
      <c r="D24204" t="s">
        <v>22441</v>
      </c>
      <c r="E24204" t="s">
        <v>22442</v>
      </c>
      <c r="F24204" t="s">
        <v>0</v>
      </c>
      <c r="G24204" t="str">
        <f>"2018-10-06 13:07:24"</f>
        <v>2018-10-06 13:07:24</v>
      </c>
    </row>
    <row r="24205" spans="1:7" x14ac:dyDescent="0.2">
      <c r="A24205" t="s">
        <v>22443</v>
      </c>
      <c r="B24205" t="str">
        <f>"18565486563"</f>
        <v>18565486563</v>
      </c>
      <c r="C24205" t="str">
        <f>"430481198007072733"</f>
        <v>430481198007072733</v>
      </c>
      <c r="D24205" t="s">
        <v>1</v>
      </c>
      <c r="E24205" t="s">
        <v>1</v>
      </c>
      <c r="F24205" t="s">
        <v>0</v>
      </c>
      <c r="G24205" t="str">
        <f>"2018-10-06 16:01:05"</f>
        <v>2018-10-06 16:01:05</v>
      </c>
    </row>
    <row r="24206" spans="1:7" x14ac:dyDescent="0.2">
      <c r="A24206" t="s">
        <v>1870</v>
      </c>
      <c r="B24206" t="str">
        <f>"18762559542"</f>
        <v>18762559542</v>
      </c>
      <c r="C24206" t="str">
        <f>"320821199601242533"</f>
        <v>320821199601242533</v>
      </c>
      <c r="D24206" t="s">
        <v>1</v>
      </c>
      <c r="E24206" t="s">
        <v>1</v>
      </c>
      <c r="F24206" t="s">
        <v>0</v>
      </c>
      <c r="G24206" t="str">
        <f>"2018-10-06 13:06:26"</f>
        <v>2018-10-06 13:06:26</v>
      </c>
    </row>
    <row r="24207" spans="1:7" x14ac:dyDescent="0.2">
      <c r="A24207" t="s">
        <v>22444</v>
      </c>
      <c r="B24207" t="str">
        <f>"18910108521"</f>
        <v>18910108521</v>
      </c>
      <c r="C24207" t="str">
        <f>"230503198509140029"</f>
        <v>230503198509140029</v>
      </c>
      <c r="D24207" t="s">
        <v>1</v>
      </c>
      <c r="E24207" t="s">
        <v>1</v>
      </c>
      <c r="F24207" t="s">
        <v>0</v>
      </c>
      <c r="G24207" t="str">
        <f>"2018-10-06 15:03:22"</f>
        <v>2018-10-06 15:03:22</v>
      </c>
    </row>
    <row r="24208" spans="1:7" x14ac:dyDescent="0.2">
      <c r="A24208" t="s">
        <v>1</v>
      </c>
      <c r="B24208" t="str">
        <f>"18166520028"</f>
        <v>18166520028</v>
      </c>
      <c r="C24208" t="s">
        <v>1</v>
      </c>
      <c r="D24208" t="s">
        <v>1</v>
      </c>
      <c r="E24208" t="s">
        <v>1</v>
      </c>
      <c r="F24208" t="s">
        <v>0</v>
      </c>
      <c r="G24208" t="str">
        <f>"2018-10-06 13:05:02"</f>
        <v>2018-10-06 13:05:02</v>
      </c>
    </row>
    <row r="24209" spans="1:7" x14ac:dyDescent="0.2">
      <c r="A24209" t="s">
        <v>22445</v>
      </c>
      <c r="B24209" t="str">
        <f>"18751976772"</f>
        <v>18751976772</v>
      </c>
      <c r="C24209" t="str">
        <f>"510811198112150011"</f>
        <v>510811198112150011</v>
      </c>
      <c r="D24209" t="s">
        <v>1</v>
      </c>
      <c r="E24209" t="s">
        <v>1</v>
      </c>
      <c r="F24209" t="s">
        <v>0</v>
      </c>
      <c r="G24209" t="str">
        <f>"2018-10-06 13:31:02"</f>
        <v>2018-10-06 13:31:02</v>
      </c>
    </row>
    <row r="24210" spans="1:7" x14ac:dyDescent="0.2">
      <c r="A24210" t="s">
        <v>1</v>
      </c>
      <c r="B24210" t="str">
        <f>"18690018696"</f>
        <v>18690018696</v>
      </c>
      <c r="C24210" t="s">
        <v>1</v>
      </c>
      <c r="D24210" t="s">
        <v>1</v>
      </c>
      <c r="E24210" t="s">
        <v>1</v>
      </c>
      <c r="F24210" t="s">
        <v>0</v>
      </c>
      <c r="G24210" t="str">
        <f>"2018-10-06 13:04:46"</f>
        <v>2018-10-06 13:04:46</v>
      </c>
    </row>
    <row r="24211" spans="1:7" x14ac:dyDescent="0.2">
      <c r="A24211" t="s">
        <v>22446</v>
      </c>
      <c r="B24211" t="str">
        <f>"15695962921"</f>
        <v>15695962921</v>
      </c>
      <c r="C24211" t="str">
        <f>"350623199511086327"</f>
        <v>350623199511086327</v>
      </c>
      <c r="D24211" t="s">
        <v>22447</v>
      </c>
      <c r="E24211" t="s">
        <v>22447</v>
      </c>
      <c r="F24211" t="s">
        <v>0</v>
      </c>
      <c r="G24211" t="str">
        <f>"2018-10-06 13:15:18"</f>
        <v>2018-10-06 13:15:18</v>
      </c>
    </row>
    <row r="24212" spans="1:7" x14ac:dyDescent="0.2">
      <c r="A24212" t="s">
        <v>434</v>
      </c>
      <c r="B24212" t="str">
        <f>"17756730504"</f>
        <v>17756730504</v>
      </c>
      <c r="C24212" t="str">
        <f>"341281198908208392"</f>
        <v>341281198908208392</v>
      </c>
      <c r="D24212" t="s">
        <v>22448</v>
      </c>
      <c r="E24212" t="s">
        <v>22449</v>
      </c>
      <c r="F24212" t="s">
        <v>0</v>
      </c>
      <c r="G24212" t="str">
        <f>"2018-10-19 13:30:32"</f>
        <v>2018-10-19 13:30:32</v>
      </c>
    </row>
    <row r="24213" spans="1:7" x14ac:dyDescent="0.2">
      <c r="A24213" t="s">
        <v>1</v>
      </c>
      <c r="B24213" t="str">
        <f>"15555361199"</f>
        <v>15555361199</v>
      </c>
      <c r="C24213" t="s">
        <v>1</v>
      </c>
      <c r="D24213" t="s">
        <v>1</v>
      </c>
      <c r="E24213" t="s">
        <v>1</v>
      </c>
      <c r="F24213" t="s">
        <v>0</v>
      </c>
      <c r="G24213" t="str">
        <f>"2018-10-06 13:04:16"</f>
        <v>2018-10-06 13:04:16</v>
      </c>
    </row>
    <row r="24214" spans="1:7" x14ac:dyDescent="0.2">
      <c r="A24214" t="s">
        <v>22450</v>
      </c>
      <c r="B24214" t="str">
        <f>"13796931007"</f>
        <v>13796931007</v>
      </c>
      <c r="C24214" t="str">
        <f>"23032119840313401X"</f>
        <v>23032119840313401X</v>
      </c>
      <c r="D24214" t="s">
        <v>22451</v>
      </c>
      <c r="E24214" t="s">
        <v>22452</v>
      </c>
      <c r="F24214" t="s">
        <v>0</v>
      </c>
      <c r="G24214" t="str">
        <f>"2018-10-06 13:03:57"</f>
        <v>2018-10-06 13:03:57</v>
      </c>
    </row>
    <row r="24215" spans="1:7" x14ac:dyDescent="0.2">
      <c r="A24215" t="s">
        <v>22453</v>
      </c>
      <c r="B24215" t="str">
        <f>"18675294449"</f>
        <v>18675294449</v>
      </c>
      <c r="C24215" t="str">
        <f>"422827199502171446"</f>
        <v>422827199502171446</v>
      </c>
      <c r="D24215" t="s">
        <v>1</v>
      </c>
      <c r="E24215" t="s">
        <v>1</v>
      </c>
      <c r="F24215" t="s">
        <v>0</v>
      </c>
      <c r="G24215" t="str">
        <f>"2018-10-06 13:13:20"</f>
        <v>2018-10-06 13:13:20</v>
      </c>
    </row>
    <row r="24216" spans="1:7" x14ac:dyDescent="0.2">
      <c r="A24216" t="s">
        <v>22454</v>
      </c>
      <c r="B24216" t="str">
        <f>"13453128063"</f>
        <v>13453128063</v>
      </c>
      <c r="C24216" t="str">
        <f>"142222198910211535"</f>
        <v>142222198910211535</v>
      </c>
      <c r="D24216" t="s">
        <v>1</v>
      </c>
      <c r="E24216" t="s">
        <v>1</v>
      </c>
      <c r="F24216" t="s">
        <v>0</v>
      </c>
      <c r="G24216" t="str">
        <f>"2018-10-06 13:05:23"</f>
        <v>2018-10-06 13:05:23</v>
      </c>
    </row>
    <row r="24217" spans="1:7" x14ac:dyDescent="0.2">
      <c r="A24217" t="s">
        <v>1</v>
      </c>
      <c r="B24217" t="str">
        <f>"13221504602"</f>
        <v>13221504602</v>
      </c>
      <c r="C24217" t="s">
        <v>1</v>
      </c>
      <c r="D24217" t="s">
        <v>1</v>
      </c>
      <c r="E24217" t="s">
        <v>1</v>
      </c>
      <c r="F24217" t="s">
        <v>0</v>
      </c>
      <c r="G24217" t="str">
        <f>"2018-10-06 13:02:45"</f>
        <v>2018-10-06 13:02:45</v>
      </c>
    </row>
    <row r="24218" spans="1:7" x14ac:dyDescent="0.2">
      <c r="A24218" t="s">
        <v>22455</v>
      </c>
      <c r="B24218" t="str">
        <f>"18359656851"</f>
        <v>18359656851</v>
      </c>
      <c r="C24218" t="str">
        <f>"433127199306083013"</f>
        <v>433127199306083013</v>
      </c>
      <c r="D24218" t="s">
        <v>22456</v>
      </c>
      <c r="E24218" t="s">
        <v>22457</v>
      </c>
      <c r="F24218" t="s">
        <v>0</v>
      </c>
      <c r="G24218" t="str">
        <f>"2018-10-06 13:04:08"</f>
        <v>2018-10-06 13:04:08</v>
      </c>
    </row>
    <row r="24219" spans="1:7" x14ac:dyDescent="0.2">
      <c r="A24219" t="s">
        <v>22458</v>
      </c>
      <c r="B24219" t="str">
        <f>"15941858246"</f>
        <v>15941858246</v>
      </c>
      <c r="C24219" t="str">
        <f>"210902198411106019"</f>
        <v>210902198411106019</v>
      </c>
      <c r="D24219" t="s">
        <v>1</v>
      </c>
      <c r="E24219" t="s">
        <v>1</v>
      </c>
      <c r="F24219" t="s">
        <v>0</v>
      </c>
      <c r="G24219" t="str">
        <f>"2018-10-15 23:17:36"</f>
        <v>2018-10-15 23:17:36</v>
      </c>
    </row>
    <row r="24220" spans="1:7" x14ac:dyDescent="0.2">
      <c r="A24220" t="s">
        <v>22459</v>
      </c>
      <c r="B24220" t="str">
        <f>"18523695123"</f>
        <v>18523695123</v>
      </c>
      <c r="C24220" t="str">
        <f>"50023719940322220X"</f>
        <v>50023719940322220X</v>
      </c>
      <c r="D24220" t="s">
        <v>22460</v>
      </c>
      <c r="E24220" t="s">
        <v>22461</v>
      </c>
      <c r="F24220" t="s">
        <v>0</v>
      </c>
      <c r="G24220" t="str">
        <f>"2018-10-06 13:01:36"</f>
        <v>2018-10-06 13:01:36</v>
      </c>
    </row>
    <row r="24221" spans="1:7" x14ac:dyDescent="0.2">
      <c r="A24221" t="s">
        <v>22462</v>
      </c>
      <c r="B24221" t="str">
        <f>"15985606261"</f>
        <v>15985606261</v>
      </c>
      <c r="C24221" t="str">
        <f>"522221199701143619"</f>
        <v>522221199701143619</v>
      </c>
      <c r="D24221" t="s">
        <v>22463</v>
      </c>
      <c r="E24221" t="s">
        <v>22464</v>
      </c>
      <c r="F24221" t="s">
        <v>0</v>
      </c>
      <c r="G24221" t="str">
        <f>"2018-10-06 13:02:17"</f>
        <v>2018-10-06 13:02:17</v>
      </c>
    </row>
    <row r="24222" spans="1:7" x14ac:dyDescent="0.2">
      <c r="A24222" t="s">
        <v>1</v>
      </c>
      <c r="B24222" t="str">
        <f>"13842449227"</f>
        <v>13842449227</v>
      </c>
      <c r="C24222" t="s">
        <v>1</v>
      </c>
      <c r="D24222" t="s">
        <v>1</v>
      </c>
      <c r="E24222" t="s">
        <v>1</v>
      </c>
      <c r="F24222" t="s">
        <v>0</v>
      </c>
      <c r="G24222" t="str">
        <f>"2018-10-06 13:00:18"</f>
        <v>2018-10-06 13:00:18</v>
      </c>
    </row>
    <row r="24223" spans="1:7" x14ac:dyDescent="0.2">
      <c r="A24223" t="s">
        <v>22465</v>
      </c>
      <c r="B24223" t="str">
        <f>"18340958034"</f>
        <v>18340958034</v>
      </c>
      <c r="C24223" t="str">
        <f>"211382199708211017"</f>
        <v>211382199708211017</v>
      </c>
      <c r="D24223" t="s">
        <v>1</v>
      </c>
      <c r="E24223" t="s">
        <v>1</v>
      </c>
      <c r="F24223" t="s">
        <v>0</v>
      </c>
      <c r="G24223" t="str">
        <f>"2018-10-06 13:02:37"</f>
        <v>2018-10-06 13:02:37</v>
      </c>
    </row>
    <row r="24224" spans="1:7" x14ac:dyDescent="0.2">
      <c r="A24224" t="s">
        <v>22466</v>
      </c>
      <c r="B24224" t="str">
        <f>"13991023140"</f>
        <v>13991023140</v>
      </c>
      <c r="C24224" t="str">
        <f>"610429198803130912"</f>
        <v>610429198803130912</v>
      </c>
      <c r="D24224" t="s">
        <v>1</v>
      </c>
      <c r="E24224" t="s">
        <v>1</v>
      </c>
      <c r="F24224" t="s">
        <v>0</v>
      </c>
      <c r="G24224" t="str">
        <f>"2018-10-06 12:59:19"</f>
        <v>2018-10-06 12:59:19</v>
      </c>
    </row>
    <row r="24225" spans="1:7" x14ac:dyDescent="0.2">
      <c r="A24225" t="s">
        <v>1</v>
      </c>
      <c r="B24225" t="str">
        <f>"18981854265"</f>
        <v>18981854265</v>
      </c>
      <c r="C24225" t="s">
        <v>1</v>
      </c>
      <c r="D24225" t="s">
        <v>1</v>
      </c>
      <c r="E24225" t="s">
        <v>1</v>
      </c>
      <c r="F24225" t="s">
        <v>0</v>
      </c>
      <c r="G24225" t="str">
        <f>"2018-10-06 14:28:02"</f>
        <v>2018-10-06 14:28:02</v>
      </c>
    </row>
    <row r="24226" spans="1:7" x14ac:dyDescent="0.2">
      <c r="A24226" t="s">
        <v>1802</v>
      </c>
      <c r="B24226" t="str">
        <f>"15140843429"</f>
        <v>15140843429</v>
      </c>
      <c r="C24226" t="str">
        <f>"210319197102154113"</f>
        <v>210319197102154113</v>
      </c>
      <c r="D24226" t="s">
        <v>22467</v>
      </c>
      <c r="E24226" t="s">
        <v>22468</v>
      </c>
      <c r="F24226" t="s">
        <v>0</v>
      </c>
      <c r="G24226" t="str">
        <f>"2018-10-06 13:00:43"</f>
        <v>2018-10-06 13:00:43</v>
      </c>
    </row>
    <row r="24227" spans="1:7" x14ac:dyDescent="0.2">
      <c r="A24227" t="s">
        <v>22469</v>
      </c>
      <c r="B24227" t="str">
        <f>"13199097179"</f>
        <v>13199097179</v>
      </c>
      <c r="C24227" t="str">
        <f>"230602198804112513"</f>
        <v>230602198804112513</v>
      </c>
      <c r="D24227" t="s">
        <v>1</v>
      </c>
      <c r="E24227" t="s">
        <v>1</v>
      </c>
      <c r="F24227" t="s">
        <v>0</v>
      </c>
      <c r="G24227" t="str">
        <f>"2018-10-06 13:02:35"</f>
        <v>2018-10-06 13:02:35</v>
      </c>
    </row>
    <row r="24228" spans="1:7" x14ac:dyDescent="0.2">
      <c r="A24228" t="s">
        <v>7363</v>
      </c>
      <c r="B24228" t="str">
        <f>"15705189601"</f>
        <v>15705189601</v>
      </c>
      <c r="C24228" t="str">
        <f>"321183199104210823"</f>
        <v>321183199104210823</v>
      </c>
      <c r="D24228" t="s">
        <v>1</v>
      </c>
      <c r="E24228" t="s">
        <v>1</v>
      </c>
      <c r="F24228" t="s">
        <v>0</v>
      </c>
      <c r="G24228" t="str">
        <f>"2018-10-06 13:11:13"</f>
        <v>2018-10-06 13:11:13</v>
      </c>
    </row>
    <row r="24229" spans="1:7" x14ac:dyDescent="0.2">
      <c r="A24229" t="s">
        <v>1</v>
      </c>
      <c r="B24229" t="str">
        <f>"15759092706"</f>
        <v>15759092706</v>
      </c>
      <c r="C24229" t="s">
        <v>1</v>
      </c>
      <c r="D24229" t="s">
        <v>1</v>
      </c>
      <c r="E24229" t="s">
        <v>1</v>
      </c>
      <c r="F24229" t="s">
        <v>0</v>
      </c>
      <c r="G24229" t="str">
        <f>"2018-10-06 12:57:51"</f>
        <v>2018-10-06 12:57:51</v>
      </c>
    </row>
    <row r="24230" spans="1:7" x14ac:dyDescent="0.2">
      <c r="A24230" t="s">
        <v>1</v>
      </c>
      <c r="B24230" t="str">
        <f>"15821193375"</f>
        <v>15821193375</v>
      </c>
      <c r="C24230" t="s">
        <v>1</v>
      </c>
      <c r="D24230" t="s">
        <v>1</v>
      </c>
      <c r="E24230" t="s">
        <v>1</v>
      </c>
      <c r="F24230" t="s">
        <v>0</v>
      </c>
      <c r="G24230" t="str">
        <f>"2018-10-06 12:56:34"</f>
        <v>2018-10-06 12:56:34</v>
      </c>
    </row>
    <row r="24231" spans="1:7" x14ac:dyDescent="0.2">
      <c r="A24231" t="s">
        <v>626</v>
      </c>
      <c r="B24231" t="str">
        <f>"13898427683"</f>
        <v>13898427683</v>
      </c>
      <c r="C24231" t="str">
        <f>"210727198912204510"</f>
        <v>210727198912204510</v>
      </c>
      <c r="D24231" t="s">
        <v>22470</v>
      </c>
      <c r="E24231" t="s">
        <v>22471</v>
      </c>
      <c r="F24231" t="s">
        <v>0</v>
      </c>
      <c r="G24231" t="str">
        <f>"2018-10-07 12:24:47"</f>
        <v>2018-10-07 12:24:47</v>
      </c>
    </row>
    <row r="24232" spans="1:7" x14ac:dyDescent="0.2">
      <c r="A24232" t="s">
        <v>22472</v>
      </c>
      <c r="B24232" t="str">
        <f>"18191435553"</f>
        <v>18191435553</v>
      </c>
      <c r="C24232" t="str">
        <f>"610502198607251210"</f>
        <v>610502198607251210</v>
      </c>
      <c r="D24232" t="s">
        <v>1</v>
      </c>
      <c r="E24232" t="s">
        <v>1</v>
      </c>
      <c r="F24232" t="s">
        <v>0</v>
      </c>
      <c r="G24232" t="str">
        <f>"2018-10-06 13:03:20"</f>
        <v>2018-10-06 13:03:20</v>
      </c>
    </row>
    <row r="24233" spans="1:7" x14ac:dyDescent="0.2">
      <c r="A24233" t="s">
        <v>22473</v>
      </c>
      <c r="B24233" t="str">
        <f>"13733215466"</f>
        <v>13733215466</v>
      </c>
      <c r="C24233" t="str">
        <f>"130181198910306412"</f>
        <v>130181198910306412</v>
      </c>
      <c r="D24233" t="s">
        <v>1</v>
      </c>
      <c r="E24233" t="s">
        <v>1</v>
      </c>
      <c r="F24233" t="s">
        <v>0</v>
      </c>
      <c r="G24233" t="str">
        <f>"2018-10-06 12:55:50"</f>
        <v>2018-10-06 12:55:50</v>
      </c>
    </row>
    <row r="24234" spans="1:7" x14ac:dyDescent="0.2">
      <c r="A24234" t="s">
        <v>1</v>
      </c>
      <c r="B24234" t="str">
        <f>"18965690345"</f>
        <v>18965690345</v>
      </c>
      <c r="C24234" t="s">
        <v>1</v>
      </c>
      <c r="D24234" t="s">
        <v>1</v>
      </c>
      <c r="E24234" t="s">
        <v>1</v>
      </c>
      <c r="F24234" t="s">
        <v>0</v>
      </c>
      <c r="G24234" t="str">
        <f>"2018-10-06 12:58:34"</f>
        <v>2018-10-06 12:58:34</v>
      </c>
    </row>
    <row r="24235" spans="1:7" x14ac:dyDescent="0.2">
      <c r="A24235" t="s">
        <v>22474</v>
      </c>
      <c r="B24235" t="str">
        <f>"13762893931"</f>
        <v>13762893931</v>
      </c>
      <c r="C24235" t="str">
        <f>"430523197906290010"</f>
        <v>430523197906290010</v>
      </c>
      <c r="D24235" t="s">
        <v>1</v>
      </c>
      <c r="E24235" t="s">
        <v>1</v>
      </c>
      <c r="F24235" t="s">
        <v>0</v>
      </c>
      <c r="G24235" t="str">
        <f>"2018-10-20 20:42:36"</f>
        <v>2018-10-20 20:42:36</v>
      </c>
    </row>
    <row r="24236" spans="1:7" x14ac:dyDescent="0.2">
      <c r="A24236" t="s">
        <v>22475</v>
      </c>
      <c r="B24236" t="str">
        <f>"17648285230"</f>
        <v>17648285230</v>
      </c>
      <c r="C24236" t="str">
        <f>"150429199501284215"</f>
        <v>150429199501284215</v>
      </c>
      <c r="D24236" t="s">
        <v>1</v>
      </c>
      <c r="E24236" t="s">
        <v>1</v>
      </c>
      <c r="F24236" t="s">
        <v>0</v>
      </c>
      <c r="G24236" t="str">
        <f>"2018-10-06 12:55:47"</f>
        <v>2018-10-06 12:55:47</v>
      </c>
    </row>
    <row r="24237" spans="1:7" x14ac:dyDescent="0.2">
      <c r="A24237" t="s">
        <v>1</v>
      </c>
      <c r="B24237" t="str">
        <f>"13160845546"</f>
        <v>13160845546</v>
      </c>
      <c r="C24237" t="s">
        <v>1</v>
      </c>
      <c r="D24237" t="s">
        <v>1</v>
      </c>
      <c r="E24237" t="s">
        <v>1</v>
      </c>
      <c r="F24237" t="s">
        <v>0</v>
      </c>
      <c r="G24237" t="str">
        <f>"2018-10-06 12:54:45"</f>
        <v>2018-10-06 12:54:45</v>
      </c>
    </row>
    <row r="24238" spans="1:7" x14ac:dyDescent="0.2">
      <c r="A24238" t="s">
        <v>1</v>
      </c>
      <c r="B24238" t="str">
        <f>"18627419832"</f>
        <v>18627419832</v>
      </c>
      <c r="C24238" t="s">
        <v>1</v>
      </c>
      <c r="D24238" t="s">
        <v>1</v>
      </c>
      <c r="E24238" t="s">
        <v>1</v>
      </c>
      <c r="F24238" t="s">
        <v>0</v>
      </c>
      <c r="G24238" t="str">
        <f>"2018-10-06 12:54:21"</f>
        <v>2018-10-06 12:54:21</v>
      </c>
    </row>
    <row r="24239" spans="1:7" x14ac:dyDescent="0.2">
      <c r="A24239" t="s">
        <v>1</v>
      </c>
      <c r="B24239" t="str">
        <f>"18791966058"</f>
        <v>18791966058</v>
      </c>
      <c r="C24239" t="s">
        <v>1</v>
      </c>
      <c r="D24239" t="s">
        <v>1</v>
      </c>
      <c r="E24239" t="s">
        <v>1</v>
      </c>
      <c r="F24239" t="s">
        <v>0</v>
      </c>
      <c r="G24239" t="str">
        <f>"2018-10-06 12:54:20"</f>
        <v>2018-10-06 12:54:20</v>
      </c>
    </row>
    <row r="24240" spans="1:7" x14ac:dyDescent="0.2">
      <c r="A24240" t="s">
        <v>22476</v>
      </c>
      <c r="B24240" t="str">
        <f>"17620429194"</f>
        <v>17620429194</v>
      </c>
      <c r="C24240" t="str">
        <f>"360311199609301531"</f>
        <v>360311199609301531</v>
      </c>
      <c r="D24240" t="s">
        <v>1</v>
      </c>
      <c r="E24240" t="s">
        <v>1</v>
      </c>
      <c r="F24240" t="s">
        <v>0</v>
      </c>
      <c r="G24240" t="str">
        <f>"2018-10-06 12:57:59"</f>
        <v>2018-10-06 12:57:59</v>
      </c>
    </row>
    <row r="24241" spans="1:7" x14ac:dyDescent="0.2">
      <c r="A24241" t="s">
        <v>1</v>
      </c>
      <c r="B24241" t="str">
        <f>"13890003859"</f>
        <v>13890003859</v>
      </c>
      <c r="C24241" t="s">
        <v>1</v>
      </c>
      <c r="D24241" t="s">
        <v>1</v>
      </c>
      <c r="E24241" t="s">
        <v>1</v>
      </c>
      <c r="F24241" t="s">
        <v>0</v>
      </c>
      <c r="G24241" t="str">
        <f>"2018-10-06 12:54:02"</f>
        <v>2018-10-06 12:54:02</v>
      </c>
    </row>
    <row r="24242" spans="1:7" x14ac:dyDescent="0.2">
      <c r="A24242" t="s">
        <v>22477</v>
      </c>
      <c r="B24242" t="str">
        <f>"13882272971"</f>
        <v>13882272971</v>
      </c>
      <c r="C24242" t="str">
        <f>"510626198709244954"</f>
        <v>510626198709244954</v>
      </c>
      <c r="D24242" t="s">
        <v>1</v>
      </c>
      <c r="E24242" t="s">
        <v>1</v>
      </c>
      <c r="F24242" t="s">
        <v>0</v>
      </c>
      <c r="G24242" t="str">
        <f>"2018-10-06 12:54:47"</f>
        <v>2018-10-06 12:54:47</v>
      </c>
    </row>
    <row r="24243" spans="1:7" x14ac:dyDescent="0.2">
      <c r="A24243" t="s">
        <v>22478</v>
      </c>
      <c r="B24243" t="str">
        <f>"13060763768"</f>
        <v>13060763768</v>
      </c>
      <c r="C24243" t="str">
        <f>"411528199003042954"</f>
        <v>411528199003042954</v>
      </c>
      <c r="D24243" t="s">
        <v>1</v>
      </c>
      <c r="E24243" t="s">
        <v>1</v>
      </c>
      <c r="F24243" t="s">
        <v>0</v>
      </c>
      <c r="G24243" t="str">
        <f>"2018-10-06 12:55:41"</f>
        <v>2018-10-06 12:55:41</v>
      </c>
    </row>
    <row r="24244" spans="1:7" x14ac:dyDescent="0.2">
      <c r="A24244" t="s">
        <v>659</v>
      </c>
      <c r="B24244" t="str">
        <f>"15120040302"</f>
        <v>15120040302</v>
      </c>
      <c r="C24244" t="str">
        <f>"130732198703062932"</f>
        <v>130732198703062932</v>
      </c>
      <c r="D24244" t="s">
        <v>22479</v>
      </c>
      <c r="E24244" t="s">
        <v>22480</v>
      </c>
      <c r="F24244" t="s">
        <v>0</v>
      </c>
      <c r="G24244" t="str">
        <f>"2018-10-06 12:55:16"</f>
        <v>2018-10-06 12:55:16</v>
      </c>
    </row>
    <row r="24245" spans="1:7" x14ac:dyDescent="0.2">
      <c r="A24245" t="s">
        <v>22481</v>
      </c>
      <c r="B24245" t="str">
        <f>"13056454779"</f>
        <v>13056454779</v>
      </c>
      <c r="C24245" t="str">
        <f>"513321197310040044"</f>
        <v>513321197310040044</v>
      </c>
      <c r="D24245" t="s">
        <v>22482</v>
      </c>
      <c r="E24245" t="s">
        <v>22483</v>
      </c>
      <c r="F24245" t="s">
        <v>0</v>
      </c>
      <c r="G24245" t="str">
        <f>"2018-10-06 13:01:29"</f>
        <v>2018-10-06 13:01:29</v>
      </c>
    </row>
    <row r="24246" spans="1:7" x14ac:dyDescent="0.2">
      <c r="A24246" t="s">
        <v>1</v>
      </c>
      <c r="B24246" t="str">
        <f>"13621278970"</f>
        <v>13621278970</v>
      </c>
      <c r="C24246" t="s">
        <v>1</v>
      </c>
      <c r="D24246" t="s">
        <v>1</v>
      </c>
      <c r="E24246" t="s">
        <v>1</v>
      </c>
      <c r="F24246" t="s">
        <v>0</v>
      </c>
      <c r="G24246" t="str">
        <f>"2018-10-06 12:54:55"</f>
        <v>2018-10-06 12:54:55</v>
      </c>
    </row>
    <row r="24247" spans="1:7" x14ac:dyDescent="0.2">
      <c r="A24247" t="s">
        <v>22484</v>
      </c>
      <c r="B24247" t="str">
        <f>"15236572788"</f>
        <v>15236572788</v>
      </c>
      <c r="C24247" t="str">
        <f>"410521199307217025"</f>
        <v>410521199307217025</v>
      </c>
      <c r="D24247" t="s">
        <v>22485</v>
      </c>
      <c r="E24247" t="s">
        <v>22486</v>
      </c>
      <c r="F24247" t="s">
        <v>0</v>
      </c>
      <c r="G24247" t="str">
        <f>"2018-10-06 12:50:44"</f>
        <v>2018-10-06 12:50:44</v>
      </c>
    </row>
    <row r="24248" spans="1:7" x14ac:dyDescent="0.2">
      <c r="A24248" t="s">
        <v>1</v>
      </c>
      <c r="B24248" t="str">
        <f>"18777541488"</f>
        <v>18777541488</v>
      </c>
      <c r="C24248" t="s">
        <v>1</v>
      </c>
      <c r="D24248" t="s">
        <v>1</v>
      </c>
      <c r="E24248" t="s">
        <v>1</v>
      </c>
      <c r="F24248" t="s">
        <v>0</v>
      </c>
      <c r="G24248" t="str">
        <f>"2018-10-06 12:51:12"</f>
        <v>2018-10-06 12:51:12</v>
      </c>
    </row>
    <row r="24249" spans="1:7" x14ac:dyDescent="0.2">
      <c r="A24249" t="s">
        <v>22487</v>
      </c>
      <c r="B24249" t="str">
        <f>"13859833337"</f>
        <v>13859833337</v>
      </c>
      <c r="C24249" t="str">
        <f>"350321197606180350"</f>
        <v>350321197606180350</v>
      </c>
      <c r="D24249" t="s">
        <v>1</v>
      </c>
      <c r="E24249" t="s">
        <v>1</v>
      </c>
      <c r="F24249" t="s">
        <v>0</v>
      </c>
      <c r="G24249" t="str">
        <f>"2018-10-06 12:51:05"</f>
        <v>2018-10-06 12:51:05</v>
      </c>
    </row>
    <row r="24250" spans="1:7" x14ac:dyDescent="0.2">
      <c r="A24250" t="s">
        <v>1</v>
      </c>
      <c r="B24250" t="str">
        <f>"13370670515"</f>
        <v>13370670515</v>
      </c>
      <c r="C24250" t="s">
        <v>1</v>
      </c>
      <c r="D24250" t="s">
        <v>1</v>
      </c>
      <c r="E24250" t="s">
        <v>1</v>
      </c>
      <c r="F24250" t="s">
        <v>0</v>
      </c>
      <c r="G24250" t="str">
        <f>"2018-10-06 12:49:43"</f>
        <v>2018-10-06 12:49:43</v>
      </c>
    </row>
    <row r="24251" spans="1:7" x14ac:dyDescent="0.2">
      <c r="A24251" t="s">
        <v>1</v>
      </c>
      <c r="B24251" t="str">
        <f>"17535192364"</f>
        <v>17535192364</v>
      </c>
      <c r="C24251" t="s">
        <v>1</v>
      </c>
      <c r="D24251" t="s">
        <v>1</v>
      </c>
      <c r="E24251" t="s">
        <v>1</v>
      </c>
      <c r="F24251" t="s">
        <v>0</v>
      </c>
      <c r="G24251" t="str">
        <f>"2018-10-06 14:45:01"</f>
        <v>2018-10-06 14:45:01</v>
      </c>
    </row>
    <row r="24252" spans="1:7" x14ac:dyDescent="0.2">
      <c r="A24252" t="s">
        <v>1</v>
      </c>
      <c r="B24252" t="str">
        <f>"13004967748"</f>
        <v>13004967748</v>
      </c>
      <c r="C24252" t="s">
        <v>1</v>
      </c>
      <c r="D24252" t="s">
        <v>1</v>
      </c>
      <c r="E24252" t="s">
        <v>1</v>
      </c>
      <c r="F24252" t="s">
        <v>0</v>
      </c>
      <c r="G24252" t="str">
        <f>"2018-10-06 12:49:10"</f>
        <v>2018-10-06 12:49:10</v>
      </c>
    </row>
    <row r="24253" spans="1:7" x14ac:dyDescent="0.2">
      <c r="A24253" t="s">
        <v>1</v>
      </c>
      <c r="B24253" t="str">
        <f>"15521785821"</f>
        <v>15521785821</v>
      </c>
      <c r="C24253" t="s">
        <v>1</v>
      </c>
      <c r="D24253" t="s">
        <v>1</v>
      </c>
      <c r="E24253" t="s">
        <v>1</v>
      </c>
      <c r="F24253" t="s">
        <v>0</v>
      </c>
      <c r="G24253" t="str">
        <f>"2018-10-06 12:50:17"</f>
        <v>2018-10-06 12:50:17</v>
      </c>
    </row>
    <row r="24254" spans="1:7" x14ac:dyDescent="0.2">
      <c r="A24254" t="s">
        <v>1</v>
      </c>
      <c r="B24254" t="str">
        <f>"17538700496"</f>
        <v>17538700496</v>
      </c>
      <c r="C24254" t="s">
        <v>1</v>
      </c>
      <c r="D24254" t="s">
        <v>1</v>
      </c>
      <c r="E24254" t="s">
        <v>1</v>
      </c>
      <c r="F24254" t="s">
        <v>0</v>
      </c>
      <c r="G24254" t="str">
        <f>"2018-10-06 12:49:03"</f>
        <v>2018-10-06 12:49:03</v>
      </c>
    </row>
    <row r="24255" spans="1:7" x14ac:dyDescent="0.2">
      <c r="A24255" t="s">
        <v>22488</v>
      </c>
      <c r="B24255" t="str">
        <f>"13630831735"</f>
        <v>13630831735</v>
      </c>
      <c r="C24255" t="str">
        <f>"130526197802266735"</f>
        <v>130526197802266735</v>
      </c>
      <c r="D24255" t="s">
        <v>1</v>
      </c>
      <c r="E24255" t="s">
        <v>1</v>
      </c>
      <c r="F24255" t="s">
        <v>0</v>
      </c>
      <c r="G24255" t="str">
        <f>"2018-10-06 12:50:47"</f>
        <v>2018-10-06 12:50:47</v>
      </c>
    </row>
    <row r="24256" spans="1:7" x14ac:dyDescent="0.2">
      <c r="A24256" t="s">
        <v>22489</v>
      </c>
      <c r="B24256" t="str">
        <f>"15141436828"</f>
        <v>15141436828</v>
      </c>
      <c r="C24256" t="str">
        <f>"21052219780919082X"</f>
        <v>21052219780919082X</v>
      </c>
      <c r="D24256" t="s">
        <v>22490</v>
      </c>
      <c r="E24256" t="s">
        <v>22491</v>
      </c>
      <c r="F24256" t="s">
        <v>0</v>
      </c>
      <c r="G24256" t="str">
        <f>"2018-10-06 13:02:45"</f>
        <v>2018-10-06 13:02:45</v>
      </c>
    </row>
    <row r="24257" spans="1:7" x14ac:dyDescent="0.2">
      <c r="A24257" t="s">
        <v>1</v>
      </c>
      <c r="B24257" t="str">
        <f>"17607793782"</f>
        <v>17607793782</v>
      </c>
      <c r="C24257" t="s">
        <v>1</v>
      </c>
      <c r="D24257" t="s">
        <v>1</v>
      </c>
      <c r="E24257" t="s">
        <v>1</v>
      </c>
      <c r="F24257" t="s">
        <v>0</v>
      </c>
      <c r="G24257" t="str">
        <f>"2018-10-06 12:48:10"</f>
        <v>2018-10-06 12:48:10</v>
      </c>
    </row>
    <row r="24258" spans="1:7" x14ac:dyDescent="0.2">
      <c r="A24258" t="s">
        <v>22492</v>
      </c>
      <c r="B24258" t="str">
        <f>"15558342321"</f>
        <v>15558342321</v>
      </c>
      <c r="C24258" t="str">
        <f>"330227199506261354"</f>
        <v>330227199506261354</v>
      </c>
      <c r="D24258" t="s">
        <v>22493</v>
      </c>
      <c r="E24258" t="s">
        <v>22494</v>
      </c>
      <c r="F24258" t="s">
        <v>0</v>
      </c>
      <c r="G24258" t="str">
        <f>"2018-10-06 12:49:28"</f>
        <v>2018-10-06 12:49:28</v>
      </c>
    </row>
    <row r="24259" spans="1:7" x14ac:dyDescent="0.2">
      <c r="A24259" t="s">
        <v>1</v>
      </c>
      <c r="B24259" t="str">
        <f>"13486157201"</f>
        <v>13486157201</v>
      </c>
      <c r="C24259" t="s">
        <v>1</v>
      </c>
      <c r="D24259" t="s">
        <v>1</v>
      </c>
      <c r="E24259" t="s">
        <v>1</v>
      </c>
      <c r="F24259" t="s">
        <v>0</v>
      </c>
      <c r="G24259" t="str">
        <f>"2018-10-06 12:47:16"</f>
        <v>2018-10-06 12:47:16</v>
      </c>
    </row>
    <row r="24260" spans="1:7" x14ac:dyDescent="0.2">
      <c r="A24260" t="s">
        <v>3009</v>
      </c>
      <c r="B24260" t="str">
        <f>"18364346841"</f>
        <v>18364346841</v>
      </c>
      <c r="C24260" t="str">
        <f>"370304199408302747"</f>
        <v>370304199408302747</v>
      </c>
      <c r="D24260" t="s">
        <v>1</v>
      </c>
      <c r="E24260" t="s">
        <v>1</v>
      </c>
      <c r="F24260" t="s">
        <v>0</v>
      </c>
      <c r="G24260" t="str">
        <f>"2018-10-06 13:02:32"</f>
        <v>2018-10-06 13:02:32</v>
      </c>
    </row>
    <row r="24261" spans="1:7" x14ac:dyDescent="0.2">
      <c r="A24261" t="s">
        <v>1</v>
      </c>
      <c r="B24261" t="str">
        <f>"13633581803"</f>
        <v>13633581803</v>
      </c>
      <c r="C24261" t="s">
        <v>1</v>
      </c>
      <c r="D24261" t="s">
        <v>1</v>
      </c>
      <c r="E24261" t="s">
        <v>1</v>
      </c>
      <c r="F24261" t="s">
        <v>0</v>
      </c>
      <c r="G24261" t="str">
        <f>"2018-10-06 12:46:34"</f>
        <v>2018-10-06 12:46:34</v>
      </c>
    </row>
    <row r="24262" spans="1:7" x14ac:dyDescent="0.2">
      <c r="A24262" t="s">
        <v>1</v>
      </c>
      <c r="B24262" t="str">
        <f>"15989061585"</f>
        <v>15989061585</v>
      </c>
      <c r="C24262" t="s">
        <v>1</v>
      </c>
      <c r="D24262" t="s">
        <v>1</v>
      </c>
      <c r="E24262" t="s">
        <v>1</v>
      </c>
      <c r="F24262" t="s">
        <v>0</v>
      </c>
      <c r="G24262" t="str">
        <f>"2018-10-06 12:46:28"</f>
        <v>2018-10-06 12:46:28</v>
      </c>
    </row>
    <row r="24263" spans="1:7" x14ac:dyDescent="0.2">
      <c r="A24263" t="s">
        <v>1</v>
      </c>
      <c r="B24263" t="str">
        <f>"13250313152"</f>
        <v>13250313152</v>
      </c>
      <c r="C24263" t="s">
        <v>1</v>
      </c>
      <c r="D24263" t="s">
        <v>1</v>
      </c>
      <c r="E24263" t="s">
        <v>1</v>
      </c>
      <c r="F24263" t="s">
        <v>0</v>
      </c>
      <c r="G24263" t="str">
        <f>"2018-10-06 12:46:28"</f>
        <v>2018-10-06 12:46:28</v>
      </c>
    </row>
    <row r="24264" spans="1:7" x14ac:dyDescent="0.2">
      <c r="A24264" t="s">
        <v>22495</v>
      </c>
      <c r="B24264" t="str">
        <f>"17693664332"</f>
        <v>17693664332</v>
      </c>
      <c r="C24264" t="str">
        <f>"622621199304010615"</f>
        <v>622621199304010615</v>
      </c>
      <c r="D24264" t="s">
        <v>1</v>
      </c>
      <c r="E24264" t="s">
        <v>1</v>
      </c>
      <c r="F24264" t="s">
        <v>0</v>
      </c>
      <c r="G24264" t="str">
        <f>"2018-10-07 11:17:03"</f>
        <v>2018-10-07 11:17:03</v>
      </c>
    </row>
    <row r="24265" spans="1:7" x14ac:dyDescent="0.2">
      <c r="A24265" t="s">
        <v>1</v>
      </c>
      <c r="B24265" t="str">
        <f>"15085355021"</f>
        <v>15085355021</v>
      </c>
      <c r="C24265" t="s">
        <v>1</v>
      </c>
      <c r="D24265" t="s">
        <v>1</v>
      </c>
      <c r="E24265" t="s">
        <v>1</v>
      </c>
      <c r="F24265" t="s">
        <v>0</v>
      </c>
      <c r="G24265" t="str">
        <f>"2018-10-06 12:45:50"</f>
        <v>2018-10-06 12:45:50</v>
      </c>
    </row>
    <row r="24266" spans="1:7" x14ac:dyDescent="0.2">
      <c r="A24266" t="s">
        <v>1</v>
      </c>
      <c r="B24266" t="str">
        <f>"17620147222"</f>
        <v>17620147222</v>
      </c>
      <c r="C24266" t="s">
        <v>1</v>
      </c>
      <c r="D24266" t="s">
        <v>1</v>
      </c>
      <c r="E24266" t="s">
        <v>1</v>
      </c>
      <c r="F24266" t="s">
        <v>0</v>
      </c>
      <c r="G24266" t="str">
        <f>"2018-10-06 12:45:33"</f>
        <v>2018-10-06 12:45:33</v>
      </c>
    </row>
    <row r="24267" spans="1:7" x14ac:dyDescent="0.2">
      <c r="A24267" t="s">
        <v>277</v>
      </c>
      <c r="B24267" t="str">
        <f>"13986923891"</f>
        <v>13986923891</v>
      </c>
      <c r="C24267" t="str">
        <f>"429004198308132914"</f>
        <v>429004198308132914</v>
      </c>
      <c r="D24267" t="s">
        <v>1</v>
      </c>
      <c r="E24267" t="s">
        <v>1</v>
      </c>
      <c r="F24267" t="s">
        <v>0</v>
      </c>
      <c r="G24267" t="str">
        <f>"2018-10-06 12:54:39"</f>
        <v>2018-10-06 12:54:39</v>
      </c>
    </row>
    <row r="24268" spans="1:7" x14ac:dyDescent="0.2">
      <c r="A24268" t="s">
        <v>1</v>
      </c>
      <c r="B24268" t="str">
        <f>"15672088138"</f>
        <v>15672088138</v>
      </c>
      <c r="C24268" t="s">
        <v>1</v>
      </c>
      <c r="D24268" t="s">
        <v>1</v>
      </c>
      <c r="E24268" t="s">
        <v>1</v>
      </c>
      <c r="F24268" t="s">
        <v>0</v>
      </c>
      <c r="G24268" t="str">
        <f>"2018-10-06 12:45:24"</f>
        <v>2018-10-06 12:45:24</v>
      </c>
    </row>
    <row r="24269" spans="1:7" x14ac:dyDescent="0.2">
      <c r="A24269" t="s">
        <v>22496</v>
      </c>
      <c r="B24269" t="str">
        <f>"15657668012"</f>
        <v>15657668012</v>
      </c>
      <c r="C24269" t="str">
        <f>"332624199003041813"</f>
        <v>332624199003041813</v>
      </c>
      <c r="D24269" t="s">
        <v>1</v>
      </c>
      <c r="E24269" t="s">
        <v>1</v>
      </c>
      <c r="F24269" t="s">
        <v>0</v>
      </c>
      <c r="G24269" t="str">
        <f>"2018-10-06 12:45:15"</f>
        <v>2018-10-06 12:45:15</v>
      </c>
    </row>
    <row r="24270" spans="1:7" x14ac:dyDescent="0.2">
      <c r="A24270" t="s">
        <v>22497</v>
      </c>
      <c r="B24270" t="str">
        <f>"13325090311"</f>
        <v>13325090311</v>
      </c>
      <c r="C24270" t="str">
        <f>"371326198911106430"</f>
        <v>371326198911106430</v>
      </c>
      <c r="D24270" t="s">
        <v>22498</v>
      </c>
      <c r="E24270" t="s">
        <v>22499</v>
      </c>
      <c r="F24270" t="s">
        <v>0</v>
      </c>
      <c r="G24270" t="str">
        <f>"2018-10-06 12:45:10"</f>
        <v>2018-10-06 12:45:10</v>
      </c>
    </row>
    <row r="24271" spans="1:7" x14ac:dyDescent="0.2">
      <c r="A24271" t="s">
        <v>22500</v>
      </c>
      <c r="B24271" t="str">
        <f>"17685336292"</f>
        <v>17685336292</v>
      </c>
      <c r="C24271" t="str">
        <f>"522727199706260078"</f>
        <v>522727199706260078</v>
      </c>
      <c r="D24271" t="s">
        <v>1</v>
      </c>
      <c r="E24271" t="s">
        <v>1</v>
      </c>
      <c r="F24271" t="s">
        <v>0</v>
      </c>
      <c r="G24271" t="str">
        <f>"2018-10-06 12:46:38"</f>
        <v>2018-10-06 12:46:38</v>
      </c>
    </row>
    <row r="24272" spans="1:7" x14ac:dyDescent="0.2">
      <c r="A24272" t="s">
        <v>1</v>
      </c>
      <c r="B24272" t="str">
        <f>"15961596165"</f>
        <v>15961596165</v>
      </c>
      <c r="C24272" t="s">
        <v>1</v>
      </c>
      <c r="D24272" t="s">
        <v>1</v>
      </c>
      <c r="E24272" t="s">
        <v>1</v>
      </c>
      <c r="F24272" t="s">
        <v>0</v>
      </c>
      <c r="G24272" t="str">
        <f>"2018-10-06 12:44:20"</f>
        <v>2018-10-06 12:44:20</v>
      </c>
    </row>
    <row r="24273" spans="1:7" x14ac:dyDescent="0.2">
      <c r="A24273" t="s">
        <v>1</v>
      </c>
      <c r="B24273" t="str">
        <f>"18664734393"</f>
        <v>18664734393</v>
      </c>
      <c r="C24273" t="s">
        <v>1</v>
      </c>
      <c r="D24273" t="s">
        <v>1</v>
      </c>
      <c r="E24273" t="s">
        <v>1</v>
      </c>
      <c r="F24273" t="s">
        <v>0</v>
      </c>
      <c r="G24273" t="str">
        <f>"2018-10-06 12:45:54"</f>
        <v>2018-10-06 12:45:54</v>
      </c>
    </row>
    <row r="24274" spans="1:7" x14ac:dyDescent="0.2">
      <c r="A24274" t="s">
        <v>22501</v>
      </c>
      <c r="B24274" t="str">
        <f>"15854869980"</f>
        <v>15854869980</v>
      </c>
      <c r="C24274" t="str">
        <f>"232700199507116322"</f>
        <v>232700199507116322</v>
      </c>
      <c r="D24274" t="s">
        <v>1</v>
      </c>
      <c r="E24274" t="s">
        <v>1</v>
      </c>
      <c r="F24274" t="s">
        <v>0</v>
      </c>
      <c r="G24274" t="str">
        <f>"2018-10-06 12:47:18"</f>
        <v>2018-10-06 12:47:18</v>
      </c>
    </row>
    <row r="24275" spans="1:7" x14ac:dyDescent="0.2">
      <c r="A24275" t="s">
        <v>1</v>
      </c>
      <c r="B24275" t="str">
        <f>"13632600523"</f>
        <v>13632600523</v>
      </c>
      <c r="C24275" t="s">
        <v>1</v>
      </c>
      <c r="D24275" t="s">
        <v>1</v>
      </c>
      <c r="E24275" t="s">
        <v>1</v>
      </c>
      <c r="F24275" t="s">
        <v>0</v>
      </c>
      <c r="G24275" t="str">
        <f>"2018-10-06 12:44:03"</f>
        <v>2018-10-06 12:44:03</v>
      </c>
    </row>
    <row r="24276" spans="1:7" x14ac:dyDescent="0.2">
      <c r="A24276" t="s">
        <v>22502</v>
      </c>
      <c r="B24276" t="str">
        <f>"13704039117"</f>
        <v>13704039117</v>
      </c>
      <c r="C24276" t="str">
        <f>"210102197811171225"</f>
        <v>210102197811171225</v>
      </c>
      <c r="D24276" t="s">
        <v>1</v>
      </c>
      <c r="E24276" t="s">
        <v>1</v>
      </c>
      <c r="F24276" t="s">
        <v>0</v>
      </c>
      <c r="G24276" t="str">
        <f>"2018-10-06 13:03:49"</f>
        <v>2018-10-06 13:03:49</v>
      </c>
    </row>
    <row r="24277" spans="1:7" x14ac:dyDescent="0.2">
      <c r="A24277" t="s">
        <v>22503</v>
      </c>
      <c r="B24277" t="str">
        <f>"15020388820"</f>
        <v>15020388820</v>
      </c>
      <c r="C24277" t="str">
        <f>"371329199002185438"</f>
        <v>371329199002185438</v>
      </c>
      <c r="D24277" t="s">
        <v>1</v>
      </c>
      <c r="E24277" t="s">
        <v>1</v>
      </c>
      <c r="F24277" t="s">
        <v>0</v>
      </c>
      <c r="G24277" t="str">
        <f>"2018-10-06 13:39:27"</f>
        <v>2018-10-06 13:39:27</v>
      </c>
    </row>
    <row r="24278" spans="1:7" x14ac:dyDescent="0.2">
      <c r="A24278" t="s">
        <v>1</v>
      </c>
      <c r="B24278" t="str">
        <f>"18675991382"</f>
        <v>18675991382</v>
      </c>
      <c r="C24278" t="s">
        <v>1</v>
      </c>
      <c r="D24278" t="s">
        <v>1</v>
      </c>
      <c r="E24278" t="s">
        <v>1</v>
      </c>
      <c r="F24278" t="s">
        <v>0</v>
      </c>
      <c r="G24278" t="str">
        <f>"2018-10-06 12:42:13"</f>
        <v>2018-10-06 12:42:13</v>
      </c>
    </row>
    <row r="24279" spans="1:7" x14ac:dyDescent="0.2">
      <c r="A24279" t="s">
        <v>22504</v>
      </c>
      <c r="B24279" t="str">
        <f>"13926122367"</f>
        <v>13926122367</v>
      </c>
      <c r="C24279" t="str">
        <f>"512301197507263595"</f>
        <v>512301197507263595</v>
      </c>
      <c r="D24279" t="s">
        <v>22505</v>
      </c>
      <c r="E24279" t="s">
        <v>22506</v>
      </c>
      <c r="F24279" t="s">
        <v>0</v>
      </c>
      <c r="G24279" t="str">
        <f>"2018-10-06 12:43:22"</f>
        <v>2018-10-06 12:43:22</v>
      </c>
    </row>
    <row r="24280" spans="1:7" x14ac:dyDescent="0.2">
      <c r="A24280" t="s">
        <v>22507</v>
      </c>
      <c r="B24280" t="str">
        <f>"13645516233"</f>
        <v>13645516233</v>
      </c>
      <c r="C24280" t="str">
        <f>"341125199404130198"</f>
        <v>341125199404130198</v>
      </c>
      <c r="D24280" t="s">
        <v>1</v>
      </c>
      <c r="E24280" t="s">
        <v>1</v>
      </c>
      <c r="F24280" t="s">
        <v>0</v>
      </c>
      <c r="G24280" t="str">
        <f>"2018-10-06 12:46:31"</f>
        <v>2018-10-06 12:46:31</v>
      </c>
    </row>
    <row r="24281" spans="1:7" x14ac:dyDescent="0.2">
      <c r="A24281" t="s">
        <v>22508</v>
      </c>
      <c r="B24281" t="str">
        <f>"13229922657"</f>
        <v>13229922657</v>
      </c>
      <c r="C24281" t="str">
        <f>"440111199206021569"</f>
        <v>440111199206021569</v>
      </c>
      <c r="D24281" t="s">
        <v>1</v>
      </c>
      <c r="E24281" t="s">
        <v>1</v>
      </c>
      <c r="F24281" t="s">
        <v>0</v>
      </c>
      <c r="G24281" t="str">
        <f>"2018-10-06 12:43:37"</f>
        <v>2018-10-06 12:43:37</v>
      </c>
    </row>
    <row r="24282" spans="1:7" x14ac:dyDescent="0.2">
      <c r="A24282" t="s">
        <v>22509</v>
      </c>
      <c r="B24282" t="str">
        <f>"15888068423"</f>
        <v>15888068423</v>
      </c>
      <c r="C24282" t="str">
        <f>"330225198206231025"</f>
        <v>330225198206231025</v>
      </c>
      <c r="D24282" t="s">
        <v>1</v>
      </c>
      <c r="E24282" t="s">
        <v>1</v>
      </c>
      <c r="F24282" t="s">
        <v>0</v>
      </c>
      <c r="G24282" t="str">
        <f>"2018-10-06 12:43:15"</f>
        <v>2018-10-06 12:43:15</v>
      </c>
    </row>
    <row r="24283" spans="1:7" x14ac:dyDescent="0.2">
      <c r="A24283" t="s">
        <v>245</v>
      </c>
      <c r="B24283" t="str">
        <f>"18790192031"</f>
        <v>18790192031</v>
      </c>
      <c r="C24283" t="str">
        <f>"411523199408080439"</f>
        <v>411523199408080439</v>
      </c>
      <c r="D24283" t="s">
        <v>1</v>
      </c>
      <c r="E24283" t="s">
        <v>1</v>
      </c>
      <c r="F24283" t="s">
        <v>0</v>
      </c>
      <c r="G24283" t="str">
        <f>"2018-10-06 12:42:10"</f>
        <v>2018-10-06 12:42:10</v>
      </c>
    </row>
    <row r="24284" spans="1:7" x14ac:dyDescent="0.2">
      <c r="A24284" t="s">
        <v>22510</v>
      </c>
      <c r="B24284" t="str">
        <f>"13937255779"</f>
        <v>13937255779</v>
      </c>
      <c r="C24284" t="str">
        <f>"410503197709282012"</f>
        <v>410503197709282012</v>
      </c>
      <c r="D24284" t="s">
        <v>1</v>
      </c>
      <c r="E24284" t="s">
        <v>1</v>
      </c>
      <c r="F24284" t="s">
        <v>0</v>
      </c>
      <c r="G24284" t="str">
        <f>"2018-10-06 12:42:46"</f>
        <v>2018-10-06 12:42:46</v>
      </c>
    </row>
    <row r="24285" spans="1:7" x14ac:dyDescent="0.2">
      <c r="A24285" t="s">
        <v>1</v>
      </c>
      <c r="B24285" t="str">
        <f>"13008552547"</f>
        <v>13008552547</v>
      </c>
      <c r="C24285" t="s">
        <v>1</v>
      </c>
      <c r="D24285" t="s">
        <v>1</v>
      </c>
      <c r="E24285" t="s">
        <v>1</v>
      </c>
      <c r="F24285" t="s">
        <v>0</v>
      </c>
      <c r="G24285" t="str">
        <f>"2018-10-06 12:40:36"</f>
        <v>2018-10-06 12:40:36</v>
      </c>
    </row>
    <row r="24286" spans="1:7" x14ac:dyDescent="0.2">
      <c r="A24286" t="s">
        <v>1</v>
      </c>
      <c r="B24286" t="str">
        <f>"13001353451"</f>
        <v>13001353451</v>
      </c>
      <c r="C24286" t="s">
        <v>1</v>
      </c>
      <c r="D24286" t="s">
        <v>1</v>
      </c>
      <c r="E24286" t="s">
        <v>1</v>
      </c>
      <c r="F24286" t="s">
        <v>0</v>
      </c>
      <c r="G24286" t="str">
        <f>"2018-10-06 12:40:30"</f>
        <v>2018-10-06 12:40:30</v>
      </c>
    </row>
    <row r="24287" spans="1:7" x14ac:dyDescent="0.2">
      <c r="A24287" t="s">
        <v>3414</v>
      </c>
      <c r="B24287" t="str">
        <f>"18785464703"</f>
        <v>18785464703</v>
      </c>
      <c r="C24287" t="str">
        <f>"522729199509113012"</f>
        <v>522729199509113012</v>
      </c>
      <c r="D24287" t="s">
        <v>1</v>
      </c>
      <c r="E24287" t="s">
        <v>1</v>
      </c>
      <c r="F24287" t="s">
        <v>0</v>
      </c>
      <c r="G24287" t="str">
        <f>"2018-10-06 12:40:37"</f>
        <v>2018-10-06 12:40:37</v>
      </c>
    </row>
    <row r="24288" spans="1:7" x14ac:dyDescent="0.2">
      <c r="A24288" t="s">
        <v>22511</v>
      </c>
      <c r="B24288" t="str">
        <f>"13328411266"</f>
        <v>13328411266</v>
      </c>
      <c r="C24288" t="str">
        <f>"350204199008226539"</f>
        <v>350204199008226539</v>
      </c>
      <c r="D24288" t="s">
        <v>22512</v>
      </c>
      <c r="E24288" t="s">
        <v>22513</v>
      </c>
      <c r="F24288" t="s">
        <v>0</v>
      </c>
      <c r="G24288" t="str">
        <f>"2018-10-06 12:39:03"</f>
        <v>2018-10-06 12:39:03</v>
      </c>
    </row>
    <row r="24289" spans="1:7" x14ac:dyDescent="0.2">
      <c r="A24289" t="s">
        <v>22514</v>
      </c>
      <c r="B24289" t="str">
        <f>"18780821777"</f>
        <v>18780821777</v>
      </c>
      <c r="C24289" t="str">
        <f>"513022198811298224"</f>
        <v>513022198811298224</v>
      </c>
      <c r="D24289" t="s">
        <v>1</v>
      </c>
      <c r="E24289" t="s">
        <v>1</v>
      </c>
      <c r="F24289" t="s">
        <v>0</v>
      </c>
      <c r="G24289" t="str">
        <f>"2018-10-06 12:40:02"</f>
        <v>2018-10-06 12:40:02</v>
      </c>
    </row>
    <row r="24290" spans="1:7" x14ac:dyDescent="0.2">
      <c r="A24290" t="s">
        <v>1</v>
      </c>
      <c r="B24290" t="str">
        <f>"13099281333"</f>
        <v>13099281333</v>
      </c>
      <c r="C24290" t="s">
        <v>1</v>
      </c>
      <c r="D24290" t="s">
        <v>1</v>
      </c>
      <c r="E24290" t="s">
        <v>1</v>
      </c>
      <c r="F24290" t="s">
        <v>0</v>
      </c>
      <c r="G24290" t="str">
        <f>"2018-10-06 12:38:38"</f>
        <v>2018-10-06 12:38:38</v>
      </c>
    </row>
    <row r="24291" spans="1:7" x14ac:dyDescent="0.2">
      <c r="A24291" t="s">
        <v>22515</v>
      </c>
      <c r="B24291" t="str">
        <f>"13679019541"</f>
        <v>13679019541</v>
      </c>
      <c r="C24291" t="str">
        <f>"511522199111171214"</f>
        <v>511522199111171214</v>
      </c>
      <c r="D24291" t="s">
        <v>22516</v>
      </c>
      <c r="E24291" t="s">
        <v>22517</v>
      </c>
      <c r="F24291" t="s">
        <v>0</v>
      </c>
      <c r="G24291" t="str">
        <f>"2018-10-06 12:41:26"</f>
        <v>2018-10-06 12:41:26</v>
      </c>
    </row>
    <row r="24292" spans="1:7" x14ac:dyDescent="0.2">
      <c r="A24292" t="s">
        <v>22518</v>
      </c>
      <c r="B24292" t="str">
        <f>"18626868760"</f>
        <v>18626868760</v>
      </c>
      <c r="C24292" t="str">
        <f>"411527198407203012"</f>
        <v>411527198407203012</v>
      </c>
      <c r="D24292" t="s">
        <v>1</v>
      </c>
      <c r="E24292" t="s">
        <v>1</v>
      </c>
      <c r="F24292" t="s">
        <v>0</v>
      </c>
      <c r="G24292" t="str">
        <f>"2018-10-08 07:50:23"</f>
        <v>2018-10-08 07:50:23</v>
      </c>
    </row>
    <row r="24293" spans="1:7" x14ac:dyDescent="0.2">
      <c r="A24293" t="s">
        <v>1</v>
      </c>
      <c r="B24293" t="str">
        <f>"18710350149"</f>
        <v>18710350149</v>
      </c>
      <c r="C24293" t="s">
        <v>1</v>
      </c>
      <c r="D24293" t="s">
        <v>1</v>
      </c>
      <c r="E24293" t="s">
        <v>1</v>
      </c>
      <c r="F24293" t="s">
        <v>0</v>
      </c>
      <c r="G24293" t="str">
        <f>"2018-10-06 12:37:00"</f>
        <v>2018-10-06 12:37:00</v>
      </c>
    </row>
    <row r="24294" spans="1:7" x14ac:dyDescent="0.2">
      <c r="A24294" t="s">
        <v>22519</v>
      </c>
      <c r="B24294" t="str">
        <f>"17665667728"</f>
        <v>17665667728</v>
      </c>
      <c r="C24294" t="str">
        <f>"441225199907280031"</f>
        <v>441225199907280031</v>
      </c>
      <c r="D24294" t="s">
        <v>1</v>
      </c>
      <c r="E24294" t="s">
        <v>1</v>
      </c>
      <c r="F24294" t="s">
        <v>0</v>
      </c>
      <c r="G24294" t="str">
        <f>"2018-10-06 12:37:48"</f>
        <v>2018-10-06 12:37:48</v>
      </c>
    </row>
    <row r="24295" spans="1:7" x14ac:dyDescent="0.2">
      <c r="A24295" t="s">
        <v>22520</v>
      </c>
      <c r="B24295" t="str">
        <f>"13406266259"</f>
        <v>13406266259</v>
      </c>
      <c r="C24295" t="str">
        <f>"370826198508106859"</f>
        <v>370826198508106859</v>
      </c>
      <c r="D24295" t="s">
        <v>1</v>
      </c>
      <c r="E24295" t="s">
        <v>1</v>
      </c>
      <c r="F24295" t="s">
        <v>0</v>
      </c>
      <c r="G24295" t="str">
        <f>"2018-10-06 12:37:32"</f>
        <v>2018-10-06 12:37:32</v>
      </c>
    </row>
    <row r="24296" spans="1:7" x14ac:dyDescent="0.2">
      <c r="A24296" t="s">
        <v>1</v>
      </c>
      <c r="B24296" t="str">
        <f>"13861524579"</f>
        <v>13861524579</v>
      </c>
      <c r="C24296" t="s">
        <v>1</v>
      </c>
      <c r="D24296" t="s">
        <v>1</v>
      </c>
      <c r="E24296" t="s">
        <v>1</v>
      </c>
      <c r="F24296" t="s">
        <v>0</v>
      </c>
      <c r="G24296" t="str">
        <f>"2018-10-06 12:36:04"</f>
        <v>2018-10-06 12:36:04</v>
      </c>
    </row>
    <row r="24297" spans="1:7" x14ac:dyDescent="0.2">
      <c r="A24297" t="s">
        <v>1</v>
      </c>
      <c r="B24297" t="str">
        <f>"15990069331"</f>
        <v>15990069331</v>
      </c>
      <c r="C24297" t="s">
        <v>1</v>
      </c>
      <c r="D24297" t="s">
        <v>1</v>
      </c>
      <c r="E24297" t="s">
        <v>1</v>
      </c>
      <c r="F24297" t="s">
        <v>0</v>
      </c>
      <c r="G24297" t="str">
        <f>"2018-10-06 12:36:02"</f>
        <v>2018-10-06 12:36:02</v>
      </c>
    </row>
    <row r="24298" spans="1:7" x14ac:dyDescent="0.2">
      <c r="A24298" t="s">
        <v>22521</v>
      </c>
      <c r="B24298" t="str">
        <f>"13631565119"</f>
        <v>13631565119</v>
      </c>
      <c r="C24298" t="str">
        <f>"50023719930814141X"</f>
        <v>50023719930814141X</v>
      </c>
      <c r="D24298" t="s">
        <v>1</v>
      </c>
      <c r="E24298" t="s">
        <v>1</v>
      </c>
      <c r="F24298" t="s">
        <v>0</v>
      </c>
      <c r="G24298" t="str">
        <f>"2018-10-06 12:35:57"</f>
        <v>2018-10-06 12:35:57</v>
      </c>
    </row>
    <row r="24299" spans="1:7" x14ac:dyDescent="0.2">
      <c r="A24299" t="s">
        <v>22522</v>
      </c>
      <c r="B24299" t="str">
        <f>"15840509766"</f>
        <v>15840509766</v>
      </c>
      <c r="C24299" t="str">
        <f>"210123199207231229"</f>
        <v>210123199207231229</v>
      </c>
      <c r="D24299" t="s">
        <v>1</v>
      </c>
      <c r="E24299" t="s">
        <v>1</v>
      </c>
      <c r="F24299" t="s">
        <v>0</v>
      </c>
      <c r="G24299" t="str">
        <f>"2018-10-06 12:36:51"</f>
        <v>2018-10-06 12:36:51</v>
      </c>
    </row>
    <row r="24300" spans="1:7" x14ac:dyDescent="0.2">
      <c r="A24300" t="s">
        <v>1</v>
      </c>
      <c r="B24300" t="str">
        <f>"13412786157"</f>
        <v>13412786157</v>
      </c>
      <c r="C24300" t="s">
        <v>1</v>
      </c>
      <c r="D24300" t="s">
        <v>1</v>
      </c>
      <c r="E24300" t="s">
        <v>1</v>
      </c>
      <c r="F24300" t="s">
        <v>0</v>
      </c>
      <c r="G24300" t="str">
        <f>"2018-10-06 12:35:47"</f>
        <v>2018-10-06 12:35:47</v>
      </c>
    </row>
    <row r="24301" spans="1:7" x14ac:dyDescent="0.2">
      <c r="A24301" t="s">
        <v>22523</v>
      </c>
      <c r="B24301" t="str">
        <f>"13936879737"</f>
        <v>13936879737</v>
      </c>
      <c r="C24301" t="str">
        <f>"230604197102080850"</f>
        <v>230604197102080850</v>
      </c>
      <c r="D24301" t="s">
        <v>1</v>
      </c>
      <c r="E24301" t="s">
        <v>1</v>
      </c>
      <c r="F24301" t="s">
        <v>0</v>
      </c>
      <c r="G24301" t="str">
        <f>"2018-10-06 12:38:57"</f>
        <v>2018-10-06 12:38:57</v>
      </c>
    </row>
    <row r="24302" spans="1:7" x14ac:dyDescent="0.2">
      <c r="A24302" t="s">
        <v>22524</v>
      </c>
      <c r="B24302" t="str">
        <f>"18879335518"</f>
        <v>18879335518</v>
      </c>
      <c r="C24302" t="str">
        <f>"362323198708142110"</f>
        <v>362323198708142110</v>
      </c>
      <c r="D24302" t="s">
        <v>1</v>
      </c>
      <c r="E24302" t="s">
        <v>1</v>
      </c>
      <c r="F24302" t="s">
        <v>0</v>
      </c>
      <c r="G24302" t="str">
        <f>"2018-10-06 12:36:25"</f>
        <v>2018-10-06 12:36:25</v>
      </c>
    </row>
    <row r="24303" spans="1:7" x14ac:dyDescent="0.2">
      <c r="A24303" t="s">
        <v>1</v>
      </c>
      <c r="B24303" t="str">
        <f>"13804300963"</f>
        <v>13804300963</v>
      </c>
      <c r="C24303" t="s">
        <v>1</v>
      </c>
      <c r="D24303" t="s">
        <v>1</v>
      </c>
      <c r="E24303" t="s">
        <v>1</v>
      </c>
      <c r="F24303" t="s">
        <v>0</v>
      </c>
      <c r="G24303" t="str">
        <f>"2018-10-06 12:36:03"</f>
        <v>2018-10-06 12:36:03</v>
      </c>
    </row>
    <row r="24304" spans="1:7" x14ac:dyDescent="0.2">
      <c r="A24304" t="s">
        <v>22525</v>
      </c>
      <c r="B24304" t="str">
        <f>"13727146749"</f>
        <v>13727146749</v>
      </c>
      <c r="C24304" t="str">
        <f>"441802199106031439"</f>
        <v>441802199106031439</v>
      </c>
      <c r="D24304" t="s">
        <v>1</v>
      </c>
      <c r="E24304" t="s">
        <v>1</v>
      </c>
      <c r="F24304" t="s">
        <v>0</v>
      </c>
      <c r="G24304" t="str">
        <f>"2018-10-06 12:34:53"</f>
        <v>2018-10-06 12:34:53</v>
      </c>
    </row>
    <row r="24305" spans="1:7" x14ac:dyDescent="0.2">
      <c r="A24305" t="s">
        <v>1</v>
      </c>
      <c r="B24305" t="str">
        <f>"13202652026"</f>
        <v>13202652026</v>
      </c>
      <c r="C24305" t="s">
        <v>1</v>
      </c>
      <c r="D24305" t="s">
        <v>1</v>
      </c>
      <c r="E24305" t="s">
        <v>1</v>
      </c>
      <c r="F24305" t="s">
        <v>0</v>
      </c>
      <c r="G24305" t="str">
        <f>"2018-10-06 12:34:41"</f>
        <v>2018-10-06 12:34:41</v>
      </c>
    </row>
    <row r="24306" spans="1:7" x14ac:dyDescent="0.2">
      <c r="A24306" t="s">
        <v>22526</v>
      </c>
      <c r="B24306" t="str">
        <f>"13716161337"</f>
        <v>13716161337</v>
      </c>
      <c r="C24306" t="str">
        <f>"23108419940206371X"</f>
        <v>23108419940206371X</v>
      </c>
      <c r="D24306" t="s">
        <v>22527</v>
      </c>
      <c r="E24306" t="s">
        <v>22528</v>
      </c>
      <c r="F24306" t="s">
        <v>0</v>
      </c>
      <c r="G24306" t="str">
        <f>"2018-10-19 20:56:36"</f>
        <v>2018-10-19 20:56:36</v>
      </c>
    </row>
    <row r="24307" spans="1:7" x14ac:dyDescent="0.2">
      <c r="A24307" t="s">
        <v>22529</v>
      </c>
      <c r="B24307" t="str">
        <f>"13684453457"</f>
        <v>13684453457</v>
      </c>
      <c r="C24307" t="str">
        <f>"513101198709182616"</f>
        <v>513101198709182616</v>
      </c>
      <c r="D24307" t="s">
        <v>1</v>
      </c>
      <c r="E24307" t="s">
        <v>1</v>
      </c>
      <c r="F24307" t="s">
        <v>0</v>
      </c>
      <c r="G24307" t="str">
        <f>"2018-10-06 12:35:48"</f>
        <v>2018-10-06 12:35:48</v>
      </c>
    </row>
    <row r="24308" spans="1:7" x14ac:dyDescent="0.2">
      <c r="A24308" t="s">
        <v>22530</v>
      </c>
      <c r="B24308" t="str">
        <f>"13813538142"</f>
        <v>13813538142</v>
      </c>
      <c r="C24308" t="str">
        <f>"320481198607260011"</f>
        <v>320481198607260011</v>
      </c>
      <c r="D24308" t="s">
        <v>1</v>
      </c>
      <c r="E24308" t="s">
        <v>1</v>
      </c>
      <c r="F24308" t="s">
        <v>0</v>
      </c>
      <c r="G24308" t="str">
        <f>"2018-10-06 12:35:24"</f>
        <v>2018-10-06 12:35:24</v>
      </c>
    </row>
    <row r="24309" spans="1:7" x14ac:dyDescent="0.2">
      <c r="A24309" t="s">
        <v>22531</v>
      </c>
      <c r="B24309" t="str">
        <f>"13510972559"</f>
        <v>13510972559</v>
      </c>
      <c r="C24309" t="str">
        <f>"440307199611050319"</f>
        <v>440307199611050319</v>
      </c>
      <c r="D24309" t="s">
        <v>1</v>
      </c>
      <c r="E24309" t="s">
        <v>1</v>
      </c>
      <c r="F24309" t="s">
        <v>0</v>
      </c>
      <c r="G24309" t="str">
        <f>"2018-10-06 12:35:00"</f>
        <v>2018-10-06 12:35:00</v>
      </c>
    </row>
    <row r="24310" spans="1:7" x14ac:dyDescent="0.2">
      <c r="A24310" t="s">
        <v>22532</v>
      </c>
      <c r="B24310" t="str">
        <f>"15121389964"</f>
        <v>15121389964</v>
      </c>
      <c r="C24310" t="str">
        <f>"522731197510102559"</f>
        <v>522731197510102559</v>
      </c>
      <c r="D24310" t="s">
        <v>22533</v>
      </c>
      <c r="E24310" t="s">
        <v>22534</v>
      </c>
      <c r="F24310" t="s">
        <v>0</v>
      </c>
      <c r="G24310" t="str">
        <f>"2018-10-06 12:35:31"</f>
        <v>2018-10-06 12:35:31</v>
      </c>
    </row>
    <row r="24311" spans="1:7" x14ac:dyDescent="0.2">
      <c r="A24311" t="s">
        <v>5427</v>
      </c>
      <c r="B24311" t="str">
        <f>"15311545454"</f>
        <v>15311545454</v>
      </c>
      <c r="C24311" t="str">
        <f>"142732198706287217"</f>
        <v>142732198706287217</v>
      </c>
      <c r="D24311" t="s">
        <v>22535</v>
      </c>
      <c r="E24311" t="s">
        <v>22536</v>
      </c>
      <c r="F24311" t="s">
        <v>0</v>
      </c>
      <c r="G24311" t="str">
        <f>"2018-10-06 12:34:47"</f>
        <v>2018-10-06 12:34:47</v>
      </c>
    </row>
    <row r="24312" spans="1:7" x14ac:dyDescent="0.2">
      <c r="A24312" t="s">
        <v>1</v>
      </c>
      <c r="B24312" t="str">
        <f>"15867412516"</f>
        <v>15867412516</v>
      </c>
      <c r="C24312" t="s">
        <v>1</v>
      </c>
      <c r="D24312" t="s">
        <v>1</v>
      </c>
      <c r="E24312" t="s">
        <v>1</v>
      </c>
      <c r="F24312" t="s">
        <v>0</v>
      </c>
      <c r="G24312" t="str">
        <f>"2018-10-06 12:34:49"</f>
        <v>2018-10-06 12:34:49</v>
      </c>
    </row>
    <row r="24313" spans="1:7" x14ac:dyDescent="0.2">
      <c r="A24313" t="s">
        <v>1</v>
      </c>
      <c r="B24313" t="str">
        <f>"13283952328"</f>
        <v>13283952328</v>
      </c>
      <c r="C24313" t="s">
        <v>1</v>
      </c>
      <c r="D24313" t="s">
        <v>1</v>
      </c>
      <c r="E24313" t="s">
        <v>1</v>
      </c>
      <c r="F24313" t="s">
        <v>0</v>
      </c>
      <c r="G24313" t="str">
        <f>"2018-10-06 12:41:13"</f>
        <v>2018-10-06 12:41:13</v>
      </c>
    </row>
    <row r="24314" spans="1:7" x14ac:dyDescent="0.2">
      <c r="A24314" t="s">
        <v>22537</v>
      </c>
      <c r="B24314" t="str">
        <f>"13578246569"</f>
        <v>13578246569</v>
      </c>
      <c r="C24314" t="str">
        <f>"533102197709020823"</f>
        <v>533102197709020823</v>
      </c>
      <c r="D24314" t="s">
        <v>1</v>
      </c>
      <c r="E24314" t="s">
        <v>1</v>
      </c>
      <c r="F24314" t="s">
        <v>0</v>
      </c>
      <c r="G24314" t="str">
        <f>"2018-10-06 12:34:06"</f>
        <v>2018-10-06 12:34:06</v>
      </c>
    </row>
    <row r="24315" spans="1:7" x14ac:dyDescent="0.2">
      <c r="A24315" t="s">
        <v>1</v>
      </c>
      <c r="B24315" t="str">
        <f>"18727811414"</f>
        <v>18727811414</v>
      </c>
      <c r="C24315" t="s">
        <v>1</v>
      </c>
      <c r="D24315" t="s">
        <v>1</v>
      </c>
      <c r="E24315" t="s">
        <v>1</v>
      </c>
      <c r="F24315" t="s">
        <v>0</v>
      </c>
      <c r="G24315" t="str">
        <f>"2018-10-06 12:32:22"</f>
        <v>2018-10-06 12:32:22</v>
      </c>
    </row>
    <row r="24316" spans="1:7" x14ac:dyDescent="0.2">
      <c r="A24316" t="s">
        <v>1</v>
      </c>
      <c r="B24316" t="str">
        <f>"18993119639"</f>
        <v>18993119639</v>
      </c>
      <c r="C24316" t="s">
        <v>1</v>
      </c>
      <c r="D24316" t="s">
        <v>1</v>
      </c>
      <c r="E24316" t="s">
        <v>1</v>
      </c>
      <c r="F24316" t="s">
        <v>0</v>
      </c>
      <c r="G24316" t="str">
        <f>"2018-10-06 12:32:10"</f>
        <v>2018-10-06 12:32:10</v>
      </c>
    </row>
    <row r="24317" spans="1:7" x14ac:dyDescent="0.2">
      <c r="A24317" t="s">
        <v>1</v>
      </c>
      <c r="B24317" t="str">
        <f>"17586562784"</f>
        <v>17586562784</v>
      </c>
      <c r="C24317" t="s">
        <v>1</v>
      </c>
      <c r="D24317" t="s">
        <v>1</v>
      </c>
      <c r="E24317" t="s">
        <v>1</v>
      </c>
      <c r="F24317" t="s">
        <v>0</v>
      </c>
      <c r="G24317" t="str">
        <f>"2018-10-06 12:31:23"</f>
        <v>2018-10-06 12:31:23</v>
      </c>
    </row>
    <row r="24318" spans="1:7" x14ac:dyDescent="0.2">
      <c r="A24318" t="s">
        <v>1</v>
      </c>
      <c r="B24318" t="str">
        <f>"15968277033"</f>
        <v>15968277033</v>
      </c>
      <c r="C24318" t="s">
        <v>1</v>
      </c>
      <c r="D24318" t="s">
        <v>1</v>
      </c>
      <c r="E24318" t="s">
        <v>1</v>
      </c>
      <c r="F24318" t="s">
        <v>0</v>
      </c>
      <c r="G24318" t="str">
        <f>"2018-10-06 12:34:54"</f>
        <v>2018-10-06 12:34:54</v>
      </c>
    </row>
    <row r="24319" spans="1:7" x14ac:dyDescent="0.2">
      <c r="A24319" t="s">
        <v>22538</v>
      </c>
      <c r="B24319" t="str">
        <f>"15287113211"</f>
        <v>15287113211</v>
      </c>
      <c r="C24319" t="str">
        <f>"530121199202210922"</f>
        <v>530121199202210922</v>
      </c>
      <c r="D24319" t="s">
        <v>1</v>
      </c>
      <c r="E24319" t="s">
        <v>1</v>
      </c>
      <c r="F24319" t="s">
        <v>0</v>
      </c>
      <c r="G24319" t="str">
        <f>"2018-10-06 12:31:50"</f>
        <v>2018-10-06 12:31:50</v>
      </c>
    </row>
    <row r="24320" spans="1:7" x14ac:dyDescent="0.2">
      <c r="A24320" t="s">
        <v>22539</v>
      </c>
      <c r="B24320" t="str">
        <f>"15609513527"</f>
        <v>15609513527</v>
      </c>
      <c r="C24320" t="str">
        <f>"51132119860303269X"</f>
        <v>51132119860303269X</v>
      </c>
      <c r="D24320" t="s">
        <v>1</v>
      </c>
      <c r="E24320" t="s">
        <v>1</v>
      </c>
      <c r="F24320" t="s">
        <v>0</v>
      </c>
      <c r="G24320" t="str">
        <f>"2018-10-06 12:33:07"</f>
        <v>2018-10-06 12:33:07</v>
      </c>
    </row>
    <row r="24321" spans="1:7" x14ac:dyDescent="0.2">
      <c r="A24321" t="s">
        <v>1</v>
      </c>
      <c r="B24321" t="str">
        <f>"15594515968"</f>
        <v>15594515968</v>
      </c>
      <c r="C24321" t="s">
        <v>1</v>
      </c>
      <c r="D24321" t="s">
        <v>1</v>
      </c>
      <c r="E24321" t="s">
        <v>1</v>
      </c>
      <c r="F24321" t="s">
        <v>0</v>
      </c>
      <c r="G24321" t="str">
        <f>"2018-10-06 12:30:31"</f>
        <v>2018-10-06 12:30:31</v>
      </c>
    </row>
    <row r="24322" spans="1:7" x14ac:dyDescent="0.2">
      <c r="A24322" t="s">
        <v>22540</v>
      </c>
      <c r="B24322" t="str">
        <f>"13605644564"</f>
        <v>13605644564</v>
      </c>
      <c r="C24322" t="str">
        <f>"342423198604292570"</f>
        <v>342423198604292570</v>
      </c>
      <c r="D24322" t="s">
        <v>1</v>
      </c>
      <c r="E24322" t="s">
        <v>1</v>
      </c>
      <c r="F24322" t="s">
        <v>0</v>
      </c>
      <c r="G24322" t="str">
        <f>"2018-10-06 12:44:37"</f>
        <v>2018-10-06 12:44:37</v>
      </c>
    </row>
    <row r="24323" spans="1:7" x14ac:dyDescent="0.2">
      <c r="A24323" t="s">
        <v>1</v>
      </c>
      <c r="B24323" t="str">
        <f>"13566438626"</f>
        <v>13566438626</v>
      </c>
      <c r="C24323" t="s">
        <v>1</v>
      </c>
      <c r="D24323" t="s">
        <v>1</v>
      </c>
      <c r="E24323" t="s">
        <v>1</v>
      </c>
      <c r="F24323" t="s">
        <v>0</v>
      </c>
      <c r="G24323" t="str">
        <f>"2018-10-06 12:31:50"</f>
        <v>2018-10-06 12:31:50</v>
      </c>
    </row>
    <row r="24324" spans="1:7" x14ac:dyDescent="0.2">
      <c r="A24324" t="s">
        <v>22541</v>
      </c>
      <c r="B24324" t="str">
        <f>"15294652703"</f>
        <v>15294652703</v>
      </c>
      <c r="C24324" t="str">
        <f>"410521199203107091"</f>
        <v>410521199203107091</v>
      </c>
      <c r="D24324" t="s">
        <v>22542</v>
      </c>
      <c r="E24324" t="s">
        <v>22543</v>
      </c>
      <c r="F24324" t="s">
        <v>0</v>
      </c>
      <c r="G24324" t="str">
        <f>"2018-10-06 12:32:00"</f>
        <v>2018-10-06 12:32:00</v>
      </c>
    </row>
    <row r="24325" spans="1:7" x14ac:dyDescent="0.2">
      <c r="A24325" t="s">
        <v>1</v>
      </c>
      <c r="B24325" t="str">
        <f>"18271920057"</f>
        <v>18271920057</v>
      </c>
      <c r="C24325" t="s">
        <v>1</v>
      </c>
      <c r="D24325" t="s">
        <v>1</v>
      </c>
      <c r="E24325" t="s">
        <v>1</v>
      </c>
      <c r="F24325" t="s">
        <v>0</v>
      </c>
      <c r="G24325" t="str">
        <f>"2018-10-06 12:32:09"</f>
        <v>2018-10-06 12:32:09</v>
      </c>
    </row>
    <row r="24326" spans="1:7" x14ac:dyDescent="0.2">
      <c r="A24326" t="s">
        <v>1</v>
      </c>
      <c r="B24326" t="str">
        <f>"17780963026"</f>
        <v>17780963026</v>
      </c>
      <c r="C24326" t="s">
        <v>1</v>
      </c>
      <c r="D24326" t="s">
        <v>1</v>
      </c>
      <c r="E24326" t="s">
        <v>1</v>
      </c>
      <c r="F24326" t="s">
        <v>0</v>
      </c>
      <c r="G24326" t="str">
        <f>"2018-10-06 12:33:23"</f>
        <v>2018-10-06 12:33:23</v>
      </c>
    </row>
    <row r="24327" spans="1:7" x14ac:dyDescent="0.2">
      <c r="A24327" t="s">
        <v>22544</v>
      </c>
      <c r="B24327" t="str">
        <f>"17766700560"</f>
        <v>17766700560</v>
      </c>
      <c r="C24327" t="str">
        <f>"513029199307205876"</f>
        <v>513029199307205876</v>
      </c>
      <c r="D24327" t="s">
        <v>22545</v>
      </c>
      <c r="E24327" t="s">
        <v>22546</v>
      </c>
      <c r="F24327" t="s">
        <v>0</v>
      </c>
      <c r="G24327" t="str">
        <f>"2018-10-06 13:35:17"</f>
        <v>2018-10-06 13:35:17</v>
      </c>
    </row>
    <row r="24328" spans="1:7" x14ac:dyDescent="0.2">
      <c r="A24328" t="s">
        <v>1</v>
      </c>
      <c r="B24328" t="str">
        <f>"18652171677"</f>
        <v>18652171677</v>
      </c>
      <c r="C24328" t="s">
        <v>1</v>
      </c>
      <c r="D24328" t="s">
        <v>1</v>
      </c>
      <c r="E24328" t="s">
        <v>1</v>
      </c>
      <c r="F24328" t="s">
        <v>0</v>
      </c>
      <c r="G24328" t="str">
        <f>"2018-10-06 12:29:33"</f>
        <v>2018-10-06 12:29:33</v>
      </c>
    </row>
    <row r="24329" spans="1:7" x14ac:dyDescent="0.2">
      <c r="A24329" t="s">
        <v>1</v>
      </c>
      <c r="B24329" t="str">
        <f>"18289176287"</f>
        <v>18289176287</v>
      </c>
      <c r="C24329" t="s">
        <v>1</v>
      </c>
      <c r="D24329" t="s">
        <v>1</v>
      </c>
      <c r="E24329" t="s">
        <v>1</v>
      </c>
      <c r="F24329" t="s">
        <v>0</v>
      </c>
      <c r="G24329" t="str">
        <f>"2018-10-06 12:29:33"</f>
        <v>2018-10-06 12:29:33</v>
      </c>
    </row>
    <row r="24330" spans="1:7" x14ac:dyDescent="0.2">
      <c r="A24330" t="s">
        <v>1</v>
      </c>
      <c r="B24330" t="str">
        <f>"18387373809"</f>
        <v>18387373809</v>
      </c>
      <c r="C24330" t="s">
        <v>1</v>
      </c>
      <c r="D24330" t="s">
        <v>1</v>
      </c>
      <c r="E24330" t="s">
        <v>1</v>
      </c>
      <c r="F24330" t="s">
        <v>0</v>
      </c>
      <c r="G24330" t="str">
        <f>"2018-10-06 12:29:32"</f>
        <v>2018-10-06 12:29:32</v>
      </c>
    </row>
    <row r="24331" spans="1:7" x14ac:dyDescent="0.2">
      <c r="A24331" t="s">
        <v>1</v>
      </c>
      <c r="B24331" t="str">
        <f>"13736246633"</f>
        <v>13736246633</v>
      </c>
      <c r="C24331" t="s">
        <v>1</v>
      </c>
      <c r="D24331" t="s">
        <v>1</v>
      </c>
      <c r="E24331" t="s">
        <v>1</v>
      </c>
      <c r="F24331" t="s">
        <v>0</v>
      </c>
      <c r="G24331" t="str">
        <f>"2018-10-06 12:29:17"</f>
        <v>2018-10-06 12:29:17</v>
      </c>
    </row>
    <row r="24332" spans="1:7" x14ac:dyDescent="0.2">
      <c r="A24332" t="s">
        <v>22547</v>
      </c>
      <c r="B24332" t="str">
        <f>"17641160171"</f>
        <v>17641160171</v>
      </c>
      <c r="C24332" t="str">
        <f>"230229199612311713"</f>
        <v>230229199612311713</v>
      </c>
      <c r="D24332" t="s">
        <v>1</v>
      </c>
      <c r="E24332" t="s">
        <v>1</v>
      </c>
      <c r="F24332" t="s">
        <v>0</v>
      </c>
      <c r="G24332" t="str">
        <f>"2018-10-06 12:28:14"</f>
        <v>2018-10-06 12:28:14</v>
      </c>
    </row>
    <row r="24333" spans="1:7" x14ac:dyDescent="0.2">
      <c r="A24333" t="s">
        <v>22548</v>
      </c>
      <c r="B24333" t="str">
        <f>"15664365770"</f>
        <v>15664365770</v>
      </c>
      <c r="C24333" t="str">
        <f>"412824198708186410"</f>
        <v>412824198708186410</v>
      </c>
      <c r="D24333" t="s">
        <v>1</v>
      </c>
      <c r="E24333" t="s">
        <v>1</v>
      </c>
      <c r="F24333" t="s">
        <v>0</v>
      </c>
      <c r="G24333" t="str">
        <f>"2018-10-06 12:29:48"</f>
        <v>2018-10-06 12:29:48</v>
      </c>
    </row>
    <row r="24334" spans="1:7" x14ac:dyDescent="0.2">
      <c r="A24334" t="s">
        <v>22549</v>
      </c>
      <c r="B24334" t="str">
        <f>"18739996000"</f>
        <v>18739996000</v>
      </c>
      <c r="C24334" t="str">
        <f>"410225199104191039"</f>
        <v>410225199104191039</v>
      </c>
      <c r="D24334" t="s">
        <v>1</v>
      </c>
      <c r="E24334" t="s">
        <v>1</v>
      </c>
      <c r="F24334" t="s">
        <v>0</v>
      </c>
      <c r="G24334" t="str">
        <f>"2018-10-06 13:08:25"</f>
        <v>2018-10-06 13:08:25</v>
      </c>
    </row>
    <row r="24335" spans="1:7" x14ac:dyDescent="0.2">
      <c r="A24335" t="s">
        <v>1</v>
      </c>
      <c r="B24335" t="str">
        <f>"15058095532"</f>
        <v>15058095532</v>
      </c>
      <c r="C24335" t="s">
        <v>1</v>
      </c>
      <c r="D24335" t="s">
        <v>1</v>
      </c>
      <c r="E24335" t="s">
        <v>1</v>
      </c>
      <c r="F24335" t="s">
        <v>0</v>
      </c>
      <c r="G24335" t="str">
        <f>"2018-10-06 12:31:29"</f>
        <v>2018-10-06 12:31:29</v>
      </c>
    </row>
    <row r="24336" spans="1:7" x14ac:dyDescent="0.2">
      <c r="A24336" t="s">
        <v>1</v>
      </c>
      <c r="B24336" t="str">
        <f>"13669986889"</f>
        <v>13669986889</v>
      </c>
      <c r="C24336" t="s">
        <v>1</v>
      </c>
      <c r="D24336" t="s">
        <v>1</v>
      </c>
      <c r="E24336" t="s">
        <v>1</v>
      </c>
      <c r="F24336" t="s">
        <v>0</v>
      </c>
      <c r="G24336" t="str">
        <f>"2018-10-06 12:27:43"</f>
        <v>2018-10-06 12:27:43</v>
      </c>
    </row>
    <row r="24337" spans="1:7" x14ac:dyDescent="0.2">
      <c r="A24337" t="s">
        <v>22550</v>
      </c>
      <c r="B24337" t="str">
        <f>"13758095516"</f>
        <v>13758095516</v>
      </c>
      <c r="C24337" t="str">
        <f>"330402198804010632"</f>
        <v>330402198804010632</v>
      </c>
      <c r="D24337" t="s">
        <v>1</v>
      </c>
      <c r="E24337" t="s">
        <v>1</v>
      </c>
      <c r="F24337" t="s">
        <v>0</v>
      </c>
      <c r="G24337" t="str">
        <f>"2018-10-06 12:28:39"</f>
        <v>2018-10-06 12:28:39</v>
      </c>
    </row>
    <row r="24338" spans="1:7" x14ac:dyDescent="0.2">
      <c r="A24338" t="s">
        <v>22551</v>
      </c>
      <c r="B24338" t="str">
        <f>"18206233583"</f>
        <v>18206233583</v>
      </c>
      <c r="C24338" t="str">
        <f>"410482199410101052"</f>
        <v>410482199410101052</v>
      </c>
      <c r="D24338" t="s">
        <v>1</v>
      </c>
      <c r="E24338" t="s">
        <v>1</v>
      </c>
      <c r="F24338" t="s">
        <v>0</v>
      </c>
      <c r="G24338" t="str">
        <f>"2018-10-06 12:37:44"</f>
        <v>2018-10-06 12:37:44</v>
      </c>
    </row>
    <row r="24339" spans="1:7" x14ac:dyDescent="0.2">
      <c r="A24339" t="s">
        <v>22552</v>
      </c>
      <c r="B24339" t="str">
        <f>"13456252087"</f>
        <v>13456252087</v>
      </c>
      <c r="C24339" t="str">
        <f>"330424198001151616"</f>
        <v>330424198001151616</v>
      </c>
      <c r="D24339" t="s">
        <v>1</v>
      </c>
      <c r="E24339" t="s">
        <v>1</v>
      </c>
      <c r="F24339" t="s">
        <v>0</v>
      </c>
      <c r="G24339" t="str">
        <f>"2018-10-06 12:28:46"</f>
        <v>2018-10-06 12:28:46</v>
      </c>
    </row>
    <row r="24340" spans="1:7" x14ac:dyDescent="0.2">
      <c r="A24340" t="s">
        <v>1</v>
      </c>
      <c r="B24340" t="str">
        <f>"18291906271"</f>
        <v>18291906271</v>
      </c>
      <c r="C24340" t="s">
        <v>1</v>
      </c>
      <c r="D24340" t="s">
        <v>1</v>
      </c>
      <c r="E24340" t="s">
        <v>1</v>
      </c>
      <c r="F24340" t="s">
        <v>0</v>
      </c>
      <c r="G24340" t="str">
        <f>"2018-10-06 12:26:14"</f>
        <v>2018-10-06 12:26:14</v>
      </c>
    </row>
    <row r="24341" spans="1:7" x14ac:dyDescent="0.2">
      <c r="A24341" t="s">
        <v>1804</v>
      </c>
      <c r="B24341" t="str">
        <f>"15637714679"</f>
        <v>15637714679</v>
      </c>
      <c r="C24341" t="str">
        <f>"412925197003152285"</f>
        <v>412925197003152285</v>
      </c>
      <c r="D24341" t="s">
        <v>1</v>
      </c>
      <c r="E24341" t="s">
        <v>1</v>
      </c>
      <c r="F24341" t="s">
        <v>0</v>
      </c>
      <c r="G24341" t="str">
        <f>"2018-10-06 12:25:33"</f>
        <v>2018-10-06 12:25:33</v>
      </c>
    </row>
    <row r="24342" spans="1:7" x14ac:dyDescent="0.2">
      <c r="A24342" t="s">
        <v>994</v>
      </c>
      <c r="B24342" t="str">
        <f>"18607210720"</f>
        <v>18607210720</v>
      </c>
      <c r="C24342" t="str">
        <f>"421002199001021819"</f>
        <v>421002199001021819</v>
      </c>
      <c r="D24342" t="s">
        <v>22553</v>
      </c>
      <c r="E24342" t="s">
        <v>22554</v>
      </c>
      <c r="F24342" t="s">
        <v>0</v>
      </c>
      <c r="G24342" t="str">
        <f>"2018-10-06 12:26:35"</f>
        <v>2018-10-06 12:26:35</v>
      </c>
    </row>
    <row r="24343" spans="1:7" x14ac:dyDescent="0.2">
      <c r="A24343" t="s">
        <v>1</v>
      </c>
      <c r="B24343" t="str">
        <f>"15661566571"</f>
        <v>15661566571</v>
      </c>
      <c r="C24343" t="s">
        <v>1</v>
      </c>
      <c r="D24343" t="s">
        <v>1</v>
      </c>
      <c r="E24343" t="s">
        <v>1</v>
      </c>
      <c r="F24343" t="s">
        <v>0</v>
      </c>
      <c r="G24343" t="str">
        <f>"2018-10-06 12:24:40"</f>
        <v>2018-10-06 12:24:40</v>
      </c>
    </row>
    <row r="24344" spans="1:7" x14ac:dyDescent="0.2">
      <c r="A24344" t="s">
        <v>22555</v>
      </c>
      <c r="B24344" t="str">
        <f>"15384930816"</f>
        <v>15384930816</v>
      </c>
      <c r="C24344" t="str">
        <f>"512328196804108677"</f>
        <v>512328196804108677</v>
      </c>
      <c r="D24344" t="s">
        <v>1</v>
      </c>
      <c r="E24344" t="s">
        <v>1</v>
      </c>
      <c r="F24344" t="s">
        <v>0</v>
      </c>
      <c r="G24344" t="str">
        <f>"2018-10-06 12:50:41"</f>
        <v>2018-10-06 12:50:41</v>
      </c>
    </row>
    <row r="24345" spans="1:7" x14ac:dyDescent="0.2">
      <c r="A24345" t="s">
        <v>22556</v>
      </c>
      <c r="B24345" t="str">
        <f>"13558632981"</f>
        <v>13558632981</v>
      </c>
      <c r="C24345" t="str">
        <f>"513922198407292858"</f>
        <v>513922198407292858</v>
      </c>
      <c r="D24345" t="s">
        <v>22557</v>
      </c>
      <c r="E24345" t="s">
        <v>22558</v>
      </c>
      <c r="F24345" t="s">
        <v>0</v>
      </c>
      <c r="G24345" t="str">
        <f>"2018-10-06 13:24:12"</f>
        <v>2018-10-06 13:24:12</v>
      </c>
    </row>
    <row r="24346" spans="1:7" x14ac:dyDescent="0.2">
      <c r="A24346" t="s">
        <v>22559</v>
      </c>
      <c r="B24346" t="str">
        <f>"18272609471"</f>
        <v>18272609471</v>
      </c>
      <c r="C24346" t="str">
        <f>"411481199501215738"</f>
        <v>411481199501215738</v>
      </c>
      <c r="D24346" t="s">
        <v>1</v>
      </c>
      <c r="E24346" t="s">
        <v>1</v>
      </c>
      <c r="F24346" t="s">
        <v>0</v>
      </c>
      <c r="G24346" t="str">
        <f>"2018-10-06 12:26:19"</f>
        <v>2018-10-06 12:26:19</v>
      </c>
    </row>
    <row r="24347" spans="1:7" x14ac:dyDescent="0.2">
      <c r="A24347" t="s">
        <v>1</v>
      </c>
      <c r="B24347" t="str">
        <f>"13818299587"</f>
        <v>13818299587</v>
      </c>
      <c r="C24347" t="s">
        <v>1</v>
      </c>
      <c r="D24347" t="s">
        <v>1</v>
      </c>
      <c r="E24347" t="s">
        <v>1</v>
      </c>
      <c r="F24347" t="s">
        <v>0</v>
      </c>
      <c r="G24347" t="str">
        <f>"2018-10-06 12:24:22"</f>
        <v>2018-10-06 12:24:22</v>
      </c>
    </row>
    <row r="24348" spans="1:7" x14ac:dyDescent="0.2">
      <c r="A24348" t="s">
        <v>1</v>
      </c>
      <c r="B24348" t="str">
        <f>"15050085318"</f>
        <v>15050085318</v>
      </c>
      <c r="C24348" t="s">
        <v>1</v>
      </c>
      <c r="D24348" t="s">
        <v>1</v>
      </c>
      <c r="E24348" t="s">
        <v>1</v>
      </c>
      <c r="F24348" t="s">
        <v>0</v>
      </c>
      <c r="G24348" t="str">
        <f>"2018-10-06 12:24:20"</f>
        <v>2018-10-06 12:24:20</v>
      </c>
    </row>
    <row r="24349" spans="1:7" x14ac:dyDescent="0.2">
      <c r="A24349" t="s">
        <v>341</v>
      </c>
      <c r="B24349" t="str">
        <f>"15954370359"</f>
        <v>15954370359</v>
      </c>
      <c r="C24349" t="str">
        <f>"372330198105265854"</f>
        <v>372330198105265854</v>
      </c>
      <c r="D24349" t="s">
        <v>1</v>
      </c>
      <c r="E24349" t="s">
        <v>1</v>
      </c>
      <c r="F24349" t="s">
        <v>0</v>
      </c>
      <c r="G24349" t="str">
        <f>"2018-10-06 12:25:55"</f>
        <v>2018-10-06 12:25:55</v>
      </c>
    </row>
    <row r="24350" spans="1:7" x14ac:dyDescent="0.2">
      <c r="A24350" t="s">
        <v>670</v>
      </c>
      <c r="B24350" t="str">
        <f>"18851330827"</f>
        <v>18851330827</v>
      </c>
      <c r="C24350" t="str">
        <f>"320682199201270676"</f>
        <v>320682199201270676</v>
      </c>
      <c r="D24350" t="s">
        <v>1</v>
      </c>
      <c r="E24350" t="s">
        <v>1</v>
      </c>
      <c r="F24350" t="s">
        <v>0</v>
      </c>
      <c r="G24350" t="str">
        <f>"2018-10-06 12:25:47"</f>
        <v>2018-10-06 12:25:47</v>
      </c>
    </row>
    <row r="24351" spans="1:7" x14ac:dyDescent="0.2">
      <c r="A24351" t="s">
        <v>22560</v>
      </c>
      <c r="B24351" t="str">
        <f>"13890988312"</f>
        <v>13890988312</v>
      </c>
      <c r="C24351" t="str">
        <f>"512531197105177773"</f>
        <v>512531197105177773</v>
      </c>
      <c r="D24351" t="s">
        <v>22561</v>
      </c>
      <c r="E24351" t="s">
        <v>22562</v>
      </c>
      <c r="F24351" t="s">
        <v>0</v>
      </c>
      <c r="G24351" t="str">
        <f>"2018-10-06 12:25:19"</f>
        <v>2018-10-06 12:25:19</v>
      </c>
    </row>
    <row r="24352" spans="1:7" x14ac:dyDescent="0.2">
      <c r="A24352" t="s">
        <v>22563</v>
      </c>
      <c r="B24352" t="str">
        <f>"15608202078"</f>
        <v>15608202078</v>
      </c>
      <c r="C24352" t="str">
        <f>"510121199702171217"</f>
        <v>510121199702171217</v>
      </c>
      <c r="D24352" t="s">
        <v>1</v>
      </c>
      <c r="E24352" t="s">
        <v>1</v>
      </c>
      <c r="F24352" t="s">
        <v>0</v>
      </c>
      <c r="G24352" t="str">
        <f>"2018-10-06 12:34:58"</f>
        <v>2018-10-06 12:34:58</v>
      </c>
    </row>
    <row r="24353" spans="1:7" x14ac:dyDescent="0.2">
      <c r="A24353" t="s">
        <v>22564</v>
      </c>
      <c r="B24353" t="str">
        <f>"18655653640"</f>
        <v>18655653640</v>
      </c>
      <c r="C24353" t="str">
        <f>"340824199708303634"</f>
        <v>340824199708303634</v>
      </c>
      <c r="D24353" t="s">
        <v>22565</v>
      </c>
      <c r="E24353" t="s">
        <v>22566</v>
      </c>
      <c r="F24353" t="s">
        <v>0</v>
      </c>
      <c r="G24353" t="str">
        <f>"2018-10-06 12:23:37"</f>
        <v>2018-10-06 12:23:37</v>
      </c>
    </row>
    <row r="24354" spans="1:7" x14ac:dyDescent="0.2">
      <c r="A24354" t="s">
        <v>1</v>
      </c>
      <c r="B24354" t="str">
        <f>"15180105883"</f>
        <v>15180105883</v>
      </c>
      <c r="C24354" t="s">
        <v>1</v>
      </c>
      <c r="D24354" t="s">
        <v>1</v>
      </c>
      <c r="E24354" t="s">
        <v>1</v>
      </c>
      <c r="F24354" t="s">
        <v>0</v>
      </c>
      <c r="G24354" t="str">
        <f>"2018-10-06 12:23:24"</f>
        <v>2018-10-06 12:23:24</v>
      </c>
    </row>
    <row r="24355" spans="1:7" x14ac:dyDescent="0.2">
      <c r="A24355" t="s">
        <v>22567</v>
      </c>
      <c r="B24355" t="str">
        <f>"18409538305"</f>
        <v>18409538305</v>
      </c>
      <c r="C24355" t="str">
        <f>"640381198811123654"</f>
        <v>640381198811123654</v>
      </c>
      <c r="D24355" t="s">
        <v>1</v>
      </c>
      <c r="E24355" t="s">
        <v>1</v>
      </c>
      <c r="F24355" t="s">
        <v>0</v>
      </c>
      <c r="G24355" t="str">
        <f>"2018-10-06 12:24:23"</f>
        <v>2018-10-06 12:24:23</v>
      </c>
    </row>
    <row r="24356" spans="1:7" x14ac:dyDescent="0.2">
      <c r="A24356" t="s">
        <v>1</v>
      </c>
      <c r="B24356" t="str">
        <f>"15205600982"</f>
        <v>15205600982</v>
      </c>
      <c r="C24356" t="s">
        <v>1</v>
      </c>
      <c r="D24356" t="s">
        <v>1</v>
      </c>
      <c r="E24356" t="s">
        <v>1</v>
      </c>
      <c r="F24356" t="s">
        <v>0</v>
      </c>
      <c r="G24356" t="str">
        <f>"2018-10-06 12:24:53"</f>
        <v>2018-10-06 12:24:53</v>
      </c>
    </row>
    <row r="24357" spans="1:7" x14ac:dyDescent="0.2">
      <c r="A24357" t="s">
        <v>22568</v>
      </c>
      <c r="B24357" t="str">
        <f>"18602970656"</f>
        <v>18602970656</v>
      </c>
      <c r="C24357" t="str">
        <f>"61042519851223111X"</f>
        <v>61042519851223111X</v>
      </c>
      <c r="D24357" t="s">
        <v>1</v>
      </c>
      <c r="E24357" t="s">
        <v>1</v>
      </c>
      <c r="F24357" t="s">
        <v>0</v>
      </c>
      <c r="G24357" t="str">
        <f>"2018-10-06 12:23:58"</f>
        <v>2018-10-06 12:23:58</v>
      </c>
    </row>
    <row r="24358" spans="1:7" x14ac:dyDescent="0.2">
      <c r="A24358" t="s">
        <v>22569</v>
      </c>
      <c r="B24358" t="str">
        <f>"18609977392"</f>
        <v>18609977392</v>
      </c>
      <c r="C24358" t="str">
        <f>"652928199807112599"</f>
        <v>652928199807112599</v>
      </c>
      <c r="D24358" t="s">
        <v>1</v>
      </c>
      <c r="E24358" t="s">
        <v>1</v>
      </c>
      <c r="F24358" t="s">
        <v>0</v>
      </c>
      <c r="G24358" t="str">
        <f>"2018-10-06 12:24:29"</f>
        <v>2018-10-06 12:24:29</v>
      </c>
    </row>
    <row r="24359" spans="1:7" x14ac:dyDescent="0.2">
      <c r="A24359" t="s">
        <v>22570</v>
      </c>
      <c r="B24359" t="str">
        <f>"13844989720"</f>
        <v>13844989720</v>
      </c>
      <c r="C24359" t="str">
        <f>"220381199701016838"</f>
        <v>220381199701016838</v>
      </c>
      <c r="D24359" t="s">
        <v>1</v>
      </c>
      <c r="E24359" t="s">
        <v>1</v>
      </c>
      <c r="F24359" t="s">
        <v>0</v>
      </c>
      <c r="G24359" t="str">
        <f>"2018-10-06 12:26:02"</f>
        <v>2018-10-06 12:26:02</v>
      </c>
    </row>
    <row r="24360" spans="1:7" x14ac:dyDescent="0.2">
      <c r="A24360" t="s">
        <v>1</v>
      </c>
      <c r="B24360" t="str">
        <f>"13277566717"</f>
        <v>13277566717</v>
      </c>
      <c r="C24360" t="s">
        <v>1</v>
      </c>
      <c r="D24360" t="s">
        <v>1</v>
      </c>
      <c r="E24360" t="s">
        <v>1</v>
      </c>
      <c r="F24360" t="s">
        <v>0</v>
      </c>
      <c r="G24360" t="str">
        <f>"2018-10-06 12:22:34"</f>
        <v>2018-10-06 12:22:34</v>
      </c>
    </row>
    <row r="24361" spans="1:7" x14ac:dyDescent="0.2">
      <c r="A24361" t="s">
        <v>22571</v>
      </c>
      <c r="B24361" t="str">
        <f>"18638760877"</f>
        <v>18638760877</v>
      </c>
      <c r="C24361" t="str">
        <f>"410725198410266038"</f>
        <v>410725198410266038</v>
      </c>
      <c r="D24361" t="s">
        <v>1</v>
      </c>
      <c r="E24361" t="s">
        <v>1</v>
      </c>
      <c r="F24361" t="s">
        <v>0</v>
      </c>
      <c r="G24361" t="str">
        <f>"2018-10-06 12:27:33"</f>
        <v>2018-10-06 12:27:33</v>
      </c>
    </row>
    <row r="24362" spans="1:7" x14ac:dyDescent="0.2">
      <c r="A24362" t="s">
        <v>1</v>
      </c>
      <c r="B24362" t="str">
        <f>"13325708329"</f>
        <v>13325708329</v>
      </c>
      <c r="C24362" t="s">
        <v>1</v>
      </c>
      <c r="D24362" t="s">
        <v>1</v>
      </c>
      <c r="E24362" t="s">
        <v>1</v>
      </c>
      <c r="F24362" t="s">
        <v>0</v>
      </c>
      <c r="G24362" t="str">
        <f>"2018-10-06 12:21:49"</f>
        <v>2018-10-06 12:21:49</v>
      </c>
    </row>
    <row r="24363" spans="1:7" x14ac:dyDescent="0.2">
      <c r="A24363" t="s">
        <v>1</v>
      </c>
      <c r="B24363" t="str">
        <f>"18868239580"</f>
        <v>18868239580</v>
      </c>
      <c r="C24363" t="s">
        <v>1</v>
      </c>
      <c r="D24363" t="s">
        <v>1</v>
      </c>
      <c r="E24363" t="s">
        <v>1</v>
      </c>
      <c r="F24363" t="s">
        <v>0</v>
      </c>
      <c r="G24363" t="str">
        <f>"2018-10-06 17:22:39"</f>
        <v>2018-10-06 17:22:39</v>
      </c>
    </row>
    <row r="24364" spans="1:7" x14ac:dyDescent="0.2">
      <c r="A24364" t="s">
        <v>22572</v>
      </c>
      <c r="B24364" t="str">
        <f>"17805393306"</f>
        <v>17805393306</v>
      </c>
      <c r="C24364" t="str">
        <f>"371312199310077431"</f>
        <v>371312199310077431</v>
      </c>
      <c r="D24364" t="s">
        <v>1</v>
      </c>
      <c r="E24364" t="s">
        <v>1</v>
      </c>
      <c r="F24364" t="s">
        <v>0</v>
      </c>
      <c r="G24364" t="str">
        <f>"2018-10-06 12:22:24"</f>
        <v>2018-10-06 12:22:24</v>
      </c>
    </row>
    <row r="24365" spans="1:7" x14ac:dyDescent="0.2">
      <c r="A24365" t="s">
        <v>589</v>
      </c>
      <c r="B24365" t="str">
        <f>"15055104936"</f>
        <v>15055104936</v>
      </c>
      <c r="C24365" t="str">
        <f>"340123199701124671"</f>
        <v>340123199701124671</v>
      </c>
      <c r="D24365" t="s">
        <v>22573</v>
      </c>
      <c r="E24365" t="s">
        <v>22574</v>
      </c>
      <c r="F24365" t="s">
        <v>0</v>
      </c>
      <c r="G24365" t="str">
        <f>"2018-10-06 12:21:53"</f>
        <v>2018-10-06 12:21:53</v>
      </c>
    </row>
    <row r="24366" spans="1:7" x14ac:dyDescent="0.2">
      <c r="A24366" t="s">
        <v>1</v>
      </c>
      <c r="B24366" t="str">
        <f>"15914377381"</f>
        <v>15914377381</v>
      </c>
      <c r="C24366" t="s">
        <v>1</v>
      </c>
      <c r="D24366" t="s">
        <v>1</v>
      </c>
      <c r="E24366" t="s">
        <v>1</v>
      </c>
      <c r="F24366" t="s">
        <v>0</v>
      </c>
      <c r="G24366" t="str">
        <f>"2018-10-06 12:20:43"</f>
        <v>2018-10-06 12:20:43</v>
      </c>
    </row>
    <row r="24367" spans="1:7" x14ac:dyDescent="0.2">
      <c r="A24367" t="s">
        <v>22575</v>
      </c>
      <c r="B24367" t="str">
        <f>"15829958250"</f>
        <v>15829958250</v>
      </c>
      <c r="C24367" t="str">
        <f>"610404199205070523"</f>
        <v>610404199205070523</v>
      </c>
      <c r="D24367" t="s">
        <v>22576</v>
      </c>
      <c r="E24367" t="s">
        <v>22577</v>
      </c>
      <c r="F24367" t="s">
        <v>0</v>
      </c>
      <c r="G24367" t="str">
        <f>"2018-10-06 12:20:42"</f>
        <v>2018-10-06 12:20:42</v>
      </c>
    </row>
    <row r="24368" spans="1:7" x14ac:dyDescent="0.2">
      <c r="A24368" t="s">
        <v>1</v>
      </c>
      <c r="B24368" t="str">
        <f>"17596159127"</f>
        <v>17596159127</v>
      </c>
      <c r="C24368" t="s">
        <v>1</v>
      </c>
      <c r="D24368" t="s">
        <v>1</v>
      </c>
      <c r="E24368" t="s">
        <v>1</v>
      </c>
      <c r="F24368" t="s">
        <v>0</v>
      </c>
      <c r="G24368" t="str">
        <f>"2018-10-06 12:20:31"</f>
        <v>2018-10-06 12:20:31</v>
      </c>
    </row>
    <row r="24369" spans="1:7" x14ac:dyDescent="0.2">
      <c r="A24369" t="s">
        <v>1</v>
      </c>
      <c r="B24369" t="str">
        <f>"13880346372"</f>
        <v>13880346372</v>
      </c>
      <c r="C24369" t="s">
        <v>1</v>
      </c>
      <c r="D24369" t="s">
        <v>1</v>
      </c>
      <c r="E24369" t="s">
        <v>1</v>
      </c>
      <c r="F24369" t="s">
        <v>0</v>
      </c>
      <c r="G24369" t="str">
        <f>"2018-10-06 12:20:24"</f>
        <v>2018-10-06 12:20:24</v>
      </c>
    </row>
    <row r="24370" spans="1:7" x14ac:dyDescent="0.2">
      <c r="A24370" t="s">
        <v>22578</v>
      </c>
      <c r="B24370" t="str">
        <f>"13239101380"</f>
        <v>13239101380</v>
      </c>
      <c r="C24370" t="str">
        <f>"610481198808221034"</f>
        <v>610481198808221034</v>
      </c>
      <c r="D24370" t="s">
        <v>1</v>
      </c>
      <c r="E24370" t="s">
        <v>1</v>
      </c>
      <c r="F24370" t="s">
        <v>0</v>
      </c>
      <c r="G24370" t="str">
        <f>"2018-10-06 12:33:19"</f>
        <v>2018-10-06 12:33:19</v>
      </c>
    </row>
    <row r="24371" spans="1:7" x14ac:dyDescent="0.2">
      <c r="A24371" t="s">
        <v>1</v>
      </c>
      <c r="B24371" t="str">
        <f>"15574162816"</f>
        <v>15574162816</v>
      </c>
      <c r="C24371" t="s">
        <v>1</v>
      </c>
      <c r="D24371" t="s">
        <v>1</v>
      </c>
      <c r="E24371" t="s">
        <v>1</v>
      </c>
      <c r="F24371" t="s">
        <v>0</v>
      </c>
      <c r="G24371" t="str">
        <f>"2018-10-06 12:20:22"</f>
        <v>2018-10-06 12:20:22</v>
      </c>
    </row>
    <row r="24372" spans="1:7" x14ac:dyDescent="0.2">
      <c r="A24372" t="s">
        <v>1</v>
      </c>
      <c r="B24372" t="str">
        <f>"13257621039"</f>
        <v>13257621039</v>
      </c>
      <c r="C24372" t="s">
        <v>1</v>
      </c>
      <c r="D24372" t="s">
        <v>1</v>
      </c>
      <c r="E24372" t="s">
        <v>1</v>
      </c>
      <c r="F24372" t="s">
        <v>0</v>
      </c>
      <c r="G24372" t="str">
        <f>"2018-10-06 12:20:15"</f>
        <v>2018-10-06 12:20:15</v>
      </c>
    </row>
    <row r="24373" spans="1:7" x14ac:dyDescent="0.2">
      <c r="A24373" t="s">
        <v>1</v>
      </c>
      <c r="B24373" t="str">
        <f>"18820212581"</f>
        <v>18820212581</v>
      </c>
      <c r="C24373" t="s">
        <v>1</v>
      </c>
      <c r="D24373" t="s">
        <v>1</v>
      </c>
      <c r="E24373" t="s">
        <v>1</v>
      </c>
      <c r="F24373" t="s">
        <v>0</v>
      </c>
      <c r="G24373" t="str">
        <f>"2018-10-06 12:20:07"</f>
        <v>2018-10-06 12:20:07</v>
      </c>
    </row>
    <row r="24374" spans="1:7" x14ac:dyDescent="0.2">
      <c r="A24374" t="s">
        <v>563</v>
      </c>
      <c r="B24374" t="str">
        <f>"13382508328"</f>
        <v>13382508328</v>
      </c>
      <c r="C24374" t="str">
        <f>"320586199310246616"</f>
        <v>320586199310246616</v>
      </c>
      <c r="D24374" t="s">
        <v>22579</v>
      </c>
      <c r="E24374" t="s">
        <v>22580</v>
      </c>
      <c r="F24374" t="s">
        <v>0</v>
      </c>
      <c r="G24374" t="str">
        <f>"2018-10-06 12:21:39"</f>
        <v>2018-10-06 12:21:39</v>
      </c>
    </row>
    <row r="24375" spans="1:7" x14ac:dyDescent="0.2">
      <c r="A24375" t="s">
        <v>710</v>
      </c>
      <c r="B24375" t="str">
        <f>"15231492767"</f>
        <v>15231492767</v>
      </c>
      <c r="C24375" t="str">
        <f>"130821199310167371"</f>
        <v>130821199310167371</v>
      </c>
      <c r="D24375" t="s">
        <v>22581</v>
      </c>
      <c r="E24375" t="s">
        <v>22582</v>
      </c>
      <c r="F24375" t="s">
        <v>0</v>
      </c>
      <c r="G24375" t="str">
        <f>"2018-10-06 12:21:21"</f>
        <v>2018-10-06 12:21:21</v>
      </c>
    </row>
    <row r="24376" spans="1:7" x14ac:dyDescent="0.2">
      <c r="A24376" t="s">
        <v>22583</v>
      </c>
      <c r="B24376" t="str">
        <f>"18629911344"</f>
        <v>18629911344</v>
      </c>
      <c r="C24376" t="str">
        <f>"22020319950814151X"</f>
        <v>22020319950814151X</v>
      </c>
      <c r="D24376" t="s">
        <v>1</v>
      </c>
      <c r="E24376" t="s">
        <v>1</v>
      </c>
      <c r="F24376" t="s">
        <v>0</v>
      </c>
      <c r="G24376" t="str">
        <f>"2018-10-06 12:21:50"</f>
        <v>2018-10-06 12:21:50</v>
      </c>
    </row>
    <row r="24377" spans="1:7" x14ac:dyDescent="0.2">
      <c r="A24377" t="s">
        <v>368</v>
      </c>
      <c r="B24377" t="str">
        <f>"13260881773"</f>
        <v>13260881773</v>
      </c>
      <c r="C24377" t="str">
        <f>"321322199506066818"</f>
        <v>321322199506066818</v>
      </c>
      <c r="D24377" t="s">
        <v>1</v>
      </c>
      <c r="E24377" t="s">
        <v>1</v>
      </c>
      <c r="F24377" t="s">
        <v>0</v>
      </c>
      <c r="G24377" t="str">
        <f>"2018-11-02 10:54:53"</f>
        <v>2018-11-02 10:54:53</v>
      </c>
    </row>
    <row r="24378" spans="1:7" x14ac:dyDescent="0.2">
      <c r="A24378" t="s">
        <v>1709</v>
      </c>
      <c r="B24378" t="str">
        <f>"13774342561"</f>
        <v>13774342561</v>
      </c>
      <c r="C24378" t="str">
        <f>"310109198311074018"</f>
        <v>310109198311074018</v>
      </c>
      <c r="D24378" t="s">
        <v>22584</v>
      </c>
    </row>
    <row r="24379" spans="1:7" x14ac:dyDescent="0.2">
      <c r="A24379" t="s">
        <v>22585</v>
      </c>
    </row>
    <row r="24380" spans="1:7" x14ac:dyDescent="0.2">
      <c r="B24380" t="s">
        <v>22586</v>
      </c>
      <c r="C24380" t="s">
        <v>0</v>
      </c>
      <c r="D24380" t="str">
        <f>"2018-10-06 12:19:39"</f>
        <v>2018-10-06 12:19:39</v>
      </c>
    </row>
    <row r="24381" spans="1:7" x14ac:dyDescent="0.2">
      <c r="A24381" t="s">
        <v>22587</v>
      </c>
      <c r="B24381" t="str">
        <f>"18798551225"</f>
        <v>18798551225</v>
      </c>
      <c r="C24381" t="str">
        <f>"522601198502072637"</f>
        <v>522601198502072637</v>
      </c>
      <c r="D24381" t="s">
        <v>1</v>
      </c>
      <c r="E24381" t="s">
        <v>1</v>
      </c>
      <c r="F24381" t="s">
        <v>0</v>
      </c>
      <c r="G24381" t="str">
        <f>"2018-10-06 12:21:10"</f>
        <v>2018-10-06 12:21:10</v>
      </c>
    </row>
    <row r="24382" spans="1:7" x14ac:dyDescent="0.2">
      <c r="A24382" t="s">
        <v>22588</v>
      </c>
      <c r="B24382" t="str">
        <f>"15894399961"</f>
        <v>15894399961</v>
      </c>
      <c r="C24382" t="str">
        <f>"53322319900921093X"</f>
        <v>53322319900921093X</v>
      </c>
      <c r="D24382" t="s">
        <v>1</v>
      </c>
      <c r="E24382" t="s">
        <v>1</v>
      </c>
      <c r="F24382" t="s">
        <v>0</v>
      </c>
      <c r="G24382" t="str">
        <f>"2018-10-30 14:17:40"</f>
        <v>2018-10-30 14:17:40</v>
      </c>
    </row>
    <row r="24383" spans="1:7" x14ac:dyDescent="0.2">
      <c r="A24383" t="s">
        <v>22589</v>
      </c>
      <c r="B24383" t="str">
        <f>"18653383888"</f>
        <v>18653383888</v>
      </c>
      <c r="C24383" t="str">
        <f>"370305198702216227"</f>
        <v>370305198702216227</v>
      </c>
      <c r="D24383" t="s">
        <v>1</v>
      </c>
      <c r="E24383" t="s">
        <v>1</v>
      </c>
      <c r="F24383" t="s">
        <v>0</v>
      </c>
      <c r="G24383" t="str">
        <f>"2018-10-06 12:18:56"</f>
        <v>2018-10-06 12:18:56</v>
      </c>
    </row>
    <row r="24384" spans="1:7" x14ac:dyDescent="0.2">
      <c r="A24384" t="s">
        <v>1</v>
      </c>
      <c r="B24384" t="str">
        <f>"15146667789"</f>
        <v>15146667789</v>
      </c>
      <c r="C24384" t="s">
        <v>1</v>
      </c>
      <c r="D24384" t="s">
        <v>1</v>
      </c>
      <c r="E24384" t="s">
        <v>1</v>
      </c>
      <c r="F24384" t="s">
        <v>0</v>
      </c>
      <c r="G24384" t="str">
        <f>"2018-10-06 12:18:08"</f>
        <v>2018-10-06 12:18:08</v>
      </c>
    </row>
    <row r="24385" spans="1:7" x14ac:dyDescent="0.2">
      <c r="A24385" t="s">
        <v>1</v>
      </c>
      <c r="B24385" t="str">
        <f>"18867098472"</f>
        <v>18867098472</v>
      </c>
      <c r="C24385" t="s">
        <v>1</v>
      </c>
      <c r="D24385" t="s">
        <v>1</v>
      </c>
      <c r="E24385" t="s">
        <v>1</v>
      </c>
      <c r="F24385" t="s">
        <v>0</v>
      </c>
      <c r="G24385" t="str">
        <f>"2018-10-06 12:20:39"</f>
        <v>2018-10-06 12:20:39</v>
      </c>
    </row>
    <row r="24386" spans="1:7" x14ac:dyDescent="0.2">
      <c r="A24386" t="s">
        <v>22590</v>
      </c>
      <c r="B24386" t="str">
        <f>"18767889291"</f>
        <v>18767889291</v>
      </c>
      <c r="C24386" t="str">
        <f>"332528198710063013"</f>
        <v>332528198710063013</v>
      </c>
      <c r="D24386" t="s">
        <v>1</v>
      </c>
      <c r="E24386" t="s">
        <v>1</v>
      </c>
      <c r="F24386" t="s">
        <v>0</v>
      </c>
      <c r="G24386" t="str">
        <f>"2018-10-06 12:19:34"</f>
        <v>2018-10-06 12:19:34</v>
      </c>
    </row>
    <row r="24387" spans="1:7" x14ac:dyDescent="0.2">
      <c r="A24387" t="s">
        <v>22591</v>
      </c>
      <c r="B24387" t="str">
        <f>"15290940612"</f>
        <v>15290940612</v>
      </c>
      <c r="C24387" t="str">
        <f>"411082199005141252"</f>
        <v>411082199005141252</v>
      </c>
      <c r="D24387" t="s">
        <v>22592</v>
      </c>
      <c r="E24387" t="s">
        <v>22593</v>
      </c>
      <c r="F24387" t="s">
        <v>0</v>
      </c>
      <c r="G24387" t="str">
        <f>"2018-10-06 13:05:28"</f>
        <v>2018-10-06 13:05:28</v>
      </c>
    </row>
    <row r="24388" spans="1:7" x14ac:dyDescent="0.2">
      <c r="A24388" t="s">
        <v>1</v>
      </c>
      <c r="B24388" t="str">
        <f>"15950163360"</f>
        <v>15950163360</v>
      </c>
      <c r="C24388" t="s">
        <v>1</v>
      </c>
      <c r="D24388" t="s">
        <v>1</v>
      </c>
      <c r="E24388" t="s">
        <v>1</v>
      </c>
      <c r="F24388" t="s">
        <v>0</v>
      </c>
      <c r="G24388" t="str">
        <f>"2018-10-06 12:17:32"</f>
        <v>2018-10-06 12:17:32</v>
      </c>
    </row>
    <row r="24389" spans="1:7" x14ac:dyDescent="0.2">
      <c r="A24389" t="s">
        <v>22594</v>
      </c>
      <c r="B24389" t="str">
        <f>"13953011989"</f>
        <v>13953011989</v>
      </c>
      <c r="C24389" t="str">
        <f>"372930198906081492"</f>
        <v>372930198906081492</v>
      </c>
      <c r="D24389" t="s">
        <v>1</v>
      </c>
      <c r="E24389" t="s">
        <v>1</v>
      </c>
      <c r="F24389" t="s">
        <v>0</v>
      </c>
      <c r="G24389" t="str">
        <f>"2018-10-06 12:17:07"</f>
        <v>2018-10-06 12:17:07</v>
      </c>
    </row>
    <row r="24390" spans="1:7" x14ac:dyDescent="0.2">
      <c r="A24390" t="s">
        <v>22595</v>
      </c>
      <c r="B24390" t="str">
        <f>"15148712686"</f>
        <v>15148712686</v>
      </c>
      <c r="C24390" t="str">
        <f>"152327199602266124"</f>
        <v>152327199602266124</v>
      </c>
      <c r="D24390" t="s">
        <v>1</v>
      </c>
      <c r="E24390" t="s">
        <v>1</v>
      </c>
      <c r="F24390" t="s">
        <v>0</v>
      </c>
      <c r="G24390" t="str">
        <f>"2018-10-06 12:18:25"</f>
        <v>2018-10-06 12:18:25</v>
      </c>
    </row>
    <row r="24391" spans="1:7" x14ac:dyDescent="0.2">
      <c r="A24391" t="s">
        <v>22596</v>
      </c>
      <c r="B24391" t="str">
        <f>"13078696816"</f>
        <v>13078696816</v>
      </c>
      <c r="C24391" t="str">
        <f>"420984198012030065"</f>
        <v>420984198012030065</v>
      </c>
      <c r="D24391" t="s">
        <v>1</v>
      </c>
      <c r="E24391" t="s">
        <v>1</v>
      </c>
      <c r="F24391" t="s">
        <v>0</v>
      </c>
      <c r="G24391" t="str">
        <f>"2018-10-06 12:18:21"</f>
        <v>2018-10-06 12:18:21</v>
      </c>
    </row>
    <row r="24392" spans="1:7" x14ac:dyDescent="0.2">
      <c r="A24392" t="s">
        <v>22597</v>
      </c>
      <c r="B24392" t="str">
        <f>"15524894222"</f>
        <v>15524894222</v>
      </c>
      <c r="C24392" t="str">
        <f>"210213199307093313"</f>
        <v>210213199307093313</v>
      </c>
      <c r="D24392" t="s">
        <v>1</v>
      </c>
      <c r="E24392" t="s">
        <v>1</v>
      </c>
      <c r="F24392" t="s">
        <v>0</v>
      </c>
      <c r="G24392" t="str">
        <f>"2018-10-06 12:17:28"</f>
        <v>2018-10-06 12:17:28</v>
      </c>
    </row>
    <row r="24393" spans="1:7" x14ac:dyDescent="0.2">
      <c r="A24393" t="s">
        <v>22598</v>
      </c>
      <c r="B24393" t="str">
        <f>"13267278793"</f>
        <v>13267278793</v>
      </c>
      <c r="C24393" t="str">
        <f>"450721198903142254"</f>
        <v>450721198903142254</v>
      </c>
      <c r="D24393" t="s">
        <v>1</v>
      </c>
      <c r="E24393" t="s">
        <v>1</v>
      </c>
      <c r="F24393" t="s">
        <v>0</v>
      </c>
      <c r="G24393" t="str">
        <f>"2018-10-06 12:18:08"</f>
        <v>2018-10-06 12:18:08</v>
      </c>
    </row>
    <row r="24394" spans="1:7" x14ac:dyDescent="0.2">
      <c r="A24394" t="s">
        <v>22599</v>
      </c>
      <c r="B24394" t="str">
        <f>"18248740331"</f>
        <v>18248740331</v>
      </c>
      <c r="C24394" t="str">
        <f>"320322199809245919"</f>
        <v>320322199809245919</v>
      </c>
      <c r="D24394" t="s">
        <v>1</v>
      </c>
      <c r="E24394" t="s">
        <v>1</v>
      </c>
      <c r="F24394" t="s">
        <v>0</v>
      </c>
      <c r="G24394" t="str">
        <f>"2018-10-06 12:16:03"</f>
        <v>2018-10-06 12:16:03</v>
      </c>
    </row>
    <row r="24395" spans="1:7" x14ac:dyDescent="0.2">
      <c r="A24395" t="s">
        <v>1</v>
      </c>
      <c r="B24395" t="str">
        <f>"13220267364"</f>
        <v>13220267364</v>
      </c>
      <c r="C24395" t="s">
        <v>1</v>
      </c>
      <c r="D24395" t="s">
        <v>1</v>
      </c>
      <c r="E24395" t="s">
        <v>1</v>
      </c>
      <c r="F24395" t="s">
        <v>0</v>
      </c>
      <c r="G24395" t="str">
        <f>"2018-10-06 12:15:30"</f>
        <v>2018-10-06 12:15:30</v>
      </c>
    </row>
    <row r="24396" spans="1:7" x14ac:dyDescent="0.2">
      <c r="A24396" t="s">
        <v>22600</v>
      </c>
      <c r="B24396" t="str">
        <f>"15827263450"</f>
        <v>15827263450</v>
      </c>
      <c r="C24396" t="str">
        <f>"431222198409240824"</f>
        <v>431222198409240824</v>
      </c>
      <c r="D24396" t="s">
        <v>1</v>
      </c>
      <c r="E24396" t="s">
        <v>1</v>
      </c>
      <c r="F24396" t="s">
        <v>0</v>
      </c>
      <c r="G24396" t="str">
        <f>"2018-10-06 12:16:07"</f>
        <v>2018-10-06 12:16:07</v>
      </c>
    </row>
    <row r="24397" spans="1:7" x14ac:dyDescent="0.2">
      <c r="A24397" t="s">
        <v>22601</v>
      </c>
      <c r="B24397" t="str">
        <f>"15880089512"</f>
        <v>15880089512</v>
      </c>
      <c r="C24397" t="str">
        <f>"412728199601202526"</f>
        <v>412728199601202526</v>
      </c>
      <c r="D24397" t="s">
        <v>1</v>
      </c>
      <c r="E24397" t="s">
        <v>1</v>
      </c>
      <c r="F24397" t="s">
        <v>0</v>
      </c>
      <c r="G24397" t="str">
        <f>"2018-10-06 12:23:02"</f>
        <v>2018-10-06 12:23:02</v>
      </c>
    </row>
    <row r="24398" spans="1:7" x14ac:dyDescent="0.2">
      <c r="A24398" t="s">
        <v>1</v>
      </c>
      <c r="B24398" t="str">
        <f>"13648058083"</f>
        <v>13648058083</v>
      </c>
      <c r="C24398" t="s">
        <v>1</v>
      </c>
      <c r="D24398" t="s">
        <v>1</v>
      </c>
      <c r="E24398" t="s">
        <v>1</v>
      </c>
      <c r="F24398" t="s">
        <v>0</v>
      </c>
      <c r="G24398" t="str">
        <f>"2018-10-06 12:14:13"</f>
        <v>2018-10-06 12:14:13</v>
      </c>
    </row>
    <row r="24399" spans="1:7" x14ac:dyDescent="0.2">
      <c r="A24399" t="s">
        <v>22602</v>
      </c>
      <c r="B24399" t="str">
        <f>"13780041048"</f>
        <v>13780041048</v>
      </c>
      <c r="C24399" t="str">
        <f>"342601198709097416"</f>
        <v>342601198709097416</v>
      </c>
      <c r="D24399" t="s">
        <v>1</v>
      </c>
      <c r="E24399" t="s">
        <v>1</v>
      </c>
      <c r="F24399" t="s">
        <v>0</v>
      </c>
      <c r="G24399" t="str">
        <f>"2018-10-06 12:13:37"</f>
        <v>2018-10-06 12:13:37</v>
      </c>
    </row>
    <row r="24400" spans="1:7" x14ac:dyDescent="0.2">
      <c r="A24400" t="s">
        <v>1</v>
      </c>
      <c r="B24400" t="str">
        <f>"18768610700"</f>
        <v>18768610700</v>
      </c>
      <c r="C24400" t="s">
        <v>1</v>
      </c>
      <c r="D24400" t="s">
        <v>1</v>
      </c>
      <c r="E24400" t="s">
        <v>1</v>
      </c>
      <c r="F24400" t="s">
        <v>0</v>
      </c>
      <c r="G24400" t="str">
        <f>"2018-10-06 12:13:34"</f>
        <v>2018-10-06 12:13:34</v>
      </c>
    </row>
    <row r="24401" spans="1:7" x14ac:dyDescent="0.2">
      <c r="A24401" t="s">
        <v>22603</v>
      </c>
      <c r="B24401" t="str">
        <f>"13077131314"</f>
        <v>13077131314</v>
      </c>
      <c r="C24401" t="str">
        <f>"432524198905168331"</f>
        <v>432524198905168331</v>
      </c>
      <c r="D24401" t="s">
        <v>1</v>
      </c>
      <c r="E24401" t="s">
        <v>1</v>
      </c>
      <c r="F24401" t="s">
        <v>0</v>
      </c>
      <c r="G24401" t="str">
        <f>"2018-10-19 16:18:20"</f>
        <v>2018-10-19 16:18:20</v>
      </c>
    </row>
    <row r="24402" spans="1:7" x14ac:dyDescent="0.2">
      <c r="A24402" t="s">
        <v>22604</v>
      </c>
      <c r="B24402" t="str">
        <f>"18206951747"</f>
        <v>18206951747</v>
      </c>
      <c r="C24402" t="str">
        <f>"532923199202170711"</f>
        <v>532923199202170711</v>
      </c>
      <c r="D24402" t="s">
        <v>1</v>
      </c>
      <c r="E24402" t="s">
        <v>1</v>
      </c>
      <c r="F24402" t="s">
        <v>0</v>
      </c>
      <c r="G24402" t="str">
        <f>"2018-10-06 12:36:20"</f>
        <v>2018-10-06 12:36:20</v>
      </c>
    </row>
    <row r="24403" spans="1:7" x14ac:dyDescent="0.2">
      <c r="A24403" t="s">
        <v>1</v>
      </c>
      <c r="B24403" t="str">
        <f>"15098898488"</f>
        <v>15098898488</v>
      </c>
      <c r="C24403" t="s">
        <v>1</v>
      </c>
      <c r="D24403" t="s">
        <v>1</v>
      </c>
      <c r="E24403" t="s">
        <v>1</v>
      </c>
      <c r="F24403" t="s">
        <v>0</v>
      </c>
      <c r="G24403" t="str">
        <f>"2018-10-06 12:13:03"</f>
        <v>2018-10-06 12:13:03</v>
      </c>
    </row>
    <row r="24404" spans="1:7" x14ac:dyDescent="0.2">
      <c r="A24404" t="s">
        <v>286</v>
      </c>
      <c r="B24404" t="str">
        <f>"13450617009"</f>
        <v>13450617009</v>
      </c>
      <c r="C24404" t="str">
        <f>"612524199104132919"</f>
        <v>612524199104132919</v>
      </c>
      <c r="D24404" t="s">
        <v>1</v>
      </c>
      <c r="E24404" t="s">
        <v>1</v>
      </c>
      <c r="F24404" t="s">
        <v>0</v>
      </c>
      <c r="G24404" t="str">
        <f>"2018-10-06 12:34:17"</f>
        <v>2018-10-06 12:34:17</v>
      </c>
    </row>
    <row r="24405" spans="1:7" x14ac:dyDescent="0.2">
      <c r="A24405" t="s">
        <v>22605</v>
      </c>
      <c r="B24405" t="str">
        <f>"13679113096"</f>
        <v>13679113096</v>
      </c>
      <c r="C24405" t="str">
        <f>"610125198511170515"</f>
        <v>610125198511170515</v>
      </c>
      <c r="D24405" t="s">
        <v>1</v>
      </c>
      <c r="E24405" t="s">
        <v>1</v>
      </c>
      <c r="F24405" t="s">
        <v>0</v>
      </c>
      <c r="G24405" t="str">
        <f>"2018-10-06 12:13:40"</f>
        <v>2018-10-06 12:13:40</v>
      </c>
    </row>
    <row r="24406" spans="1:7" x14ac:dyDescent="0.2">
      <c r="A24406" t="s">
        <v>22606</v>
      </c>
      <c r="B24406" t="str">
        <f>"18995777787"</f>
        <v>18995777787</v>
      </c>
      <c r="C24406" t="str">
        <f>"420202197912051614"</f>
        <v>420202197912051614</v>
      </c>
      <c r="D24406" t="s">
        <v>1</v>
      </c>
      <c r="E24406" t="s">
        <v>1</v>
      </c>
      <c r="F24406" t="s">
        <v>0</v>
      </c>
      <c r="G24406" t="str">
        <f>"2018-10-22 15:35:29"</f>
        <v>2018-10-22 15:35:29</v>
      </c>
    </row>
    <row r="24407" spans="1:7" x14ac:dyDescent="0.2">
      <c r="A24407" t="s">
        <v>1513</v>
      </c>
      <c r="B24407" t="str">
        <f>"13998644271"</f>
        <v>13998644271</v>
      </c>
      <c r="C24407" t="str">
        <f>"210211198507012189"</f>
        <v>210211198507012189</v>
      </c>
      <c r="D24407" t="s">
        <v>22607</v>
      </c>
      <c r="E24407" t="s">
        <v>22608</v>
      </c>
      <c r="F24407" t="s">
        <v>0</v>
      </c>
      <c r="G24407" t="str">
        <f>"2018-10-06 12:12:59"</f>
        <v>2018-10-06 12:12:59</v>
      </c>
    </row>
    <row r="24408" spans="1:7" x14ac:dyDescent="0.2">
      <c r="A24408" t="s">
        <v>22609</v>
      </c>
      <c r="B24408" t="str">
        <f>"13756468436"</f>
        <v>13756468436</v>
      </c>
      <c r="C24408" t="str">
        <f>"220104198911261526"</f>
        <v>220104198911261526</v>
      </c>
      <c r="D24408" t="s">
        <v>1</v>
      </c>
      <c r="E24408" t="s">
        <v>1</v>
      </c>
      <c r="F24408" t="s">
        <v>0</v>
      </c>
      <c r="G24408" t="str">
        <f>"2018-10-06 12:12:14"</f>
        <v>2018-10-06 12:12:14</v>
      </c>
    </row>
    <row r="24409" spans="1:7" x14ac:dyDescent="0.2">
      <c r="A24409" t="s">
        <v>22610</v>
      </c>
      <c r="B24409" t="str">
        <f>"13511836404"</f>
        <v>13511836404</v>
      </c>
      <c r="C24409" t="str">
        <f>"52212119921218086X"</f>
        <v>52212119921218086X</v>
      </c>
      <c r="D24409" t="s">
        <v>1</v>
      </c>
      <c r="E24409" t="s">
        <v>1</v>
      </c>
      <c r="F24409" t="s">
        <v>0</v>
      </c>
      <c r="G24409" t="str">
        <f>"2018-10-06 12:13:02"</f>
        <v>2018-10-06 12:13:02</v>
      </c>
    </row>
    <row r="24410" spans="1:7" x14ac:dyDescent="0.2">
      <c r="A24410" t="s">
        <v>22611</v>
      </c>
      <c r="B24410" t="str">
        <f>"15129253659"</f>
        <v>15129253659</v>
      </c>
      <c r="C24410" t="str">
        <f>"612325199004053012"</f>
        <v>612325199004053012</v>
      </c>
      <c r="D24410" t="s">
        <v>1</v>
      </c>
      <c r="E24410" t="s">
        <v>1</v>
      </c>
      <c r="F24410" t="s">
        <v>0</v>
      </c>
      <c r="G24410" t="str">
        <f>"2018-10-06 12:26:40"</f>
        <v>2018-10-06 12:26:40</v>
      </c>
    </row>
    <row r="24411" spans="1:7" x14ac:dyDescent="0.2">
      <c r="A24411" t="s">
        <v>22612</v>
      </c>
      <c r="B24411" t="str">
        <f>"18580473258"</f>
        <v>18580473258</v>
      </c>
      <c r="C24411" t="str">
        <f>"500381199604159439"</f>
        <v>500381199604159439</v>
      </c>
      <c r="D24411" t="s">
        <v>22613</v>
      </c>
      <c r="E24411" t="s">
        <v>22614</v>
      </c>
      <c r="F24411" t="s">
        <v>0</v>
      </c>
      <c r="G24411" t="str">
        <f>"2018-10-06 12:13:37"</f>
        <v>2018-10-06 12:13:37</v>
      </c>
    </row>
    <row r="24412" spans="1:7" x14ac:dyDescent="0.2">
      <c r="A24412" t="s">
        <v>22615</v>
      </c>
      <c r="B24412" t="str">
        <f>"13921637002"</f>
        <v>13921637002</v>
      </c>
      <c r="C24412" t="str">
        <f>"320683198709266418"</f>
        <v>320683198709266418</v>
      </c>
      <c r="D24412" t="s">
        <v>1</v>
      </c>
      <c r="E24412" t="s">
        <v>1</v>
      </c>
      <c r="F24412" t="s">
        <v>0</v>
      </c>
      <c r="G24412" t="str">
        <f>"2018-10-06 12:12:44"</f>
        <v>2018-10-06 12:12:44</v>
      </c>
    </row>
    <row r="24413" spans="1:7" x14ac:dyDescent="0.2">
      <c r="A24413" t="s">
        <v>1</v>
      </c>
      <c r="B24413" t="str">
        <f>"18680250780"</f>
        <v>18680250780</v>
      </c>
      <c r="C24413" t="s">
        <v>1</v>
      </c>
      <c r="D24413" t="s">
        <v>1</v>
      </c>
      <c r="E24413" t="s">
        <v>1</v>
      </c>
      <c r="F24413" t="s">
        <v>0</v>
      </c>
      <c r="G24413" t="str">
        <f>"2018-10-06 12:10:07"</f>
        <v>2018-10-06 12:10:07</v>
      </c>
    </row>
    <row r="24414" spans="1:7" x14ac:dyDescent="0.2">
      <c r="A24414" t="s">
        <v>228</v>
      </c>
      <c r="B24414" t="str">
        <f>"17752271849"</f>
        <v>17752271849</v>
      </c>
      <c r="C24414" t="str">
        <f>"622427199401014279"</f>
        <v>622427199401014279</v>
      </c>
      <c r="D24414" t="s">
        <v>1</v>
      </c>
      <c r="E24414" t="s">
        <v>1</v>
      </c>
      <c r="F24414" t="s">
        <v>0</v>
      </c>
      <c r="G24414" t="str">
        <f>"2018-10-06 12:18:48"</f>
        <v>2018-10-06 12:18:48</v>
      </c>
    </row>
    <row r="24415" spans="1:7" x14ac:dyDescent="0.2">
      <c r="A24415" t="s">
        <v>22616</v>
      </c>
      <c r="B24415" t="str">
        <f>"13711889151"</f>
        <v>13711889151</v>
      </c>
      <c r="C24415" t="str">
        <f>"441229198209234928"</f>
        <v>441229198209234928</v>
      </c>
      <c r="D24415" t="s">
        <v>1</v>
      </c>
      <c r="E24415" t="s">
        <v>1</v>
      </c>
      <c r="F24415" t="s">
        <v>0</v>
      </c>
      <c r="G24415" t="str">
        <f>"2018-10-06 12:11:46"</f>
        <v>2018-10-06 12:11:46</v>
      </c>
    </row>
    <row r="24416" spans="1:7" x14ac:dyDescent="0.2">
      <c r="A24416" t="s">
        <v>1</v>
      </c>
      <c r="B24416" t="str">
        <f>"13291535777"</f>
        <v>13291535777</v>
      </c>
      <c r="C24416" t="s">
        <v>1</v>
      </c>
      <c r="D24416" t="s">
        <v>1</v>
      </c>
      <c r="E24416" t="s">
        <v>1</v>
      </c>
      <c r="F24416" t="s">
        <v>0</v>
      </c>
      <c r="G24416" t="str">
        <f>"2018-10-06 12:09:40"</f>
        <v>2018-10-06 12:09:40</v>
      </c>
    </row>
    <row r="24417" spans="1:7" x14ac:dyDescent="0.2">
      <c r="A24417" t="s">
        <v>880</v>
      </c>
      <c r="B24417" t="str">
        <f>"18945814099"</f>
        <v>18945814099</v>
      </c>
      <c r="C24417" t="str">
        <f>"320721199601205681"</f>
        <v>320721199601205681</v>
      </c>
      <c r="D24417" t="s">
        <v>22617</v>
      </c>
      <c r="E24417" t="s">
        <v>22618</v>
      </c>
      <c r="F24417" t="s">
        <v>0</v>
      </c>
      <c r="G24417" t="str">
        <f>"2018-10-06 12:11:57"</f>
        <v>2018-10-06 12:11:57</v>
      </c>
    </row>
    <row r="24418" spans="1:7" x14ac:dyDescent="0.2">
      <c r="A24418" t="s">
        <v>22619</v>
      </c>
      <c r="B24418" t="str">
        <f>"13214629587"</f>
        <v>13214629587</v>
      </c>
      <c r="C24418" t="str">
        <f>"230202199508110612"</f>
        <v>230202199508110612</v>
      </c>
      <c r="D24418" t="s">
        <v>1</v>
      </c>
      <c r="E24418" t="s">
        <v>1</v>
      </c>
      <c r="F24418" t="s">
        <v>0</v>
      </c>
      <c r="G24418" t="str">
        <f>"2018-10-06 12:11:36"</f>
        <v>2018-10-06 12:11:36</v>
      </c>
    </row>
    <row r="24419" spans="1:7" x14ac:dyDescent="0.2">
      <c r="A24419" t="s">
        <v>1</v>
      </c>
      <c r="B24419" t="str">
        <f>"15800914534"</f>
        <v>15800914534</v>
      </c>
      <c r="C24419" t="s">
        <v>1</v>
      </c>
      <c r="D24419" t="s">
        <v>1</v>
      </c>
      <c r="E24419" t="s">
        <v>1</v>
      </c>
      <c r="F24419" t="s">
        <v>0</v>
      </c>
      <c r="G24419" t="str">
        <f>"2018-10-06 12:09:26"</f>
        <v>2018-10-06 12:09:26</v>
      </c>
    </row>
    <row r="24420" spans="1:7" x14ac:dyDescent="0.2">
      <c r="A24420" t="s">
        <v>22620</v>
      </c>
      <c r="B24420" t="str">
        <f>"13665595725"</f>
        <v>13665595725</v>
      </c>
      <c r="C24420" t="str">
        <f>"341002198910151034"</f>
        <v>341002198910151034</v>
      </c>
      <c r="D24420" t="s">
        <v>1</v>
      </c>
      <c r="E24420" t="s">
        <v>1</v>
      </c>
      <c r="F24420" t="s">
        <v>0</v>
      </c>
      <c r="G24420" t="str">
        <f>"2018-10-06 12:09:48"</f>
        <v>2018-10-06 12:09:48</v>
      </c>
    </row>
    <row r="24421" spans="1:7" x14ac:dyDescent="0.2">
      <c r="A24421" t="s">
        <v>134</v>
      </c>
      <c r="B24421" t="str">
        <f>"13145571419"</f>
        <v>13145571419</v>
      </c>
      <c r="C24421" t="str">
        <f>"340602197805201017"</f>
        <v>340602197805201017</v>
      </c>
      <c r="D24421" t="s">
        <v>1</v>
      </c>
      <c r="E24421" t="s">
        <v>1</v>
      </c>
      <c r="F24421" t="s">
        <v>0</v>
      </c>
      <c r="G24421" t="str">
        <f>"2018-10-06 12:08:58"</f>
        <v>2018-10-06 12:08:58</v>
      </c>
    </row>
    <row r="24422" spans="1:7" x14ac:dyDescent="0.2">
      <c r="A24422" t="s">
        <v>1</v>
      </c>
      <c r="B24422" t="str">
        <f>"13237861581"</f>
        <v>13237861581</v>
      </c>
      <c r="C24422" t="s">
        <v>1</v>
      </c>
      <c r="D24422" t="s">
        <v>1</v>
      </c>
      <c r="E24422" t="s">
        <v>1</v>
      </c>
      <c r="F24422" t="s">
        <v>0</v>
      </c>
      <c r="G24422" t="str">
        <f>"2018-10-06 12:08:56"</f>
        <v>2018-10-06 12:08:56</v>
      </c>
    </row>
    <row r="24423" spans="1:7" x14ac:dyDescent="0.2">
      <c r="A24423" t="s">
        <v>1</v>
      </c>
      <c r="B24423" t="str">
        <f>"18616939861"</f>
        <v>18616939861</v>
      </c>
      <c r="C24423" t="s">
        <v>1</v>
      </c>
      <c r="D24423" t="s">
        <v>1</v>
      </c>
      <c r="E24423" t="s">
        <v>1</v>
      </c>
      <c r="F24423" t="s">
        <v>0</v>
      </c>
      <c r="G24423" t="str">
        <f>"2018-10-06 12:08:41"</f>
        <v>2018-10-06 12:08:41</v>
      </c>
    </row>
    <row r="24424" spans="1:7" x14ac:dyDescent="0.2">
      <c r="A24424" t="s">
        <v>22621</v>
      </c>
      <c r="B24424" t="str">
        <f>"15529537278"</f>
        <v>15529537278</v>
      </c>
      <c r="C24424" t="str">
        <f>"610324199208164015"</f>
        <v>610324199208164015</v>
      </c>
      <c r="D24424" t="s">
        <v>22622</v>
      </c>
      <c r="E24424" t="s">
        <v>22623</v>
      </c>
      <c r="F24424" t="s">
        <v>0</v>
      </c>
      <c r="G24424" t="str">
        <f>"2018-10-06 12:12:15"</f>
        <v>2018-10-06 12:12:15</v>
      </c>
    </row>
    <row r="24425" spans="1:7" x14ac:dyDescent="0.2">
      <c r="A24425" t="s">
        <v>22624</v>
      </c>
      <c r="B24425" t="str">
        <f>"13127744660"</f>
        <v>13127744660</v>
      </c>
      <c r="C24425" t="str">
        <f>"441225199505202559"</f>
        <v>441225199505202559</v>
      </c>
      <c r="D24425" t="s">
        <v>1</v>
      </c>
      <c r="E24425" t="s">
        <v>1</v>
      </c>
      <c r="F24425" t="s">
        <v>0</v>
      </c>
      <c r="G24425" t="str">
        <f>"2018-10-06 12:08:21"</f>
        <v>2018-10-06 12:08:21</v>
      </c>
    </row>
    <row r="24426" spans="1:7" x14ac:dyDescent="0.2">
      <c r="A24426" t="s">
        <v>340</v>
      </c>
      <c r="B24426" t="str">
        <f>"18979419998"</f>
        <v>18979419998</v>
      </c>
      <c r="C24426" t="str">
        <f>"362527199110221114"</f>
        <v>362527199110221114</v>
      </c>
      <c r="D24426" t="s">
        <v>1</v>
      </c>
      <c r="E24426" t="s">
        <v>1</v>
      </c>
      <c r="F24426" t="s">
        <v>0</v>
      </c>
      <c r="G24426" t="str">
        <f>"2018-10-06 16:25:41"</f>
        <v>2018-10-06 16:25:41</v>
      </c>
    </row>
    <row r="24427" spans="1:7" x14ac:dyDescent="0.2">
      <c r="A24427" t="s">
        <v>22625</v>
      </c>
      <c r="B24427" t="str">
        <f>"15142039373"</f>
        <v>15142039373</v>
      </c>
      <c r="C24427" t="str">
        <f>"211224198907035411"</f>
        <v>211224198907035411</v>
      </c>
      <c r="D24427" t="s">
        <v>22626</v>
      </c>
      <c r="E24427" t="s">
        <v>22627</v>
      </c>
      <c r="F24427" t="s">
        <v>0</v>
      </c>
      <c r="G24427" t="str">
        <f>"2018-10-06 12:08:13"</f>
        <v>2018-10-06 12:08:13</v>
      </c>
    </row>
    <row r="24428" spans="1:7" x14ac:dyDescent="0.2">
      <c r="A24428" t="s">
        <v>22628</v>
      </c>
      <c r="B24428" t="str">
        <f>"15891436541"</f>
        <v>15891436541</v>
      </c>
      <c r="C24428" t="str">
        <f>"610581198706241371"</f>
        <v>610581198706241371</v>
      </c>
      <c r="D24428" t="s">
        <v>22629</v>
      </c>
      <c r="E24428" t="s">
        <v>22630</v>
      </c>
      <c r="F24428" t="s">
        <v>0</v>
      </c>
      <c r="G24428" t="str">
        <f>"2018-10-06 12:59:58"</f>
        <v>2018-10-06 12:59:58</v>
      </c>
    </row>
    <row r="24429" spans="1:7" x14ac:dyDescent="0.2">
      <c r="A24429" t="s">
        <v>22631</v>
      </c>
      <c r="B24429" t="str">
        <f>"15333328356"</f>
        <v>15333328356</v>
      </c>
      <c r="C24429" t="str">
        <f>"130627199607263820"</f>
        <v>130627199607263820</v>
      </c>
      <c r="D24429" t="s">
        <v>1</v>
      </c>
      <c r="E24429" t="s">
        <v>1</v>
      </c>
      <c r="F24429" t="s">
        <v>0</v>
      </c>
      <c r="G24429" t="str">
        <f>"2018-10-06 12:06:20"</f>
        <v>2018-10-06 12:06:20</v>
      </c>
    </row>
    <row r="24430" spans="1:7" x14ac:dyDescent="0.2">
      <c r="A24430" t="s">
        <v>1</v>
      </c>
      <c r="B24430" t="str">
        <f>"13808003876"</f>
        <v>13808003876</v>
      </c>
      <c r="C24430" t="s">
        <v>1</v>
      </c>
      <c r="D24430" t="s">
        <v>1</v>
      </c>
      <c r="E24430" t="s">
        <v>1</v>
      </c>
      <c r="F24430" t="s">
        <v>0</v>
      </c>
      <c r="G24430" t="str">
        <f>"2018-10-06 12:06:19"</f>
        <v>2018-10-06 12:06:19</v>
      </c>
    </row>
    <row r="24431" spans="1:7" x14ac:dyDescent="0.2">
      <c r="A24431" t="s">
        <v>1116</v>
      </c>
      <c r="B24431" t="str">
        <f>"17632109002"</f>
        <v>17632109002</v>
      </c>
      <c r="C24431" t="str">
        <f>"130827199701132617"</f>
        <v>130827199701132617</v>
      </c>
      <c r="D24431" t="s">
        <v>1</v>
      </c>
      <c r="E24431" t="s">
        <v>1</v>
      </c>
      <c r="F24431" t="s">
        <v>0</v>
      </c>
      <c r="G24431" t="str">
        <f>"2018-10-06 12:08:08"</f>
        <v>2018-10-06 12:08:08</v>
      </c>
    </row>
    <row r="24432" spans="1:7" x14ac:dyDescent="0.2">
      <c r="A24432" t="s">
        <v>22632</v>
      </c>
      <c r="B24432" t="str">
        <f>"15901918806"</f>
        <v>15901918806</v>
      </c>
      <c r="C24432" t="str">
        <f>"310225198806083819"</f>
        <v>310225198806083819</v>
      </c>
      <c r="D24432" t="s">
        <v>22633</v>
      </c>
      <c r="E24432" t="s">
        <v>22634</v>
      </c>
      <c r="F24432" t="s">
        <v>0</v>
      </c>
      <c r="G24432" t="str">
        <f>"2018-10-06 12:06:52"</f>
        <v>2018-10-06 12:06:52</v>
      </c>
    </row>
    <row r="24433" spans="1:7" x14ac:dyDescent="0.2">
      <c r="A24433" t="s">
        <v>22635</v>
      </c>
      <c r="B24433" t="str">
        <f>"18004407968"</f>
        <v>18004407968</v>
      </c>
      <c r="C24433" t="str">
        <f>"230523199505210026"</f>
        <v>230523199505210026</v>
      </c>
      <c r="D24433" t="s">
        <v>1</v>
      </c>
      <c r="E24433" t="s">
        <v>1</v>
      </c>
      <c r="F24433" t="s">
        <v>0</v>
      </c>
      <c r="G24433" t="str">
        <f>"2018-10-06 12:29:00"</f>
        <v>2018-10-06 12:29:00</v>
      </c>
    </row>
    <row r="24434" spans="1:7" x14ac:dyDescent="0.2">
      <c r="A24434" t="s">
        <v>22636</v>
      </c>
      <c r="B24434" t="str">
        <f>"15245263736"</f>
        <v>15245263736</v>
      </c>
      <c r="C24434" t="str">
        <f>"230225198301010526"</f>
        <v>230225198301010526</v>
      </c>
      <c r="D24434" t="s">
        <v>1</v>
      </c>
      <c r="E24434" t="s">
        <v>1</v>
      </c>
      <c r="F24434" t="s">
        <v>0</v>
      </c>
      <c r="G24434" t="str">
        <f>"2018-10-06 12:06:55"</f>
        <v>2018-10-06 12:06:55</v>
      </c>
    </row>
    <row r="24435" spans="1:7" x14ac:dyDescent="0.2">
      <c r="A24435" t="s">
        <v>22637</v>
      </c>
      <c r="B24435" t="str">
        <f>"13027719222"</f>
        <v>13027719222</v>
      </c>
      <c r="C24435" t="str">
        <f>"422801198401244433"</f>
        <v>422801198401244433</v>
      </c>
      <c r="D24435" t="s">
        <v>22638</v>
      </c>
      <c r="E24435" t="s">
        <v>22639</v>
      </c>
      <c r="F24435" t="s">
        <v>0</v>
      </c>
      <c r="G24435" t="str">
        <f>"2018-10-06 12:06:24"</f>
        <v>2018-10-06 12:06:24</v>
      </c>
    </row>
    <row r="24436" spans="1:7" x14ac:dyDescent="0.2">
      <c r="A24436" t="s">
        <v>1</v>
      </c>
      <c r="B24436" t="str">
        <f>"15551051130"</f>
        <v>15551051130</v>
      </c>
      <c r="C24436" t="s">
        <v>1</v>
      </c>
      <c r="D24436" t="s">
        <v>1</v>
      </c>
      <c r="E24436" t="s">
        <v>1</v>
      </c>
      <c r="F24436" t="s">
        <v>0</v>
      </c>
      <c r="G24436" t="str">
        <f>"2018-10-06 12:08:37"</f>
        <v>2018-10-06 12:08:37</v>
      </c>
    </row>
    <row r="24437" spans="1:7" x14ac:dyDescent="0.2">
      <c r="A24437" t="s">
        <v>22640</v>
      </c>
      <c r="B24437" t="str">
        <f>"13961841222"</f>
        <v>13961841222</v>
      </c>
      <c r="C24437" t="str">
        <f>"320211199111243423"</f>
        <v>320211199111243423</v>
      </c>
      <c r="D24437" t="s">
        <v>1</v>
      </c>
      <c r="E24437" t="s">
        <v>1</v>
      </c>
      <c r="F24437" t="s">
        <v>0</v>
      </c>
      <c r="G24437" t="str">
        <f>"2018-10-06 12:32:28"</f>
        <v>2018-10-06 12:32:28</v>
      </c>
    </row>
    <row r="24438" spans="1:7" x14ac:dyDescent="0.2">
      <c r="A24438" t="s">
        <v>1</v>
      </c>
      <c r="B24438" t="str">
        <f>"18876381100"</f>
        <v>18876381100</v>
      </c>
      <c r="C24438" t="s">
        <v>1</v>
      </c>
      <c r="D24438" t="s">
        <v>1</v>
      </c>
      <c r="E24438" t="s">
        <v>1</v>
      </c>
      <c r="F24438" t="s">
        <v>0</v>
      </c>
      <c r="G24438" t="str">
        <f>"2018-10-06 12:04:03"</f>
        <v>2018-10-06 12:04:03</v>
      </c>
    </row>
    <row r="24439" spans="1:7" x14ac:dyDescent="0.2">
      <c r="A24439" t="s">
        <v>22641</v>
      </c>
      <c r="B24439" t="str">
        <f>"13226179999"</f>
        <v>13226179999</v>
      </c>
      <c r="C24439" t="str">
        <f>"445281199304190314"</f>
        <v>445281199304190314</v>
      </c>
      <c r="D24439" t="s">
        <v>1</v>
      </c>
      <c r="E24439" t="s">
        <v>1</v>
      </c>
      <c r="F24439" t="s">
        <v>0</v>
      </c>
      <c r="G24439" t="str">
        <f>"2018-10-06 12:07:44"</f>
        <v>2018-10-06 12:07:44</v>
      </c>
    </row>
    <row r="24440" spans="1:7" x14ac:dyDescent="0.2">
      <c r="A24440" t="s">
        <v>1</v>
      </c>
      <c r="B24440" t="str">
        <f>"18570436018"</f>
        <v>18570436018</v>
      </c>
      <c r="C24440" t="s">
        <v>1</v>
      </c>
      <c r="D24440" t="s">
        <v>1</v>
      </c>
      <c r="E24440" t="s">
        <v>1</v>
      </c>
      <c r="F24440" t="s">
        <v>0</v>
      </c>
      <c r="G24440" t="str">
        <f>"2018-10-06 12:03:31"</f>
        <v>2018-10-06 12:03:31</v>
      </c>
    </row>
    <row r="24441" spans="1:7" x14ac:dyDescent="0.2">
      <c r="A24441" t="s">
        <v>22642</v>
      </c>
      <c r="B24441" t="str">
        <f>"13500666602"</f>
        <v>13500666602</v>
      </c>
      <c r="C24441" t="str">
        <f>"150430199008150024"</f>
        <v>150430199008150024</v>
      </c>
      <c r="D24441" t="s">
        <v>1</v>
      </c>
      <c r="E24441" t="s">
        <v>1</v>
      </c>
      <c r="F24441" t="s">
        <v>0</v>
      </c>
      <c r="G24441" t="str">
        <f>"2018-10-06 12:06:44"</f>
        <v>2018-10-06 12:06:44</v>
      </c>
    </row>
    <row r="24442" spans="1:7" x14ac:dyDescent="0.2">
      <c r="A24442" t="s">
        <v>1</v>
      </c>
      <c r="B24442" t="str">
        <f>"15658059298"</f>
        <v>15658059298</v>
      </c>
      <c r="C24442" t="s">
        <v>1</v>
      </c>
      <c r="D24442" t="s">
        <v>1</v>
      </c>
      <c r="E24442" t="s">
        <v>1</v>
      </c>
      <c r="F24442" t="s">
        <v>0</v>
      </c>
      <c r="G24442" t="str">
        <f>"2018-10-06 12:28:58"</f>
        <v>2018-10-06 12:28:58</v>
      </c>
    </row>
    <row r="24443" spans="1:7" x14ac:dyDescent="0.2">
      <c r="A24443" t="s">
        <v>1</v>
      </c>
      <c r="B24443" t="str">
        <f>"18123956027"</f>
        <v>18123956027</v>
      </c>
      <c r="C24443" t="s">
        <v>1</v>
      </c>
      <c r="D24443" t="s">
        <v>1</v>
      </c>
      <c r="E24443" t="s">
        <v>1</v>
      </c>
      <c r="F24443" t="s">
        <v>0</v>
      </c>
      <c r="G24443" t="str">
        <f>"2018-10-06 12:02:25"</f>
        <v>2018-10-06 12:02:25</v>
      </c>
    </row>
    <row r="24444" spans="1:7" x14ac:dyDescent="0.2">
      <c r="A24444" t="s">
        <v>13054</v>
      </c>
      <c r="B24444" t="str">
        <f>"18611114038"</f>
        <v>18611114038</v>
      </c>
      <c r="C24444" t="str">
        <f>"370305198703260043"</f>
        <v>370305198703260043</v>
      </c>
      <c r="D24444" t="s">
        <v>1</v>
      </c>
      <c r="E24444" t="s">
        <v>1</v>
      </c>
      <c r="F24444" t="s">
        <v>0</v>
      </c>
      <c r="G24444" t="str">
        <f>"2018-10-06 12:37:31"</f>
        <v>2018-10-06 12:37:31</v>
      </c>
    </row>
    <row r="24445" spans="1:7" x14ac:dyDescent="0.2">
      <c r="A24445" t="s">
        <v>22643</v>
      </c>
      <c r="B24445" t="str">
        <f>"15871672237"</f>
        <v>15871672237</v>
      </c>
      <c r="C24445" t="str">
        <f>"420525198712200852"</f>
        <v>420525198712200852</v>
      </c>
      <c r="D24445" t="s">
        <v>1</v>
      </c>
      <c r="E24445" t="s">
        <v>1</v>
      </c>
      <c r="F24445" t="s">
        <v>0</v>
      </c>
      <c r="G24445" t="str">
        <f>"2018-10-06 12:03:30"</f>
        <v>2018-10-06 12:03:30</v>
      </c>
    </row>
    <row r="24446" spans="1:7" x14ac:dyDescent="0.2">
      <c r="A24446" t="s">
        <v>22644</v>
      </c>
      <c r="B24446" t="str">
        <f>"13055505579"</f>
        <v>13055505579</v>
      </c>
      <c r="C24446" t="str">
        <f>"35062519950307103X"</f>
        <v>35062519950307103X</v>
      </c>
      <c r="D24446" t="s">
        <v>1</v>
      </c>
      <c r="E24446" t="s">
        <v>1</v>
      </c>
      <c r="F24446" t="s">
        <v>0</v>
      </c>
      <c r="G24446" t="str">
        <f>"2018-10-06 12:07:03"</f>
        <v>2018-10-06 12:07:03</v>
      </c>
    </row>
    <row r="24447" spans="1:7" x14ac:dyDescent="0.2">
      <c r="A24447" t="s">
        <v>22645</v>
      </c>
      <c r="B24447" t="str">
        <f>"13738198922"</f>
        <v>13738198922</v>
      </c>
      <c r="C24447" t="str">
        <f>"330103195706140034"</f>
        <v>330103195706140034</v>
      </c>
      <c r="D24447" t="s">
        <v>1</v>
      </c>
      <c r="E24447" t="s">
        <v>1</v>
      </c>
      <c r="F24447" t="s">
        <v>0</v>
      </c>
      <c r="G24447" t="str">
        <f>"2018-10-06 12:03:29"</f>
        <v>2018-10-06 12:03:29</v>
      </c>
    </row>
    <row r="24448" spans="1:7" x14ac:dyDescent="0.2">
      <c r="A24448" t="s">
        <v>1</v>
      </c>
      <c r="B24448" t="str">
        <f>"18710781880"</f>
        <v>18710781880</v>
      </c>
      <c r="C24448" t="s">
        <v>1</v>
      </c>
      <c r="D24448" t="s">
        <v>1</v>
      </c>
      <c r="E24448" t="s">
        <v>1</v>
      </c>
      <c r="F24448" t="s">
        <v>0</v>
      </c>
      <c r="G24448" t="str">
        <f>"2018-10-06 12:02:50"</f>
        <v>2018-10-06 12:02:50</v>
      </c>
    </row>
    <row r="24449" spans="1:7" x14ac:dyDescent="0.2">
      <c r="A24449" t="s">
        <v>1</v>
      </c>
      <c r="B24449" t="str">
        <f>"15624259762"</f>
        <v>15624259762</v>
      </c>
      <c r="C24449" t="s">
        <v>1</v>
      </c>
      <c r="D24449" t="s">
        <v>1</v>
      </c>
      <c r="E24449" t="s">
        <v>1</v>
      </c>
      <c r="F24449" t="s">
        <v>0</v>
      </c>
      <c r="G24449" t="str">
        <f>"2018-10-06 12:02:40"</f>
        <v>2018-10-06 12:02:40</v>
      </c>
    </row>
    <row r="24450" spans="1:7" x14ac:dyDescent="0.2">
      <c r="A24450" t="s">
        <v>1</v>
      </c>
      <c r="B24450" t="str">
        <f>"15679312832"</f>
        <v>15679312832</v>
      </c>
      <c r="C24450" t="s">
        <v>1</v>
      </c>
      <c r="D24450" t="s">
        <v>1</v>
      </c>
      <c r="E24450" t="s">
        <v>1</v>
      </c>
      <c r="F24450" t="s">
        <v>0</v>
      </c>
      <c r="G24450" t="str">
        <f>"2018-10-06 12:01:30"</f>
        <v>2018-10-06 12:01:30</v>
      </c>
    </row>
    <row r="24451" spans="1:7" x14ac:dyDescent="0.2">
      <c r="A24451" t="s">
        <v>1</v>
      </c>
      <c r="B24451" t="str">
        <f>"18693270209"</f>
        <v>18693270209</v>
      </c>
      <c r="C24451" t="s">
        <v>1</v>
      </c>
      <c r="D24451" t="s">
        <v>1</v>
      </c>
      <c r="E24451" t="s">
        <v>1</v>
      </c>
      <c r="F24451" t="s">
        <v>0</v>
      </c>
      <c r="G24451" t="str">
        <f>"2018-10-06 12:01:20"</f>
        <v>2018-10-06 12:01:20</v>
      </c>
    </row>
    <row r="24452" spans="1:7" x14ac:dyDescent="0.2">
      <c r="A24452" t="s">
        <v>17387</v>
      </c>
      <c r="B24452" t="str">
        <f>"17621075407"</f>
        <v>17621075407</v>
      </c>
      <c r="C24452" t="str">
        <f>"622626199107076326"</f>
        <v>622626199107076326</v>
      </c>
      <c r="D24452" t="s">
        <v>1</v>
      </c>
      <c r="E24452" t="s">
        <v>1</v>
      </c>
      <c r="F24452" t="s">
        <v>0</v>
      </c>
      <c r="G24452" t="str">
        <f>"2018-10-06 12:01:16"</f>
        <v>2018-10-06 12:01:16</v>
      </c>
    </row>
    <row r="24453" spans="1:7" x14ac:dyDescent="0.2">
      <c r="A24453" t="s">
        <v>119</v>
      </c>
      <c r="B24453" t="str">
        <f>"15135700716"</f>
        <v>15135700716</v>
      </c>
      <c r="C24453" t="str">
        <f>"141029199908010053"</f>
        <v>141029199908010053</v>
      </c>
      <c r="D24453" t="s">
        <v>1</v>
      </c>
      <c r="E24453" t="s">
        <v>1</v>
      </c>
      <c r="F24453" t="s">
        <v>0</v>
      </c>
      <c r="G24453" t="str">
        <f>"2018-10-06 12:01:46"</f>
        <v>2018-10-06 12:01:46</v>
      </c>
    </row>
    <row r="24454" spans="1:7" x14ac:dyDescent="0.2">
      <c r="A24454" t="s">
        <v>1</v>
      </c>
      <c r="B24454" t="str">
        <f>"18599296794"</f>
        <v>18599296794</v>
      </c>
      <c r="C24454" t="s">
        <v>1</v>
      </c>
      <c r="D24454" t="s">
        <v>1</v>
      </c>
      <c r="E24454" t="s">
        <v>1</v>
      </c>
      <c r="F24454" t="s">
        <v>0</v>
      </c>
      <c r="G24454" t="str">
        <f>"2018-10-06 12:01:45"</f>
        <v>2018-10-06 12:01:45</v>
      </c>
    </row>
    <row r="24455" spans="1:7" x14ac:dyDescent="0.2">
      <c r="A24455" t="s">
        <v>17</v>
      </c>
      <c r="B24455" t="str">
        <f>"18602937130"</f>
        <v>18602937130</v>
      </c>
      <c r="C24455" t="str">
        <f>"610523198402170013"</f>
        <v>610523198402170013</v>
      </c>
      <c r="D24455" t="s">
        <v>1</v>
      </c>
      <c r="E24455" t="s">
        <v>1</v>
      </c>
      <c r="F24455" t="s">
        <v>0</v>
      </c>
      <c r="G24455" t="str">
        <f>"2018-10-06 11:59:16"</f>
        <v>2018-10-06 11:59:16</v>
      </c>
    </row>
    <row r="24456" spans="1:7" x14ac:dyDescent="0.2">
      <c r="A24456" t="s">
        <v>22646</v>
      </c>
      <c r="B24456" t="str">
        <f>"13605882497"</f>
        <v>13605882497</v>
      </c>
      <c r="C24456" t="str">
        <f>"330902199111152912"</f>
        <v>330902199111152912</v>
      </c>
      <c r="D24456" t="s">
        <v>1</v>
      </c>
      <c r="E24456" t="s">
        <v>1</v>
      </c>
      <c r="F24456" t="s">
        <v>0</v>
      </c>
      <c r="G24456" t="str">
        <f>"2018-10-06 11:58:45"</f>
        <v>2018-10-06 11:58:45</v>
      </c>
    </row>
    <row r="24457" spans="1:7" x14ac:dyDescent="0.2">
      <c r="A24457" t="s">
        <v>1</v>
      </c>
      <c r="B24457" t="str">
        <f>"18575023989"</f>
        <v>18575023989</v>
      </c>
      <c r="C24457" t="s">
        <v>1</v>
      </c>
      <c r="D24457" t="s">
        <v>1</v>
      </c>
      <c r="E24457" t="s">
        <v>1</v>
      </c>
      <c r="F24457" t="s">
        <v>0</v>
      </c>
      <c r="G24457" t="str">
        <f>"2018-10-06 11:57:50"</f>
        <v>2018-10-06 11:57:50</v>
      </c>
    </row>
    <row r="24458" spans="1:7" x14ac:dyDescent="0.2">
      <c r="A24458" t="s">
        <v>1</v>
      </c>
      <c r="B24458" t="str">
        <f>"18692783600"</f>
        <v>18692783600</v>
      </c>
      <c r="C24458" t="s">
        <v>1</v>
      </c>
      <c r="D24458" t="s">
        <v>1</v>
      </c>
      <c r="E24458" t="s">
        <v>1</v>
      </c>
      <c r="F24458" t="s">
        <v>0</v>
      </c>
      <c r="G24458" t="str">
        <f>"2018-10-06 11:58:23"</f>
        <v>2018-10-06 11:58:23</v>
      </c>
    </row>
    <row r="24459" spans="1:7" x14ac:dyDescent="0.2">
      <c r="A24459" t="s">
        <v>22647</v>
      </c>
      <c r="B24459" t="str">
        <f>"13001555257"</f>
        <v>13001555257</v>
      </c>
      <c r="C24459" t="str">
        <f>"370704198002121011"</f>
        <v>370704198002121011</v>
      </c>
      <c r="D24459" t="s">
        <v>1</v>
      </c>
      <c r="E24459" t="s">
        <v>1</v>
      </c>
      <c r="F24459" t="s">
        <v>0</v>
      </c>
      <c r="G24459" t="str">
        <f>"2018-10-06 12:02:02"</f>
        <v>2018-10-06 12:02:02</v>
      </c>
    </row>
    <row r="24460" spans="1:7" x14ac:dyDescent="0.2">
      <c r="A24460" t="s">
        <v>22648</v>
      </c>
      <c r="B24460" t="str">
        <f>"18505966555"</f>
        <v>18505966555</v>
      </c>
      <c r="C24460" t="str">
        <f>"35062319930702003X"</f>
        <v>35062319930702003X</v>
      </c>
      <c r="D24460" t="s">
        <v>1</v>
      </c>
      <c r="E24460" t="s">
        <v>1</v>
      </c>
      <c r="F24460" t="s">
        <v>0</v>
      </c>
      <c r="G24460" t="str">
        <f>"2018-10-06 12:07:59"</f>
        <v>2018-10-06 12:07:59</v>
      </c>
    </row>
    <row r="24461" spans="1:7" x14ac:dyDescent="0.2">
      <c r="A24461" t="s">
        <v>1</v>
      </c>
      <c r="B24461" t="str">
        <f>"15768844706"</f>
        <v>15768844706</v>
      </c>
      <c r="C24461" t="s">
        <v>1</v>
      </c>
      <c r="D24461" t="s">
        <v>1</v>
      </c>
      <c r="E24461" t="s">
        <v>1</v>
      </c>
      <c r="F24461" t="s">
        <v>0</v>
      </c>
      <c r="G24461" t="str">
        <f>"2018-10-06 11:56:17"</f>
        <v>2018-10-06 11:56:17</v>
      </c>
    </row>
    <row r="24462" spans="1:7" x14ac:dyDescent="0.2">
      <c r="A24462" t="s">
        <v>1</v>
      </c>
      <c r="B24462" t="str">
        <f>"15762990031"</f>
        <v>15762990031</v>
      </c>
      <c r="C24462" t="s">
        <v>1</v>
      </c>
      <c r="D24462" t="s">
        <v>1</v>
      </c>
      <c r="E24462" t="s">
        <v>1</v>
      </c>
      <c r="F24462" t="s">
        <v>0</v>
      </c>
      <c r="G24462" t="str">
        <f>"2018-10-06 11:55:52"</f>
        <v>2018-10-06 11:55:52</v>
      </c>
    </row>
    <row r="24463" spans="1:7" x14ac:dyDescent="0.2">
      <c r="A24463" t="s">
        <v>22649</v>
      </c>
      <c r="B24463" t="str">
        <f>"13769738156"</f>
        <v>13769738156</v>
      </c>
      <c r="C24463" t="str">
        <f>"53032819790613002X"</f>
        <v>53032819790613002X</v>
      </c>
      <c r="D24463" t="s">
        <v>1</v>
      </c>
      <c r="E24463" t="s">
        <v>1</v>
      </c>
      <c r="F24463" t="s">
        <v>0</v>
      </c>
      <c r="G24463" t="str">
        <f>"2018-10-06 11:57:09"</f>
        <v>2018-10-06 11:57:09</v>
      </c>
    </row>
    <row r="24464" spans="1:7" x14ac:dyDescent="0.2">
      <c r="A24464" t="s">
        <v>1</v>
      </c>
      <c r="B24464" t="str">
        <f>"15581123136"</f>
        <v>15581123136</v>
      </c>
      <c r="C24464" t="s">
        <v>1</v>
      </c>
      <c r="D24464" t="s">
        <v>1</v>
      </c>
      <c r="E24464" t="s">
        <v>1</v>
      </c>
      <c r="F24464" t="s">
        <v>0</v>
      </c>
      <c r="G24464" t="str">
        <f>"2018-10-06 11:55:23"</f>
        <v>2018-10-06 11:55:23</v>
      </c>
    </row>
    <row r="24465" spans="1:7" x14ac:dyDescent="0.2">
      <c r="A24465" t="s">
        <v>22650</v>
      </c>
      <c r="B24465" t="str">
        <f>"18262132997"</f>
        <v>18262132997</v>
      </c>
      <c r="C24465" t="str">
        <f>"330382199007060814"</f>
        <v>330382199007060814</v>
      </c>
      <c r="D24465" t="s">
        <v>1</v>
      </c>
      <c r="E24465" t="s">
        <v>1</v>
      </c>
      <c r="F24465" t="s">
        <v>0</v>
      </c>
      <c r="G24465" t="str">
        <f>"2018-10-06 12:12:22"</f>
        <v>2018-10-06 12:12:22</v>
      </c>
    </row>
    <row r="24466" spans="1:7" x14ac:dyDescent="0.2">
      <c r="A24466" t="s">
        <v>1</v>
      </c>
      <c r="B24466" t="str">
        <f>"13018524203"</f>
        <v>13018524203</v>
      </c>
      <c r="C24466" t="s">
        <v>1</v>
      </c>
      <c r="D24466" t="s">
        <v>1</v>
      </c>
      <c r="E24466" t="s">
        <v>1</v>
      </c>
      <c r="F24466" t="s">
        <v>0</v>
      </c>
      <c r="G24466" t="str">
        <f>"2018-10-06 11:54:56"</f>
        <v>2018-10-06 11:54:56</v>
      </c>
    </row>
    <row r="24467" spans="1:7" x14ac:dyDescent="0.2">
      <c r="A24467" t="s">
        <v>22651</v>
      </c>
      <c r="B24467" t="str">
        <f>"17878561801"</f>
        <v>17878561801</v>
      </c>
      <c r="C24467" t="str">
        <f>"450422199006043090"</f>
        <v>450422199006043090</v>
      </c>
      <c r="D24467" t="s">
        <v>1</v>
      </c>
      <c r="E24467" t="s">
        <v>1</v>
      </c>
      <c r="F24467" t="s">
        <v>0</v>
      </c>
      <c r="G24467" t="str">
        <f>"2018-10-06 11:57:07"</f>
        <v>2018-10-06 11:57:07</v>
      </c>
    </row>
    <row r="24468" spans="1:7" x14ac:dyDescent="0.2">
      <c r="A24468" t="s">
        <v>1819</v>
      </c>
      <c r="B24468" t="str">
        <f>"13859913400"</f>
        <v>13859913400</v>
      </c>
      <c r="C24468" t="str">
        <f>"350212199012283018"</f>
        <v>350212199012283018</v>
      </c>
      <c r="D24468" t="s">
        <v>22652</v>
      </c>
      <c r="E24468" t="s">
        <v>22653</v>
      </c>
      <c r="F24468" t="s">
        <v>0</v>
      </c>
      <c r="G24468" t="str">
        <f>"2018-10-06 11:56:11"</f>
        <v>2018-10-06 11:56:11</v>
      </c>
    </row>
    <row r="24469" spans="1:7" x14ac:dyDescent="0.2">
      <c r="A24469" t="s">
        <v>1</v>
      </c>
      <c r="B24469" t="str">
        <f>"13214968193"</f>
        <v>13214968193</v>
      </c>
      <c r="C24469" t="s">
        <v>1</v>
      </c>
      <c r="D24469" t="s">
        <v>1</v>
      </c>
      <c r="E24469" t="s">
        <v>1</v>
      </c>
      <c r="F24469" t="s">
        <v>0</v>
      </c>
      <c r="G24469" t="str">
        <f>"2018-10-06 11:54:20"</f>
        <v>2018-10-06 11:54:20</v>
      </c>
    </row>
    <row r="24470" spans="1:7" x14ac:dyDescent="0.2">
      <c r="A24470" t="s">
        <v>1464</v>
      </c>
      <c r="B24470" t="str">
        <f>"15754174692"</f>
        <v>15754174692</v>
      </c>
      <c r="C24470" t="str">
        <f>"210781199301253818"</f>
        <v>210781199301253818</v>
      </c>
      <c r="D24470" t="s">
        <v>1</v>
      </c>
      <c r="E24470" t="s">
        <v>1</v>
      </c>
      <c r="F24470" t="s">
        <v>0</v>
      </c>
      <c r="G24470" t="str">
        <f>"2018-10-06 11:55:18"</f>
        <v>2018-10-06 11:55:18</v>
      </c>
    </row>
    <row r="24471" spans="1:7" x14ac:dyDescent="0.2">
      <c r="A24471" t="s">
        <v>1</v>
      </c>
      <c r="B24471" t="str">
        <f>"18993788555"</f>
        <v>18993788555</v>
      </c>
      <c r="C24471" t="s">
        <v>1</v>
      </c>
      <c r="D24471" t="s">
        <v>1</v>
      </c>
      <c r="E24471" t="s">
        <v>1</v>
      </c>
      <c r="F24471" t="s">
        <v>0</v>
      </c>
      <c r="G24471" t="str">
        <f>"2018-10-06 11:55:12"</f>
        <v>2018-10-06 11:55:12</v>
      </c>
    </row>
    <row r="24472" spans="1:7" x14ac:dyDescent="0.2">
      <c r="A24472" t="s">
        <v>22654</v>
      </c>
      <c r="B24472" t="str">
        <f>"18352858218"</f>
        <v>18352858218</v>
      </c>
      <c r="C24472" t="str">
        <f>"320882198308253477"</f>
        <v>320882198308253477</v>
      </c>
      <c r="D24472" t="s">
        <v>22655</v>
      </c>
      <c r="E24472" t="s">
        <v>22656</v>
      </c>
      <c r="F24472" t="s">
        <v>0</v>
      </c>
      <c r="G24472" t="str">
        <f>"2018-10-06 11:55:59"</f>
        <v>2018-10-06 11:55:59</v>
      </c>
    </row>
    <row r="24473" spans="1:7" x14ac:dyDescent="0.2">
      <c r="A24473" t="s">
        <v>78</v>
      </c>
      <c r="B24473" t="str">
        <f>"13330380088"</f>
        <v>13330380088</v>
      </c>
      <c r="C24473" t="str">
        <f>"512301197405170275"</f>
        <v>512301197405170275</v>
      </c>
      <c r="D24473" t="s">
        <v>22657</v>
      </c>
      <c r="E24473" t="s">
        <v>22658</v>
      </c>
      <c r="F24473" t="s">
        <v>0</v>
      </c>
      <c r="G24473" t="str">
        <f>"2018-10-06 11:55:00"</f>
        <v>2018-10-06 11:55:00</v>
      </c>
    </row>
    <row r="24474" spans="1:7" x14ac:dyDescent="0.2">
      <c r="A24474" t="s">
        <v>22659</v>
      </c>
      <c r="B24474" t="str">
        <f>"13673669917"</f>
        <v>13673669917</v>
      </c>
      <c r="C24474" t="str">
        <f>"411425197801246317"</f>
        <v>411425197801246317</v>
      </c>
      <c r="D24474" t="s">
        <v>22660</v>
      </c>
      <c r="E24474" t="s">
        <v>22661</v>
      </c>
      <c r="F24474" t="s">
        <v>0</v>
      </c>
      <c r="G24474" t="str">
        <f>"2018-10-06 11:56:33"</f>
        <v>2018-10-06 11:56:33</v>
      </c>
    </row>
    <row r="24475" spans="1:7" x14ac:dyDescent="0.2">
      <c r="A24475" t="s">
        <v>22662</v>
      </c>
      <c r="B24475" t="str">
        <f>"17531390314"</f>
        <v>17531390314</v>
      </c>
      <c r="C24475" t="str">
        <f>"130324200003140950"</f>
        <v>130324200003140950</v>
      </c>
      <c r="D24475" t="s">
        <v>1</v>
      </c>
      <c r="E24475" t="s">
        <v>1</v>
      </c>
      <c r="F24475" t="s">
        <v>0</v>
      </c>
      <c r="G24475" t="str">
        <f>"2018-10-06 11:55:44"</f>
        <v>2018-10-06 11:55:44</v>
      </c>
    </row>
    <row r="24476" spans="1:7" x14ac:dyDescent="0.2">
      <c r="A24476" t="s">
        <v>1</v>
      </c>
      <c r="B24476" t="str">
        <f>"13176283071"</f>
        <v>13176283071</v>
      </c>
      <c r="C24476" t="s">
        <v>1</v>
      </c>
      <c r="D24476" t="s">
        <v>1</v>
      </c>
      <c r="E24476" t="s">
        <v>1</v>
      </c>
      <c r="F24476" t="s">
        <v>0</v>
      </c>
      <c r="G24476" t="str">
        <f>"2018-10-06 11:53:48"</f>
        <v>2018-10-06 11:53:48</v>
      </c>
    </row>
    <row r="24477" spans="1:7" x14ac:dyDescent="0.2">
      <c r="A24477" t="s">
        <v>1694</v>
      </c>
      <c r="B24477" t="str">
        <f>"18636625051"</f>
        <v>18636625051</v>
      </c>
      <c r="C24477" t="str">
        <f>"140202198704232039"</f>
        <v>140202198704232039</v>
      </c>
      <c r="D24477" t="s">
        <v>22663</v>
      </c>
      <c r="E24477" t="s">
        <v>22664</v>
      </c>
      <c r="F24477" t="s">
        <v>0</v>
      </c>
      <c r="G24477" t="str">
        <f>"2018-10-06 12:14:06"</f>
        <v>2018-10-06 12:14:06</v>
      </c>
    </row>
    <row r="24478" spans="1:7" x14ac:dyDescent="0.2">
      <c r="A24478" t="s">
        <v>22665</v>
      </c>
      <c r="B24478" t="str">
        <f>"18813215308"</f>
        <v>18813215308</v>
      </c>
      <c r="C24478" t="str">
        <f>"441424199203024851"</f>
        <v>441424199203024851</v>
      </c>
      <c r="D24478" t="s">
        <v>1</v>
      </c>
      <c r="E24478" t="s">
        <v>1</v>
      </c>
      <c r="F24478" t="s">
        <v>0</v>
      </c>
      <c r="G24478" t="str">
        <f>"2018-10-06 11:57:28"</f>
        <v>2018-10-06 11:57:28</v>
      </c>
    </row>
    <row r="24479" spans="1:7" x14ac:dyDescent="0.2">
      <c r="A24479" t="s">
        <v>22666</v>
      </c>
      <c r="B24479" t="str">
        <f>"18655964380"</f>
        <v>18655964380</v>
      </c>
      <c r="C24479" t="str">
        <f>"341022199307160710"</f>
        <v>341022199307160710</v>
      </c>
      <c r="D24479" t="s">
        <v>1</v>
      </c>
      <c r="E24479" t="s">
        <v>1</v>
      </c>
      <c r="F24479" t="s">
        <v>0</v>
      </c>
      <c r="G24479" t="str">
        <f>"2018-10-06 11:54:26"</f>
        <v>2018-10-06 11:54:26</v>
      </c>
    </row>
    <row r="24480" spans="1:7" x14ac:dyDescent="0.2">
      <c r="A24480" t="s">
        <v>18734</v>
      </c>
      <c r="B24480" t="str">
        <f>"13485368669"</f>
        <v>13485368669</v>
      </c>
      <c r="C24480" t="str">
        <f>"142223199206205319"</f>
        <v>142223199206205319</v>
      </c>
      <c r="D24480" t="s">
        <v>22667</v>
      </c>
      <c r="E24480" t="s">
        <v>22668</v>
      </c>
      <c r="F24480" t="s">
        <v>0</v>
      </c>
      <c r="G24480" t="str">
        <f>"2018-10-06 12:01:21"</f>
        <v>2018-10-06 12:01:21</v>
      </c>
    </row>
    <row r="24481" spans="1:7" x14ac:dyDescent="0.2">
      <c r="A24481" t="s">
        <v>1</v>
      </c>
      <c r="B24481" t="str">
        <f>"15524234855"</f>
        <v>15524234855</v>
      </c>
      <c r="C24481" t="s">
        <v>1</v>
      </c>
      <c r="D24481" t="s">
        <v>1</v>
      </c>
      <c r="E24481" t="s">
        <v>1</v>
      </c>
      <c r="F24481" t="s">
        <v>0</v>
      </c>
      <c r="G24481" t="str">
        <f>"2018-10-06 11:52:50"</f>
        <v>2018-10-06 11:52:50</v>
      </c>
    </row>
    <row r="24482" spans="1:7" x14ac:dyDescent="0.2">
      <c r="A24482" t="s">
        <v>1</v>
      </c>
      <c r="B24482" t="str">
        <f>"15557011901"</f>
        <v>15557011901</v>
      </c>
      <c r="C24482" t="s">
        <v>1</v>
      </c>
      <c r="D24482" t="s">
        <v>1</v>
      </c>
      <c r="E24482" t="s">
        <v>1</v>
      </c>
      <c r="F24482" t="s">
        <v>0</v>
      </c>
      <c r="G24482" t="str">
        <f>"2018-10-06 11:52:19"</f>
        <v>2018-10-06 11:52:19</v>
      </c>
    </row>
    <row r="24483" spans="1:7" x14ac:dyDescent="0.2">
      <c r="A24483" t="s">
        <v>1</v>
      </c>
      <c r="B24483" t="str">
        <f>"18581369599"</f>
        <v>18581369599</v>
      </c>
      <c r="C24483" t="s">
        <v>1</v>
      </c>
      <c r="D24483" t="s">
        <v>1</v>
      </c>
      <c r="E24483" t="s">
        <v>1</v>
      </c>
      <c r="F24483" t="s">
        <v>0</v>
      </c>
      <c r="G24483" t="str">
        <f>"2018-10-06 11:51:45"</f>
        <v>2018-10-06 11:51:45</v>
      </c>
    </row>
    <row r="24484" spans="1:7" x14ac:dyDescent="0.2">
      <c r="A24484" t="s">
        <v>1</v>
      </c>
      <c r="B24484" t="str">
        <f>"13737157872"</f>
        <v>13737157872</v>
      </c>
      <c r="C24484" t="s">
        <v>1</v>
      </c>
      <c r="D24484" t="s">
        <v>1</v>
      </c>
      <c r="E24484" t="s">
        <v>1</v>
      </c>
      <c r="F24484" t="s">
        <v>0</v>
      </c>
      <c r="G24484" t="str">
        <f>"2018-10-06 11:51:23"</f>
        <v>2018-10-06 11:51:23</v>
      </c>
    </row>
    <row r="24485" spans="1:7" x14ac:dyDescent="0.2">
      <c r="A24485" t="s">
        <v>1</v>
      </c>
      <c r="B24485" t="str">
        <f>"13223639868"</f>
        <v>13223639868</v>
      </c>
      <c r="C24485" t="s">
        <v>1</v>
      </c>
      <c r="D24485" t="s">
        <v>1</v>
      </c>
      <c r="E24485" t="s">
        <v>1</v>
      </c>
      <c r="F24485" t="s">
        <v>0</v>
      </c>
      <c r="G24485" t="str">
        <f>"2018-10-06 11:51:07"</f>
        <v>2018-10-06 11:51:07</v>
      </c>
    </row>
    <row r="24486" spans="1:7" x14ac:dyDescent="0.2">
      <c r="A24486" t="s">
        <v>22669</v>
      </c>
      <c r="B24486" t="str">
        <f>"18912535520"</f>
        <v>18912535520</v>
      </c>
      <c r="C24486" t="str">
        <f>"320925199009052520"</f>
        <v>320925199009052520</v>
      </c>
      <c r="D24486" t="s">
        <v>1</v>
      </c>
      <c r="E24486" t="s">
        <v>1</v>
      </c>
      <c r="F24486" t="s">
        <v>0</v>
      </c>
      <c r="G24486" t="str">
        <f>"2018-10-06 12:38:12"</f>
        <v>2018-10-06 12:38:12</v>
      </c>
    </row>
    <row r="24487" spans="1:7" x14ac:dyDescent="0.2">
      <c r="A24487" t="s">
        <v>22670</v>
      </c>
      <c r="B24487" t="str">
        <f>"18575792319"</f>
        <v>18575792319</v>
      </c>
      <c r="C24487" t="str">
        <f>"42108319780108653X"</f>
        <v>42108319780108653X</v>
      </c>
      <c r="D24487" t="s">
        <v>1</v>
      </c>
      <c r="E24487" t="s">
        <v>1</v>
      </c>
      <c r="F24487" t="s">
        <v>0</v>
      </c>
      <c r="G24487" t="str">
        <f>"2018-10-06 11:52:57"</f>
        <v>2018-10-06 11:52:57</v>
      </c>
    </row>
    <row r="24488" spans="1:7" x14ac:dyDescent="0.2">
      <c r="A24488" t="s">
        <v>22671</v>
      </c>
      <c r="B24488" t="str">
        <f>"18613031121"</f>
        <v>18613031121</v>
      </c>
      <c r="C24488" t="str">
        <f>"440882199001014019"</f>
        <v>440882199001014019</v>
      </c>
      <c r="D24488" t="s">
        <v>22672</v>
      </c>
      <c r="E24488" t="s">
        <v>22673</v>
      </c>
      <c r="F24488" t="s">
        <v>0</v>
      </c>
      <c r="G24488" t="str">
        <f>"2018-10-06 14:01:21"</f>
        <v>2018-10-06 14:01:21</v>
      </c>
    </row>
    <row r="24489" spans="1:7" x14ac:dyDescent="0.2">
      <c r="A24489" t="s">
        <v>22674</v>
      </c>
      <c r="B24489" t="str">
        <f>"13979870000"</f>
        <v>13979870000</v>
      </c>
      <c r="C24489" t="str">
        <f>"360101198209186011"</f>
        <v>360101198209186011</v>
      </c>
      <c r="D24489" t="s">
        <v>1</v>
      </c>
      <c r="E24489" t="s">
        <v>1</v>
      </c>
      <c r="F24489" t="s">
        <v>0</v>
      </c>
      <c r="G24489" t="str">
        <f>"2018-10-06 11:56:52"</f>
        <v>2018-10-06 11:56:52</v>
      </c>
    </row>
    <row r="24490" spans="1:7" x14ac:dyDescent="0.2">
      <c r="A24490" t="s">
        <v>1</v>
      </c>
      <c r="B24490" t="str">
        <f>"18358131197"</f>
        <v>18358131197</v>
      </c>
      <c r="C24490" t="s">
        <v>1</v>
      </c>
      <c r="D24490" t="s">
        <v>1</v>
      </c>
      <c r="E24490" t="s">
        <v>1</v>
      </c>
      <c r="F24490" t="s">
        <v>0</v>
      </c>
      <c r="G24490" t="str">
        <f>"2018-10-06 11:53:23"</f>
        <v>2018-10-06 11:53:23</v>
      </c>
    </row>
    <row r="24491" spans="1:7" x14ac:dyDescent="0.2">
      <c r="A24491" t="s">
        <v>22675</v>
      </c>
      <c r="B24491" t="str">
        <f>"13756794979"</f>
        <v>13756794979</v>
      </c>
      <c r="C24491" t="str">
        <f>"222303197611285210"</f>
        <v>222303197611285210</v>
      </c>
      <c r="D24491" t="s">
        <v>1</v>
      </c>
      <c r="E24491" t="s">
        <v>1</v>
      </c>
      <c r="F24491" t="s">
        <v>0</v>
      </c>
      <c r="G24491" t="str">
        <f>"2018-10-06 11:54:53"</f>
        <v>2018-10-06 11:54:53</v>
      </c>
    </row>
    <row r="24492" spans="1:7" x14ac:dyDescent="0.2">
      <c r="A24492" t="s">
        <v>22676</v>
      </c>
      <c r="B24492" t="str">
        <f>"17628672376"</f>
        <v>17628672376</v>
      </c>
      <c r="C24492" t="str">
        <f>"513023199709293313"</f>
        <v>513023199709293313</v>
      </c>
      <c r="D24492" t="s">
        <v>1</v>
      </c>
      <c r="E24492" t="s">
        <v>1</v>
      </c>
      <c r="F24492" t="s">
        <v>0</v>
      </c>
      <c r="G24492" t="str">
        <f>"2018-10-06 11:51:36"</f>
        <v>2018-10-06 11:51:36</v>
      </c>
    </row>
    <row r="24493" spans="1:7" x14ac:dyDescent="0.2">
      <c r="A24493" t="s">
        <v>22677</v>
      </c>
      <c r="B24493" t="str">
        <f>"17678930061"</f>
        <v>17678930061</v>
      </c>
      <c r="C24493" t="str">
        <f>"52250120000720692X"</f>
        <v>52250120000720692X</v>
      </c>
      <c r="D24493" t="s">
        <v>1</v>
      </c>
      <c r="E24493" t="s">
        <v>1</v>
      </c>
      <c r="F24493" t="s">
        <v>0</v>
      </c>
      <c r="G24493" t="str">
        <f>"2018-10-06 11:51:47"</f>
        <v>2018-10-06 11:51:47</v>
      </c>
    </row>
    <row r="24494" spans="1:7" x14ac:dyDescent="0.2">
      <c r="A24494" t="s">
        <v>1</v>
      </c>
      <c r="B24494" t="str">
        <f>"17829737092"</f>
        <v>17829737092</v>
      </c>
      <c r="C24494" t="s">
        <v>1</v>
      </c>
      <c r="D24494" t="s">
        <v>1</v>
      </c>
      <c r="E24494" t="s">
        <v>1</v>
      </c>
      <c r="F24494" t="s">
        <v>0</v>
      </c>
      <c r="G24494" t="str">
        <f>"2018-10-06 11:50:06"</f>
        <v>2018-10-06 11:50:06</v>
      </c>
    </row>
    <row r="24495" spans="1:7" x14ac:dyDescent="0.2">
      <c r="A24495" t="s">
        <v>22678</v>
      </c>
      <c r="B24495" t="str">
        <f>"13828037967"</f>
        <v>13828037967</v>
      </c>
      <c r="C24495" t="str">
        <f>"440783199707092730"</f>
        <v>440783199707092730</v>
      </c>
      <c r="D24495" t="s">
        <v>22679</v>
      </c>
      <c r="E24495" t="s">
        <v>22680</v>
      </c>
      <c r="F24495" t="s">
        <v>0</v>
      </c>
      <c r="G24495" t="str">
        <f>"2018-10-08 13:20:15"</f>
        <v>2018-10-08 13:20:15</v>
      </c>
    </row>
    <row r="24496" spans="1:7" x14ac:dyDescent="0.2">
      <c r="A24496" t="s">
        <v>1</v>
      </c>
      <c r="B24496" t="str">
        <f>"13759253957"</f>
        <v>13759253957</v>
      </c>
      <c r="C24496" t="s">
        <v>1</v>
      </c>
      <c r="D24496" t="s">
        <v>1</v>
      </c>
      <c r="E24496" t="s">
        <v>1</v>
      </c>
      <c r="F24496" t="s">
        <v>0</v>
      </c>
      <c r="G24496" t="str">
        <f>"2018-10-06 11:50:36"</f>
        <v>2018-10-06 11:50:36</v>
      </c>
    </row>
    <row r="24497" spans="1:7" x14ac:dyDescent="0.2">
      <c r="A24497" t="s">
        <v>22681</v>
      </c>
      <c r="B24497" t="str">
        <f>"15659979653"</f>
        <v>15659979653</v>
      </c>
      <c r="C24497" t="str">
        <f>"532129199407183529"</f>
        <v>532129199407183529</v>
      </c>
      <c r="D24497" t="s">
        <v>1</v>
      </c>
      <c r="E24497" t="s">
        <v>1</v>
      </c>
      <c r="F24497" t="s">
        <v>0</v>
      </c>
      <c r="G24497" t="str">
        <f>"2018-10-09 12:27:18"</f>
        <v>2018-10-09 12:27:18</v>
      </c>
    </row>
    <row r="24498" spans="1:7" x14ac:dyDescent="0.2">
      <c r="A24498" t="s">
        <v>1</v>
      </c>
      <c r="B24498" t="str">
        <f>"13954734798"</f>
        <v>13954734798</v>
      </c>
      <c r="C24498" t="s">
        <v>1</v>
      </c>
      <c r="D24498" t="s">
        <v>1</v>
      </c>
      <c r="E24498" t="s">
        <v>1</v>
      </c>
      <c r="F24498" t="s">
        <v>0</v>
      </c>
      <c r="G24498" t="str">
        <f>"2018-10-06 11:49:06"</f>
        <v>2018-10-06 11:49:06</v>
      </c>
    </row>
    <row r="24499" spans="1:7" x14ac:dyDescent="0.2">
      <c r="A24499" t="s">
        <v>22682</v>
      </c>
      <c r="B24499" t="str">
        <f>"18339012305"</f>
        <v>18339012305</v>
      </c>
      <c r="C24499" t="str">
        <f>"411082199912050610"</f>
        <v>411082199912050610</v>
      </c>
      <c r="D24499" t="s">
        <v>22683</v>
      </c>
      <c r="E24499" t="s">
        <v>22684</v>
      </c>
      <c r="F24499" t="s">
        <v>0</v>
      </c>
      <c r="G24499" t="str">
        <f>"2018-10-06 12:12:24"</f>
        <v>2018-10-06 12:12:24</v>
      </c>
    </row>
    <row r="24500" spans="1:7" x14ac:dyDescent="0.2">
      <c r="A24500" t="s">
        <v>22685</v>
      </c>
      <c r="B24500" t="str">
        <f>"15295855422"</f>
        <v>15295855422</v>
      </c>
      <c r="C24500" t="str">
        <f>"450332199807130028"</f>
        <v>450332199807130028</v>
      </c>
      <c r="D24500" t="s">
        <v>1</v>
      </c>
      <c r="E24500" t="s">
        <v>1</v>
      </c>
      <c r="F24500" t="s">
        <v>0</v>
      </c>
      <c r="G24500" t="str">
        <f>"2018-10-06 11:48:24"</f>
        <v>2018-10-06 11:48:24</v>
      </c>
    </row>
    <row r="24501" spans="1:7" x14ac:dyDescent="0.2">
      <c r="A24501" t="s">
        <v>1394</v>
      </c>
      <c r="B24501" t="str">
        <f>"13541615792"</f>
        <v>13541615792</v>
      </c>
      <c r="C24501" t="str">
        <f>"511011198911147457"</f>
        <v>511011198911147457</v>
      </c>
      <c r="D24501" t="s">
        <v>1</v>
      </c>
      <c r="E24501" t="s">
        <v>1</v>
      </c>
      <c r="F24501" t="s">
        <v>0</v>
      </c>
      <c r="G24501" t="str">
        <f>"2018-10-20 16:11:22"</f>
        <v>2018-10-20 16:11:22</v>
      </c>
    </row>
    <row r="24502" spans="1:7" x14ac:dyDescent="0.2">
      <c r="A24502" t="s">
        <v>22686</v>
      </c>
      <c r="B24502" t="str">
        <f>"13597574556"</f>
        <v>13597574556</v>
      </c>
      <c r="C24502" t="str">
        <f>"422126197911278515"</f>
        <v>422126197911278515</v>
      </c>
      <c r="D24502" t="s">
        <v>22687</v>
      </c>
      <c r="E24502" t="s">
        <v>22688</v>
      </c>
      <c r="F24502" t="s">
        <v>0</v>
      </c>
      <c r="G24502" t="str">
        <f>"2018-10-06 12:53:59"</f>
        <v>2018-10-06 12:53:59</v>
      </c>
    </row>
    <row r="24503" spans="1:7" x14ac:dyDescent="0.2">
      <c r="A24503" t="s">
        <v>249</v>
      </c>
      <c r="B24503" t="str">
        <f>"13251509717"</f>
        <v>13251509717</v>
      </c>
      <c r="C24503" t="str">
        <f>"232127197709053022"</f>
        <v>232127197709053022</v>
      </c>
      <c r="D24503" t="s">
        <v>1</v>
      </c>
      <c r="E24503" t="s">
        <v>1</v>
      </c>
      <c r="F24503" t="s">
        <v>0</v>
      </c>
      <c r="G24503" t="str">
        <f>"2018-10-06 11:47:50"</f>
        <v>2018-10-06 11:47:50</v>
      </c>
    </row>
    <row r="24504" spans="1:7" x14ac:dyDescent="0.2">
      <c r="A24504" t="s">
        <v>1</v>
      </c>
      <c r="B24504" t="str">
        <f>"14796237753"</f>
        <v>14796237753</v>
      </c>
      <c r="C24504" t="s">
        <v>1</v>
      </c>
      <c r="D24504" t="s">
        <v>1</v>
      </c>
      <c r="E24504" t="s">
        <v>1</v>
      </c>
      <c r="F24504" t="s">
        <v>0</v>
      </c>
      <c r="G24504" t="str">
        <f>"2018-10-06 11:49:13"</f>
        <v>2018-10-06 11:49:13</v>
      </c>
    </row>
    <row r="24505" spans="1:7" x14ac:dyDescent="0.2">
      <c r="A24505" t="s">
        <v>1</v>
      </c>
      <c r="B24505" t="str">
        <f>"13192479205"</f>
        <v>13192479205</v>
      </c>
      <c r="C24505" t="s">
        <v>1</v>
      </c>
      <c r="D24505" t="s">
        <v>1</v>
      </c>
      <c r="E24505" t="s">
        <v>1</v>
      </c>
      <c r="F24505" t="s">
        <v>0</v>
      </c>
      <c r="G24505" t="str">
        <f>"2018-10-06 11:46:17"</f>
        <v>2018-10-06 11:46:17</v>
      </c>
    </row>
    <row r="24506" spans="1:7" x14ac:dyDescent="0.2">
      <c r="A24506" t="s">
        <v>1273</v>
      </c>
      <c r="B24506" t="str">
        <f>"15319219318"</f>
        <v>15319219318</v>
      </c>
      <c r="C24506" t="str">
        <f>"610302198706102519"</f>
        <v>610302198706102519</v>
      </c>
      <c r="D24506" t="s">
        <v>1</v>
      </c>
      <c r="E24506" t="s">
        <v>1</v>
      </c>
      <c r="F24506" t="s">
        <v>0</v>
      </c>
      <c r="G24506" t="str">
        <f>"2018-10-19 17:41:56"</f>
        <v>2018-10-19 17:41:56</v>
      </c>
    </row>
    <row r="24507" spans="1:7" x14ac:dyDescent="0.2">
      <c r="A24507" t="s">
        <v>22689</v>
      </c>
      <c r="B24507" t="str">
        <f>"18671345762"</f>
        <v>18671345762</v>
      </c>
      <c r="C24507" t="str">
        <f>"421123199003220026"</f>
        <v>421123199003220026</v>
      </c>
      <c r="D24507" t="s">
        <v>1</v>
      </c>
      <c r="E24507" t="s">
        <v>1</v>
      </c>
      <c r="F24507" t="s">
        <v>0</v>
      </c>
      <c r="G24507" t="str">
        <f>"2018-10-06 11:46:40"</f>
        <v>2018-10-06 11:46:40</v>
      </c>
    </row>
    <row r="24508" spans="1:7" x14ac:dyDescent="0.2">
      <c r="A24508" t="s">
        <v>1</v>
      </c>
      <c r="B24508" t="str">
        <f>"18381018821"</f>
        <v>18381018821</v>
      </c>
      <c r="C24508" t="s">
        <v>1</v>
      </c>
      <c r="D24508" t="s">
        <v>1</v>
      </c>
      <c r="E24508" t="s">
        <v>1</v>
      </c>
      <c r="F24508" t="s">
        <v>0</v>
      </c>
      <c r="G24508" t="str">
        <f>"2018-10-06 11:47:48"</f>
        <v>2018-10-06 11:47:48</v>
      </c>
    </row>
    <row r="24509" spans="1:7" x14ac:dyDescent="0.2">
      <c r="A24509" t="s">
        <v>22690</v>
      </c>
      <c r="B24509" t="str">
        <f>"17605932599"</f>
        <v>17605932599</v>
      </c>
      <c r="C24509" t="str">
        <f>"352203198401011017"</f>
        <v>352203198401011017</v>
      </c>
      <c r="D24509" t="s">
        <v>1</v>
      </c>
      <c r="E24509" t="s">
        <v>1</v>
      </c>
      <c r="F24509" t="s">
        <v>0</v>
      </c>
      <c r="G24509" t="str">
        <f>"2018-10-11 23:54:20"</f>
        <v>2018-10-11 23:54:20</v>
      </c>
    </row>
    <row r="24510" spans="1:7" x14ac:dyDescent="0.2">
      <c r="A24510" t="s">
        <v>182</v>
      </c>
      <c r="B24510" t="str">
        <f>"15872611819"</f>
        <v>15872611819</v>
      </c>
      <c r="C24510" t="str">
        <f>"420502198109020035"</f>
        <v>420502198109020035</v>
      </c>
      <c r="D24510" t="s">
        <v>22691</v>
      </c>
      <c r="E24510" t="s">
        <v>22692</v>
      </c>
      <c r="F24510" t="s">
        <v>0</v>
      </c>
      <c r="G24510" t="str">
        <f>"2018-10-06 11:46:42"</f>
        <v>2018-10-06 11:46:42</v>
      </c>
    </row>
    <row r="24511" spans="1:7" x14ac:dyDescent="0.2">
      <c r="A24511" t="s">
        <v>22693</v>
      </c>
      <c r="B24511" t="str">
        <f>"17772080119"</f>
        <v>17772080119</v>
      </c>
      <c r="C24511" t="str">
        <f>"450421198702174034"</f>
        <v>450421198702174034</v>
      </c>
      <c r="D24511" t="s">
        <v>1</v>
      </c>
      <c r="E24511" t="s">
        <v>1</v>
      </c>
      <c r="F24511" t="s">
        <v>0</v>
      </c>
      <c r="G24511" t="str">
        <f>"2018-10-06 11:48:55"</f>
        <v>2018-10-06 11:48:55</v>
      </c>
    </row>
    <row r="24512" spans="1:7" x14ac:dyDescent="0.2">
      <c r="A24512" t="s">
        <v>684</v>
      </c>
      <c r="B24512" t="str">
        <f>"17723055180"</f>
        <v>17723055180</v>
      </c>
      <c r="C24512" t="str">
        <f>"500384198612102613"</f>
        <v>500384198612102613</v>
      </c>
      <c r="D24512" t="s">
        <v>1</v>
      </c>
      <c r="E24512" t="s">
        <v>1</v>
      </c>
      <c r="F24512" t="s">
        <v>0</v>
      </c>
      <c r="G24512" t="str">
        <f>"2018-10-06 11:45:56"</f>
        <v>2018-10-06 11:45:56</v>
      </c>
    </row>
    <row r="24513" spans="1:7" x14ac:dyDescent="0.2">
      <c r="A24513" t="s">
        <v>22694</v>
      </c>
      <c r="B24513" t="str">
        <f>"13720455692"</f>
        <v>13720455692</v>
      </c>
      <c r="C24513" t="str">
        <f>"610326199103200254"</f>
        <v>610326199103200254</v>
      </c>
      <c r="D24513" t="s">
        <v>1</v>
      </c>
      <c r="E24513" t="s">
        <v>1</v>
      </c>
      <c r="F24513" t="s">
        <v>0</v>
      </c>
      <c r="G24513" t="str">
        <f>"2018-10-06 11:45:49"</f>
        <v>2018-10-06 11:45:49</v>
      </c>
    </row>
    <row r="24514" spans="1:7" x14ac:dyDescent="0.2">
      <c r="A24514" t="s">
        <v>1734</v>
      </c>
      <c r="B24514" t="str">
        <f>"18380552391"</f>
        <v>18380552391</v>
      </c>
      <c r="C24514" t="str">
        <f>"51078119960825631X"</f>
        <v>51078119960825631X</v>
      </c>
      <c r="D24514" t="s">
        <v>22695</v>
      </c>
      <c r="E24514" t="s">
        <v>22696</v>
      </c>
      <c r="F24514" t="s">
        <v>0</v>
      </c>
      <c r="G24514" t="str">
        <f>"2018-10-06 17:30:02"</f>
        <v>2018-10-06 17:30:02</v>
      </c>
    </row>
    <row r="24515" spans="1:7" x14ac:dyDescent="0.2">
      <c r="A24515" t="s">
        <v>1</v>
      </c>
      <c r="B24515" t="str">
        <f>"13694369982"</f>
        <v>13694369982</v>
      </c>
      <c r="C24515" t="s">
        <v>1</v>
      </c>
      <c r="D24515" t="s">
        <v>1</v>
      </c>
      <c r="E24515" t="s">
        <v>1</v>
      </c>
      <c r="F24515" t="s">
        <v>0</v>
      </c>
      <c r="G24515" t="str">
        <f>"2018-10-06 11:44:36"</f>
        <v>2018-10-06 11:44:36</v>
      </c>
    </row>
    <row r="24516" spans="1:7" x14ac:dyDescent="0.2">
      <c r="A24516" t="s">
        <v>1</v>
      </c>
      <c r="B24516" t="str">
        <f>"18235190258"</f>
        <v>18235190258</v>
      </c>
      <c r="C24516" t="s">
        <v>1</v>
      </c>
      <c r="D24516" t="s">
        <v>1</v>
      </c>
      <c r="E24516" t="s">
        <v>1</v>
      </c>
      <c r="F24516" t="s">
        <v>0</v>
      </c>
      <c r="G24516" t="str">
        <f>"2018-10-06 11:44:35"</f>
        <v>2018-10-06 11:44:35</v>
      </c>
    </row>
    <row r="24517" spans="1:7" x14ac:dyDescent="0.2">
      <c r="A24517" t="s">
        <v>1</v>
      </c>
      <c r="B24517" t="str">
        <f>"18220338199"</f>
        <v>18220338199</v>
      </c>
      <c r="C24517" t="s">
        <v>1</v>
      </c>
      <c r="D24517" t="s">
        <v>1</v>
      </c>
      <c r="E24517" t="s">
        <v>1</v>
      </c>
      <c r="F24517" t="s">
        <v>0</v>
      </c>
      <c r="G24517" t="str">
        <f>"2018-10-06 11:44:02"</f>
        <v>2018-10-06 11:44:02</v>
      </c>
    </row>
    <row r="24518" spans="1:7" x14ac:dyDescent="0.2">
      <c r="A24518" t="s">
        <v>22697</v>
      </c>
      <c r="B24518" t="str">
        <f>"15724736544"</f>
        <v>15724736544</v>
      </c>
      <c r="C24518" t="str">
        <f>"220181199306076012"</f>
        <v>220181199306076012</v>
      </c>
      <c r="D24518" t="s">
        <v>1</v>
      </c>
      <c r="E24518" t="s">
        <v>1</v>
      </c>
      <c r="F24518" t="s">
        <v>0</v>
      </c>
      <c r="G24518" t="str">
        <f>"2018-10-06 11:44:51"</f>
        <v>2018-10-06 11:44:51</v>
      </c>
    </row>
    <row r="24519" spans="1:7" x14ac:dyDescent="0.2">
      <c r="A24519" t="s">
        <v>1</v>
      </c>
      <c r="B24519" t="str">
        <f>"13308834081"</f>
        <v>13308834081</v>
      </c>
      <c r="C24519" t="s">
        <v>1</v>
      </c>
      <c r="D24519" t="s">
        <v>1</v>
      </c>
      <c r="E24519" t="s">
        <v>1</v>
      </c>
      <c r="F24519" t="s">
        <v>0</v>
      </c>
      <c r="G24519" t="str">
        <f>"2018-10-06 11:43:19"</f>
        <v>2018-10-06 11:43:19</v>
      </c>
    </row>
    <row r="24520" spans="1:7" x14ac:dyDescent="0.2">
      <c r="A24520" t="s">
        <v>22698</v>
      </c>
      <c r="B24520" t="str">
        <f>"13592569523"</f>
        <v>13592569523</v>
      </c>
      <c r="C24520" t="str">
        <f>"220284198304150012"</f>
        <v>220284198304150012</v>
      </c>
      <c r="D24520" t="s">
        <v>1</v>
      </c>
      <c r="E24520" t="s">
        <v>1</v>
      </c>
      <c r="F24520" t="s">
        <v>0</v>
      </c>
      <c r="G24520" t="str">
        <f>"2018-10-06 11:45:59"</f>
        <v>2018-10-06 11:45:59</v>
      </c>
    </row>
    <row r="24521" spans="1:7" x14ac:dyDescent="0.2">
      <c r="A24521" t="s">
        <v>22699</v>
      </c>
      <c r="B24521" t="str">
        <f>"18314831060"</f>
        <v>18314831060</v>
      </c>
      <c r="C24521" t="str">
        <f>"32102319780930081X"</f>
        <v>32102319780930081X</v>
      </c>
      <c r="D24521" t="s">
        <v>1</v>
      </c>
      <c r="E24521" t="s">
        <v>1</v>
      </c>
      <c r="F24521" t="s">
        <v>0</v>
      </c>
      <c r="G24521" t="str">
        <f>"2018-10-06 11:43:03"</f>
        <v>2018-10-06 11:43:03</v>
      </c>
    </row>
    <row r="24522" spans="1:7" x14ac:dyDescent="0.2">
      <c r="A24522" t="s">
        <v>1</v>
      </c>
      <c r="B24522" t="str">
        <f>"13776356610"</f>
        <v>13776356610</v>
      </c>
      <c r="C24522" t="s">
        <v>1</v>
      </c>
      <c r="D24522" t="s">
        <v>1</v>
      </c>
      <c r="E24522" t="s">
        <v>1</v>
      </c>
      <c r="F24522" t="s">
        <v>0</v>
      </c>
      <c r="G24522" t="str">
        <f>"2018-10-06 12:45:05"</f>
        <v>2018-10-06 12:45:05</v>
      </c>
    </row>
    <row r="24523" spans="1:7" x14ac:dyDescent="0.2">
      <c r="A24523" t="s">
        <v>1195</v>
      </c>
      <c r="B24523" t="str">
        <f>"18664139158"</f>
        <v>18664139158</v>
      </c>
      <c r="C24523" t="str">
        <f>"430422199111247112"</f>
        <v>430422199111247112</v>
      </c>
      <c r="D24523" t="s">
        <v>22700</v>
      </c>
      <c r="E24523" t="s">
        <v>22701</v>
      </c>
      <c r="F24523" t="s">
        <v>0</v>
      </c>
      <c r="G24523" t="str">
        <f>"2018-10-06 11:42:41"</f>
        <v>2018-10-06 11:42:41</v>
      </c>
    </row>
    <row r="24524" spans="1:7" x14ac:dyDescent="0.2">
      <c r="A24524" t="s">
        <v>1</v>
      </c>
      <c r="B24524" t="str">
        <f>"13950497080"</f>
        <v>13950497080</v>
      </c>
      <c r="C24524" t="s">
        <v>1</v>
      </c>
      <c r="D24524" t="s">
        <v>1</v>
      </c>
      <c r="E24524" t="s">
        <v>1</v>
      </c>
      <c r="F24524" t="s">
        <v>0</v>
      </c>
      <c r="G24524" t="str">
        <f>"2018-10-06 11:42:12"</f>
        <v>2018-10-06 11:42:12</v>
      </c>
    </row>
    <row r="24525" spans="1:7" x14ac:dyDescent="0.2">
      <c r="A24525" t="s">
        <v>22702</v>
      </c>
      <c r="B24525" t="str">
        <f>"18211918442"</f>
        <v>18211918442</v>
      </c>
      <c r="C24525" t="str">
        <f>"410327199502283519"</f>
        <v>410327199502283519</v>
      </c>
      <c r="D24525" t="s">
        <v>1</v>
      </c>
      <c r="E24525" t="s">
        <v>1</v>
      </c>
      <c r="F24525" t="s">
        <v>0</v>
      </c>
      <c r="G24525" t="str">
        <f>"2018-10-06 11:42:02"</f>
        <v>2018-10-06 11:42:02</v>
      </c>
    </row>
    <row r="24526" spans="1:7" x14ac:dyDescent="0.2">
      <c r="A24526" t="s">
        <v>1</v>
      </c>
      <c r="B24526" t="str">
        <f>"15861019548"</f>
        <v>15861019548</v>
      </c>
      <c r="C24526" t="s">
        <v>1</v>
      </c>
      <c r="D24526" t="s">
        <v>1</v>
      </c>
      <c r="E24526" t="s">
        <v>1</v>
      </c>
      <c r="F24526" t="s">
        <v>0</v>
      </c>
      <c r="G24526" t="str">
        <f>"2018-10-06 11:41:38"</f>
        <v>2018-10-06 11:41:38</v>
      </c>
    </row>
    <row r="24527" spans="1:7" x14ac:dyDescent="0.2">
      <c r="A24527" t="s">
        <v>1</v>
      </c>
      <c r="B24527" t="str">
        <f>"13529998681"</f>
        <v>13529998681</v>
      </c>
      <c r="C24527" t="s">
        <v>1</v>
      </c>
      <c r="D24527" t="s">
        <v>1</v>
      </c>
      <c r="E24527" t="s">
        <v>1</v>
      </c>
      <c r="F24527" t="s">
        <v>0</v>
      </c>
      <c r="G24527" t="str">
        <f>"2018-10-06 11:40:40"</f>
        <v>2018-10-06 11:40:40</v>
      </c>
    </row>
    <row r="24528" spans="1:7" x14ac:dyDescent="0.2">
      <c r="A24528" t="s">
        <v>22703</v>
      </c>
      <c r="B24528" t="str">
        <f>"15271101903"</f>
        <v>15271101903</v>
      </c>
      <c r="C24528" t="str">
        <f>"420624199107042925"</f>
        <v>420624199107042925</v>
      </c>
      <c r="D24528" t="s">
        <v>1</v>
      </c>
      <c r="E24528" t="s">
        <v>1</v>
      </c>
      <c r="F24528" t="s">
        <v>0</v>
      </c>
      <c r="G24528" t="str">
        <f>"2018-10-06 11:41:52"</f>
        <v>2018-10-06 11:41:52</v>
      </c>
    </row>
    <row r="24529" spans="1:7" x14ac:dyDescent="0.2">
      <c r="A24529" t="s">
        <v>22704</v>
      </c>
      <c r="B24529" t="str">
        <f>"15640472988"</f>
        <v>15640472988</v>
      </c>
      <c r="C24529" t="str">
        <f>"230206198709211437"</f>
        <v>230206198709211437</v>
      </c>
      <c r="D24529" t="s">
        <v>1</v>
      </c>
      <c r="E24529" t="s">
        <v>1</v>
      </c>
      <c r="F24529" t="s">
        <v>0</v>
      </c>
      <c r="G24529" t="str">
        <f>"2018-10-06 11:43:24"</f>
        <v>2018-10-06 11:43:24</v>
      </c>
    </row>
    <row r="24530" spans="1:7" x14ac:dyDescent="0.2">
      <c r="A24530" t="s">
        <v>1067</v>
      </c>
      <c r="B24530" t="str">
        <f>"18271254450"</f>
        <v>18271254450</v>
      </c>
      <c r="C24530" t="str">
        <f>"420624199312017614"</f>
        <v>420624199312017614</v>
      </c>
      <c r="D24530" t="s">
        <v>1</v>
      </c>
      <c r="E24530" t="s">
        <v>1</v>
      </c>
      <c r="F24530" t="s">
        <v>0</v>
      </c>
      <c r="G24530" t="str">
        <f>"2018-10-06 11:40:53"</f>
        <v>2018-10-06 11:40:53</v>
      </c>
    </row>
    <row r="24531" spans="1:7" x14ac:dyDescent="0.2">
      <c r="A24531" t="s">
        <v>1489</v>
      </c>
      <c r="B24531" t="str">
        <f>"13804414611"</f>
        <v>13804414611</v>
      </c>
      <c r="C24531" t="str">
        <f>"220203198903165111"</f>
        <v>220203198903165111</v>
      </c>
      <c r="D24531" t="s">
        <v>1</v>
      </c>
      <c r="E24531" t="s">
        <v>1</v>
      </c>
      <c r="F24531" t="s">
        <v>0</v>
      </c>
      <c r="G24531" t="str">
        <f>"2018-10-06 11:41:07"</f>
        <v>2018-10-06 11:41:07</v>
      </c>
    </row>
    <row r="24532" spans="1:7" x14ac:dyDescent="0.2">
      <c r="A24532" t="s">
        <v>208</v>
      </c>
      <c r="B24532" t="str">
        <f>"18285983826"</f>
        <v>18285983826</v>
      </c>
      <c r="C24532" t="str">
        <f>"522321199702206146"</f>
        <v>522321199702206146</v>
      </c>
      <c r="D24532" t="s">
        <v>1</v>
      </c>
      <c r="E24532" t="s">
        <v>1</v>
      </c>
      <c r="F24532" t="s">
        <v>0</v>
      </c>
      <c r="G24532" t="str">
        <f>"2018-10-11 20:28:22"</f>
        <v>2018-10-11 20:28:22</v>
      </c>
    </row>
    <row r="24533" spans="1:7" x14ac:dyDescent="0.2">
      <c r="A24533" t="s">
        <v>22705</v>
      </c>
      <c r="B24533" t="str">
        <f>"13034526173"</f>
        <v>13034526173</v>
      </c>
      <c r="C24533" t="str">
        <f>"372323199911161823"</f>
        <v>372323199911161823</v>
      </c>
      <c r="D24533" t="s">
        <v>1</v>
      </c>
      <c r="E24533" t="s">
        <v>1</v>
      </c>
      <c r="F24533" t="s">
        <v>0</v>
      </c>
      <c r="G24533" t="str">
        <f>"2018-10-21 21:42:41"</f>
        <v>2018-10-21 21:42:41</v>
      </c>
    </row>
    <row r="24534" spans="1:7" x14ac:dyDescent="0.2">
      <c r="A24534" t="s">
        <v>1</v>
      </c>
      <c r="B24534" t="str">
        <f>"15609789125"</f>
        <v>15609789125</v>
      </c>
      <c r="C24534" t="s">
        <v>1</v>
      </c>
      <c r="D24534" t="s">
        <v>1</v>
      </c>
      <c r="E24534" t="s">
        <v>1</v>
      </c>
      <c r="F24534" t="s">
        <v>0</v>
      </c>
      <c r="G24534" t="str">
        <f>"2018-10-06 11:39:25"</f>
        <v>2018-10-06 11:39:25</v>
      </c>
    </row>
    <row r="24535" spans="1:7" x14ac:dyDescent="0.2">
      <c r="A24535" t="s">
        <v>934</v>
      </c>
      <c r="B24535" t="str">
        <f>"18983800263"</f>
        <v>18983800263</v>
      </c>
      <c r="C24535" t="str">
        <f>"510215197707250423"</f>
        <v>510215197707250423</v>
      </c>
      <c r="D24535" t="s">
        <v>22706</v>
      </c>
      <c r="E24535" t="s">
        <v>22707</v>
      </c>
      <c r="F24535" t="s">
        <v>0</v>
      </c>
      <c r="G24535" t="str">
        <f>"2018-10-06 11:41:52"</f>
        <v>2018-10-06 11:41:52</v>
      </c>
    </row>
    <row r="24536" spans="1:7" x14ac:dyDescent="0.2">
      <c r="A24536" t="s">
        <v>1</v>
      </c>
      <c r="B24536" t="str">
        <f>"18354399998"</f>
        <v>18354399998</v>
      </c>
      <c r="C24536" t="s">
        <v>1</v>
      </c>
      <c r="D24536" t="s">
        <v>1</v>
      </c>
      <c r="E24536" t="s">
        <v>1</v>
      </c>
      <c r="F24536" t="s">
        <v>0</v>
      </c>
      <c r="G24536" t="str">
        <f>"2018-10-06 11:39:00"</f>
        <v>2018-10-06 11:39:00</v>
      </c>
    </row>
    <row r="24537" spans="1:7" x14ac:dyDescent="0.2">
      <c r="A24537" t="s">
        <v>1</v>
      </c>
      <c r="B24537" t="str">
        <f>"13215051355"</f>
        <v>13215051355</v>
      </c>
      <c r="C24537" t="s">
        <v>1</v>
      </c>
      <c r="D24537" t="s">
        <v>1</v>
      </c>
      <c r="E24537" t="s">
        <v>1</v>
      </c>
      <c r="F24537" t="s">
        <v>0</v>
      </c>
      <c r="G24537" t="str">
        <f>"2018-10-06 11:40:03"</f>
        <v>2018-10-06 11:40:03</v>
      </c>
    </row>
    <row r="24538" spans="1:7" x14ac:dyDescent="0.2">
      <c r="A24538" t="s">
        <v>377</v>
      </c>
      <c r="B24538" t="str">
        <f>"15638222280"</f>
        <v>15638222280</v>
      </c>
      <c r="C24538" t="str">
        <f>"410102198701040170"</f>
        <v>410102198701040170</v>
      </c>
      <c r="D24538" t="s">
        <v>22708</v>
      </c>
      <c r="E24538" t="s">
        <v>22709</v>
      </c>
      <c r="F24538" t="s">
        <v>0</v>
      </c>
      <c r="G24538" t="str">
        <f>"2018-10-06 11:39:41"</f>
        <v>2018-10-06 11:39:41</v>
      </c>
    </row>
    <row r="24539" spans="1:7" x14ac:dyDescent="0.2">
      <c r="A24539" t="s">
        <v>22710</v>
      </c>
      <c r="B24539" t="str">
        <f>"17670758707"</f>
        <v>17670758707</v>
      </c>
      <c r="C24539" t="str">
        <f>"430421199604178032"</f>
        <v>430421199604178032</v>
      </c>
      <c r="D24539" t="s">
        <v>1</v>
      </c>
      <c r="E24539" t="s">
        <v>1</v>
      </c>
      <c r="F24539" t="s">
        <v>0</v>
      </c>
      <c r="G24539" t="str">
        <f>"2018-10-06 11:39:27"</f>
        <v>2018-10-06 11:39:27</v>
      </c>
    </row>
    <row r="24540" spans="1:7" x14ac:dyDescent="0.2">
      <c r="A24540" t="s">
        <v>1</v>
      </c>
      <c r="B24540" t="str">
        <f>"13646029166"</f>
        <v>13646029166</v>
      </c>
      <c r="C24540" t="s">
        <v>1</v>
      </c>
      <c r="D24540" t="s">
        <v>1</v>
      </c>
      <c r="E24540" t="s">
        <v>1</v>
      </c>
      <c r="F24540" t="s">
        <v>0</v>
      </c>
      <c r="G24540" t="str">
        <f>"2018-10-06 11:42:35"</f>
        <v>2018-10-06 11:42:35</v>
      </c>
    </row>
    <row r="24541" spans="1:7" x14ac:dyDescent="0.2">
      <c r="A24541" t="s">
        <v>22711</v>
      </c>
      <c r="B24541" t="str">
        <f>"13527581518"</f>
        <v>13527581518</v>
      </c>
      <c r="C24541" t="str">
        <f>"50023119850603679X"</f>
        <v>50023119850603679X</v>
      </c>
      <c r="D24541" t="s">
        <v>1</v>
      </c>
      <c r="E24541" t="s">
        <v>1</v>
      </c>
      <c r="F24541" t="s">
        <v>0</v>
      </c>
      <c r="G24541" t="str">
        <f>"2018-10-06 11:39:47"</f>
        <v>2018-10-06 11:39:47</v>
      </c>
    </row>
    <row r="24542" spans="1:7" x14ac:dyDescent="0.2">
      <c r="A24542" t="s">
        <v>1059</v>
      </c>
      <c r="B24542" t="str">
        <f>"15183035577"</f>
        <v>15183035577</v>
      </c>
      <c r="C24542" t="str">
        <f>"510302197911241018"</f>
        <v>510302197911241018</v>
      </c>
      <c r="D24542" t="s">
        <v>1</v>
      </c>
      <c r="E24542" t="s">
        <v>1</v>
      </c>
      <c r="F24542" t="s">
        <v>0</v>
      </c>
      <c r="G24542" t="str">
        <f>"2018-10-06 11:41:00"</f>
        <v>2018-10-06 11:41:00</v>
      </c>
    </row>
    <row r="24543" spans="1:7" x14ac:dyDescent="0.2">
      <c r="A24543" t="s">
        <v>1758</v>
      </c>
      <c r="B24543" t="str">
        <f>"18130469518"</f>
        <v>18130469518</v>
      </c>
      <c r="C24543" t="str">
        <f>"340123199209227134"</f>
        <v>340123199209227134</v>
      </c>
      <c r="D24543" t="s">
        <v>22712</v>
      </c>
      <c r="E24543" t="s">
        <v>22713</v>
      </c>
      <c r="F24543" t="s">
        <v>0</v>
      </c>
      <c r="G24543" t="str">
        <f>"2018-10-25 10:45:06"</f>
        <v>2018-10-25 10:45:06</v>
      </c>
    </row>
    <row r="24544" spans="1:7" x14ac:dyDescent="0.2">
      <c r="A24544" t="s">
        <v>22714</v>
      </c>
      <c r="B24544" t="str">
        <f>"15685175500"</f>
        <v>15685175500</v>
      </c>
      <c r="C24544" t="str">
        <f>"500233199310280819"</f>
        <v>500233199310280819</v>
      </c>
      <c r="D24544" t="s">
        <v>1</v>
      </c>
      <c r="E24544" t="s">
        <v>1</v>
      </c>
      <c r="F24544" t="s">
        <v>0</v>
      </c>
      <c r="G24544" t="str">
        <f>"2018-10-06 11:52:26"</f>
        <v>2018-10-06 11:52:26</v>
      </c>
    </row>
    <row r="24545" spans="1:7" x14ac:dyDescent="0.2">
      <c r="A24545" t="s">
        <v>1</v>
      </c>
      <c r="B24545" t="str">
        <f>"18503179858"</f>
        <v>18503179858</v>
      </c>
      <c r="C24545" t="s">
        <v>1</v>
      </c>
      <c r="D24545" t="s">
        <v>1</v>
      </c>
      <c r="E24545" t="s">
        <v>1</v>
      </c>
      <c r="F24545" t="s">
        <v>0</v>
      </c>
      <c r="G24545" t="str">
        <f>"2018-10-06 11:36:30"</f>
        <v>2018-10-06 11:36:30</v>
      </c>
    </row>
    <row r="24546" spans="1:7" x14ac:dyDescent="0.2">
      <c r="A24546" t="s">
        <v>22715</v>
      </c>
      <c r="B24546" t="str">
        <f>"15991806612"</f>
        <v>15991806612</v>
      </c>
      <c r="C24546" t="str">
        <f>"610123199301047270"</f>
        <v>610123199301047270</v>
      </c>
      <c r="D24546" t="s">
        <v>1</v>
      </c>
      <c r="E24546" t="s">
        <v>1</v>
      </c>
      <c r="F24546" t="s">
        <v>0</v>
      </c>
      <c r="G24546" t="str">
        <f>"2018-10-06 11:35:51"</f>
        <v>2018-10-06 11:35:51</v>
      </c>
    </row>
    <row r="24547" spans="1:7" x14ac:dyDescent="0.2">
      <c r="A24547" t="s">
        <v>22716</v>
      </c>
      <c r="B24547" t="str">
        <f>"18384160411"</f>
        <v>18384160411</v>
      </c>
      <c r="C24547" t="str">
        <f>"513902199007253875"</f>
        <v>513902199007253875</v>
      </c>
      <c r="D24547" t="s">
        <v>1</v>
      </c>
      <c r="E24547" t="s">
        <v>1</v>
      </c>
      <c r="F24547" t="s">
        <v>0</v>
      </c>
      <c r="G24547" t="str">
        <f>"2018-10-06 11:52:08"</f>
        <v>2018-10-06 11:52:08</v>
      </c>
    </row>
    <row r="24548" spans="1:7" x14ac:dyDescent="0.2">
      <c r="A24548" t="s">
        <v>1</v>
      </c>
      <c r="B24548" t="str">
        <f>"18781204007"</f>
        <v>18781204007</v>
      </c>
      <c r="C24548" t="s">
        <v>1</v>
      </c>
      <c r="D24548" t="s">
        <v>1</v>
      </c>
      <c r="E24548" t="s">
        <v>1</v>
      </c>
      <c r="F24548" t="s">
        <v>0</v>
      </c>
      <c r="G24548" t="str">
        <f>"2018-10-06 11:35:43"</f>
        <v>2018-10-06 11:35:43</v>
      </c>
    </row>
    <row r="24549" spans="1:7" x14ac:dyDescent="0.2">
      <c r="A24549" t="s">
        <v>22717</v>
      </c>
      <c r="B24549" t="str">
        <f>"13607259678"</f>
        <v>13607259678</v>
      </c>
      <c r="C24549" t="str">
        <f>"421121198204250072"</f>
        <v>421121198204250072</v>
      </c>
      <c r="D24549" t="s">
        <v>1</v>
      </c>
      <c r="E24549" t="s">
        <v>1</v>
      </c>
      <c r="F24549" t="s">
        <v>0</v>
      </c>
      <c r="G24549" t="str">
        <f>"2018-10-19 15:43:04"</f>
        <v>2018-10-19 15:43:04</v>
      </c>
    </row>
    <row r="24550" spans="1:7" x14ac:dyDescent="0.2">
      <c r="A24550" t="s">
        <v>22718</v>
      </c>
      <c r="B24550" t="str">
        <f>"15863859293"</f>
        <v>15863859293</v>
      </c>
      <c r="C24550" t="str">
        <f>"530624199202050929"</f>
        <v>530624199202050929</v>
      </c>
      <c r="D24550" t="s">
        <v>1</v>
      </c>
      <c r="E24550" t="s">
        <v>1</v>
      </c>
      <c r="F24550" t="s">
        <v>0</v>
      </c>
      <c r="G24550" t="str">
        <f>"2018-10-06 11:35:09"</f>
        <v>2018-10-06 11:35:09</v>
      </c>
    </row>
    <row r="24551" spans="1:7" x14ac:dyDescent="0.2">
      <c r="A24551" t="s">
        <v>22719</v>
      </c>
      <c r="B24551" t="str">
        <f>"13704663938"</f>
        <v>13704663938</v>
      </c>
      <c r="C24551" t="str">
        <f>"23060319890425171X"</f>
        <v>23060319890425171X</v>
      </c>
      <c r="D24551" t="s">
        <v>1</v>
      </c>
      <c r="E24551" t="s">
        <v>1</v>
      </c>
      <c r="F24551" t="s">
        <v>0</v>
      </c>
      <c r="G24551" t="str">
        <f>"2018-10-06 11:37:19"</f>
        <v>2018-10-06 11:37:19</v>
      </c>
    </row>
    <row r="24552" spans="1:7" x14ac:dyDescent="0.2">
      <c r="A24552" t="s">
        <v>1</v>
      </c>
      <c r="B24552" t="str">
        <f>"18664512565"</f>
        <v>18664512565</v>
      </c>
      <c r="C24552" t="s">
        <v>1</v>
      </c>
      <c r="D24552" t="s">
        <v>1</v>
      </c>
      <c r="E24552" t="s">
        <v>1</v>
      </c>
      <c r="F24552" t="s">
        <v>0</v>
      </c>
      <c r="G24552" t="str">
        <f>"2018-10-06 11:36:29"</f>
        <v>2018-10-06 11:36:29</v>
      </c>
    </row>
    <row r="24553" spans="1:7" x14ac:dyDescent="0.2">
      <c r="A24553" t="s">
        <v>22720</v>
      </c>
      <c r="B24553" t="str">
        <f>"13695364905"</f>
        <v>13695364905</v>
      </c>
      <c r="C24553" t="str">
        <f>"370724198603154818"</f>
        <v>370724198603154818</v>
      </c>
      <c r="D24553" t="s">
        <v>22721</v>
      </c>
      <c r="E24553" t="s">
        <v>22722</v>
      </c>
      <c r="F24553" t="s">
        <v>0</v>
      </c>
      <c r="G24553" t="str">
        <f>"2018-10-06 11:36:15"</f>
        <v>2018-10-06 11:36:15</v>
      </c>
    </row>
    <row r="24554" spans="1:7" x14ac:dyDescent="0.2">
      <c r="A24554" t="s">
        <v>1</v>
      </c>
      <c r="B24554" t="str">
        <f>"13219639670"</f>
        <v>13219639670</v>
      </c>
      <c r="C24554" t="s">
        <v>1</v>
      </c>
      <c r="D24554" t="s">
        <v>1</v>
      </c>
      <c r="E24554" t="s">
        <v>1</v>
      </c>
      <c r="F24554" t="s">
        <v>0</v>
      </c>
      <c r="G24554" t="str">
        <f>"2018-10-06 11:36:39"</f>
        <v>2018-10-06 11:36:39</v>
      </c>
    </row>
    <row r="24555" spans="1:7" x14ac:dyDescent="0.2">
      <c r="A24555" t="s">
        <v>1026</v>
      </c>
      <c r="B24555" t="str">
        <f>"13848097664"</f>
        <v>13848097664</v>
      </c>
      <c r="C24555" t="str">
        <f>"150425198503182757"</f>
        <v>150425198503182757</v>
      </c>
      <c r="D24555" t="s">
        <v>1</v>
      </c>
      <c r="E24555" t="s">
        <v>1</v>
      </c>
      <c r="F24555" t="s">
        <v>0</v>
      </c>
      <c r="G24555" t="str">
        <f>"2018-10-13 11:13:54"</f>
        <v>2018-10-13 11:13:54</v>
      </c>
    </row>
    <row r="24556" spans="1:7" x14ac:dyDescent="0.2">
      <c r="A24556" t="s">
        <v>22723</v>
      </c>
      <c r="B24556" t="str">
        <f>"13757268364"</f>
        <v>13757268364</v>
      </c>
      <c r="C24556" t="str">
        <f>"330501198607258216"</f>
        <v>330501198607258216</v>
      </c>
      <c r="D24556" t="s">
        <v>22724</v>
      </c>
      <c r="E24556" t="s">
        <v>22725</v>
      </c>
      <c r="F24556" t="s">
        <v>0</v>
      </c>
      <c r="G24556" t="str">
        <f>"2018-10-06 11:36:58"</f>
        <v>2018-10-06 11:36:58</v>
      </c>
    </row>
    <row r="24557" spans="1:7" x14ac:dyDescent="0.2">
      <c r="A24557" t="s">
        <v>22726</v>
      </c>
      <c r="B24557" t="str">
        <f>"13756002014"</f>
        <v>13756002014</v>
      </c>
      <c r="C24557" t="str">
        <f>"220105198905050438"</f>
        <v>220105198905050438</v>
      </c>
      <c r="D24557" t="s">
        <v>1</v>
      </c>
      <c r="E24557" t="s">
        <v>1</v>
      </c>
      <c r="F24557" t="s">
        <v>0</v>
      </c>
      <c r="G24557" t="str">
        <f>"2018-10-06 11:38:51"</f>
        <v>2018-10-06 11:38:51</v>
      </c>
    </row>
    <row r="24558" spans="1:7" x14ac:dyDescent="0.2">
      <c r="A24558" t="s">
        <v>22727</v>
      </c>
      <c r="B24558" t="str">
        <f>"18562585581"</f>
        <v>18562585581</v>
      </c>
      <c r="C24558" t="str">
        <f>"342222197703201257"</f>
        <v>342222197703201257</v>
      </c>
      <c r="D24558" t="s">
        <v>1</v>
      </c>
      <c r="E24558" t="s">
        <v>1</v>
      </c>
      <c r="F24558" t="s">
        <v>0</v>
      </c>
      <c r="G24558" t="str">
        <f>"2018-10-06 11:35:24"</f>
        <v>2018-10-06 11:35:24</v>
      </c>
    </row>
    <row r="24559" spans="1:7" x14ac:dyDescent="0.2">
      <c r="A24559" t="s">
        <v>22728</v>
      </c>
      <c r="B24559" t="str">
        <f>"18404358176"</f>
        <v>18404358176</v>
      </c>
      <c r="C24559" t="str">
        <f>"220802199603265103"</f>
        <v>220802199603265103</v>
      </c>
      <c r="D24559" t="s">
        <v>1</v>
      </c>
      <c r="E24559" t="s">
        <v>1</v>
      </c>
      <c r="F24559" t="s">
        <v>0</v>
      </c>
      <c r="G24559" t="str">
        <f>"2018-10-06 11:35:59"</f>
        <v>2018-10-06 11:35:59</v>
      </c>
    </row>
    <row r="24560" spans="1:7" x14ac:dyDescent="0.2">
      <c r="A24560" t="s">
        <v>1</v>
      </c>
      <c r="B24560" t="str">
        <f>"17687227596"</f>
        <v>17687227596</v>
      </c>
      <c r="C24560" t="s">
        <v>1</v>
      </c>
      <c r="D24560" t="s">
        <v>1</v>
      </c>
      <c r="E24560" t="s">
        <v>1</v>
      </c>
      <c r="F24560" t="s">
        <v>0</v>
      </c>
      <c r="G24560" t="str">
        <f>"2018-10-06 11:33:33"</f>
        <v>2018-10-06 11:33:33</v>
      </c>
    </row>
    <row r="24561" spans="1:7" x14ac:dyDescent="0.2">
      <c r="A24561" t="s">
        <v>1</v>
      </c>
      <c r="B24561" t="str">
        <f>"13997668449"</f>
        <v>13997668449</v>
      </c>
      <c r="C24561" t="s">
        <v>1</v>
      </c>
      <c r="D24561" t="s">
        <v>1</v>
      </c>
      <c r="E24561" t="s">
        <v>1</v>
      </c>
      <c r="F24561" t="s">
        <v>0</v>
      </c>
      <c r="G24561" t="str">
        <f>"2018-10-06 11:33:01"</f>
        <v>2018-10-06 11:33:01</v>
      </c>
    </row>
    <row r="24562" spans="1:7" x14ac:dyDescent="0.2">
      <c r="A24562" t="s">
        <v>1807</v>
      </c>
      <c r="B24562" t="str">
        <f>"13070009977"</f>
        <v>13070009977</v>
      </c>
      <c r="C24562" t="str">
        <f>"500243199103061173"</f>
        <v>500243199103061173</v>
      </c>
      <c r="D24562" t="s">
        <v>1</v>
      </c>
      <c r="E24562" t="s">
        <v>1</v>
      </c>
      <c r="F24562" t="s">
        <v>0</v>
      </c>
      <c r="G24562" t="str">
        <f>"2018-10-09 11:21:08"</f>
        <v>2018-10-09 11:21:08</v>
      </c>
    </row>
    <row r="24563" spans="1:7" x14ac:dyDescent="0.2">
      <c r="A24563" t="s">
        <v>945</v>
      </c>
      <c r="B24563" t="str">
        <f>"18733402666"</f>
        <v>18733402666</v>
      </c>
      <c r="C24563" t="str">
        <f>"130323199210071036"</f>
        <v>130323199210071036</v>
      </c>
      <c r="D24563" t="s">
        <v>1</v>
      </c>
      <c r="E24563" t="s">
        <v>1</v>
      </c>
      <c r="F24563" t="s">
        <v>0</v>
      </c>
      <c r="G24563" t="str">
        <f>"2018-10-06 11:33:50"</f>
        <v>2018-10-06 11:33:50</v>
      </c>
    </row>
    <row r="24564" spans="1:7" x14ac:dyDescent="0.2">
      <c r="A24564" t="s">
        <v>1</v>
      </c>
      <c r="B24564" t="str">
        <f>"15152629450"</f>
        <v>15152629450</v>
      </c>
      <c r="C24564" t="s">
        <v>1</v>
      </c>
      <c r="D24564" t="s">
        <v>1</v>
      </c>
      <c r="E24564" t="s">
        <v>1</v>
      </c>
      <c r="F24564" t="s">
        <v>0</v>
      </c>
      <c r="G24564" t="str">
        <f>"2018-10-06 11:32:55"</f>
        <v>2018-10-06 11:32:55</v>
      </c>
    </row>
    <row r="24565" spans="1:7" x14ac:dyDescent="0.2">
      <c r="A24565" t="s">
        <v>309</v>
      </c>
      <c r="B24565" t="str">
        <f>"15699155620"</f>
        <v>15699155620</v>
      </c>
      <c r="C24565" t="str">
        <f>"650108199607291026"</f>
        <v>650108199607291026</v>
      </c>
      <c r="D24565" t="s">
        <v>22729</v>
      </c>
      <c r="E24565" t="s">
        <v>22730</v>
      </c>
      <c r="F24565" t="s">
        <v>0</v>
      </c>
      <c r="G24565" t="str">
        <f>"2018-10-06 11:43:01"</f>
        <v>2018-10-06 11:43:01</v>
      </c>
    </row>
    <row r="24566" spans="1:7" x14ac:dyDescent="0.2">
      <c r="A24566" t="s">
        <v>22731</v>
      </c>
      <c r="B24566" t="str">
        <f>"18270810604"</f>
        <v>18270810604</v>
      </c>
      <c r="C24566" t="str">
        <f>"441702199806041413"</f>
        <v>441702199806041413</v>
      </c>
      <c r="D24566" t="s">
        <v>1</v>
      </c>
      <c r="E24566" t="s">
        <v>1</v>
      </c>
      <c r="F24566" t="s">
        <v>0</v>
      </c>
      <c r="G24566" t="str">
        <f>"2018-10-06 11:33:28"</f>
        <v>2018-10-06 11:33:28</v>
      </c>
    </row>
    <row r="24567" spans="1:7" x14ac:dyDescent="0.2">
      <c r="A24567" t="s">
        <v>22732</v>
      </c>
      <c r="B24567" t="str">
        <f>"15182395522"</f>
        <v>15182395522</v>
      </c>
      <c r="C24567" t="str">
        <f>"510724199507134615"</f>
        <v>510724199507134615</v>
      </c>
      <c r="D24567" t="s">
        <v>1</v>
      </c>
      <c r="E24567" t="s">
        <v>1</v>
      </c>
      <c r="F24567" t="s">
        <v>0</v>
      </c>
      <c r="G24567" t="str">
        <f>"2018-10-06 11:40:28"</f>
        <v>2018-10-06 11:40:28</v>
      </c>
    </row>
    <row r="24568" spans="1:7" x14ac:dyDescent="0.2">
      <c r="A24568" t="s">
        <v>22733</v>
      </c>
      <c r="B24568" t="str">
        <f>"13850950233"</f>
        <v>13850950233</v>
      </c>
      <c r="C24568" t="str">
        <f>"350783198912220248"</f>
        <v>350783198912220248</v>
      </c>
      <c r="D24568" t="s">
        <v>1</v>
      </c>
      <c r="E24568" t="s">
        <v>1</v>
      </c>
      <c r="F24568" t="s">
        <v>0</v>
      </c>
      <c r="G24568" t="str">
        <f>"2018-10-06 11:39:07"</f>
        <v>2018-10-06 11:39:07</v>
      </c>
    </row>
    <row r="24569" spans="1:7" x14ac:dyDescent="0.2">
      <c r="A24569" t="s">
        <v>1355</v>
      </c>
      <c r="B24569" t="str">
        <f>"15991729869"</f>
        <v>15991729869</v>
      </c>
      <c r="C24569" t="str">
        <f>"61010419930526832X"</f>
        <v>61010419930526832X</v>
      </c>
      <c r="D24569" t="s">
        <v>1</v>
      </c>
      <c r="E24569" t="s">
        <v>1</v>
      </c>
      <c r="F24569" t="s">
        <v>0</v>
      </c>
      <c r="G24569" t="str">
        <f>"2018-10-06 11:46:42"</f>
        <v>2018-10-06 11:46:42</v>
      </c>
    </row>
    <row r="24570" spans="1:7" x14ac:dyDescent="0.2">
      <c r="A24570" t="s">
        <v>22734</v>
      </c>
      <c r="B24570" t="str">
        <f>"15243207978"</f>
        <v>15243207978</v>
      </c>
      <c r="C24570" t="str">
        <f>"220211196903093614"</f>
        <v>220211196903093614</v>
      </c>
      <c r="D24570" t="s">
        <v>1</v>
      </c>
      <c r="E24570" t="s">
        <v>1</v>
      </c>
      <c r="F24570" t="s">
        <v>0</v>
      </c>
      <c r="G24570" t="str">
        <f>"2018-10-06 11:59:11"</f>
        <v>2018-10-06 11:59:11</v>
      </c>
    </row>
    <row r="24571" spans="1:7" x14ac:dyDescent="0.2">
      <c r="A24571" t="s">
        <v>22735</v>
      </c>
      <c r="B24571" t="str">
        <f>"13624244751"</f>
        <v>13624244751</v>
      </c>
      <c r="C24571" t="str">
        <f>"21032319941205447X"</f>
        <v>21032319941205447X</v>
      </c>
      <c r="D24571" t="s">
        <v>1</v>
      </c>
      <c r="E24571" t="s">
        <v>1</v>
      </c>
      <c r="F24571" t="s">
        <v>0</v>
      </c>
      <c r="G24571" t="str">
        <f>"2018-10-06 11:37:26"</f>
        <v>2018-10-06 11:37:26</v>
      </c>
    </row>
    <row r="24572" spans="1:7" x14ac:dyDescent="0.2">
      <c r="A24572" t="s">
        <v>1</v>
      </c>
      <c r="B24572" t="str">
        <f>"18295181221"</f>
        <v>18295181221</v>
      </c>
      <c r="C24572" t="s">
        <v>1</v>
      </c>
      <c r="D24572" t="s">
        <v>1</v>
      </c>
      <c r="E24572" t="s">
        <v>1</v>
      </c>
      <c r="F24572" t="s">
        <v>0</v>
      </c>
      <c r="G24572" t="str">
        <f>"2018-10-06 11:34:43"</f>
        <v>2018-10-06 11:34:43</v>
      </c>
    </row>
    <row r="24573" spans="1:7" x14ac:dyDescent="0.2">
      <c r="A24573" t="s">
        <v>22736</v>
      </c>
      <c r="B24573" t="str">
        <f>"13828686444"</f>
        <v>13828686444</v>
      </c>
      <c r="C24573" t="str">
        <f>"440803197601012039"</f>
        <v>440803197601012039</v>
      </c>
      <c r="D24573" t="s">
        <v>22737</v>
      </c>
      <c r="E24573" t="s">
        <v>22738</v>
      </c>
      <c r="F24573" t="s">
        <v>0</v>
      </c>
      <c r="G24573" t="str">
        <f>"2018-10-06 11:33:47"</f>
        <v>2018-10-06 11:33:47</v>
      </c>
    </row>
    <row r="24574" spans="1:7" x14ac:dyDescent="0.2">
      <c r="A24574" t="s">
        <v>22739</v>
      </c>
      <c r="B24574" t="str">
        <f>"13998838401"</f>
        <v>13998838401</v>
      </c>
      <c r="C24574" t="str">
        <f>"210181199409105240"</f>
        <v>210181199409105240</v>
      </c>
      <c r="D24574" t="s">
        <v>1</v>
      </c>
      <c r="E24574" t="s">
        <v>1</v>
      </c>
      <c r="F24574" t="s">
        <v>0</v>
      </c>
      <c r="G24574" t="str">
        <f>"2018-10-06 11:33:42"</f>
        <v>2018-10-06 11:33:42</v>
      </c>
    </row>
    <row r="24575" spans="1:7" x14ac:dyDescent="0.2">
      <c r="A24575" t="s">
        <v>1</v>
      </c>
      <c r="B24575" t="str">
        <f>"15543247129"</f>
        <v>15543247129</v>
      </c>
      <c r="C24575" t="s">
        <v>1</v>
      </c>
      <c r="D24575" t="s">
        <v>1</v>
      </c>
      <c r="E24575" t="s">
        <v>1</v>
      </c>
      <c r="F24575" t="s">
        <v>0</v>
      </c>
      <c r="G24575" t="str">
        <f>"2018-10-06 11:30:58"</f>
        <v>2018-10-06 11:30:58</v>
      </c>
    </row>
    <row r="24576" spans="1:7" x14ac:dyDescent="0.2">
      <c r="A24576" t="s">
        <v>22740</v>
      </c>
      <c r="B24576" t="str">
        <f>"18754016757"</f>
        <v>18754016757</v>
      </c>
      <c r="C24576" t="str">
        <f>"372929199807210630"</f>
        <v>372929199807210630</v>
      </c>
      <c r="D24576" t="s">
        <v>22741</v>
      </c>
      <c r="E24576" t="s">
        <v>22742</v>
      </c>
      <c r="F24576" t="s">
        <v>0</v>
      </c>
      <c r="G24576" t="str">
        <f>"2018-10-06 11:57:18"</f>
        <v>2018-10-06 11:57:18</v>
      </c>
    </row>
    <row r="24577" spans="1:7" x14ac:dyDescent="0.2">
      <c r="A24577" t="s">
        <v>1</v>
      </c>
      <c r="B24577" t="str">
        <f>"17696117852"</f>
        <v>17696117852</v>
      </c>
      <c r="C24577" t="s">
        <v>1</v>
      </c>
      <c r="D24577" t="s">
        <v>1</v>
      </c>
      <c r="E24577" t="s">
        <v>1</v>
      </c>
      <c r="F24577" t="s">
        <v>0</v>
      </c>
      <c r="G24577" t="str">
        <f>"2018-10-06 11:30:12"</f>
        <v>2018-10-06 11:30:12</v>
      </c>
    </row>
    <row r="24578" spans="1:7" x14ac:dyDescent="0.2">
      <c r="A24578" t="s">
        <v>1</v>
      </c>
      <c r="B24578" t="str">
        <f>"18321210634"</f>
        <v>18321210634</v>
      </c>
      <c r="C24578" t="s">
        <v>1</v>
      </c>
      <c r="D24578" t="s">
        <v>1</v>
      </c>
      <c r="E24578" t="s">
        <v>1</v>
      </c>
      <c r="F24578" t="s">
        <v>0</v>
      </c>
      <c r="G24578" t="str">
        <f>"2018-10-06 11:30:12"</f>
        <v>2018-10-06 11:30:12</v>
      </c>
    </row>
    <row r="24579" spans="1:7" x14ac:dyDescent="0.2">
      <c r="A24579" t="s">
        <v>1784</v>
      </c>
      <c r="B24579" t="str">
        <f>"15874134423"</f>
        <v>15874134423</v>
      </c>
      <c r="C24579" t="str">
        <f>"511181198802104639"</f>
        <v>511181198802104639</v>
      </c>
      <c r="D24579" t="s">
        <v>1</v>
      </c>
      <c r="E24579" t="s">
        <v>1</v>
      </c>
      <c r="F24579" t="s">
        <v>0</v>
      </c>
      <c r="G24579" t="str">
        <f>"2018-10-06 11:29:43"</f>
        <v>2018-10-06 11:29:43</v>
      </c>
    </row>
    <row r="24580" spans="1:7" x14ac:dyDescent="0.2">
      <c r="A24580" t="s">
        <v>22743</v>
      </c>
      <c r="B24580" t="str">
        <f>"15728353269"</f>
        <v>15728353269</v>
      </c>
      <c r="C24580" t="str">
        <f>"410328198005235518"</f>
        <v>410328198005235518</v>
      </c>
      <c r="D24580" t="s">
        <v>1</v>
      </c>
      <c r="E24580" t="s">
        <v>1</v>
      </c>
      <c r="F24580" t="s">
        <v>0</v>
      </c>
      <c r="G24580" t="str">
        <f>"2018-10-06 11:30:09"</f>
        <v>2018-10-06 11:30:09</v>
      </c>
    </row>
    <row r="24581" spans="1:7" x14ac:dyDescent="0.2">
      <c r="A24581" t="s">
        <v>8345</v>
      </c>
      <c r="B24581" t="str">
        <f>"17711804457"</f>
        <v>17711804457</v>
      </c>
      <c r="C24581" t="str">
        <f>"640202199504131519"</f>
        <v>640202199504131519</v>
      </c>
      <c r="D24581" t="s">
        <v>1</v>
      </c>
      <c r="E24581" t="s">
        <v>1</v>
      </c>
      <c r="F24581" t="s">
        <v>0</v>
      </c>
      <c r="G24581" t="str">
        <f>"2018-10-06 11:28:22"</f>
        <v>2018-10-06 11:28:22</v>
      </c>
    </row>
    <row r="24582" spans="1:7" x14ac:dyDescent="0.2">
      <c r="A24582" t="s">
        <v>1</v>
      </c>
      <c r="B24582" t="str">
        <f>"15737868236"</f>
        <v>15737868236</v>
      </c>
      <c r="C24582" t="s">
        <v>1</v>
      </c>
      <c r="D24582" t="s">
        <v>1</v>
      </c>
      <c r="E24582" t="s">
        <v>1</v>
      </c>
      <c r="F24582" t="s">
        <v>0</v>
      </c>
      <c r="G24582" t="str">
        <f>"2018-10-06 11:28:13"</f>
        <v>2018-10-06 11:28:13</v>
      </c>
    </row>
    <row r="24583" spans="1:7" x14ac:dyDescent="0.2">
      <c r="A24583" t="s">
        <v>22744</v>
      </c>
      <c r="B24583" t="str">
        <f>"13030283235"</f>
        <v>13030283235</v>
      </c>
      <c r="C24583" t="str">
        <f>"440882197805150068"</f>
        <v>440882197805150068</v>
      </c>
      <c r="D24583" t="s">
        <v>1</v>
      </c>
      <c r="E24583" t="s">
        <v>1</v>
      </c>
      <c r="F24583" t="s">
        <v>0</v>
      </c>
      <c r="G24583" t="str">
        <f>"2018-10-06 11:29:40"</f>
        <v>2018-10-06 11:29:40</v>
      </c>
    </row>
    <row r="24584" spans="1:7" x14ac:dyDescent="0.2">
      <c r="A24584" t="s">
        <v>141</v>
      </c>
      <c r="B24584" t="str">
        <f>"13054240903"</f>
        <v>13054240903</v>
      </c>
      <c r="C24584" t="str">
        <f>"230206198709031129"</f>
        <v>230206198709031129</v>
      </c>
      <c r="D24584" t="s">
        <v>1</v>
      </c>
      <c r="E24584" t="s">
        <v>1</v>
      </c>
      <c r="F24584" t="s">
        <v>0</v>
      </c>
      <c r="G24584" t="str">
        <f>"2018-10-19 15:41:17"</f>
        <v>2018-10-19 15:41:17</v>
      </c>
    </row>
    <row r="24585" spans="1:7" x14ac:dyDescent="0.2">
      <c r="A24585" t="s">
        <v>1</v>
      </c>
      <c r="B24585" t="str">
        <f>"17614913786"</f>
        <v>17614913786</v>
      </c>
      <c r="C24585" t="s">
        <v>1</v>
      </c>
      <c r="D24585" t="s">
        <v>1</v>
      </c>
      <c r="E24585" t="s">
        <v>1</v>
      </c>
      <c r="F24585" t="s">
        <v>0</v>
      </c>
      <c r="G24585" t="str">
        <f>"2018-10-06 11:28:02"</f>
        <v>2018-10-06 11:28:02</v>
      </c>
    </row>
    <row r="24586" spans="1:7" x14ac:dyDescent="0.2">
      <c r="A24586" t="s">
        <v>22745</v>
      </c>
      <c r="B24586" t="str">
        <f>"15506928771"</f>
        <v>15506928771</v>
      </c>
      <c r="C24586" t="str">
        <f>"350802199011037034"</f>
        <v>350802199011037034</v>
      </c>
      <c r="D24586" t="s">
        <v>1</v>
      </c>
      <c r="E24586" t="s">
        <v>1</v>
      </c>
      <c r="F24586" t="s">
        <v>0</v>
      </c>
      <c r="G24586" t="str">
        <f>"2018-10-06 11:29:10"</f>
        <v>2018-10-06 11:29:10</v>
      </c>
    </row>
    <row r="24587" spans="1:7" x14ac:dyDescent="0.2">
      <c r="A24587" t="s">
        <v>1403</v>
      </c>
      <c r="B24587" t="str">
        <f>"18802088954"</f>
        <v>18802088954</v>
      </c>
      <c r="C24587" t="str">
        <f>"429005198801228764"</f>
        <v>429005198801228764</v>
      </c>
      <c r="D24587" t="s">
        <v>1</v>
      </c>
      <c r="E24587" t="s">
        <v>1</v>
      </c>
      <c r="F24587" t="s">
        <v>0</v>
      </c>
      <c r="G24587" t="str">
        <f>"2018-10-06 11:27:44"</f>
        <v>2018-10-06 11:27:44</v>
      </c>
    </row>
    <row r="24588" spans="1:7" x14ac:dyDescent="0.2">
      <c r="A24588" t="s">
        <v>22746</v>
      </c>
      <c r="B24588" t="str">
        <f>"13395205874"</f>
        <v>13395205874</v>
      </c>
      <c r="C24588" t="str">
        <f>"320830199303091219"</f>
        <v>320830199303091219</v>
      </c>
      <c r="D24588" t="s">
        <v>1</v>
      </c>
      <c r="E24588" t="s">
        <v>1</v>
      </c>
      <c r="F24588" t="s">
        <v>0</v>
      </c>
      <c r="G24588" t="str">
        <f>"2018-10-06 11:28:39"</f>
        <v>2018-10-06 11:28:39</v>
      </c>
    </row>
    <row r="24589" spans="1:7" x14ac:dyDescent="0.2">
      <c r="A24589" t="s">
        <v>1</v>
      </c>
      <c r="B24589" t="str">
        <f>"13769968887"</f>
        <v>13769968887</v>
      </c>
      <c r="C24589" t="s">
        <v>1</v>
      </c>
      <c r="D24589" t="s">
        <v>1</v>
      </c>
      <c r="E24589" t="s">
        <v>1</v>
      </c>
      <c r="F24589" t="s">
        <v>0</v>
      </c>
      <c r="G24589" t="str">
        <f>"2018-10-06 11:27:20"</f>
        <v>2018-10-06 11:27:20</v>
      </c>
    </row>
    <row r="24590" spans="1:7" x14ac:dyDescent="0.2">
      <c r="A24590" t="s">
        <v>22747</v>
      </c>
      <c r="B24590" t="str">
        <f>"17685817755"</f>
        <v>17685817755</v>
      </c>
      <c r="C24590" t="str">
        <f>"370284198904061219"</f>
        <v>370284198904061219</v>
      </c>
      <c r="D24590" t="s">
        <v>22748</v>
      </c>
      <c r="E24590" t="s">
        <v>22749</v>
      </c>
      <c r="F24590" t="s">
        <v>0</v>
      </c>
      <c r="G24590" t="str">
        <f>"2018-10-06 11:28:59"</f>
        <v>2018-10-06 11:28:59</v>
      </c>
    </row>
    <row r="24591" spans="1:7" x14ac:dyDescent="0.2">
      <c r="A24591" t="s">
        <v>22750</v>
      </c>
      <c r="B24591" t="str">
        <f>"15766382347"</f>
        <v>15766382347</v>
      </c>
      <c r="C24591" t="str">
        <f>"440883199501173522"</f>
        <v>440883199501173522</v>
      </c>
      <c r="D24591" t="s">
        <v>1</v>
      </c>
      <c r="E24591" t="s">
        <v>1</v>
      </c>
      <c r="F24591" t="s">
        <v>0</v>
      </c>
      <c r="G24591" t="str">
        <f>"2018-10-19 11:45:14"</f>
        <v>2018-10-19 11:45:14</v>
      </c>
    </row>
    <row r="24592" spans="1:7" x14ac:dyDescent="0.2">
      <c r="A24592" t="s">
        <v>22751</v>
      </c>
      <c r="B24592" t="str">
        <f>"13276653074"</f>
        <v>13276653074</v>
      </c>
      <c r="C24592" t="str">
        <f>"320103198703050262"</f>
        <v>320103198703050262</v>
      </c>
      <c r="D24592" t="s">
        <v>1</v>
      </c>
      <c r="E24592" t="s">
        <v>1</v>
      </c>
      <c r="F24592" t="s">
        <v>0</v>
      </c>
      <c r="G24592" t="str">
        <f>"2018-10-06 11:28:05"</f>
        <v>2018-10-06 11:28:05</v>
      </c>
    </row>
    <row r="24593" spans="1:7" x14ac:dyDescent="0.2">
      <c r="A24593" t="s">
        <v>59</v>
      </c>
      <c r="B24593" t="str">
        <f>"15357029585"</f>
        <v>15357029585</v>
      </c>
      <c r="C24593" t="str">
        <f>"210911198903161520"</f>
        <v>210911198903161520</v>
      </c>
      <c r="D24593" t="s">
        <v>1</v>
      </c>
      <c r="E24593" t="s">
        <v>1</v>
      </c>
      <c r="F24593" t="s">
        <v>0</v>
      </c>
      <c r="G24593" t="str">
        <f>"2018-10-06 11:28:00"</f>
        <v>2018-10-06 11:28:00</v>
      </c>
    </row>
    <row r="24594" spans="1:7" x14ac:dyDescent="0.2">
      <c r="A24594" t="s">
        <v>22752</v>
      </c>
      <c r="B24594" t="str">
        <f>"15282003252"</f>
        <v>15282003252</v>
      </c>
      <c r="C24594" t="str">
        <f>"510902199401166689"</f>
        <v>510902199401166689</v>
      </c>
      <c r="D24594" t="s">
        <v>1</v>
      </c>
      <c r="E24594" t="s">
        <v>1</v>
      </c>
      <c r="F24594" t="s">
        <v>0</v>
      </c>
      <c r="G24594" t="str">
        <f>"2018-10-06 11:26:36"</f>
        <v>2018-10-06 11:26:36</v>
      </c>
    </row>
    <row r="24595" spans="1:7" x14ac:dyDescent="0.2">
      <c r="A24595" t="s">
        <v>1</v>
      </c>
      <c r="B24595" t="str">
        <f>"15877136429"</f>
        <v>15877136429</v>
      </c>
      <c r="C24595" t="s">
        <v>1</v>
      </c>
      <c r="D24595" t="s">
        <v>1</v>
      </c>
      <c r="E24595" t="s">
        <v>1</v>
      </c>
      <c r="F24595" t="s">
        <v>0</v>
      </c>
      <c r="G24595" t="str">
        <f>"2018-10-06 11:26:31"</f>
        <v>2018-10-06 11:26:31</v>
      </c>
    </row>
    <row r="24596" spans="1:7" x14ac:dyDescent="0.2">
      <c r="A24596" t="s">
        <v>22753</v>
      </c>
      <c r="B24596" t="str">
        <f>"15354605666"</f>
        <v>15354605666</v>
      </c>
      <c r="C24596" t="str">
        <f>"22020319700115091X"</f>
        <v>22020319700115091X</v>
      </c>
      <c r="D24596" t="s">
        <v>1</v>
      </c>
      <c r="E24596" t="s">
        <v>1</v>
      </c>
      <c r="F24596" t="s">
        <v>0</v>
      </c>
      <c r="G24596" t="str">
        <f>"2018-10-06 11:28:25"</f>
        <v>2018-10-06 11:28:25</v>
      </c>
    </row>
    <row r="24597" spans="1:7" x14ac:dyDescent="0.2">
      <c r="A24597" t="s">
        <v>1</v>
      </c>
      <c r="B24597" t="str">
        <f>"15697488842"</f>
        <v>15697488842</v>
      </c>
      <c r="C24597" t="s">
        <v>1</v>
      </c>
      <c r="D24597" t="s">
        <v>1</v>
      </c>
      <c r="E24597" t="s">
        <v>1</v>
      </c>
      <c r="F24597" t="s">
        <v>0</v>
      </c>
      <c r="G24597" t="str">
        <f>"2018-10-06 11:26:18"</f>
        <v>2018-10-06 11:26:18</v>
      </c>
    </row>
    <row r="24598" spans="1:7" x14ac:dyDescent="0.2">
      <c r="A24598" t="s">
        <v>22754</v>
      </c>
      <c r="B24598" t="str">
        <f>"18616759258"</f>
        <v>18616759258</v>
      </c>
      <c r="C24598" t="str">
        <f>"310107198003013210"</f>
        <v>310107198003013210</v>
      </c>
      <c r="D24598" t="s">
        <v>1</v>
      </c>
      <c r="E24598" t="s">
        <v>1</v>
      </c>
      <c r="F24598" t="s">
        <v>0</v>
      </c>
      <c r="G24598" t="str">
        <f>"2018-10-06 11:30:29"</f>
        <v>2018-10-06 11:30:29</v>
      </c>
    </row>
    <row r="24599" spans="1:7" x14ac:dyDescent="0.2">
      <c r="A24599" t="s">
        <v>1</v>
      </c>
      <c r="B24599" t="str">
        <f>"13123302530"</f>
        <v>13123302530</v>
      </c>
      <c r="C24599" t="s">
        <v>1</v>
      </c>
      <c r="D24599" t="s">
        <v>1</v>
      </c>
      <c r="E24599" t="s">
        <v>1</v>
      </c>
      <c r="F24599" t="s">
        <v>0</v>
      </c>
      <c r="G24599" t="str">
        <f>"2018-10-06 11:25:58"</f>
        <v>2018-10-06 11:25:58</v>
      </c>
    </row>
    <row r="24600" spans="1:7" x14ac:dyDescent="0.2">
      <c r="A24600" t="s">
        <v>22755</v>
      </c>
      <c r="B24600" t="str">
        <f>"18684064194"</f>
        <v>18684064194</v>
      </c>
      <c r="C24600" t="str">
        <f>"51138119890717727X"</f>
        <v>51138119890717727X</v>
      </c>
      <c r="D24600" t="s">
        <v>1</v>
      </c>
      <c r="E24600" t="s">
        <v>1</v>
      </c>
      <c r="F24600" t="s">
        <v>0</v>
      </c>
      <c r="G24600" t="str">
        <f>"2018-10-06 11:25:26"</f>
        <v>2018-10-06 11:25:26</v>
      </c>
    </row>
    <row r="24601" spans="1:7" x14ac:dyDescent="0.2">
      <c r="A24601" t="s">
        <v>1</v>
      </c>
      <c r="B24601" t="str">
        <f>"18922746259"</f>
        <v>18922746259</v>
      </c>
      <c r="C24601" t="s">
        <v>1</v>
      </c>
      <c r="D24601" t="s">
        <v>1</v>
      </c>
      <c r="E24601" t="s">
        <v>1</v>
      </c>
      <c r="F24601" t="s">
        <v>0</v>
      </c>
      <c r="G24601" t="str">
        <f>"2018-10-06 11:27:52"</f>
        <v>2018-10-06 11:27:52</v>
      </c>
    </row>
    <row r="24602" spans="1:7" x14ac:dyDescent="0.2">
      <c r="A24602" t="s">
        <v>22756</v>
      </c>
      <c r="B24602" t="str">
        <f>"15113684351"</f>
        <v>15113684351</v>
      </c>
      <c r="C24602" t="str">
        <f>"441202198908162556"</f>
        <v>441202198908162556</v>
      </c>
      <c r="D24602" t="s">
        <v>22757</v>
      </c>
      <c r="E24602" t="s">
        <v>22758</v>
      </c>
      <c r="F24602" t="s">
        <v>0</v>
      </c>
      <c r="G24602" t="str">
        <f>"2018-10-06 11:27:07"</f>
        <v>2018-10-06 11:27:07</v>
      </c>
    </row>
    <row r="24603" spans="1:7" x14ac:dyDescent="0.2">
      <c r="A24603" t="s">
        <v>22759</v>
      </c>
      <c r="B24603" t="str">
        <f>"18253903137"</f>
        <v>18253903137</v>
      </c>
      <c r="C24603" t="str">
        <f>"371325198805280930"</f>
        <v>371325198805280930</v>
      </c>
      <c r="D24603" t="s">
        <v>1</v>
      </c>
      <c r="E24603" t="s">
        <v>1</v>
      </c>
      <c r="F24603" t="s">
        <v>0</v>
      </c>
      <c r="G24603" t="str">
        <f>"2018-10-06 11:26:15"</f>
        <v>2018-10-06 11:26:15</v>
      </c>
    </row>
    <row r="24604" spans="1:7" x14ac:dyDescent="0.2">
      <c r="A24604" t="s">
        <v>1</v>
      </c>
      <c r="B24604" t="str">
        <f>"18259554796"</f>
        <v>18259554796</v>
      </c>
      <c r="C24604" t="s">
        <v>1</v>
      </c>
      <c r="D24604" t="s">
        <v>1</v>
      </c>
      <c r="E24604" t="s">
        <v>1</v>
      </c>
      <c r="F24604" t="s">
        <v>0</v>
      </c>
      <c r="G24604" t="str">
        <f>"2018-10-06 11:25:09"</f>
        <v>2018-10-06 11:25:09</v>
      </c>
    </row>
    <row r="24605" spans="1:7" x14ac:dyDescent="0.2">
      <c r="A24605" t="s">
        <v>22760</v>
      </c>
      <c r="B24605" t="str">
        <f>"15507983336"</f>
        <v>15507983336</v>
      </c>
      <c r="C24605" t="str">
        <f>"360203197504043017"</f>
        <v>360203197504043017</v>
      </c>
      <c r="D24605" t="s">
        <v>22761</v>
      </c>
      <c r="E24605" t="s">
        <v>22762</v>
      </c>
      <c r="F24605" t="s">
        <v>0</v>
      </c>
      <c r="G24605" t="str">
        <f>"2018-10-13 18:44:40"</f>
        <v>2018-10-13 18:44:40</v>
      </c>
    </row>
    <row r="24606" spans="1:7" x14ac:dyDescent="0.2">
      <c r="A24606" t="s">
        <v>9489</v>
      </c>
      <c r="B24606" t="str">
        <f>"15141917875"</f>
        <v>15141917875</v>
      </c>
      <c r="C24606" t="str">
        <f>"210802198505190527"</f>
        <v>210802198505190527</v>
      </c>
      <c r="D24606" t="s">
        <v>22763</v>
      </c>
      <c r="E24606" t="s">
        <v>22764</v>
      </c>
      <c r="F24606" t="s">
        <v>0</v>
      </c>
      <c r="G24606" t="str">
        <f>"2018-10-06 11:25:23"</f>
        <v>2018-10-06 11:25:23</v>
      </c>
    </row>
    <row r="24607" spans="1:7" x14ac:dyDescent="0.2">
      <c r="A24607" t="s">
        <v>22765</v>
      </c>
      <c r="B24607" t="str">
        <f>"13405661631"</f>
        <v>13405661631</v>
      </c>
      <c r="C24607" t="str">
        <f>"411024199901293314"</f>
        <v>411024199901293314</v>
      </c>
      <c r="D24607" t="s">
        <v>1</v>
      </c>
      <c r="E24607" t="s">
        <v>1</v>
      </c>
      <c r="F24607" t="s">
        <v>0</v>
      </c>
      <c r="G24607" t="str">
        <f>"2018-10-06 11:31:52"</f>
        <v>2018-10-06 11:31:52</v>
      </c>
    </row>
    <row r="24608" spans="1:7" x14ac:dyDescent="0.2">
      <c r="A24608" t="s">
        <v>22766</v>
      </c>
      <c r="B24608" t="str">
        <f>"15681908797"</f>
        <v>15681908797</v>
      </c>
      <c r="C24608" t="str">
        <f>"51078119920502563X"</f>
        <v>51078119920502563X</v>
      </c>
      <c r="D24608" t="s">
        <v>1</v>
      </c>
      <c r="E24608" t="s">
        <v>1</v>
      </c>
      <c r="F24608" t="s">
        <v>0</v>
      </c>
      <c r="G24608" t="str">
        <f>"2018-10-06 12:58:16"</f>
        <v>2018-10-06 12:58:16</v>
      </c>
    </row>
    <row r="24609" spans="1:7" x14ac:dyDescent="0.2">
      <c r="A24609" t="s">
        <v>681</v>
      </c>
      <c r="B24609" t="str">
        <f>"13001467799"</f>
        <v>13001467799</v>
      </c>
      <c r="C24609" t="str">
        <f>"130429199705287318"</f>
        <v>130429199705287318</v>
      </c>
      <c r="D24609" t="s">
        <v>1</v>
      </c>
      <c r="E24609" t="s">
        <v>1</v>
      </c>
      <c r="F24609" t="s">
        <v>0</v>
      </c>
      <c r="G24609" t="str">
        <f>"2018-10-06 11:29:14"</f>
        <v>2018-10-06 11:29:14</v>
      </c>
    </row>
    <row r="24610" spans="1:7" x14ac:dyDescent="0.2">
      <c r="A24610" t="s">
        <v>1</v>
      </c>
      <c r="B24610" t="str">
        <f>"18642955271"</f>
        <v>18642955271</v>
      </c>
      <c r="C24610" t="s">
        <v>1</v>
      </c>
      <c r="D24610" t="s">
        <v>1</v>
      </c>
      <c r="E24610" t="s">
        <v>1</v>
      </c>
      <c r="F24610" t="s">
        <v>0</v>
      </c>
      <c r="G24610" t="str">
        <f>"2018-10-06 11:23:34"</f>
        <v>2018-10-06 11:23:34</v>
      </c>
    </row>
    <row r="24611" spans="1:7" x14ac:dyDescent="0.2">
      <c r="A24611" t="s">
        <v>1</v>
      </c>
      <c r="B24611" t="str">
        <f>"15957401053"</f>
        <v>15957401053</v>
      </c>
      <c r="C24611" t="s">
        <v>1</v>
      </c>
      <c r="D24611" t="s">
        <v>1</v>
      </c>
      <c r="E24611" t="s">
        <v>1</v>
      </c>
      <c r="F24611" t="s">
        <v>0</v>
      </c>
      <c r="G24611" t="str">
        <f>"2018-10-06 11:25:08"</f>
        <v>2018-10-06 11:25:08</v>
      </c>
    </row>
    <row r="24612" spans="1:7" x14ac:dyDescent="0.2">
      <c r="A24612" t="s">
        <v>1</v>
      </c>
      <c r="B24612" t="str">
        <f>"15067266484"</f>
        <v>15067266484</v>
      </c>
      <c r="C24612" t="s">
        <v>1</v>
      </c>
      <c r="D24612" t="s">
        <v>1</v>
      </c>
      <c r="E24612" t="s">
        <v>1</v>
      </c>
      <c r="F24612" t="s">
        <v>0</v>
      </c>
      <c r="G24612" t="str">
        <f>"2018-10-06 11:22:39"</f>
        <v>2018-10-06 11:22:39</v>
      </c>
    </row>
    <row r="24613" spans="1:7" x14ac:dyDescent="0.2">
      <c r="A24613" t="s">
        <v>100</v>
      </c>
      <c r="B24613" t="str">
        <f>"13085021157"</f>
        <v>13085021157</v>
      </c>
      <c r="C24613" t="str">
        <f>"342425199305050210"</f>
        <v>342425199305050210</v>
      </c>
      <c r="D24613" t="s">
        <v>1</v>
      </c>
      <c r="E24613" t="s">
        <v>1</v>
      </c>
      <c r="F24613" t="s">
        <v>0</v>
      </c>
      <c r="G24613" t="str">
        <f>"2018-10-12 14:01:39"</f>
        <v>2018-10-12 14:01:39</v>
      </c>
    </row>
    <row r="24614" spans="1:7" x14ac:dyDescent="0.2">
      <c r="A24614" t="s">
        <v>22767</v>
      </c>
      <c r="B24614" t="str">
        <f>"15113353588"</f>
        <v>15113353588</v>
      </c>
      <c r="C24614" t="str">
        <f>"512527197904238996"</f>
        <v>512527197904238996</v>
      </c>
      <c r="D24614" t="s">
        <v>1</v>
      </c>
      <c r="E24614" t="s">
        <v>1</v>
      </c>
      <c r="F24614" t="s">
        <v>0</v>
      </c>
      <c r="G24614" t="str">
        <f>"2018-10-06 11:24:24"</f>
        <v>2018-10-06 11:24:24</v>
      </c>
    </row>
    <row r="24615" spans="1:7" x14ac:dyDescent="0.2">
      <c r="A24615" t="s">
        <v>16522</v>
      </c>
      <c r="B24615" t="str">
        <f>"17603924571"</f>
        <v>17603924571</v>
      </c>
      <c r="C24615" t="str">
        <f>"410611198809227010"</f>
        <v>410611198809227010</v>
      </c>
      <c r="D24615" t="s">
        <v>22768</v>
      </c>
      <c r="E24615" t="s">
        <v>22769</v>
      </c>
      <c r="F24615" t="s">
        <v>0</v>
      </c>
      <c r="G24615" t="str">
        <f>"2018-10-06 11:23:59"</f>
        <v>2018-10-06 11:23:59</v>
      </c>
    </row>
    <row r="24616" spans="1:7" x14ac:dyDescent="0.2">
      <c r="A24616" t="s">
        <v>22770</v>
      </c>
      <c r="B24616" t="str">
        <f>"13829248784"</f>
        <v>13829248784</v>
      </c>
      <c r="C24616" t="str">
        <f>"452626199104084222"</f>
        <v>452626199104084222</v>
      </c>
      <c r="D24616" t="s">
        <v>1</v>
      </c>
      <c r="E24616" t="s">
        <v>1</v>
      </c>
      <c r="F24616" t="s">
        <v>0</v>
      </c>
      <c r="G24616" t="str">
        <f>"2018-10-06 11:26:12"</f>
        <v>2018-10-06 11:26:12</v>
      </c>
    </row>
    <row r="24617" spans="1:7" x14ac:dyDescent="0.2">
      <c r="A24617" t="s">
        <v>1</v>
      </c>
      <c r="B24617" t="str">
        <f>"13059902434"</f>
        <v>13059902434</v>
      </c>
      <c r="C24617" t="s">
        <v>1</v>
      </c>
      <c r="D24617" t="s">
        <v>1</v>
      </c>
      <c r="E24617" t="s">
        <v>1</v>
      </c>
      <c r="F24617" t="s">
        <v>0</v>
      </c>
      <c r="G24617" t="str">
        <f>"2018-10-06 11:21:55"</f>
        <v>2018-10-06 11:21:55</v>
      </c>
    </row>
    <row r="24618" spans="1:7" x14ac:dyDescent="0.2">
      <c r="A24618" t="s">
        <v>1</v>
      </c>
      <c r="B24618" t="str">
        <f>"13410457241"</f>
        <v>13410457241</v>
      </c>
      <c r="C24618" t="s">
        <v>1</v>
      </c>
      <c r="D24618" t="s">
        <v>1</v>
      </c>
      <c r="E24618" t="s">
        <v>1</v>
      </c>
      <c r="F24618" t="s">
        <v>0</v>
      </c>
      <c r="G24618" t="str">
        <f>"2018-10-06 11:21:54"</f>
        <v>2018-10-06 11:21:54</v>
      </c>
    </row>
    <row r="24619" spans="1:7" x14ac:dyDescent="0.2">
      <c r="A24619" t="s">
        <v>22771</v>
      </c>
      <c r="B24619" t="str">
        <f>"13003053277"</f>
        <v>13003053277</v>
      </c>
      <c r="C24619" t="str">
        <f>"342123197804031358"</f>
        <v>342123197804031358</v>
      </c>
      <c r="D24619" t="s">
        <v>22772</v>
      </c>
      <c r="E24619" t="s">
        <v>22772</v>
      </c>
      <c r="F24619" t="s">
        <v>0</v>
      </c>
      <c r="G24619" t="str">
        <f>"2018-10-06 11:23:06"</f>
        <v>2018-10-06 11:23:06</v>
      </c>
    </row>
    <row r="24620" spans="1:7" x14ac:dyDescent="0.2">
      <c r="A24620" t="s">
        <v>22773</v>
      </c>
      <c r="B24620" t="str">
        <f>"15048772847"</f>
        <v>15048772847</v>
      </c>
      <c r="C24620" t="str">
        <f>"152723199409234813"</f>
        <v>152723199409234813</v>
      </c>
      <c r="D24620" t="s">
        <v>22774</v>
      </c>
      <c r="E24620" t="s">
        <v>22775</v>
      </c>
      <c r="F24620" t="s">
        <v>0</v>
      </c>
      <c r="G24620" t="str">
        <f>"2018-10-06 11:33:04"</f>
        <v>2018-10-06 11:33:04</v>
      </c>
    </row>
    <row r="24621" spans="1:7" x14ac:dyDescent="0.2">
      <c r="A24621" t="s">
        <v>1</v>
      </c>
      <c r="B24621" t="str">
        <f>"15287370990"</f>
        <v>15287370990</v>
      </c>
      <c r="C24621" t="s">
        <v>1</v>
      </c>
      <c r="D24621" t="s">
        <v>1</v>
      </c>
      <c r="E24621" t="s">
        <v>1</v>
      </c>
      <c r="F24621" t="s">
        <v>0</v>
      </c>
      <c r="G24621" t="str">
        <f>"2018-10-31 15:10:00"</f>
        <v>2018-10-31 15:10:00</v>
      </c>
    </row>
    <row r="24622" spans="1:7" x14ac:dyDescent="0.2">
      <c r="A24622" t="s">
        <v>22776</v>
      </c>
      <c r="B24622" t="str">
        <f>"15924772419"</f>
        <v>15924772419</v>
      </c>
      <c r="C24622" t="str">
        <f>"530325198910260930"</f>
        <v>530325198910260930</v>
      </c>
      <c r="D24622" t="s">
        <v>1</v>
      </c>
      <c r="E24622" t="s">
        <v>1</v>
      </c>
      <c r="F24622" t="s">
        <v>0</v>
      </c>
      <c r="G24622" t="str">
        <f>"2018-10-29 19:17:03"</f>
        <v>2018-10-29 19:17:03</v>
      </c>
    </row>
    <row r="24623" spans="1:7" x14ac:dyDescent="0.2">
      <c r="A24623" t="s">
        <v>22777</v>
      </c>
      <c r="B24623" t="str">
        <f>"13109091140"</f>
        <v>13109091140</v>
      </c>
      <c r="C24623" t="str">
        <f>"652923198103092271"</f>
        <v>652923198103092271</v>
      </c>
      <c r="D24623" t="s">
        <v>22778</v>
      </c>
      <c r="E24623" t="s">
        <v>22779</v>
      </c>
      <c r="F24623" t="s">
        <v>0</v>
      </c>
      <c r="G24623" t="str">
        <f>"2018-10-06 11:39:04"</f>
        <v>2018-10-06 11:39:04</v>
      </c>
    </row>
    <row r="24624" spans="1:7" x14ac:dyDescent="0.2">
      <c r="A24624" t="s">
        <v>22780</v>
      </c>
      <c r="B24624" t="str">
        <f>"15182685642"</f>
        <v>15182685642</v>
      </c>
      <c r="C24624" t="str">
        <f>"511681198511014577"</f>
        <v>511681198511014577</v>
      </c>
      <c r="D24624" t="s">
        <v>22781</v>
      </c>
      <c r="E24624" t="s">
        <v>22782</v>
      </c>
      <c r="F24624" t="s">
        <v>0</v>
      </c>
      <c r="G24624" t="str">
        <f>"2018-10-06 11:22:17"</f>
        <v>2018-10-06 11:22:17</v>
      </c>
    </row>
    <row r="24625" spans="1:7" x14ac:dyDescent="0.2">
      <c r="A24625" t="s">
        <v>22783</v>
      </c>
      <c r="B24625" t="str">
        <f>"18507085108"</f>
        <v>18507085108</v>
      </c>
      <c r="C24625" t="str">
        <f>"13032119851113091X"</f>
        <v>13032119851113091X</v>
      </c>
      <c r="D24625" t="s">
        <v>1</v>
      </c>
      <c r="E24625" t="s">
        <v>1</v>
      </c>
      <c r="F24625" t="s">
        <v>0</v>
      </c>
      <c r="G24625" t="str">
        <f>"2018-10-06 11:21:47"</f>
        <v>2018-10-06 11:21:47</v>
      </c>
    </row>
    <row r="24626" spans="1:7" x14ac:dyDescent="0.2">
      <c r="A24626" t="s">
        <v>1</v>
      </c>
      <c r="B24626" t="str">
        <f>"18370740580"</f>
        <v>18370740580</v>
      </c>
      <c r="C24626" t="s">
        <v>1</v>
      </c>
      <c r="D24626" t="s">
        <v>1</v>
      </c>
      <c r="E24626" t="s">
        <v>1</v>
      </c>
      <c r="F24626" t="s">
        <v>0</v>
      </c>
      <c r="G24626" t="str">
        <f>"2018-10-06 11:19:56"</f>
        <v>2018-10-06 11:19:56</v>
      </c>
    </row>
    <row r="24627" spans="1:7" x14ac:dyDescent="0.2">
      <c r="A24627" t="s">
        <v>1</v>
      </c>
      <c r="B24627" t="str">
        <f>"13555794182"</f>
        <v>13555794182</v>
      </c>
      <c r="C24627" t="s">
        <v>1</v>
      </c>
      <c r="D24627" t="s">
        <v>1</v>
      </c>
      <c r="E24627" t="s">
        <v>1</v>
      </c>
      <c r="F24627" t="s">
        <v>0</v>
      </c>
      <c r="G24627" t="str">
        <f>"2018-10-06 11:19:41"</f>
        <v>2018-10-06 11:19:41</v>
      </c>
    </row>
    <row r="24628" spans="1:7" x14ac:dyDescent="0.2">
      <c r="A24628" t="s">
        <v>1</v>
      </c>
      <c r="B24628" t="str">
        <f>"13724779856"</f>
        <v>13724779856</v>
      </c>
      <c r="C24628" t="s">
        <v>1</v>
      </c>
      <c r="D24628" t="s">
        <v>1</v>
      </c>
      <c r="E24628" t="s">
        <v>1</v>
      </c>
      <c r="F24628" t="s">
        <v>0</v>
      </c>
      <c r="G24628" t="str">
        <f>"2018-10-06 11:22:13"</f>
        <v>2018-10-06 11:22:13</v>
      </c>
    </row>
    <row r="24629" spans="1:7" x14ac:dyDescent="0.2">
      <c r="A24629" t="s">
        <v>22784</v>
      </c>
      <c r="B24629" t="str">
        <f>"17606769690"</f>
        <v>17606769690</v>
      </c>
      <c r="C24629" t="str">
        <f>"342622199109234313"</f>
        <v>342622199109234313</v>
      </c>
      <c r="D24629" t="s">
        <v>22785</v>
      </c>
      <c r="E24629" t="s">
        <v>22786</v>
      </c>
      <c r="F24629" t="s">
        <v>0</v>
      </c>
      <c r="G24629" t="str">
        <f>"2018-10-14 14:15:34"</f>
        <v>2018-10-14 14:15:34</v>
      </c>
    </row>
    <row r="24630" spans="1:7" x14ac:dyDescent="0.2">
      <c r="A24630" t="s">
        <v>22787</v>
      </c>
      <c r="B24630" t="str">
        <f>"15774839870"</f>
        <v>15774839870</v>
      </c>
      <c r="C24630" t="str">
        <f>"150426199004063236"</f>
        <v>150426199004063236</v>
      </c>
      <c r="D24630" t="s">
        <v>1</v>
      </c>
      <c r="E24630" t="s">
        <v>1</v>
      </c>
      <c r="F24630" t="s">
        <v>0</v>
      </c>
      <c r="G24630" t="str">
        <f>"2018-10-06 12:13:28"</f>
        <v>2018-10-06 12:13:28</v>
      </c>
    </row>
    <row r="24631" spans="1:7" x14ac:dyDescent="0.2">
      <c r="A24631" t="s">
        <v>22788</v>
      </c>
      <c r="B24631" t="str">
        <f>"15713709560"</f>
        <v>15713709560</v>
      </c>
      <c r="C24631" t="str">
        <f>"411421199912290058"</f>
        <v>411421199912290058</v>
      </c>
      <c r="D24631" t="s">
        <v>22789</v>
      </c>
      <c r="E24631" t="s">
        <v>22790</v>
      </c>
      <c r="F24631" t="s">
        <v>0</v>
      </c>
      <c r="G24631" t="str">
        <f>"2018-10-06 11:27:56"</f>
        <v>2018-10-06 11:27:56</v>
      </c>
    </row>
    <row r="24632" spans="1:7" x14ac:dyDescent="0.2">
      <c r="A24632" t="s">
        <v>1</v>
      </c>
      <c r="B24632" t="str">
        <f>"13095935079"</f>
        <v>13095935079</v>
      </c>
      <c r="C24632" t="s">
        <v>1</v>
      </c>
      <c r="D24632" t="s">
        <v>1</v>
      </c>
      <c r="E24632" t="s">
        <v>1</v>
      </c>
      <c r="F24632" t="s">
        <v>0</v>
      </c>
      <c r="G24632" t="str">
        <f>"2018-10-06 11:19:03"</f>
        <v>2018-10-06 11:19:03</v>
      </c>
    </row>
    <row r="24633" spans="1:7" x14ac:dyDescent="0.2">
      <c r="A24633" t="s">
        <v>22791</v>
      </c>
      <c r="B24633" t="str">
        <f>"18205413291"</f>
        <v>18205413291</v>
      </c>
      <c r="C24633" t="str">
        <f>"411403199703185718"</f>
        <v>411403199703185718</v>
      </c>
      <c r="D24633" t="s">
        <v>1</v>
      </c>
      <c r="E24633" t="s">
        <v>1</v>
      </c>
      <c r="F24633" t="s">
        <v>0</v>
      </c>
      <c r="G24633" t="str">
        <f>"2018-10-06 11:35:26"</f>
        <v>2018-10-06 11:35:26</v>
      </c>
    </row>
    <row r="24634" spans="1:7" x14ac:dyDescent="0.2">
      <c r="A24634" t="s">
        <v>1</v>
      </c>
      <c r="B24634" t="str">
        <f>"13941057333"</f>
        <v>13941057333</v>
      </c>
      <c r="C24634" t="s">
        <v>1</v>
      </c>
      <c r="D24634" t="s">
        <v>1</v>
      </c>
      <c r="E24634" t="s">
        <v>1</v>
      </c>
      <c r="F24634" t="s">
        <v>0</v>
      </c>
      <c r="G24634" t="str">
        <f>"2018-10-06 11:18:52"</f>
        <v>2018-10-06 11:18:52</v>
      </c>
    </row>
    <row r="24635" spans="1:7" x14ac:dyDescent="0.2">
      <c r="A24635" t="s">
        <v>22792</v>
      </c>
      <c r="B24635" t="str">
        <f>"18510904079"</f>
        <v>18510904079</v>
      </c>
      <c r="C24635" t="str">
        <f>"411326199609103359"</f>
        <v>411326199609103359</v>
      </c>
      <c r="D24635" t="s">
        <v>22793</v>
      </c>
      <c r="E24635" t="s">
        <v>22794</v>
      </c>
      <c r="F24635" t="s">
        <v>0</v>
      </c>
      <c r="G24635" t="str">
        <f>"2018-10-06 11:18:49"</f>
        <v>2018-10-06 11:18:49</v>
      </c>
    </row>
    <row r="24636" spans="1:7" x14ac:dyDescent="0.2">
      <c r="A24636" t="s">
        <v>22795</v>
      </c>
      <c r="B24636" t="str">
        <f>"13419237743"</f>
        <v>13419237743</v>
      </c>
      <c r="C24636" t="str">
        <f>"511524199808282275"</f>
        <v>511524199808282275</v>
      </c>
      <c r="D24636" t="s">
        <v>22796</v>
      </c>
      <c r="E24636" t="s">
        <v>22797</v>
      </c>
      <c r="F24636" t="s">
        <v>0</v>
      </c>
      <c r="G24636" t="str">
        <f>"2018-10-06 11:18:27"</f>
        <v>2018-10-06 11:18:27</v>
      </c>
    </row>
    <row r="24637" spans="1:7" x14ac:dyDescent="0.2">
      <c r="A24637" t="s">
        <v>1</v>
      </c>
      <c r="B24637" t="str">
        <f>"18457042281"</f>
        <v>18457042281</v>
      </c>
      <c r="C24637" t="s">
        <v>1</v>
      </c>
      <c r="D24637" t="s">
        <v>1</v>
      </c>
      <c r="E24637" t="s">
        <v>1</v>
      </c>
      <c r="F24637" t="s">
        <v>0</v>
      </c>
      <c r="G24637" t="str">
        <f>"2018-10-06 11:19:33"</f>
        <v>2018-10-06 11:19:33</v>
      </c>
    </row>
    <row r="24638" spans="1:7" x14ac:dyDescent="0.2">
      <c r="A24638" t="s">
        <v>22798</v>
      </c>
      <c r="B24638" t="str">
        <f>"15877081694"</f>
        <v>15877081694</v>
      </c>
      <c r="C24638" t="str">
        <f>"450924199312104138"</f>
        <v>450924199312104138</v>
      </c>
      <c r="D24638" t="s">
        <v>1</v>
      </c>
      <c r="E24638" t="s">
        <v>1</v>
      </c>
      <c r="F24638" t="s">
        <v>0</v>
      </c>
      <c r="G24638" t="str">
        <f>"2018-10-06 11:37:06"</f>
        <v>2018-10-06 11:37:06</v>
      </c>
    </row>
    <row r="24639" spans="1:7" x14ac:dyDescent="0.2">
      <c r="A24639" t="s">
        <v>22799</v>
      </c>
      <c r="B24639" t="str">
        <f>"13294139391"</f>
        <v>13294139391</v>
      </c>
      <c r="C24639" t="str">
        <f>"420923199110254398"</f>
        <v>420923199110254398</v>
      </c>
      <c r="D24639" t="s">
        <v>1</v>
      </c>
      <c r="E24639" t="s">
        <v>1</v>
      </c>
      <c r="F24639" t="s">
        <v>0</v>
      </c>
      <c r="G24639" t="str">
        <f>"2018-10-06 11:19:33"</f>
        <v>2018-10-06 11:19:33</v>
      </c>
    </row>
    <row r="24640" spans="1:7" x14ac:dyDescent="0.2">
      <c r="A24640" t="s">
        <v>1055</v>
      </c>
      <c r="B24640" t="str">
        <f>"18111101044"</f>
        <v>18111101044</v>
      </c>
      <c r="C24640" t="str">
        <f>"513902199004122925"</f>
        <v>513902199004122925</v>
      </c>
      <c r="D24640" t="s">
        <v>1</v>
      </c>
      <c r="E24640" t="s">
        <v>1</v>
      </c>
      <c r="F24640" t="s">
        <v>0</v>
      </c>
      <c r="G24640" t="str">
        <f>"2018-10-06 11:19:36"</f>
        <v>2018-10-06 11:19:36</v>
      </c>
    </row>
    <row r="24641" spans="1:7" x14ac:dyDescent="0.2">
      <c r="A24641" t="s">
        <v>1</v>
      </c>
      <c r="B24641" t="str">
        <f>"18691660073"</f>
        <v>18691660073</v>
      </c>
      <c r="C24641" t="s">
        <v>1</v>
      </c>
      <c r="D24641" t="s">
        <v>1</v>
      </c>
      <c r="E24641" t="s">
        <v>1</v>
      </c>
      <c r="F24641" t="s">
        <v>0</v>
      </c>
      <c r="G24641" t="str">
        <f>"2018-10-06 11:17:36"</f>
        <v>2018-10-06 11:17:36</v>
      </c>
    </row>
    <row r="24642" spans="1:7" x14ac:dyDescent="0.2">
      <c r="A24642" t="s">
        <v>22800</v>
      </c>
      <c r="B24642" t="str">
        <f>"13099918831"</f>
        <v>13099918831</v>
      </c>
      <c r="C24642" t="str">
        <f>"532528198707203115"</f>
        <v>532528198707203115</v>
      </c>
      <c r="D24642" t="s">
        <v>22801</v>
      </c>
      <c r="E24642" t="s">
        <v>22802</v>
      </c>
      <c r="F24642" t="s">
        <v>0</v>
      </c>
      <c r="G24642" t="str">
        <f>"2018-10-06 11:17:11"</f>
        <v>2018-10-06 11:17:11</v>
      </c>
    </row>
    <row r="24643" spans="1:7" x14ac:dyDescent="0.2">
      <c r="A24643" t="s">
        <v>232</v>
      </c>
      <c r="B24643" t="str">
        <f>"15812284271"</f>
        <v>15812284271</v>
      </c>
      <c r="C24643" t="str">
        <f>"532621197709250018"</f>
        <v>532621197709250018</v>
      </c>
      <c r="D24643" t="s">
        <v>1</v>
      </c>
      <c r="E24643" t="s">
        <v>1</v>
      </c>
      <c r="F24643" t="s">
        <v>0</v>
      </c>
      <c r="G24643" t="str">
        <f>"2018-10-06 11:18:52"</f>
        <v>2018-10-06 11:18:52</v>
      </c>
    </row>
    <row r="24644" spans="1:7" x14ac:dyDescent="0.2">
      <c r="A24644" t="s">
        <v>22803</v>
      </c>
      <c r="B24644" t="str">
        <f>"18741507603"</f>
        <v>18741507603</v>
      </c>
      <c r="C24644" t="str">
        <f>"210623197105035938"</f>
        <v>210623197105035938</v>
      </c>
      <c r="D24644" t="s">
        <v>1</v>
      </c>
      <c r="E24644" t="s">
        <v>1</v>
      </c>
      <c r="F24644" t="s">
        <v>0</v>
      </c>
      <c r="G24644" t="str">
        <f>"2018-10-06 11:21:34"</f>
        <v>2018-10-06 11:21:34</v>
      </c>
    </row>
    <row r="24645" spans="1:7" x14ac:dyDescent="0.2">
      <c r="A24645" t="s">
        <v>1</v>
      </c>
      <c r="B24645" t="str">
        <f>"13003632792"</f>
        <v>13003632792</v>
      </c>
      <c r="C24645" t="s">
        <v>1</v>
      </c>
      <c r="D24645" t="s">
        <v>1</v>
      </c>
      <c r="E24645" t="s">
        <v>1</v>
      </c>
      <c r="F24645" t="s">
        <v>0</v>
      </c>
      <c r="G24645" t="str">
        <f>"2018-10-06 11:16:50"</f>
        <v>2018-10-06 11:16:50</v>
      </c>
    </row>
    <row r="24646" spans="1:7" x14ac:dyDescent="0.2">
      <c r="A24646" t="s">
        <v>22804</v>
      </c>
      <c r="B24646" t="str">
        <f>"15148774225"</f>
        <v>15148774225</v>
      </c>
      <c r="C24646" t="str">
        <f>"152323199607120030"</f>
        <v>152323199607120030</v>
      </c>
      <c r="D24646" t="s">
        <v>1</v>
      </c>
      <c r="E24646" t="s">
        <v>1</v>
      </c>
      <c r="F24646" t="s">
        <v>0</v>
      </c>
      <c r="G24646" t="str">
        <f>"2018-10-06 11:17:59"</f>
        <v>2018-10-06 11:17:59</v>
      </c>
    </row>
    <row r="24647" spans="1:7" x14ac:dyDescent="0.2">
      <c r="A24647" t="s">
        <v>22805</v>
      </c>
      <c r="B24647" t="str">
        <f>"15005628622"</f>
        <v>15005628622</v>
      </c>
      <c r="C24647" t="str">
        <f>"340721198609285419"</f>
        <v>340721198609285419</v>
      </c>
      <c r="D24647" t="s">
        <v>22806</v>
      </c>
      <c r="E24647" t="s">
        <v>22807</v>
      </c>
      <c r="F24647" t="s">
        <v>0</v>
      </c>
      <c r="G24647" t="str">
        <f>"2018-10-06 11:17:31"</f>
        <v>2018-10-06 11:17:31</v>
      </c>
    </row>
    <row r="24648" spans="1:7" x14ac:dyDescent="0.2">
      <c r="A24648" t="s">
        <v>1</v>
      </c>
      <c r="B24648" t="str">
        <f>"18650537021"</f>
        <v>18650537021</v>
      </c>
      <c r="C24648" t="s">
        <v>1</v>
      </c>
      <c r="D24648" t="s">
        <v>1</v>
      </c>
      <c r="E24648" t="s">
        <v>1</v>
      </c>
      <c r="F24648" t="s">
        <v>0</v>
      </c>
      <c r="G24648" t="str">
        <f>"2018-10-06 11:16:21"</f>
        <v>2018-10-06 11:16:21</v>
      </c>
    </row>
    <row r="24649" spans="1:7" x14ac:dyDescent="0.2">
      <c r="A24649" t="s">
        <v>1</v>
      </c>
      <c r="B24649" t="str">
        <f>"15549066285"</f>
        <v>15549066285</v>
      </c>
      <c r="C24649" t="s">
        <v>1</v>
      </c>
      <c r="D24649" t="s">
        <v>1</v>
      </c>
      <c r="E24649" t="s">
        <v>1</v>
      </c>
      <c r="F24649" t="s">
        <v>0</v>
      </c>
      <c r="G24649" t="str">
        <f>"2018-10-06 11:16:08"</f>
        <v>2018-10-06 11:16:08</v>
      </c>
    </row>
    <row r="24650" spans="1:7" x14ac:dyDescent="0.2">
      <c r="A24650" t="s">
        <v>1</v>
      </c>
      <c r="B24650" t="str">
        <f>"15688560710"</f>
        <v>15688560710</v>
      </c>
      <c r="C24650" t="s">
        <v>1</v>
      </c>
      <c r="D24650" t="s">
        <v>1</v>
      </c>
      <c r="E24650" t="s">
        <v>1</v>
      </c>
      <c r="F24650" t="s">
        <v>0</v>
      </c>
      <c r="G24650" t="str">
        <f>"2018-10-06 11:15:44"</f>
        <v>2018-10-06 11:15:44</v>
      </c>
    </row>
    <row r="24651" spans="1:7" x14ac:dyDescent="0.2">
      <c r="A24651" t="s">
        <v>1</v>
      </c>
      <c r="B24651" t="str">
        <f>"18852267832"</f>
        <v>18852267832</v>
      </c>
      <c r="C24651" t="s">
        <v>1</v>
      </c>
      <c r="D24651" t="s">
        <v>1</v>
      </c>
      <c r="E24651" t="s">
        <v>1</v>
      </c>
      <c r="F24651" t="s">
        <v>0</v>
      </c>
      <c r="G24651" t="str">
        <f>"2018-10-06 11:15:13"</f>
        <v>2018-10-06 11:15:13</v>
      </c>
    </row>
    <row r="24652" spans="1:7" x14ac:dyDescent="0.2">
      <c r="A24652" t="s">
        <v>22808</v>
      </c>
      <c r="B24652" t="str">
        <f>"15548849558"</f>
        <v>15548849558</v>
      </c>
      <c r="C24652" t="str">
        <f>"152631199710100026"</f>
        <v>152631199710100026</v>
      </c>
      <c r="D24652" t="s">
        <v>1</v>
      </c>
      <c r="E24652" t="s">
        <v>1</v>
      </c>
      <c r="F24652" t="s">
        <v>0</v>
      </c>
      <c r="G24652" t="str">
        <f>"2018-10-06 11:15:51"</f>
        <v>2018-10-06 11:15:51</v>
      </c>
    </row>
    <row r="24653" spans="1:7" x14ac:dyDescent="0.2">
      <c r="A24653" t="s">
        <v>1</v>
      </c>
      <c r="B24653" t="str">
        <f>"18812190156"</f>
        <v>18812190156</v>
      </c>
      <c r="C24653" t="s">
        <v>1</v>
      </c>
      <c r="D24653" t="s">
        <v>1</v>
      </c>
      <c r="E24653" t="s">
        <v>1</v>
      </c>
      <c r="F24653" t="s">
        <v>0</v>
      </c>
      <c r="G24653" t="str">
        <f>"2018-10-06 11:15:07"</f>
        <v>2018-10-06 11:15:07</v>
      </c>
    </row>
    <row r="24654" spans="1:7" x14ac:dyDescent="0.2">
      <c r="A24654" t="s">
        <v>416</v>
      </c>
      <c r="B24654" t="str">
        <f>"18720717019"</f>
        <v>18720717019</v>
      </c>
      <c r="C24654" t="str">
        <f>"360781199501195117"</f>
        <v>360781199501195117</v>
      </c>
      <c r="D24654" t="s">
        <v>1</v>
      </c>
      <c r="E24654" t="s">
        <v>1</v>
      </c>
      <c r="F24654" t="s">
        <v>0</v>
      </c>
      <c r="G24654" t="str">
        <f>"2018-10-06 12:57:53"</f>
        <v>2018-10-06 12:57:53</v>
      </c>
    </row>
    <row r="24655" spans="1:7" x14ac:dyDescent="0.2">
      <c r="A24655" t="s">
        <v>203</v>
      </c>
      <c r="B24655" t="str">
        <f>"15202227655"</f>
        <v>15202227655</v>
      </c>
      <c r="C24655" t="str">
        <f>"120224199301041923"</f>
        <v>120224199301041923</v>
      </c>
      <c r="D24655" t="s">
        <v>22809</v>
      </c>
      <c r="E24655" t="s">
        <v>22810</v>
      </c>
      <c r="F24655" t="s">
        <v>0</v>
      </c>
      <c r="G24655" t="str">
        <f>"2018-10-06 11:18:11"</f>
        <v>2018-10-06 11:18:11</v>
      </c>
    </row>
    <row r="24656" spans="1:7" x14ac:dyDescent="0.2">
      <c r="A24656" t="s">
        <v>22811</v>
      </c>
      <c r="B24656" t="str">
        <f>"13799040890"</f>
        <v>13799040890</v>
      </c>
      <c r="C24656" t="str">
        <f>"350624199210041041"</f>
        <v>350624199210041041</v>
      </c>
      <c r="D24656" t="s">
        <v>22812</v>
      </c>
      <c r="E24656" t="s">
        <v>22813</v>
      </c>
      <c r="F24656" t="s">
        <v>0</v>
      </c>
      <c r="G24656" t="str">
        <f>"2018-10-19 19:34:13"</f>
        <v>2018-10-19 19:34:13</v>
      </c>
    </row>
    <row r="24657" spans="1:7" x14ac:dyDescent="0.2">
      <c r="A24657" t="s">
        <v>22814</v>
      </c>
      <c r="B24657" t="str">
        <f>"13421272546"</f>
        <v>13421272546</v>
      </c>
      <c r="C24657" t="str">
        <f>"441721199011042032"</f>
        <v>441721199011042032</v>
      </c>
      <c r="D24657" t="s">
        <v>1</v>
      </c>
      <c r="E24657" t="s">
        <v>1</v>
      </c>
      <c r="F24657" t="s">
        <v>0</v>
      </c>
      <c r="G24657" t="str">
        <f>"2018-10-06 11:15:24"</f>
        <v>2018-10-06 11:15:24</v>
      </c>
    </row>
    <row r="24658" spans="1:7" x14ac:dyDescent="0.2">
      <c r="A24658" t="s">
        <v>22815</v>
      </c>
      <c r="B24658" t="str">
        <f>"13738856662"</f>
        <v>13738856662</v>
      </c>
      <c r="C24658" t="str">
        <f>"330227198611092711"</f>
        <v>330227198611092711</v>
      </c>
      <c r="D24658" t="s">
        <v>1</v>
      </c>
      <c r="E24658" t="s">
        <v>1</v>
      </c>
      <c r="F24658" t="s">
        <v>0</v>
      </c>
      <c r="G24658" t="str">
        <f>"2018-10-06 11:15:22"</f>
        <v>2018-10-06 11:15:22</v>
      </c>
    </row>
    <row r="24659" spans="1:7" x14ac:dyDescent="0.2">
      <c r="A24659" t="s">
        <v>22816</v>
      </c>
      <c r="B24659" t="str">
        <f>"18162152591"</f>
        <v>18162152591</v>
      </c>
      <c r="C24659" t="str">
        <f>"360729199309030915"</f>
        <v>360729199309030915</v>
      </c>
      <c r="D24659" t="s">
        <v>1</v>
      </c>
      <c r="E24659" t="s">
        <v>1</v>
      </c>
      <c r="F24659" t="s">
        <v>0</v>
      </c>
      <c r="G24659" t="str">
        <f>"2018-10-06 11:15:32"</f>
        <v>2018-10-06 11:15:32</v>
      </c>
    </row>
    <row r="24660" spans="1:7" x14ac:dyDescent="0.2">
      <c r="A24660" t="s">
        <v>22817</v>
      </c>
      <c r="B24660" t="str">
        <f>"13704737895"</f>
        <v>13704737895</v>
      </c>
      <c r="C24660" t="str">
        <f>"150424198709050016"</f>
        <v>150424198709050016</v>
      </c>
      <c r="D24660" t="s">
        <v>22818</v>
      </c>
      <c r="E24660" t="s">
        <v>22819</v>
      </c>
      <c r="F24660" t="s">
        <v>0</v>
      </c>
      <c r="G24660" t="str">
        <f>"2018-10-11 11:18:44"</f>
        <v>2018-10-11 11:18:44</v>
      </c>
    </row>
    <row r="24661" spans="1:7" x14ac:dyDescent="0.2">
      <c r="A24661" t="s">
        <v>1</v>
      </c>
      <c r="B24661" t="str">
        <f>"17623646454"</f>
        <v>17623646454</v>
      </c>
      <c r="C24661" t="s">
        <v>1</v>
      </c>
      <c r="D24661" t="s">
        <v>1</v>
      </c>
      <c r="E24661" t="s">
        <v>1</v>
      </c>
      <c r="F24661" t="s">
        <v>0</v>
      </c>
      <c r="G24661" t="str">
        <f>"2018-10-06 11:12:48"</f>
        <v>2018-10-06 11:12:48</v>
      </c>
    </row>
    <row r="24662" spans="1:7" x14ac:dyDescent="0.2">
      <c r="A24662" t="s">
        <v>1778</v>
      </c>
      <c r="B24662" t="str">
        <f>"17564461601"</f>
        <v>17564461601</v>
      </c>
      <c r="C24662" t="str">
        <f>"371522199309115115"</f>
        <v>371522199309115115</v>
      </c>
      <c r="D24662" t="s">
        <v>1</v>
      </c>
      <c r="E24662" t="s">
        <v>1</v>
      </c>
      <c r="F24662" t="s">
        <v>0</v>
      </c>
      <c r="G24662" t="str">
        <f>"2018-10-06 11:14:05"</f>
        <v>2018-10-06 11:14:05</v>
      </c>
    </row>
    <row r="24663" spans="1:7" x14ac:dyDescent="0.2">
      <c r="A24663" t="s">
        <v>22820</v>
      </c>
      <c r="B24663" t="str">
        <f>"17768586498"</f>
        <v>17768586498</v>
      </c>
      <c r="C24663" t="str">
        <f>"32072319970304341X"</f>
        <v>32072319970304341X</v>
      </c>
      <c r="D24663" t="s">
        <v>1</v>
      </c>
      <c r="E24663" t="s">
        <v>1</v>
      </c>
      <c r="F24663" t="s">
        <v>0</v>
      </c>
      <c r="G24663" t="str">
        <f>"2018-10-06 11:47:53"</f>
        <v>2018-10-06 11:47:53</v>
      </c>
    </row>
    <row r="24664" spans="1:7" x14ac:dyDescent="0.2">
      <c r="A24664" t="s">
        <v>22821</v>
      </c>
      <c r="B24664" t="str">
        <f>"15545345612"</f>
        <v>15545345612</v>
      </c>
      <c r="C24664" t="str">
        <f>"130126200009172138"</f>
        <v>130126200009172138</v>
      </c>
      <c r="D24664" t="s">
        <v>1</v>
      </c>
      <c r="E24664" t="s">
        <v>1</v>
      </c>
      <c r="F24664" t="s">
        <v>0</v>
      </c>
      <c r="G24664" t="str">
        <f>"2018-10-06 11:14:04"</f>
        <v>2018-10-06 11:14:04</v>
      </c>
    </row>
    <row r="24665" spans="1:7" x14ac:dyDescent="0.2">
      <c r="A24665" t="s">
        <v>1</v>
      </c>
      <c r="B24665" t="str">
        <f>"18689357235"</f>
        <v>18689357235</v>
      </c>
      <c r="C24665" t="s">
        <v>1</v>
      </c>
      <c r="D24665" t="s">
        <v>1</v>
      </c>
      <c r="E24665" t="s">
        <v>1</v>
      </c>
      <c r="F24665" t="s">
        <v>0</v>
      </c>
      <c r="G24665" t="str">
        <f>"2018-10-06 11:11:03"</f>
        <v>2018-10-06 11:11:03</v>
      </c>
    </row>
    <row r="24666" spans="1:7" x14ac:dyDescent="0.2">
      <c r="A24666" t="s">
        <v>22822</v>
      </c>
      <c r="B24666" t="str">
        <f>"18024165131"</f>
        <v>18024165131</v>
      </c>
      <c r="C24666" t="str">
        <f>"360722199111106318"</f>
        <v>360722199111106318</v>
      </c>
      <c r="D24666" t="s">
        <v>1</v>
      </c>
      <c r="E24666" t="s">
        <v>1</v>
      </c>
      <c r="F24666" t="s">
        <v>0</v>
      </c>
      <c r="G24666" t="str">
        <f>"2018-10-06 11:10:54"</f>
        <v>2018-10-06 11:10:54</v>
      </c>
    </row>
    <row r="24667" spans="1:7" x14ac:dyDescent="0.2">
      <c r="A24667" t="s">
        <v>1</v>
      </c>
      <c r="B24667" t="str">
        <f>"18604719621"</f>
        <v>18604719621</v>
      </c>
      <c r="C24667" t="s">
        <v>1</v>
      </c>
      <c r="D24667" t="s">
        <v>1</v>
      </c>
      <c r="E24667" t="s">
        <v>1</v>
      </c>
      <c r="F24667" t="s">
        <v>0</v>
      </c>
      <c r="G24667" t="str">
        <f>"2018-10-06 11:10:44"</f>
        <v>2018-10-06 11:10:44</v>
      </c>
    </row>
    <row r="24668" spans="1:7" x14ac:dyDescent="0.2">
      <c r="A24668" t="s">
        <v>1</v>
      </c>
      <c r="B24668" t="str">
        <f>"15139102615"</f>
        <v>15139102615</v>
      </c>
      <c r="C24668" t="s">
        <v>1</v>
      </c>
      <c r="D24668" t="s">
        <v>1</v>
      </c>
      <c r="E24668" t="s">
        <v>1</v>
      </c>
      <c r="F24668" t="s">
        <v>0</v>
      </c>
      <c r="G24668" t="str">
        <f>"2018-10-06 11:10:22"</f>
        <v>2018-10-06 11:10:22</v>
      </c>
    </row>
    <row r="24669" spans="1:7" x14ac:dyDescent="0.2">
      <c r="A24669" t="s">
        <v>22823</v>
      </c>
      <c r="B24669" t="str">
        <f>"18733472729"</f>
        <v>18733472729</v>
      </c>
      <c r="C24669" t="str">
        <f>"130303198908090319"</f>
        <v>130303198908090319</v>
      </c>
      <c r="D24669" t="s">
        <v>1</v>
      </c>
      <c r="E24669" t="s">
        <v>1</v>
      </c>
      <c r="F24669" t="s">
        <v>0</v>
      </c>
      <c r="G24669" t="str">
        <f>"2018-10-06 12:09:47"</f>
        <v>2018-10-06 12:09:47</v>
      </c>
    </row>
    <row r="24670" spans="1:7" x14ac:dyDescent="0.2">
      <c r="A24670" t="s">
        <v>22824</v>
      </c>
      <c r="B24670" t="str">
        <f>"18639244333"</f>
        <v>18639244333</v>
      </c>
      <c r="C24670" t="str">
        <f>"410621199310010530"</f>
        <v>410621199310010530</v>
      </c>
      <c r="D24670" t="s">
        <v>1</v>
      </c>
      <c r="E24670" t="s">
        <v>1</v>
      </c>
      <c r="F24670" t="s">
        <v>0</v>
      </c>
      <c r="G24670" t="str">
        <f>"2018-10-06 11:11:26"</f>
        <v>2018-10-06 11:11:26</v>
      </c>
    </row>
    <row r="24671" spans="1:7" x14ac:dyDescent="0.2">
      <c r="A24671" t="s">
        <v>22598</v>
      </c>
      <c r="B24671" t="str">
        <f>"17721845250"</f>
        <v>17721845250</v>
      </c>
      <c r="C24671" t="str">
        <f>"513822199407233267"</f>
        <v>513822199407233267</v>
      </c>
      <c r="D24671" t="s">
        <v>1</v>
      </c>
      <c r="E24671" t="s">
        <v>1</v>
      </c>
      <c r="F24671" t="s">
        <v>0</v>
      </c>
      <c r="G24671" t="str">
        <f>"2018-10-15 13:18:49"</f>
        <v>2018-10-15 13:18:49</v>
      </c>
    </row>
    <row r="24672" spans="1:7" x14ac:dyDescent="0.2">
      <c r="A24672" t="s">
        <v>1</v>
      </c>
      <c r="B24672" t="str">
        <f>"13314483719"</f>
        <v>13314483719</v>
      </c>
      <c r="C24672" t="s">
        <v>1</v>
      </c>
      <c r="D24672" t="s">
        <v>1</v>
      </c>
      <c r="E24672" t="s">
        <v>1</v>
      </c>
      <c r="F24672" t="s">
        <v>0</v>
      </c>
      <c r="G24672" t="str">
        <f>"2018-10-06 11:09:39"</f>
        <v>2018-10-06 11:09:39</v>
      </c>
    </row>
    <row r="24673" spans="1:7" x14ac:dyDescent="0.2">
      <c r="A24673" t="s">
        <v>168</v>
      </c>
      <c r="B24673" t="str">
        <f>"13468786425"</f>
        <v>13468786425</v>
      </c>
      <c r="C24673" t="str">
        <f>"612724199603271113"</f>
        <v>612724199603271113</v>
      </c>
      <c r="D24673" t="s">
        <v>22825</v>
      </c>
      <c r="E24673" t="s">
        <v>22826</v>
      </c>
      <c r="F24673" t="s">
        <v>0</v>
      </c>
      <c r="G24673" t="str">
        <f>"2018-10-07 14:40:51"</f>
        <v>2018-10-07 14:40:51</v>
      </c>
    </row>
    <row r="24674" spans="1:7" x14ac:dyDescent="0.2">
      <c r="A24674" t="s">
        <v>1</v>
      </c>
      <c r="B24674" t="str">
        <f>"18637928868"</f>
        <v>18637928868</v>
      </c>
      <c r="C24674" t="s">
        <v>1</v>
      </c>
      <c r="D24674" t="s">
        <v>1</v>
      </c>
      <c r="E24674" t="s">
        <v>1</v>
      </c>
      <c r="F24674" t="s">
        <v>0</v>
      </c>
      <c r="G24674" t="str">
        <f>"2018-10-06 11:38:31"</f>
        <v>2018-10-06 11:38:31</v>
      </c>
    </row>
    <row r="24675" spans="1:7" x14ac:dyDescent="0.2">
      <c r="A24675" t="s">
        <v>22827</v>
      </c>
      <c r="B24675" t="str">
        <f>"13144264503"</f>
        <v>13144264503</v>
      </c>
      <c r="C24675" t="str">
        <f>"522132199512158559"</f>
        <v>522132199512158559</v>
      </c>
      <c r="D24675" t="s">
        <v>1</v>
      </c>
      <c r="E24675" t="s">
        <v>1</v>
      </c>
      <c r="F24675" t="s">
        <v>0</v>
      </c>
      <c r="G24675" t="str">
        <f>"2018-10-06 11:10:13"</f>
        <v>2018-10-06 11:10:13</v>
      </c>
    </row>
    <row r="24676" spans="1:7" x14ac:dyDescent="0.2">
      <c r="A24676" t="s">
        <v>1</v>
      </c>
      <c r="B24676" t="str">
        <f>"13811083594"</f>
        <v>13811083594</v>
      </c>
      <c r="C24676" t="s">
        <v>1</v>
      </c>
      <c r="D24676" t="s">
        <v>1</v>
      </c>
      <c r="E24676" t="s">
        <v>1</v>
      </c>
      <c r="F24676" t="s">
        <v>0</v>
      </c>
      <c r="G24676" t="str">
        <f>"2018-10-06 11:08:45"</f>
        <v>2018-10-06 11:08:45</v>
      </c>
    </row>
    <row r="24677" spans="1:7" x14ac:dyDescent="0.2">
      <c r="A24677" t="s">
        <v>1</v>
      </c>
      <c r="B24677" t="str">
        <f>"18583955370"</f>
        <v>18583955370</v>
      </c>
      <c r="C24677" t="s">
        <v>1</v>
      </c>
      <c r="D24677" t="s">
        <v>1</v>
      </c>
      <c r="E24677" t="s">
        <v>1</v>
      </c>
      <c r="F24677" t="s">
        <v>0</v>
      </c>
      <c r="G24677" t="str">
        <f>"2018-10-06 11:08:42"</f>
        <v>2018-10-06 11:08:42</v>
      </c>
    </row>
    <row r="24678" spans="1:7" x14ac:dyDescent="0.2">
      <c r="A24678" t="s">
        <v>22828</v>
      </c>
      <c r="B24678" t="str">
        <f>"15863041010"</f>
        <v>15863041010</v>
      </c>
      <c r="C24678" t="str">
        <f>"370214198807174538"</f>
        <v>370214198807174538</v>
      </c>
      <c r="D24678" t="s">
        <v>22829</v>
      </c>
      <c r="E24678" t="s">
        <v>22830</v>
      </c>
      <c r="F24678" t="s">
        <v>0</v>
      </c>
      <c r="G24678" t="str">
        <f>"2018-10-06 11:08:34"</f>
        <v>2018-10-06 11:08:34</v>
      </c>
    </row>
    <row r="24679" spans="1:7" x14ac:dyDescent="0.2">
      <c r="A24679" t="s">
        <v>22831</v>
      </c>
      <c r="B24679" t="str">
        <f>"18243101271"</f>
        <v>18243101271</v>
      </c>
      <c r="C24679" t="str">
        <f>"220122199012078135"</f>
        <v>220122199012078135</v>
      </c>
      <c r="D24679" t="s">
        <v>1</v>
      </c>
      <c r="E24679" t="s">
        <v>1</v>
      </c>
      <c r="F24679" t="s">
        <v>0</v>
      </c>
      <c r="G24679" t="str">
        <f>"2018-10-25 13:09:44"</f>
        <v>2018-10-25 13:09:44</v>
      </c>
    </row>
    <row r="24680" spans="1:7" x14ac:dyDescent="0.2">
      <c r="A24680" t="s">
        <v>22832</v>
      </c>
      <c r="B24680" t="str">
        <f>"18729914211"</f>
        <v>18729914211</v>
      </c>
      <c r="C24680" t="str">
        <f>"610525199511040469"</f>
        <v>610525199511040469</v>
      </c>
      <c r="D24680" t="s">
        <v>1</v>
      </c>
      <c r="E24680" t="s">
        <v>1</v>
      </c>
      <c r="F24680" t="s">
        <v>0</v>
      </c>
      <c r="G24680" t="str">
        <f>"2018-10-06 11:09:28"</f>
        <v>2018-10-06 11:09:28</v>
      </c>
    </row>
    <row r="24681" spans="1:7" x14ac:dyDescent="0.2">
      <c r="A24681" t="s">
        <v>1</v>
      </c>
      <c r="B24681" t="str">
        <f>"13096000380"</f>
        <v>13096000380</v>
      </c>
      <c r="C24681" t="s">
        <v>1</v>
      </c>
      <c r="D24681" t="s">
        <v>1</v>
      </c>
      <c r="E24681" t="s">
        <v>1</v>
      </c>
      <c r="F24681" t="s">
        <v>0</v>
      </c>
      <c r="G24681" t="str">
        <f>"2018-10-06 11:07:58"</f>
        <v>2018-10-06 11:07:58</v>
      </c>
    </row>
    <row r="24682" spans="1:7" x14ac:dyDescent="0.2">
      <c r="A24682" t="s">
        <v>22833</v>
      </c>
      <c r="B24682" t="str">
        <f>"13587757018"</f>
        <v>13587757018</v>
      </c>
      <c r="C24682" t="str">
        <f>"422822196902120511"</f>
        <v>422822196902120511</v>
      </c>
      <c r="D24682" t="s">
        <v>22834</v>
      </c>
      <c r="E24682" t="s">
        <v>22835</v>
      </c>
      <c r="F24682" t="s">
        <v>0</v>
      </c>
      <c r="G24682" t="str">
        <f>"2018-10-06 11:11:02"</f>
        <v>2018-10-06 11:11:02</v>
      </c>
    </row>
    <row r="24683" spans="1:7" x14ac:dyDescent="0.2">
      <c r="A24683" t="s">
        <v>22836</v>
      </c>
      <c r="B24683" t="str">
        <f>"18349118970"</f>
        <v>18349118970</v>
      </c>
      <c r="C24683" t="str">
        <f>"513902199502145839"</f>
        <v>513902199502145839</v>
      </c>
      <c r="D24683" t="s">
        <v>1</v>
      </c>
      <c r="E24683" t="s">
        <v>1</v>
      </c>
      <c r="F24683" t="s">
        <v>0</v>
      </c>
      <c r="G24683" t="str">
        <f>"2018-10-06 11:07:50"</f>
        <v>2018-10-06 11:07:50</v>
      </c>
    </row>
    <row r="24684" spans="1:7" x14ac:dyDescent="0.2">
      <c r="A24684" t="s">
        <v>5805</v>
      </c>
      <c r="B24684" t="str">
        <f>"13853770087"</f>
        <v>13853770087</v>
      </c>
      <c r="C24684" t="str">
        <f>"370830198806192251"</f>
        <v>370830198806192251</v>
      </c>
      <c r="D24684" t="s">
        <v>22837</v>
      </c>
      <c r="E24684" t="s">
        <v>22838</v>
      </c>
      <c r="F24684" t="s">
        <v>0</v>
      </c>
      <c r="G24684" t="str">
        <f>"2018-10-06 11:08:33"</f>
        <v>2018-10-06 11:08:33</v>
      </c>
    </row>
    <row r="24685" spans="1:7" x14ac:dyDescent="0.2">
      <c r="A24685" t="s">
        <v>1</v>
      </c>
      <c r="B24685" t="str">
        <f>"13579063551"</f>
        <v>13579063551</v>
      </c>
      <c r="C24685" t="s">
        <v>1</v>
      </c>
      <c r="D24685" t="s">
        <v>1</v>
      </c>
      <c r="E24685" t="s">
        <v>1</v>
      </c>
      <c r="F24685" t="s">
        <v>0</v>
      </c>
      <c r="G24685" t="str">
        <f>"2018-10-06 11:07:45"</f>
        <v>2018-10-06 11:07:45</v>
      </c>
    </row>
    <row r="24686" spans="1:7" x14ac:dyDescent="0.2">
      <c r="A24686" t="s">
        <v>22839</v>
      </c>
      <c r="B24686" t="str">
        <f>"15154197692"</f>
        <v>15154197692</v>
      </c>
      <c r="C24686" t="str">
        <f>"370125198402273830"</f>
        <v>370125198402273830</v>
      </c>
      <c r="D24686" t="s">
        <v>1</v>
      </c>
      <c r="E24686" t="s">
        <v>1</v>
      </c>
      <c r="F24686" t="s">
        <v>0</v>
      </c>
      <c r="G24686" t="str">
        <f>"2018-10-06 12:37:40"</f>
        <v>2018-10-06 12:37:40</v>
      </c>
    </row>
    <row r="24687" spans="1:7" x14ac:dyDescent="0.2">
      <c r="A24687" t="s">
        <v>6501</v>
      </c>
      <c r="B24687" t="str">
        <f>"17335536999"</f>
        <v>17335536999</v>
      </c>
      <c r="C24687" t="str">
        <f>"410923197504240035"</f>
        <v>410923197504240035</v>
      </c>
      <c r="D24687" t="s">
        <v>22840</v>
      </c>
      <c r="E24687" t="s">
        <v>22841</v>
      </c>
      <c r="F24687" t="s">
        <v>0</v>
      </c>
      <c r="G24687" t="str">
        <f>"2018-10-06 11:09:02"</f>
        <v>2018-10-06 11:09:02</v>
      </c>
    </row>
    <row r="24688" spans="1:7" x14ac:dyDescent="0.2">
      <c r="A24688" t="s">
        <v>1</v>
      </c>
      <c r="B24688" t="str">
        <f>"18679119982"</f>
        <v>18679119982</v>
      </c>
      <c r="C24688" t="s">
        <v>1</v>
      </c>
      <c r="D24688" t="s">
        <v>1</v>
      </c>
      <c r="E24688" t="s">
        <v>1</v>
      </c>
      <c r="F24688" t="s">
        <v>0</v>
      </c>
      <c r="G24688" t="str">
        <f>"2018-10-06 11:07:08"</f>
        <v>2018-10-06 11:07:08</v>
      </c>
    </row>
    <row r="24689" spans="1:7" x14ac:dyDescent="0.2">
      <c r="A24689" t="s">
        <v>1</v>
      </c>
      <c r="B24689" t="str">
        <f>"13258476802"</f>
        <v>13258476802</v>
      </c>
      <c r="C24689" t="s">
        <v>1</v>
      </c>
      <c r="D24689" t="s">
        <v>1</v>
      </c>
      <c r="E24689" t="s">
        <v>1</v>
      </c>
      <c r="F24689" t="s">
        <v>0</v>
      </c>
      <c r="G24689" t="str">
        <f>"2018-10-06 11:06:52"</f>
        <v>2018-10-06 11:06:52</v>
      </c>
    </row>
    <row r="24690" spans="1:7" x14ac:dyDescent="0.2">
      <c r="A24690" t="s">
        <v>1</v>
      </c>
      <c r="B24690" t="str">
        <f>"17609775372"</f>
        <v>17609775372</v>
      </c>
      <c r="C24690" t="s">
        <v>1</v>
      </c>
      <c r="D24690" t="s">
        <v>1</v>
      </c>
      <c r="E24690" t="s">
        <v>1</v>
      </c>
      <c r="F24690" t="s">
        <v>0</v>
      </c>
      <c r="G24690" t="str">
        <f>"2018-10-06 11:06:41"</f>
        <v>2018-10-06 11:06:41</v>
      </c>
    </row>
    <row r="24691" spans="1:7" x14ac:dyDescent="0.2">
      <c r="A24691" t="s">
        <v>615</v>
      </c>
      <c r="B24691" t="str">
        <f>"18893014311"</f>
        <v>18893014311</v>
      </c>
      <c r="C24691" t="str">
        <f>"620422198804083211"</f>
        <v>620422198804083211</v>
      </c>
      <c r="D24691" t="s">
        <v>1</v>
      </c>
      <c r="E24691" t="s">
        <v>1</v>
      </c>
      <c r="F24691" t="s">
        <v>0</v>
      </c>
      <c r="G24691" t="str">
        <f>"2018-10-06 14:30:46"</f>
        <v>2018-10-06 14:30:46</v>
      </c>
    </row>
    <row r="24692" spans="1:7" x14ac:dyDescent="0.2">
      <c r="A24692" t="s">
        <v>1</v>
      </c>
      <c r="B24692" t="str">
        <f>"18798147784"</f>
        <v>18798147784</v>
      </c>
      <c r="C24692" t="s">
        <v>1</v>
      </c>
      <c r="D24692" t="s">
        <v>1</v>
      </c>
      <c r="E24692" t="s">
        <v>1</v>
      </c>
      <c r="F24692" t="s">
        <v>0</v>
      </c>
      <c r="G24692" t="str">
        <f>"2018-10-06 11:05:59"</f>
        <v>2018-10-06 11:05:59</v>
      </c>
    </row>
    <row r="24693" spans="1:7" x14ac:dyDescent="0.2">
      <c r="A24693" t="s">
        <v>1</v>
      </c>
      <c r="B24693" t="str">
        <f>"15819902022"</f>
        <v>15819902022</v>
      </c>
      <c r="C24693" t="s">
        <v>1</v>
      </c>
      <c r="D24693" t="s">
        <v>1</v>
      </c>
      <c r="E24693" t="s">
        <v>1</v>
      </c>
      <c r="F24693" t="s">
        <v>0</v>
      </c>
      <c r="G24693" t="str">
        <f>"2018-10-06 11:09:22"</f>
        <v>2018-10-06 11:09:22</v>
      </c>
    </row>
    <row r="24694" spans="1:7" x14ac:dyDescent="0.2">
      <c r="A24694" t="s">
        <v>1</v>
      </c>
      <c r="B24694" t="str">
        <f>"15536234288"</f>
        <v>15536234288</v>
      </c>
      <c r="C24694" t="s">
        <v>1</v>
      </c>
      <c r="D24694" t="s">
        <v>1</v>
      </c>
      <c r="E24694" t="s">
        <v>1</v>
      </c>
      <c r="F24694" t="s">
        <v>0</v>
      </c>
      <c r="G24694" t="str">
        <f>"2018-10-06 11:05:46"</f>
        <v>2018-10-06 11:05:46</v>
      </c>
    </row>
    <row r="24695" spans="1:7" x14ac:dyDescent="0.2">
      <c r="A24695" t="s">
        <v>22842</v>
      </c>
      <c r="B24695" t="str">
        <f>"15939514349"</f>
        <v>15939514349</v>
      </c>
      <c r="C24695" t="str">
        <f>"411123199103157552"</f>
        <v>411123199103157552</v>
      </c>
      <c r="D24695" t="s">
        <v>1</v>
      </c>
      <c r="E24695" t="s">
        <v>1</v>
      </c>
      <c r="F24695" t="s">
        <v>0</v>
      </c>
      <c r="G24695" t="str">
        <f>"2018-10-25 18:28:11"</f>
        <v>2018-10-25 18:28:11</v>
      </c>
    </row>
    <row r="24696" spans="1:7" x14ac:dyDescent="0.2">
      <c r="A24696" t="s">
        <v>1</v>
      </c>
      <c r="B24696" t="str">
        <f>"13134200937"</f>
        <v>13134200937</v>
      </c>
      <c r="C24696" t="s">
        <v>1</v>
      </c>
      <c r="D24696" t="s">
        <v>1</v>
      </c>
      <c r="E24696" t="s">
        <v>1</v>
      </c>
      <c r="F24696" t="s">
        <v>0</v>
      </c>
      <c r="G24696" t="str">
        <f>"2018-10-06 11:21:10"</f>
        <v>2018-10-06 11:21:10</v>
      </c>
    </row>
    <row r="24697" spans="1:7" x14ac:dyDescent="0.2">
      <c r="A24697" t="s">
        <v>1</v>
      </c>
      <c r="B24697" t="str">
        <f>"13859753421"</f>
        <v>13859753421</v>
      </c>
      <c r="C24697" t="s">
        <v>1</v>
      </c>
      <c r="D24697" t="s">
        <v>1</v>
      </c>
      <c r="E24697" t="s">
        <v>1</v>
      </c>
      <c r="F24697" t="s">
        <v>0</v>
      </c>
      <c r="G24697" t="str">
        <f>"2018-10-06 11:04:59"</f>
        <v>2018-10-06 11:04:59</v>
      </c>
    </row>
    <row r="24698" spans="1:7" x14ac:dyDescent="0.2">
      <c r="A24698" t="s">
        <v>22843</v>
      </c>
      <c r="B24698" t="str">
        <f>"18687129902"</f>
        <v>18687129902</v>
      </c>
      <c r="C24698" t="str">
        <f>"532901198906120912"</f>
        <v>532901198906120912</v>
      </c>
      <c r="D24698" t="s">
        <v>22844</v>
      </c>
      <c r="E24698" t="s">
        <v>22845</v>
      </c>
      <c r="F24698" t="s">
        <v>0</v>
      </c>
      <c r="G24698" t="str">
        <f>"2018-10-06 11:07:01"</f>
        <v>2018-10-06 11:07:01</v>
      </c>
    </row>
    <row r="24699" spans="1:7" x14ac:dyDescent="0.2">
      <c r="A24699" t="s">
        <v>803</v>
      </c>
      <c r="B24699" t="str">
        <f>"15510831331"</f>
        <v>15510831331</v>
      </c>
      <c r="C24699" t="str">
        <f>"12010219820505171X"</f>
        <v>12010219820505171X</v>
      </c>
      <c r="D24699" t="s">
        <v>1</v>
      </c>
      <c r="E24699" t="s">
        <v>1</v>
      </c>
      <c r="F24699" t="s">
        <v>0</v>
      </c>
      <c r="G24699" t="str">
        <f>"2018-10-06 11:06:08"</f>
        <v>2018-10-06 11:06:08</v>
      </c>
    </row>
    <row r="24700" spans="1:7" x14ac:dyDescent="0.2">
      <c r="A24700" t="s">
        <v>891</v>
      </c>
      <c r="B24700" t="str">
        <f>"18435127269"</f>
        <v>18435127269</v>
      </c>
      <c r="C24700" t="str">
        <f>"640221199308060046"</f>
        <v>640221199308060046</v>
      </c>
      <c r="D24700" t="s">
        <v>22846</v>
      </c>
      <c r="E24700" t="s">
        <v>22847</v>
      </c>
      <c r="F24700" t="s">
        <v>0</v>
      </c>
      <c r="G24700" t="str">
        <f>"2018-10-06 11:09:37"</f>
        <v>2018-10-06 11:09:37</v>
      </c>
    </row>
    <row r="24701" spans="1:7" x14ac:dyDescent="0.2">
      <c r="A24701" t="s">
        <v>1</v>
      </c>
      <c r="B24701" t="str">
        <f>"18306446856"</f>
        <v>18306446856</v>
      </c>
      <c r="C24701" t="s">
        <v>1</v>
      </c>
      <c r="D24701" t="s">
        <v>1</v>
      </c>
      <c r="E24701" t="s">
        <v>1</v>
      </c>
      <c r="F24701" t="s">
        <v>0</v>
      </c>
      <c r="G24701" t="str">
        <f>"2018-10-06 11:06:27"</f>
        <v>2018-10-06 11:06:27</v>
      </c>
    </row>
    <row r="24702" spans="1:7" x14ac:dyDescent="0.2">
      <c r="A24702" t="s">
        <v>22848</v>
      </c>
      <c r="B24702" t="str">
        <f>"17349280815"</f>
        <v>17349280815</v>
      </c>
      <c r="C24702" t="str">
        <f>"612401199110014142"</f>
        <v>612401199110014142</v>
      </c>
      <c r="D24702" t="s">
        <v>1</v>
      </c>
      <c r="E24702" t="s">
        <v>1</v>
      </c>
      <c r="F24702" t="s">
        <v>0</v>
      </c>
      <c r="G24702" t="str">
        <f>"2018-10-06 11:05:10"</f>
        <v>2018-10-06 11:05:10</v>
      </c>
    </row>
    <row r="24703" spans="1:7" x14ac:dyDescent="0.2">
      <c r="A24703" t="s">
        <v>1</v>
      </c>
      <c r="B24703" t="str">
        <f>"13062949444"</f>
        <v>13062949444</v>
      </c>
      <c r="C24703" t="s">
        <v>1</v>
      </c>
      <c r="D24703" t="s">
        <v>1</v>
      </c>
      <c r="E24703" t="s">
        <v>1</v>
      </c>
      <c r="F24703" t="s">
        <v>0</v>
      </c>
      <c r="G24703" t="str">
        <f>"2018-10-06 11:03:55"</f>
        <v>2018-10-06 11:03:55</v>
      </c>
    </row>
    <row r="24704" spans="1:7" x14ac:dyDescent="0.2">
      <c r="A24704" t="s">
        <v>22849</v>
      </c>
      <c r="B24704" t="str">
        <f>"13481142590"</f>
        <v>13481142590</v>
      </c>
      <c r="C24704" t="str">
        <f>"452128198111120018"</f>
        <v>452128198111120018</v>
      </c>
      <c r="D24704" t="s">
        <v>22850</v>
      </c>
      <c r="E24704" t="s">
        <v>22851</v>
      </c>
      <c r="F24704" t="s">
        <v>0</v>
      </c>
      <c r="G24704" t="str">
        <f>"2018-10-06 11:06:25"</f>
        <v>2018-10-06 11:06:25</v>
      </c>
    </row>
    <row r="24705" spans="1:7" x14ac:dyDescent="0.2">
      <c r="A24705" t="s">
        <v>22852</v>
      </c>
      <c r="B24705" t="str">
        <f>"15531887070"</f>
        <v>15531887070</v>
      </c>
      <c r="C24705" t="str">
        <f>"13112419940511221X"</f>
        <v>13112419940511221X</v>
      </c>
      <c r="D24705" t="s">
        <v>1</v>
      </c>
      <c r="E24705" t="s">
        <v>1</v>
      </c>
      <c r="F24705" t="s">
        <v>0</v>
      </c>
      <c r="G24705" t="str">
        <f>"2018-10-06 11:05:31"</f>
        <v>2018-10-06 11:05:31</v>
      </c>
    </row>
    <row r="24706" spans="1:7" x14ac:dyDescent="0.2">
      <c r="A24706" t="s">
        <v>1</v>
      </c>
      <c r="B24706" t="str">
        <f>"13071558168"</f>
        <v>13071558168</v>
      </c>
      <c r="C24706" t="s">
        <v>1</v>
      </c>
      <c r="D24706" t="s">
        <v>1</v>
      </c>
      <c r="E24706" t="s">
        <v>1</v>
      </c>
      <c r="F24706" t="s">
        <v>0</v>
      </c>
      <c r="G24706" t="str">
        <f>"2018-10-06 11:04:56"</f>
        <v>2018-10-06 11:04:56</v>
      </c>
    </row>
    <row r="24707" spans="1:7" x14ac:dyDescent="0.2">
      <c r="A24707" t="s">
        <v>1</v>
      </c>
      <c r="B24707" t="str">
        <f>"18321233120"</f>
        <v>18321233120</v>
      </c>
      <c r="C24707" t="s">
        <v>1</v>
      </c>
      <c r="D24707" t="s">
        <v>1</v>
      </c>
      <c r="E24707" t="s">
        <v>1</v>
      </c>
      <c r="F24707" t="s">
        <v>0</v>
      </c>
      <c r="G24707" t="str">
        <f>"2018-10-06 11:03:07"</f>
        <v>2018-10-06 11:03:07</v>
      </c>
    </row>
    <row r="24708" spans="1:7" x14ac:dyDescent="0.2">
      <c r="A24708" t="s">
        <v>22853</v>
      </c>
      <c r="B24708" t="str">
        <f>"18303039157"</f>
        <v>18303039157</v>
      </c>
      <c r="C24708" t="str">
        <f>"130406198206272411"</f>
        <v>130406198206272411</v>
      </c>
      <c r="D24708" t="s">
        <v>22854</v>
      </c>
      <c r="E24708" t="s">
        <v>22855</v>
      </c>
      <c r="F24708" t="s">
        <v>0</v>
      </c>
      <c r="G24708" t="str">
        <f>"2018-10-23 09:29:15"</f>
        <v>2018-10-23 09:29:15</v>
      </c>
    </row>
    <row r="24709" spans="1:7" x14ac:dyDescent="0.2">
      <c r="A24709" t="s">
        <v>1</v>
      </c>
      <c r="B24709" t="str">
        <f>"13018299909"</f>
        <v>13018299909</v>
      </c>
      <c r="C24709" t="s">
        <v>1</v>
      </c>
      <c r="D24709" t="s">
        <v>1</v>
      </c>
      <c r="E24709" t="s">
        <v>1</v>
      </c>
      <c r="F24709" t="s">
        <v>0</v>
      </c>
      <c r="G24709" t="str">
        <f>"2018-10-06 11:04:05"</f>
        <v>2018-10-06 11:04:05</v>
      </c>
    </row>
    <row r="24710" spans="1:7" x14ac:dyDescent="0.2">
      <c r="A24710" t="s">
        <v>1</v>
      </c>
      <c r="B24710" t="str">
        <f>"13408963612"</f>
        <v>13408963612</v>
      </c>
      <c r="C24710" t="s">
        <v>1</v>
      </c>
      <c r="D24710" t="s">
        <v>1</v>
      </c>
      <c r="E24710" t="s">
        <v>1</v>
      </c>
      <c r="F24710" t="s">
        <v>0</v>
      </c>
      <c r="G24710" t="str">
        <f>"2018-10-06 11:03:51"</f>
        <v>2018-10-06 11:03:51</v>
      </c>
    </row>
    <row r="24711" spans="1:7" x14ac:dyDescent="0.2">
      <c r="A24711" t="s">
        <v>1</v>
      </c>
      <c r="B24711" t="str">
        <f>"18507360660"</f>
        <v>18507360660</v>
      </c>
      <c r="C24711" t="s">
        <v>1</v>
      </c>
      <c r="D24711" t="s">
        <v>1</v>
      </c>
      <c r="E24711" t="s">
        <v>1</v>
      </c>
      <c r="F24711" t="s">
        <v>0</v>
      </c>
      <c r="G24711" t="str">
        <f>"2018-10-06 11:01:46"</f>
        <v>2018-10-06 11:01:46</v>
      </c>
    </row>
    <row r="24712" spans="1:7" x14ac:dyDescent="0.2">
      <c r="A24712" t="s">
        <v>1</v>
      </c>
      <c r="B24712" t="str">
        <f>"17665393178"</f>
        <v>17665393178</v>
      </c>
      <c r="C24712" t="s">
        <v>1</v>
      </c>
      <c r="D24712" t="s">
        <v>1</v>
      </c>
      <c r="E24712" t="s">
        <v>1</v>
      </c>
      <c r="F24712" t="s">
        <v>0</v>
      </c>
      <c r="G24712" t="str">
        <f>"2018-10-06 11:01:38"</f>
        <v>2018-10-06 11:01:38</v>
      </c>
    </row>
    <row r="24713" spans="1:7" x14ac:dyDescent="0.2">
      <c r="A24713" t="s">
        <v>22856</v>
      </c>
      <c r="B24713" t="str">
        <f>"13729130016"</f>
        <v>13729130016</v>
      </c>
      <c r="C24713" t="str">
        <f>"440881199006241062"</f>
        <v>440881199006241062</v>
      </c>
      <c r="D24713" t="s">
        <v>1</v>
      </c>
      <c r="E24713" t="s">
        <v>1</v>
      </c>
      <c r="F24713" t="s">
        <v>0</v>
      </c>
      <c r="G24713" t="str">
        <f>"2018-10-07 11:01:31"</f>
        <v>2018-10-07 11:01:31</v>
      </c>
    </row>
    <row r="24714" spans="1:7" x14ac:dyDescent="0.2">
      <c r="A24714" t="s">
        <v>1</v>
      </c>
      <c r="B24714" t="str">
        <f>"18850308872"</f>
        <v>18850308872</v>
      </c>
      <c r="C24714" t="s">
        <v>1</v>
      </c>
      <c r="D24714" t="s">
        <v>1</v>
      </c>
      <c r="E24714" t="s">
        <v>1</v>
      </c>
      <c r="F24714" t="s">
        <v>0</v>
      </c>
      <c r="G24714" t="str">
        <f>"2018-10-06 11:01:21"</f>
        <v>2018-10-06 11:01:21</v>
      </c>
    </row>
    <row r="24715" spans="1:7" x14ac:dyDescent="0.2">
      <c r="A24715" t="s">
        <v>1</v>
      </c>
      <c r="B24715" t="str">
        <f>"18578552837"</f>
        <v>18578552837</v>
      </c>
      <c r="C24715" t="s">
        <v>1</v>
      </c>
      <c r="D24715" t="s">
        <v>1</v>
      </c>
      <c r="E24715" t="s">
        <v>1</v>
      </c>
      <c r="F24715" t="s">
        <v>0</v>
      </c>
      <c r="G24715" t="str">
        <f>"2018-10-06 11:01:08"</f>
        <v>2018-10-06 11:01:08</v>
      </c>
    </row>
    <row r="24716" spans="1:7" x14ac:dyDescent="0.2">
      <c r="A24716" t="s">
        <v>22857</v>
      </c>
      <c r="B24716" t="str">
        <f>"13500525368"</f>
        <v>13500525368</v>
      </c>
      <c r="C24716" t="str">
        <f>"342623196308141235"</f>
        <v>342623196308141235</v>
      </c>
      <c r="D24716" t="s">
        <v>1</v>
      </c>
      <c r="E24716" t="s">
        <v>1</v>
      </c>
      <c r="F24716" t="s">
        <v>0</v>
      </c>
      <c r="G24716" t="str">
        <f>"2018-10-06 11:02:44"</f>
        <v>2018-10-06 11:02:44</v>
      </c>
    </row>
    <row r="24717" spans="1:7" x14ac:dyDescent="0.2">
      <c r="A24717" t="s">
        <v>22858</v>
      </c>
      <c r="B24717" t="str">
        <f>"18660146279"</f>
        <v>18660146279</v>
      </c>
      <c r="C24717" t="str">
        <f>"342622198303043217"</f>
        <v>342622198303043217</v>
      </c>
      <c r="D24717" t="s">
        <v>1</v>
      </c>
      <c r="E24717" t="s">
        <v>1</v>
      </c>
      <c r="F24717" t="s">
        <v>0</v>
      </c>
      <c r="G24717" t="str">
        <f>"2018-10-06 15:14:34"</f>
        <v>2018-10-06 15:14:34</v>
      </c>
    </row>
    <row r="24718" spans="1:7" x14ac:dyDescent="0.2">
      <c r="A24718" t="s">
        <v>593</v>
      </c>
      <c r="B24718" t="str">
        <f>"13575222559"</f>
        <v>13575222559</v>
      </c>
      <c r="C24718" t="str">
        <f>"21028219880616441X"</f>
        <v>21028219880616441X</v>
      </c>
      <c r="D24718" t="s">
        <v>22859</v>
      </c>
      <c r="E24718" t="s">
        <v>22860</v>
      </c>
      <c r="F24718" t="s">
        <v>0</v>
      </c>
      <c r="G24718" t="str">
        <f>"2018-10-06 11:03:50"</f>
        <v>2018-10-06 11:03:50</v>
      </c>
    </row>
    <row r="24719" spans="1:7" x14ac:dyDescent="0.2">
      <c r="A24719" t="s">
        <v>22861</v>
      </c>
      <c r="B24719" t="str">
        <f>"13266783511"</f>
        <v>13266783511</v>
      </c>
      <c r="C24719" t="str">
        <f>"422129199407240516"</f>
        <v>422129199407240516</v>
      </c>
      <c r="D24719" t="s">
        <v>1</v>
      </c>
      <c r="E24719" t="s">
        <v>1</v>
      </c>
      <c r="F24719" t="s">
        <v>0</v>
      </c>
      <c r="G24719" t="str">
        <f>"2018-10-06 22:50:46"</f>
        <v>2018-10-06 22:50:46</v>
      </c>
    </row>
    <row r="24720" spans="1:7" x14ac:dyDescent="0.2">
      <c r="A24720" t="s">
        <v>22862</v>
      </c>
      <c r="B24720" t="str">
        <f>"13867319256"</f>
        <v>13867319256</v>
      </c>
      <c r="C24720" t="str">
        <f>"220202198204105113"</f>
        <v>220202198204105113</v>
      </c>
      <c r="D24720" t="s">
        <v>22863</v>
      </c>
      <c r="E24720" t="s">
        <v>22864</v>
      </c>
      <c r="F24720" t="s">
        <v>0</v>
      </c>
      <c r="G24720" t="str">
        <f>"2018-10-06 16:08:22"</f>
        <v>2018-10-06 16:08:22</v>
      </c>
    </row>
    <row r="24721" spans="1:7" x14ac:dyDescent="0.2">
      <c r="A24721" t="s">
        <v>1</v>
      </c>
      <c r="B24721" t="str">
        <f>"15569327111"</f>
        <v>15569327111</v>
      </c>
      <c r="C24721" t="s">
        <v>1</v>
      </c>
      <c r="D24721" t="s">
        <v>1</v>
      </c>
      <c r="E24721" t="s">
        <v>1</v>
      </c>
      <c r="F24721" t="s">
        <v>0</v>
      </c>
      <c r="G24721" t="str">
        <f>"2018-10-06 11:01:45"</f>
        <v>2018-10-06 11:01:45</v>
      </c>
    </row>
    <row r="24722" spans="1:7" x14ac:dyDescent="0.2">
      <c r="A24722" t="s">
        <v>1</v>
      </c>
      <c r="B24722" t="str">
        <f>"15027871352"</f>
        <v>15027871352</v>
      </c>
      <c r="C24722" t="s">
        <v>1</v>
      </c>
      <c r="D24722" t="s">
        <v>1</v>
      </c>
      <c r="E24722" t="s">
        <v>1</v>
      </c>
      <c r="F24722" t="s">
        <v>0</v>
      </c>
      <c r="G24722" t="str">
        <f>"2018-10-06 11:02:51"</f>
        <v>2018-10-06 11:02:51</v>
      </c>
    </row>
    <row r="24723" spans="1:7" x14ac:dyDescent="0.2">
      <c r="A24723" t="s">
        <v>1</v>
      </c>
      <c r="B24723" t="str">
        <f>"13869993493"</f>
        <v>13869993493</v>
      </c>
      <c r="C24723" t="s">
        <v>1</v>
      </c>
      <c r="D24723" t="s">
        <v>1</v>
      </c>
      <c r="E24723" t="s">
        <v>1</v>
      </c>
      <c r="F24723" t="s">
        <v>0</v>
      </c>
      <c r="G24723" t="str">
        <f>"2018-10-06 10:59:50"</f>
        <v>2018-10-06 10:59:50</v>
      </c>
    </row>
    <row r="24724" spans="1:7" x14ac:dyDescent="0.2">
      <c r="A24724" t="s">
        <v>304</v>
      </c>
      <c r="B24724" t="str">
        <f>"13571118036"</f>
        <v>13571118036</v>
      </c>
      <c r="C24724" t="str">
        <f>"610622199007220133"</f>
        <v>610622199007220133</v>
      </c>
      <c r="D24724" t="s">
        <v>1</v>
      </c>
      <c r="E24724" t="s">
        <v>1</v>
      </c>
      <c r="F24724" t="s">
        <v>0</v>
      </c>
      <c r="G24724" t="str">
        <f>"2018-10-21 10:53:36"</f>
        <v>2018-10-21 10:53:36</v>
      </c>
    </row>
    <row r="24725" spans="1:7" x14ac:dyDescent="0.2">
      <c r="A24725" t="s">
        <v>1387</v>
      </c>
      <c r="B24725" t="str">
        <f>"18629864148"</f>
        <v>18629864148</v>
      </c>
      <c r="C24725" t="str">
        <f>"220381198806280614"</f>
        <v>220381198806280614</v>
      </c>
      <c r="D24725" t="s">
        <v>1</v>
      </c>
      <c r="E24725" t="s">
        <v>1</v>
      </c>
      <c r="F24725" t="s">
        <v>0</v>
      </c>
      <c r="G24725" t="str">
        <f>"2018-10-06 11:00:30"</f>
        <v>2018-10-06 11:00:30</v>
      </c>
    </row>
    <row r="24726" spans="1:7" x14ac:dyDescent="0.2">
      <c r="A24726" t="s">
        <v>22865</v>
      </c>
      <c r="B24726" t="str">
        <f>"18070765033"</f>
        <v>18070765033</v>
      </c>
      <c r="C24726" t="str">
        <f>"450722197709246393"</f>
        <v>450722197709246393</v>
      </c>
      <c r="D24726" t="s">
        <v>1</v>
      </c>
      <c r="E24726" t="s">
        <v>1</v>
      </c>
      <c r="F24726" t="s">
        <v>0</v>
      </c>
      <c r="G24726" t="str">
        <f>"2018-10-06 10:59:32"</f>
        <v>2018-10-06 10:59:32</v>
      </c>
    </row>
    <row r="24727" spans="1:7" x14ac:dyDescent="0.2">
      <c r="A24727" t="s">
        <v>480</v>
      </c>
      <c r="B24727" t="str">
        <f>"13653445972"</f>
        <v>13653445972</v>
      </c>
      <c r="C24727" t="str">
        <f>"142701199402142115"</f>
        <v>142701199402142115</v>
      </c>
      <c r="D24727" t="s">
        <v>1</v>
      </c>
      <c r="E24727" t="s">
        <v>1</v>
      </c>
      <c r="F24727" t="s">
        <v>0</v>
      </c>
      <c r="G24727" t="str">
        <f>"2018-11-05 07:23:54"</f>
        <v>2018-11-05 07:23:54</v>
      </c>
    </row>
    <row r="24728" spans="1:7" x14ac:dyDescent="0.2">
      <c r="A24728" t="s">
        <v>22866</v>
      </c>
      <c r="B24728" t="str">
        <f>"13738120351"</f>
        <v>13738120351</v>
      </c>
      <c r="C24728" t="str">
        <f>"520202198807297418"</f>
        <v>520202198807297418</v>
      </c>
      <c r="D24728" t="s">
        <v>1</v>
      </c>
      <c r="E24728" t="s">
        <v>1</v>
      </c>
      <c r="F24728" t="s">
        <v>0</v>
      </c>
      <c r="G24728" t="str">
        <f>"2018-10-06 10:59:03"</f>
        <v>2018-10-06 10:59:03</v>
      </c>
    </row>
    <row r="24729" spans="1:7" x14ac:dyDescent="0.2">
      <c r="A24729" t="s">
        <v>22867</v>
      </c>
      <c r="B24729" t="str">
        <f>"18288740898"</f>
        <v>18288740898</v>
      </c>
      <c r="C24729" t="str">
        <f>"532231199503020938"</f>
        <v>532231199503020938</v>
      </c>
      <c r="D24729" t="s">
        <v>22868</v>
      </c>
      <c r="E24729" t="s">
        <v>22869</v>
      </c>
      <c r="F24729" t="s">
        <v>0</v>
      </c>
      <c r="G24729" t="str">
        <f>"2018-10-20 17:03:37"</f>
        <v>2018-10-20 17:03:37</v>
      </c>
    </row>
    <row r="24730" spans="1:7" x14ac:dyDescent="0.2">
      <c r="A24730" t="s">
        <v>22870</v>
      </c>
      <c r="B24730" t="str">
        <f>"13458150435"</f>
        <v>13458150435</v>
      </c>
      <c r="C24730" t="str">
        <f>"510922198903057651"</f>
        <v>510922198903057651</v>
      </c>
      <c r="D24730" t="s">
        <v>22871</v>
      </c>
      <c r="E24730" t="s">
        <v>22872</v>
      </c>
      <c r="F24730" t="s">
        <v>0</v>
      </c>
      <c r="G24730" t="str">
        <f>"2018-10-06 10:59:17"</f>
        <v>2018-10-06 10:59:17</v>
      </c>
    </row>
    <row r="24731" spans="1:7" x14ac:dyDescent="0.2">
      <c r="A24731" t="s">
        <v>1</v>
      </c>
      <c r="B24731" t="str">
        <f>"13651603671"</f>
        <v>13651603671</v>
      </c>
      <c r="C24731" t="s">
        <v>1</v>
      </c>
      <c r="D24731" t="s">
        <v>1</v>
      </c>
      <c r="E24731" t="s">
        <v>1</v>
      </c>
      <c r="F24731" t="s">
        <v>0</v>
      </c>
      <c r="G24731" t="str">
        <f>"2018-10-06 10:59:32"</f>
        <v>2018-10-06 10:59:32</v>
      </c>
    </row>
    <row r="24732" spans="1:7" x14ac:dyDescent="0.2">
      <c r="A24732" t="s">
        <v>22873</v>
      </c>
      <c r="B24732" t="str">
        <f>"13552948670"</f>
        <v>13552948670</v>
      </c>
      <c r="C24732" t="str">
        <f>"362422197307251118"</f>
        <v>362422197307251118</v>
      </c>
      <c r="D24732" t="s">
        <v>1</v>
      </c>
      <c r="E24732" t="s">
        <v>1</v>
      </c>
      <c r="F24732" t="s">
        <v>0</v>
      </c>
      <c r="G24732" t="str">
        <f>"2018-10-06 11:00:38"</f>
        <v>2018-10-06 11:00:38</v>
      </c>
    </row>
    <row r="24733" spans="1:7" x14ac:dyDescent="0.2">
      <c r="A24733" t="s">
        <v>22874</v>
      </c>
      <c r="B24733" t="str">
        <f>"13929494036"</f>
        <v>13929494036</v>
      </c>
      <c r="C24733" t="str">
        <f>"612324197005295413"</f>
        <v>612324197005295413</v>
      </c>
      <c r="D24733" t="s">
        <v>1</v>
      </c>
      <c r="E24733" t="s">
        <v>1</v>
      </c>
      <c r="F24733" t="s">
        <v>0</v>
      </c>
      <c r="G24733" t="str">
        <f>"2018-10-06 11:02:30"</f>
        <v>2018-10-06 11:02:30</v>
      </c>
    </row>
    <row r="24734" spans="1:7" x14ac:dyDescent="0.2">
      <c r="A24734" t="s">
        <v>1</v>
      </c>
      <c r="B24734" t="str">
        <f>"13028978656"</f>
        <v>13028978656</v>
      </c>
      <c r="C24734" t="s">
        <v>1</v>
      </c>
      <c r="D24734" t="s">
        <v>1</v>
      </c>
      <c r="E24734" t="s">
        <v>1</v>
      </c>
      <c r="F24734" t="s">
        <v>0</v>
      </c>
      <c r="G24734" t="str">
        <f>"2018-10-06 10:57:20"</f>
        <v>2018-10-06 10:57:20</v>
      </c>
    </row>
    <row r="24735" spans="1:7" x14ac:dyDescent="0.2">
      <c r="A24735" t="s">
        <v>1</v>
      </c>
      <c r="B24735" t="str">
        <f>"13859012818"</f>
        <v>13859012818</v>
      </c>
      <c r="C24735" t="s">
        <v>1</v>
      </c>
      <c r="D24735" t="s">
        <v>1</v>
      </c>
      <c r="E24735" t="s">
        <v>1</v>
      </c>
      <c r="F24735" t="s">
        <v>0</v>
      </c>
      <c r="G24735" t="str">
        <f>"2018-10-06 10:57:10"</f>
        <v>2018-10-06 10:57:10</v>
      </c>
    </row>
    <row r="24736" spans="1:7" x14ac:dyDescent="0.2">
      <c r="A24736" t="s">
        <v>1</v>
      </c>
      <c r="B24736" t="str">
        <f>"15102927529"</f>
        <v>15102927529</v>
      </c>
      <c r="C24736" t="s">
        <v>1</v>
      </c>
      <c r="D24736" t="s">
        <v>1</v>
      </c>
      <c r="E24736" t="s">
        <v>1</v>
      </c>
      <c r="F24736" t="s">
        <v>0</v>
      </c>
      <c r="G24736" t="str">
        <f>"2018-10-06 10:56:58"</f>
        <v>2018-10-06 10:56:58</v>
      </c>
    </row>
    <row r="24737" spans="1:7" x14ac:dyDescent="0.2">
      <c r="A24737" t="s">
        <v>1</v>
      </c>
      <c r="B24737" t="str">
        <f>"15295084779"</f>
        <v>15295084779</v>
      </c>
      <c r="C24737" t="s">
        <v>1</v>
      </c>
      <c r="D24737" t="s">
        <v>1</v>
      </c>
      <c r="E24737" t="s">
        <v>1</v>
      </c>
      <c r="F24737" t="s">
        <v>0</v>
      </c>
      <c r="G24737" t="str">
        <f>"2018-10-06 10:56:54"</f>
        <v>2018-10-06 10:56:54</v>
      </c>
    </row>
    <row r="24738" spans="1:7" x14ac:dyDescent="0.2">
      <c r="A24738" t="s">
        <v>1</v>
      </c>
      <c r="B24738" t="str">
        <f>"15779122968"</f>
        <v>15779122968</v>
      </c>
      <c r="C24738" t="s">
        <v>1</v>
      </c>
      <c r="D24738" t="s">
        <v>1</v>
      </c>
      <c r="E24738" t="s">
        <v>1</v>
      </c>
      <c r="F24738" t="s">
        <v>0</v>
      </c>
      <c r="G24738" t="str">
        <f>"2018-10-06 10:56:52"</f>
        <v>2018-10-06 10:56:52</v>
      </c>
    </row>
    <row r="24739" spans="1:7" x14ac:dyDescent="0.2">
      <c r="A24739" t="s">
        <v>1141</v>
      </c>
      <c r="B24739" t="str">
        <f>"15673647881"</f>
        <v>15673647881</v>
      </c>
      <c r="C24739" t="str">
        <f>"430703199402179129"</f>
        <v>430703199402179129</v>
      </c>
      <c r="D24739" t="s">
        <v>1</v>
      </c>
      <c r="E24739" t="s">
        <v>1</v>
      </c>
      <c r="F24739" t="s">
        <v>0</v>
      </c>
      <c r="G24739" t="str">
        <f>"2018-10-06 10:57:25"</f>
        <v>2018-10-06 10:57:25</v>
      </c>
    </row>
    <row r="24740" spans="1:7" x14ac:dyDescent="0.2">
      <c r="A24740" t="s">
        <v>22875</v>
      </c>
      <c r="B24740" t="str">
        <f>"17695039861"</f>
        <v>17695039861</v>
      </c>
      <c r="C24740" t="str">
        <f>"640324199503152418"</f>
        <v>640324199503152418</v>
      </c>
      <c r="D24740" t="s">
        <v>1</v>
      </c>
      <c r="E24740" t="s">
        <v>1</v>
      </c>
      <c r="F24740" t="s">
        <v>0</v>
      </c>
      <c r="G24740" t="str">
        <f>"2018-10-06 10:58:12"</f>
        <v>2018-10-06 10:58:12</v>
      </c>
    </row>
    <row r="24741" spans="1:7" x14ac:dyDescent="0.2">
      <c r="A24741" t="s">
        <v>1</v>
      </c>
      <c r="B24741" t="str">
        <f>"13289115566"</f>
        <v>13289115566</v>
      </c>
      <c r="C24741" t="s">
        <v>1</v>
      </c>
      <c r="D24741" t="s">
        <v>1</v>
      </c>
      <c r="E24741" t="s">
        <v>1</v>
      </c>
      <c r="F24741" t="s">
        <v>0</v>
      </c>
      <c r="G24741" t="str">
        <f>"2018-10-06 10:56:08"</f>
        <v>2018-10-06 10:56:08</v>
      </c>
    </row>
    <row r="24742" spans="1:7" x14ac:dyDescent="0.2">
      <c r="A24742" t="s">
        <v>1</v>
      </c>
      <c r="B24742" t="str">
        <f>"13594805384"</f>
        <v>13594805384</v>
      </c>
      <c r="C24742" t="s">
        <v>1</v>
      </c>
      <c r="D24742" t="s">
        <v>1</v>
      </c>
      <c r="E24742" t="s">
        <v>1</v>
      </c>
      <c r="F24742" t="s">
        <v>0</v>
      </c>
      <c r="G24742" t="str">
        <f>"2018-10-06 10:56:02"</f>
        <v>2018-10-06 10:56:02</v>
      </c>
    </row>
    <row r="24743" spans="1:7" x14ac:dyDescent="0.2">
      <c r="A24743" t="s">
        <v>22876</v>
      </c>
      <c r="B24743" t="str">
        <f>"18772821552"</f>
        <v>18772821552</v>
      </c>
      <c r="C24743" t="str">
        <f>"320124198711053289"</f>
        <v>320124198711053289</v>
      </c>
      <c r="D24743" t="s">
        <v>1</v>
      </c>
      <c r="E24743" t="s">
        <v>1</v>
      </c>
      <c r="F24743" t="s">
        <v>0</v>
      </c>
      <c r="G24743" t="str">
        <f>"2018-10-06 10:57:32"</f>
        <v>2018-10-06 10:57:32</v>
      </c>
    </row>
    <row r="24744" spans="1:7" x14ac:dyDescent="0.2">
      <c r="A24744" t="s">
        <v>1</v>
      </c>
      <c r="B24744" t="str">
        <f>"18123490014"</f>
        <v>18123490014</v>
      </c>
      <c r="C24744" t="s">
        <v>1</v>
      </c>
      <c r="D24744" t="s">
        <v>1</v>
      </c>
      <c r="E24744" t="s">
        <v>1</v>
      </c>
      <c r="F24744" t="s">
        <v>0</v>
      </c>
      <c r="G24744" t="str">
        <f>"2018-10-06 10:55:27"</f>
        <v>2018-10-06 10:55:27</v>
      </c>
    </row>
    <row r="24745" spans="1:7" x14ac:dyDescent="0.2">
      <c r="A24745" t="s">
        <v>1</v>
      </c>
      <c r="B24745" t="str">
        <f>"18724869027"</f>
        <v>18724869027</v>
      </c>
      <c r="C24745" t="s">
        <v>1</v>
      </c>
      <c r="D24745" t="s">
        <v>1</v>
      </c>
      <c r="E24745" t="s">
        <v>1</v>
      </c>
      <c r="F24745" t="s">
        <v>0</v>
      </c>
      <c r="G24745" t="str">
        <f>"2018-10-06 10:55:21"</f>
        <v>2018-10-06 10:55:21</v>
      </c>
    </row>
    <row r="24746" spans="1:7" x14ac:dyDescent="0.2">
      <c r="A24746" t="s">
        <v>1</v>
      </c>
      <c r="B24746" t="str">
        <f>"18728127004"</f>
        <v>18728127004</v>
      </c>
      <c r="C24746" t="s">
        <v>1</v>
      </c>
      <c r="D24746" t="s">
        <v>1</v>
      </c>
      <c r="E24746" t="s">
        <v>1</v>
      </c>
      <c r="F24746" t="s">
        <v>0</v>
      </c>
      <c r="G24746" t="str">
        <f>"2018-10-06 10:55:13"</f>
        <v>2018-10-06 10:55:13</v>
      </c>
    </row>
    <row r="24747" spans="1:7" x14ac:dyDescent="0.2">
      <c r="A24747" t="s">
        <v>1</v>
      </c>
      <c r="B24747" t="str">
        <f>"18775122299"</f>
        <v>18775122299</v>
      </c>
      <c r="C24747" t="s">
        <v>1</v>
      </c>
      <c r="D24747" t="s">
        <v>1</v>
      </c>
      <c r="E24747" t="s">
        <v>1</v>
      </c>
      <c r="F24747" t="s">
        <v>0</v>
      </c>
      <c r="G24747" t="str">
        <f>"2018-10-06 10:55:12"</f>
        <v>2018-10-06 10:55:12</v>
      </c>
    </row>
    <row r="24748" spans="1:7" x14ac:dyDescent="0.2">
      <c r="A24748" t="s">
        <v>1248</v>
      </c>
      <c r="B24748" t="str">
        <f>"17602860185"</f>
        <v>17602860185</v>
      </c>
      <c r="C24748" t="str">
        <f>"510321197601011857"</f>
        <v>510321197601011857</v>
      </c>
      <c r="D24748" t="s">
        <v>1</v>
      </c>
      <c r="E24748" t="s">
        <v>1</v>
      </c>
      <c r="F24748" t="s">
        <v>0</v>
      </c>
      <c r="G24748" t="str">
        <f>"2018-10-06 10:54:59"</f>
        <v>2018-10-06 10:54:59</v>
      </c>
    </row>
    <row r="24749" spans="1:7" x14ac:dyDescent="0.2">
      <c r="A24749" t="s">
        <v>22877</v>
      </c>
      <c r="B24749" t="str">
        <f>"13203121212"</f>
        <v>13203121212</v>
      </c>
      <c r="C24749" t="str">
        <f>"430111198307090858"</f>
        <v>430111198307090858</v>
      </c>
      <c r="D24749" t="s">
        <v>22878</v>
      </c>
      <c r="E24749" t="s">
        <v>22879</v>
      </c>
      <c r="F24749" t="s">
        <v>0</v>
      </c>
      <c r="G24749" t="str">
        <f>"2018-10-14 16:49:10"</f>
        <v>2018-10-14 16:49:10</v>
      </c>
    </row>
    <row r="24750" spans="1:7" x14ac:dyDescent="0.2">
      <c r="A24750" t="s">
        <v>22880</v>
      </c>
      <c r="B24750" t="str">
        <f>"13283722555"</f>
        <v>13283722555</v>
      </c>
      <c r="C24750" t="str">
        <f>"410782198801161935"</f>
        <v>410782198801161935</v>
      </c>
      <c r="D24750" t="s">
        <v>1</v>
      </c>
      <c r="E24750" t="s">
        <v>1</v>
      </c>
      <c r="F24750" t="s">
        <v>0</v>
      </c>
      <c r="G24750" t="str">
        <f>"2018-10-06 10:55:38"</f>
        <v>2018-10-06 10:55:38</v>
      </c>
    </row>
    <row r="24751" spans="1:7" x14ac:dyDescent="0.2">
      <c r="A24751" t="s">
        <v>22881</v>
      </c>
      <c r="B24751" t="str">
        <f>"13072604871"</f>
        <v>13072604871</v>
      </c>
      <c r="C24751" t="str">
        <f>"410782199003011574"</f>
        <v>410782199003011574</v>
      </c>
      <c r="D24751" t="s">
        <v>1</v>
      </c>
      <c r="E24751" t="s">
        <v>1</v>
      </c>
      <c r="F24751" t="s">
        <v>0</v>
      </c>
      <c r="G24751" t="str">
        <f>"2018-10-06 10:54:23"</f>
        <v>2018-10-06 10:54:23</v>
      </c>
    </row>
    <row r="24752" spans="1:7" x14ac:dyDescent="0.2">
      <c r="A24752" t="s">
        <v>22882</v>
      </c>
      <c r="B24752" t="str">
        <f>"13026306961"</f>
        <v>13026306961</v>
      </c>
      <c r="C24752" t="str">
        <f>"420116199112060450"</f>
        <v>420116199112060450</v>
      </c>
      <c r="D24752" t="s">
        <v>22883</v>
      </c>
      <c r="E24752" t="s">
        <v>22884</v>
      </c>
      <c r="F24752" t="s">
        <v>0</v>
      </c>
      <c r="G24752" t="str">
        <f>"2018-10-06 10:55:55"</f>
        <v>2018-10-06 10:55:55</v>
      </c>
    </row>
    <row r="24753" spans="1:7" x14ac:dyDescent="0.2">
      <c r="A24753" t="s">
        <v>22885</v>
      </c>
      <c r="B24753" t="str">
        <f>"18688782822"</f>
        <v>18688782822</v>
      </c>
      <c r="C24753" t="str">
        <f>"500242199907276237"</f>
        <v>500242199907276237</v>
      </c>
      <c r="D24753" t="s">
        <v>1</v>
      </c>
      <c r="E24753" t="s">
        <v>1</v>
      </c>
      <c r="F24753" t="s">
        <v>0</v>
      </c>
      <c r="G24753" t="str">
        <f>"2018-10-06 10:56:43"</f>
        <v>2018-10-06 10:56:43</v>
      </c>
    </row>
    <row r="24754" spans="1:7" x14ac:dyDescent="0.2">
      <c r="A24754" t="s">
        <v>22886</v>
      </c>
      <c r="B24754" t="str">
        <f>"18087139779"</f>
        <v>18087139779</v>
      </c>
      <c r="C24754" t="str">
        <f>"532422197112262345"</f>
        <v>532422197112262345</v>
      </c>
      <c r="D24754" t="s">
        <v>1</v>
      </c>
      <c r="E24754" t="s">
        <v>1</v>
      </c>
      <c r="F24754" t="s">
        <v>0</v>
      </c>
      <c r="G24754" t="str">
        <f>"2018-10-06 10:54:42"</f>
        <v>2018-10-06 10:54:42</v>
      </c>
    </row>
    <row r="24755" spans="1:7" x14ac:dyDescent="0.2">
      <c r="A24755" t="s">
        <v>1</v>
      </c>
      <c r="B24755" t="str">
        <f>"13109091801"</f>
        <v>13109091801</v>
      </c>
      <c r="C24755" t="s">
        <v>1</v>
      </c>
      <c r="D24755" t="s">
        <v>1</v>
      </c>
      <c r="E24755" t="s">
        <v>1</v>
      </c>
      <c r="F24755" t="s">
        <v>0</v>
      </c>
      <c r="G24755" t="str">
        <f>"2018-10-06 10:55:53"</f>
        <v>2018-10-06 10:55:53</v>
      </c>
    </row>
    <row r="24756" spans="1:7" x14ac:dyDescent="0.2">
      <c r="A24756" t="s">
        <v>22887</v>
      </c>
      <c r="B24756" t="str">
        <f>"13267652371"</f>
        <v>13267652371</v>
      </c>
      <c r="C24756" t="str">
        <f>"440781199412021510"</f>
        <v>440781199412021510</v>
      </c>
      <c r="D24756" t="s">
        <v>22888</v>
      </c>
      <c r="E24756" t="s">
        <v>22889</v>
      </c>
      <c r="F24756" t="s">
        <v>0</v>
      </c>
      <c r="G24756" t="str">
        <f>"2018-10-06 11:47:41"</f>
        <v>2018-10-06 11:47:41</v>
      </c>
    </row>
    <row r="24757" spans="1:7" x14ac:dyDescent="0.2">
      <c r="A24757" t="s">
        <v>22890</v>
      </c>
      <c r="B24757" t="str">
        <f>"18080624947"</f>
        <v>18080624947</v>
      </c>
      <c r="C24757" t="str">
        <f>"35012219851102171X"</f>
        <v>35012219851102171X</v>
      </c>
      <c r="D24757" t="s">
        <v>1</v>
      </c>
      <c r="E24757" t="s">
        <v>1</v>
      </c>
      <c r="F24757" t="s">
        <v>0</v>
      </c>
      <c r="G24757" t="str">
        <f>"2018-10-06 10:52:39"</f>
        <v>2018-10-06 10:52:39</v>
      </c>
    </row>
    <row r="24758" spans="1:7" x14ac:dyDescent="0.2">
      <c r="A24758" t="s">
        <v>22891</v>
      </c>
      <c r="B24758" t="str">
        <f>"15141020200"</f>
        <v>15141020200</v>
      </c>
      <c r="C24758" t="str">
        <f>"211224198903225242"</f>
        <v>211224198903225242</v>
      </c>
      <c r="D24758" t="s">
        <v>1</v>
      </c>
      <c r="E24758" t="s">
        <v>1</v>
      </c>
      <c r="F24758" t="s">
        <v>0</v>
      </c>
      <c r="G24758" t="str">
        <f>"2018-10-06 10:52:31"</f>
        <v>2018-10-06 10:52:31</v>
      </c>
    </row>
    <row r="24759" spans="1:7" x14ac:dyDescent="0.2">
      <c r="A24759" t="s">
        <v>22892</v>
      </c>
      <c r="B24759" t="str">
        <f>"15562651811"</f>
        <v>15562651811</v>
      </c>
      <c r="C24759" t="str">
        <f>"370104198206273356"</f>
        <v>370104198206273356</v>
      </c>
      <c r="D24759" t="s">
        <v>1</v>
      </c>
      <c r="E24759" t="s">
        <v>1</v>
      </c>
      <c r="F24759" t="s">
        <v>0</v>
      </c>
      <c r="G24759" t="str">
        <f>"2018-10-22 14:51:45"</f>
        <v>2018-10-22 14:51:45</v>
      </c>
    </row>
    <row r="24760" spans="1:7" x14ac:dyDescent="0.2">
      <c r="A24760" t="s">
        <v>22893</v>
      </c>
      <c r="B24760" t="str">
        <f>"17694848415"</f>
        <v>17694848415</v>
      </c>
      <c r="C24760" t="str">
        <f>"610431199602151537"</f>
        <v>610431199602151537</v>
      </c>
      <c r="D24760" t="s">
        <v>1</v>
      </c>
      <c r="E24760" t="s">
        <v>1</v>
      </c>
      <c r="F24760" t="s">
        <v>0</v>
      </c>
      <c r="G24760" t="str">
        <f>"2018-10-06 10:53:47"</f>
        <v>2018-10-06 10:53:47</v>
      </c>
    </row>
    <row r="24761" spans="1:7" x14ac:dyDescent="0.2">
      <c r="A24761" t="s">
        <v>22894</v>
      </c>
      <c r="B24761" t="str">
        <f>"18760392330"</f>
        <v>18760392330</v>
      </c>
      <c r="C24761" t="str">
        <f>"533527199703151628"</f>
        <v>533527199703151628</v>
      </c>
      <c r="D24761" t="s">
        <v>1</v>
      </c>
      <c r="E24761" t="s">
        <v>1</v>
      </c>
      <c r="F24761" t="s">
        <v>0</v>
      </c>
      <c r="G24761" t="str">
        <f>"2018-10-06 10:53:06"</f>
        <v>2018-10-06 10:53:06</v>
      </c>
    </row>
    <row r="24762" spans="1:7" x14ac:dyDescent="0.2">
      <c r="A24762" t="s">
        <v>22895</v>
      </c>
      <c r="B24762" t="str">
        <f>"18947828122"</f>
        <v>18947828122</v>
      </c>
      <c r="C24762" t="str">
        <f>"152201197509230014"</f>
        <v>152201197509230014</v>
      </c>
      <c r="D24762" t="s">
        <v>1</v>
      </c>
      <c r="E24762" t="s">
        <v>1</v>
      </c>
      <c r="F24762" t="s">
        <v>0</v>
      </c>
      <c r="G24762" t="str">
        <f>"2018-10-06 10:53:20"</f>
        <v>2018-10-06 10:53:20</v>
      </c>
    </row>
    <row r="24763" spans="1:7" x14ac:dyDescent="0.2">
      <c r="A24763" t="s">
        <v>1</v>
      </c>
      <c r="B24763" t="str">
        <f>"13623863219"</f>
        <v>13623863219</v>
      </c>
      <c r="C24763" t="s">
        <v>1</v>
      </c>
      <c r="D24763" t="s">
        <v>1</v>
      </c>
      <c r="E24763" t="s">
        <v>1</v>
      </c>
      <c r="F24763" t="s">
        <v>0</v>
      </c>
      <c r="G24763" t="str">
        <f>"2018-10-06 10:51:47"</f>
        <v>2018-10-06 10:51:47</v>
      </c>
    </row>
    <row r="24764" spans="1:7" x14ac:dyDescent="0.2">
      <c r="A24764" t="s">
        <v>1</v>
      </c>
      <c r="B24764" t="str">
        <f>"13048880206"</f>
        <v>13048880206</v>
      </c>
      <c r="C24764" t="s">
        <v>1</v>
      </c>
      <c r="D24764" t="s">
        <v>1</v>
      </c>
      <c r="E24764" t="s">
        <v>1</v>
      </c>
      <c r="F24764" t="s">
        <v>0</v>
      </c>
      <c r="G24764" t="str">
        <f>"2018-10-06 10:51:38"</f>
        <v>2018-10-06 10:51:38</v>
      </c>
    </row>
    <row r="24765" spans="1:7" x14ac:dyDescent="0.2">
      <c r="A24765" t="s">
        <v>22896</v>
      </c>
      <c r="B24765" t="str">
        <f>"18946793466"</f>
        <v>18946793466</v>
      </c>
      <c r="C24765" t="str">
        <f>"220183198702104212"</f>
        <v>220183198702104212</v>
      </c>
      <c r="D24765" t="s">
        <v>1</v>
      </c>
      <c r="E24765" t="s">
        <v>1</v>
      </c>
      <c r="F24765" t="s">
        <v>0</v>
      </c>
      <c r="G24765" t="str">
        <f>"2018-10-06 10:51:32"</f>
        <v>2018-10-06 10:51:32</v>
      </c>
    </row>
    <row r="24766" spans="1:7" x14ac:dyDescent="0.2">
      <c r="A24766" t="s">
        <v>1</v>
      </c>
      <c r="B24766" t="str">
        <f>"18183850878"</f>
        <v>18183850878</v>
      </c>
      <c r="C24766" t="s">
        <v>1</v>
      </c>
      <c r="D24766" t="s">
        <v>1</v>
      </c>
      <c r="E24766" t="s">
        <v>1</v>
      </c>
      <c r="F24766" t="s">
        <v>0</v>
      </c>
      <c r="G24766" t="str">
        <f>"2018-10-06 10:51:15"</f>
        <v>2018-10-06 10:51:15</v>
      </c>
    </row>
    <row r="24767" spans="1:7" x14ac:dyDescent="0.2">
      <c r="A24767" t="s">
        <v>22897</v>
      </c>
      <c r="B24767" t="str">
        <f>"15256475264"</f>
        <v>15256475264</v>
      </c>
      <c r="C24767" t="str">
        <f>"341226199607114042"</f>
        <v>341226199607114042</v>
      </c>
      <c r="D24767" t="s">
        <v>1</v>
      </c>
      <c r="E24767" t="s">
        <v>1</v>
      </c>
      <c r="F24767" t="s">
        <v>0</v>
      </c>
      <c r="G24767" t="str">
        <f>"2018-10-06 10:53:58"</f>
        <v>2018-10-06 10:53:58</v>
      </c>
    </row>
    <row r="24768" spans="1:7" x14ac:dyDescent="0.2">
      <c r="A24768" t="s">
        <v>1</v>
      </c>
      <c r="B24768" t="str">
        <f>"17613635467"</f>
        <v>17613635467</v>
      </c>
      <c r="C24768" t="s">
        <v>1</v>
      </c>
      <c r="D24768" t="s">
        <v>1</v>
      </c>
      <c r="E24768" t="s">
        <v>1</v>
      </c>
      <c r="F24768" t="s">
        <v>0</v>
      </c>
      <c r="G24768" t="str">
        <f>"2018-10-06 10:50:28"</f>
        <v>2018-10-06 10:50:28</v>
      </c>
    </row>
    <row r="24769" spans="1:7" x14ac:dyDescent="0.2">
      <c r="A24769" t="s">
        <v>22898</v>
      </c>
      <c r="B24769" t="str">
        <f>"15260683296"</f>
        <v>15260683296</v>
      </c>
      <c r="C24769" t="str">
        <f>"360424198808260579"</f>
        <v>360424198808260579</v>
      </c>
      <c r="D24769" t="s">
        <v>1</v>
      </c>
      <c r="E24769" t="s">
        <v>1</v>
      </c>
      <c r="F24769" t="s">
        <v>0</v>
      </c>
      <c r="G24769" t="str">
        <f>"2018-10-12 09:39:32"</f>
        <v>2018-10-12 09:39:32</v>
      </c>
    </row>
    <row r="24770" spans="1:7" x14ac:dyDescent="0.2">
      <c r="A24770" t="s">
        <v>22899</v>
      </c>
      <c r="B24770" t="str">
        <f>"18509368115"</f>
        <v>18509368115</v>
      </c>
      <c r="C24770" t="str">
        <f>"622226199211113922"</f>
        <v>622226199211113922</v>
      </c>
      <c r="D24770" t="s">
        <v>1</v>
      </c>
      <c r="E24770" t="s">
        <v>1</v>
      </c>
      <c r="F24770" t="s">
        <v>0</v>
      </c>
      <c r="G24770" t="str">
        <f>"2018-11-05 11:23:39"</f>
        <v>2018-11-05 11:23:39</v>
      </c>
    </row>
    <row r="24771" spans="1:7" x14ac:dyDescent="0.2">
      <c r="A24771" t="s">
        <v>1</v>
      </c>
      <c r="B24771" t="str">
        <f>"15970892820"</f>
        <v>15970892820</v>
      </c>
      <c r="C24771" t="s">
        <v>1</v>
      </c>
      <c r="D24771" t="s">
        <v>1</v>
      </c>
      <c r="E24771" t="s">
        <v>1</v>
      </c>
      <c r="F24771" t="s">
        <v>0</v>
      </c>
      <c r="G24771" t="str">
        <f>"2018-10-06 10:50:17"</f>
        <v>2018-10-06 10:50:17</v>
      </c>
    </row>
    <row r="24772" spans="1:7" x14ac:dyDescent="0.2">
      <c r="A24772" t="s">
        <v>1</v>
      </c>
      <c r="B24772" t="str">
        <f>"18850120345"</f>
        <v>18850120345</v>
      </c>
      <c r="C24772" t="s">
        <v>1</v>
      </c>
      <c r="D24772" t="s">
        <v>1</v>
      </c>
      <c r="E24772" t="s">
        <v>1</v>
      </c>
      <c r="F24772" t="s">
        <v>0</v>
      </c>
      <c r="G24772" t="str">
        <f>"2018-10-06 10:51:40"</f>
        <v>2018-10-06 10:51:40</v>
      </c>
    </row>
    <row r="24773" spans="1:7" x14ac:dyDescent="0.2">
      <c r="A24773" t="s">
        <v>1</v>
      </c>
      <c r="B24773" t="str">
        <f>"13518047976"</f>
        <v>13518047976</v>
      </c>
      <c r="C24773" t="s">
        <v>1</v>
      </c>
      <c r="D24773" t="s">
        <v>1</v>
      </c>
      <c r="E24773" t="s">
        <v>1</v>
      </c>
      <c r="F24773" t="s">
        <v>0</v>
      </c>
      <c r="G24773" t="str">
        <f>"2018-10-06 10:51:06"</f>
        <v>2018-10-06 10:51:06</v>
      </c>
    </row>
    <row r="24774" spans="1:7" x14ac:dyDescent="0.2">
      <c r="A24774" t="s">
        <v>1</v>
      </c>
      <c r="B24774" t="str">
        <f>"18737369794"</f>
        <v>18737369794</v>
      </c>
      <c r="C24774" t="s">
        <v>1</v>
      </c>
      <c r="D24774" t="s">
        <v>1</v>
      </c>
      <c r="E24774" t="s">
        <v>1</v>
      </c>
      <c r="F24774" t="s">
        <v>0</v>
      </c>
      <c r="G24774" t="str">
        <f>"2018-10-06 10:49:31"</f>
        <v>2018-10-06 10:49:31</v>
      </c>
    </row>
    <row r="24775" spans="1:7" x14ac:dyDescent="0.2">
      <c r="A24775" t="s">
        <v>1</v>
      </c>
      <c r="B24775" t="str">
        <f>"15555760378"</f>
        <v>15555760378</v>
      </c>
      <c r="C24775" t="s">
        <v>1</v>
      </c>
      <c r="D24775" t="s">
        <v>1</v>
      </c>
      <c r="E24775" t="s">
        <v>1</v>
      </c>
      <c r="F24775" t="s">
        <v>0</v>
      </c>
      <c r="G24775" t="str">
        <f>"2018-10-06 10:49:19"</f>
        <v>2018-10-06 10:49:19</v>
      </c>
    </row>
    <row r="24776" spans="1:7" x14ac:dyDescent="0.2">
      <c r="A24776" t="s">
        <v>1</v>
      </c>
      <c r="B24776" t="str">
        <f>"18566059289"</f>
        <v>18566059289</v>
      </c>
      <c r="C24776" t="s">
        <v>1</v>
      </c>
      <c r="D24776" t="s">
        <v>1</v>
      </c>
      <c r="E24776" t="s">
        <v>1</v>
      </c>
      <c r="F24776" t="s">
        <v>0</v>
      </c>
      <c r="G24776" t="str">
        <f>"2018-10-06 10:50:17"</f>
        <v>2018-10-06 10:50:17</v>
      </c>
    </row>
    <row r="24777" spans="1:7" x14ac:dyDescent="0.2">
      <c r="A24777" t="s">
        <v>22900</v>
      </c>
      <c r="B24777" t="str">
        <f>"13773342835"</f>
        <v>13773342835</v>
      </c>
      <c r="C24777" t="str">
        <f>"321023197011130612"</f>
        <v>321023197011130612</v>
      </c>
      <c r="D24777" t="s">
        <v>22901</v>
      </c>
      <c r="E24777" t="s">
        <v>22902</v>
      </c>
      <c r="F24777" t="s">
        <v>0</v>
      </c>
      <c r="G24777" t="str">
        <f>"2018-10-13 17:20:30"</f>
        <v>2018-10-13 17:20:30</v>
      </c>
    </row>
    <row r="24778" spans="1:7" x14ac:dyDescent="0.2">
      <c r="A24778" t="s">
        <v>1</v>
      </c>
      <c r="B24778" t="str">
        <f>"18584665619"</f>
        <v>18584665619</v>
      </c>
      <c r="C24778" t="s">
        <v>1</v>
      </c>
      <c r="D24778" t="s">
        <v>1</v>
      </c>
      <c r="E24778" t="s">
        <v>1</v>
      </c>
      <c r="F24778" t="s">
        <v>0</v>
      </c>
      <c r="G24778" t="str">
        <f>"2018-10-06 10:48:05"</f>
        <v>2018-10-06 10:48:05</v>
      </c>
    </row>
    <row r="24779" spans="1:7" x14ac:dyDescent="0.2">
      <c r="A24779" t="s">
        <v>22903</v>
      </c>
      <c r="B24779" t="str">
        <f>"13676988379"</f>
        <v>13676988379</v>
      </c>
      <c r="C24779" t="str">
        <f>"41010219860414009X"</f>
        <v>41010219860414009X</v>
      </c>
      <c r="D24779" t="s">
        <v>1</v>
      </c>
      <c r="E24779" t="s">
        <v>1</v>
      </c>
      <c r="F24779" t="s">
        <v>0</v>
      </c>
      <c r="G24779" t="str">
        <f>"2018-10-06 10:52:51"</f>
        <v>2018-10-06 10:52:51</v>
      </c>
    </row>
    <row r="24780" spans="1:7" x14ac:dyDescent="0.2">
      <c r="A24780" t="s">
        <v>1</v>
      </c>
      <c r="B24780" t="str">
        <f>"18771627229"</f>
        <v>18771627229</v>
      </c>
      <c r="C24780" t="s">
        <v>1</v>
      </c>
      <c r="D24780" t="s">
        <v>1</v>
      </c>
      <c r="E24780" t="s">
        <v>1</v>
      </c>
      <c r="F24780" t="s">
        <v>0</v>
      </c>
      <c r="G24780" t="str">
        <f>"2018-10-06 10:47:55"</f>
        <v>2018-10-06 10:47:55</v>
      </c>
    </row>
    <row r="24781" spans="1:7" x14ac:dyDescent="0.2">
      <c r="A24781" t="s">
        <v>22904</v>
      </c>
      <c r="B24781" t="str">
        <f>"18698822003"</f>
        <v>18698822003</v>
      </c>
      <c r="C24781" t="str">
        <f>"210106198703110310"</f>
        <v>210106198703110310</v>
      </c>
      <c r="D24781" t="s">
        <v>1</v>
      </c>
      <c r="E24781" t="s">
        <v>1</v>
      </c>
      <c r="F24781" t="s">
        <v>0</v>
      </c>
      <c r="G24781" t="str">
        <f>"2018-10-07 18:40:54"</f>
        <v>2018-10-07 18:40:54</v>
      </c>
    </row>
    <row r="24782" spans="1:7" x14ac:dyDescent="0.2">
      <c r="A24782" t="s">
        <v>1</v>
      </c>
      <c r="B24782" t="str">
        <f>"18977684576"</f>
        <v>18977684576</v>
      </c>
      <c r="C24782" t="s">
        <v>1</v>
      </c>
      <c r="D24782" t="s">
        <v>1</v>
      </c>
      <c r="E24782" t="s">
        <v>1</v>
      </c>
      <c r="F24782" t="s">
        <v>0</v>
      </c>
      <c r="G24782" t="str">
        <f>"2018-10-06 10:47:33"</f>
        <v>2018-10-06 10:47:33</v>
      </c>
    </row>
    <row r="24783" spans="1:7" x14ac:dyDescent="0.2">
      <c r="A24783" t="s">
        <v>1605</v>
      </c>
      <c r="B24783" t="str">
        <f>"18669822626"</f>
        <v>18669822626</v>
      </c>
      <c r="C24783" t="str">
        <f>"370212198505271014"</f>
        <v>370212198505271014</v>
      </c>
      <c r="D24783" t="s">
        <v>1</v>
      </c>
      <c r="E24783" t="s">
        <v>1</v>
      </c>
      <c r="F24783" t="s">
        <v>0</v>
      </c>
      <c r="G24783" t="str">
        <f>"2018-10-06 10:53:02"</f>
        <v>2018-10-06 10:53:02</v>
      </c>
    </row>
    <row r="24784" spans="1:7" x14ac:dyDescent="0.2">
      <c r="A24784" t="s">
        <v>1</v>
      </c>
      <c r="B24784" t="str">
        <f>"13892693369"</f>
        <v>13892693369</v>
      </c>
      <c r="C24784" t="s">
        <v>1</v>
      </c>
      <c r="D24784" t="s">
        <v>1</v>
      </c>
      <c r="E24784" t="s">
        <v>1</v>
      </c>
      <c r="F24784" t="s">
        <v>0</v>
      </c>
      <c r="G24784" t="str">
        <f>"2018-10-06 10:47:18"</f>
        <v>2018-10-06 10:47:18</v>
      </c>
    </row>
    <row r="24785" spans="1:7" x14ac:dyDescent="0.2">
      <c r="A24785" t="s">
        <v>22905</v>
      </c>
      <c r="B24785" t="str">
        <f>"18376828607"</f>
        <v>18376828607</v>
      </c>
      <c r="C24785" t="str">
        <f>"452126198906231536"</f>
        <v>452126198906231536</v>
      </c>
      <c r="D24785" t="s">
        <v>1</v>
      </c>
      <c r="E24785" t="s">
        <v>1</v>
      </c>
      <c r="F24785" t="s">
        <v>0</v>
      </c>
      <c r="G24785" t="str">
        <f>"2018-10-06 10:47:56"</f>
        <v>2018-10-06 10:47:56</v>
      </c>
    </row>
    <row r="24786" spans="1:7" x14ac:dyDescent="0.2">
      <c r="A24786" t="s">
        <v>1</v>
      </c>
      <c r="B24786" t="str">
        <f>"17701594794"</f>
        <v>17701594794</v>
      </c>
      <c r="C24786" t="s">
        <v>1</v>
      </c>
      <c r="D24786" t="s">
        <v>1</v>
      </c>
      <c r="E24786" t="s">
        <v>1</v>
      </c>
      <c r="F24786" t="s">
        <v>0</v>
      </c>
      <c r="G24786" t="str">
        <f>"2018-10-06 10:47:00"</f>
        <v>2018-10-06 10:47:00</v>
      </c>
    </row>
    <row r="24787" spans="1:7" x14ac:dyDescent="0.2">
      <c r="A24787" t="s">
        <v>1</v>
      </c>
      <c r="B24787" t="str">
        <f>"18525385888"</f>
        <v>18525385888</v>
      </c>
      <c r="C24787" t="s">
        <v>1</v>
      </c>
      <c r="D24787" t="s">
        <v>1</v>
      </c>
      <c r="E24787" t="s">
        <v>1</v>
      </c>
      <c r="F24787" t="s">
        <v>0</v>
      </c>
      <c r="G24787" t="str">
        <f>"2018-10-06 10:46:53"</f>
        <v>2018-10-06 10:46:53</v>
      </c>
    </row>
    <row r="24788" spans="1:7" x14ac:dyDescent="0.2">
      <c r="A24788" t="s">
        <v>1</v>
      </c>
      <c r="B24788" t="str">
        <f>"15632295898"</f>
        <v>15632295898</v>
      </c>
      <c r="C24788" t="s">
        <v>1</v>
      </c>
      <c r="D24788" t="s">
        <v>1</v>
      </c>
      <c r="E24788" t="s">
        <v>1</v>
      </c>
      <c r="F24788" t="s">
        <v>0</v>
      </c>
      <c r="G24788" t="str">
        <f>"2018-10-06 10:48:10"</f>
        <v>2018-10-06 10:48:10</v>
      </c>
    </row>
    <row r="24789" spans="1:7" x14ac:dyDescent="0.2">
      <c r="A24789" t="s">
        <v>1</v>
      </c>
      <c r="B24789" t="str">
        <f>"17607183727"</f>
        <v>17607183727</v>
      </c>
      <c r="C24789" t="s">
        <v>1</v>
      </c>
      <c r="D24789" t="s">
        <v>1</v>
      </c>
      <c r="E24789" t="s">
        <v>1</v>
      </c>
      <c r="F24789" t="s">
        <v>0</v>
      </c>
      <c r="G24789" t="str">
        <f>"2018-10-12 07:54:03"</f>
        <v>2018-10-12 07:54:03</v>
      </c>
    </row>
    <row r="24790" spans="1:7" x14ac:dyDescent="0.2">
      <c r="A24790" t="s">
        <v>22906</v>
      </c>
      <c r="B24790" t="str">
        <f>"13375108216"</f>
        <v>13375108216</v>
      </c>
      <c r="C24790" t="str">
        <f>"320381198905283814"</f>
        <v>320381198905283814</v>
      </c>
      <c r="D24790" t="s">
        <v>1</v>
      </c>
      <c r="E24790" t="s">
        <v>1</v>
      </c>
      <c r="F24790" t="s">
        <v>0</v>
      </c>
      <c r="G24790" t="str">
        <f>"2018-10-06 14:07:42"</f>
        <v>2018-10-06 14:07:42</v>
      </c>
    </row>
    <row r="24791" spans="1:7" x14ac:dyDescent="0.2">
      <c r="A24791" t="s">
        <v>552</v>
      </c>
      <c r="B24791" t="str">
        <f>"18545645432"</f>
        <v>18545645432</v>
      </c>
      <c r="C24791" t="str">
        <f>"231121199411120018"</f>
        <v>231121199411120018</v>
      </c>
      <c r="D24791" t="s">
        <v>1</v>
      </c>
      <c r="E24791" t="s">
        <v>1</v>
      </c>
      <c r="F24791" t="s">
        <v>0</v>
      </c>
      <c r="G24791" t="str">
        <f>"2018-10-06 10:47:55"</f>
        <v>2018-10-06 10:47:55</v>
      </c>
    </row>
    <row r="24792" spans="1:7" x14ac:dyDescent="0.2">
      <c r="A24792" t="s">
        <v>22907</v>
      </c>
      <c r="B24792" t="str">
        <f>"13199188863"</f>
        <v>13199188863</v>
      </c>
      <c r="C24792" t="str">
        <f>"23102619880314124X"</f>
        <v>23102619880314124X</v>
      </c>
      <c r="D24792" t="s">
        <v>1</v>
      </c>
      <c r="E24792" t="s">
        <v>1</v>
      </c>
      <c r="F24792" t="s">
        <v>0</v>
      </c>
      <c r="G24792" t="str">
        <f>"2018-10-06 11:31:49"</f>
        <v>2018-10-06 11:31:49</v>
      </c>
    </row>
    <row r="24793" spans="1:7" x14ac:dyDescent="0.2">
      <c r="A24793" t="s">
        <v>22908</v>
      </c>
      <c r="B24793" t="str">
        <f>"15888100207"</f>
        <v>15888100207</v>
      </c>
      <c r="C24793" t="str">
        <f>"33022619880530128X"</f>
        <v>33022619880530128X</v>
      </c>
      <c r="D24793" t="s">
        <v>1</v>
      </c>
      <c r="E24793" t="s">
        <v>1</v>
      </c>
      <c r="F24793" t="s">
        <v>0</v>
      </c>
      <c r="G24793" t="str">
        <f>"2018-10-06 11:01:27"</f>
        <v>2018-10-06 11:01:27</v>
      </c>
    </row>
    <row r="24794" spans="1:7" x14ac:dyDescent="0.2">
      <c r="A24794" t="s">
        <v>1</v>
      </c>
      <c r="B24794" t="str">
        <f>"13764523981"</f>
        <v>13764523981</v>
      </c>
      <c r="C24794" t="s">
        <v>1</v>
      </c>
      <c r="D24794" t="s">
        <v>1</v>
      </c>
      <c r="E24794" t="s">
        <v>1</v>
      </c>
      <c r="F24794" t="s">
        <v>0</v>
      </c>
      <c r="G24794" t="str">
        <f>"2018-10-06 10:47:03"</f>
        <v>2018-10-06 10:47:03</v>
      </c>
    </row>
    <row r="24795" spans="1:7" x14ac:dyDescent="0.2">
      <c r="A24795" t="s">
        <v>1</v>
      </c>
      <c r="B24795" t="str">
        <f>"15558750360"</f>
        <v>15558750360</v>
      </c>
      <c r="C24795" t="s">
        <v>1</v>
      </c>
      <c r="D24795" t="s">
        <v>1</v>
      </c>
      <c r="E24795" t="s">
        <v>1</v>
      </c>
      <c r="F24795" t="s">
        <v>0</v>
      </c>
      <c r="G24795" t="str">
        <f>"2018-10-06 10:47:25"</f>
        <v>2018-10-06 10:47:25</v>
      </c>
    </row>
    <row r="24796" spans="1:7" x14ac:dyDescent="0.2">
      <c r="A24796" t="s">
        <v>1</v>
      </c>
      <c r="B24796" t="str">
        <f>"13275080449"</f>
        <v>13275080449</v>
      </c>
      <c r="C24796" t="s">
        <v>1</v>
      </c>
      <c r="D24796" t="s">
        <v>1</v>
      </c>
      <c r="E24796" t="s">
        <v>1</v>
      </c>
      <c r="F24796" t="s">
        <v>0</v>
      </c>
      <c r="G24796" t="str">
        <f>"2018-10-06 10:47:00"</f>
        <v>2018-10-06 10:47:00</v>
      </c>
    </row>
    <row r="24797" spans="1:7" x14ac:dyDescent="0.2">
      <c r="A24797" t="s">
        <v>22909</v>
      </c>
      <c r="B24797" t="str">
        <f>"18205705973"</f>
        <v>18205705973</v>
      </c>
      <c r="C24797" t="str">
        <f>"330802197705284029"</f>
        <v>330802197705284029</v>
      </c>
      <c r="D24797" t="s">
        <v>1</v>
      </c>
      <c r="E24797" t="s">
        <v>1</v>
      </c>
      <c r="F24797" t="s">
        <v>0</v>
      </c>
      <c r="G24797" t="str">
        <f>"2018-10-06 10:46:31"</f>
        <v>2018-10-06 10:46:31</v>
      </c>
    </row>
    <row r="24798" spans="1:7" x14ac:dyDescent="0.2">
      <c r="A24798" t="s">
        <v>1</v>
      </c>
      <c r="B24798" t="str">
        <f>"13207775652"</f>
        <v>13207775652</v>
      </c>
      <c r="C24798" t="s">
        <v>1</v>
      </c>
      <c r="D24798" t="s">
        <v>1</v>
      </c>
      <c r="E24798" t="s">
        <v>1</v>
      </c>
      <c r="F24798" t="s">
        <v>0</v>
      </c>
      <c r="G24798" t="str">
        <f>"2018-10-06 10:45:18"</f>
        <v>2018-10-06 10:45:18</v>
      </c>
    </row>
    <row r="24799" spans="1:7" x14ac:dyDescent="0.2">
      <c r="A24799" t="s">
        <v>1</v>
      </c>
      <c r="B24799" t="str">
        <f>"15680605500"</f>
        <v>15680605500</v>
      </c>
      <c r="C24799" t="s">
        <v>1</v>
      </c>
      <c r="D24799" t="s">
        <v>1</v>
      </c>
      <c r="E24799" t="s">
        <v>1</v>
      </c>
      <c r="F24799" t="s">
        <v>0</v>
      </c>
      <c r="G24799" t="str">
        <f>"2018-10-06 10:46:38"</f>
        <v>2018-10-06 10:46:38</v>
      </c>
    </row>
    <row r="24800" spans="1:7" x14ac:dyDescent="0.2">
      <c r="A24800" t="s">
        <v>22910</v>
      </c>
      <c r="B24800" t="str">
        <f>"15535969127"</f>
        <v>15535969127</v>
      </c>
      <c r="C24800" t="str">
        <f>"142701197912240031"</f>
        <v>142701197912240031</v>
      </c>
      <c r="D24800" t="s">
        <v>1</v>
      </c>
      <c r="E24800" t="s">
        <v>1</v>
      </c>
      <c r="F24800" t="s">
        <v>0</v>
      </c>
      <c r="G24800" t="str">
        <f>"2018-10-18 16:53:26"</f>
        <v>2018-10-18 16:53:26</v>
      </c>
    </row>
    <row r="24801" spans="1:7" x14ac:dyDescent="0.2">
      <c r="A24801" t="s">
        <v>1</v>
      </c>
      <c r="B24801" t="str">
        <f>"13154240333"</f>
        <v>13154240333</v>
      </c>
      <c r="C24801" t="s">
        <v>1</v>
      </c>
      <c r="D24801" t="s">
        <v>1</v>
      </c>
      <c r="E24801" t="s">
        <v>1</v>
      </c>
      <c r="F24801" t="s">
        <v>0</v>
      </c>
      <c r="G24801" t="str">
        <f>"2018-10-06 10:44:39"</f>
        <v>2018-10-06 10:44:39</v>
      </c>
    </row>
    <row r="24802" spans="1:7" x14ac:dyDescent="0.2">
      <c r="A24802" t="s">
        <v>1</v>
      </c>
      <c r="B24802" t="str">
        <f>"13858578798"</f>
        <v>13858578798</v>
      </c>
      <c r="C24802" t="s">
        <v>1</v>
      </c>
      <c r="D24802" t="s">
        <v>1</v>
      </c>
      <c r="E24802" t="s">
        <v>1</v>
      </c>
      <c r="F24802" t="s">
        <v>0</v>
      </c>
      <c r="G24802" t="str">
        <f>"2018-10-06 10:44:32"</f>
        <v>2018-10-06 10:44:32</v>
      </c>
    </row>
    <row r="24803" spans="1:7" x14ac:dyDescent="0.2">
      <c r="A24803" t="s">
        <v>22911</v>
      </c>
      <c r="B24803" t="str">
        <f>"13733288282"</f>
        <v>13733288282</v>
      </c>
      <c r="C24803" t="str">
        <f>"132401197407206627"</f>
        <v>132401197407206627</v>
      </c>
      <c r="D24803" t="s">
        <v>1</v>
      </c>
      <c r="E24803" t="s">
        <v>1</v>
      </c>
      <c r="F24803" t="s">
        <v>0</v>
      </c>
      <c r="G24803" t="str">
        <f>"2018-10-06 10:45:28"</f>
        <v>2018-10-06 10:45:28</v>
      </c>
    </row>
    <row r="24804" spans="1:7" x14ac:dyDescent="0.2">
      <c r="A24804" t="s">
        <v>22912</v>
      </c>
      <c r="B24804" t="str">
        <f>"18691803822"</f>
        <v>18691803822</v>
      </c>
      <c r="C24804" t="str">
        <f>"411023198907027569"</f>
        <v>411023198907027569</v>
      </c>
      <c r="D24804" t="s">
        <v>1</v>
      </c>
      <c r="E24804" t="s">
        <v>1</v>
      </c>
      <c r="F24804" t="s">
        <v>0</v>
      </c>
      <c r="G24804" t="str">
        <f>"2018-10-06 11:03:44"</f>
        <v>2018-10-06 11:03:44</v>
      </c>
    </row>
    <row r="24805" spans="1:7" x14ac:dyDescent="0.2">
      <c r="A24805" t="s">
        <v>1</v>
      </c>
      <c r="B24805" t="str">
        <f>"18674632099"</f>
        <v>18674632099</v>
      </c>
      <c r="C24805" t="s">
        <v>1</v>
      </c>
      <c r="D24805" t="s">
        <v>1</v>
      </c>
      <c r="E24805" t="s">
        <v>1</v>
      </c>
      <c r="F24805" t="s">
        <v>0</v>
      </c>
      <c r="G24805" t="str">
        <f>"2018-10-06 10:43:40"</f>
        <v>2018-10-06 10:43:40</v>
      </c>
    </row>
    <row r="24806" spans="1:7" x14ac:dyDescent="0.2">
      <c r="A24806" t="s">
        <v>1</v>
      </c>
      <c r="B24806" t="str">
        <f>"15860986616"</f>
        <v>15860986616</v>
      </c>
      <c r="C24806" t="s">
        <v>1</v>
      </c>
      <c r="D24806" t="s">
        <v>1</v>
      </c>
      <c r="E24806" t="s">
        <v>1</v>
      </c>
      <c r="F24806" t="s">
        <v>0</v>
      </c>
      <c r="G24806" t="str">
        <f>"2018-10-06 10:43:36"</f>
        <v>2018-10-06 10:43:36</v>
      </c>
    </row>
    <row r="24807" spans="1:7" x14ac:dyDescent="0.2">
      <c r="A24807" t="s">
        <v>22913</v>
      </c>
      <c r="B24807" t="str">
        <f>"17645792431"</f>
        <v>17645792431</v>
      </c>
      <c r="C24807" t="str">
        <f>"232131199605203317"</f>
        <v>232131199605203317</v>
      </c>
      <c r="D24807" t="s">
        <v>1</v>
      </c>
      <c r="E24807" t="s">
        <v>1</v>
      </c>
      <c r="F24807" t="s">
        <v>0</v>
      </c>
      <c r="G24807" t="str">
        <f>"2018-10-06 10:43:34"</f>
        <v>2018-10-06 10:43:34</v>
      </c>
    </row>
    <row r="24808" spans="1:7" x14ac:dyDescent="0.2">
      <c r="A24808" t="s">
        <v>1</v>
      </c>
      <c r="B24808" t="str">
        <f>"18177919389"</f>
        <v>18177919389</v>
      </c>
      <c r="C24808" t="s">
        <v>1</v>
      </c>
      <c r="D24808" t="s">
        <v>1</v>
      </c>
      <c r="E24808" t="s">
        <v>1</v>
      </c>
      <c r="F24808" t="s">
        <v>0</v>
      </c>
      <c r="G24808" t="str">
        <f>"2018-10-06 10:44:37"</f>
        <v>2018-10-06 10:44:37</v>
      </c>
    </row>
    <row r="24809" spans="1:7" x14ac:dyDescent="0.2">
      <c r="A24809" t="s">
        <v>1</v>
      </c>
      <c r="B24809" t="str">
        <f>"15868611631"</f>
        <v>15868611631</v>
      </c>
      <c r="C24809" t="s">
        <v>1</v>
      </c>
      <c r="D24809" t="s">
        <v>1</v>
      </c>
      <c r="E24809" t="s">
        <v>1</v>
      </c>
      <c r="F24809" t="s">
        <v>0</v>
      </c>
      <c r="G24809" t="str">
        <f>"2018-10-06 10:43:31"</f>
        <v>2018-10-06 10:43:31</v>
      </c>
    </row>
    <row r="24810" spans="1:7" x14ac:dyDescent="0.2">
      <c r="A24810" t="s">
        <v>1</v>
      </c>
      <c r="B24810" t="str">
        <f>"13066123949"</f>
        <v>13066123949</v>
      </c>
      <c r="C24810" t="s">
        <v>1</v>
      </c>
      <c r="D24810" t="s">
        <v>1</v>
      </c>
      <c r="E24810" t="s">
        <v>1</v>
      </c>
      <c r="F24810" t="s">
        <v>0</v>
      </c>
      <c r="G24810" t="str">
        <f>"2018-10-06 10:43:25"</f>
        <v>2018-10-06 10:43:25</v>
      </c>
    </row>
    <row r="24811" spans="1:7" x14ac:dyDescent="0.2">
      <c r="A24811" t="s">
        <v>22914</v>
      </c>
      <c r="B24811" t="str">
        <f>"15228310073"</f>
        <v>15228310073</v>
      </c>
      <c r="C24811" t="str">
        <f>"510724199710211612"</f>
        <v>510724199710211612</v>
      </c>
      <c r="D24811" t="s">
        <v>22915</v>
      </c>
      <c r="E24811" t="s">
        <v>22916</v>
      </c>
      <c r="F24811" t="s">
        <v>0</v>
      </c>
      <c r="G24811" t="str">
        <f>"2018-11-04 10:34:25"</f>
        <v>2018-11-04 10:34:25</v>
      </c>
    </row>
    <row r="24812" spans="1:7" x14ac:dyDescent="0.2">
      <c r="A24812" t="s">
        <v>1</v>
      </c>
      <c r="B24812" t="str">
        <f>"17760176958"</f>
        <v>17760176958</v>
      </c>
      <c r="C24812" t="s">
        <v>1</v>
      </c>
      <c r="D24812" t="s">
        <v>1</v>
      </c>
      <c r="E24812" t="s">
        <v>1</v>
      </c>
      <c r="F24812" t="s">
        <v>0</v>
      </c>
      <c r="G24812" t="str">
        <f>"2018-10-06 10:43:09"</f>
        <v>2018-10-06 10:43:09</v>
      </c>
    </row>
    <row r="24813" spans="1:7" x14ac:dyDescent="0.2">
      <c r="A24813" t="s">
        <v>22917</v>
      </c>
      <c r="B24813" t="str">
        <f>"13551501941"</f>
        <v>13551501941</v>
      </c>
      <c r="C24813" t="str">
        <f>"511011198505074731"</f>
        <v>511011198505074731</v>
      </c>
      <c r="D24813" t="s">
        <v>1</v>
      </c>
      <c r="E24813" t="s">
        <v>1</v>
      </c>
      <c r="F24813" t="s">
        <v>0</v>
      </c>
      <c r="G24813" t="str">
        <f>"2018-10-06 10:43:53"</f>
        <v>2018-10-06 10:43:53</v>
      </c>
    </row>
    <row r="24814" spans="1:7" x14ac:dyDescent="0.2">
      <c r="A24814" t="s">
        <v>22918</v>
      </c>
      <c r="B24814" t="str">
        <f>"13750710444"</f>
        <v>13750710444</v>
      </c>
      <c r="C24814" t="str">
        <f>"320324199502133261"</f>
        <v>320324199502133261</v>
      </c>
      <c r="D24814" t="s">
        <v>1</v>
      </c>
      <c r="E24814" t="s">
        <v>1</v>
      </c>
      <c r="F24814" t="s">
        <v>0</v>
      </c>
      <c r="G24814" t="str">
        <f>"2018-10-06 11:02:27"</f>
        <v>2018-10-06 11:02:27</v>
      </c>
    </row>
    <row r="24815" spans="1:7" x14ac:dyDescent="0.2">
      <c r="A24815" t="s">
        <v>1</v>
      </c>
      <c r="B24815" t="str">
        <f>"15825655412"</f>
        <v>15825655412</v>
      </c>
      <c r="C24815" t="s">
        <v>1</v>
      </c>
      <c r="D24815" t="s">
        <v>1</v>
      </c>
      <c r="E24815" t="s">
        <v>1</v>
      </c>
      <c r="F24815" t="s">
        <v>0</v>
      </c>
      <c r="G24815" t="str">
        <f>"2018-10-06 10:44:40"</f>
        <v>2018-10-06 10:44:40</v>
      </c>
    </row>
    <row r="24816" spans="1:7" x14ac:dyDescent="0.2">
      <c r="A24816" t="s">
        <v>22919</v>
      </c>
      <c r="B24816" t="str">
        <f>"13607443680"</f>
        <v>13607443680</v>
      </c>
      <c r="C24816" t="str">
        <f>"430102198806194022"</f>
        <v>430102198806194022</v>
      </c>
      <c r="D24816" t="s">
        <v>1</v>
      </c>
      <c r="E24816" t="s">
        <v>1</v>
      </c>
      <c r="F24816" t="s">
        <v>0</v>
      </c>
      <c r="G24816" t="str">
        <f>"2018-10-06 10:47:21"</f>
        <v>2018-10-06 10:47:21</v>
      </c>
    </row>
    <row r="24817" spans="1:7" x14ac:dyDescent="0.2">
      <c r="A24817" t="s">
        <v>1</v>
      </c>
      <c r="B24817" t="str">
        <f>"13999049624"</f>
        <v>13999049624</v>
      </c>
      <c r="C24817" t="s">
        <v>1</v>
      </c>
      <c r="D24817" t="s">
        <v>1</v>
      </c>
      <c r="E24817" t="s">
        <v>1</v>
      </c>
      <c r="F24817" t="s">
        <v>0</v>
      </c>
      <c r="G24817" t="str">
        <f>"2018-10-06 10:42:32"</f>
        <v>2018-10-06 10:42:32</v>
      </c>
    </row>
    <row r="24818" spans="1:7" x14ac:dyDescent="0.2">
      <c r="A24818" t="s">
        <v>88</v>
      </c>
      <c r="B24818" t="str">
        <f>"15563942991"</f>
        <v>15563942991</v>
      </c>
      <c r="C24818" t="str">
        <f>"37021219890108152X"</f>
        <v>37021219890108152X</v>
      </c>
      <c r="D24818" t="s">
        <v>22920</v>
      </c>
      <c r="E24818" t="s">
        <v>22921</v>
      </c>
      <c r="F24818" t="s">
        <v>0</v>
      </c>
      <c r="G24818" t="str">
        <f>"2018-10-08 13:35:23"</f>
        <v>2018-10-08 13:35:23</v>
      </c>
    </row>
    <row r="24819" spans="1:7" x14ac:dyDescent="0.2">
      <c r="A24819" t="s">
        <v>22922</v>
      </c>
      <c r="B24819" t="str">
        <f>"15378008890"</f>
        <v>15378008890</v>
      </c>
      <c r="C24819" t="str">
        <f>"62222619750312021X"</f>
        <v>62222619750312021X</v>
      </c>
      <c r="D24819" t="s">
        <v>1</v>
      </c>
      <c r="E24819" t="s">
        <v>1</v>
      </c>
      <c r="F24819" t="s">
        <v>0</v>
      </c>
      <c r="G24819" t="str">
        <f>"2018-10-15 17:51:08"</f>
        <v>2018-10-15 17:51:08</v>
      </c>
    </row>
    <row r="24820" spans="1:7" x14ac:dyDescent="0.2">
      <c r="A24820" t="s">
        <v>22923</v>
      </c>
      <c r="B24820" t="str">
        <f>"13084608118"</f>
        <v>13084608118</v>
      </c>
      <c r="C24820" t="str">
        <f>"330182198809242315"</f>
        <v>330182198809242315</v>
      </c>
      <c r="D24820" t="s">
        <v>1</v>
      </c>
      <c r="E24820" t="s">
        <v>1</v>
      </c>
      <c r="F24820" t="s">
        <v>0</v>
      </c>
      <c r="G24820" t="str">
        <f>"2018-10-06 10:43:16"</f>
        <v>2018-10-06 10:43:16</v>
      </c>
    </row>
    <row r="24821" spans="1:7" x14ac:dyDescent="0.2">
      <c r="A24821" t="s">
        <v>22924</v>
      </c>
      <c r="B24821" t="str">
        <f>"15364846236"</f>
        <v>15364846236</v>
      </c>
      <c r="C24821" t="str">
        <f>"142701199408302116"</f>
        <v>142701199408302116</v>
      </c>
      <c r="D24821" t="s">
        <v>22925</v>
      </c>
      <c r="E24821" t="s">
        <v>22926</v>
      </c>
      <c r="F24821" t="s">
        <v>0</v>
      </c>
      <c r="G24821" t="str">
        <f>"2018-10-06 10:59:15"</f>
        <v>2018-10-06 10:59:15</v>
      </c>
    </row>
    <row r="24822" spans="1:7" x14ac:dyDescent="0.2">
      <c r="A24822" t="s">
        <v>290</v>
      </c>
      <c r="B24822" t="str">
        <f>"13529336310"</f>
        <v>13529336310</v>
      </c>
      <c r="C24822" t="str">
        <f>"532527198709102338"</f>
        <v>532527198709102338</v>
      </c>
      <c r="D24822" t="s">
        <v>1</v>
      </c>
      <c r="E24822" t="s">
        <v>1</v>
      </c>
      <c r="F24822" t="s">
        <v>0</v>
      </c>
      <c r="G24822" t="str">
        <f>"2018-10-06 10:44:55"</f>
        <v>2018-10-06 10:44:55</v>
      </c>
    </row>
    <row r="24823" spans="1:7" x14ac:dyDescent="0.2">
      <c r="A24823" t="s">
        <v>6317</v>
      </c>
      <c r="B24823" t="str">
        <f>"13473425002"</f>
        <v>13473425002</v>
      </c>
      <c r="C24823" t="str">
        <f>"132423197703200033"</f>
        <v>132423197703200033</v>
      </c>
      <c r="D24823" t="s">
        <v>22927</v>
      </c>
      <c r="E24823" t="s">
        <v>22928</v>
      </c>
      <c r="F24823" t="s">
        <v>0</v>
      </c>
      <c r="G24823" t="str">
        <f>"2018-10-06 10:42:59"</f>
        <v>2018-10-06 10:42:59</v>
      </c>
    </row>
    <row r="24824" spans="1:7" x14ac:dyDescent="0.2">
      <c r="A24824" t="s">
        <v>1</v>
      </c>
      <c r="B24824" t="str">
        <f>"15647166586"</f>
        <v>15647166586</v>
      </c>
      <c r="C24824" t="s">
        <v>1</v>
      </c>
      <c r="D24824" t="s">
        <v>1</v>
      </c>
      <c r="E24824" t="s">
        <v>1</v>
      </c>
      <c r="F24824" t="s">
        <v>0</v>
      </c>
      <c r="G24824" t="str">
        <f>"2018-10-06 10:41:43"</f>
        <v>2018-10-06 10:41:43</v>
      </c>
    </row>
    <row r="24825" spans="1:7" x14ac:dyDescent="0.2">
      <c r="A24825" t="s">
        <v>1783</v>
      </c>
      <c r="B24825" t="str">
        <f>"18099625435"</f>
        <v>18099625435</v>
      </c>
      <c r="C24825" t="str">
        <f>"620321199309080366"</f>
        <v>620321199309080366</v>
      </c>
      <c r="D24825" t="s">
        <v>1</v>
      </c>
      <c r="E24825" t="s">
        <v>1</v>
      </c>
      <c r="F24825" t="s">
        <v>0</v>
      </c>
      <c r="G24825" t="str">
        <f>"2018-10-06 10:44:11"</f>
        <v>2018-10-06 10:44:11</v>
      </c>
    </row>
    <row r="24826" spans="1:7" x14ac:dyDescent="0.2">
      <c r="A24826" t="s">
        <v>492</v>
      </c>
      <c r="B24826" t="str">
        <f>"13834052287"</f>
        <v>13834052287</v>
      </c>
      <c r="C24826" t="str">
        <f>"140402197810080020"</f>
        <v>140402197810080020</v>
      </c>
      <c r="D24826" t="s">
        <v>1</v>
      </c>
      <c r="E24826" t="s">
        <v>1</v>
      </c>
      <c r="F24826" t="s">
        <v>0</v>
      </c>
      <c r="G24826" t="str">
        <f>"2018-10-06 10:45:40"</f>
        <v>2018-10-06 10:45:40</v>
      </c>
    </row>
    <row r="24827" spans="1:7" x14ac:dyDescent="0.2">
      <c r="A24827" t="s">
        <v>1363</v>
      </c>
      <c r="B24827" t="str">
        <f>"18841419616"</f>
        <v>18841419616</v>
      </c>
      <c r="C24827" t="str">
        <f>"21050219820510001X"</f>
        <v>21050219820510001X</v>
      </c>
      <c r="D24827" t="s">
        <v>22929</v>
      </c>
      <c r="E24827" t="s">
        <v>22930</v>
      </c>
      <c r="F24827" t="s">
        <v>0</v>
      </c>
      <c r="G24827" t="str">
        <f>"2018-10-06 10:46:16"</f>
        <v>2018-10-06 10:46:16</v>
      </c>
    </row>
    <row r="24828" spans="1:7" x14ac:dyDescent="0.2">
      <c r="A24828" t="s">
        <v>1</v>
      </c>
      <c r="B24828" t="str">
        <f>"15990814389"</f>
        <v>15990814389</v>
      </c>
      <c r="C24828" t="s">
        <v>1</v>
      </c>
      <c r="D24828" t="s">
        <v>1</v>
      </c>
      <c r="E24828" t="s">
        <v>1</v>
      </c>
      <c r="F24828" t="s">
        <v>0</v>
      </c>
      <c r="G24828" t="str">
        <f>"2018-10-06 10:40:58"</f>
        <v>2018-10-06 10:40:58</v>
      </c>
    </row>
    <row r="24829" spans="1:7" x14ac:dyDescent="0.2">
      <c r="A24829" t="s">
        <v>738</v>
      </c>
      <c r="B24829" t="str">
        <f>"18700914648"</f>
        <v>18700914648</v>
      </c>
      <c r="C24829" t="str">
        <f>"610302199206042526"</f>
        <v>610302199206042526</v>
      </c>
      <c r="D24829" t="s">
        <v>22931</v>
      </c>
      <c r="E24829" t="s">
        <v>22932</v>
      </c>
      <c r="F24829" t="s">
        <v>0</v>
      </c>
      <c r="G24829" t="str">
        <f>"2018-10-06 10:40:55"</f>
        <v>2018-10-06 10:40:55</v>
      </c>
    </row>
    <row r="24830" spans="1:7" x14ac:dyDescent="0.2">
      <c r="A24830" t="s">
        <v>1</v>
      </c>
      <c r="B24830" t="str">
        <f>"13599343613"</f>
        <v>13599343613</v>
      </c>
      <c r="C24830" t="s">
        <v>1</v>
      </c>
      <c r="D24830" t="s">
        <v>1</v>
      </c>
      <c r="E24830" t="s">
        <v>1</v>
      </c>
      <c r="F24830" t="s">
        <v>0</v>
      </c>
      <c r="G24830" t="str">
        <f>"2018-10-06 10:40:52"</f>
        <v>2018-10-06 10:40:52</v>
      </c>
    </row>
    <row r="24831" spans="1:7" x14ac:dyDescent="0.2">
      <c r="A24831" t="s">
        <v>1477</v>
      </c>
      <c r="B24831" t="str">
        <f>"13281785976"</f>
        <v>13281785976</v>
      </c>
      <c r="C24831" t="str">
        <f>"510922198605140772"</f>
        <v>510922198605140772</v>
      </c>
      <c r="D24831" t="s">
        <v>1</v>
      </c>
      <c r="E24831" t="s">
        <v>1</v>
      </c>
      <c r="F24831" t="s">
        <v>0</v>
      </c>
      <c r="G24831" t="str">
        <f>"2018-10-06 10:40:44"</f>
        <v>2018-10-06 10:40:44</v>
      </c>
    </row>
    <row r="24832" spans="1:7" x14ac:dyDescent="0.2">
      <c r="A24832" t="s">
        <v>1</v>
      </c>
      <c r="B24832" t="str">
        <f>"15634136651"</f>
        <v>15634136651</v>
      </c>
      <c r="C24832" t="s">
        <v>1</v>
      </c>
      <c r="D24832" t="s">
        <v>1</v>
      </c>
      <c r="E24832" t="s">
        <v>1</v>
      </c>
      <c r="F24832" t="s">
        <v>0</v>
      </c>
      <c r="G24832" t="str">
        <f>"2018-10-06 10:41:49"</f>
        <v>2018-10-06 10:41:49</v>
      </c>
    </row>
    <row r="24833" spans="1:7" x14ac:dyDescent="0.2">
      <c r="A24833" t="s">
        <v>1</v>
      </c>
      <c r="B24833" t="str">
        <f>"15606099112"</f>
        <v>15606099112</v>
      </c>
      <c r="C24833" t="s">
        <v>1</v>
      </c>
      <c r="D24833" t="s">
        <v>1</v>
      </c>
      <c r="E24833" t="s">
        <v>1</v>
      </c>
      <c r="F24833" t="s">
        <v>0</v>
      </c>
      <c r="G24833" t="str">
        <f>"2018-10-06 10:40:43"</f>
        <v>2018-10-06 10:40:43</v>
      </c>
    </row>
    <row r="24834" spans="1:7" x14ac:dyDescent="0.2">
      <c r="A24834" t="s">
        <v>520</v>
      </c>
      <c r="B24834" t="str">
        <f>"18678886301"</f>
        <v>18678886301</v>
      </c>
      <c r="C24834" t="str">
        <f>"370105198610262524"</f>
        <v>370105198610262524</v>
      </c>
      <c r="D24834" t="s">
        <v>1</v>
      </c>
      <c r="E24834" t="s">
        <v>1</v>
      </c>
      <c r="F24834" t="s">
        <v>0</v>
      </c>
      <c r="G24834" t="str">
        <f>"2018-10-18 10:55:00"</f>
        <v>2018-10-18 10:55:00</v>
      </c>
    </row>
    <row r="24835" spans="1:7" x14ac:dyDescent="0.2">
      <c r="A24835" t="s">
        <v>1</v>
      </c>
      <c r="B24835" t="str">
        <f>"18228070637"</f>
        <v>18228070637</v>
      </c>
      <c r="C24835" t="s">
        <v>1</v>
      </c>
      <c r="D24835" t="s">
        <v>1</v>
      </c>
      <c r="E24835" t="s">
        <v>1</v>
      </c>
      <c r="F24835" t="s">
        <v>0</v>
      </c>
      <c r="G24835" t="str">
        <f>"2018-10-06 10:42:52"</f>
        <v>2018-10-06 10:42:52</v>
      </c>
    </row>
    <row r="24836" spans="1:7" x14ac:dyDescent="0.2">
      <c r="A24836" t="s">
        <v>22933</v>
      </c>
      <c r="B24836" t="str">
        <f>"17681372352"</f>
        <v>17681372352</v>
      </c>
      <c r="C24836" t="str">
        <f>"341223199901112196"</f>
        <v>341223199901112196</v>
      </c>
      <c r="D24836" t="s">
        <v>1</v>
      </c>
      <c r="E24836" t="s">
        <v>1</v>
      </c>
      <c r="F24836" t="s">
        <v>0</v>
      </c>
      <c r="G24836" t="str">
        <f>"2018-10-06 10:41:09"</f>
        <v>2018-10-06 10:41:09</v>
      </c>
    </row>
    <row r="24837" spans="1:7" x14ac:dyDescent="0.2">
      <c r="A24837" t="s">
        <v>22934</v>
      </c>
      <c r="B24837" t="str">
        <f>"15254641314"</f>
        <v>15254641314</v>
      </c>
      <c r="C24837" t="str">
        <f>"370522198608290452"</f>
        <v>370522198608290452</v>
      </c>
      <c r="D24837" t="s">
        <v>1</v>
      </c>
      <c r="E24837" t="s">
        <v>1</v>
      </c>
      <c r="F24837" t="s">
        <v>0</v>
      </c>
      <c r="G24837" t="str">
        <f>"2018-10-06 10:39:49"</f>
        <v>2018-10-06 10:39:49</v>
      </c>
    </row>
    <row r="24838" spans="1:7" x14ac:dyDescent="0.2">
      <c r="A24838" t="s">
        <v>22935</v>
      </c>
      <c r="B24838" t="str">
        <f>"15372206366"</f>
        <v>15372206366</v>
      </c>
      <c r="C24838" t="str">
        <f>"511528198309127423"</f>
        <v>511528198309127423</v>
      </c>
      <c r="D24838" t="s">
        <v>1</v>
      </c>
      <c r="E24838" t="s">
        <v>1</v>
      </c>
      <c r="F24838" t="s">
        <v>0</v>
      </c>
      <c r="G24838" t="str">
        <f>"2018-10-08 09:23:16"</f>
        <v>2018-10-08 09:23:16</v>
      </c>
    </row>
    <row r="24839" spans="1:7" x14ac:dyDescent="0.2">
      <c r="A24839" t="s">
        <v>28</v>
      </c>
      <c r="B24839" t="str">
        <f>"15633384443"</f>
        <v>15633384443</v>
      </c>
      <c r="C24839" t="str">
        <f>"13022419890924761X"</f>
        <v>13022419890924761X</v>
      </c>
      <c r="D24839" t="s">
        <v>22936</v>
      </c>
      <c r="E24839" t="s">
        <v>22937</v>
      </c>
      <c r="F24839" t="s">
        <v>0</v>
      </c>
      <c r="G24839" t="str">
        <f>"2018-10-13 11:15:35"</f>
        <v>2018-10-13 11:15:35</v>
      </c>
    </row>
    <row r="24840" spans="1:7" x14ac:dyDescent="0.2">
      <c r="A24840" t="s">
        <v>1628</v>
      </c>
      <c r="B24840" t="str">
        <f>"18328563596"</f>
        <v>18328563596</v>
      </c>
      <c r="C24840" t="str">
        <f>"510321199912106326"</f>
        <v>510321199912106326</v>
      </c>
      <c r="D24840" t="s">
        <v>1</v>
      </c>
      <c r="E24840" t="s">
        <v>1</v>
      </c>
      <c r="F24840" t="s">
        <v>0</v>
      </c>
      <c r="G24840" t="str">
        <f>"2018-10-06 10:41:42"</f>
        <v>2018-10-06 10:41:42</v>
      </c>
    </row>
    <row r="24841" spans="1:7" x14ac:dyDescent="0.2">
      <c r="A24841" t="s">
        <v>1</v>
      </c>
      <c r="B24841" t="str">
        <f>"13009267387"</f>
        <v>13009267387</v>
      </c>
      <c r="C24841" t="s">
        <v>1</v>
      </c>
      <c r="D24841" t="s">
        <v>1</v>
      </c>
      <c r="E24841" t="s">
        <v>1</v>
      </c>
      <c r="F24841" t="s">
        <v>0</v>
      </c>
      <c r="G24841" t="str">
        <f>"2018-10-06 10:39:35"</f>
        <v>2018-10-06 10:39:35</v>
      </c>
    </row>
    <row r="24842" spans="1:7" x14ac:dyDescent="0.2">
      <c r="A24842" t="s">
        <v>22938</v>
      </c>
      <c r="B24842" t="str">
        <f>"18031133452"</f>
        <v>18031133452</v>
      </c>
      <c r="C24842" t="str">
        <f>"130131199011270613"</f>
        <v>130131199011270613</v>
      </c>
      <c r="D24842" t="s">
        <v>1</v>
      </c>
      <c r="E24842" t="s">
        <v>1</v>
      </c>
      <c r="F24842" t="s">
        <v>0</v>
      </c>
      <c r="G24842" t="str">
        <f>"2018-10-06 10:41:31"</f>
        <v>2018-10-06 10:41:31</v>
      </c>
    </row>
    <row r="24843" spans="1:7" x14ac:dyDescent="0.2">
      <c r="A24843" t="s">
        <v>718</v>
      </c>
      <c r="B24843" t="str">
        <f>"13002318333"</f>
        <v>13002318333</v>
      </c>
      <c r="C24843" t="str">
        <f>"510212197803200347"</f>
        <v>510212197803200347</v>
      </c>
      <c r="D24843" t="s">
        <v>1</v>
      </c>
      <c r="E24843" t="s">
        <v>1</v>
      </c>
      <c r="F24843" t="s">
        <v>0</v>
      </c>
      <c r="G24843" t="str">
        <f>"2018-10-26 02:22:48"</f>
        <v>2018-10-26 02:22:48</v>
      </c>
    </row>
    <row r="24844" spans="1:7" x14ac:dyDescent="0.2">
      <c r="A24844" t="s">
        <v>1</v>
      </c>
      <c r="B24844" t="str">
        <f>"15186492097"</f>
        <v>15186492097</v>
      </c>
      <c r="C24844" t="s">
        <v>1</v>
      </c>
      <c r="D24844" t="s">
        <v>1</v>
      </c>
      <c r="E24844" t="s">
        <v>1</v>
      </c>
      <c r="F24844" t="s">
        <v>0</v>
      </c>
      <c r="G24844" t="str">
        <f>"2018-10-06 10:39:14"</f>
        <v>2018-10-06 10:39:14</v>
      </c>
    </row>
    <row r="24845" spans="1:7" x14ac:dyDescent="0.2">
      <c r="A24845" t="s">
        <v>22939</v>
      </c>
      <c r="B24845" t="str">
        <f>"17686606130"</f>
        <v>17686606130</v>
      </c>
      <c r="C24845" t="str">
        <f>"370911198605134430"</f>
        <v>370911198605134430</v>
      </c>
      <c r="D24845" t="s">
        <v>22940</v>
      </c>
      <c r="E24845" t="s">
        <v>22941</v>
      </c>
      <c r="F24845" t="s">
        <v>0</v>
      </c>
      <c r="G24845" t="str">
        <f>"2018-10-06 10:40:32"</f>
        <v>2018-10-06 10:40:32</v>
      </c>
    </row>
    <row r="24846" spans="1:7" x14ac:dyDescent="0.2">
      <c r="A24846" t="s">
        <v>22942</v>
      </c>
      <c r="B24846" t="str">
        <f>"18341420297"</f>
        <v>18341420297</v>
      </c>
      <c r="C24846" t="str">
        <f>"210505198604282024"</f>
        <v>210505198604282024</v>
      </c>
      <c r="D24846" t="s">
        <v>22943</v>
      </c>
      <c r="E24846" t="s">
        <v>22944</v>
      </c>
      <c r="F24846" t="s">
        <v>0</v>
      </c>
      <c r="G24846" t="str">
        <f>"2018-10-06 10:39:49"</f>
        <v>2018-10-06 10:39:49</v>
      </c>
    </row>
    <row r="24847" spans="1:7" x14ac:dyDescent="0.2">
      <c r="A24847" t="s">
        <v>22945</v>
      </c>
      <c r="B24847" t="str">
        <f>"13005775835"</f>
        <v>13005775835</v>
      </c>
      <c r="C24847" t="str">
        <f>"46003019800215512X"</f>
        <v>46003019800215512X</v>
      </c>
      <c r="D24847" t="s">
        <v>1</v>
      </c>
      <c r="E24847" t="s">
        <v>1</v>
      </c>
      <c r="F24847" t="s">
        <v>0</v>
      </c>
      <c r="G24847" t="str">
        <f>"2018-10-06 11:04:49"</f>
        <v>2018-10-06 11:04:49</v>
      </c>
    </row>
    <row r="24848" spans="1:7" x14ac:dyDescent="0.2">
      <c r="A24848" t="s">
        <v>1</v>
      </c>
      <c r="B24848" t="str">
        <f>"13914204379"</f>
        <v>13914204379</v>
      </c>
      <c r="C24848" t="s">
        <v>1</v>
      </c>
      <c r="D24848" t="s">
        <v>1</v>
      </c>
      <c r="E24848" t="s">
        <v>1</v>
      </c>
      <c r="F24848" t="s">
        <v>0</v>
      </c>
      <c r="G24848" t="str">
        <f>"2018-10-06 10:38:49"</f>
        <v>2018-10-06 10:38:49</v>
      </c>
    </row>
    <row r="24849" spans="1:7" x14ac:dyDescent="0.2">
      <c r="A24849" t="s">
        <v>22946</v>
      </c>
      <c r="B24849" t="str">
        <f>"15601905390"</f>
        <v>15601905390</v>
      </c>
      <c r="C24849" t="str">
        <f>"350181198804102230"</f>
        <v>350181198804102230</v>
      </c>
      <c r="D24849" t="s">
        <v>1</v>
      </c>
      <c r="E24849" t="s">
        <v>1</v>
      </c>
      <c r="F24849" t="s">
        <v>0</v>
      </c>
      <c r="G24849" t="str">
        <f>"2018-10-06 10:40:52"</f>
        <v>2018-10-06 10:40:52</v>
      </c>
    </row>
    <row r="24850" spans="1:7" x14ac:dyDescent="0.2">
      <c r="A24850" t="s">
        <v>1</v>
      </c>
      <c r="B24850" t="str">
        <f>"18947442915"</f>
        <v>18947442915</v>
      </c>
      <c r="C24850" t="s">
        <v>1</v>
      </c>
      <c r="D24850" t="s">
        <v>1</v>
      </c>
      <c r="E24850" t="s">
        <v>1</v>
      </c>
      <c r="F24850" t="s">
        <v>0</v>
      </c>
      <c r="G24850" t="str">
        <f>"2018-10-06 10:38:42"</f>
        <v>2018-10-06 10:38:42</v>
      </c>
    </row>
    <row r="24851" spans="1:7" x14ac:dyDescent="0.2">
      <c r="A24851" t="s">
        <v>22947</v>
      </c>
      <c r="B24851" t="str">
        <f>"18170252277"</f>
        <v>18170252277</v>
      </c>
      <c r="C24851" t="str">
        <f>"360102198812252817"</f>
        <v>360102198812252817</v>
      </c>
      <c r="D24851" t="s">
        <v>1</v>
      </c>
      <c r="E24851" t="s">
        <v>1</v>
      </c>
      <c r="F24851" t="s">
        <v>0</v>
      </c>
      <c r="G24851" t="str">
        <f>"2018-10-06 10:40:19"</f>
        <v>2018-10-06 10:40:19</v>
      </c>
    </row>
    <row r="24852" spans="1:7" x14ac:dyDescent="0.2">
      <c r="A24852" t="s">
        <v>367</v>
      </c>
      <c r="B24852" t="str">
        <f>"15990996891"</f>
        <v>15990996891</v>
      </c>
      <c r="C24852" t="str">
        <f>"370881198708153558"</f>
        <v>370881198708153558</v>
      </c>
      <c r="D24852" t="s">
        <v>1</v>
      </c>
      <c r="E24852" t="s">
        <v>1</v>
      </c>
      <c r="F24852" t="s">
        <v>0</v>
      </c>
      <c r="G24852" t="str">
        <f>"2018-10-06 10:39:30"</f>
        <v>2018-10-06 10:39:30</v>
      </c>
    </row>
    <row r="24853" spans="1:7" x14ac:dyDescent="0.2">
      <c r="A24853" t="s">
        <v>1</v>
      </c>
      <c r="B24853" t="str">
        <f>"18660957067"</f>
        <v>18660957067</v>
      </c>
      <c r="C24853" t="s">
        <v>1</v>
      </c>
      <c r="D24853" t="s">
        <v>1</v>
      </c>
      <c r="E24853" t="s">
        <v>1</v>
      </c>
      <c r="F24853" t="s">
        <v>0</v>
      </c>
      <c r="G24853" t="str">
        <f>"2018-10-06 10:38:21"</f>
        <v>2018-10-06 10:38:21</v>
      </c>
    </row>
    <row r="24854" spans="1:7" x14ac:dyDescent="0.2">
      <c r="A24854" t="s">
        <v>1</v>
      </c>
      <c r="B24854" t="str">
        <f>"13309989630"</f>
        <v>13309989630</v>
      </c>
      <c r="C24854" t="s">
        <v>1</v>
      </c>
      <c r="D24854" t="s">
        <v>1</v>
      </c>
      <c r="E24854" t="s">
        <v>1</v>
      </c>
      <c r="F24854" t="s">
        <v>0</v>
      </c>
      <c r="G24854" t="str">
        <f>"2018-10-06 10:38:21"</f>
        <v>2018-10-06 10:38:21</v>
      </c>
    </row>
    <row r="24855" spans="1:7" x14ac:dyDescent="0.2">
      <c r="A24855" t="s">
        <v>1</v>
      </c>
      <c r="B24855" t="str">
        <f>"18020055585"</f>
        <v>18020055585</v>
      </c>
      <c r="C24855" t="s">
        <v>1</v>
      </c>
      <c r="D24855" t="s">
        <v>1</v>
      </c>
      <c r="E24855" t="s">
        <v>1</v>
      </c>
      <c r="F24855" t="s">
        <v>0</v>
      </c>
      <c r="G24855" t="str">
        <f>"2018-10-06 10:38:19"</f>
        <v>2018-10-06 10:38:19</v>
      </c>
    </row>
    <row r="24856" spans="1:7" x14ac:dyDescent="0.2">
      <c r="A24856" t="s">
        <v>22948</v>
      </c>
      <c r="B24856" t="str">
        <f>"18758918988"</f>
        <v>18758918988</v>
      </c>
      <c r="C24856" t="str">
        <f>"330106197211280818"</f>
        <v>330106197211280818</v>
      </c>
      <c r="D24856" t="s">
        <v>1</v>
      </c>
      <c r="E24856" t="s">
        <v>1</v>
      </c>
      <c r="F24856" t="s">
        <v>0</v>
      </c>
      <c r="G24856" t="str">
        <f>"2018-10-06 10:39:04"</f>
        <v>2018-10-06 10:39:04</v>
      </c>
    </row>
    <row r="24857" spans="1:7" x14ac:dyDescent="0.2">
      <c r="A24857" t="s">
        <v>22949</v>
      </c>
      <c r="B24857" t="str">
        <f>"17569043451"</f>
        <v>17569043451</v>
      </c>
      <c r="C24857" t="str">
        <f>"220182198911161110"</f>
        <v>220182198911161110</v>
      </c>
      <c r="D24857" t="s">
        <v>1</v>
      </c>
      <c r="E24857" t="s">
        <v>1</v>
      </c>
      <c r="F24857" t="s">
        <v>0</v>
      </c>
      <c r="G24857" t="str">
        <f>"2018-10-06 10:38:52"</f>
        <v>2018-10-06 10:38:52</v>
      </c>
    </row>
    <row r="24858" spans="1:7" x14ac:dyDescent="0.2">
      <c r="A24858" t="s">
        <v>1</v>
      </c>
      <c r="B24858" t="str">
        <f>"18093407664"</f>
        <v>18093407664</v>
      </c>
      <c r="C24858" t="s">
        <v>1</v>
      </c>
      <c r="D24858" t="s">
        <v>1</v>
      </c>
      <c r="E24858" t="s">
        <v>1</v>
      </c>
      <c r="F24858" t="s">
        <v>0</v>
      </c>
      <c r="G24858" t="str">
        <f>"2018-10-06 10:38:07"</f>
        <v>2018-10-06 10:38:07</v>
      </c>
    </row>
    <row r="24859" spans="1:7" x14ac:dyDescent="0.2">
      <c r="A24859" t="s">
        <v>1660</v>
      </c>
      <c r="B24859" t="str">
        <f>"18635323331"</f>
        <v>18635323331</v>
      </c>
      <c r="C24859" t="str">
        <f>"142228199303290617"</f>
        <v>142228199303290617</v>
      </c>
      <c r="D24859" t="s">
        <v>22950</v>
      </c>
      <c r="E24859" t="s">
        <v>22951</v>
      </c>
      <c r="F24859" t="s">
        <v>0</v>
      </c>
      <c r="G24859" t="str">
        <f>"2018-10-06 10:39:37"</f>
        <v>2018-10-06 10:39:37</v>
      </c>
    </row>
    <row r="24860" spans="1:7" x14ac:dyDescent="0.2">
      <c r="A24860" t="s">
        <v>22952</v>
      </c>
      <c r="B24860" t="str">
        <f>"18692249920"</f>
        <v>18692249920</v>
      </c>
      <c r="C24860" t="str">
        <f>"432502199012137630"</f>
        <v>432502199012137630</v>
      </c>
      <c r="D24860" t="s">
        <v>1</v>
      </c>
      <c r="E24860" t="s">
        <v>1</v>
      </c>
      <c r="F24860" t="s">
        <v>0</v>
      </c>
      <c r="G24860" t="str">
        <f>"2018-10-26 11:01:16"</f>
        <v>2018-10-26 11:01:16</v>
      </c>
    </row>
    <row r="24861" spans="1:7" x14ac:dyDescent="0.2">
      <c r="A24861" t="s">
        <v>1</v>
      </c>
      <c r="B24861" t="str">
        <f>"13735378887"</f>
        <v>13735378887</v>
      </c>
      <c r="C24861" t="s">
        <v>1</v>
      </c>
      <c r="D24861" t="s">
        <v>1</v>
      </c>
      <c r="E24861" t="s">
        <v>1</v>
      </c>
      <c r="F24861" t="s">
        <v>0</v>
      </c>
      <c r="G24861" t="str">
        <f>"2018-10-06 10:38:00"</f>
        <v>2018-10-06 10:38:00</v>
      </c>
    </row>
    <row r="24862" spans="1:7" x14ac:dyDescent="0.2">
      <c r="A24862" t="s">
        <v>1</v>
      </c>
      <c r="B24862" t="str">
        <f>"13147815217"</f>
        <v>13147815217</v>
      </c>
      <c r="C24862" t="s">
        <v>1</v>
      </c>
      <c r="D24862" t="s">
        <v>1</v>
      </c>
      <c r="E24862" t="s">
        <v>1</v>
      </c>
      <c r="F24862" t="s">
        <v>0</v>
      </c>
      <c r="G24862" t="str">
        <f>"2018-10-06 10:37:49"</f>
        <v>2018-10-06 10:37:49</v>
      </c>
    </row>
    <row r="24863" spans="1:7" x14ac:dyDescent="0.2">
      <c r="A24863" t="s">
        <v>462</v>
      </c>
      <c r="B24863" t="str">
        <f>"15595039848"</f>
        <v>15595039848</v>
      </c>
      <c r="C24863" t="str">
        <f>"640324199003051258"</f>
        <v>640324199003051258</v>
      </c>
      <c r="D24863" t="s">
        <v>22953</v>
      </c>
      <c r="E24863" t="s">
        <v>22954</v>
      </c>
      <c r="F24863" t="s">
        <v>0</v>
      </c>
      <c r="G24863" t="str">
        <f>"2018-10-06 10:37:49"</f>
        <v>2018-10-06 10:37:49</v>
      </c>
    </row>
    <row r="24864" spans="1:7" x14ac:dyDescent="0.2">
      <c r="A24864" t="s">
        <v>1451</v>
      </c>
      <c r="B24864" t="str">
        <f>"17733672451"</f>
        <v>17733672451</v>
      </c>
      <c r="C24864" t="str">
        <f>"230206199612040242"</f>
        <v>230206199612040242</v>
      </c>
      <c r="D24864" t="s">
        <v>1</v>
      </c>
      <c r="E24864" t="s">
        <v>1</v>
      </c>
      <c r="F24864" t="s">
        <v>0</v>
      </c>
      <c r="G24864" t="str">
        <f>"2018-10-11 20:11:46"</f>
        <v>2018-10-11 20:11:46</v>
      </c>
    </row>
    <row r="24865" spans="1:7" x14ac:dyDescent="0.2">
      <c r="A24865" t="s">
        <v>602</v>
      </c>
      <c r="B24865" t="str">
        <f>"15610279369"</f>
        <v>15610279369</v>
      </c>
      <c r="C24865" t="str">
        <f>"370783198409063971"</f>
        <v>370783198409063971</v>
      </c>
      <c r="D24865" t="s">
        <v>1</v>
      </c>
      <c r="E24865" t="s">
        <v>1</v>
      </c>
      <c r="F24865" t="s">
        <v>0</v>
      </c>
      <c r="G24865" t="str">
        <f>"2018-10-06 10:39:03"</f>
        <v>2018-10-06 10:39:03</v>
      </c>
    </row>
    <row r="24866" spans="1:7" x14ac:dyDescent="0.2">
      <c r="A24866" t="s">
        <v>22955</v>
      </c>
      <c r="B24866" t="str">
        <f>"18136150870"</f>
        <v>18136150870</v>
      </c>
      <c r="C24866" t="str">
        <f>"34082519850426281X"</f>
        <v>34082519850426281X</v>
      </c>
      <c r="D24866" t="s">
        <v>1</v>
      </c>
      <c r="E24866" t="s">
        <v>1</v>
      </c>
      <c r="F24866" t="s">
        <v>0</v>
      </c>
      <c r="G24866" t="str">
        <f>"2018-10-06 11:01:20"</f>
        <v>2018-10-06 11:01:20</v>
      </c>
    </row>
    <row r="24867" spans="1:7" x14ac:dyDescent="0.2">
      <c r="A24867" t="s">
        <v>22956</v>
      </c>
      <c r="B24867" t="str">
        <f>"18607742886"</f>
        <v>18607742886</v>
      </c>
      <c r="C24867" t="str">
        <f>"452421198002103843"</f>
        <v>452421198002103843</v>
      </c>
      <c r="D24867" t="s">
        <v>1</v>
      </c>
      <c r="E24867" t="s">
        <v>1</v>
      </c>
      <c r="F24867" t="s">
        <v>0</v>
      </c>
      <c r="G24867" t="str">
        <f>"2018-10-06 10:39:57"</f>
        <v>2018-10-06 10:39:57</v>
      </c>
    </row>
    <row r="24868" spans="1:7" x14ac:dyDescent="0.2">
      <c r="A24868" t="s">
        <v>22957</v>
      </c>
      <c r="B24868" t="str">
        <f>"18187716606"</f>
        <v>18187716606</v>
      </c>
      <c r="C24868" t="str">
        <f>"530425198904260016"</f>
        <v>530425198904260016</v>
      </c>
      <c r="D24868" t="s">
        <v>1</v>
      </c>
      <c r="E24868" t="s">
        <v>1</v>
      </c>
      <c r="F24868" t="s">
        <v>0</v>
      </c>
      <c r="G24868" t="str">
        <f>"2018-10-06 10:39:04"</f>
        <v>2018-10-06 10:39:04</v>
      </c>
    </row>
    <row r="24869" spans="1:7" x14ac:dyDescent="0.2">
      <c r="A24869" t="s">
        <v>22958</v>
      </c>
      <c r="B24869" t="str">
        <f>"18328519779"</f>
        <v>18328519779</v>
      </c>
      <c r="C24869" t="str">
        <f>"511124199504063813"</f>
        <v>511124199504063813</v>
      </c>
      <c r="D24869" t="s">
        <v>1</v>
      </c>
      <c r="E24869" t="s">
        <v>1</v>
      </c>
      <c r="F24869" t="s">
        <v>0</v>
      </c>
      <c r="G24869" t="str">
        <f>"2018-10-06 10:38:30"</f>
        <v>2018-10-06 10:38:30</v>
      </c>
    </row>
    <row r="24870" spans="1:7" x14ac:dyDescent="0.2">
      <c r="A24870" t="s">
        <v>1</v>
      </c>
      <c r="B24870" t="str">
        <f>"13330993694"</f>
        <v>13330993694</v>
      </c>
      <c r="C24870" t="s">
        <v>1</v>
      </c>
      <c r="D24870" t="s">
        <v>1</v>
      </c>
      <c r="E24870" t="s">
        <v>1</v>
      </c>
      <c r="F24870" t="s">
        <v>0</v>
      </c>
      <c r="G24870" t="str">
        <f>"2018-10-06 10:40:46"</f>
        <v>2018-10-06 10:40:46</v>
      </c>
    </row>
    <row r="24871" spans="1:7" x14ac:dyDescent="0.2">
      <c r="A24871" t="s">
        <v>1</v>
      </c>
      <c r="B24871" t="str">
        <f>"18659843060"</f>
        <v>18659843060</v>
      </c>
      <c r="C24871" t="s">
        <v>1</v>
      </c>
      <c r="D24871" t="s">
        <v>1</v>
      </c>
      <c r="E24871" t="s">
        <v>1</v>
      </c>
      <c r="F24871" t="s">
        <v>0</v>
      </c>
      <c r="G24871" t="str">
        <f>"2018-10-06 10:37:16"</f>
        <v>2018-10-06 10:37:16</v>
      </c>
    </row>
    <row r="24872" spans="1:7" x14ac:dyDescent="0.2">
      <c r="A24872" t="s">
        <v>22959</v>
      </c>
      <c r="B24872" t="str">
        <f>"17785221559"</f>
        <v>17785221559</v>
      </c>
      <c r="C24872" t="str">
        <f>"522132198809263814"</f>
        <v>522132198809263814</v>
      </c>
      <c r="D24872" t="s">
        <v>1</v>
      </c>
      <c r="E24872" t="s">
        <v>1</v>
      </c>
      <c r="F24872" t="s">
        <v>0</v>
      </c>
      <c r="G24872" t="str">
        <f>"2018-10-06 11:14:20"</f>
        <v>2018-10-06 11:14:20</v>
      </c>
    </row>
    <row r="24873" spans="1:7" x14ac:dyDescent="0.2">
      <c r="A24873" t="s">
        <v>22960</v>
      </c>
      <c r="B24873" t="str">
        <f>"18660970530"</f>
        <v>18660970530</v>
      </c>
      <c r="C24873" t="str">
        <f>"371326199009156112"</f>
        <v>371326199009156112</v>
      </c>
      <c r="D24873" t="s">
        <v>22961</v>
      </c>
      <c r="E24873" t="s">
        <v>22962</v>
      </c>
      <c r="F24873" t="s">
        <v>0</v>
      </c>
      <c r="G24873" t="str">
        <f>"2018-10-06 10:41:21"</f>
        <v>2018-10-06 10:41:21</v>
      </c>
    </row>
    <row r="24874" spans="1:7" x14ac:dyDescent="0.2">
      <c r="A24874" t="s">
        <v>22963</v>
      </c>
      <c r="B24874" t="str">
        <f>"18661797648"</f>
        <v>18661797648</v>
      </c>
      <c r="C24874" t="str">
        <f>"370205197604084523"</f>
        <v>370205197604084523</v>
      </c>
      <c r="D24874" t="s">
        <v>1</v>
      </c>
      <c r="E24874" t="s">
        <v>1</v>
      </c>
      <c r="F24874" t="s">
        <v>0</v>
      </c>
      <c r="G24874" t="str">
        <f>"2018-10-06 10:38:59"</f>
        <v>2018-10-06 10:38:59</v>
      </c>
    </row>
    <row r="24875" spans="1:7" x14ac:dyDescent="0.2">
      <c r="A24875" t="s">
        <v>22964</v>
      </c>
      <c r="B24875" t="str">
        <f>"18032018022"</f>
        <v>18032018022</v>
      </c>
      <c r="C24875" t="str">
        <f>"130102197511150617"</f>
        <v>130102197511150617</v>
      </c>
      <c r="D24875" t="s">
        <v>22965</v>
      </c>
      <c r="E24875" t="s">
        <v>22966</v>
      </c>
      <c r="F24875" t="s">
        <v>0</v>
      </c>
      <c r="G24875" t="str">
        <f>"2018-10-06 10:38:09"</f>
        <v>2018-10-06 10:38:09</v>
      </c>
    </row>
    <row r="24876" spans="1:7" x14ac:dyDescent="0.2">
      <c r="A24876" t="s">
        <v>22967</v>
      </c>
      <c r="B24876" t="str">
        <f>"13356807444"</f>
        <v>13356807444</v>
      </c>
      <c r="C24876" t="str">
        <f>"371082198909146710"</f>
        <v>371082198909146710</v>
      </c>
      <c r="D24876" t="s">
        <v>1</v>
      </c>
      <c r="E24876" t="s">
        <v>1</v>
      </c>
      <c r="F24876" t="s">
        <v>0</v>
      </c>
      <c r="G24876" t="str">
        <f>"2018-10-06 23:18:32"</f>
        <v>2018-10-06 23:18:32</v>
      </c>
    </row>
    <row r="24877" spans="1:7" x14ac:dyDescent="0.2">
      <c r="A24877" t="s">
        <v>1</v>
      </c>
      <c r="B24877" t="str">
        <f>"18659692785"</f>
        <v>18659692785</v>
      </c>
      <c r="C24877" t="s">
        <v>1</v>
      </c>
      <c r="D24877" t="s">
        <v>1</v>
      </c>
      <c r="E24877" t="s">
        <v>1</v>
      </c>
      <c r="F24877" t="s">
        <v>0</v>
      </c>
      <c r="G24877" t="str">
        <f>"2018-10-06 10:37:07"</f>
        <v>2018-10-06 10:37:07</v>
      </c>
    </row>
    <row r="24878" spans="1:7" x14ac:dyDescent="0.2">
      <c r="A24878" t="s">
        <v>22968</v>
      </c>
      <c r="B24878" t="str">
        <f>"18663679224"</f>
        <v>18663679224</v>
      </c>
      <c r="C24878" t="str">
        <f>"37070319840817036X"</f>
        <v>37070319840817036X</v>
      </c>
      <c r="D24878" t="s">
        <v>1</v>
      </c>
      <c r="E24878" t="s">
        <v>1</v>
      </c>
      <c r="F24878" t="s">
        <v>0</v>
      </c>
      <c r="G24878" t="str">
        <f>"2018-10-06 11:50:26"</f>
        <v>2018-10-06 11:50:26</v>
      </c>
    </row>
    <row r="24879" spans="1:7" x14ac:dyDescent="0.2">
      <c r="A24879" t="s">
        <v>5194</v>
      </c>
      <c r="B24879" t="str">
        <f>"13160572938"</f>
        <v>13160572938</v>
      </c>
      <c r="C24879" t="str">
        <f>"430321198101283551"</f>
        <v>430321198101283551</v>
      </c>
      <c r="D24879" t="s">
        <v>1</v>
      </c>
      <c r="E24879" t="s">
        <v>1</v>
      </c>
      <c r="F24879" t="s">
        <v>0</v>
      </c>
      <c r="G24879" t="str">
        <f>"2018-10-06 10:36:59"</f>
        <v>2018-10-06 10:36:59</v>
      </c>
    </row>
    <row r="24880" spans="1:7" x14ac:dyDescent="0.2">
      <c r="A24880" t="s">
        <v>22969</v>
      </c>
      <c r="B24880" t="str">
        <f>"15375932029"</f>
        <v>15375932029</v>
      </c>
      <c r="C24880" t="str">
        <f>"352202198711122517"</f>
        <v>352202198711122517</v>
      </c>
      <c r="D24880" t="s">
        <v>1</v>
      </c>
      <c r="E24880" t="s">
        <v>1</v>
      </c>
      <c r="F24880" t="s">
        <v>0</v>
      </c>
      <c r="G24880" t="str">
        <f>"2018-10-06 22:50:19"</f>
        <v>2018-10-06 22:50:19</v>
      </c>
    </row>
    <row r="24881" spans="1:7" x14ac:dyDescent="0.2">
      <c r="A24881" t="s">
        <v>22970</v>
      </c>
      <c r="B24881" t="str">
        <f>"17792191119"</f>
        <v>17792191119</v>
      </c>
      <c r="C24881" t="str">
        <f>"612301198903192782"</f>
        <v>612301198903192782</v>
      </c>
      <c r="D24881" t="s">
        <v>22971</v>
      </c>
      <c r="E24881" t="s">
        <v>22972</v>
      </c>
      <c r="F24881" t="s">
        <v>0</v>
      </c>
      <c r="G24881" t="str">
        <f>"2018-10-06 10:38:19"</f>
        <v>2018-10-06 10:38:19</v>
      </c>
    </row>
    <row r="24882" spans="1:7" x14ac:dyDescent="0.2">
      <c r="A24882" t="s">
        <v>814</v>
      </c>
      <c r="B24882" t="str">
        <f>"13723721610"</f>
        <v>13723721610</v>
      </c>
      <c r="C24882" t="str">
        <f>"430981198411183053"</f>
        <v>430981198411183053</v>
      </c>
      <c r="D24882" t="s">
        <v>1</v>
      </c>
      <c r="E24882" t="s">
        <v>1</v>
      </c>
      <c r="F24882" t="s">
        <v>0</v>
      </c>
      <c r="G24882" t="str">
        <f>"2018-10-06 10:36:56"</f>
        <v>2018-10-06 10:36:56</v>
      </c>
    </row>
    <row r="24883" spans="1:7" x14ac:dyDescent="0.2">
      <c r="A24883" t="s">
        <v>22973</v>
      </c>
      <c r="B24883" t="str">
        <f>"18607314792"</f>
        <v>18607314792</v>
      </c>
      <c r="C24883" t="str">
        <f>"430602198310305013"</f>
        <v>430602198310305013</v>
      </c>
      <c r="D24883" t="s">
        <v>1</v>
      </c>
      <c r="E24883" t="s">
        <v>1</v>
      </c>
      <c r="F24883" t="s">
        <v>0</v>
      </c>
      <c r="G24883" t="str">
        <f>"2018-10-06 12:08:20"</f>
        <v>2018-10-06 12:08:20</v>
      </c>
    </row>
    <row r="24884" spans="1:7" x14ac:dyDescent="0.2">
      <c r="A24884" t="s">
        <v>167</v>
      </c>
      <c r="B24884" t="str">
        <f>"18685696945"</f>
        <v>18685696945</v>
      </c>
      <c r="C24884" t="str">
        <f>"522225199409077218"</f>
        <v>522225199409077218</v>
      </c>
      <c r="D24884" t="s">
        <v>1</v>
      </c>
      <c r="E24884" t="s">
        <v>1</v>
      </c>
      <c r="F24884" t="s">
        <v>0</v>
      </c>
      <c r="G24884" t="str">
        <f>"2018-10-06 10:37:42"</f>
        <v>2018-10-06 10:37:42</v>
      </c>
    </row>
    <row r="24885" spans="1:7" x14ac:dyDescent="0.2">
      <c r="A24885" t="s">
        <v>1</v>
      </c>
      <c r="B24885" t="str">
        <f>"18550251605"</f>
        <v>18550251605</v>
      </c>
      <c r="C24885" t="s">
        <v>1</v>
      </c>
      <c r="D24885" t="s">
        <v>1</v>
      </c>
      <c r="E24885" t="s">
        <v>1</v>
      </c>
      <c r="F24885" t="s">
        <v>0</v>
      </c>
      <c r="G24885" t="str">
        <f>"2018-10-06 10:36:36"</f>
        <v>2018-10-06 10:36:36</v>
      </c>
    </row>
    <row r="24886" spans="1:7" x14ac:dyDescent="0.2">
      <c r="A24886" t="s">
        <v>1</v>
      </c>
      <c r="B24886" t="str">
        <f>"18533910791"</f>
        <v>18533910791</v>
      </c>
      <c r="C24886" t="s">
        <v>1</v>
      </c>
      <c r="D24886" t="s">
        <v>1</v>
      </c>
      <c r="E24886" t="s">
        <v>1</v>
      </c>
      <c r="F24886" t="s">
        <v>0</v>
      </c>
      <c r="G24886" t="str">
        <f>"2018-10-06 10:36:36"</f>
        <v>2018-10-06 10:36:36</v>
      </c>
    </row>
    <row r="24887" spans="1:7" x14ac:dyDescent="0.2">
      <c r="A24887" t="s">
        <v>22974</v>
      </c>
      <c r="B24887" t="str">
        <f>"15355465332"</f>
        <v>15355465332</v>
      </c>
      <c r="C24887" t="str">
        <f>"220112198211200204"</f>
        <v>220112198211200204</v>
      </c>
      <c r="D24887" t="s">
        <v>1</v>
      </c>
      <c r="E24887" t="s">
        <v>1</v>
      </c>
      <c r="F24887" t="s">
        <v>0</v>
      </c>
      <c r="G24887" t="str">
        <f>"2018-10-26 14:37:38"</f>
        <v>2018-10-26 14:37:38</v>
      </c>
    </row>
    <row r="24888" spans="1:7" x14ac:dyDescent="0.2">
      <c r="A24888" t="s">
        <v>22975</v>
      </c>
      <c r="B24888" t="str">
        <f>"18932370514"</f>
        <v>18932370514</v>
      </c>
      <c r="C24888" t="str">
        <f>"32108119890705661X"</f>
        <v>32108119890705661X</v>
      </c>
      <c r="D24888" t="s">
        <v>1</v>
      </c>
      <c r="E24888" t="s">
        <v>1</v>
      </c>
      <c r="F24888" t="s">
        <v>0</v>
      </c>
      <c r="G24888" t="str">
        <f>"2018-10-06 10:37:33"</f>
        <v>2018-10-06 10:37:33</v>
      </c>
    </row>
    <row r="24889" spans="1:7" x14ac:dyDescent="0.2">
      <c r="A24889" t="s">
        <v>22976</v>
      </c>
      <c r="B24889" t="str">
        <f>"13327987667"</f>
        <v>13327987667</v>
      </c>
      <c r="C24889" t="str">
        <f>"320925198307042035"</f>
        <v>320925198307042035</v>
      </c>
      <c r="D24889" t="s">
        <v>1</v>
      </c>
      <c r="E24889" t="s">
        <v>1</v>
      </c>
      <c r="F24889" t="s">
        <v>0</v>
      </c>
      <c r="G24889" t="str">
        <f>"2018-10-06 10:37:57"</f>
        <v>2018-10-06 10:37:57</v>
      </c>
    </row>
    <row r="24890" spans="1:7" x14ac:dyDescent="0.2">
      <c r="A24890" t="s">
        <v>1</v>
      </c>
      <c r="B24890" t="str">
        <f>"15595702022"</f>
        <v>15595702022</v>
      </c>
      <c r="C24890" t="s">
        <v>1</v>
      </c>
      <c r="D24890" t="s">
        <v>1</v>
      </c>
      <c r="E24890" t="s">
        <v>1</v>
      </c>
      <c r="F24890" t="s">
        <v>0</v>
      </c>
      <c r="G24890" t="str">
        <f>"2018-10-06 10:37:44"</f>
        <v>2018-10-06 10:37:44</v>
      </c>
    </row>
    <row r="24891" spans="1:7" x14ac:dyDescent="0.2">
      <c r="A24891" t="s">
        <v>22977</v>
      </c>
      <c r="B24891" t="str">
        <f>"13895787408"</f>
        <v>13895787408</v>
      </c>
      <c r="C24891" t="str">
        <f>"230103197312223916"</f>
        <v>230103197312223916</v>
      </c>
      <c r="D24891" t="s">
        <v>1</v>
      </c>
      <c r="E24891" t="s">
        <v>1</v>
      </c>
      <c r="F24891" t="s">
        <v>0</v>
      </c>
      <c r="G24891" t="str">
        <f>"2018-10-06 10:38:36"</f>
        <v>2018-10-06 10:38:36</v>
      </c>
    </row>
    <row r="24892" spans="1:7" x14ac:dyDescent="0.2">
      <c r="A24892" t="s">
        <v>22978</v>
      </c>
      <c r="B24892" t="str">
        <f>"13768880931"</f>
        <v>13768880931</v>
      </c>
      <c r="C24892" t="str">
        <f>"450104197509120512"</f>
        <v>450104197509120512</v>
      </c>
      <c r="D24892" t="s">
        <v>1</v>
      </c>
      <c r="E24892" t="s">
        <v>1</v>
      </c>
      <c r="F24892" t="s">
        <v>0</v>
      </c>
      <c r="G24892" t="str">
        <f>"2018-10-06 10:38:23"</f>
        <v>2018-10-06 10:38:23</v>
      </c>
    </row>
    <row r="24893" spans="1:7" x14ac:dyDescent="0.2">
      <c r="A24893" t="s">
        <v>1</v>
      </c>
      <c r="B24893" t="str">
        <f>"15539097739"</f>
        <v>15539097739</v>
      </c>
      <c r="C24893" t="s">
        <v>1</v>
      </c>
      <c r="D24893" t="s">
        <v>1</v>
      </c>
      <c r="E24893" t="s">
        <v>1</v>
      </c>
      <c r="F24893" t="s">
        <v>0</v>
      </c>
      <c r="G24893" t="str">
        <f>"2018-10-06 10:35:58"</f>
        <v>2018-10-06 10:35:58</v>
      </c>
    </row>
    <row r="24894" spans="1:7" x14ac:dyDescent="0.2">
      <c r="A24894" t="s">
        <v>22979</v>
      </c>
      <c r="B24894" t="str">
        <f>"18963113355"</f>
        <v>18963113355</v>
      </c>
      <c r="C24894" t="str">
        <f>"340102197905074011"</f>
        <v>340102197905074011</v>
      </c>
      <c r="D24894" t="s">
        <v>22980</v>
      </c>
      <c r="E24894" t="s">
        <v>22981</v>
      </c>
      <c r="F24894" t="s">
        <v>0</v>
      </c>
      <c r="G24894" t="str">
        <f>"2018-10-06 10:37:27"</f>
        <v>2018-10-06 10:37:27</v>
      </c>
    </row>
    <row r="24895" spans="1:7" x14ac:dyDescent="0.2">
      <c r="A24895" t="s">
        <v>22982</v>
      </c>
      <c r="B24895" t="str">
        <f>"18789551180"</f>
        <v>18789551180</v>
      </c>
      <c r="C24895" t="str">
        <f>"460100197703050315"</f>
        <v>460100197703050315</v>
      </c>
      <c r="D24895" t="s">
        <v>22983</v>
      </c>
      <c r="E24895" t="s">
        <v>22984</v>
      </c>
      <c r="F24895" t="s">
        <v>0</v>
      </c>
      <c r="G24895" t="str">
        <f>"2018-10-06 12:50:37"</f>
        <v>2018-10-06 12:50:37</v>
      </c>
    </row>
    <row r="24896" spans="1:7" x14ac:dyDescent="0.2">
      <c r="A24896" t="s">
        <v>1743</v>
      </c>
      <c r="B24896" t="str">
        <f>"15196725672"</f>
        <v>15196725672</v>
      </c>
      <c r="C24896" t="str">
        <f>"511011199705267612"</f>
        <v>511011199705267612</v>
      </c>
      <c r="D24896" t="s">
        <v>1</v>
      </c>
      <c r="E24896" t="s">
        <v>1</v>
      </c>
      <c r="F24896" t="s">
        <v>0</v>
      </c>
      <c r="G24896" t="str">
        <f>"2018-10-06 10:38:18"</f>
        <v>2018-10-06 10:38:18</v>
      </c>
    </row>
    <row r="24897" spans="1:7" x14ac:dyDescent="0.2">
      <c r="A24897" t="s">
        <v>22985</v>
      </c>
      <c r="B24897" t="str">
        <f>"13872170666"</f>
        <v>13872170666</v>
      </c>
      <c r="C24897" t="str">
        <f>"422302198208250515"</f>
        <v>422302198208250515</v>
      </c>
      <c r="D24897" t="s">
        <v>22986</v>
      </c>
      <c r="E24897" t="s">
        <v>22987</v>
      </c>
      <c r="F24897" t="s">
        <v>0</v>
      </c>
      <c r="G24897" t="str">
        <f>"2018-10-12 06:51:01"</f>
        <v>2018-10-12 06:51:01</v>
      </c>
    </row>
    <row r="24898" spans="1:7" x14ac:dyDescent="0.2">
      <c r="A24898" t="s">
        <v>1</v>
      </c>
      <c r="B24898" t="str">
        <f>"13835060143"</f>
        <v>13835060143</v>
      </c>
      <c r="C24898" t="s">
        <v>1</v>
      </c>
      <c r="D24898" t="s">
        <v>1</v>
      </c>
      <c r="E24898" t="s">
        <v>1</v>
      </c>
      <c r="F24898" t="s">
        <v>0</v>
      </c>
      <c r="G24898" t="str">
        <f>"2018-10-06 10:34:28"</f>
        <v>2018-10-06 10:34:28</v>
      </c>
    </row>
    <row r="24899" spans="1:7" x14ac:dyDescent="0.2">
      <c r="A24899" t="s">
        <v>22988</v>
      </c>
      <c r="B24899" t="str">
        <f>"15820431743"</f>
        <v>15820431743</v>
      </c>
      <c r="C24899" t="str">
        <f>"452428199011161219"</f>
        <v>452428199011161219</v>
      </c>
      <c r="D24899" t="s">
        <v>1</v>
      </c>
      <c r="E24899" t="s">
        <v>1</v>
      </c>
      <c r="F24899" t="s">
        <v>0</v>
      </c>
      <c r="G24899" t="str">
        <f>"2018-10-06 10:47:52"</f>
        <v>2018-10-06 10:47:52</v>
      </c>
    </row>
    <row r="24900" spans="1:7" x14ac:dyDescent="0.2">
      <c r="A24900" t="s">
        <v>1</v>
      </c>
      <c r="B24900" t="str">
        <f>"13736378996"</f>
        <v>13736378996</v>
      </c>
      <c r="C24900" t="s">
        <v>1</v>
      </c>
      <c r="D24900" t="s">
        <v>1</v>
      </c>
      <c r="E24900" t="s">
        <v>1</v>
      </c>
      <c r="F24900" t="s">
        <v>0</v>
      </c>
      <c r="G24900" t="str">
        <f>"2018-10-06 10:34:12"</f>
        <v>2018-10-06 10:34:12</v>
      </c>
    </row>
    <row r="24901" spans="1:7" x14ac:dyDescent="0.2">
      <c r="A24901" t="s">
        <v>22989</v>
      </c>
      <c r="B24901" t="str">
        <f>"18571012422"</f>
        <v>18571012422</v>
      </c>
      <c r="C24901" t="str">
        <f>"420525198109090038"</f>
        <v>420525198109090038</v>
      </c>
      <c r="D24901" t="s">
        <v>1</v>
      </c>
      <c r="E24901" t="s">
        <v>1</v>
      </c>
      <c r="F24901" t="s">
        <v>0</v>
      </c>
      <c r="G24901" t="str">
        <f>"2018-10-06 10:35:20"</f>
        <v>2018-10-06 10:35:20</v>
      </c>
    </row>
    <row r="24902" spans="1:7" x14ac:dyDescent="0.2">
      <c r="A24902" t="s">
        <v>893</v>
      </c>
      <c r="B24902" t="str">
        <f>"18714492276"</f>
        <v>18714492276</v>
      </c>
      <c r="C24902" t="str">
        <f>"231026198704060313"</f>
        <v>231026198704060313</v>
      </c>
      <c r="D24902" t="s">
        <v>1</v>
      </c>
      <c r="E24902" t="s">
        <v>1</v>
      </c>
      <c r="F24902" t="s">
        <v>0</v>
      </c>
      <c r="G24902" t="str">
        <f>"2018-10-06 10:37:07"</f>
        <v>2018-10-06 10:37:07</v>
      </c>
    </row>
    <row r="24903" spans="1:7" x14ac:dyDescent="0.2">
      <c r="A24903" t="s">
        <v>1</v>
      </c>
      <c r="B24903" t="str">
        <f>"15670935222"</f>
        <v>15670935222</v>
      </c>
      <c r="C24903" t="s">
        <v>1</v>
      </c>
      <c r="D24903" t="s">
        <v>1</v>
      </c>
      <c r="E24903" t="s">
        <v>1</v>
      </c>
      <c r="F24903" t="s">
        <v>0</v>
      </c>
      <c r="G24903" t="str">
        <f>"2018-10-06 10:34:42"</f>
        <v>2018-10-06 10:34:42</v>
      </c>
    </row>
    <row r="24904" spans="1:7" x14ac:dyDescent="0.2">
      <c r="A24904" t="s">
        <v>822</v>
      </c>
      <c r="B24904" t="str">
        <f>"18677933669"</f>
        <v>18677933669</v>
      </c>
      <c r="C24904" t="str">
        <f>"45052119900808483X"</f>
        <v>45052119900808483X</v>
      </c>
      <c r="D24904" t="s">
        <v>1</v>
      </c>
      <c r="E24904" t="s">
        <v>1</v>
      </c>
      <c r="F24904" t="s">
        <v>0</v>
      </c>
      <c r="G24904" t="str">
        <f>"2018-10-06 10:35:23"</f>
        <v>2018-10-06 10:35:23</v>
      </c>
    </row>
    <row r="24905" spans="1:7" x14ac:dyDescent="0.2">
      <c r="A24905" t="s">
        <v>22990</v>
      </c>
      <c r="B24905" t="str">
        <f>"15870881503"</f>
        <v>15870881503</v>
      </c>
      <c r="C24905" t="str">
        <f>"360421198407102028"</f>
        <v>360421198407102028</v>
      </c>
      <c r="D24905" t="s">
        <v>1</v>
      </c>
      <c r="E24905" t="s">
        <v>1</v>
      </c>
      <c r="F24905" t="s">
        <v>0</v>
      </c>
      <c r="G24905" t="str">
        <f>"2018-10-06 11:26:42"</f>
        <v>2018-10-06 11:26:42</v>
      </c>
    </row>
    <row r="24906" spans="1:7" x14ac:dyDescent="0.2">
      <c r="A24906" t="s">
        <v>1</v>
      </c>
      <c r="B24906" t="str">
        <f>"13780585593"</f>
        <v>13780585593</v>
      </c>
      <c r="C24906" t="s">
        <v>1</v>
      </c>
      <c r="D24906" t="s">
        <v>1</v>
      </c>
      <c r="E24906" t="s">
        <v>1</v>
      </c>
      <c r="F24906" t="s">
        <v>0</v>
      </c>
      <c r="G24906" t="str">
        <f>"2018-10-06 10:32:12"</f>
        <v>2018-10-06 10:32:12</v>
      </c>
    </row>
    <row r="24907" spans="1:7" x14ac:dyDescent="0.2">
      <c r="A24907" t="s">
        <v>1</v>
      </c>
      <c r="B24907" t="str">
        <f>"15675875928"</f>
        <v>15675875928</v>
      </c>
      <c r="C24907" t="s">
        <v>1</v>
      </c>
      <c r="D24907" t="s">
        <v>1</v>
      </c>
      <c r="E24907" t="s">
        <v>1</v>
      </c>
      <c r="F24907" t="s">
        <v>0</v>
      </c>
      <c r="G24907" t="str">
        <f>"2018-10-06 10:32:11"</f>
        <v>2018-10-06 10:32:11</v>
      </c>
    </row>
    <row r="24908" spans="1:7" x14ac:dyDescent="0.2">
      <c r="A24908" t="s">
        <v>10560</v>
      </c>
      <c r="B24908" t="str">
        <f>"17315399118"</f>
        <v>17315399118</v>
      </c>
      <c r="C24908" t="str">
        <f>"320404197003210438"</f>
        <v>320404197003210438</v>
      </c>
      <c r="D24908" t="s">
        <v>1</v>
      </c>
      <c r="E24908" t="s">
        <v>1</v>
      </c>
      <c r="F24908" t="s">
        <v>0</v>
      </c>
      <c r="G24908" t="str">
        <f>"2018-10-06 10:34:32"</f>
        <v>2018-10-06 10:34:32</v>
      </c>
    </row>
    <row r="24909" spans="1:7" x14ac:dyDescent="0.2">
      <c r="A24909" t="s">
        <v>22991</v>
      </c>
      <c r="B24909" t="str">
        <f>"15229151288"</f>
        <v>15229151288</v>
      </c>
      <c r="C24909" t="str">
        <f>"612401198109121472"</f>
        <v>612401198109121472</v>
      </c>
      <c r="D24909" t="s">
        <v>1</v>
      </c>
      <c r="E24909" t="s">
        <v>1</v>
      </c>
      <c r="F24909" t="s">
        <v>0</v>
      </c>
      <c r="G24909" t="str">
        <f>"2018-10-06 10:33:46"</f>
        <v>2018-10-06 10:33:46</v>
      </c>
    </row>
    <row r="24910" spans="1:7" x14ac:dyDescent="0.2">
      <c r="A24910" t="s">
        <v>22992</v>
      </c>
      <c r="B24910" t="str">
        <f>"15670959140"</f>
        <v>15670959140</v>
      </c>
      <c r="C24910" t="str">
        <f>"410823196909246232"</f>
        <v>410823196909246232</v>
      </c>
      <c r="D24910" t="s">
        <v>1</v>
      </c>
      <c r="E24910" t="s">
        <v>1</v>
      </c>
      <c r="F24910" t="s">
        <v>0</v>
      </c>
      <c r="G24910" t="str">
        <f>"2018-10-06 10:34:32"</f>
        <v>2018-10-06 10:34:32</v>
      </c>
    </row>
    <row r="24911" spans="1:7" x14ac:dyDescent="0.2">
      <c r="A24911" t="s">
        <v>22993</v>
      </c>
      <c r="B24911" t="str">
        <f>"13507751290"</f>
        <v>13507751290</v>
      </c>
      <c r="C24911" t="str">
        <f>"450981199711223211"</f>
        <v>450981199711223211</v>
      </c>
      <c r="D24911" t="s">
        <v>1</v>
      </c>
      <c r="E24911" t="s">
        <v>1</v>
      </c>
      <c r="F24911" t="s">
        <v>0</v>
      </c>
      <c r="G24911" t="str">
        <f>"2018-10-06 10:32:43"</f>
        <v>2018-10-06 10:32:43</v>
      </c>
    </row>
    <row r="24912" spans="1:7" x14ac:dyDescent="0.2">
      <c r="A24912" t="s">
        <v>22994</v>
      </c>
      <c r="B24912" t="str">
        <f>"15025602633"</f>
        <v>15025602633</v>
      </c>
      <c r="C24912" t="str">
        <f>"512322197710101657"</f>
        <v>512322197710101657</v>
      </c>
      <c r="D24912" t="s">
        <v>1</v>
      </c>
      <c r="E24912" t="s">
        <v>1</v>
      </c>
      <c r="F24912" t="s">
        <v>0</v>
      </c>
      <c r="G24912" t="str">
        <f>"2018-10-06 10:32:21"</f>
        <v>2018-10-06 10:32:21</v>
      </c>
    </row>
    <row r="24913" spans="1:7" x14ac:dyDescent="0.2">
      <c r="A24913" t="s">
        <v>461</v>
      </c>
      <c r="B24913" t="str">
        <f>"15242831594"</f>
        <v>15242831594</v>
      </c>
      <c r="C24913" t="str">
        <f>"210321198312282224"</f>
        <v>210321198312282224</v>
      </c>
      <c r="D24913" t="s">
        <v>1</v>
      </c>
      <c r="E24913" t="s">
        <v>1</v>
      </c>
      <c r="F24913" t="s">
        <v>0</v>
      </c>
      <c r="G24913" t="str">
        <f>"2018-10-06 10:33:02"</f>
        <v>2018-10-06 10:33:02</v>
      </c>
    </row>
    <row r="24914" spans="1:7" x14ac:dyDescent="0.2">
      <c r="A24914" t="s">
        <v>1</v>
      </c>
      <c r="B24914" t="str">
        <f>"15906022767"</f>
        <v>15906022767</v>
      </c>
      <c r="C24914" t="s">
        <v>1</v>
      </c>
      <c r="D24914" t="s">
        <v>1</v>
      </c>
      <c r="E24914" t="s">
        <v>1</v>
      </c>
      <c r="F24914" t="s">
        <v>0</v>
      </c>
      <c r="G24914" t="str">
        <f>"2018-10-06 10:32:08"</f>
        <v>2018-10-06 10:32:08</v>
      </c>
    </row>
    <row r="24915" spans="1:7" x14ac:dyDescent="0.2">
      <c r="A24915" t="s">
        <v>1</v>
      </c>
      <c r="B24915" t="str">
        <f>"13277567036"</f>
        <v>13277567036</v>
      </c>
      <c r="C24915" t="s">
        <v>1</v>
      </c>
      <c r="D24915" t="s">
        <v>1</v>
      </c>
      <c r="E24915" t="s">
        <v>1</v>
      </c>
      <c r="F24915" t="s">
        <v>0</v>
      </c>
      <c r="G24915" t="str">
        <f>"2018-10-06 10:31:11"</f>
        <v>2018-10-06 10:31:11</v>
      </c>
    </row>
    <row r="24916" spans="1:7" x14ac:dyDescent="0.2">
      <c r="A24916" t="s">
        <v>18838</v>
      </c>
      <c r="B24916" t="str">
        <f>"18949867237"</f>
        <v>18949867237</v>
      </c>
      <c r="C24916" t="str">
        <f>"340121197609027631"</f>
        <v>340121197609027631</v>
      </c>
      <c r="D24916" t="s">
        <v>1</v>
      </c>
      <c r="E24916" t="s">
        <v>1</v>
      </c>
      <c r="F24916" t="s">
        <v>0</v>
      </c>
      <c r="G24916" t="str">
        <f>"2018-10-06 10:32:21"</f>
        <v>2018-10-06 10:32:21</v>
      </c>
    </row>
    <row r="24917" spans="1:7" x14ac:dyDescent="0.2">
      <c r="A24917" t="s">
        <v>1</v>
      </c>
      <c r="B24917" t="str">
        <f>"13865720986"</f>
        <v>13865720986</v>
      </c>
      <c r="C24917" t="s">
        <v>1</v>
      </c>
      <c r="D24917" t="s">
        <v>1</v>
      </c>
      <c r="E24917" t="s">
        <v>1</v>
      </c>
      <c r="F24917" t="s">
        <v>0</v>
      </c>
      <c r="G24917" t="str">
        <f>"2018-10-06 10:34:11"</f>
        <v>2018-10-06 10:34:11</v>
      </c>
    </row>
    <row r="24918" spans="1:7" x14ac:dyDescent="0.2">
      <c r="A24918" t="s">
        <v>1</v>
      </c>
      <c r="B24918" t="str">
        <f>"13637617173"</f>
        <v>13637617173</v>
      </c>
      <c r="C24918" t="s">
        <v>1</v>
      </c>
      <c r="D24918" t="s">
        <v>1</v>
      </c>
      <c r="E24918" t="s">
        <v>1</v>
      </c>
      <c r="F24918" t="s">
        <v>0</v>
      </c>
      <c r="G24918" t="str">
        <f>"2018-10-06 10:31:55"</f>
        <v>2018-10-06 10:31:55</v>
      </c>
    </row>
    <row r="24919" spans="1:7" x14ac:dyDescent="0.2">
      <c r="A24919" t="s">
        <v>22995</v>
      </c>
      <c r="B24919" t="str">
        <f>"14792317775"</f>
        <v>14792317775</v>
      </c>
      <c r="C24919" t="str">
        <f>"342401199410138213"</f>
        <v>342401199410138213</v>
      </c>
      <c r="D24919" t="s">
        <v>1</v>
      </c>
      <c r="E24919" t="s">
        <v>1</v>
      </c>
      <c r="F24919" t="s">
        <v>0</v>
      </c>
      <c r="G24919" t="str">
        <f>"2018-10-06 10:31:32"</f>
        <v>2018-10-06 10:31:32</v>
      </c>
    </row>
    <row r="24920" spans="1:7" x14ac:dyDescent="0.2">
      <c r="A24920" t="s">
        <v>22996</v>
      </c>
      <c r="B24920" t="str">
        <f>"18535108838"</f>
        <v>18535108838</v>
      </c>
      <c r="C24920" t="str">
        <f>"14010219640622401X"</f>
        <v>14010219640622401X</v>
      </c>
      <c r="D24920" t="s">
        <v>1</v>
      </c>
      <c r="E24920" t="s">
        <v>1</v>
      </c>
      <c r="F24920" t="s">
        <v>0</v>
      </c>
      <c r="G24920" t="str">
        <f>"2018-10-06 10:32:40"</f>
        <v>2018-10-06 10:32:40</v>
      </c>
    </row>
    <row r="24921" spans="1:7" x14ac:dyDescent="0.2">
      <c r="A24921" t="s">
        <v>22997</v>
      </c>
      <c r="B24921" t="str">
        <f>"13075264984"</f>
        <v>13075264984</v>
      </c>
      <c r="C24921" t="str">
        <f>"441323199505153710"</f>
        <v>441323199505153710</v>
      </c>
      <c r="D24921" t="s">
        <v>1</v>
      </c>
      <c r="E24921" t="s">
        <v>1</v>
      </c>
      <c r="F24921" t="s">
        <v>0</v>
      </c>
      <c r="G24921" t="str">
        <f>"2018-10-06 10:31:43"</f>
        <v>2018-10-06 10:31:43</v>
      </c>
    </row>
    <row r="24922" spans="1:7" x14ac:dyDescent="0.2">
      <c r="A24922" t="s">
        <v>22998</v>
      </c>
      <c r="B24922" t="str">
        <f>"13645669022"</f>
        <v>13645669022</v>
      </c>
      <c r="C24922" t="str">
        <f>"342921199011032617"</f>
        <v>342921199011032617</v>
      </c>
      <c r="D24922" t="s">
        <v>1</v>
      </c>
      <c r="E24922" t="s">
        <v>1</v>
      </c>
      <c r="F24922" t="s">
        <v>0</v>
      </c>
      <c r="G24922" t="str">
        <f>"2018-10-06 10:30:15"</f>
        <v>2018-10-06 10:30:15</v>
      </c>
    </row>
    <row r="24923" spans="1:7" x14ac:dyDescent="0.2">
      <c r="A24923" t="s">
        <v>13845</v>
      </c>
      <c r="B24923" t="str">
        <f>"13426631198"</f>
        <v>13426631198</v>
      </c>
      <c r="C24923" t="str">
        <f>"362325198905100713"</f>
        <v>362325198905100713</v>
      </c>
      <c r="D24923" t="s">
        <v>22999</v>
      </c>
      <c r="E24923" t="s">
        <v>23000</v>
      </c>
      <c r="F24923" t="s">
        <v>0</v>
      </c>
      <c r="G24923" t="str">
        <f>"2018-10-25 16:05:38"</f>
        <v>2018-10-25 16:05:38</v>
      </c>
    </row>
    <row r="24924" spans="1:7" x14ac:dyDescent="0.2">
      <c r="A24924" t="s">
        <v>23001</v>
      </c>
      <c r="B24924" t="str">
        <f>"18077658423"</f>
        <v>18077658423</v>
      </c>
      <c r="C24924" t="str">
        <f>"452625199312121239"</f>
        <v>452625199312121239</v>
      </c>
      <c r="D24924" t="s">
        <v>1</v>
      </c>
      <c r="E24924" t="s">
        <v>1</v>
      </c>
      <c r="F24924" t="s">
        <v>0</v>
      </c>
      <c r="G24924" t="str">
        <f>"2018-10-18 14:10:43"</f>
        <v>2018-10-18 14:10:43</v>
      </c>
    </row>
    <row r="24925" spans="1:7" x14ac:dyDescent="0.2">
      <c r="A24925" t="s">
        <v>1</v>
      </c>
      <c r="B24925" t="str">
        <f>"13118591049"</f>
        <v>13118591049</v>
      </c>
      <c r="C24925" t="s">
        <v>1</v>
      </c>
      <c r="D24925" t="s">
        <v>1</v>
      </c>
      <c r="E24925" t="s">
        <v>1</v>
      </c>
      <c r="F24925" t="s">
        <v>0</v>
      </c>
      <c r="G24925" t="str">
        <f>"2018-10-06 10:28:50"</f>
        <v>2018-10-06 10:28:50</v>
      </c>
    </row>
    <row r="24926" spans="1:7" x14ac:dyDescent="0.2">
      <c r="A24926" t="s">
        <v>1</v>
      </c>
      <c r="B24926" t="str">
        <f>"13772172319"</f>
        <v>13772172319</v>
      </c>
      <c r="C24926" t="s">
        <v>1</v>
      </c>
      <c r="D24926" t="s">
        <v>1</v>
      </c>
      <c r="E24926" t="s">
        <v>1</v>
      </c>
      <c r="F24926" t="s">
        <v>0</v>
      </c>
      <c r="G24926" t="str">
        <f>"2018-10-06 10:28:50"</f>
        <v>2018-10-06 10:28:50</v>
      </c>
    </row>
    <row r="24927" spans="1:7" x14ac:dyDescent="0.2">
      <c r="A24927" t="s">
        <v>1</v>
      </c>
      <c r="B24927" t="str">
        <f>"15125900558"</f>
        <v>15125900558</v>
      </c>
      <c r="C24927" t="s">
        <v>1</v>
      </c>
      <c r="D24927" t="s">
        <v>1</v>
      </c>
      <c r="E24927" t="s">
        <v>1</v>
      </c>
      <c r="F24927" t="s">
        <v>0</v>
      </c>
      <c r="G24927" t="str">
        <f>"2018-10-06 10:30:09"</f>
        <v>2018-10-06 10:30:09</v>
      </c>
    </row>
    <row r="24928" spans="1:7" x14ac:dyDescent="0.2">
      <c r="A24928" t="s">
        <v>1</v>
      </c>
      <c r="B24928" t="str">
        <f>"13937758578"</f>
        <v>13937758578</v>
      </c>
      <c r="C24928" t="s">
        <v>1</v>
      </c>
      <c r="D24928" t="s">
        <v>1</v>
      </c>
      <c r="E24928" t="s">
        <v>1</v>
      </c>
      <c r="F24928" t="s">
        <v>0</v>
      </c>
      <c r="G24928" t="str">
        <f>"2018-10-06 10:28:32"</f>
        <v>2018-10-06 10:28:32</v>
      </c>
    </row>
    <row r="24929" spans="1:7" x14ac:dyDescent="0.2">
      <c r="A24929" t="s">
        <v>23002</v>
      </c>
      <c r="B24929" t="str">
        <f>"15087121039"</f>
        <v>15087121039</v>
      </c>
      <c r="C24929" t="str">
        <f>"532925199607210753"</f>
        <v>532925199607210753</v>
      </c>
      <c r="D24929" t="s">
        <v>1</v>
      </c>
      <c r="E24929" t="s">
        <v>1</v>
      </c>
      <c r="F24929" t="s">
        <v>0</v>
      </c>
      <c r="G24929" t="str">
        <f>"2018-10-06 10:51:06"</f>
        <v>2018-10-06 10:51:06</v>
      </c>
    </row>
    <row r="24930" spans="1:7" x14ac:dyDescent="0.2">
      <c r="A24930" t="s">
        <v>23003</v>
      </c>
      <c r="B24930" t="str">
        <f>"18633196273"</f>
        <v>18633196273</v>
      </c>
      <c r="C24930" t="str">
        <f>"130221198608296830"</f>
        <v>130221198608296830</v>
      </c>
      <c r="D24930" t="s">
        <v>1</v>
      </c>
      <c r="E24930" t="s">
        <v>1</v>
      </c>
      <c r="F24930" t="s">
        <v>0</v>
      </c>
      <c r="G24930" t="str">
        <f>"2018-10-06 10:35:04"</f>
        <v>2018-10-06 10:35:04</v>
      </c>
    </row>
    <row r="24931" spans="1:7" x14ac:dyDescent="0.2">
      <c r="A24931" t="s">
        <v>1</v>
      </c>
      <c r="B24931" t="str">
        <f>"18090518608"</f>
        <v>18090518608</v>
      </c>
      <c r="C24931" t="s">
        <v>1</v>
      </c>
      <c r="D24931" t="s">
        <v>1</v>
      </c>
      <c r="E24931" t="s">
        <v>1</v>
      </c>
      <c r="F24931" t="s">
        <v>0</v>
      </c>
      <c r="G24931" t="str">
        <f>"2018-10-06 10:27:40"</f>
        <v>2018-10-06 10:27:40</v>
      </c>
    </row>
    <row r="24932" spans="1:7" x14ac:dyDescent="0.2">
      <c r="A24932" t="s">
        <v>1</v>
      </c>
      <c r="B24932" t="str">
        <f>"18227481928"</f>
        <v>18227481928</v>
      </c>
      <c r="C24932" t="s">
        <v>1</v>
      </c>
      <c r="D24932" t="s">
        <v>1</v>
      </c>
      <c r="E24932" t="s">
        <v>1</v>
      </c>
      <c r="F24932" t="s">
        <v>0</v>
      </c>
      <c r="G24932" t="str">
        <f>"2018-10-06 10:27:38"</f>
        <v>2018-10-06 10:27:38</v>
      </c>
    </row>
    <row r="24933" spans="1:7" x14ac:dyDescent="0.2">
      <c r="A24933" t="s">
        <v>1256</v>
      </c>
      <c r="B24933" t="str">
        <f>"15192603999"</f>
        <v>15192603999</v>
      </c>
      <c r="C24933" t="str">
        <f>"23038119800912184X"</f>
        <v>23038119800912184X</v>
      </c>
      <c r="D24933" t="s">
        <v>1</v>
      </c>
      <c r="E24933" t="s">
        <v>1</v>
      </c>
      <c r="F24933" t="s">
        <v>0</v>
      </c>
      <c r="G24933" t="str">
        <f>"2018-10-06 10:30:44"</f>
        <v>2018-10-06 10:30:44</v>
      </c>
    </row>
    <row r="24934" spans="1:7" x14ac:dyDescent="0.2">
      <c r="A24934" t="s">
        <v>1</v>
      </c>
      <c r="B24934" t="str">
        <f>"13960208656"</f>
        <v>13960208656</v>
      </c>
      <c r="C24934" t="s">
        <v>1</v>
      </c>
      <c r="D24934" t="s">
        <v>1</v>
      </c>
      <c r="E24934" t="s">
        <v>1</v>
      </c>
      <c r="F24934" t="s">
        <v>0</v>
      </c>
      <c r="G24934" t="str">
        <f>"2018-10-06 10:27:21"</f>
        <v>2018-10-06 10:27:21</v>
      </c>
    </row>
    <row r="24935" spans="1:7" x14ac:dyDescent="0.2">
      <c r="A24935" t="s">
        <v>1</v>
      </c>
      <c r="B24935" t="str">
        <f>"13665036049"</f>
        <v>13665036049</v>
      </c>
      <c r="C24935" t="s">
        <v>1</v>
      </c>
      <c r="D24935" t="s">
        <v>1</v>
      </c>
      <c r="E24935" t="s">
        <v>1</v>
      </c>
      <c r="F24935" t="s">
        <v>0</v>
      </c>
      <c r="G24935" t="str">
        <f>"2018-10-06 10:26:58"</f>
        <v>2018-10-06 10:26:58</v>
      </c>
    </row>
    <row r="24936" spans="1:7" x14ac:dyDescent="0.2">
      <c r="A24936" t="s">
        <v>1</v>
      </c>
      <c r="B24936" t="str">
        <f>"18678917377"</f>
        <v>18678917377</v>
      </c>
      <c r="C24936" t="s">
        <v>1</v>
      </c>
      <c r="D24936" t="s">
        <v>1</v>
      </c>
      <c r="E24936" t="s">
        <v>1</v>
      </c>
      <c r="F24936" t="s">
        <v>0</v>
      </c>
      <c r="G24936" t="str">
        <f>"2018-10-06 10:26:53"</f>
        <v>2018-10-06 10:26:53</v>
      </c>
    </row>
    <row r="24937" spans="1:7" x14ac:dyDescent="0.2">
      <c r="A24937" t="s">
        <v>23004</v>
      </c>
      <c r="B24937" t="str">
        <f>"18772910650"</f>
        <v>18772910650</v>
      </c>
      <c r="C24937" t="str">
        <f>"420323199107072814"</f>
        <v>420323199107072814</v>
      </c>
      <c r="D24937" t="s">
        <v>1</v>
      </c>
      <c r="E24937" t="s">
        <v>1</v>
      </c>
      <c r="F24937" t="s">
        <v>0</v>
      </c>
      <c r="G24937" t="str">
        <f>"2018-10-06 10:28:40"</f>
        <v>2018-10-06 10:28:40</v>
      </c>
    </row>
    <row r="24938" spans="1:7" x14ac:dyDescent="0.2">
      <c r="A24938" t="s">
        <v>1</v>
      </c>
      <c r="B24938" t="str">
        <f>"18668372579"</f>
        <v>18668372579</v>
      </c>
      <c r="C24938" t="s">
        <v>1</v>
      </c>
      <c r="D24938" t="s">
        <v>1</v>
      </c>
      <c r="E24938" t="s">
        <v>1</v>
      </c>
      <c r="F24938" t="s">
        <v>0</v>
      </c>
      <c r="G24938" t="str">
        <f>"2018-10-06 10:30:36"</f>
        <v>2018-10-06 10:30:36</v>
      </c>
    </row>
    <row r="24939" spans="1:7" x14ac:dyDescent="0.2">
      <c r="A24939" t="s">
        <v>23005</v>
      </c>
      <c r="B24939" t="str">
        <f>"18109378694"</f>
        <v>18109378694</v>
      </c>
      <c r="C24939" t="str">
        <f>"622102197109020636"</f>
        <v>622102197109020636</v>
      </c>
      <c r="D24939" t="s">
        <v>1</v>
      </c>
      <c r="E24939" t="s">
        <v>1</v>
      </c>
      <c r="F24939" t="s">
        <v>0</v>
      </c>
      <c r="G24939" t="str">
        <f>"2018-10-06 11:03:16"</f>
        <v>2018-10-06 11:03:16</v>
      </c>
    </row>
    <row r="24940" spans="1:7" x14ac:dyDescent="0.2">
      <c r="A24940" t="s">
        <v>23006</v>
      </c>
      <c r="B24940" t="str">
        <f>"15157156883"</f>
        <v>15157156883</v>
      </c>
      <c r="C24940" t="str">
        <f>"34222519930211744X"</f>
        <v>34222519930211744X</v>
      </c>
      <c r="D24940" t="s">
        <v>1</v>
      </c>
      <c r="E24940" t="s">
        <v>1</v>
      </c>
      <c r="F24940" t="s">
        <v>0</v>
      </c>
      <c r="G24940" t="str">
        <f>"2018-10-06 10:35:40"</f>
        <v>2018-10-06 10:35:40</v>
      </c>
    </row>
    <row r="24941" spans="1:7" x14ac:dyDescent="0.2">
      <c r="A24941" t="s">
        <v>23007</v>
      </c>
      <c r="B24941" t="str">
        <f>"17688227484"</f>
        <v>17688227484</v>
      </c>
      <c r="C24941" t="str">
        <f>"440222199801232218"</f>
        <v>440222199801232218</v>
      </c>
      <c r="D24941" t="s">
        <v>1</v>
      </c>
      <c r="E24941" t="s">
        <v>1</v>
      </c>
      <c r="F24941" t="s">
        <v>0</v>
      </c>
      <c r="G24941" t="str">
        <f>"2018-10-06 14:06:55"</f>
        <v>2018-10-06 14:06:55</v>
      </c>
    </row>
    <row r="24942" spans="1:7" x14ac:dyDescent="0.2">
      <c r="A24942" t="s">
        <v>23008</v>
      </c>
      <c r="B24942" t="str">
        <f>"18689738586"</f>
        <v>18689738586</v>
      </c>
      <c r="C24942" t="str">
        <f>"433101198112190517"</f>
        <v>433101198112190517</v>
      </c>
      <c r="D24942" t="s">
        <v>1</v>
      </c>
      <c r="E24942" t="s">
        <v>1</v>
      </c>
      <c r="F24942" t="s">
        <v>0</v>
      </c>
      <c r="G24942" t="str">
        <f>"2018-10-06 10:26:36"</f>
        <v>2018-10-06 10:26:36</v>
      </c>
    </row>
    <row r="24943" spans="1:7" x14ac:dyDescent="0.2">
      <c r="A24943" t="s">
        <v>1</v>
      </c>
      <c r="B24943" t="str">
        <f>"15305630027"</f>
        <v>15305630027</v>
      </c>
      <c r="C24943" t="s">
        <v>1</v>
      </c>
      <c r="D24943" t="s">
        <v>1</v>
      </c>
      <c r="E24943" t="s">
        <v>1</v>
      </c>
      <c r="F24943" t="s">
        <v>0</v>
      </c>
      <c r="G24943" t="str">
        <f>"2018-10-06 10:25:07"</f>
        <v>2018-10-06 10:25:07</v>
      </c>
    </row>
    <row r="24944" spans="1:7" x14ac:dyDescent="0.2">
      <c r="A24944" t="s">
        <v>23009</v>
      </c>
      <c r="B24944" t="str">
        <f>"13955695812"</f>
        <v>13955695812</v>
      </c>
      <c r="C24944" t="str">
        <f>"340881198809227012"</f>
        <v>340881198809227012</v>
      </c>
      <c r="D24944" t="s">
        <v>1</v>
      </c>
      <c r="E24944" t="s">
        <v>1</v>
      </c>
      <c r="F24944" t="s">
        <v>0</v>
      </c>
      <c r="G24944" t="str">
        <f>"2018-10-06 10:26:00"</f>
        <v>2018-10-06 10:26:00</v>
      </c>
    </row>
    <row r="24945" spans="1:7" x14ac:dyDescent="0.2">
      <c r="A24945" t="s">
        <v>1</v>
      </c>
      <c r="B24945" t="str">
        <f>"18196353506"</f>
        <v>18196353506</v>
      </c>
      <c r="C24945" t="s">
        <v>1</v>
      </c>
      <c r="D24945" t="s">
        <v>1</v>
      </c>
      <c r="E24945" t="s">
        <v>1</v>
      </c>
      <c r="F24945" t="s">
        <v>0</v>
      </c>
      <c r="G24945" t="str">
        <f>"2018-10-06 10:24:46"</f>
        <v>2018-10-06 10:24:46</v>
      </c>
    </row>
    <row r="24946" spans="1:7" x14ac:dyDescent="0.2">
      <c r="A24946" t="s">
        <v>288</v>
      </c>
      <c r="B24946" t="str">
        <f>"13529911175"</f>
        <v>13529911175</v>
      </c>
      <c r="C24946" t="str">
        <f>"532501198702251214"</f>
        <v>532501198702251214</v>
      </c>
      <c r="D24946" t="s">
        <v>1</v>
      </c>
      <c r="E24946" t="s">
        <v>1</v>
      </c>
      <c r="F24946" t="s">
        <v>0</v>
      </c>
      <c r="G24946" t="str">
        <f>"2018-10-08 11:17:21"</f>
        <v>2018-10-08 11:17:21</v>
      </c>
    </row>
    <row r="24947" spans="1:7" x14ac:dyDescent="0.2">
      <c r="A24947" t="s">
        <v>23010</v>
      </c>
      <c r="B24947" t="str">
        <f>"18203418119"</f>
        <v>18203418119</v>
      </c>
      <c r="C24947" t="str">
        <f>"142427199106091816"</f>
        <v>142427199106091816</v>
      </c>
      <c r="D24947" t="s">
        <v>1</v>
      </c>
      <c r="E24947" t="s">
        <v>1</v>
      </c>
      <c r="F24947" t="s">
        <v>0</v>
      </c>
      <c r="G24947" t="str">
        <f>"2018-10-06 10:25:14"</f>
        <v>2018-10-06 10:25:14</v>
      </c>
    </row>
    <row r="24948" spans="1:7" x14ac:dyDescent="0.2">
      <c r="A24948" t="s">
        <v>1</v>
      </c>
      <c r="B24948" t="str">
        <f>"18685360145"</f>
        <v>18685360145</v>
      </c>
      <c r="C24948" t="s">
        <v>1</v>
      </c>
      <c r="D24948" t="s">
        <v>1</v>
      </c>
      <c r="E24948" t="s">
        <v>1</v>
      </c>
      <c r="F24948" t="s">
        <v>0</v>
      </c>
      <c r="G24948" t="str">
        <f>"2018-10-06 10:23:40"</f>
        <v>2018-10-06 10:23:40</v>
      </c>
    </row>
    <row r="24949" spans="1:7" x14ac:dyDescent="0.2">
      <c r="A24949" t="s">
        <v>23011</v>
      </c>
      <c r="B24949" t="str">
        <f>"18870499110"</f>
        <v>18870499110</v>
      </c>
      <c r="C24949" t="str">
        <f>"360782199712092712"</f>
        <v>360782199712092712</v>
      </c>
      <c r="D24949" t="s">
        <v>1</v>
      </c>
      <c r="E24949" t="s">
        <v>1</v>
      </c>
      <c r="F24949" t="s">
        <v>0</v>
      </c>
      <c r="G24949" t="str">
        <f>"2018-10-07 17:15:26"</f>
        <v>2018-10-07 17:15:26</v>
      </c>
    </row>
    <row r="24950" spans="1:7" x14ac:dyDescent="0.2">
      <c r="A24950" t="s">
        <v>1</v>
      </c>
      <c r="B24950" t="str">
        <f>"15919823004"</f>
        <v>15919823004</v>
      </c>
      <c r="C24950" t="s">
        <v>1</v>
      </c>
      <c r="D24950" t="s">
        <v>1</v>
      </c>
      <c r="E24950" t="s">
        <v>1</v>
      </c>
      <c r="F24950" t="s">
        <v>0</v>
      </c>
      <c r="G24950" t="str">
        <f>"2018-10-06 10:22:53"</f>
        <v>2018-10-06 10:22:53</v>
      </c>
    </row>
    <row r="24951" spans="1:7" x14ac:dyDescent="0.2">
      <c r="A24951" t="s">
        <v>1</v>
      </c>
      <c r="B24951" t="str">
        <f>"13291591101"</f>
        <v>13291591101</v>
      </c>
      <c r="C24951" t="s">
        <v>1</v>
      </c>
      <c r="D24951" t="s">
        <v>1</v>
      </c>
      <c r="E24951" t="s">
        <v>1</v>
      </c>
      <c r="F24951" t="s">
        <v>0</v>
      </c>
      <c r="G24951" t="str">
        <f>"2018-10-06 10:24:05"</f>
        <v>2018-10-06 10:24:05</v>
      </c>
    </row>
    <row r="24952" spans="1:7" x14ac:dyDescent="0.2">
      <c r="A24952" t="s">
        <v>23012</v>
      </c>
      <c r="B24952" t="str">
        <f>"15665767902"</f>
        <v>15665767902</v>
      </c>
      <c r="C24952" t="str">
        <f>"370105198709232122"</f>
        <v>370105198709232122</v>
      </c>
      <c r="D24952" t="s">
        <v>1</v>
      </c>
      <c r="E24952" t="s">
        <v>1</v>
      </c>
      <c r="F24952" t="s">
        <v>0</v>
      </c>
      <c r="G24952" t="str">
        <f>"2018-10-06 10:27:27"</f>
        <v>2018-10-06 10:27:27</v>
      </c>
    </row>
    <row r="24953" spans="1:7" x14ac:dyDescent="0.2">
      <c r="A24953" t="s">
        <v>1</v>
      </c>
      <c r="B24953" t="str">
        <f>"18501520919"</f>
        <v>18501520919</v>
      </c>
      <c r="C24953" t="s">
        <v>1</v>
      </c>
      <c r="D24953" t="s">
        <v>1</v>
      </c>
      <c r="E24953" t="s">
        <v>1</v>
      </c>
      <c r="F24953" t="s">
        <v>0</v>
      </c>
      <c r="G24953" t="str">
        <f>"2018-10-06 10:22:46"</f>
        <v>2018-10-06 10:22:46</v>
      </c>
    </row>
    <row r="24954" spans="1:7" x14ac:dyDescent="0.2">
      <c r="A24954" t="s">
        <v>1</v>
      </c>
      <c r="B24954" t="str">
        <f>"17732670738"</f>
        <v>17732670738</v>
      </c>
      <c r="C24954" t="s">
        <v>1</v>
      </c>
      <c r="D24954" t="s">
        <v>1</v>
      </c>
      <c r="E24954" t="s">
        <v>1</v>
      </c>
      <c r="F24954" t="s">
        <v>0</v>
      </c>
      <c r="G24954" t="str">
        <f>"2018-10-06 10:24:42"</f>
        <v>2018-10-06 10:24:42</v>
      </c>
    </row>
    <row r="24955" spans="1:7" x14ac:dyDescent="0.2">
      <c r="A24955" t="s">
        <v>23013</v>
      </c>
      <c r="B24955" t="str">
        <f>"18030538745"</f>
        <v>18030538745</v>
      </c>
      <c r="C24955" t="str">
        <f>"510681198503220310"</f>
        <v>510681198503220310</v>
      </c>
      <c r="D24955" t="s">
        <v>1</v>
      </c>
      <c r="E24955" t="s">
        <v>1</v>
      </c>
      <c r="F24955" t="s">
        <v>0</v>
      </c>
      <c r="G24955" t="str">
        <f>"2018-10-06 10:23:38"</f>
        <v>2018-10-06 10:23:38</v>
      </c>
    </row>
    <row r="24956" spans="1:7" x14ac:dyDescent="0.2">
      <c r="A24956" t="s">
        <v>10555</v>
      </c>
      <c r="B24956" t="str">
        <f>"15634920001"</f>
        <v>15634920001</v>
      </c>
      <c r="C24956" t="str">
        <f>"140602198409070550"</f>
        <v>140602198409070550</v>
      </c>
      <c r="D24956" t="s">
        <v>23014</v>
      </c>
      <c r="E24956" t="s">
        <v>23015</v>
      </c>
      <c r="F24956" t="s">
        <v>0</v>
      </c>
      <c r="G24956" t="str">
        <f>"2018-10-16 11:57:35"</f>
        <v>2018-10-16 11:57:35</v>
      </c>
    </row>
    <row r="24957" spans="1:7" x14ac:dyDescent="0.2">
      <c r="A24957" t="s">
        <v>413</v>
      </c>
      <c r="B24957" t="str">
        <f>"18955006844"</f>
        <v>18955006844</v>
      </c>
      <c r="C24957" t="str">
        <f>"341102198207200813"</f>
        <v>341102198207200813</v>
      </c>
      <c r="D24957" t="s">
        <v>1</v>
      </c>
      <c r="E24957" t="s">
        <v>1</v>
      </c>
      <c r="F24957" t="s">
        <v>0</v>
      </c>
      <c r="G24957" t="str">
        <f>"2018-10-06 10:23:21"</f>
        <v>2018-10-06 10:23:21</v>
      </c>
    </row>
    <row r="24958" spans="1:7" x14ac:dyDescent="0.2">
      <c r="A24958" t="s">
        <v>1</v>
      </c>
      <c r="B24958" t="str">
        <f>"18051841662"</f>
        <v>18051841662</v>
      </c>
      <c r="C24958" t="s">
        <v>1</v>
      </c>
      <c r="D24958" t="s">
        <v>1</v>
      </c>
      <c r="E24958" t="s">
        <v>1</v>
      </c>
      <c r="F24958" t="s">
        <v>0</v>
      </c>
      <c r="G24958" t="str">
        <f>"2018-10-06 10:21:32"</f>
        <v>2018-10-06 10:21:32</v>
      </c>
    </row>
    <row r="24959" spans="1:7" x14ac:dyDescent="0.2">
      <c r="A24959" t="s">
        <v>1</v>
      </c>
      <c r="B24959" t="str">
        <f>"13535580852"</f>
        <v>13535580852</v>
      </c>
      <c r="C24959" t="s">
        <v>1</v>
      </c>
      <c r="D24959" t="s">
        <v>1</v>
      </c>
      <c r="E24959" t="s">
        <v>1</v>
      </c>
      <c r="F24959" t="s">
        <v>0</v>
      </c>
      <c r="G24959" t="str">
        <f>"2018-10-06 10:20:45"</f>
        <v>2018-10-06 10:20:45</v>
      </c>
    </row>
    <row r="24960" spans="1:7" x14ac:dyDescent="0.2">
      <c r="A24960" t="s">
        <v>1</v>
      </c>
      <c r="B24960" t="str">
        <f>"18606267348"</f>
        <v>18606267348</v>
      </c>
      <c r="C24960" t="s">
        <v>1</v>
      </c>
      <c r="D24960" t="s">
        <v>1</v>
      </c>
      <c r="E24960" t="s">
        <v>1</v>
      </c>
      <c r="F24960" t="s">
        <v>0</v>
      </c>
      <c r="G24960" t="str">
        <f>"2018-10-06 10:20:43"</f>
        <v>2018-10-06 10:20:43</v>
      </c>
    </row>
    <row r="24961" spans="1:7" x14ac:dyDescent="0.2">
      <c r="A24961" t="s">
        <v>23016</v>
      </c>
      <c r="B24961" t="str">
        <f>"18056061505"</f>
        <v>18056061505</v>
      </c>
      <c r="C24961" t="str">
        <f>"341226199101022343"</f>
        <v>341226199101022343</v>
      </c>
      <c r="D24961" t="s">
        <v>1</v>
      </c>
      <c r="E24961" t="s">
        <v>1</v>
      </c>
      <c r="F24961" t="s">
        <v>0</v>
      </c>
      <c r="G24961" t="str">
        <f>"2018-10-06 10:21:50"</f>
        <v>2018-10-06 10:21:50</v>
      </c>
    </row>
    <row r="24962" spans="1:7" x14ac:dyDescent="0.2">
      <c r="A24962" t="s">
        <v>10330</v>
      </c>
      <c r="B24962" t="str">
        <f>"15737530190"</f>
        <v>15737530190</v>
      </c>
      <c r="C24962" t="str">
        <f>"410422199203104844"</f>
        <v>410422199203104844</v>
      </c>
      <c r="D24962" t="s">
        <v>1</v>
      </c>
      <c r="E24962" t="s">
        <v>1</v>
      </c>
      <c r="F24962" t="s">
        <v>0</v>
      </c>
      <c r="G24962" t="str">
        <f>"2018-10-06 10:25:11"</f>
        <v>2018-10-06 10:25:11</v>
      </c>
    </row>
    <row r="24963" spans="1:7" x14ac:dyDescent="0.2">
      <c r="A24963" t="s">
        <v>1</v>
      </c>
      <c r="B24963" t="str">
        <f>"18978676165"</f>
        <v>18978676165</v>
      </c>
      <c r="C24963" t="s">
        <v>1</v>
      </c>
      <c r="D24963" t="s">
        <v>1</v>
      </c>
      <c r="E24963" t="s">
        <v>1</v>
      </c>
      <c r="F24963" t="s">
        <v>0</v>
      </c>
      <c r="G24963" t="str">
        <f>"2018-10-06 10:20:33"</f>
        <v>2018-10-06 10:20:33</v>
      </c>
    </row>
    <row r="24964" spans="1:7" x14ac:dyDescent="0.2">
      <c r="A24964" t="s">
        <v>23017</v>
      </c>
      <c r="B24964" t="str">
        <f>"18978020618"</f>
        <v>18978020618</v>
      </c>
      <c r="C24964" t="str">
        <f>"450204197802040314"</f>
        <v>450204197802040314</v>
      </c>
      <c r="D24964" t="s">
        <v>1</v>
      </c>
      <c r="E24964" t="s">
        <v>1</v>
      </c>
      <c r="F24964" t="s">
        <v>0</v>
      </c>
      <c r="G24964" t="str">
        <f>"2018-10-06 10:21:51"</f>
        <v>2018-10-06 10:21:51</v>
      </c>
    </row>
    <row r="24965" spans="1:7" x14ac:dyDescent="0.2">
      <c r="A24965" t="s">
        <v>1</v>
      </c>
      <c r="B24965" t="str">
        <f>"18907710802"</f>
        <v>18907710802</v>
      </c>
      <c r="C24965" t="s">
        <v>1</v>
      </c>
      <c r="D24965" t="s">
        <v>1</v>
      </c>
      <c r="E24965" t="s">
        <v>1</v>
      </c>
      <c r="F24965" t="s">
        <v>0</v>
      </c>
      <c r="G24965" t="str">
        <f>"2018-10-06 10:20:11"</f>
        <v>2018-10-06 10:20:11</v>
      </c>
    </row>
    <row r="24966" spans="1:7" x14ac:dyDescent="0.2">
      <c r="A24966" t="s">
        <v>1</v>
      </c>
      <c r="B24966" t="str">
        <f>"15385853282"</f>
        <v>15385853282</v>
      </c>
      <c r="C24966" t="s">
        <v>1</v>
      </c>
      <c r="D24966" t="s">
        <v>1</v>
      </c>
      <c r="E24966" t="s">
        <v>1</v>
      </c>
      <c r="F24966" t="s">
        <v>0</v>
      </c>
      <c r="G24966" t="str">
        <f>"2018-10-06 10:20:06"</f>
        <v>2018-10-06 10:20:06</v>
      </c>
    </row>
    <row r="24967" spans="1:7" x14ac:dyDescent="0.2">
      <c r="A24967" t="s">
        <v>23018</v>
      </c>
      <c r="B24967" t="str">
        <f>"15509361508"</f>
        <v>15509361508</v>
      </c>
      <c r="C24967" t="str">
        <f>"622201197702107547"</f>
        <v>622201197702107547</v>
      </c>
      <c r="D24967" t="s">
        <v>1</v>
      </c>
      <c r="E24967" t="s">
        <v>1</v>
      </c>
      <c r="F24967" t="s">
        <v>0</v>
      </c>
      <c r="G24967" t="str">
        <f>"2018-10-06 17:25:32"</f>
        <v>2018-10-06 17:25:32</v>
      </c>
    </row>
    <row r="24968" spans="1:7" x14ac:dyDescent="0.2">
      <c r="A24968" t="s">
        <v>1</v>
      </c>
      <c r="B24968" t="str">
        <f>"13259635444"</f>
        <v>13259635444</v>
      </c>
      <c r="C24968" t="s">
        <v>1</v>
      </c>
      <c r="D24968" t="s">
        <v>1</v>
      </c>
      <c r="E24968" t="s">
        <v>1</v>
      </c>
      <c r="F24968" t="s">
        <v>0</v>
      </c>
      <c r="G24968" t="str">
        <f>"2018-10-06 10:19:48"</f>
        <v>2018-10-06 10:19:48</v>
      </c>
    </row>
    <row r="24969" spans="1:7" x14ac:dyDescent="0.2">
      <c r="A24969" t="s">
        <v>23019</v>
      </c>
      <c r="B24969" t="str">
        <f>"15234139987"</f>
        <v>15234139987</v>
      </c>
      <c r="C24969" t="str">
        <f>"140109198309083829"</f>
        <v>140109198309083829</v>
      </c>
      <c r="D24969" t="s">
        <v>23020</v>
      </c>
      <c r="E24969" t="s">
        <v>23021</v>
      </c>
      <c r="F24969" t="s">
        <v>0</v>
      </c>
      <c r="G24969" t="str">
        <f>"2018-10-06 10:21:00"</f>
        <v>2018-10-06 10:21:00</v>
      </c>
    </row>
    <row r="24970" spans="1:7" x14ac:dyDescent="0.2">
      <c r="A24970" t="s">
        <v>1</v>
      </c>
      <c r="B24970" t="str">
        <f>"18975738383"</f>
        <v>18975738383</v>
      </c>
      <c r="C24970" t="s">
        <v>1</v>
      </c>
      <c r="D24970" t="s">
        <v>1</v>
      </c>
      <c r="E24970" t="s">
        <v>1</v>
      </c>
      <c r="F24970" t="s">
        <v>0</v>
      </c>
      <c r="G24970" t="str">
        <f>"2018-10-06 10:19:27"</f>
        <v>2018-10-06 10:19:27</v>
      </c>
    </row>
    <row r="24971" spans="1:7" x14ac:dyDescent="0.2">
      <c r="A24971" t="s">
        <v>1</v>
      </c>
      <c r="B24971" t="str">
        <f>"13728800464"</f>
        <v>13728800464</v>
      </c>
      <c r="C24971" t="s">
        <v>1</v>
      </c>
      <c r="D24971" t="s">
        <v>1</v>
      </c>
      <c r="E24971" t="s">
        <v>1</v>
      </c>
      <c r="F24971" t="s">
        <v>0</v>
      </c>
      <c r="G24971" t="str">
        <f>"2018-10-06 10:19:14"</f>
        <v>2018-10-06 10:19:14</v>
      </c>
    </row>
    <row r="24972" spans="1:7" x14ac:dyDescent="0.2">
      <c r="A24972" t="s">
        <v>1</v>
      </c>
      <c r="B24972" t="str">
        <f>"17791921936"</f>
        <v>17791921936</v>
      </c>
      <c r="C24972" t="s">
        <v>1</v>
      </c>
      <c r="D24972" t="s">
        <v>1</v>
      </c>
      <c r="E24972" t="s">
        <v>1</v>
      </c>
      <c r="F24972" t="s">
        <v>0</v>
      </c>
      <c r="G24972" t="str">
        <f>"2018-10-06 10:19:09"</f>
        <v>2018-10-06 10:19:09</v>
      </c>
    </row>
    <row r="24973" spans="1:7" x14ac:dyDescent="0.2">
      <c r="A24973" t="s">
        <v>23022</v>
      </c>
      <c r="B24973" t="str">
        <f>"13908864863"</f>
        <v>13908864863</v>
      </c>
      <c r="C24973" t="str">
        <f>"532329198610241532"</f>
        <v>532329198610241532</v>
      </c>
      <c r="D24973" t="s">
        <v>1</v>
      </c>
      <c r="E24973" t="s">
        <v>1</v>
      </c>
      <c r="F24973" t="s">
        <v>0</v>
      </c>
      <c r="G24973" t="str">
        <f>"2018-10-06 10:21:17"</f>
        <v>2018-10-06 10:21:17</v>
      </c>
    </row>
    <row r="24974" spans="1:7" x14ac:dyDescent="0.2">
      <c r="A24974" t="s">
        <v>23023</v>
      </c>
      <c r="B24974" t="str">
        <f>"17858833277"</f>
        <v>17858833277</v>
      </c>
      <c r="C24974" t="str">
        <f>"411527198812082517"</f>
        <v>411527198812082517</v>
      </c>
      <c r="D24974" t="s">
        <v>1</v>
      </c>
      <c r="E24974" t="s">
        <v>1</v>
      </c>
      <c r="F24974" t="s">
        <v>0</v>
      </c>
      <c r="G24974" t="str">
        <f>"2018-10-06 13:13:15"</f>
        <v>2018-10-06 13:13:15</v>
      </c>
    </row>
    <row r="24975" spans="1:7" x14ac:dyDescent="0.2">
      <c r="A24975" t="s">
        <v>1</v>
      </c>
      <c r="B24975" t="str">
        <f>"13230796585"</f>
        <v>13230796585</v>
      </c>
      <c r="C24975" t="s">
        <v>1</v>
      </c>
      <c r="D24975" t="s">
        <v>1</v>
      </c>
      <c r="E24975" t="s">
        <v>1</v>
      </c>
      <c r="F24975" t="s">
        <v>0</v>
      </c>
      <c r="G24975" t="str">
        <f>"2018-10-06 10:18:31"</f>
        <v>2018-10-06 10:18:31</v>
      </c>
    </row>
    <row r="24976" spans="1:7" x14ac:dyDescent="0.2">
      <c r="A24976" t="s">
        <v>1</v>
      </c>
      <c r="B24976" t="str">
        <f>"13276600166"</f>
        <v>13276600166</v>
      </c>
      <c r="C24976" t="s">
        <v>1</v>
      </c>
      <c r="D24976" t="s">
        <v>1</v>
      </c>
      <c r="E24976" t="s">
        <v>1</v>
      </c>
      <c r="F24976" t="s">
        <v>0</v>
      </c>
      <c r="G24976" t="str">
        <f>"2018-10-06 10:18:27"</f>
        <v>2018-10-06 10:18:27</v>
      </c>
    </row>
    <row r="24977" spans="1:7" x14ac:dyDescent="0.2">
      <c r="A24977" t="s">
        <v>23024</v>
      </c>
      <c r="B24977" t="str">
        <f>"15867904443"</f>
        <v>15867904443</v>
      </c>
      <c r="C24977" t="str">
        <f>"33072719820506291X"</f>
        <v>33072719820506291X</v>
      </c>
      <c r="D24977" t="s">
        <v>1</v>
      </c>
      <c r="E24977" t="s">
        <v>1</v>
      </c>
      <c r="F24977" t="s">
        <v>0</v>
      </c>
      <c r="G24977" t="str">
        <f>"2018-10-06 10:23:10"</f>
        <v>2018-10-06 10:23:10</v>
      </c>
    </row>
    <row r="24978" spans="1:7" x14ac:dyDescent="0.2">
      <c r="A24978" t="s">
        <v>1</v>
      </c>
      <c r="B24978" t="str">
        <f>"18085246382"</f>
        <v>18085246382</v>
      </c>
      <c r="C24978" t="s">
        <v>1</v>
      </c>
      <c r="D24978" t="s">
        <v>1</v>
      </c>
      <c r="E24978" t="s">
        <v>1</v>
      </c>
      <c r="F24978" t="s">
        <v>0</v>
      </c>
      <c r="G24978" t="str">
        <f>"2018-10-06 10:18:04"</f>
        <v>2018-10-06 10:18:04</v>
      </c>
    </row>
    <row r="24979" spans="1:7" x14ac:dyDescent="0.2">
      <c r="A24979" t="s">
        <v>1</v>
      </c>
      <c r="B24979" t="str">
        <f>"18606700005"</f>
        <v>18606700005</v>
      </c>
      <c r="C24979" t="s">
        <v>1</v>
      </c>
      <c r="D24979" t="s">
        <v>1</v>
      </c>
      <c r="E24979" t="s">
        <v>1</v>
      </c>
      <c r="F24979" t="s">
        <v>0</v>
      </c>
      <c r="G24979" t="str">
        <f>"2018-10-06 10:18:01"</f>
        <v>2018-10-06 10:18:01</v>
      </c>
    </row>
    <row r="24980" spans="1:7" x14ac:dyDescent="0.2">
      <c r="A24980" t="s">
        <v>23025</v>
      </c>
      <c r="B24980" t="str">
        <f>"18021882719"</f>
        <v>18021882719</v>
      </c>
      <c r="C24980" t="str">
        <f>"320922199005212719"</f>
        <v>320922199005212719</v>
      </c>
      <c r="D24980" t="s">
        <v>23026</v>
      </c>
      <c r="E24980" t="s">
        <v>23027</v>
      </c>
      <c r="F24980" t="s">
        <v>0</v>
      </c>
      <c r="G24980" t="str">
        <f>"2018-10-06 10:19:06"</f>
        <v>2018-10-06 10:19:06</v>
      </c>
    </row>
    <row r="24981" spans="1:7" x14ac:dyDescent="0.2">
      <c r="A24981" t="s">
        <v>338</v>
      </c>
      <c r="B24981" t="str">
        <f>"18007149558"</f>
        <v>18007149558</v>
      </c>
      <c r="C24981" t="str">
        <f>"420922197309123859"</f>
        <v>420922197309123859</v>
      </c>
      <c r="D24981" t="s">
        <v>1</v>
      </c>
      <c r="E24981" t="s">
        <v>1</v>
      </c>
      <c r="F24981" t="s">
        <v>0</v>
      </c>
      <c r="G24981" t="str">
        <f>"2018-10-06 10:19:17"</f>
        <v>2018-10-06 10:19:17</v>
      </c>
    </row>
    <row r="24982" spans="1:7" x14ac:dyDescent="0.2">
      <c r="A24982" t="s">
        <v>1</v>
      </c>
      <c r="B24982" t="str">
        <f>"18058911314"</f>
        <v>18058911314</v>
      </c>
      <c r="C24982" t="s">
        <v>1</v>
      </c>
      <c r="D24982" t="s">
        <v>1</v>
      </c>
      <c r="E24982" t="s">
        <v>1</v>
      </c>
      <c r="F24982" t="s">
        <v>0</v>
      </c>
      <c r="G24982" t="str">
        <f>"2018-10-06 10:21:21"</f>
        <v>2018-10-06 10:21:21</v>
      </c>
    </row>
    <row r="24983" spans="1:7" x14ac:dyDescent="0.2">
      <c r="A24983" t="s">
        <v>23028</v>
      </c>
      <c r="B24983" t="str">
        <f>"17719747228"</f>
        <v>17719747228</v>
      </c>
      <c r="C24983" t="str">
        <f>"610621199306130043"</f>
        <v>610621199306130043</v>
      </c>
      <c r="D24983" t="s">
        <v>1</v>
      </c>
      <c r="E24983" t="s">
        <v>1</v>
      </c>
      <c r="F24983" t="s">
        <v>0</v>
      </c>
      <c r="G24983" t="str">
        <f>"2018-10-06 10:17:39"</f>
        <v>2018-10-06 10:17:39</v>
      </c>
    </row>
    <row r="24984" spans="1:7" x14ac:dyDescent="0.2">
      <c r="A24984" t="s">
        <v>23029</v>
      </c>
      <c r="B24984" t="str">
        <f>"13685454385"</f>
        <v>13685454385</v>
      </c>
      <c r="C24984" t="str">
        <f>"370685199007176027"</f>
        <v>370685199007176027</v>
      </c>
      <c r="D24984" t="s">
        <v>1</v>
      </c>
      <c r="E24984" t="s">
        <v>1</v>
      </c>
      <c r="F24984" t="s">
        <v>0</v>
      </c>
      <c r="G24984" t="str">
        <f>"2018-10-06 10:22:07"</f>
        <v>2018-10-06 10:22:07</v>
      </c>
    </row>
    <row r="24985" spans="1:7" x14ac:dyDescent="0.2">
      <c r="A24985" t="s">
        <v>877</v>
      </c>
      <c r="B24985" t="str">
        <f>"18036880556"</f>
        <v>18036880556</v>
      </c>
      <c r="C24985" t="str">
        <f>"320282199201202567"</f>
        <v>320282199201202567</v>
      </c>
      <c r="D24985" t="s">
        <v>1</v>
      </c>
      <c r="E24985" t="s">
        <v>1</v>
      </c>
      <c r="F24985" t="s">
        <v>0</v>
      </c>
      <c r="G24985" t="str">
        <f>"2018-10-06 10:18:47"</f>
        <v>2018-10-06 10:18:47</v>
      </c>
    </row>
    <row r="24986" spans="1:7" x14ac:dyDescent="0.2">
      <c r="A24986" t="s">
        <v>23030</v>
      </c>
      <c r="B24986" t="str">
        <f>"15253683091"</f>
        <v>15253683091</v>
      </c>
      <c r="C24986" t="str">
        <f>"370781199504301028"</f>
        <v>370781199504301028</v>
      </c>
      <c r="D24986" t="s">
        <v>23031</v>
      </c>
      <c r="E24986" t="s">
        <v>23032</v>
      </c>
      <c r="F24986" t="s">
        <v>0</v>
      </c>
      <c r="G24986" t="str">
        <f>"2018-10-06 10:17:27"</f>
        <v>2018-10-06 10:17:27</v>
      </c>
    </row>
    <row r="24987" spans="1:7" x14ac:dyDescent="0.2">
      <c r="A24987" t="s">
        <v>1</v>
      </c>
      <c r="B24987" t="str">
        <f>"13028528252"</f>
        <v>13028528252</v>
      </c>
      <c r="C24987" t="s">
        <v>1</v>
      </c>
      <c r="D24987" t="s">
        <v>1</v>
      </c>
      <c r="E24987" t="s">
        <v>1</v>
      </c>
      <c r="F24987" t="s">
        <v>0</v>
      </c>
      <c r="G24987" t="str">
        <f>"2018-10-06 10:17:20"</f>
        <v>2018-10-06 10:17:20</v>
      </c>
    </row>
    <row r="24988" spans="1:7" x14ac:dyDescent="0.2">
      <c r="A24988" t="s">
        <v>1</v>
      </c>
      <c r="B24988" t="str">
        <f>"18659735061"</f>
        <v>18659735061</v>
      </c>
      <c r="C24988" t="s">
        <v>1</v>
      </c>
      <c r="D24988" t="s">
        <v>1</v>
      </c>
      <c r="E24988" t="s">
        <v>1</v>
      </c>
      <c r="F24988" t="s">
        <v>0</v>
      </c>
      <c r="G24988" t="str">
        <f>"2018-10-06 10:17:19"</f>
        <v>2018-10-06 10:17:19</v>
      </c>
    </row>
    <row r="24989" spans="1:7" x14ac:dyDescent="0.2">
      <c r="A24989" t="s">
        <v>1</v>
      </c>
      <c r="B24989" t="str">
        <f>"18602677496"</f>
        <v>18602677496</v>
      </c>
      <c r="C24989" t="s">
        <v>1</v>
      </c>
      <c r="D24989" t="s">
        <v>1</v>
      </c>
      <c r="E24989" t="s">
        <v>1</v>
      </c>
      <c r="F24989" t="s">
        <v>0</v>
      </c>
      <c r="G24989" t="str">
        <f>"2018-10-06 10:18:52"</f>
        <v>2018-10-06 10:18:52</v>
      </c>
    </row>
    <row r="24990" spans="1:7" x14ac:dyDescent="0.2">
      <c r="A24990" t="s">
        <v>1</v>
      </c>
      <c r="B24990" t="str">
        <f>"18168286683"</f>
        <v>18168286683</v>
      </c>
      <c r="C24990" t="s">
        <v>1</v>
      </c>
      <c r="D24990" t="s">
        <v>1</v>
      </c>
      <c r="E24990" t="s">
        <v>1</v>
      </c>
      <c r="F24990" t="s">
        <v>0</v>
      </c>
      <c r="G24990" t="str">
        <f>"2018-10-06 10:17:08"</f>
        <v>2018-10-06 10:17:08</v>
      </c>
    </row>
    <row r="24991" spans="1:7" x14ac:dyDescent="0.2">
      <c r="A24991" t="s">
        <v>23033</v>
      </c>
      <c r="B24991" t="str">
        <f>"18156543454"</f>
        <v>18156543454</v>
      </c>
      <c r="C24991" t="str">
        <f>"340121199601086177"</f>
        <v>340121199601086177</v>
      </c>
      <c r="D24991" t="s">
        <v>23034</v>
      </c>
      <c r="E24991" t="s">
        <v>23035</v>
      </c>
      <c r="F24991" t="s">
        <v>0</v>
      </c>
      <c r="G24991" t="str">
        <f>"2018-10-25 12:31:01"</f>
        <v>2018-10-25 12:31:01</v>
      </c>
    </row>
    <row r="24992" spans="1:7" x14ac:dyDescent="0.2">
      <c r="A24992" t="s">
        <v>23036</v>
      </c>
      <c r="B24992" t="str">
        <f>"18093441135"</f>
        <v>18093441135</v>
      </c>
      <c r="C24992" t="str">
        <f>"622801198308111238"</f>
        <v>622801198308111238</v>
      </c>
      <c r="D24992" t="s">
        <v>1</v>
      </c>
      <c r="E24992" t="s">
        <v>1</v>
      </c>
      <c r="F24992" t="s">
        <v>0</v>
      </c>
      <c r="G24992" t="str">
        <f>"2018-10-06 10:18:39"</f>
        <v>2018-10-06 10:18:39</v>
      </c>
    </row>
    <row r="24993" spans="1:7" x14ac:dyDescent="0.2">
      <c r="A24993" t="s">
        <v>23037</v>
      </c>
      <c r="B24993" t="str">
        <f>"18639333540"</f>
        <v>18639333540</v>
      </c>
      <c r="C24993" t="str">
        <f>"410923198708304816"</f>
        <v>410923198708304816</v>
      </c>
      <c r="D24993" t="s">
        <v>23038</v>
      </c>
      <c r="E24993" t="s">
        <v>23039</v>
      </c>
      <c r="F24993" t="s">
        <v>0</v>
      </c>
      <c r="G24993" t="str">
        <f>"2018-10-06 12:53:52"</f>
        <v>2018-10-06 12:53:52</v>
      </c>
    </row>
    <row r="24994" spans="1:7" x14ac:dyDescent="0.2">
      <c r="A24994" t="s">
        <v>23040</v>
      </c>
      <c r="B24994" t="str">
        <f>"18071920367"</f>
        <v>18071920367</v>
      </c>
      <c r="C24994" t="str">
        <f>"422823199804022379"</f>
        <v>422823199804022379</v>
      </c>
      <c r="D24994" t="s">
        <v>1</v>
      </c>
      <c r="E24994" t="s">
        <v>1</v>
      </c>
      <c r="F24994" t="s">
        <v>0</v>
      </c>
      <c r="G24994" t="str">
        <f>"2018-10-13 20:33:06"</f>
        <v>2018-10-13 20:33:06</v>
      </c>
    </row>
    <row r="24995" spans="1:7" x14ac:dyDescent="0.2">
      <c r="A24995" t="s">
        <v>1</v>
      </c>
      <c r="B24995" t="str">
        <f>"18636049127"</f>
        <v>18636049127</v>
      </c>
      <c r="C24995" t="s">
        <v>1</v>
      </c>
      <c r="D24995" t="s">
        <v>1</v>
      </c>
      <c r="E24995" t="s">
        <v>1</v>
      </c>
      <c r="F24995" t="s">
        <v>0</v>
      </c>
      <c r="G24995" t="str">
        <f>"2018-10-06 10:27:59"</f>
        <v>2018-10-06 10:27:59</v>
      </c>
    </row>
    <row r="24996" spans="1:7" x14ac:dyDescent="0.2">
      <c r="A24996" t="s">
        <v>1</v>
      </c>
      <c r="B24996" t="str">
        <f>"13370977318"</f>
        <v>13370977318</v>
      </c>
      <c r="C24996" t="s">
        <v>1</v>
      </c>
      <c r="D24996" t="s">
        <v>1</v>
      </c>
      <c r="E24996" t="s">
        <v>1</v>
      </c>
      <c r="F24996" t="s">
        <v>0</v>
      </c>
      <c r="G24996" t="str">
        <f>"2018-10-06 10:16:41"</f>
        <v>2018-10-06 10:16:41</v>
      </c>
    </row>
    <row r="24997" spans="1:7" x14ac:dyDescent="0.2">
      <c r="A24997" t="s">
        <v>23041</v>
      </c>
      <c r="B24997" t="str">
        <f>"17671338432"</f>
        <v>17671338432</v>
      </c>
      <c r="C24997" t="str">
        <f>"420503198307045213"</f>
        <v>420503198307045213</v>
      </c>
      <c r="D24997" t="s">
        <v>1</v>
      </c>
      <c r="E24997" t="s">
        <v>1</v>
      </c>
      <c r="F24997" t="s">
        <v>0</v>
      </c>
      <c r="G24997" t="str">
        <f>"2018-10-06 11:31:18"</f>
        <v>2018-10-06 11:31:18</v>
      </c>
    </row>
    <row r="24998" spans="1:7" x14ac:dyDescent="0.2">
      <c r="A24998" t="s">
        <v>23042</v>
      </c>
      <c r="B24998" t="str">
        <f>"15858327508"</f>
        <v>15858327508</v>
      </c>
      <c r="C24998" t="str">
        <f>"330483199601101115"</f>
        <v>330483199601101115</v>
      </c>
      <c r="D24998" t="s">
        <v>1</v>
      </c>
      <c r="E24998" t="s">
        <v>1</v>
      </c>
      <c r="F24998" t="s">
        <v>0</v>
      </c>
      <c r="G24998" t="str">
        <f>"2018-10-06 13:41:07"</f>
        <v>2018-10-06 13:41:07</v>
      </c>
    </row>
    <row r="24999" spans="1:7" x14ac:dyDescent="0.2">
      <c r="A24999" t="s">
        <v>23043</v>
      </c>
      <c r="B24999" t="str">
        <f>"18652305336"</f>
        <v>18652305336</v>
      </c>
      <c r="C24999" t="str">
        <f>"320802198403300524"</f>
        <v>320802198403300524</v>
      </c>
      <c r="D24999" t="s">
        <v>1</v>
      </c>
      <c r="E24999" t="s">
        <v>1</v>
      </c>
      <c r="F24999" t="s">
        <v>0</v>
      </c>
      <c r="G24999" t="str">
        <f>"2018-10-06 10:19:14"</f>
        <v>2018-10-06 10:19:14</v>
      </c>
    </row>
    <row r="25000" spans="1:7" x14ac:dyDescent="0.2">
      <c r="A25000" t="s">
        <v>23044</v>
      </c>
      <c r="B25000" t="str">
        <f>"15715350267"</f>
        <v>15715350267</v>
      </c>
      <c r="C25000" t="str">
        <f>"370683198102100074"</f>
        <v>370683198102100074</v>
      </c>
      <c r="D25000" t="s">
        <v>1</v>
      </c>
      <c r="E25000" t="s">
        <v>1</v>
      </c>
      <c r="F25000" t="s">
        <v>0</v>
      </c>
      <c r="G25000" t="str">
        <f>"2018-10-06 10:17:13"</f>
        <v>2018-10-06 10:17:13</v>
      </c>
    </row>
    <row r="25001" spans="1:7" x14ac:dyDescent="0.2">
      <c r="A25001" t="s">
        <v>1</v>
      </c>
      <c r="B25001" t="str">
        <f>"13680980199"</f>
        <v>13680980199</v>
      </c>
      <c r="C25001" t="s">
        <v>1</v>
      </c>
      <c r="D25001" t="s">
        <v>1</v>
      </c>
      <c r="E25001" t="s">
        <v>1</v>
      </c>
      <c r="F25001" t="s">
        <v>0</v>
      </c>
      <c r="G25001" t="str">
        <f>"2018-10-06 10:15:49"</f>
        <v>2018-10-06 10:15:49</v>
      </c>
    </row>
    <row r="25002" spans="1:7" x14ac:dyDescent="0.2">
      <c r="A25002" t="s">
        <v>1</v>
      </c>
      <c r="B25002" t="str">
        <f>"18051264148"</f>
        <v>18051264148</v>
      </c>
      <c r="C25002" t="s">
        <v>1</v>
      </c>
      <c r="D25002" t="s">
        <v>1</v>
      </c>
      <c r="E25002" t="s">
        <v>1</v>
      </c>
      <c r="F25002" t="s">
        <v>0</v>
      </c>
      <c r="G25002" t="str">
        <f>"2018-10-06 10:15:49"</f>
        <v>2018-10-06 10:15:49</v>
      </c>
    </row>
    <row r="25003" spans="1:7" x14ac:dyDescent="0.2">
      <c r="A25003" t="s">
        <v>1</v>
      </c>
      <c r="B25003" t="str">
        <f>"18631359298"</f>
        <v>18631359298</v>
      </c>
      <c r="C25003" t="s">
        <v>1</v>
      </c>
      <c r="D25003" t="s">
        <v>1</v>
      </c>
      <c r="E25003" t="s">
        <v>1</v>
      </c>
      <c r="F25003" t="s">
        <v>0</v>
      </c>
      <c r="G25003" t="str">
        <f>"2018-10-06 10:20:28"</f>
        <v>2018-10-06 10:20:28</v>
      </c>
    </row>
    <row r="25004" spans="1:7" x14ac:dyDescent="0.2">
      <c r="A25004" t="s">
        <v>1</v>
      </c>
      <c r="B25004" t="str">
        <f>"13396899665"</f>
        <v>13396899665</v>
      </c>
      <c r="C25004" t="s">
        <v>1</v>
      </c>
      <c r="D25004" t="s">
        <v>1</v>
      </c>
      <c r="E25004" t="s">
        <v>1</v>
      </c>
      <c r="F25004" t="s">
        <v>0</v>
      </c>
      <c r="G25004" t="str">
        <f>"2018-10-06 10:18:05"</f>
        <v>2018-10-06 10:18:05</v>
      </c>
    </row>
    <row r="25005" spans="1:7" x14ac:dyDescent="0.2">
      <c r="A25005" t="s">
        <v>499</v>
      </c>
      <c r="B25005" t="str">
        <f>"18739945106"</f>
        <v>18739945106</v>
      </c>
      <c r="C25005" t="str">
        <f>"41018219951212075X"</f>
        <v>41018219951212075X</v>
      </c>
      <c r="D25005" t="s">
        <v>1</v>
      </c>
      <c r="E25005" t="s">
        <v>1</v>
      </c>
      <c r="F25005" t="s">
        <v>0</v>
      </c>
      <c r="G25005" t="str">
        <f>"2018-10-06 10:17:05"</f>
        <v>2018-10-06 10:17:05</v>
      </c>
    </row>
    <row r="25006" spans="1:7" x14ac:dyDescent="0.2">
      <c r="A25006" t="s">
        <v>23045</v>
      </c>
      <c r="B25006" t="str">
        <f>"13890227749"</f>
        <v>13890227749</v>
      </c>
      <c r="C25006" t="str">
        <f>"510622199108316034"</f>
        <v>510622199108316034</v>
      </c>
      <c r="D25006" t="s">
        <v>1</v>
      </c>
      <c r="E25006" t="s">
        <v>1</v>
      </c>
      <c r="F25006" t="s">
        <v>0</v>
      </c>
      <c r="G25006" t="str">
        <f>"2018-10-06 10:16:33"</f>
        <v>2018-10-06 10:16:33</v>
      </c>
    </row>
    <row r="25007" spans="1:7" x14ac:dyDescent="0.2">
      <c r="A25007" t="s">
        <v>23046</v>
      </c>
      <c r="B25007" t="str">
        <f>"18377534232"</f>
        <v>18377534232</v>
      </c>
      <c r="C25007" t="str">
        <f>"450821198407083852"</f>
        <v>450821198407083852</v>
      </c>
      <c r="D25007" t="s">
        <v>23047</v>
      </c>
      <c r="E25007" t="s">
        <v>23048</v>
      </c>
      <c r="F25007" t="s">
        <v>0</v>
      </c>
      <c r="G25007" t="str">
        <f>"2018-10-06 10:16:25"</f>
        <v>2018-10-06 10:16:25</v>
      </c>
    </row>
    <row r="25008" spans="1:7" x14ac:dyDescent="0.2">
      <c r="A25008" t="s">
        <v>364</v>
      </c>
      <c r="B25008" t="str">
        <f>"13831039848"</f>
        <v>13831039848</v>
      </c>
      <c r="C25008" t="str">
        <f>"130406199505040615"</f>
        <v>130406199505040615</v>
      </c>
      <c r="D25008" t="s">
        <v>1</v>
      </c>
      <c r="E25008" t="s">
        <v>1</v>
      </c>
      <c r="F25008" t="s">
        <v>0</v>
      </c>
      <c r="G25008" t="str">
        <f>"2018-10-06 10:13:19"</f>
        <v>2018-10-06 10:13:19</v>
      </c>
    </row>
    <row r="25009" spans="1:7" x14ac:dyDescent="0.2">
      <c r="A25009" t="s">
        <v>1176</v>
      </c>
      <c r="B25009" t="str">
        <f>"15773511751"</f>
        <v>15773511751</v>
      </c>
      <c r="C25009" t="str">
        <f>"431003198902042514"</f>
        <v>431003198902042514</v>
      </c>
      <c r="D25009" t="s">
        <v>1</v>
      </c>
      <c r="E25009" t="s">
        <v>1</v>
      </c>
      <c r="F25009" t="s">
        <v>0</v>
      </c>
      <c r="G25009" t="str">
        <f>"2018-10-06 10:14:36"</f>
        <v>2018-10-06 10:14:36</v>
      </c>
    </row>
    <row r="25010" spans="1:7" x14ac:dyDescent="0.2">
      <c r="A25010" t="s">
        <v>23049</v>
      </c>
      <c r="B25010" t="str">
        <f>"18383813060"</f>
        <v>18383813060</v>
      </c>
      <c r="C25010" t="str">
        <f>"510121198410221775"</f>
        <v>510121198410221775</v>
      </c>
      <c r="D25010" t="s">
        <v>1</v>
      </c>
      <c r="E25010" t="s">
        <v>1</v>
      </c>
      <c r="F25010" t="s">
        <v>0</v>
      </c>
      <c r="G25010" t="str">
        <f>"2018-10-06 11:08:47"</f>
        <v>2018-10-06 11:08:47</v>
      </c>
    </row>
    <row r="25011" spans="1:7" x14ac:dyDescent="0.2">
      <c r="A25011" t="s">
        <v>23050</v>
      </c>
      <c r="B25011" t="str">
        <f>"17707166855"</f>
        <v>17707166855</v>
      </c>
      <c r="C25011" t="str">
        <f>"421002197801030538"</f>
        <v>421002197801030538</v>
      </c>
      <c r="D25011" t="s">
        <v>1</v>
      </c>
      <c r="E25011" t="s">
        <v>1</v>
      </c>
      <c r="F25011" t="s">
        <v>0</v>
      </c>
      <c r="G25011" t="str">
        <f>"2018-10-06 10:12:29"</f>
        <v>2018-10-06 10:12:29</v>
      </c>
    </row>
    <row r="25012" spans="1:7" x14ac:dyDescent="0.2">
      <c r="A25012" t="s">
        <v>23051</v>
      </c>
      <c r="B25012" t="str">
        <f>"18520354253"</f>
        <v>18520354253</v>
      </c>
      <c r="C25012" t="str">
        <f>"51050319950417001X"</f>
        <v>51050319950417001X</v>
      </c>
      <c r="D25012" t="s">
        <v>1</v>
      </c>
      <c r="E25012" t="s">
        <v>1</v>
      </c>
      <c r="F25012" t="s">
        <v>0</v>
      </c>
      <c r="G25012" t="str">
        <f>"2018-10-28 08:29:18"</f>
        <v>2018-10-28 08:29:18</v>
      </c>
    </row>
    <row r="25013" spans="1:7" x14ac:dyDescent="0.2">
      <c r="A25013" t="s">
        <v>23052</v>
      </c>
      <c r="B25013" t="str">
        <f>"18219038159"</f>
        <v>18219038159</v>
      </c>
      <c r="C25013" t="str">
        <f>"441625199603122714"</f>
        <v>441625199603122714</v>
      </c>
      <c r="D25013" t="s">
        <v>1</v>
      </c>
      <c r="E25013" t="s">
        <v>1</v>
      </c>
      <c r="F25013" t="s">
        <v>0</v>
      </c>
      <c r="G25013" t="str">
        <f>"2018-10-06 10:11:37"</f>
        <v>2018-10-06 10:11:37</v>
      </c>
    </row>
    <row r="25014" spans="1:7" x14ac:dyDescent="0.2">
      <c r="A25014" t="s">
        <v>1</v>
      </c>
      <c r="B25014" t="str">
        <f>"13922625087"</f>
        <v>13922625087</v>
      </c>
      <c r="C25014" t="s">
        <v>1</v>
      </c>
      <c r="D25014" t="s">
        <v>1</v>
      </c>
      <c r="E25014" t="s">
        <v>1</v>
      </c>
      <c r="F25014" t="s">
        <v>0</v>
      </c>
      <c r="G25014" t="str">
        <f>"2018-10-06 10:11:29"</f>
        <v>2018-10-06 10:11:29</v>
      </c>
    </row>
    <row r="25015" spans="1:7" x14ac:dyDescent="0.2">
      <c r="A25015" t="s">
        <v>23053</v>
      </c>
      <c r="B25015" t="str">
        <f>"13604489322"</f>
        <v>13604489322</v>
      </c>
      <c r="C25015" t="str">
        <f>"220723198412030637"</f>
        <v>220723198412030637</v>
      </c>
      <c r="D25015" t="s">
        <v>1</v>
      </c>
      <c r="E25015" t="s">
        <v>1</v>
      </c>
      <c r="F25015" t="s">
        <v>0</v>
      </c>
      <c r="G25015" t="str">
        <f>"2018-10-06 10:13:22"</f>
        <v>2018-10-06 10:13:22</v>
      </c>
    </row>
    <row r="25016" spans="1:7" x14ac:dyDescent="0.2">
      <c r="A25016" t="s">
        <v>1</v>
      </c>
      <c r="B25016" t="str">
        <f>"18529299464"</f>
        <v>18529299464</v>
      </c>
      <c r="C25016" t="s">
        <v>1</v>
      </c>
      <c r="D25016" t="s">
        <v>1</v>
      </c>
      <c r="E25016" t="s">
        <v>1</v>
      </c>
      <c r="F25016" t="s">
        <v>0</v>
      </c>
      <c r="G25016" t="str">
        <f>"2018-10-06 10:10:17"</f>
        <v>2018-10-06 10:10:17</v>
      </c>
    </row>
    <row r="25017" spans="1:7" x14ac:dyDescent="0.2">
      <c r="A25017" t="s">
        <v>1</v>
      </c>
      <c r="B25017" t="str">
        <f>"15078903139"</f>
        <v>15078903139</v>
      </c>
      <c r="C25017" t="s">
        <v>1</v>
      </c>
      <c r="D25017" t="s">
        <v>1</v>
      </c>
      <c r="E25017" t="s">
        <v>1</v>
      </c>
      <c r="F25017" t="s">
        <v>0</v>
      </c>
      <c r="G25017" t="str">
        <f>"2018-10-06 11:05:52"</f>
        <v>2018-10-06 11:05:52</v>
      </c>
    </row>
    <row r="25018" spans="1:7" x14ac:dyDescent="0.2">
      <c r="A25018" t="s">
        <v>1</v>
      </c>
      <c r="B25018" t="str">
        <f>"17687129857"</f>
        <v>17687129857</v>
      </c>
      <c r="C25018" t="s">
        <v>1</v>
      </c>
      <c r="D25018" t="s">
        <v>1</v>
      </c>
      <c r="E25018" t="s">
        <v>1</v>
      </c>
      <c r="F25018" t="s">
        <v>0</v>
      </c>
      <c r="G25018" t="str">
        <f>"2018-10-06 10:09:53"</f>
        <v>2018-10-06 10:09:53</v>
      </c>
    </row>
    <row r="25019" spans="1:7" x14ac:dyDescent="0.2">
      <c r="A25019" t="s">
        <v>1</v>
      </c>
      <c r="B25019" t="str">
        <f>"13015082016"</f>
        <v>13015082016</v>
      </c>
      <c r="C25019" t="s">
        <v>1</v>
      </c>
      <c r="D25019" t="s">
        <v>1</v>
      </c>
      <c r="E25019" t="s">
        <v>1</v>
      </c>
      <c r="F25019" t="s">
        <v>0</v>
      </c>
      <c r="G25019" t="str">
        <f>"2018-10-06 10:09:43"</f>
        <v>2018-10-06 10:09:43</v>
      </c>
    </row>
    <row r="25020" spans="1:7" x14ac:dyDescent="0.2">
      <c r="A25020" t="s">
        <v>1</v>
      </c>
      <c r="B25020" t="str">
        <f>"18782601966"</f>
        <v>18782601966</v>
      </c>
      <c r="C25020" t="s">
        <v>1</v>
      </c>
      <c r="D25020" t="s">
        <v>1</v>
      </c>
      <c r="E25020" t="s">
        <v>1</v>
      </c>
      <c r="F25020" t="s">
        <v>0</v>
      </c>
      <c r="G25020" t="str">
        <f>"2018-10-06 10:11:50"</f>
        <v>2018-10-06 10:11:50</v>
      </c>
    </row>
    <row r="25021" spans="1:7" x14ac:dyDescent="0.2">
      <c r="A25021" t="s">
        <v>23054</v>
      </c>
      <c r="B25021" t="str">
        <f>"15159577750"</f>
        <v>15159577750</v>
      </c>
      <c r="C25021" t="str">
        <f>"350525199105164534"</f>
        <v>350525199105164534</v>
      </c>
      <c r="D25021" t="s">
        <v>1</v>
      </c>
      <c r="E25021" t="s">
        <v>1</v>
      </c>
      <c r="F25021" t="s">
        <v>0</v>
      </c>
      <c r="G25021" t="str">
        <f>"2018-10-06 10:10:47"</f>
        <v>2018-10-06 10:10:47</v>
      </c>
    </row>
    <row r="25022" spans="1:7" x14ac:dyDescent="0.2">
      <c r="A25022" t="s">
        <v>1</v>
      </c>
      <c r="B25022" t="str">
        <f>"13927765498"</f>
        <v>13927765498</v>
      </c>
      <c r="C25022" t="s">
        <v>1</v>
      </c>
      <c r="D25022" t="s">
        <v>1</v>
      </c>
      <c r="E25022" t="s">
        <v>1</v>
      </c>
      <c r="F25022" t="s">
        <v>0</v>
      </c>
      <c r="G25022" t="str">
        <f>"2018-10-06 10:08:49"</f>
        <v>2018-10-06 10:08:49</v>
      </c>
    </row>
    <row r="25023" spans="1:7" x14ac:dyDescent="0.2">
      <c r="A25023" t="s">
        <v>16403</v>
      </c>
      <c r="B25023" t="str">
        <f>"15056028190"</f>
        <v>15056028190</v>
      </c>
      <c r="C25023" t="str">
        <f>"340122198907295272"</f>
        <v>340122198907295272</v>
      </c>
      <c r="D25023" t="s">
        <v>23055</v>
      </c>
      <c r="E25023" t="s">
        <v>23056</v>
      </c>
      <c r="F25023" t="s">
        <v>0</v>
      </c>
      <c r="G25023" t="str">
        <f>"2018-10-06 10:10:16"</f>
        <v>2018-10-06 10:10:16</v>
      </c>
    </row>
    <row r="25024" spans="1:7" x14ac:dyDescent="0.2">
      <c r="A25024" t="s">
        <v>23057</v>
      </c>
      <c r="B25024" t="str">
        <f>"18720361766"</f>
        <v>18720361766</v>
      </c>
      <c r="C25024" t="str">
        <f>"362322199710056658"</f>
        <v>362322199710056658</v>
      </c>
      <c r="D25024" t="s">
        <v>1</v>
      </c>
      <c r="E25024" t="s">
        <v>1</v>
      </c>
      <c r="F25024" t="s">
        <v>0</v>
      </c>
      <c r="G25024" t="str">
        <f>"2018-10-06 10:48:28"</f>
        <v>2018-10-06 10:48:28</v>
      </c>
    </row>
    <row r="25025" spans="1:7" x14ac:dyDescent="0.2">
      <c r="A25025" t="s">
        <v>23058</v>
      </c>
      <c r="B25025" t="str">
        <f>"13615528818"</f>
        <v>13615528818</v>
      </c>
      <c r="C25025" t="str">
        <f>"340303196611030219"</f>
        <v>340303196611030219</v>
      </c>
      <c r="D25025" t="s">
        <v>1</v>
      </c>
      <c r="E25025" t="s">
        <v>1</v>
      </c>
      <c r="F25025" t="s">
        <v>0</v>
      </c>
      <c r="G25025" t="str">
        <f>"2018-10-06 10:13:12"</f>
        <v>2018-10-06 10:13:12</v>
      </c>
    </row>
    <row r="25026" spans="1:7" x14ac:dyDescent="0.2">
      <c r="A25026" t="s">
        <v>23059</v>
      </c>
      <c r="B25026" t="str">
        <f>"13989343306"</f>
        <v>13989343306</v>
      </c>
      <c r="C25026" t="str">
        <f>"330225198602101775"</f>
        <v>330225198602101775</v>
      </c>
      <c r="D25026" t="s">
        <v>1</v>
      </c>
      <c r="E25026" t="s">
        <v>1</v>
      </c>
      <c r="F25026" t="s">
        <v>0</v>
      </c>
      <c r="G25026" t="str">
        <f>"2018-10-06 10:09:57"</f>
        <v>2018-10-06 10:09:57</v>
      </c>
    </row>
    <row r="25027" spans="1:7" x14ac:dyDescent="0.2">
      <c r="A25027" t="s">
        <v>23060</v>
      </c>
      <c r="B25027" t="str">
        <f>"13299098775"</f>
        <v>13299098775</v>
      </c>
      <c r="C25027" t="str">
        <f>"610427199012180034"</f>
        <v>610427199012180034</v>
      </c>
      <c r="D25027" t="s">
        <v>1</v>
      </c>
      <c r="E25027" t="s">
        <v>1</v>
      </c>
      <c r="F25027" t="s">
        <v>0</v>
      </c>
      <c r="G25027" t="str">
        <f>"2018-10-06 10:09:28"</f>
        <v>2018-10-06 10:09:28</v>
      </c>
    </row>
    <row r="25028" spans="1:7" x14ac:dyDescent="0.2">
      <c r="A25028" t="s">
        <v>1</v>
      </c>
      <c r="B25028" t="str">
        <f>"13065712580"</f>
        <v>13065712580</v>
      </c>
      <c r="C25028" t="s">
        <v>1</v>
      </c>
      <c r="D25028" t="s">
        <v>1</v>
      </c>
      <c r="E25028" t="s">
        <v>1</v>
      </c>
      <c r="F25028" t="s">
        <v>0</v>
      </c>
      <c r="G25028" t="str">
        <f>"2018-10-06 10:22:39"</f>
        <v>2018-10-06 10:22:39</v>
      </c>
    </row>
    <row r="25029" spans="1:7" x14ac:dyDescent="0.2">
      <c r="A25029" t="s">
        <v>844</v>
      </c>
      <c r="B25029" t="str">
        <f>"18009032011"</f>
        <v>18009032011</v>
      </c>
      <c r="C25029" t="str">
        <f>"500382198702017495"</f>
        <v>500382198702017495</v>
      </c>
      <c r="D25029" t="s">
        <v>1</v>
      </c>
      <c r="E25029" t="s">
        <v>1</v>
      </c>
      <c r="F25029" t="s">
        <v>0</v>
      </c>
      <c r="G25029" t="str">
        <f>"2018-10-06 10:07:39"</f>
        <v>2018-10-06 10:07:39</v>
      </c>
    </row>
    <row r="25030" spans="1:7" x14ac:dyDescent="0.2">
      <c r="A25030" t="s">
        <v>23061</v>
      </c>
      <c r="B25030" t="str">
        <f>"18715770087"</f>
        <v>18715770087</v>
      </c>
      <c r="C25030" t="str">
        <f>"510502198611098729"</f>
        <v>510502198611098729</v>
      </c>
      <c r="D25030" t="s">
        <v>1</v>
      </c>
      <c r="E25030" t="s">
        <v>1</v>
      </c>
      <c r="F25030" t="s">
        <v>0</v>
      </c>
      <c r="G25030" t="str">
        <f>"2018-10-06 12:04:51"</f>
        <v>2018-10-06 12:04:51</v>
      </c>
    </row>
    <row r="25031" spans="1:7" x14ac:dyDescent="0.2">
      <c r="A25031" t="s">
        <v>23062</v>
      </c>
      <c r="B25031" t="str">
        <f>"18805425087"</f>
        <v>18805425087</v>
      </c>
      <c r="C25031" t="str">
        <f>"370282199110225113"</f>
        <v>370282199110225113</v>
      </c>
      <c r="D25031" t="s">
        <v>1</v>
      </c>
      <c r="E25031" t="s">
        <v>1</v>
      </c>
      <c r="F25031" t="s">
        <v>0</v>
      </c>
      <c r="G25031" t="str">
        <f>"2018-10-06 10:10:28"</f>
        <v>2018-10-06 10:10:28</v>
      </c>
    </row>
    <row r="25032" spans="1:7" x14ac:dyDescent="0.2">
      <c r="A25032" t="s">
        <v>23063</v>
      </c>
      <c r="B25032" t="str">
        <f>"13807102718"</f>
        <v>13807102718</v>
      </c>
      <c r="C25032" t="str">
        <f>"420107196305303738"</f>
        <v>420107196305303738</v>
      </c>
      <c r="D25032" t="s">
        <v>1</v>
      </c>
      <c r="E25032" t="s">
        <v>1</v>
      </c>
      <c r="F25032" t="s">
        <v>0</v>
      </c>
      <c r="G25032" t="str">
        <f>"2018-10-06 10:10:04"</f>
        <v>2018-10-06 10:10:04</v>
      </c>
    </row>
    <row r="25033" spans="1:7" x14ac:dyDescent="0.2">
      <c r="A25033" t="s">
        <v>1</v>
      </c>
      <c r="B25033" t="str">
        <f>"13934041829"</f>
        <v>13934041829</v>
      </c>
      <c r="C25033" t="s">
        <v>1</v>
      </c>
      <c r="D25033" t="s">
        <v>1</v>
      </c>
      <c r="E25033" t="s">
        <v>1</v>
      </c>
      <c r="F25033" t="s">
        <v>0</v>
      </c>
      <c r="G25033" t="str">
        <f>"2018-10-06 10:08:29"</f>
        <v>2018-10-06 10:08:29</v>
      </c>
    </row>
    <row r="25034" spans="1:7" x14ac:dyDescent="0.2">
      <c r="A25034" t="s">
        <v>1</v>
      </c>
      <c r="B25034" t="str">
        <f>"13753875711"</f>
        <v>13753875711</v>
      </c>
      <c r="C25034" t="s">
        <v>1</v>
      </c>
      <c r="D25034" t="s">
        <v>1</v>
      </c>
      <c r="E25034" t="s">
        <v>1</v>
      </c>
      <c r="F25034" t="s">
        <v>0</v>
      </c>
      <c r="G25034" t="str">
        <f>"2018-10-06 10:04:54"</f>
        <v>2018-10-06 10:04:54</v>
      </c>
    </row>
    <row r="25035" spans="1:7" x14ac:dyDescent="0.2">
      <c r="A25035" t="s">
        <v>1</v>
      </c>
      <c r="B25035" t="str">
        <f>"18563935761"</f>
        <v>18563935761</v>
      </c>
      <c r="C25035" t="s">
        <v>1</v>
      </c>
      <c r="D25035" t="s">
        <v>1</v>
      </c>
      <c r="E25035" t="s">
        <v>1</v>
      </c>
      <c r="F25035" t="s">
        <v>0</v>
      </c>
      <c r="G25035" t="str">
        <f>"2018-10-06 10:04:39"</f>
        <v>2018-10-06 10:04:39</v>
      </c>
    </row>
    <row r="25036" spans="1:7" x14ac:dyDescent="0.2">
      <c r="A25036" t="s">
        <v>1</v>
      </c>
      <c r="B25036" t="str">
        <f>"13327381706"</f>
        <v>13327381706</v>
      </c>
      <c r="C25036" t="s">
        <v>1</v>
      </c>
      <c r="D25036" t="s">
        <v>1</v>
      </c>
      <c r="E25036" t="s">
        <v>1</v>
      </c>
      <c r="F25036" t="s">
        <v>0</v>
      </c>
      <c r="G25036" t="str">
        <f>"2018-10-06 10:04:34"</f>
        <v>2018-10-06 10:04:34</v>
      </c>
    </row>
    <row r="25037" spans="1:7" x14ac:dyDescent="0.2">
      <c r="A25037" t="s">
        <v>23064</v>
      </c>
      <c r="B25037" t="str">
        <f>"15069865086"</f>
        <v>15069865086</v>
      </c>
      <c r="C25037" t="str">
        <f>"370983197910222362"</f>
        <v>370983197910222362</v>
      </c>
      <c r="D25037" t="s">
        <v>1</v>
      </c>
      <c r="E25037" t="s">
        <v>1</v>
      </c>
      <c r="F25037" t="s">
        <v>0</v>
      </c>
      <c r="G25037" t="str">
        <f>"2018-10-06 10:05:41"</f>
        <v>2018-10-06 10:05:41</v>
      </c>
    </row>
    <row r="25038" spans="1:7" x14ac:dyDescent="0.2">
      <c r="A25038" t="s">
        <v>582</v>
      </c>
      <c r="B25038" t="str">
        <f>"13910417722"</f>
        <v>13910417722</v>
      </c>
      <c r="C25038" t="str">
        <f>"110111198208142611"</f>
        <v>110111198208142611</v>
      </c>
      <c r="D25038" t="s">
        <v>1</v>
      </c>
      <c r="E25038" t="s">
        <v>1</v>
      </c>
      <c r="F25038" t="s">
        <v>0</v>
      </c>
      <c r="G25038" t="str">
        <f>"2018-10-06 12:20:09"</f>
        <v>2018-10-06 12:20:09</v>
      </c>
    </row>
    <row r="25039" spans="1:7" x14ac:dyDescent="0.2">
      <c r="A25039" t="s">
        <v>1276</v>
      </c>
      <c r="B25039" t="str">
        <f>"13980541584"</f>
        <v>13980541584</v>
      </c>
      <c r="C25039" t="str">
        <f>"513902199102057290"</f>
        <v>513902199102057290</v>
      </c>
      <c r="D25039" t="s">
        <v>1</v>
      </c>
      <c r="E25039" t="s">
        <v>1</v>
      </c>
      <c r="F25039" t="s">
        <v>0</v>
      </c>
      <c r="G25039" t="str">
        <f>"2018-10-06 10:08:17"</f>
        <v>2018-10-06 10:08:17</v>
      </c>
    </row>
    <row r="25040" spans="1:7" x14ac:dyDescent="0.2">
      <c r="A25040" t="s">
        <v>23065</v>
      </c>
      <c r="B25040" t="str">
        <f>"13755496794"</f>
        <v>13755496794</v>
      </c>
      <c r="C25040" t="str">
        <f>"362425199807072229"</f>
        <v>362425199807072229</v>
      </c>
      <c r="D25040" t="s">
        <v>1</v>
      </c>
      <c r="E25040" t="s">
        <v>1</v>
      </c>
      <c r="F25040" t="s">
        <v>0</v>
      </c>
      <c r="G25040" t="str">
        <f>"2018-10-06 10:03:02"</f>
        <v>2018-10-06 10:03:02</v>
      </c>
    </row>
    <row r="25041" spans="1:7" x14ac:dyDescent="0.2">
      <c r="A25041" t="s">
        <v>23066</v>
      </c>
      <c r="B25041" t="str">
        <f>"15863505696"</f>
        <v>15863505696</v>
      </c>
      <c r="C25041" t="str">
        <f>"371581199802247170"</f>
        <v>371581199802247170</v>
      </c>
      <c r="D25041" t="s">
        <v>1</v>
      </c>
      <c r="E25041" t="s">
        <v>1</v>
      </c>
      <c r="F25041" t="s">
        <v>0</v>
      </c>
      <c r="G25041" t="str">
        <f>"2018-10-06 19:26:37"</f>
        <v>2018-10-06 19:26:37</v>
      </c>
    </row>
    <row r="25042" spans="1:7" x14ac:dyDescent="0.2">
      <c r="A25042" t="s">
        <v>23067</v>
      </c>
      <c r="B25042" t="str">
        <f>"17809207584"</f>
        <v>17809207584</v>
      </c>
      <c r="C25042" t="str">
        <f>"610423199607070074"</f>
        <v>610423199607070074</v>
      </c>
      <c r="D25042" t="s">
        <v>23068</v>
      </c>
      <c r="E25042" t="s">
        <v>23069</v>
      </c>
      <c r="F25042" t="s">
        <v>0</v>
      </c>
      <c r="G25042" t="str">
        <f>"2018-10-08 07:26:23"</f>
        <v>2018-10-08 07:26:23</v>
      </c>
    </row>
    <row r="25043" spans="1:7" x14ac:dyDescent="0.2">
      <c r="A25043" t="s">
        <v>1</v>
      </c>
      <c r="B25043" t="str">
        <f>"15017459669"</f>
        <v>15017459669</v>
      </c>
      <c r="C25043" t="s">
        <v>1</v>
      </c>
      <c r="D25043" t="s">
        <v>1</v>
      </c>
      <c r="E25043" t="s">
        <v>1</v>
      </c>
      <c r="F25043" t="s">
        <v>0</v>
      </c>
      <c r="G25043" t="str">
        <f>"2018-10-06 10:04:13"</f>
        <v>2018-10-06 10:04:13</v>
      </c>
    </row>
    <row r="25044" spans="1:7" x14ac:dyDescent="0.2">
      <c r="A25044" t="s">
        <v>1</v>
      </c>
      <c r="B25044" t="str">
        <f>"18285766717"</f>
        <v>18285766717</v>
      </c>
      <c r="C25044" t="s">
        <v>1</v>
      </c>
      <c r="D25044" t="s">
        <v>1</v>
      </c>
      <c r="E25044" t="s">
        <v>1</v>
      </c>
      <c r="F25044" t="s">
        <v>0</v>
      </c>
      <c r="G25044" t="str">
        <f>"2018-10-06 10:03:12"</f>
        <v>2018-10-06 10:03:12</v>
      </c>
    </row>
    <row r="25045" spans="1:7" x14ac:dyDescent="0.2">
      <c r="A25045" t="s">
        <v>23070</v>
      </c>
      <c r="B25045" t="str">
        <f>"18776762128"</f>
        <v>18776762128</v>
      </c>
      <c r="C25045" t="str">
        <f>"452129197804131416"</f>
        <v>452129197804131416</v>
      </c>
      <c r="D25045" t="s">
        <v>23071</v>
      </c>
      <c r="E25045" t="s">
        <v>23072</v>
      </c>
      <c r="F25045" t="s">
        <v>0</v>
      </c>
      <c r="G25045" t="str">
        <f>"2018-10-06 10:04:09"</f>
        <v>2018-10-06 10:04:09</v>
      </c>
    </row>
    <row r="25046" spans="1:7" x14ac:dyDescent="0.2">
      <c r="A25046" t="s">
        <v>99</v>
      </c>
      <c r="B25046" t="str">
        <f>"15552937234"</f>
        <v>15552937234</v>
      </c>
      <c r="C25046" t="str">
        <f>"371324198607200315"</f>
        <v>371324198607200315</v>
      </c>
      <c r="D25046" t="s">
        <v>1</v>
      </c>
      <c r="E25046" t="s">
        <v>1</v>
      </c>
      <c r="F25046" t="s">
        <v>0</v>
      </c>
      <c r="G25046" t="str">
        <f>"2018-10-06 10:06:30"</f>
        <v>2018-10-06 10:06:30</v>
      </c>
    </row>
    <row r="25047" spans="1:7" x14ac:dyDescent="0.2">
      <c r="A25047" t="s">
        <v>23073</v>
      </c>
      <c r="B25047" t="str">
        <f>"15896219593"</f>
        <v>15896219593</v>
      </c>
      <c r="C25047" t="str">
        <f>"320682197710076637"</f>
        <v>320682197710076637</v>
      </c>
      <c r="D25047" t="s">
        <v>1</v>
      </c>
      <c r="E25047" t="s">
        <v>1</v>
      </c>
      <c r="F25047" t="s">
        <v>0</v>
      </c>
      <c r="G25047" t="str">
        <f>"2018-10-06 10:02:41"</f>
        <v>2018-10-06 10:02:41</v>
      </c>
    </row>
    <row r="25048" spans="1:7" x14ac:dyDescent="0.2">
      <c r="A25048" t="s">
        <v>23074</v>
      </c>
      <c r="B25048" t="str">
        <f>"18003441731"</f>
        <v>18003441731</v>
      </c>
      <c r="C25048" t="str">
        <f>"140702199201317112"</f>
        <v>140702199201317112</v>
      </c>
      <c r="D25048" t="s">
        <v>1</v>
      </c>
      <c r="E25048" t="s">
        <v>1</v>
      </c>
      <c r="F25048" t="s">
        <v>0</v>
      </c>
      <c r="G25048" t="str">
        <f>"2018-10-06 10:02:17"</f>
        <v>2018-10-06 10:02:17</v>
      </c>
    </row>
    <row r="25049" spans="1:7" x14ac:dyDescent="0.2">
      <c r="A25049" t="s">
        <v>23075</v>
      </c>
      <c r="B25049" t="str">
        <f>"17620686169"</f>
        <v>17620686169</v>
      </c>
      <c r="C25049" t="str">
        <f>"441721199710033514"</f>
        <v>441721199710033514</v>
      </c>
      <c r="D25049" t="s">
        <v>1</v>
      </c>
      <c r="E25049" t="s">
        <v>1</v>
      </c>
      <c r="F25049" t="s">
        <v>0</v>
      </c>
      <c r="G25049" t="str">
        <f>"2018-10-06 10:02:00"</f>
        <v>2018-10-06 10:02:00</v>
      </c>
    </row>
    <row r="25050" spans="1:7" x14ac:dyDescent="0.2">
      <c r="A25050" t="s">
        <v>23076</v>
      </c>
      <c r="B25050" t="str">
        <f>"17671091272"</f>
        <v>17671091272</v>
      </c>
      <c r="C25050" t="str">
        <f>"421127199106230417"</f>
        <v>421127199106230417</v>
      </c>
      <c r="D25050" t="s">
        <v>1</v>
      </c>
      <c r="E25050" t="s">
        <v>1</v>
      </c>
      <c r="F25050" t="s">
        <v>0</v>
      </c>
      <c r="G25050" t="str">
        <f>"2018-10-06 10:00:46"</f>
        <v>2018-10-06 10:00:46</v>
      </c>
    </row>
    <row r="25051" spans="1:7" x14ac:dyDescent="0.2">
      <c r="A25051" t="s">
        <v>23077</v>
      </c>
      <c r="B25051" t="str">
        <f>"17709429630"</f>
        <v>17709429630</v>
      </c>
      <c r="C25051" t="str">
        <f>"622623199409231521"</f>
        <v>622623199409231521</v>
      </c>
      <c r="D25051" t="s">
        <v>1</v>
      </c>
      <c r="E25051" t="s">
        <v>1</v>
      </c>
      <c r="F25051" t="s">
        <v>0</v>
      </c>
      <c r="G25051" t="str">
        <f>"2018-10-06 10:03:49"</f>
        <v>2018-10-06 10:03:49</v>
      </c>
    </row>
    <row r="25052" spans="1:7" x14ac:dyDescent="0.2">
      <c r="A25052" t="s">
        <v>23078</v>
      </c>
      <c r="B25052" t="str">
        <f>"18860175045"</f>
        <v>18860175045</v>
      </c>
      <c r="C25052" t="str">
        <f>"350426199511033557"</f>
        <v>350426199511033557</v>
      </c>
      <c r="D25052" t="s">
        <v>1</v>
      </c>
      <c r="E25052" t="s">
        <v>1</v>
      </c>
      <c r="F25052" t="s">
        <v>0</v>
      </c>
      <c r="G25052" t="str">
        <f>"2018-10-06 10:03:57"</f>
        <v>2018-10-06 10:03:57</v>
      </c>
    </row>
    <row r="25053" spans="1:7" x14ac:dyDescent="0.2">
      <c r="A25053" t="s">
        <v>23079</v>
      </c>
      <c r="B25053" t="str">
        <f>"15109898783"</f>
        <v>15109898783</v>
      </c>
      <c r="C25053" t="str">
        <f>"460033199109190025"</f>
        <v>460033199109190025</v>
      </c>
      <c r="D25053" t="s">
        <v>1</v>
      </c>
      <c r="E25053" t="s">
        <v>1</v>
      </c>
      <c r="F25053" t="s">
        <v>0</v>
      </c>
      <c r="G25053" t="str">
        <f>"2018-10-06 10:52:51"</f>
        <v>2018-10-06 10:52:51</v>
      </c>
    </row>
    <row r="25054" spans="1:7" x14ac:dyDescent="0.2">
      <c r="A25054" t="s">
        <v>1</v>
      </c>
      <c r="B25054" t="str">
        <f>"18546115559"</f>
        <v>18546115559</v>
      </c>
      <c r="C25054" t="s">
        <v>1</v>
      </c>
      <c r="D25054" t="s">
        <v>1</v>
      </c>
      <c r="E25054" t="s">
        <v>1</v>
      </c>
      <c r="F25054" t="s">
        <v>0</v>
      </c>
      <c r="G25054" t="str">
        <f>"2018-10-06 10:00:46"</f>
        <v>2018-10-06 10:00:46</v>
      </c>
    </row>
    <row r="25055" spans="1:7" x14ac:dyDescent="0.2">
      <c r="A25055" t="s">
        <v>23080</v>
      </c>
      <c r="B25055" t="str">
        <f>"13777580691"</f>
        <v>13777580691</v>
      </c>
      <c r="C25055" t="str">
        <f>"330182197906254313"</f>
        <v>330182197906254313</v>
      </c>
      <c r="D25055" t="s">
        <v>1</v>
      </c>
      <c r="E25055" t="s">
        <v>1</v>
      </c>
      <c r="F25055" t="s">
        <v>0</v>
      </c>
      <c r="G25055" t="str">
        <f>"2018-10-06 10:01:03"</f>
        <v>2018-10-06 10:01:03</v>
      </c>
    </row>
    <row r="25056" spans="1:7" x14ac:dyDescent="0.2">
      <c r="A25056" t="s">
        <v>23081</v>
      </c>
      <c r="B25056" t="str">
        <f>"15507282220"</f>
        <v>15507282220</v>
      </c>
      <c r="C25056" t="str">
        <f>"420324198909231030"</f>
        <v>420324198909231030</v>
      </c>
      <c r="D25056" t="s">
        <v>1</v>
      </c>
      <c r="E25056" t="s">
        <v>1</v>
      </c>
      <c r="F25056" t="s">
        <v>0</v>
      </c>
      <c r="G25056" t="str">
        <f>"2018-10-06 10:00:43"</f>
        <v>2018-10-06 10:00:43</v>
      </c>
    </row>
    <row r="25057" spans="1:7" x14ac:dyDescent="0.2">
      <c r="A25057" t="s">
        <v>1</v>
      </c>
      <c r="B25057" t="str">
        <f>"18650883335"</f>
        <v>18650883335</v>
      </c>
      <c r="C25057" t="s">
        <v>1</v>
      </c>
      <c r="D25057" t="s">
        <v>1</v>
      </c>
      <c r="E25057" t="s">
        <v>1</v>
      </c>
      <c r="F25057" t="s">
        <v>0</v>
      </c>
      <c r="G25057" t="str">
        <f>"2018-10-06 09:59:15"</f>
        <v>2018-10-06 09:59:15</v>
      </c>
    </row>
    <row r="25058" spans="1:7" x14ac:dyDescent="0.2">
      <c r="A25058" t="s">
        <v>20389</v>
      </c>
      <c r="B25058" t="str">
        <f>"18226916382"</f>
        <v>18226916382</v>
      </c>
      <c r="C25058" t="str">
        <f>"341623199605291013"</f>
        <v>341623199605291013</v>
      </c>
      <c r="D25058" t="s">
        <v>1</v>
      </c>
      <c r="E25058" t="s">
        <v>1</v>
      </c>
      <c r="F25058" t="s">
        <v>0</v>
      </c>
      <c r="G25058" t="str">
        <f>"2018-10-06 10:02:58"</f>
        <v>2018-10-06 10:02:58</v>
      </c>
    </row>
    <row r="25059" spans="1:7" x14ac:dyDescent="0.2">
      <c r="A25059" t="s">
        <v>23082</v>
      </c>
      <c r="B25059" t="str">
        <f>"18985728039"</f>
        <v>18985728039</v>
      </c>
      <c r="C25059" t="str">
        <f>"50022319990214704X"</f>
        <v>50022319990214704X</v>
      </c>
      <c r="D25059" t="s">
        <v>1</v>
      </c>
      <c r="E25059" t="s">
        <v>1</v>
      </c>
      <c r="F25059" t="s">
        <v>0</v>
      </c>
      <c r="G25059" t="str">
        <f>"2018-10-06 10:02:22"</f>
        <v>2018-10-06 10:02:22</v>
      </c>
    </row>
    <row r="25060" spans="1:7" x14ac:dyDescent="0.2">
      <c r="A25060" t="s">
        <v>23083</v>
      </c>
      <c r="B25060" t="str">
        <f>"18285343657"</f>
        <v>18285343657</v>
      </c>
      <c r="C25060" t="str">
        <f>"52250119871117831X"</f>
        <v>52250119871117831X</v>
      </c>
      <c r="D25060" t="s">
        <v>1</v>
      </c>
      <c r="E25060" t="s">
        <v>1</v>
      </c>
      <c r="F25060" t="s">
        <v>0</v>
      </c>
      <c r="G25060" t="str">
        <f>"2018-10-18 14:45:26"</f>
        <v>2018-10-18 14:45:26</v>
      </c>
    </row>
    <row r="25061" spans="1:7" x14ac:dyDescent="0.2">
      <c r="A25061" t="s">
        <v>23084</v>
      </c>
      <c r="B25061" t="str">
        <f>"13480924853"</f>
        <v>13480924853</v>
      </c>
      <c r="C25061" t="str">
        <f>"430526198309114776"</f>
        <v>430526198309114776</v>
      </c>
      <c r="D25061" t="s">
        <v>1</v>
      </c>
      <c r="E25061" t="s">
        <v>1</v>
      </c>
      <c r="F25061" t="s">
        <v>0</v>
      </c>
      <c r="G25061" t="str">
        <f>"2018-10-06 10:11:55"</f>
        <v>2018-10-06 10:11:55</v>
      </c>
    </row>
    <row r="25062" spans="1:7" x14ac:dyDescent="0.2">
      <c r="A25062" t="s">
        <v>23085</v>
      </c>
      <c r="B25062" t="str">
        <f>"15750979706"</f>
        <v>15750979706</v>
      </c>
      <c r="C25062" t="str">
        <f>"350583199506298318"</f>
        <v>350583199506298318</v>
      </c>
      <c r="D25062" t="s">
        <v>23086</v>
      </c>
      <c r="E25062" t="s">
        <v>23087</v>
      </c>
      <c r="F25062" t="s">
        <v>0</v>
      </c>
      <c r="G25062" t="str">
        <f>"2018-10-06 09:55:18"</f>
        <v>2018-10-06 09:55:18</v>
      </c>
    </row>
    <row r="25063" spans="1:7" x14ac:dyDescent="0.2">
      <c r="A25063" t="s">
        <v>23088</v>
      </c>
      <c r="B25063" t="str">
        <f>"13919314656"</f>
        <v>13919314656</v>
      </c>
      <c r="C25063" t="str">
        <f>"62222619830330051X"</f>
        <v>62222619830330051X</v>
      </c>
      <c r="D25063" t="s">
        <v>1</v>
      </c>
      <c r="E25063" t="s">
        <v>1</v>
      </c>
      <c r="F25063" t="s">
        <v>0</v>
      </c>
      <c r="G25063" t="str">
        <f>"2018-10-06 09:56:02"</f>
        <v>2018-10-06 09:56:02</v>
      </c>
    </row>
    <row r="25064" spans="1:7" x14ac:dyDescent="0.2">
      <c r="A25064" t="s">
        <v>613</v>
      </c>
      <c r="B25064" t="str">
        <f>"15983282463"</f>
        <v>15983282463</v>
      </c>
      <c r="C25064" t="str">
        <f>"513902198703080854"</f>
        <v>513902198703080854</v>
      </c>
      <c r="D25064" t="s">
        <v>1</v>
      </c>
      <c r="E25064" t="s">
        <v>1</v>
      </c>
      <c r="F25064" t="s">
        <v>0</v>
      </c>
      <c r="G25064" t="str">
        <f>"2018-10-06 10:02:54"</f>
        <v>2018-10-06 10:02:54</v>
      </c>
    </row>
    <row r="25065" spans="1:7" x14ac:dyDescent="0.2">
      <c r="A25065" t="s">
        <v>1</v>
      </c>
      <c r="B25065" t="str">
        <f>"13185218734"</f>
        <v>13185218734</v>
      </c>
      <c r="C25065" t="s">
        <v>1</v>
      </c>
      <c r="D25065" t="s">
        <v>1</v>
      </c>
      <c r="E25065" t="s">
        <v>1</v>
      </c>
      <c r="F25065" t="s">
        <v>0</v>
      </c>
      <c r="G25065" t="str">
        <f>"2018-10-06 09:55:00"</f>
        <v>2018-10-06 09:55:00</v>
      </c>
    </row>
    <row r="25066" spans="1:7" x14ac:dyDescent="0.2">
      <c r="A25066" t="s">
        <v>23089</v>
      </c>
      <c r="B25066" t="str">
        <f>"17771668502"</f>
        <v>17771668502</v>
      </c>
      <c r="C25066" t="str">
        <f>"422826197807150018"</f>
        <v>422826197807150018</v>
      </c>
      <c r="D25066" t="s">
        <v>1</v>
      </c>
      <c r="E25066" t="s">
        <v>1</v>
      </c>
      <c r="F25066" t="s">
        <v>0</v>
      </c>
      <c r="G25066" t="str">
        <f>"2018-10-06 09:54:45"</f>
        <v>2018-10-06 09:54:45</v>
      </c>
    </row>
    <row r="25067" spans="1:7" x14ac:dyDescent="0.2">
      <c r="A25067" t="s">
        <v>23090</v>
      </c>
      <c r="B25067" t="str">
        <f>"18767559264"</f>
        <v>18767559264</v>
      </c>
      <c r="C25067" t="str">
        <f>"330681199408118204"</f>
        <v>330681199408118204</v>
      </c>
      <c r="D25067" t="s">
        <v>1</v>
      </c>
      <c r="E25067" t="s">
        <v>1</v>
      </c>
      <c r="F25067" t="s">
        <v>0</v>
      </c>
      <c r="G25067" t="str">
        <f>"2018-10-06 09:55:51"</f>
        <v>2018-10-06 09:55:51</v>
      </c>
    </row>
    <row r="25068" spans="1:7" x14ac:dyDescent="0.2">
      <c r="A25068" t="s">
        <v>23091</v>
      </c>
      <c r="B25068" t="str">
        <f>"13189710813"</f>
        <v>13189710813</v>
      </c>
      <c r="C25068" t="str">
        <f>"513902198904108278"</f>
        <v>513902198904108278</v>
      </c>
      <c r="D25068" t="s">
        <v>1</v>
      </c>
      <c r="E25068" t="s">
        <v>1</v>
      </c>
      <c r="F25068" t="s">
        <v>0</v>
      </c>
      <c r="G25068" t="str">
        <f>"2018-10-06 09:54:29"</f>
        <v>2018-10-06 09:54:29</v>
      </c>
    </row>
    <row r="25069" spans="1:7" x14ac:dyDescent="0.2">
      <c r="A25069" t="s">
        <v>1</v>
      </c>
      <c r="B25069" t="str">
        <f>"15023886828"</f>
        <v>15023886828</v>
      </c>
      <c r="C25069" t="s">
        <v>1</v>
      </c>
      <c r="D25069" t="s">
        <v>1</v>
      </c>
      <c r="E25069" t="s">
        <v>1</v>
      </c>
      <c r="F25069" t="s">
        <v>0</v>
      </c>
      <c r="G25069" t="str">
        <f>"2018-10-06 09:53:36"</f>
        <v>2018-10-06 09:53:36</v>
      </c>
    </row>
    <row r="25070" spans="1:7" x14ac:dyDescent="0.2">
      <c r="A25070" t="s">
        <v>1</v>
      </c>
      <c r="B25070" t="str">
        <f>"13228033977"</f>
        <v>13228033977</v>
      </c>
      <c r="C25070" t="s">
        <v>1</v>
      </c>
      <c r="D25070" t="s">
        <v>1</v>
      </c>
      <c r="E25070" t="s">
        <v>1</v>
      </c>
      <c r="F25070" t="s">
        <v>0</v>
      </c>
      <c r="G25070" t="str">
        <f>"2018-10-06 09:53:33"</f>
        <v>2018-10-06 09:53:33</v>
      </c>
    </row>
    <row r="25071" spans="1:7" x14ac:dyDescent="0.2">
      <c r="A25071" t="s">
        <v>23092</v>
      </c>
      <c r="B25071" t="str">
        <f>"18173392949"</f>
        <v>18173392949</v>
      </c>
      <c r="C25071" t="str">
        <f>"430219198209237701"</f>
        <v>430219198209237701</v>
      </c>
      <c r="D25071" t="s">
        <v>1</v>
      </c>
      <c r="E25071" t="s">
        <v>1</v>
      </c>
      <c r="F25071" t="s">
        <v>0</v>
      </c>
      <c r="G25071" t="str">
        <f>"2018-10-06 16:32:24"</f>
        <v>2018-10-06 16:32:24</v>
      </c>
    </row>
    <row r="25072" spans="1:7" x14ac:dyDescent="0.2">
      <c r="A25072" t="s">
        <v>23093</v>
      </c>
      <c r="B25072" t="str">
        <f>"13829360488"</f>
        <v>13829360488</v>
      </c>
      <c r="C25072" t="str">
        <f>"441621198010161443"</f>
        <v>441621198010161443</v>
      </c>
      <c r="D25072" t="s">
        <v>23094</v>
      </c>
      <c r="E25072" t="s">
        <v>23095</v>
      </c>
      <c r="F25072" t="s">
        <v>0</v>
      </c>
      <c r="G25072" t="str">
        <f>"2018-10-28 20:15:15"</f>
        <v>2018-10-28 20:15:15</v>
      </c>
    </row>
    <row r="25073" spans="1:7" x14ac:dyDescent="0.2">
      <c r="A25073" t="s">
        <v>1</v>
      </c>
      <c r="B25073" t="str">
        <f>"15522811885"</f>
        <v>15522811885</v>
      </c>
      <c r="C25073" t="s">
        <v>1</v>
      </c>
      <c r="D25073" t="s">
        <v>1</v>
      </c>
      <c r="E25073" t="s">
        <v>1</v>
      </c>
      <c r="F25073" t="s">
        <v>0</v>
      </c>
      <c r="G25073" t="str">
        <f>"2018-10-06 14:31:20"</f>
        <v>2018-10-06 14:31:20</v>
      </c>
    </row>
    <row r="25074" spans="1:7" x14ac:dyDescent="0.2">
      <c r="A25074" t="s">
        <v>1</v>
      </c>
      <c r="B25074" t="str">
        <f>"15915587837"</f>
        <v>15915587837</v>
      </c>
      <c r="C25074" t="s">
        <v>1</v>
      </c>
      <c r="D25074" t="s">
        <v>1</v>
      </c>
      <c r="E25074" t="s">
        <v>1</v>
      </c>
      <c r="F25074" t="s">
        <v>0</v>
      </c>
      <c r="G25074" t="str">
        <f>"2018-10-06 09:51:54"</f>
        <v>2018-10-06 09:51:54</v>
      </c>
    </row>
    <row r="25075" spans="1:7" x14ac:dyDescent="0.2">
      <c r="A25075" t="s">
        <v>23096</v>
      </c>
      <c r="B25075" t="str">
        <f>"13307331998"</f>
        <v>13307331998</v>
      </c>
      <c r="C25075" t="str">
        <f>"430202199011191012"</f>
        <v>430202199011191012</v>
      </c>
      <c r="D25075" t="s">
        <v>1</v>
      </c>
      <c r="E25075" t="s">
        <v>1</v>
      </c>
      <c r="F25075" t="s">
        <v>0</v>
      </c>
      <c r="G25075" t="str">
        <f>"2018-10-14 14:03:29"</f>
        <v>2018-10-14 14:03:29</v>
      </c>
    </row>
    <row r="25076" spans="1:7" x14ac:dyDescent="0.2">
      <c r="A25076" t="s">
        <v>23097</v>
      </c>
      <c r="B25076" t="str">
        <f>"15227653867"</f>
        <v>15227653867</v>
      </c>
      <c r="C25076" t="str">
        <f>"130582198308033034"</f>
        <v>130582198308033034</v>
      </c>
      <c r="D25076" t="s">
        <v>1</v>
      </c>
      <c r="E25076" t="s">
        <v>1</v>
      </c>
      <c r="F25076" t="s">
        <v>0</v>
      </c>
      <c r="G25076" t="str">
        <f>"2018-10-06 09:53:00"</f>
        <v>2018-10-06 09:53:00</v>
      </c>
    </row>
    <row r="25077" spans="1:7" x14ac:dyDescent="0.2">
      <c r="A25077" t="s">
        <v>1</v>
      </c>
      <c r="B25077" t="str">
        <f>"15129217731"</f>
        <v>15129217731</v>
      </c>
      <c r="C25077" t="s">
        <v>1</v>
      </c>
      <c r="D25077" t="s">
        <v>1</v>
      </c>
      <c r="E25077" t="s">
        <v>1</v>
      </c>
      <c r="F25077" t="s">
        <v>0</v>
      </c>
      <c r="G25077" t="str">
        <f>"2018-10-06 09:50:50"</f>
        <v>2018-10-06 09:50:50</v>
      </c>
    </row>
    <row r="25078" spans="1:7" x14ac:dyDescent="0.2">
      <c r="A25078" t="s">
        <v>23098</v>
      </c>
      <c r="B25078" t="str">
        <f>"15040094771"</f>
        <v>15040094771</v>
      </c>
      <c r="C25078" t="str">
        <f>"211324199308103021"</f>
        <v>211324199308103021</v>
      </c>
      <c r="D25078" t="s">
        <v>1</v>
      </c>
      <c r="E25078" t="s">
        <v>1</v>
      </c>
      <c r="F25078" t="s">
        <v>0</v>
      </c>
      <c r="G25078" t="str">
        <f>"2018-10-06 09:50:40"</f>
        <v>2018-10-06 09:50:40</v>
      </c>
    </row>
    <row r="25079" spans="1:7" x14ac:dyDescent="0.2">
      <c r="A25079" t="s">
        <v>9940</v>
      </c>
      <c r="B25079" t="str">
        <f>"18702743514"</f>
        <v>18702743514</v>
      </c>
      <c r="C25079" t="str">
        <f>"421221199109200034"</f>
        <v>421221199109200034</v>
      </c>
      <c r="D25079" t="s">
        <v>23099</v>
      </c>
      <c r="E25079" t="s">
        <v>23100</v>
      </c>
      <c r="F25079" t="s">
        <v>0</v>
      </c>
      <c r="G25079" t="str">
        <f>"2018-10-18 15:37:09"</f>
        <v>2018-10-18 15:37:09</v>
      </c>
    </row>
    <row r="25080" spans="1:7" x14ac:dyDescent="0.2">
      <c r="A25080" t="s">
        <v>1</v>
      </c>
      <c r="B25080" t="str">
        <f>"17638097632"</f>
        <v>17638097632</v>
      </c>
      <c r="C25080" t="s">
        <v>1</v>
      </c>
      <c r="D25080" t="s">
        <v>1</v>
      </c>
      <c r="E25080" t="s">
        <v>1</v>
      </c>
      <c r="F25080" t="s">
        <v>0</v>
      </c>
      <c r="G25080" t="str">
        <f>"2018-10-06 09:50:15"</f>
        <v>2018-10-06 09:50:15</v>
      </c>
    </row>
    <row r="25081" spans="1:7" x14ac:dyDescent="0.2">
      <c r="A25081" t="s">
        <v>23101</v>
      </c>
      <c r="B25081" t="str">
        <f>"13807453470"</f>
        <v>13807453470</v>
      </c>
      <c r="C25081" t="str">
        <f>"431229198411100032"</f>
        <v>431229198411100032</v>
      </c>
      <c r="D25081" t="s">
        <v>1</v>
      </c>
      <c r="E25081" t="s">
        <v>1</v>
      </c>
      <c r="F25081" t="s">
        <v>0</v>
      </c>
      <c r="G25081" t="str">
        <f>"2018-10-06 09:55:22"</f>
        <v>2018-10-06 09:55:22</v>
      </c>
    </row>
    <row r="25082" spans="1:7" x14ac:dyDescent="0.2">
      <c r="A25082" t="s">
        <v>1</v>
      </c>
      <c r="B25082" t="str">
        <f>"13512102150"</f>
        <v>13512102150</v>
      </c>
      <c r="C25082" t="s">
        <v>1</v>
      </c>
      <c r="D25082" t="s">
        <v>1</v>
      </c>
      <c r="E25082" t="s">
        <v>1</v>
      </c>
      <c r="F25082" t="s">
        <v>0</v>
      </c>
      <c r="G25082" t="str">
        <f>"2018-10-06 09:50:06"</f>
        <v>2018-10-06 09:50:06</v>
      </c>
    </row>
    <row r="25083" spans="1:7" x14ac:dyDescent="0.2">
      <c r="A25083" t="s">
        <v>23102</v>
      </c>
      <c r="B25083" t="str">
        <f>"18566474766"</f>
        <v>18566474766</v>
      </c>
      <c r="C25083" t="str">
        <f>"421126198611280078"</f>
        <v>421126198611280078</v>
      </c>
      <c r="D25083" t="s">
        <v>23103</v>
      </c>
      <c r="E25083" t="s">
        <v>23104</v>
      </c>
      <c r="F25083" t="s">
        <v>0</v>
      </c>
      <c r="G25083" t="str">
        <f>"2018-11-02 11:46:04"</f>
        <v>2018-11-02 11:46:04</v>
      </c>
    </row>
    <row r="25084" spans="1:7" x14ac:dyDescent="0.2">
      <c r="A25084" t="s">
        <v>1</v>
      </c>
      <c r="B25084" t="str">
        <f>"13712324326"</f>
        <v>13712324326</v>
      </c>
      <c r="C25084" t="s">
        <v>1</v>
      </c>
      <c r="D25084" t="s">
        <v>1</v>
      </c>
      <c r="E25084" t="s">
        <v>1</v>
      </c>
      <c r="F25084" t="s">
        <v>0</v>
      </c>
      <c r="G25084" t="str">
        <f>"2018-10-06 09:52:12"</f>
        <v>2018-10-06 09:52:12</v>
      </c>
    </row>
    <row r="25085" spans="1:7" x14ac:dyDescent="0.2">
      <c r="A25085" t="s">
        <v>23105</v>
      </c>
      <c r="B25085" t="str">
        <f>"13176832281"</f>
        <v>13176832281</v>
      </c>
      <c r="C25085" t="str">
        <f>"37098219880818226X"</f>
        <v>37098219880818226X</v>
      </c>
      <c r="D25085" t="s">
        <v>1</v>
      </c>
      <c r="E25085" t="s">
        <v>1</v>
      </c>
      <c r="F25085" t="s">
        <v>0</v>
      </c>
      <c r="G25085" t="str">
        <f>"2018-10-06 09:51:43"</f>
        <v>2018-10-06 09:51:43</v>
      </c>
    </row>
    <row r="25086" spans="1:7" x14ac:dyDescent="0.2">
      <c r="A25086" t="s">
        <v>1</v>
      </c>
      <c r="B25086" t="str">
        <f>"13788479712"</f>
        <v>13788479712</v>
      </c>
      <c r="C25086" t="s">
        <v>1</v>
      </c>
      <c r="D25086" t="s">
        <v>1</v>
      </c>
      <c r="E25086" t="s">
        <v>1</v>
      </c>
      <c r="F25086" t="s">
        <v>0</v>
      </c>
      <c r="G25086" t="str">
        <f>"2018-10-06 09:49:14"</f>
        <v>2018-10-06 09:49:14</v>
      </c>
    </row>
    <row r="25087" spans="1:7" x14ac:dyDescent="0.2">
      <c r="A25087" t="s">
        <v>23106</v>
      </c>
      <c r="B25087" t="str">
        <f>"15069767676"</f>
        <v>15069767676</v>
      </c>
      <c r="C25087" t="str">
        <f>"370802198502185110"</f>
        <v>370802198502185110</v>
      </c>
      <c r="D25087" t="s">
        <v>1</v>
      </c>
      <c r="E25087" t="s">
        <v>1</v>
      </c>
      <c r="F25087" t="s">
        <v>0</v>
      </c>
      <c r="G25087" t="str">
        <f>"2018-10-06 10:19:36"</f>
        <v>2018-10-06 10:19:36</v>
      </c>
    </row>
    <row r="25088" spans="1:7" x14ac:dyDescent="0.2">
      <c r="A25088" t="s">
        <v>23107</v>
      </c>
      <c r="B25088" t="str">
        <f>"13608388330"</f>
        <v>13608388330</v>
      </c>
      <c r="C25088" t="str">
        <f>"510283198010036639"</f>
        <v>510283198010036639</v>
      </c>
      <c r="D25088" t="s">
        <v>23108</v>
      </c>
      <c r="E25088" t="s">
        <v>23109</v>
      </c>
      <c r="F25088" t="s">
        <v>0</v>
      </c>
      <c r="G25088" t="str">
        <f>"2018-10-06 10:07:46"</f>
        <v>2018-10-06 10:07:46</v>
      </c>
    </row>
    <row r="25089" spans="1:7" x14ac:dyDescent="0.2">
      <c r="A25089" t="s">
        <v>23110</v>
      </c>
      <c r="B25089" t="str">
        <f>"13035520891"</f>
        <v>13035520891</v>
      </c>
      <c r="C25089" t="str">
        <f>"522101199906088034"</f>
        <v>522101199906088034</v>
      </c>
      <c r="D25089" t="s">
        <v>1</v>
      </c>
      <c r="E25089" t="s">
        <v>1</v>
      </c>
      <c r="F25089" t="s">
        <v>0</v>
      </c>
      <c r="G25089" t="str">
        <f>"2018-10-06 09:48:07"</f>
        <v>2018-10-06 09:48:07</v>
      </c>
    </row>
    <row r="25090" spans="1:7" x14ac:dyDescent="0.2">
      <c r="A25090" t="s">
        <v>606</v>
      </c>
      <c r="B25090" t="str">
        <f>"13156395283"</f>
        <v>13156395283</v>
      </c>
      <c r="C25090" t="str">
        <f>"370285199711144414"</f>
        <v>370285199711144414</v>
      </c>
      <c r="D25090" t="s">
        <v>23111</v>
      </c>
      <c r="E25090" t="s">
        <v>23112</v>
      </c>
      <c r="F25090" t="s">
        <v>0</v>
      </c>
      <c r="G25090" t="str">
        <f>"2018-10-06 09:48:34"</f>
        <v>2018-10-06 09:48:34</v>
      </c>
    </row>
    <row r="25091" spans="1:7" x14ac:dyDescent="0.2">
      <c r="A25091" t="s">
        <v>951</v>
      </c>
      <c r="B25091" t="str">
        <f>"18656906268"</f>
        <v>18656906268</v>
      </c>
      <c r="C25091" t="str">
        <f>"342425199302282032"</f>
        <v>342425199302282032</v>
      </c>
      <c r="D25091" t="s">
        <v>1</v>
      </c>
      <c r="E25091" t="s">
        <v>1</v>
      </c>
      <c r="F25091" t="s">
        <v>0</v>
      </c>
      <c r="G25091" t="str">
        <f>"2018-10-06 09:48:41"</f>
        <v>2018-10-06 09:48:41</v>
      </c>
    </row>
    <row r="25092" spans="1:7" x14ac:dyDescent="0.2">
      <c r="A25092" t="s">
        <v>23113</v>
      </c>
      <c r="B25092" t="str">
        <f>"13706159599"</f>
        <v>13706159599</v>
      </c>
      <c r="C25092" t="str">
        <f>"321023198812276448"</f>
        <v>321023198812276448</v>
      </c>
      <c r="D25092" t="s">
        <v>1</v>
      </c>
      <c r="E25092" t="s">
        <v>1</v>
      </c>
      <c r="F25092" t="s">
        <v>0</v>
      </c>
      <c r="G25092" t="str">
        <f>"2018-10-10 16:12:54"</f>
        <v>2018-10-10 16:12:54</v>
      </c>
    </row>
    <row r="25093" spans="1:7" x14ac:dyDescent="0.2">
      <c r="A25093" t="s">
        <v>1</v>
      </c>
      <c r="B25093" t="str">
        <f>"13333556133"</f>
        <v>13333556133</v>
      </c>
      <c r="C25093" t="s">
        <v>1</v>
      </c>
      <c r="D25093" t="s">
        <v>1</v>
      </c>
      <c r="E25093" t="s">
        <v>1</v>
      </c>
      <c r="F25093" t="s">
        <v>0</v>
      </c>
      <c r="G25093" t="str">
        <f>"2018-10-06 09:48:38"</f>
        <v>2018-10-06 09:48:38</v>
      </c>
    </row>
    <row r="25094" spans="1:7" x14ac:dyDescent="0.2">
      <c r="A25094" t="s">
        <v>962</v>
      </c>
      <c r="B25094" t="str">
        <f>"15313058989"</f>
        <v>15313058989</v>
      </c>
      <c r="C25094" t="str">
        <f>"230523199403243628"</f>
        <v>230523199403243628</v>
      </c>
      <c r="D25094" t="s">
        <v>1</v>
      </c>
      <c r="E25094" t="s">
        <v>1</v>
      </c>
      <c r="F25094" t="s">
        <v>0</v>
      </c>
      <c r="G25094" t="str">
        <f>"2018-10-06 09:49:25"</f>
        <v>2018-10-06 09:49:25</v>
      </c>
    </row>
    <row r="25095" spans="1:7" x14ac:dyDescent="0.2">
      <c r="A25095" t="s">
        <v>1594</v>
      </c>
      <c r="B25095" t="str">
        <f>"15153312635"</f>
        <v>15153312635</v>
      </c>
      <c r="C25095" t="str">
        <f>"371323198512271763"</f>
        <v>371323198512271763</v>
      </c>
      <c r="D25095" t="s">
        <v>1</v>
      </c>
      <c r="E25095" t="s">
        <v>1</v>
      </c>
      <c r="F25095" t="s">
        <v>0</v>
      </c>
      <c r="G25095" t="str">
        <f>"2018-10-06 10:47:25"</f>
        <v>2018-10-06 10:47:25</v>
      </c>
    </row>
    <row r="25096" spans="1:7" x14ac:dyDescent="0.2">
      <c r="A25096" t="s">
        <v>23114</v>
      </c>
      <c r="B25096" t="str">
        <f>"13002690930"</f>
        <v>13002690930</v>
      </c>
      <c r="C25096" t="str">
        <f>"522631199510038511"</f>
        <v>522631199510038511</v>
      </c>
      <c r="D25096" t="s">
        <v>1</v>
      </c>
      <c r="E25096" t="s">
        <v>1</v>
      </c>
      <c r="F25096" t="s">
        <v>0</v>
      </c>
      <c r="G25096" t="str">
        <f>"2018-10-06 09:49:02"</f>
        <v>2018-10-06 09:49:02</v>
      </c>
    </row>
    <row r="25097" spans="1:7" x14ac:dyDescent="0.2">
      <c r="A25097" t="s">
        <v>23115</v>
      </c>
      <c r="B25097" t="str">
        <f>"15092985911"</f>
        <v>15092985911</v>
      </c>
      <c r="C25097" t="str">
        <f>"371325199104046118"</f>
        <v>371325199104046118</v>
      </c>
      <c r="D25097" t="s">
        <v>1</v>
      </c>
      <c r="E25097" t="s">
        <v>1</v>
      </c>
      <c r="F25097" t="s">
        <v>0</v>
      </c>
      <c r="G25097" t="str">
        <f>"2018-10-06 10:00:47"</f>
        <v>2018-10-06 10:00:47</v>
      </c>
    </row>
    <row r="25098" spans="1:7" x14ac:dyDescent="0.2">
      <c r="A25098" t="s">
        <v>23116</v>
      </c>
      <c r="B25098" t="str">
        <f>"18664015809"</f>
        <v>18664015809</v>
      </c>
      <c r="C25098" t="str">
        <f>"51302919860910657X"</f>
        <v>51302919860910657X</v>
      </c>
      <c r="D25098" t="s">
        <v>1</v>
      </c>
      <c r="E25098" t="s">
        <v>1</v>
      </c>
      <c r="F25098" t="s">
        <v>0</v>
      </c>
      <c r="G25098" t="str">
        <f>"2018-10-06 09:49:00"</f>
        <v>2018-10-06 09:49:00</v>
      </c>
    </row>
    <row r="25099" spans="1:7" x14ac:dyDescent="0.2">
      <c r="A25099" t="s">
        <v>23117</v>
      </c>
      <c r="B25099" t="str">
        <f>"14709608061"</f>
        <v>14709608061</v>
      </c>
      <c r="C25099" t="str">
        <f>"64022119781216032X"</f>
        <v>64022119781216032X</v>
      </c>
      <c r="D25099" t="s">
        <v>1</v>
      </c>
      <c r="E25099" t="s">
        <v>1</v>
      </c>
      <c r="F25099" t="s">
        <v>0</v>
      </c>
      <c r="G25099" t="str">
        <f>"2018-10-06 10:00:26"</f>
        <v>2018-10-06 10:00:26</v>
      </c>
    </row>
    <row r="25100" spans="1:7" x14ac:dyDescent="0.2">
      <c r="A25100" t="s">
        <v>1</v>
      </c>
      <c r="B25100" t="str">
        <f>"18622548860"</f>
        <v>18622548860</v>
      </c>
      <c r="C25100" t="s">
        <v>1</v>
      </c>
      <c r="D25100" t="s">
        <v>1</v>
      </c>
      <c r="E25100" t="s">
        <v>1</v>
      </c>
      <c r="F25100" t="s">
        <v>0</v>
      </c>
      <c r="G25100" t="str">
        <f>"2018-10-06 09:46:21"</f>
        <v>2018-10-06 09:46:21</v>
      </c>
    </row>
    <row r="25101" spans="1:7" x14ac:dyDescent="0.2">
      <c r="A25101" t="s">
        <v>23118</v>
      </c>
      <c r="B25101" t="str">
        <f>"13647961239"</f>
        <v>13647961239</v>
      </c>
      <c r="C25101" t="str">
        <f>"362427198611157034"</f>
        <v>362427198611157034</v>
      </c>
      <c r="D25101" t="s">
        <v>23119</v>
      </c>
      <c r="E25101" t="s">
        <v>23120</v>
      </c>
      <c r="F25101" t="s">
        <v>0</v>
      </c>
      <c r="G25101" t="str">
        <f>"2018-10-06 09:46:50"</f>
        <v>2018-10-06 09:46:50</v>
      </c>
    </row>
    <row r="25102" spans="1:7" x14ac:dyDescent="0.2">
      <c r="A25102" t="s">
        <v>23121</v>
      </c>
      <c r="B25102" t="str">
        <f>"15076215727"</f>
        <v>15076215727</v>
      </c>
      <c r="C25102" t="str">
        <f>"130227199310156475"</f>
        <v>130227199310156475</v>
      </c>
      <c r="D25102" t="s">
        <v>1</v>
      </c>
      <c r="E25102" t="s">
        <v>1</v>
      </c>
      <c r="F25102" t="s">
        <v>0</v>
      </c>
      <c r="G25102" t="str">
        <f>"2018-10-06 09:47:12"</f>
        <v>2018-10-06 09:47:12</v>
      </c>
    </row>
    <row r="25103" spans="1:7" x14ac:dyDescent="0.2">
      <c r="A25103" t="s">
        <v>1</v>
      </c>
      <c r="B25103" t="str">
        <f>"15157792709"</f>
        <v>15157792709</v>
      </c>
      <c r="C25103" t="s">
        <v>1</v>
      </c>
      <c r="D25103" t="s">
        <v>1</v>
      </c>
      <c r="E25103" t="s">
        <v>1</v>
      </c>
      <c r="F25103" t="s">
        <v>0</v>
      </c>
      <c r="G25103" t="str">
        <f>"2018-10-06 09:44:05"</f>
        <v>2018-10-06 09:44:05</v>
      </c>
    </row>
    <row r="25104" spans="1:7" x14ac:dyDescent="0.2">
      <c r="A25104" t="s">
        <v>23122</v>
      </c>
      <c r="B25104" t="str">
        <f>"13548947411"</f>
        <v>13548947411</v>
      </c>
      <c r="C25104" t="str">
        <f>"433123198803140031"</f>
        <v>433123198803140031</v>
      </c>
      <c r="D25104" t="s">
        <v>1</v>
      </c>
      <c r="E25104" t="s">
        <v>1</v>
      </c>
      <c r="F25104" t="s">
        <v>0</v>
      </c>
      <c r="G25104" t="str">
        <f>"2018-10-28 10:21:40"</f>
        <v>2018-10-28 10:21:40</v>
      </c>
    </row>
    <row r="25105" spans="1:7" x14ac:dyDescent="0.2">
      <c r="A25105" t="s">
        <v>318</v>
      </c>
      <c r="B25105" t="str">
        <f>"18791678957"</f>
        <v>18791678957</v>
      </c>
      <c r="C25105" t="str">
        <f>"612325198712283412"</f>
        <v>612325198712283412</v>
      </c>
      <c r="D25105" t="s">
        <v>23123</v>
      </c>
      <c r="E25105" t="s">
        <v>23124</v>
      </c>
      <c r="F25105" t="s">
        <v>0</v>
      </c>
      <c r="G25105" t="str">
        <f>"2018-10-06 09:48:25"</f>
        <v>2018-10-06 09:48:25</v>
      </c>
    </row>
    <row r="25106" spans="1:7" x14ac:dyDescent="0.2">
      <c r="A25106" t="s">
        <v>1</v>
      </c>
      <c r="B25106" t="str">
        <f>"13420999676"</f>
        <v>13420999676</v>
      </c>
      <c r="C25106" t="s">
        <v>1</v>
      </c>
      <c r="D25106" t="s">
        <v>1</v>
      </c>
      <c r="E25106" t="s">
        <v>1</v>
      </c>
      <c r="F25106" t="s">
        <v>0</v>
      </c>
      <c r="G25106" t="str">
        <f>"2018-10-06 09:43:57"</f>
        <v>2018-10-06 09:43:57</v>
      </c>
    </row>
    <row r="25107" spans="1:7" x14ac:dyDescent="0.2">
      <c r="A25107" t="s">
        <v>1201</v>
      </c>
      <c r="B25107" t="str">
        <f>"18846794587"</f>
        <v>18846794587</v>
      </c>
      <c r="C25107" t="str">
        <f>"23210119880209441X"</f>
        <v>23210119880209441X</v>
      </c>
      <c r="D25107" t="s">
        <v>1</v>
      </c>
      <c r="E25107" t="s">
        <v>1</v>
      </c>
      <c r="F25107" t="s">
        <v>0</v>
      </c>
      <c r="G25107" t="str">
        <f>"2018-10-20 13:00:57"</f>
        <v>2018-10-20 13:00:57</v>
      </c>
    </row>
    <row r="25108" spans="1:7" x14ac:dyDescent="0.2">
      <c r="A25108" t="s">
        <v>1</v>
      </c>
      <c r="B25108" t="str">
        <f>"15803580895"</f>
        <v>15803580895</v>
      </c>
      <c r="C25108" t="s">
        <v>1</v>
      </c>
      <c r="D25108" t="s">
        <v>1</v>
      </c>
      <c r="E25108" t="s">
        <v>1</v>
      </c>
      <c r="F25108" t="s">
        <v>0</v>
      </c>
      <c r="G25108" t="str">
        <f>"2018-10-06 09:43:17"</f>
        <v>2018-10-06 09:43:17</v>
      </c>
    </row>
    <row r="25109" spans="1:7" x14ac:dyDescent="0.2">
      <c r="A25109" t="s">
        <v>1</v>
      </c>
      <c r="B25109" t="str">
        <f>"18634666551"</f>
        <v>18634666551</v>
      </c>
      <c r="C25109" t="s">
        <v>1</v>
      </c>
      <c r="D25109" t="s">
        <v>1</v>
      </c>
      <c r="E25109" t="s">
        <v>1</v>
      </c>
      <c r="F25109" t="s">
        <v>0</v>
      </c>
      <c r="G25109" t="str">
        <f>"2018-10-06 09:43:14"</f>
        <v>2018-10-06 09:43:14</v>
      </c>
    </row>
    <row r="25110" spans="1:7" x14ac:dyDescent="0.2">
      <c r="A25110" t="s">
        <v>23125</v>
      </c>
      <c r="B25110" t="str">
        <f>"17839748581"</f>
        <v>17839748581</v>
      </c>
      <c r="C25110" t="str">
        <f>"411526199303020738"</f>
        <v>411526199303020738</v>
      </c>
      <c r="D25110" t="s">
        <v>1</v>
      </c>
      <c r="E25110" t="s">
        <v>1</v>
      </c>
      <c r="F25110" t="s">
        <v>0</v>
      </c>
      <c r="G25110" t="str">
        <f>"2018-10-06 11:18:54"</f>
        <v>2018-10-06 11:18:54</v>
      </c>
    </row>
    <row r="25111" spans="1:7" x14ac:dyDescent="0.2">
      <c r="A25111" t="s">
        <v>1</v>
      </c>
      <c r="B25111" t="str">
        <f>"13083922321"</f>
        <v>13083922321</v>
      </c>
      <c r="C25111" t="s">
        <v>1</v>
      </c>
      <c r="D25111" t="s">
        <v>1</v>
      </c>
      <c r="E25111" t="s">
        <v>1</v>
      </c>
      <c r="F25111" t="s">
        <v>0</v>
      </c>
      <c r="G25111" t="str">
        <f>"2018-10-06 09:43:34"</f>
        <v>2018-10-06 09:43:34</v>
      </c>
    </row>
    <row r="25112" spans="1:7" x14ac:dyDescent="0.2">
      <c r="A25112" t="s">
        <v>1</v>
      </c>
      <c r="B25112" t="str">
        <f>"15034602875"</f>
        <v>15034602875</v>
      </c>
      <c r="C25112" t="s">
        <v>1</v>
      </c>
      <c r="D25112" t="s">
        <v>1</v>
      </c>
      <c r="E25112" t="s">
        <v>1</v>
      </c>
      <c r="F25112" t="s">
        <v>0</v>
      </c>
      <c r="G25112" t="str">
        <f>"2018-10-06 09:41:07"</f>
        <v>2018-10-06 09:41:07</v>
      </c>
    </row>
    <row r="25113" spans="1:7" x14ac:dyDescent="0.2">
      <c r="A25113" t="s">
        <v>23126</v>
      </c>
      <c r="B25113" t="str">
        <f>"18852320205"</f>
        <v>18852320205</v>
      </c>
      <c r="C25113" t="str">
        <f>"320831198807220012"</f>
        <v>320831198807220012</v>
      </c>
      <c r="D25113" t="s">
        <v>1</v>
      </c>
      <c r="E25113" t="s">
        <v>1</v>
      </c>
      <c r="F25113" t="s">
        <v>0</v>
      </c>
      <c r="G25113" t="str">
        <f>"2018-10-06 11:06:51"</f>
        <v>2018-10-06 11:06:51</v>
      </c>
    </row>
    <row r="25114" spans="1:7" x14ac:dyDescent="0.2">
      <c r="A25114" t="s">
        <v>23127</v>
      </c>
      <c r="B25114" t="str">
        <f>"15812251209"</f>
        <v>15812251209</v>
      </c>
      <c r="C25114" t="str">
        <f>"533325199612130422"</f>
        <v>533325199612130422</v>
      </c>
      <c r="D25114" t="s">
        <v>1</v>
      </c>
      <c r="E25114" t="s">
        <v>1</v>
      </c>
      <c r="F25114" t="s">
        <v>0</v>
      </c>
      <c r="G25114" t="str">
        <f>"2018-10-06 09:42:22"</f>
        <v>2018-10-06 09:42:22</v>
      </c>
    </row>
    <row r="25115" spans="1:7" x14ac:dyDescent="0.2">
      <c r="A25115" t="s">
        <v>1</v>
      </c>
      <c r="B25115" t="str">
        <f>"13135931312"</f>
        <v>13135931312</v>
      </c>
      <c r="C25115" t="s">
        <v>1</v>
      </c>
      <c r="D25115" t="s">
        <v>1</v>
      </c>
      <c r="E25115" t="s">
        <v>1</v>
      </c>
      <c r="F25115" t="s">
        <v>0</v>
      </c>
      <c r="G25115" t="str">
        <f>"2018-10-06 09:40:34"</f>
        <v>2018-10-06 09:40:34</v>
      </c>
    </row>
    <row r="25116" spans="1:7" x14ac:dyDescent="0.2">
      <c r="A25116" t="s">
        <v>1</v>
      </c>
      <c r="B25116" t="str">
        <f>"13110827272"</f>
        <v>13110827272</v>
      </c>
      <c r="C25116" t="s">
        <v>1</v>
      </c>
      <c r="D25116" t="s">
        <v>1</v>
      </c>
      <c r="E25116" t="s">
        <v>1</v>
      </c>
      <c r="F25116" t="s">
        <v>0</v>
      </c>
      <c r="G25116" t="str">
        <f>"2018-10-06 09:40:29"</f>
        <v>2018-10-06 09:40:29</v>
      </c>
    </row>
    <row r="25117" spans="1:7" x14ac:dyDescent="0.2">
      <c r="A25117" t="s">
        <v>23128</v>
      </c>
      <c r="B25117" t="str">
        <f>"15509096322"</f>
        <v>15509096322</v>
      </c>
      <c r="C25117" t="str">
        <f>"652722199302200017"</f>
        <v>652722199302200017</v>
      </c>
      <c r="D25117" t="s">
        <v>1</v>
      </c>
      <c r="E25117" t="s">
        <v>1</v>
      </c>
      <c r="F25117" t="s">
        <v>0</v>
      </c>
      <c r="G25117" t="str">
        <f>"2018-10-06 09:41:41"</f>
        <v>2018-10-06 09:41:41</v>
      </c>
    </row>
    <row r="25118" spans="1:7" x14ac:dyDescent="0.2">
      <c r="A25118" t="s">
        <v>1488</v>
      </c>
      <c r="B25118" t="str">
        <f>"15899542616"</f>
        <v>15899542616</v>
      </c>
      <c r="C25118" t="str">
        <f>"441302199409135449"</f>
        <v>441302199409135449</v>
      </c>
      <c r="D25118" t="s">
        <v>1</v>
      </c>
      <c r="E25118" t="s">
        <v>1</v>
      </c>
      <c r="F25118" t="s">
        <v>0</v>
      </c>
      <c r="G25118" t="str">
        <f>"2018-10-06 10:38:09"</f>
        <v>2018-10-06 10:38:09</v>
      </c>
    </row>
    <row r="25119" spans="1:7" x14ac:dyDescent="0.2">
      <c r="A25119" t="s">
        <v>1042</v>
      </c>
      <c r="B25119" t="str">
        <f>"15631366819"</f>
        <v>15631366819</v>
      </c>
      <c r="C25119" t="str">
        <f>"132525198211236112"</f>
        <v>132525198211236112</v>
      </c>
      <c r="D25119" t="s">
        <v>1</v>
      </c>
      <c r="E25119" t="s">
        <v>1</v>
      </c>
      <c r="F25119" t="s">
        <v>0</v>
      </c>
      <c r="G25119" t="str">
        <f>"2018-10-20 21:49:19"</f>
        <v>2018-10-20 21:49:19</v>
      </c>
    </row>
    <row r="25120" spans="1:7" x14ac:dyDescent="0.2">
      <c r="A25120" t="s">
        <v>282</v>
      </c>
      <c r="B25120" t="str">
        <f>"18803566545"</f>
        <v>18803566545</v>
      </c>
      <c r="C25120" t="str">
        <f>"140524199109176713"</f>
        <v>140524199109176713</v>
      </c>
      <c r="D25120" t="s">
        <v>1</v>
      </c>
      <c r="E25120" t="s">
        <v>1</v>
      </c>
      <c r="F25120" t="s">
        <v>0</v>
      </c>
      <c r="G25120" t="str">
        <f>"2018-10-06 09:47:17"</f>
        <v>2018-10-06 09:47:17</v>
      </c>
    </row>
    <row r="25121" spans="1:7" x14ac:dyDescent="0.2">
      <c r="A25121" t="s">
        <v>23129</v>
      </c>
      <c r="B25121" t="str">
        <f>"13043342428"</f>
        <v>13043342428</v>
      </c>
      <c r="C25121" t="str">
        <f>"220882198905102016"</f>
        <v>220882198905102016</v>
      </c>
      <c r="D25121" t="s">
        <v>1</v>
      </c>
      <c r="E25121" t="s">
        <v>1</v>
      </c>
      <c r="F25121" t="s">
        <v>0</v>
      </c>
      <c r="G25121" t="str">
        <f>"2018-10-06 09:42:08"</f>
        <v>2018-10-06 09:42:08</v>
      </c>
    </row>
    <row r="25122" spans="1:7" x14ac:dyDescent="0.2">
      <c r="A25122" t="s">
        <v>1</v>
      </c>
      <c r="B25122" t="str">
        <f>"13605104253"</f>
        <v>13605104253</v>
      </c>
      <c r="C25122" t="s">
        <v>1</v>
      </c>
      <c r="D25122" t="s">
        <v>1</v>
      </c>
      <c r="E25122" t="s">
        <v>1</v>
      </c>
      <c r="F25122" t="s">
        <v>0</v>
      </c>
      <c r="G25122" t="str">
        <f>"2018-10-06 09:39:32"</f>
        <v>2018-10-06 09:39:32</v>
      </c>
    </row>
    <row r="25123" spans="1:7" x14ac:dyDescent="0.2">
      <c r="A25123" t="s">
        <v>1</v>
      </c>
      <c r="B25123" t="str">
        <f>"15685568079"</f>
        <v>15685568079</v>
      </c>
      <c r="C25123" t="s">
        <v>1</v>
      </c>
      <c r="D25123" t="s">
        <v>1</v>
      </c>
      <c r="E25123" t="s">
        <v>1</v>
      </c>
      <c r="F25123" t="s">
        <v>0</v>
      </c>
      <c r="G25123" t="str">
        <f>"2018-10-06 09:39:29"</f>
        <v>2018-10-06 09:39:29</v>
      </c>
    </row>
    <row r="25124" spans="1:7" x14ac:dyDescent="0.2">
      <c r="A25124" t="s">
        <v>1</v>
      </c>
      <c r="B25124" t="str">
        <f>"13858631127"</f>
        <v>13858631127</v>
      </c>
      <c r="C25124" t="s">
        <v>1</v>
      </c>
      <c r="D25124" t="s">
        <v>1</v>
      </c>
      <c r="E25124" t="s">
        <v>1</v>
      </c>
      <c r="F25124" t="s">
        <v>0</v>
      </c>
      <c r="G25124" t="str">
        <f>"2018-10-06 09:40:28"</f>
        <v>2018-10-06 09:40:28</v>
      </c>
    </row>
    <row r="25125" spans="1:7" x14ac:dyDescent="0.2">
      <c r="A25125" t="s">
        <v>23130</v>
      </c>
      <c r="B25125" t="str">
        <f>"18396988950"</f>
        <v>18396988950</v>
      </c>
      <c r="C25125" t="str">
        <f>"522427199001284428"</f>
        <v>522427199001284428</v>
      </c>
      <c r="D25125" t="s">
        <v>1</v>
      </c>
      <c r="E25125" t="s">
        <v>1</v>
      </c>
      <c r="F25125" t="s">
        <v>0</v>
      </c>
      <c r="G25125" t="str">
        <f>"2018-10-06 09:47:53"</f>
        <v>2018-10-06 09:47:53</v>
      </c>
    </row>
    <row r="25126" spans="1:7" x14ac:dyDescent="0.2">
      <c r="A25126" t="s">
        <v>1</v>
      </c>
      <c r="B25126" t="str">
        <f>"18807502707"</f>
        <v>18807502707</v>
      </c>
      <c r="C25126" t="s">
        <v>1</v>
      </c>
      <c r="D25126" t="s">
        <v>1</v>
      </c>
      <c r="E25126" t="s">
        <v>1</v>
      </c>
      <c r="F25126" t="s">
        <v>0</v>
      </c>
      <c r="G25126" t="str">
        <f>"2018-10-06 09:38:56"</f>
        <v>2018-10-06 09:38:56</v>
      </c>
    </row>
    <row r="25127" spans="1:7" x14ac:dyDescent="0.2">
      <c r="A25127" t="s">
        <v>23131</v>
      </c>
      <c r="B25127" t="str">
        <f>"17631962555"</f>
        <v>17631962555</v>
      </c>
      <c r="C25127" t="str">
        <f>"130533198612062713"</f>
        <v>130533198612062713</v>
      </c>
      <c r="D25127" t="s">
        <v>1</v>
      </c>
      <c r="E25127" t="s">
        <v>1</v>
      </c>
      <c r="F25127" t="s">
        <v>0</v>
      </c>
      <c r="G25127" t="str">
        <f>"2018-10-06 09:40:02"</f>
        <v>2018-10-06 09:40:02</v>
      </c>
    </row>
    <row r="25128" spans="1:7" x14ac:dyDescent="0.2">
      <c r="A25128" t="s">
        <v>23132</v>
      </c>
      <c r="B25128" t="str">
        <f>"15948256778"</f>
        <v>15948256778</v>
      </c>
      <c r="C25128" t="str">
        <f>"220122198603044311"</f>
        <v>220122198603044311</v>
      </c>
      <c r="D25128" t="s">
        <v>1</v>
      </c>
      <c r="E25128" t="s">
        <v>1</v>
      </c>
      <c r="F25128" t="s">
        <v>0</v>
      </c>
      <c r="G25128" t="str">
        <f>"2018-10-06 09:38:28"</f>
        <v>2018-10-06 09:38:28</v>
      </c>
    </row>
    <row r="25129" spans="1:7" x14ac:dyDescent="0.2">
      <c r="A25129" t="s">
        <v>1</v>
      </c>
      <c r="B25129" t="str">
        <f>"15854331995"</f>
        <v>15854331995</v>
      </c>
      <c r="C25129" t="s">
        <v>1</v>
      </c>
      <c r="D25129" t="s">
        <v>1</v>
      </c>
      <c r="E25129" t="s">
        <v>1</v>
      </c>
      <c r="F25129" t="s">
        <v>0</v>
      </c>
      <c r="G25129" t="str">
        <f>"2018-10-06 09:38:25"</f>
        <v>2018-10-06 09:38:25</v>
      </c>
    </row>
    <row r="25130" spans="1:7" x14ac:dyDescent="0.2">
      <c r="A25130" t="s">
        <v>1</v>
      </c>
      <c r="B25130" t="str">
        <f>"18254025776"</f>
        <v>18254025776</v>
      </c>
      <c r="C25130" t="s">
        <v>1</v>
      </c>
      <c r="D25130" t="s">
        <v>1</v>
      </c>
      <c r="E25130" t="s">
        <v>1</v>
      </c>
      <c r="F25130" t="s">
        <v>0</v>
      </c>
      <c r="G25130" t="str">
        <f>"2018-10-06 09:37:50"</f>
        <v>2018-10-06 09:37:50</v>
      </c>
    </row>
    <row r="25131" spans="1:7" x14ac:dyDescent="0.2">
      <c r="A25131" t="s">
        <v>23133</v>
      </c>
      <c r="B25131" t="str">
        <f>"13061963393"</f>
        <v>13061963393</v>
      </c>
      <c r="C25131" t="str">
        <f>"42112619881101601X"</f>
        <v>42112619881101601X</v>
      </c>
      <c r="D25131" t="s">
        <v>1</v>
      </c>
      <c r="E25131" t="s">
        <v>1</v>
      </c>
      <c r="F25131" t="s">
        <v>0</v>
      </c>
      <c r="G25131" t="str">
        <f>"2018-10-06 11:36:46"</f>
        <v>2018-10-06 11:36:46</v>
      </c>
    </row>
    <row r="25132" spans="1:7" x14ac:dyDescent="0.2">
      <c r="A25132" t="s">
        <v>20346</v>
      </c>
      <c r="B25132" t="str">
        <f>"13731133195"</f>
        <v>13731133195</v>
      </c>
      <c r="C25132" t="str">
        <f>"130637199210022730"</f>
        <v>130637199210022730</v>
      </c>
      <c r="D25132" t="s">
        <v>1</v>
      </c>
      <c r="E25132" t="s">
        <v>1</v>
      </c>
      <c r="F25132" t="s">
        <v>0</v>
      </c>
      <c r="G25132" t="str">
        <f>"2018-10-06 09:38:27"</f>
        <v>2018-10-06 09:38:27</v>
      </c>
    </row>
    <row r="25133" spans="1:7" x14ac:dyDescent="0.2">
      <c r="A25133" t="s">
        <v>1</v>
      </c>
      <c r="B25133" t="str">
        <f>"13130237731"</f>
        <v>13130237731</v>
      </c>
      <c r="C25133" t="s">
        <v>1</v>
      </c>
      <c r="D25133" t="s">
        <v>1</v>
      </c>
      <c r="E25133" t="s">
        <v>1</v>
      </c>
      <c r="F25133" t="s">
        <v>0</v>
      </c>
      <c r="G25133" t="str">
        <f>"2018-10-06 09:36:19"</f>
        <v>2018-10-06 09:36:19</v>
      </c>
    </row>
    <row r="25134" spans="1:7" x14ac:dyDescent="0.2">
      <c r="A25134" t="s">
        <v>1</v>
      </c>
      <c r="B25134" t="str">
        <f>"13288153380"</f>
        <v>13288153380</v>
      </c>
      <c r="C25134" t="s">
        <v>1</v>
      </c>
      <c r="D25134" t="s">
        <v>1</v>
      </c>
      <c r="E25134" t="s">
        <v>1</v>
      </c>
      <c r="F25134" t="s">
        <v>0</v>
      </c>
      <c r="G25134" t="str">
        <f>"2018-10-06 16:02:34"</f>
        <v>2018-10-06 16:02:34</v>
      </c>
    </row>
    <row r="25135" spans="1:7" x14ac:dyDescent="0.2">
      <c r="A25135" t="s">
        <v>23134</v>
      </c>
      <c r="B25135" t="str">
        <f>"18658239666"</f>
        <v>18658239666</v>
      </c>
      <c r="C25135" t="str">
        <f>"532201197305120324"</f>
        <v>532201197305120324</v>
      </c>
      <c r="D25135" t="s">
        <v>1</v>
      </c>
      <c r="E25135" t="s">
        <v>1</v>
      </c>
      <c r="F25135" t="s">
        <v>0</v>
      </c>
      <c r="G25135" t="str">
        <f>"2018-10-06 11:08:04"</f>
        <v>2018-10-06 11:08:04</v>
      </c>
    </row>
    <row r="25136" spans="1:7" x14ac:dyDescent="0.2">
      <c r="A25136" t="s">
        <v>899</v>
      </c>
      <c r="B25136" t="str">
        <f>"18652839399"</f>
        <v>18652839399</v>
      </c>
      <c r="C25136" t="str">
        <f>"330226197911020030"</f>
        <v>330226197911020030</v>
      </c>
      <c r="D25136" t="s">
        <v>1</v>
      </c>
      <c r="E25136" t="s">
        <v>1</v>
      </c>
      <c r="F25136" t="s">
        <v>0</v>
      </c>
      <c r="G25136" t="str">
        <f>"2018-10-06 09:36:29"</f>
        <v>2018-10-06 09:36:29</v>
      </c>
    </row>
    <row r="25137" spans="1:7" x14ac:dyDescent="0.2">
      <c r="A25137" t="s">
        <v>1</v>
      </c>
      <c r="B25137" t="str">
        <f>"18658781191"</f>
        <v>18658781191</v>
      </c>
      <c r="C25137" t="s">
        <v>1</v>
      </c>
      <c r="D25137" t="s">
        <v>1</v>
      </c>
      <c r="E25137" t="s">
        <v>1</v>
      </c>
      <c r="F25137" t="s">
        <v>0</v>
      </c>
      <c r="G25137" t="str">
        <f>"2018-10-06 09:35:03"</f>
        <v>2018-10-06 09:35:03</v>
      </c>
    </row>
    <row r="25138" spans="1:7" x14ac:dyDescent="0.2">
      <c r="A25138" t="s">
        <v>940</v>
      </c>
      <c r="B25138" t="str">
        <f>"13759809590"</f>
        <v>13759809590</v>
      </c>
      <c r="C25138" t="str">
        <f>"610526198209275832"</f>
        <v>610526198209275832</v>
      </c>
      <c r="D25138" t="s">
        <v>1</v>
      </c>
      <c r="E25138" t="s">
        <v>1</v>
      </c>
      <c r="F25138" t="s">
        <v>0</v>
      </c>
      <c r="G25138" t="str">
        <f>"2018-10-06 09:35:40"</f>
        <v>2018-10-06 09:35:40</v>
      </c>
    </row>
    <row r="25139" spans="1:7" x14ac:dyDescent="0.2">
      <c r="A25139" t="s">
        <v>1</v>
      </c>
      <c r="B25139" t="str">
        <f>"13172922335"</f>
        <v>13172922335</v>
      </c>
      <c r="C25139" t="s">
        <v>1</v>
      </c>
      <c r="D25139" t="s">
        <v>1</v>
      </c>
      <c r="E25139" t="s">
        <v>1</v>
      </c>
      <c r="F25139" t="s">
        <v>0</v>
      </c>
      <c r="G25139" t="str">
        <f>"2018-10-06 09:33:11"</f>
        <v>2018-10-06 09:33:11</v>
      </c>
    </row>
    <row r="25140" spans="1:7" x14ac:dyDescent="0.2">
      <c r="A25140" t="s">
        <v>23135</v>
      </c>
      <c r="B25140" t="str">
        <f>"15641530699"</f>
        <v>15641530699</v>
      </c>
      <c r="C25140" t="str">
        <f>"210623198310160652"</f>
        <v>210623198310160652</v>
      </c>
      <c r="D25140" t="s">
        <v>1</v>
      </c>
      <c r="E25140" t="s">
        <v>1</v>
      </c>
      <c r="F25140" t="s">
        <v>0</v>
      </c>
      <c r="G25140" t="str">
        <f>"2018-10-17 19:44:54"</f>
        <v>2018-10-17 19:44:54</v>
      </c>
    </row>
    <row r="25141" spans="1:7" x14ac:dyDescent="0.2">
      <c r="A25141" t="s">
        <v>23136</v>
      </c>
      <c r="B25141" t="str">
        <f>"13297246799"</f>
        <v>13297246799</v>
      </c>
      <c r="C25141" t="str">
        <f>"420222198806087250"</f>
        <v>420222198806087250</v>
      </c>
      <c r="D25141" t="s">
        <v>1</v>
      </c>
      <c r="E25141" t="s">
        <v>1</v>
      </c>
      <c r="F25141" t="s">
        <v>0</v>
      </c>
      <c r="G25141" t="str">
        <f>"2018-10-28 18:05:23"</f>
        <v>2018-10-28 18:05:23</v>
      </c>
    </row>
    <row r="25142" spans="1:7" x14ac:dyDescent="0.2">
      <c r="A25142" t="s">
        <v>1</v>
      </c>
      <c r="B25142" t="str">
        <f>"15131270802"</f>
        <v>15131270802</v>
      </c>
      <c r="C25142" t="s">
        <v>1</v>
      </c>
      <c r="D25142" t="s">
        <v>1</v>
      </c>
      <c r="E25142" t="s">
        <v>1</v>
      </c>
      <c r="F25142" t="s">
        <v>0</v>
      </c>
      <c r="G25142" t="str">
        <f>"2018-10-06 09:32:08"</f>
        <v>2018-10-06 09:32:08</v>
      </c>
    </row>
    <row r="25143" spans="1:7" x14ac:dyDescent="0.2">
      <c r="A25143" t="s">
        <v>1</v>
      </c>
      <c r="B25143" t="str">
        <f>"15936672065"</f>
        <v>15936672065</v>
      </c>
      <c r="C25143" t="s">
        <v>1</v>
      </c>
      <c r="D25143" t="s">
        <v>1</v>
      </c>
      <c r="E25143" t="s">
        <v>1</v>
      </c>
      <c r="F25143" t="s">
        <v>0</v>
      </c>
      <c r="G25143" t="str">
        <f>"2018-10-06 09:33:12"</f>
        <v>2018-10-06 09:33:12</v>
      </c>
    </row>
    <row r="25144" spans="1:7" x14ac:dyDescent="0.2">
      <c r="A25144" t="s">
        <v>1</v>
      </c>
      <c r="B25144" t="str">
        <f>"15661300759"</f>
        <v>15661300759</v>
      </c>
      <c r="C25144" t="s">
        <v>1</v>
      </c>
      <c r="D25144" t="s">
        <v>1</v>
      </c>
      <c r="E25144" t="s">
        <v>1</v>
      </c>
      <c r="F25144" t="s">
        <v>0</v>
      </c>
      <c r="G25144" t="str">
        <f>"2018-10-06 09:31:46"</f>
        <v>2018-10-06 09:31:46</v>
      </c>
    </row>
    <row r="25145" spans="1:7" x14ac:dyDescent="0.2">
      <c r="A25145" t="s">
        <v>1</v>
      </c>
      <c r="B25145" t="str">
        <f>"18695739930"</f>
        <v>18695739930</v>
      </c>
      <c r="C25145" t="s">
        <v>1</v>
      </c>
      <c r="D25145" t="s">
        <v>1</v>
      </c>
      <c r="E25145" t="s">
        <v>1</v>
      </c>
      <c r="F25145" t="s">
        <v>0</v>
      </c>
      <c r="G25145" t="str">
        <f>"2018-10-06 09:31:46"</f>
        <v>2018-10-06 09:31:46</v>
      </c>
    </row>
    <row r="25146" spans="1:7" x14ac:dyDescent="0.2">
      <c r="A25146" t="s">
        <v>23137</v>
      </c>
      <c r="B25146" t="str">
        <f>"13551384921"</f>
        <v>13551384921</v>
      </c>
      <c r="C25146" t="str">
        <f>"510824198903222378"</f>
        <v>510824198903222378</v>
      </c>
      <c r="D25146" t="s">
        <v>23138</v>
      </c>
      <c r="E25146" t="s">
        <v>23139</v>
      </c>
      <c r="F25146" t="s">
        <v>0</v>
      </c>
      <c r="G25146" t="str">
        <f>"2018-10-06 09:33:13"</f>
        <v>2018-10-06 09:33:13</v>
      </c>
    </row>
    <row r="25147" spans="1:7" x14ac:dyDescent="0.2">
      <c r="A25147" t="s">
        <v>738</v>
      </c>
      <c r="B25147" t="str">
        <f>"15821325037"</f>
        <v>15821325037</v>
      </c>
      <c r="C25147" t="str">
        <f>"342623199309155528"</f>
        <v>342623199309155528</v>
      </c>
      <c r="D25147" t="s">
        <v>1</v>
      </c>
      <c r="E25147" t="s">
        <v>1</v>
      </c>
      <c r="F25147" t="s">
        <v>0</v>
      </c>
      <c r="G25147" t="str">
        <f>"2018-10-06 09:35:31"</f>
        <v>2018-10-06 09:35:31</v>
      </c>
    </row>
    <row r="25148" spans="1:7" x14ac:dyDescent="0.2">
      <c r="A25148" t="s">
        <v>1</v>
      </c>
      <c r="B25148" t="str">
        <f>"18688371929"</f>
        <v>18688371929</v>
      </c>
      <c r="C25148" t="s">
        <v>1</v>
      </c>
      <c r="D25148" t="s">
        <v>1</v>
      </c>
      <c r="E25148" t="s">
        <v>1</v>
      </c>
      <c r="F25148" t="s">
        <v>0</v>
      </c>
      <c r="G25148" t="str">
        <f>"2018-10-06 09:31:15"</f>
        <v>2018-10-06 09:31:15</v>
      </c>
    </row>
    <row r="25149" spans="1:7" x14ac:dyDescent="0.2">
      <c r="A25149" t="s">
        <v>23140</v>
      </c>
      <c r="B25149" t="str">
        <f>"18242113390"</f>
        <v>18242113390</v>
      </c>
      <c r="C25149" t="str">
        <f>"211382199911124824"</f>
        <v>211382199911124824</v>
      </c>
      <c r="D25149" t="s">
        <v>1</v>
      </c>
      <c r="E25149" t="s">
        <v>1</v>
      </c>
      <c r="F25149" t="s">
        <v>0</v>
      </c>
      <c r="G25149" t="str">
        <f>"2018-10-06 09:31:51"</f>
        <v>2018-10-06 09:31:51</v>
      </c>
    </row>
    <row r="25150" spans="1:7" x14ac:dyDescent="0.2">
      <c r="A25150" t="s">
        <v>23141</v>
      </c>
      <c r="B25150" t="str">
        <f>"15802869488"</f>
        <v>15802869488</v>
      </c>
      <c r="C25150" t="str">
        <f>"510129198008024635"</f>
        <v>510129198008024635</v>
      </c>
      <c r="D25150" t="s">
        <v>23142</v>
      </c>
      <c r="E25150" t="s">
        <v>23143</v>
      </c>
      <c r="F25150" t="s">
        <v>0</v>
      </c>
      <c r="G25150" t="str">
        <f>"2018-10-06 09:31:31"</f>
        <v>2018-10-06 09:31:31</v>
      </c>
    </row>
    <row r="25151" spans="1:7" x14ac:dyDescent="0.2">
      <c r="A25151" t="s">
        <v>1</v>
      </c>
      <c r="B25151" t="str">
        <f>"15309341147"</f>
        <v>15309341147</v>
      </c>
      <c r="C25151" t="s">
        <v>1</v>
      </c>
      <c r="D25151" t="s">
        <v>1</v>
      </c>
      <c r="E25151" t="s">
        <v>1</v>
      </c>
      <c r="F25151" t="s">
        <v>0</v>
      </c>
      <c r="G25151" t="str">
        <f>"2018-10-06 09:28:10"</f>
        <v>2018-10-06 09:28:10</v>
      </c>
    </row>
    <row r="25152" spans="1:7" x14ac:dyDescent="0.2">
      <c r="A25152" t="s">
        <v>23144</v>
      </c>
      <c r="B25152" t="str">
        <f>"15156501467"</f>
        <v>15156501467</v>
      </c>
      <c r="C25152" t="str">
        <f>"342622199710246833"</f>
        <v>342622199710246833</v>
      </c>
      <c r="D25152" t="s">
        <v>1</v>
      </c>
      <c r="E25152" t="s">
        <v>1</v>
      </c>
      <c r="F25152" t="s">
        <v>0</v>
      </c>
      <c r="G25152" t="str">
        <f>"2018-10-06 09:28:54"</f>
        <v>2018-10-06 09:28:54</v>
      </c>
    </row>
    <row r="25153" spans="1:7" x14ac:dyDescent="0.2">
      <c r="A25153" t="s">
        <v>256</v>
      </c>
      <c r="B25153" t="str">
        <f>"15806103157"</f>
        <v>15806103157</v>
      </c>
      <c r="C25153" t="str">
        <f>"321102199106171516"</f>
        <v>321102199106171516</v>
      </c>
      <c r="D25153" t="s">
        <v>1</v>
      </c>
      <c r="E25153" t="s">
        <v>1</v>
      </c>
      <c r="F25153" t="s">
        <v>0</v>
      </c>
      <c r="G25153" t="str">
        <f>"2018-10-06 09:29:21"</f>
        <v>2018-10-06 09:29:21</v>
      </c>
    </row>
    <row r="25154" spans="1:7" x14ac:dyDescent="0.2">
      <c r="A25154" t="s">
        <v>1</v>
      </c>
      <c r="B25154" t="str">
        <f>"18696929023"</f>
        <v>18696929023</v>
      </c>
      <c r="C25154" t="s">
        <v>1</v>
      </c>
      <c r="D25154" t="s">
        <v>1</v>
      </c>
      <c r="E25154" t="s">
        <v>1</v>
      </c>
      <c r="F25154" t="s">
        <v>0</v>
      </c>
      <c r="G25154" t="str">
        <f>"2018-10-06 09:28:12"</f>
        <v>2018-10-06 09:28:12</v>
      </c>
    </row>
    <row r="25155" spans="1:7" x14ac:dyDescent="0.2">
      <c r="A25155" t="s">
        <v>23145</v>
      </c>
      <c r="B25155" t="str">
        <f>"13817764208"</f>
        <v>13817764208</v>
      </c>
      <c r="C25155" t="str">
        <f>"372925198810071512"</f>
        <v>372925198810071512</v>
      </c>
      <c r="D25155" t="s">
        <v>1</v>
      </c>
      <c r="E25155" t="s">
        <v>1</v>
      </c>
      <c r="F25155" t="s">
        <v>0</v>
      </c>
      <c r="G25155" t="str">
        <f>"2018-10-06 09:43:30"</f>
        <v>2018-10-06 09:43:30</v>
      </c>
    </row>
    <row r="25156" spans="1:7" x14ac:dyDescent="0.2">
      <c r="A25156" t="s">
        <v>484</v>
      </c>
      <c r="B25156" t="str">
        <f>"13679331203"</f>
        <v>13679331203</v>
      </c>
      <c r="C25156" t="str">
        <f>"622701199311261172"</f>
        <v>622701199311261172</v>
      </c>
      <c r="D25156" t="s">
        <v>1</v>
      </c>
      <c r="E25156" t="s">
        <v>1</v>
      </c>
      <c r="F25156" t="s">
        <v>0</v>
      </c>
      <c r="G25156" t="str">
        <f>"2018-10-06 18:28:02"</f>
        <v>2018-10-06 18:28:02</v>
      </c>
    </row>
    <row r="25157" spans="1:7" x14ac:dyDescent="0.2">
      <c r="A25157" t="s">
        <v>23146</v>
      </c>
      <c r="B25157" t="str">
        <f>"13936784082"</f>
        <v>13936784082</v>
      </c>
      <c r="C25157" t="str">
        <f>"232302198808087314"</f>
        <v>232302198808087314</v>
      </c>
      <c r="D25157" t="s">
        <v>23147</v>
      </c>
      <c r="E25157" t="s">
        <v>23148</v>
      </c>
      <c r="F25157" t="s">
        <v>0</v>
      </c>
      <c r="G25157" t="str">
        <f>"2018-10-06 09:26:59"</f>
        <v>2018-10-06 09:26:59</v>
      </c>
    </row>
    <row r="25158" spans="1:7" x14ac:dyDescent="0.2">
      <c r="A25158" t="s">
        <v>23149</v>
      </c>
      <c r="B25158" t="str">
        <f>"17506526565"</f>
        <v>17506526565</v>
      </c>
      <c r="C25158" t="str">
        <f>"330124198511153914"</f>
        <v>330124198511153914</v>
      </c>
      <c r="D25158" t="s">
        <v>1</v>
      </c>
      <c r="E25158" t="s">
        <v>1</v>
      </c>
      <c r="F25158" t="s">
        <v>0</v>
      </c>
      <c r="G25158" t="str">
        <f>"2018-10-06 09:27:33"</f>
        <v>2018-10-06 09:27:33</v>
      </c>
    </row>
    <row r="25159" spans="1:7" x14ac:dyDescent="0.2">
      <c r="A25159" t="s">
        <v>23150</v>
      </c>
      <c r="B25159" t="str">
        <f>"18898900112"</f>
        <v>18898900112</v>
      </c>
      <c r="C25159" t="str">
        <f>"460022199107233512"</f>
        <v>460022199107233512</v>
      </c>
      <c r="D25159" t="s">
        <v>1</v>
      </c>
      <c r="E25159" t="s">
        <v>1</v>
      </c>
      <c r="F25159" t="s">
        <v>0</v>
      </c>
      <c r="G25159" t="str">
        <f>"2018-10-06 09:48:15"</f>
        <v>2018-10-06 09:48:15</v>
      </c>
    </row>
    <row r="25160" spans="1:7" x14ac:dyDescent="0.2">
      <c r="A25160" t="s">
        <v>23151</v>
      </c>
      <c r="B25160" t="str">
        <f>"15284302711"</f>
        <v>15284302711</v>
      </c>
      <c r="C25160" t="str">
        <f>"130431197910151236"</f>
        <v>130431197910151236</v>
      </c>
      <c r="D25160" t="s">
        <v>1</v>
      </c>
      <c r="E25160" t="s">
        <v>1</v>
      </c>
      <c r="F25160" t="s">
        <v>0</v>
      </c>
      <c r="G25160" t="str">
        <f>"2018-10-06 09:26:01"</f>
        <v>2018-10-06 09:26:01</v>
      </c>
    </row>
    <row r="25161" spans="1:7" x14ac:dyDescent="0.2">
      <c r="A25161" t="s">
        <v>23152</v>
      </c>
      <c r="B25161" t="str">
        <f>"13253377507"</f>
        <v>13253377507</v>
      </c>
      <c r="C25161" t="str">
        <f>"410105198809210062"</f>
        <v>410105198809210062</v>
      </c>
      <c r="D25161" t="s">
        <v>1</v>
      </c>
      <c r="E25161" t="s">
        <v>1</v>
      </c>
      <c r="F25161" t="s">
        <v>0</v>
      </c>
      <c r="G25161" t="str">
        <f>"2018-10-06 09:27:32"</f>
        <v>2018-10-06 09:27:32</v>
      </c>
    </row>
    <row r="25162" spans="1:7" x14ac:dyDescent="0.2">
      <c r="A25162" t="s">
        <v>23153</v>
      </c>
      <c r="B25162" t="str">
        <f>"13581367806"</f>
        <v>13581367806</v>
      </c>
      <c r="C25162" t="str">
        <f>"42032119870318353X"</f>
        <v>42032119870318353X</v>
      </c>
      <c r="D25162" t="s">
        <v>1</v>
      </c>
      <c r="E25162" t="s">
        <v>1</v>
      </c>
      <c r="F25162" t="s">
        <v>0</v>
      </c>
      <c r="G25162" t="str">
        <f>"2018-10-06 09:26:16"</f>
        <v>2018-10-06 09:26:16</v>
      </c>
    </row>
    <row r="25163" spans="1:7" x14ac:dyDescent="0.2">
      <c r="A25163" t="s">
        <v>1</v>
      </c>
      <c r="B25163" t="str">
        <f>"13507178993"</f>
        <v>13507178993</v>
      </c>
      <c r="C25163" t="s">
        <v>1</v>
      </c>
      <c r="D25163" t="s">
        <v>1</v>
      </c>
      <c r="E25163" t="s">
        <v>1</v>
      </c>
      <c r="F25163" t="s">
        <v>0</v>
      </c>
      <c r="G25163" t="str">
        <f>"2018-10-06 09:24:20"</f>
        <v>2018-10-06 09:24:20</v>
      </c>
    </row>
    <row r="25164" spans="1:7" x14ac:dyDescent="0.2">
      <c r="A25164" t="s">
        <v>23154</v>
      </c>
      <c r="B25164" t="str">
        <f>"18978596066"</f>
        <v>18978596066</v>
      </c>
      <c r="C25164" t="str">
        <f>"450802198702179655"</f>
        <v>450802198702179655</v>
      </c>
      <c r="D25164" t="s">
        <v>23155</v>
      </c>
      <c r="E25164" t="s">
        <v>23156</v>
      </c>
      <c r="F25164" t="s">
        <v>0</v>
      </c>
      <c r="G25164" t="str">
        <f>"2018-10-06 10:31:03"</f>
        <v>2018-10-06 10:31:03</v>
      </c>
    </row>
    <row r="25165" spans="1:7" x14ac:dyDescent="0.2">
      <c r="A25165" t="s">
        <v>1</v>
      </c>
      <c r="B25165" t="str">
        <f>"18682745915"</f>
        <v>18682745915</v>
      </c>
      <c r="C25165" t="s">
        <v>1</v>
      </c>
      <c r="D25165" t="s">
        <v>1</v>
      </c>
      <c r="E25165" t="s">
        <v>1</v>
      </c>
      <c r="F25165" t="s">
        <v>0</v>
      </c>
      <c r="G25165" t="str">
        <f>"2018-10-06 09:31:30"</f>
        <v>2018-10-06 09:31:30</v>
      </c>
    </row>
    <row r="25166" spans="1:7" x14ac:dyDescent="0.2">
      <c r="A25166" t="s">
        <v>19348</v>
      </c>
      <c r="B25166" t="str">
        <f>"15014864399"</f>
        <v>15014864399</v>
      </c>
      <c r="C25166" t="str">
        <f>"441523199111036053"</f>
        <v>441523199111036053</v>
      </c>
      <c r="D25166" t="s">
        <v>1</v>
      </c>
      <c r="E25166" t="s">
        <v>1</v>
      </c>
      <c r="F25166" t="s">
        <v>0</v>
      </c>
      <c r="G25166" t="str">
        <f>"2018-10-06 09:27:08"</f>
        <v>2018-10-06 09:27:08</v>
      </c>
    </row>
    <row r="25167" spans="1:7" x14ac:dyDescent="0.2">
      <c r="A25167" t="s">
        <v>23157</v>
      </c>
      <c r="B25167" t="str">
        <f>"15279263779"</f>
        <v>15279263779</v>
      </c>
      <c r="C25167" t="str">
        <f>"350623197504227217"</f>
        <v>350623197504227217</v>
      </c>
      <c r="D25167" t="s">
        <v>1</v>
      </c>
      <c r="E25167" t="s">
        <v>1</v>
      </c>
      <c r="F25167" t="s">
        <v>0</v>
      </c>
      <c r="G25167" t="str">
        <f>"2018-10-06 09:26:57"</f>
        <v>2018-10-06 09:26:57</v>
      </c>
    </row>
    <row r="25168" spans="1:7" x14ac:dyDescent="0.2">
      <c r="A25168" t="s">
        <v>23158</v>
      </c>
      <c r="B25168" t="str">
        <f>"18678889591"</f>
        <v>18678889591</v>
      </c>
      <c r="C25168" t="str">
        <f>"370104198702175210"</f>
        <v>370104198702175210</v>
      </c>
      <c r="D25168" t="s">
        <v>23159</v>
      </c>
      <c r="E25168" t="s">
        <v>23160</v>
      </c>
      <c r="F25168" t="s">
        <v>0</v>
      </c>
      <c r="G25168" t="str">
        <f>"2018-10-06 10:03:27"</f>
        <v>2018-10-06 10:03:27</v>
      </c>
    </row>
    <row r="25169" spans="1:7" x14ac:dyDescent="0.2">
      <c r="A25169" t="s">
        <v>23161</v>
      </c>
      <c r="B25169" t="str">
        <f>"15694159592"</f>
        <v>15694159592</v>
      </c>
      <c r="C25169" t="str">
        <f>"210603199812023040"</f>
        <v>210603199812023040</v>
      </c>
      <c r="D25169" t="s">
        <v>1</v>
      </c>
      <c r="E25169" t="s">
        <v>1</v>
      </c>
      <c r="F25169" t="s">
        <v>0</v>
      </c>
      <c r="G25169" t="str">
        <f>"2018-10-06 09:24:01"</f>
        <v>2018-10-06 09:24:01</v>
      </c>
    </row>
    <row r="25170" spans="1:7" x14ac:dyDescent="0.2">
      <c r="A25170" t="s">
        <v>23162</v>
      </c>
      <c r="B25170" t="str">
        <f>"18133335573"</f>
        <v>18133335573</v>
      </c>
      <c r="C25170" t="str">
        <f>"341281199407161121"</f>
        <v>341281199407161121</v>
      </c>
      <c r="D25170" t="s">
        <v>1</v>
      </c>
      <c r="E25170" t="s">
        <v>1</v>
      </c>
      <c r="F25170" t="s">
        <v>0</v>
      </c>
      <c r="G25170" t="str">
        <f>"2018-10-06 09:24:12"</f>
        <v>2018-10-06 09:24:12</v>
      </c>
    </row>
    <row r="25171" spans="1:7" x14ac:dyDescent="0.2">
      <c r="A25171" t="s">
        <v>23163</v>
      </c>
      <c r="B25171" t="str">
        <f>"13730696762"</f>
        <v>13730696762</v>
      </c>
      <c r="C25171" t="str">
        <f>"511303198805270618"</f>
        <v>511303198805270618</v>
      </c>
      <c r="D25171" t="s">
        <v>1</v>
      </c>
      <c r="E25171" t="s">
        <v>1</v>
      </c>
      <c r="F25171" t="s">
        <v>0</v>
      </c>
      <c r="G25171" t="str">
        <f>"2018-10-06 09:23:32"</f>
        <v>2018-10-06 09:23:32</v>
      </c>
    </row>
    <row r="25172" spans="1:7" x14ac:dyDescent="0.2">
      <c r="A25172" t="s">
        <v>23164</v>
      </c>
      <c r="B25172" t="str">
        <f>"18080271900"</f>
        <v>18080271900</v>
      </c>
      <c r="C25172" t="str">
        <f>"511622198703160106"</f>
        <v>511622198703160106</v>
      </c>
      <c r="D25172" t="s">
        <v>1</v>
      </c>
      <c r="E25172" t="s">
        <v>1</v>
      </c>
      <c r="F25172" t="s">
        <v>0</v>
      </c>
      <c r="G25172" t="str">
        <f>"2018-10-25 09:39:42"</f>
        <v>2018-10-25 09:39:42</v>
      </c>
    </row>
    <row r="25173" spans="1:7" x14ac:dyDescent="0.2">
      <c r="A25173" t="s">
        <v>23165</v>
      </c>
      <c r="B25173" t="str">
        <f>"15900320910"</f>
        <v>15900320910</v>
      </c>
      <c r="C25173" t="str">
        <f>"12010519800228183X"</f>
        <v>12010519800228183X</v>
      </c>
      <c r="D25173" t="s">
        <v>1</v>
      </c>
      <c r="E25173" t="s">
        <v>1</v>
      </c>
      <c r="F25173" t="s">
        <v>0</v>
      </c>
      <c r="G25173" t="str">
        <f>"2018-10-06 09:22:09"</f>
        <v>2018-10-06 09:22:09</v>
      </c>
    </row>
    <row r="25174" spans="1:7" x14ac:dyDescent="0.2">
      <c r="A25174" t="s">
        <v>786</v>
      </c>
      <c r="B25174" t="str">
        <f>"13103251665"</f>
        <v>13103251665</v>
      </c>
      <c r="C25174" t="str">
        <f>"130203198805308017"</f>
        <v>130203198805308017</v>
      </c>
      <c r="D25174" t="s">
        <v>1</v>
      </c>
      <c r="E25174" t="s">
        <v>1</v>
      </c>
      <c r="F25174" t="s">
        <v>0</v>
      </c>
      <c r="G25174" t="str">
        <f>"2018-10-06 12:26:12"</f>
        <v>2018-10-06 12:26:12</v>
      </c>
    </row>
    <row r="25175" spans="1:7" x14ac:dyDescent="0.2">
      <c r="A25175" t="s">
        <v>23166</v>
      </c>
      <c r="B25175" t="str">
        <f>"15260683477"</f>
        <v>15260683477</v>
      </c>
      <c r="C25175" t="str">
        <f>"350681198608185216"</f>
        <v>350681198608185216</v>
      </c>
      <c r="D25175" t="s">
        <v>1</v>
      </c>
      <c r="E25175" t="s">
        <v>1</v>
      </c>
      <c r="F25175" t="s">
        <v>0</v>
      </c>
      <c r="G25175" t="str">
        <f>"2018-10-06 14:41:21"</f>
        <v>2018-10-06 14:41:21</v>
      </c>
    </row>
    <row r="25176" spans="1:7" x14ac:dyDescent="0.2">
      <c r="A25176" t="s">
        <v>23167</v>
      </c>
      <c r="B25176" t="str">
        <f>"17551589291"</f>
        <v>17551589291</v>
      </c>
      <c r="C25176" t="str">
        <f>"320722198710090539"</f>
        <v>320722198710090539</v>
      </c>
      <c r="D25176" t="s">
        <v>23168</v>
      </c>
      <c r="E25176" t="s">
        <v>23169</v>
      </c>
      <c r="F25176" t="s">
        <v>0</v>
      </c>
      <c r="G25176" t="str">
        <f>"2018-10-06 09:22:22"</f>
        <v>2018-10-06 09:22:22</v>
      </c>
    </row>
    <row r="25177" spans="1:7" x14ac:dyDescent="0.2">
      <c r="A25177" t="s">
        <v>23170</v>
      </c>
      <c r="B25177" t="str">
        <f>"18381683120"</f>
        <v>18381683120</v>
      </c>
      <c r="C25177" t="str">
        <f>"410224199409163630"</f>
        <v>410224199409163630</v>
      </c>
      <c r="D25177" t="s">
        <v>23171</v>
      </c>
      <c r="E25177" t="s">
        <v>23172</v>
      </c>
      <c r="F25177" t="s">
        <v>0</v>
      </c>
      <c r="G25177" t="str">
        <f>"2018-10-06 09:33:10"</f>
        <v>2018-10-06 09:33:10</v>
      </c>
    </row>
    <row r="25178" spans="1:7" x14ac:dyDescent="0.2">
      <c r="A25178" t="s">
        <v>23173</v>
      </c>
      <c r="B25178" t="str">
        <f>"18286171068"</f>
        <v>18286171068</v>
      </c>
      <c r="C25178" t="str">
        <f>"52273119860912199X"</f>
        <v>52273119860912199X</v>
      </c>
      <c r="D25178" t="s">
        <v>23174</v>
      </c>
      <c r="E25178" t="s">
        <v>23175</v>
      </c>
      <c r="F25178" t="s">
        <v>0</v>
      </c>
      <c r="G25178" t="str">
        <f>"2018-10-12 15:15:10"</f>
        <v>2018-10-12 15:15:10</v>
      </c>
    </row>
    <row r="25179" spans="1:7" x14ac:dyDescent="0.2">
      <c r="A25179" t="s">
        <v>8558</v>
      </c>
      <c r="B25179" t="str">
        <f>"18721813560"</f>
        <v>18721813560</v>
      </c>
      <c r="C25179" t="str">
        <f>"310226198207052638"</f>
        <v>310226198207052638</v>
      </c>
      <c r="D25179" t="s">
        <v>1</v>
      </c>
      <c r="E25179" t="s">
        <v>1</v>
      </c>
      <c r="F25179" t="s">
        <v>0</v>
      </c>
      <c r="G25179" t="str">
        <f>"2018-10-06 09:21:11"</f>
        <v>2018-10-06 09:21:11</v>
      </c>
    </row>
    <row r="25180" spans="1:7" x14ac:dyDescent="0.2">
      <c r="A25180" t="s">
        <v>23176</v>
      </c>
      <c r="B25180" t="str">
        <f>"18681081883"</f>
        <v>18681081883</v>
      </c>
      <c r="C25180" t="str">
        <f>"440882199410210037"</f>
        <v>440882199410210037</v>
      </c>
      <c r="D25180" t="s">
        <v>1</v>
      </c>
      <c r="E25180" t="s">
        <v>1</v>
      </c>
      <c r="F25180" t="s">
        <v>0</v>
      </c>
      <c r="G25180" t="str">
        <f>"2018-10-06 09:19:44"</f>
        <v>2018-10-06 09:19:44</v>
      </c>
    </row>
    <row r="25181" spans="1:7" x14ac:dyDescent="0.2">
      <c r="A25181" t="s">
        <v>510</v>
      </c>
      <c r="B25181" t="str">
        <f>"13518725539"</f>
        <v>13518725539</v>
      </c>
      <c r="C25181" t="str">
        <f>"530181199111071214"</f>
        <v>530181199111071214</v>
      </c>
      <c r="D25181" t="s">
        <v>23177</v>
      </c>
      <c r="E25181" t="s">
        <v>23178</v>
      </c>
      <c r="F25181" t="s">
        <v>0</v>
      </c>
      <c r="G25181" t="str">
        <f>"2018-10-06 09:18:11"</f>
        <v>2018-10-06 09:18:11</v>
      </c>
    </row>
    <row r="25182" spans="1:7" x14ac:dyDescent="0.2">
      <c r="A25182" t="s">
        <v>23179</v>
      </c>
      <c r="B25182" t="str">
        <f>"13685015132"</f>
        <v>13685015132</v>
      </c>
      <c r="C25182" t="str">
        <f>"35018119761210507X"</f>
        <v>35018119761210507X</v>
      </c>
      <c r="D25182" t="s">
        <v>1</v>
      </c>
      <c r="E25182" t="s">
        <v>1</v>
      </c>
      <c r="F25182" t="s">
        <v>0</v>
      </c>
      <c r="G25182" t="str">
        <f>"2018-10-06 09:20:25"</f>
        <v>2018-10-06 09:20:25</v>
      </c>
    </row>
    <row r="25183" spans="1:7" x14ac:dyDescent="0.2">
      <c r="A25183" t="s">
        <v>23180</v>
      </c>
      <c r="B25183" t="str">
        <f>"18791066785"</f>
        <v>18791066785</v>
      </c>
      <c r="C25183" t="str">
        <f>"610425198206170910"</f>
        <v>610425198206170910</v>
      </c>
      <c r="D25183" t="s">
        <v>1</v>
      </c>
      <c r="E25183" t="s">
        <v>1</v>
      </c>
      <c r="F25183" t="s">
        <v>0</v>
      </c>
      <c r="G25183" t="str">
        <f>"2018-10-30 08:01:14"</f>
        <v>2018-10-30 08:01:14</v>
      </c>
    </row>
    <row r="25184" spans="1:7" x14ac:dyDescent="0.2">
      <c r="A25184" t="s">
        <v>653</v>
      </c>
      <c r="B25184" t="str">
        <f>"15533219072"</f>
        <v>15533219072</v>
      </c>
      <c r="C25184" t="str">
        <f>"13062419950218342X"</f>
        <v>13062419950218342X</v>
      </c>
      <c r="D25184" t="s">
        <v>1</v>
      </c>
      <c r="E25184" t="s">
        <v>1</v>
      </c>
      <c r="F25184" t="s">
        <v>0</v>
      </c>
      <c r="G25184" t="str">
        <f>"2018-10-18 14:24:00"</f>
        <v>2018-10-18 14:24:00</v>
      </c>
    </row>
    <row r="25185" spans="1:7" x14ac:dyDescent="0.2">
      <c r="A25185" t="s">
        <v>23181</v>
      </c>
      <c r="B25185" t="str">
        <f>"18267688360"</f>
        <v>18267688360</v>
      </c>
      <c r="C25185" t="str">
        <f>"331023198212070552"</f>
        <v>331023198212070552</v>
      </c>
      <c r="D25185" t="s">
        <v>23182</v>
      </c>
      <c r="E25185" t="s">
        <v>23183</v>
      </c>
      <c r="F25185" t="s">
        <v>0</v>
      </c>
      <c r="G25185" t="str">
        <f>"2018-10-06 09:17:31"</f>
        <v>2018-10-06 09:17:31</v>
      </c>
    </row>
    <row r="25186" spans="1:7" x14ac:dyDescent="0.2">
      <c r="A25186" t="s">
        <v>1</v>
      </c>
      <c r="B25186" t="str">
        <f>"17581722554"</f>
        <v>17581722554</v>
      </c>
      <c r="C25186" t="s">
        <v>1</v>
      </c>
      <c r="D25186" t="s">
        <v>1</v>
      </c>
      <c r="E25186" t="s">
        <v>1</v>
      </c>
      <c r="F25186" t="s">
        <v>0</v>
      </c>
      <c r="G25186" t="str">
        <f>"2018-10-06 09:31:31"</f>
        <v>2018-10-06 09:31:31</v>
      </c>
    </row>
    <row r="25187" spans="1:7" x14ac:dyDescent="0.2">
      <c r="A25187" t="s">
        <v>348</v>
      </c>
      <c r="B25187" t="str">
        <f>"13842580195"</f>
        <v>13842580195</v>
      </c>
      <c r="C25187" t="str">
        <f>"210603197404215028"</f>
        <v>210603197404215028</v>
      </c>
      <c r="D25187" t="s">
        <v>1</v>
      </c>
      <c r="E25187" t="s">
        <v>1</v>
      </c>
      <c r="F25187" t="s">
        <v>0</v>
      </c>
      <c r="G25187" t="str">
        <f>"2018-10-06 09:15:56"</f>
        <v>2018-10-06 09:15:56</v>
      </c>
    </row>
    <row r="25188" spans="1:7" x14ac:dyDescent="0.2">
      <c r="A25188" t="s">
        <v>23184</v>
      </c>
      <c r="B25188" t="str">
        <f>"13194558708"</f>
        <v>13194558708</v>
      </c>
      <c r="C25188" t="str">
        <f>"232326198512030547"</f>
        <v>232326198512030547</v>
      </c>
      <c r="D25188" t="s">
        <v>23185</v>
      </c>
      <c r="E25188" t="s">
        <v>23186</v>
      </c>
      <c r="F25188" t="s">
        <v>0</v>
      </c>
      <c r="G25188" t="str">
        <f>"2018-10-06 09:15:52"</f>
        <v>2018-10-06 09:15:52</v>
      </c>
    </row>
    <row r="25189" spans="1:7" x14ac:dyDescent="0.2">
      <c r="A25189" t="s">
        <v>1</v>
      </c>
      <c r="B25189" t="str">
        <f>"13036906504"</f>
        <v>13036906504</v>
      </c>
      <c r="C25189" t="s">
        <v>1</v>
      </c>
      <c r="D25189" t="s">
        <v>1</v>
      </c>
      <c r="E25189" t="s">
        <v>1</v>
      </c>
      <c r="F25189" t="s">
        <v>0</v>
      </c>
      <c r="G25189" t="str">
        <f>"2018-10-06 09:14:00"</f>
        <v>2018-10-06 09:14:00</v>
      </c>
    </row>
    <row r="25190" spans="1:7" x14ac:dyDescent="0.2">
      <c r="A25190" t="s">
        <v>1</v>
      </c>
      <c r="B25190" t="str">
        <f>"18203386706"</f>
        <v>18203386706</v>
      </c>
      <c r="C25190" t="s">
        <v>1</v>
      </c>
      <c r="D25190" t="s">
        <v>1</v>
      </c>
      <c r="E25190" t="s">
        <v>1</v>
      </c>
      <c r="F25190" t="s">
        <v>0</v>
      </c>
      <c r="G25190" t="str">
        <f>"2018-10-06 09:13:59"</f>
        <v>2018-10-06 09:13:59</v>
      </c>
    </row>
    <row r="25191" spans="1:7" x14ac:dyDescent="0.2">
      <c r="A25191" t="s">
        <v>1</v>
      </c>
      <c r="B25191" t="str">
        <f>"13685077945"</f>
        <v>13685077945</v>
      </c>
      <c r="C25191" t="s">
        <v>1</v>
      </c>
      <c r="D25191" t="s">
        <v>1</v>
      </c>
      <c r="E25191" t="s">
        <v>1</v>
      </c>
      <c r="F25191" t="s">
        <v>0</v>
      </c>
      <c r="G25191" t="str">
        <f>"2018-10-06 09:13:58"</f>
        <v>2018-10-06 09:13:58</v>
      </c>
    </row>
    <row r="25192" spans="1:7" x14ac:dyDescent="0.2">
      <c r="A25192" t="s">
        <v>23187</v>
      </c>
      <c r="B25192" t="str">
        <f>"18627166062"</f>
        <v>18627166062</v>
      </c>
      <c r="C25192" t="str">
        <f>"429004199407110352"</f>
        <v>429004199407110352</v>
      </c>
      <c r="D25192" t="s">
        <v>1</v>
      </c>
      <c r="E25192" t="s">
        <v>1</v>
      </c>
      <c r="F25192" t="s">
        <v>0</v>
      </c>
      <c r="G25192" t="str">
        <f>"2018-10-06 09:13:57"</f>
        <v>2018-10-06 09:13:57</v>
      </c>
    </row>
    <row r="25193" spans="1:7" x14ac:dyDescent="0.2">
      <c r="A25193" t="s">
        <v>1</v>
      </c>
      <c r="B25193" t="str">
        <f>"15702693788"</f>
        <v>15702693788</v>
      </c>
      <c r="C25193" t="s">
        <v>1</v>
      </c>
      <c r="D25193" t="s">
        <v>1</v>
      </c>
      <c r="E25193" t="s">
        <v>1</v>
      </c>
      <c r="F25193" t="s">
        <v>0</v>
      </c>
      <c r="G25193" t="str">
        <f>"2018-10-06 09:15:56"</f>
        <v>2018-10-06 09:15:56</v>
      </c>
    </row>
    <row r="25194" spans="1:7" x14ac:dyDescent="0.2">
      <c r="A25194" t="s">
        <v>23188</v>
      </c>
      <c r="B25194" t="str">
        <f>"18166101716"</f>
        <v>18166101716</v>
      </c>
      <c r="C25194" t="str">
        <f>"430523198602203576"</f>
        <v>430523198602203576</v>
      </c>
      <c r="D25194" t="s">
        <v>23189</v>
      </c>
      <c r="E25194" t="s">
        <v>23190</v>
      </c>
      <c r="F25194" t="s">
        <v>0</v>
      </c>
      <c r="G25194" t="str">
        <f>"2018-10-06 09:17:33"</f>
        <v>2018-10-06 09:17:33</v>
      </c>
    </row>
    <row r="25195" spans="1:7" x14ac:dyDescent="0.2">
      <c r="A25195" t="s">
        <v>9</v>
      </c>
      <c r="B25195" t="str">
        <f>"15991865094"</f>
        <v>15991865094</v>
      </c>
      <c r="C25195" t="str">
        <f>"612321199503120384"</f>
        <v>612321199503120384</v>
      </c>
      <c r="D25195" t="s">
        <v>1</v>
      </c>
      <c r="E25195" t="s">
        <v>1</v>
      </c>
      <c r="F25195" t="s">
        <v>0</v>
      </c>
      <c r="G25195" t="str">
        <f>"2018-10-06 09:17:27"</f>
        <v>2018-10-06 09:17:27</v>
      </c>
    </row>
    <row r="25196" spans="1:7" x14ac:dyDescent="0.2">
      <c r="A25196" t="s">
        <v>1</v>
      </c>
      <c r="B25196" t="str">
        <f>"13202777108"</f>
        <v>13202777108</v>
      </c>
      <c r="C25196" t="s">
        <v>1</v>
      </c>
      <c r="D25196" t="s">
        <v>1</v>
      </c>
      <c r="E25196" t="s">
        <v>1</v>
      </c>
      <c r="F25196" t="s">
        <v>0</v>
      </c>
      <c r="G25196" t="str">
        <f>"2018-10-06 09:14:00"</f>
        <v>2018-10-06 09:14:00</v>
      </c>
    </row>
    <row r="25197" spans="1:7" x14ac:dyDescent="0.2">
      <c r="A25197" t="s">
        <v>1</v>
      </c>
      <c r="B25197" t="str">
        <f>"18292563199"</f>
        <v>18292563199</v>
      </c>
      <c r="C25197" t="s">
        <v>1</v>
      </c>
      <c r="D25197" t="s">
        <v>1</v>
      </c>
      <c r="E25197" t="s">
        <v>1</v>
      </c>
      <c r="F25197" t="s">
        <v>0</v>
      </c>
      <c r="G25197" t="str">
        <f>"2018-10-06 09:12:18"</f>
        <v>2018-10-06 09:12:18</v>
      </c>
    </row>
    <row r="25198" spans="1:7" x14ac:dyDescent="0.2">
      <c r="A25198" t="s">
        <v>23191</v>
      </c>
      <c r="B25198" t="str">
        <f>"18204705658"</f>
        <v>18204705658</v>
      </c>
      <c r="C25198" t="str">
        <f>"152201196212062545"</f>
        <v>152201196212062545</v>
      </c>
      <c r="D25198" t="s">
        <v>1</v>
      </c>
      <c r="E25198" t="s">
        <v>1</v>
      </c>
      <c r="F25198" t="s">
        <v>0</v>
      </c>
      <c r="G25198" t="str">
        <f>"2018-10-06 09:13:03"</f>
        <v>2018-10-06 09:13:03</v>
      </c>
    </row>
    <row r="25199" spans="1:7" x14ac:dyDescent="0.2">
      <c r="A25199" t="s">
        <v>1</v>
      </c>
      <c r="B25199" t="str">
        <f>"15060752383"</f>
        <v>15060752383</v>
      </c>
      <c r="C25199" t="s">
        <v>1</v>
      </c>
      <c r="D25199" t="s">
        <v>1</v>
      </c>
      <c r="E25199" t="s">
        <v>1</v>
      </c>
      <c r="F25199" t="s">
        <v>0</v>
      </c>
      <c r="G25199" t="str">
        <f>"2018-10-06 09:12:07"</f>
        <v>2018-10-06 09:12:07</v>
      </c>
    </row>
    <row r="25200" spans="1:7" x14ac:dyDescent="0.2">
      <c r="A25200" t="s">
        <v>23192</v>
      </c>
      <c r="B25200" t="str">
        <f>"13617256654"</f>
        <v>13617256654</v>
      </c>
      <c r="C25200" t="str">
        <f>"421122199408176813"</f>
        <v>421122199408176813</v>
      </c>
      <c r="D25200" t="s">
        <v>1</v>
      </c>
      <c r="E25200" t="s">
        <v>1</v>
      </c>
      <c r="F25200" t="s">
        <v>0</v>
      </c>
      <c r="G25200" t="str">
        <f>"2018-10-06 09:12:59"</f>
        <v>2018-10-06 09:12:59</v>
      </c>
    </row>
    <row r="25201" spans="1:7" x14ac:dyDescent="0.2">
      <c r="A25201" t="s">
        <v>1</v>
      </c>
      <c r="B25201" t="str">
        <f>"15231133267"</f>
        <v>15231133267</v>
      </c>
      <c r="C25201" t="s">
        <v>1</v>
      </c>
      <c r="D25201" t="s">
        <v>1</v>
      </c>
      <c r="E25201" t="s">
        <v>1</v>
      </c>
      <c r="F25201" t="s">
        <v>0</v>
      </c>
      <c r="G25201" t="str">
        <f>"2018-10-06 09:11:45"</f>
        <v>2018-10-06 09:11:45</v>
      </c>
    </row>
    <row r="25202" spans="1:7" x14ac:dyDescent="0.2">
      <c r="A25202" t="s">
        <v>1</v>
      </c>
      <c r="B25202" t="str">
        <f>"13857865696"</f>
        <v>13857865696</v>
      </c>
      <c r="C25202" t="s">
        <v>1</v>
      </c>
      <c r="D25202" t="s">
        <v>1</v>
      </c>
      <c r="E25202" t="s">
        <v>1</v>
      </c>
      <c r="F25202" t="s">
        <v>0</v>
      </c>
      <c r="G25202" t="str">
        <f>"2018-10-06 09:11:42"</f>
        <v>2018-10-06 09:11:42</v>
      </c>
    </row>
    <row r="25203" spans="1:7" x14ac:dyDescent="0.2">
      <c r="A25203" t="s">
        <v>1786</v>
      </c>
      <c r="B25203" t="str">
        <f>"15852319065"</f>
        <v>15852319065</v>
      </c>
      <c r="C25203" t="str">
        <f>"320323199412266822"</f>
        <v>320323199412266822</v>
      </c>
      <c r="D25203" t="s">
        <v>1</v>
      </c>
      <c r="E25203" t="s">
        <v>1</v>
      </c>
      <c r="F25203" t="s">
        <v>0</v>
      </c>
      <c r="G25203" t="str">
        <f>"2018-10-21 11:38:48"</f>
        <v>2018-10-21 11:38:48</v>
      </c>
    </row>
    <row r="25204" spans="1:7" x14ac:dyDescent="0.2">
      <c r="A25204" t="s">
        <v>23193</v>
      </c>
      <c r="B25204" t="str">
        <f>"15219300486"</f>
        <v>15219300486</v>
      </c>
      <c r="C25204" t="str">
        <f>"441501199508054198"</f>
        <v>441501199508054198</v>
      </c>
      <c r="D25204" t="s">
        <v>1</v>
      </c>
      <c r="E25204" t="s">
        <v>1</v>
      </c>
      <c r="F25204" t="s">
        <v>0</v>
      </c>
      <c r="G25204" t="str">
        <f>"2018-10-06 16:18:41"</f>
        <v>2018-10-06 16:18:41</v>
      </c>
    </row>
    <row r="25205" spans="1:7" x14ac:dyDescent="0.2">
      <c r="A25205" t="s">
        <v>1</v>
      </c>
      <c r="B25205" t="str">
        <f>"18350673790"</f>
        <v>18350673790</v>
      </c>
      <c r="C25205" t="s">
        <v>1</v>
      </c>
      <c r="D25205" t="s">
        <v>1</v>
      </c>
      <c r="E25205" t="s">
        <v>1</v>
      </c>
      <c r="F25205" t="s">
        <v>0</v>
      </c>
      <c r="G25205" t="str">
        <f>"2018-10-06 09:12:05"</f>
        <v>2018-10-06 09:12:05</v>
      </c>
    </row>
    <row r="25206" spans="1:7" x14ac:dyDescent="0.2">
      <c r="A25206" t="s">
        <v>1</v>
      </c>
      <c r="B25206" t="str">
        <f>"15527853835"</f>
        <v>15527853835</v>
      </c>
      <c r="C25206" t="s">
        <v>1</v>
      </c>
      <c r="D25206" t="s">
        <v>1</v>
      </c>
      <c r="E25206" t="s">
        <v>1</v>
      </c>
      <c r="F25206" t="s">
        <v>0</v>
      </c>
      <c r="G25206" t="str">
        <f>"2018-10-06 09:10:56"</f>
        <v>2018-10-06 09:10:56</v>
      </c>
    </row>
    <row r="25207" spans="1:7" x14ac:dyDescent="0.2">
      <c r="A25207" t="s">
        <v>23194</v>
      </c>
      <c r="B25207" t="str">
        <f>"13466886736"</f>
        <v>13466886736</v>
      </c>
      <c r="C25207" t="str">
        <f>"41052219891205641X"</f>
        <v>41052219891205641X</v>
      </c>
      <c r="D25207" t="s">
        <v>1</v>
      </c>
      <c r="E25207" t="s">
        <v>1</v>
      </c>
      <c r="F25207" t="s">
        <v>0</v>
      </c>
      <c r="G25207" t="str">
        <f>"2018-10-06 09:12:18"</f>
        <v>2018-10-06 09:12:18</v>
      </c>
    </row>
    <row r="25208" spans="1:7" x14ac:dyDescent="0.2">
      <c r="A25208" t="s">
        <v>23195</v>
      </c>
      <c r="B25208" t="str">
        <f>"18352984934"</f>
        <v>18352984934</v>
      </c>
      <c r="C25208" t="str">
        <f>"332527199803092911"</f>
        <v>332527199803092911</v>
      </c>
      <c r="D25208" t="s">
        <v>23196</v>
      </c>
      <c r="E25208" t="s">
        <v>23197</v>
      </c>
      <c r="F25208" t="s">
        <v>0</v>
      </c>
      <c r="G25208" t="str">
        <f>"2018-10-06 09:11:28"</f>
        <v>2018-10-06 09:11:28</v>
      </c>
    </row>
    <row r="25209" spans="1:7" x14ac:dyDescent="0.2">
      <c r="A25209" t="s">
        <v>23198</v>
      </c>
      <c r="B25209" t="str">
        <f>"15867676573"</f>
        <v>15867676573</v>
      </c>
      <c r="C25209" t="str">
        <f>"332624198704075448"</f>
        <v>332624198704075448</v>
      </c>
      <c r="D25209" t="s">
        <v>1</v>
      </c>
      <c r="E25209" t="s">
        <v>1</v>
      </c>
      <c r="F25209" t="s">
        <v>0</v>
      </c>
      <c r="G25209" t="str">
        <f>"2018-10-06 09:10:19"</f>
        <v>2018-10-06 09:10:19</v>
      </c>
    </row>
    <row r="25210" spans="1:7" x14ac:dyDescent="0.2">
      <c r="A25210" t="s">
        <v>23199</v>
      </c>
      <c r="B25210" t="str">
        <f>"13576686060"</f>
        <v>13576686060</v>
      </c>
      <c r="C25210" t="str">
        <f>"362101198303140038"</f>
        <v>362101198303140038</v>
      </c>
      <c r="D25210" t="s">
        <v>1</v>
      </c>
      <c r="E25210" t="s">
        <v>1</v>
      </c>
      <c r="F25210" t="s">
        <v>0</v>
      </c>
      <c r="G25210" t="str">
        <f>"2018-10-06 09:26:58"</f>
        <v>2018-10-06 09:26:58</v>
      </c>
    </row>
    <row r="25211" spans="1:7" x14ac:dyDescent="0.2">
      <c r="A25211" t="s">
        <v>23200</v>
      </c>
      <c r="B25211" t="str">
        <f>"15962556643"</f>
        <v>15962556643</v>
      </c>
      <c r="C25211" t="str">
        <f>"420621198811256835"</f>
        <v>420621198811256835</v>
      </c>
      <c r="D25211" t="s">
        <v>1</v>
      </c>
      <c r="E25211" t="s">
        <v>1</v>
      </c>
      <c r="F25211" t="s">
        <v>0</v>
      </c>
      <c r="G25211" t="str">
        <f>"2018-10-06 09:17:24"</f>
        <v>2018-10-06 09:17:24</v>
      </c>
    </row>
    <row r="25212" spans="1:7" x14ac:dyDescent="0.2">
      <c r="A25212" t="s">
        <v>1568</v>
      </c>
      <c r="B25212" t="str">
        <f>"18662363120"</f>
        <v>18662363120</v>
      </c>
      <c r="C25212" t="str">
        <f>"321088199411144893"</f>
        <v>321088199411144893</v>
      </c>
      <c r="D25212" t="s">
        <v>1</v>
      </c>
      <c r="E25212" t="s">
        <v>1</v>
      </c>
      <c r="F25212" t="s">
        <v>0</v>
      </c>
      <c r="G25212" t="str">
        <f>"2018-10-06 09:09:49"</f>
        <v>2018-10-06 09:09:49</v>
      </c>
    </row>
    <row r="25213" spans="1:7" x14ac:dyDescent="0.2">
      <c r="A25213" t="s">
        <v>1</v>
      </c>
      <c r="B25213" t="str">
        <f>"15678525771"</f>
        <v>15678525771</v>
      </c>
      <c r="C25213" t="s">
        <v>1</v>
      </c>
      <c r="D25213" t="s">
        <v>1</v>
      </c>
      <c r="E25213" t="s">
        <v>1</v>
      </c>
      <c r="F25213" t="s">
        <v>0</v>
      </c>
      <c r="G25213" t="str">
        <f>"2018-10-06 09:09:26"</f>
        <v>2018-10-06 09:09:26</v>
      </c>
    </row>
    <row r="25214" spans="1:7" x14ac:dyDescent="0.2">
      <c r="A25214" t="s">
        <v>1</v>
      </c>
      <c r="B25214" t="str">
        <f>"15685475299"</f>
        <v>15685475299</v>
      </c>
      <c r="C25214" t="s">
        <v>1</v>
      </c>
      <c r="D25214" t="s">
        <v>1</v>
      </c>
      <c r="E25214" t="s">
        <v>1</v>
      </c>
      <c r="F25214" t="s">
        <v>0</v>
      </c>
      <c r="G25214" t="str">
        <f>"2018-10-06 09:08:50"</f>
        <v>2018-10-06 09:08:50</v>
      </c>
    </row>
    <row r="25215" spans="1:7" x14ac:dyDescent="0.2">
      <c r="A25215" t="s">
        <v>1142</v>
      </c>
      <c r="B25215" t="str">
        <f>"15517630165"</f>
        <v>15517630165</v>
      </c>
      <c r="C25215" t="str">
        <f>"41282319900823685X"</f>
        <v>41282319900823685X</v>
      </c>
      <c r="D25215" t="s">
        <v>23201</v>
      </c>
      <c r="E25215" t="s">
        <v>23202</v>
      </c>
      <c r="F25215" t="s">
        <v>0</v>
      </c>
      <c r="G25215" t="str">
        <f>"2018-10-15 15:10:05"</f>
        <v>2018-10-15 15:10:05</v>
      </c>
    </row>
    <row r="25216" spans="1:7" x14ac:dyDescent="0.2">
      <c r="A25216" t="s">
        <v>1</v>
      </c>
      <c r="B25216" t="str">
        <f>"13264634222"</f>
        <v>13264634222</v>
      </c>
      <c r="C25216" t="s">
        <v>1</v>
      </c>
      <c r="D25216" t="s">
        <v>1</v>
      </c>
      <c r="E25216" t="s">
        <v>1</v>
      </c>
      <c r="F25216" t="s">
        <v>0</v>
      </c>
      <c r="G25216" t="str">
        <f>"2018-10-06 09:07:45"</f>
        <v>2018-10-06 09:07:45</v>
      </c>
    </row>
    <row r="25217" spans="1:7" x14ac:dyDescent="0.2">
      <c r="A25217" t="s">
        <v>1</v>
      </c>
      <c r="B25217" t="str">
        <f>"13293137905"</f>
        <v>13293137905</v>
      </c>
      <c r="C25217" t="s">
        <v>1</v>
      </c>
      <c r="D25217" t="s">
        <v>1</v>
      </c>
      <c r="E25217" t="s">
        <v>1</v>
      </c>
      <c r="F25217" t="s">
        <v>0</v>
      </c>
      <c r="G25217" t="str">
        <f>"2018-10-06 09:06:53"</f>
        <v>2018-10-06 09:06:53</v>
      </c>
    </row>
    <row r="25218" spans="1:7" x14ac:dyDescent="0.2">
      <c r="A25218" t="s">
        <v>1019</v>
      </c>
      <c r="B25218" t="str">
        <f>"13951125079"</f>
        <v>13951125079</v>
      </c>
      <c r="C25218" t="str">
        <f>"320525199202102233"</f>
        <v>320525199202102233</v>
      </c>
      <c r="D25218" t="s">
        <v>23203</v>
      </c>
      <c r="E25218" t="s">
        <v>23204</v>
      </c>
      <c r="F25218" t="s">
        <v>0</v>
      </c>
      <c r="G25218" t="str">
        <f>"2018-10-06 09:07:03"</f>
        <v>2018-10-06 09:07:03</v>
      </c>
    </row>
    <row r="25219" spans="1:7" x14ac:dyDescent="0.2">
      <c r="A25219" t="s">
        <v>1</v>
      </c>
      <c r="B25219" t="str">
        <f>"17635402291"</f>
        <v>17635402291</v>
      </c>
      <c r="C25219" t="s">
        <v>1</v>
      </c>
      <c r="D25219" t="s">
        <v>1</v>
      </c>
      <c r="E25219" t="s">
        <v>1</v>
      </c>
      <c r="F25219" t="s">
        <v>0</v>
      </c>
      <c r="G25219" t="str">
        <f>"2018-10-06 09:06:49"</f>
        <v>2018-10-06 09:06:49</v>
      </c>
    </row>
    <row r="25220" spans="1:7" x14ac:dyDescent="0.2">
      <c r="A25220" t="s">
        <v>23205</v>
      </c>
      <c r="B25220" t="str">
        <f>"13760923828"</f>
        <v>13760923828</v>
      </c>
      <c r="C25220" t="str">
        <f>"452501198009074715"</f>
        <v>452501198009074715</v>
      </c>
      <c r="D25220" t="s">
        <v>1</v>
      </c>
      <c r="E25220" t="s">
        <v>1</v>
      </c>
      <c r="F25220" t="s">
        <v>0</v>
      </c>
      <c r="G25220" t="str">
        <f>"2018-10-06 09:06:04"</f>
        <v>2018-10-06 09:06:04</v>
      </c>
    </row>
    <row r="25221" spans="1:7" x14ac:dyDescent="0.2">
      <c r="A25221" t="s">
        <v>1</v>
      </c>
      <c r="B25221" t="str">
        <f>"15089445791"</f>
        <v>15089445791</v>
      </c>
      <c r="C25221" t="s">
        <v>1</v>
      </c>
      <c r="D25221" t="s">
        <v>1</v>
      </c>
      <c r="E25221" t="s">
        <v>1</v>
      </c>
      <c r="F25221" t="s">
        <v>0</v>
      </c>
      <c r="G25221" t="str">
        <f>"2018-10-06 09:03:46"</f>
        <v>2018-10-06 09:03:46</v>
      </c>
    </row>
    <row r="25222" spans="1:7" x14ac:dyDescent="0.2">
      <c r="A25222" t="s">
        <v>23206</v>
      </c>
      <c r="B25222" t="str">
        <f>"17502158276"</f>
        <v>17502158276</v>
      </c>
      <c r="C25222" t="str">
        <f>"342125196711291757"</f>
        <v>342125196711291757</v>
      </c>
      <c r="D25222" t="s">
        <v>1</v>
      </c>
      <c r="E25222" t="s">
        <v>1</v>
      </c>
      <c r="F25222" t="s">
        <v>0</v>
      </c>
      <c r="G25222" t="str">
        <f>"2018-10-06 09:04:27"</f>
        <v>2018-10-06 09:04:27</v>
      </c>
    </row>
    <row r="25223" spans="1:7" x14ac:dyDescent="0.2">
      <c r="A25223" t="s">
        <v>1</v>
      </c>
      <c r="B25223" t="str">
        <f>"17586739283"</f>
        <v>17586739283</v>
      </c>
      <c r="C25223" t="s">
        <v>1</v>
      </c>
      <c r="D25223" t="s">
        <v>1</v>
      </c>
      <c r="E25223" t="s">
        <v>1</v>
      </c>
      <c r="F25223" t="s">
        <v>0</v>
      </c>
      <c r="G25223" t="str">
        <f>"2018-10-06 09:02:02"</f>
        <v>2018-10-06 09:02:02</v>
      </c>
    </row>
    <row r="25224" spans="1:7" x14ac:dyDescent="0.2">
      <c r="A25224" t="s">
        <v>23207</v>
      </c>
      <c r="B25224" t="str">
        <f>"18507630052"</f>
        <v>18507630052</v>
      </c>
      <c r="C25224" t="str">
        <f>"431122198410104023"</f>
        <v>431122198410104023</v>
      </c>
      <c r="D25224" t="s">
        <v>1</v>
      </c>
      <c r="E25224" t="s">
        <v>1</v>
      </c>
      <c r="F25224" t="s">
        <v>0</v>
      </c>
      <c r="G25224" t="str">
        <f>"2018-10-06 10:26:21"</f>
        <v>2018-10-06 10:26:21</v>
      </c>
    </row>
    <row r="25225" spans="1:7" x14ac:dyDescent="0.2">
      <c r="A25225" t="s">
        <v>23208</v>
      </c>
      <c r="B25225" t="str">
        <f>"13058555300"</f>
        <v>13058555300</v>
      </c>
      <c r="C25225" t="str">
        <f>"441827197605137930"</f>
        <v>441827197605137930</v>
      </c>
      <c r="D25225" t="s">
        <v>1</v>
      </c>
      <c r="E25225" t="s">
        <v>1</v>
      </c>
      <c r="F25225" t="s">
        <v>0</v>
      </c>
      <c r="G25225" t="str">
        <f>"2018-10-06 09:01:38"</f>
        <v>2018-10-06 09:01:38</v>
      </c>
    </row>
    <row r="25226" spans="1:7" x14ac:dyDescent="0.2">
      <c r="A25226" t="s">
        <v>23209</v>
      </c>
      <c r="B25226" t="str">
        <f>"13307448780"</f>
        <v>13307448780</v>
      </c>
      <c r="C25226" t="str">
        <f>"430822199102173598"</f>
        <v>430822199102173598</v>
      </c>
      <c r="D25226" t="s">
        <v>23210</v>
      </c>
      <c r="E25226" t="s">
        <v>23211</v>
      </c>
      <c r="F25226" t="s">
        <v>0</v>
      </c>
      <c r="G25226" t="str">
        <f>"2018-10-06 09:02:26"</f>
        <v>2018-10-06 09:02:26</v>
      </c>
    </row>
    <row r="25227" spans="1:7" x14ac:dyDescent="0.2">
      <c r="A25227" t="s">
        <v>11087</v>
      </c>
      <c r="B25227" t="str">
        <f>"18835700046"</f>
        <v>18835700046</v>
      </c>
      <c r="C25227" t="str">
        <f>"142631199702122215"</f>
        <v>142631199702122215</v>
      </c>
      <c r="D25227" t="s">
        <v>1</v>
      </c>
      <c r="E25227" t="s">
        <v>1</v>
      </c>
      <c r="F25227" t="s">
        <v>0</v>
      </c>
      <c r="G25227" t="str">
        <f>"2018-10-06 09:06:45"</f>
        <v>2018-10-06 09:06:45</v>
      </c>
    </row>
    <row r="25228" spans="1:7" x14ac:dyDescent="0.2">
      <c r="A25228" t="s">
        <v>23212</v>
      </c>
      <c r="B25228" t="str">
        <f>"13307661638"</f>
        <v>13307661638</v>
      </c>
      <c r="C25228" t="str">
        <f>"460001198308090726"</f>
        <v>460001198308090726</v>
      </c>
      <c r="D25228" t="s">
        <v>23213</v>
      </c>
      <c r="E25228" t="s">
        <v>23214</v>
      </c>
      <c r="F25228" t="s">
        <v>0</v>
      </c>
      <c r="G25228" t="str">
        <f>"2018-10-06 09:02:51"</f>
        <v>2018-10-06 09:02:51</v>
      </c>
    </row>
    <row r="25229" spans="1:7" x14ac:dyDescent="0.2">
      <c r="A25229" t="s">
        <v>157</v>
      </c>
      <c r="B25229" t="str">
        <f>"13310957535"</f>
        <v>13310957535</v>
      </c>
      <c r="C25229" t="str">
        <f>"612425199207260594"</f>
        <v>612425199207260594</v>
      </c>
      <c r="D25229" t="s">
        <v>1</v>
      </c>
      <c r="E25229" t="s">
        <v>1</v>
      </c>
      <c r="F25229" t="s">
        <v>0</v>
      </c>
      <c r="G25229" t="str">
        <f>"2018-10-06 09:01:33"</f>
        <v>2018-10-06 09:01:33</v>
      </c>
    </row>
    <row r="25230" spans="1:7" x14ac:dyDescent="0.2">
      <c r="A25230" t="s">
        <v>1</v>
      </c>
      <c r="B25230" t="str">
        <f>"17634121735"</f>
        <v>17634121735</v>
      </c>
      <c r="C25230" t="s">
        <v>1</v>
      </c>
      <c r="D25230" t="s">
        <v>1</v>
      </c>
      <c r="E25230" t="s">
        <v>1</v>
      </c>
      <c r="F25230" t="s">
        <v>0</v>
      </c>
      <c r="G25230" t="str">
        <f>"2018-10-06 09:00:09"</f>
        <v>2018-10-06 09:00:09</v>
      </c>
    </row>
    <row r="25231" spans="1:7" x14ac:dyDescent="0.2">
      <c r="A25231" t="s">
        <v>23215</v>
      </c>
      <c r="B25231" t="str">
        <f>"15674032165"</f>
        <v>15674032165</v>
      </c>
      <c r="C25231" t="str">
        <f>"431223199409034810"</f>
        <v>431223199409034810</v>
      </c>
      <c r="D25231" t="s">
        <v>1</v>
      </c>
      <c r="E25231" t="s">
        <v>1</v>
      </c>
      <c r="F25231" t="s">
        <v>0</v>
      </c>
      <c r="G25231" t="str">
        <f>"2018-10-06 09:01:18"</f>
        <v>2018-10-06 09:01:18</v>
      </c>
    </row>
    <row r="25232" spans="1:7" x14ac:dyDescent="0.2">
      <c r="A25232" t="s">
        <v>23216</v>
      </c>
      <c r="B25232" t="str">
        <f>"18360604609"</f>
        <v>18360604609</v>
      </c>
      <c r="C25232" t="str">
        <f>"320721199305044617"</f>
        <v>320721199305044617</v>
      </c>
      <c r="D25232" t="s">
        <v>23217</v>
      </c>
      <c r="E25232" t="s">
        <v>23218</v>
      </c>
      <c r="F25232" t="s">
        <v>0</v>
      </c>
      <c r="G25232" t="str">
        <f>"2018-10-25 21:52:48"</f>
        <v>2018-10-25 21:52:48</v>
      </c>
    </row>
    <row r="25233" spans="1:7" x14ac:dyDescent="0.2">
      <c r="A25233" t="s">
        <v>1</v>
      </c>
      <c r="B25233" t="str">
        <f>"17761623255"</f>
        <v>17761623255</v>
      </c>
      <c r="C25233" t="s">
        <v>1</v>
      </c>
      <c r="D25233" t="s">
        <v>1</v>
      </c>
      <c r="E25233" t="s">
        <v>1</v>
      </c>
      <c r="F25233" t="s">
        <v>0</v>
      </c>
      <c r="G25233" t="str">
        <f>"2018-10-06 08:59:43"</f>
        <v>2018-10-06 08:59:43</v>
      </c>
    </row>
    <row r="25234" spans="1:7" x14ac:dyDescent="0.2">
      <c r="A25234" t="s">
        <v>23219</v>
      </c>
      <c r="B25234" t="str">
        <f>"13617809602"</f>
        <v>13617809602</v>
      </c>
      <c r="C25234" t="str">
        <f>"450211198309240011"</f>
        <v>450211198309240011</v>
      </c>
      <c r="D25234" t="s">
        <v>23220</v>
      </c>
      <c r="E25234" t="s">
        <v>23221</v>
      </c>
      <c r="F25234" t="s">
        <v>0</v>
      </c>
      <c r="G25234" t="str">
        <f>"2018-10-06 09:35:45"</f>
        <v>2018-10-06 09:35:45</v>
      </c>
    </row>
    <row r="25235" spans="1:7" x14ac:dyDescent="0.2">
      <c r="A25235" t="s">
        <v>1</v>
      </c>
      <c r="B25235" t="str">
        <f>"13276760877"</f>
        <v>13276760877</v>
      </c>
      <c r="C25235" t="s">
        <v>1</v>
      </c>
      <c r="D25235" t="s">
        <v>1</v>
      </c>
      <c r="E25235" t="s">
        <v>1</v>
      </c>
      <c r="F25235" t="s">
        <v>0</v>
      </c>
      <c r="G25235" t="str">
        <f>"2018-10-06 09:00:23"</f>
        <v>2018-10-06 09:00:23</v>
      </c>
    </row>
    <row r="25236" spans="1:7" x14ac:dyDescent="0.2">
      <c r="A25236" t="s">
        <v>1</v>
      </c>
      <c r="B25236" t="str">
        <f>"13285137000"</f>
        <v>13285137000</v>
      </c>
      <c r="C25236" t="s">
        <v>1</v>
      </c>
      <c r="D25236" t="s">
        <v>1</v>
      </c>
      <c r="E25236" t="s">
        <v>1</v>
      </c>
      <c r="F25236" t="s">
        <v>0</v>
      </c>
      <c r="G25236" t="str">
        <f>"2018-10-06 08:58:59"</f>
        <v>2018-10-06 08:58:59</v>
      </c>
    </row>
    <row r="25237" spans="1:7" x14ac:dyDescent="0.2">
      <c r="A25237" t="s">
        <v>1</v>
      </c>
      <c r="B25237" t="str">
        <f>"18639523095"</f>
        <v>18639523095</v>
      </c>
      <c r="C25237" t="s">
        <v>1</v>
      </c>
      <c r="D25237" t="s">
        <v>1</v>
      </c>
      <c r="E25237" t="s">
        <v>1</v>
      </c>
      <c r="F25237" t="s">
        <v>0</v>
      </c>
      <c r="G25237" t="str">
        <f>"2018-10-06 08:58:44"</f>
        <v>2018-10-06 08:58:44</v>
      </c>
    </row>
    <row r="25238" spans="1:7" x14ac:dyDescent="0.2">
      <c r="A25238" t="s">
        <v>1</v>
      </c>
      <c r="B25238" t="str">
        <f>"18628100530"</f>
        <v>18628100530</v>
      </c>
      <c r="C25238" t="s">
        <v>1</v>
      </c>
      <c r="D25238" t="s">
        <v>1</v>
      </c>
      <c r="E25238" t="s">
        <v>1</v>
      </c>
      <c r="F25238" t="s">
        <v>0</v>
      </c>
      <c r="G25238" t="str">
        <f>"2018-10-06 08:58:43"</f>
        <v>2018-10-06 08:58:43</v>
      </c>
    </row>
    <row r="25239" spans="1:7" x14ac:dyDescent="0.2">
      <c r="A25239" t="s">
        <v>23222</v>
      </c>
      <c r="B25239" t="str">
        <f>"13259732281"</f>
        <v>13259732281</v>
      </c>
      <c r="C25239" t="str">
        <f>"610103199301291614"</f>
        <v>610103199301291614</v>
      </c>
      <c r="D25239" t="s">
        <v>1</v>
      </c>
      <c r="E25239" t="s">
        <v>1</v>
      </c>
      <c r="F25239" t="s">
        <v>0</v>
      </c>
      <c r="G25239" t="str">
        <f>"2018-10-06 09:28:06"</f>
        <v>2018-10-06 09:28:06</v>
      </c>
    </row>
    <row r="25240" spans="1:7" x14ac:dyDescent="0.2">
      <c r="A25240" t="s">
        <v>23223</v>
      </c>
      <c r="B25240" t="str">
        <f>"15124769991"</f>
        <v>15124769991</v>
      </c>
      <c r="C25240" t="str">
        <f>"150105198705110610"</f>
        <v>150105198705110610</v>
      </c>
      <c r="D25240" t="s">
        <v>23224</v>
      </c>
      <c r="E25240" t="s">
        <v>23225</v>
      </c>
      <c r="F25240" t="s">
        <v>0</v>
      </c>
      <c r="G25240" t="str">
        <f>"2018-10-06 12:40:33"</f>
        <v>2018-10-06 12:40:33</v>
      </c>
    </row>
    <row r="25241" spans="1:7" x14ac:dyDescent="0.2">
      <c r="A25241" t="s">
        <v>23226</v>
      </c>
      <c r="B25241" t="str">
        <f>"18919377775"</f>
        <v>18919377775</v>
      </c>
      <c r="C25241" t="str">
        <f>"622301198802167571"</f>
        <v>622301198802167571</v>
      </c>
      <c r="D25241" t="s">
        <v>1</v>
      </c>
      <c r="E25241" t="s">
        <v>1</v>
      </c>
      <c r="F25241" t="s">
        <v>0</v>
      </c>
      <c r="G25241" t="str">
        <f>"2018-10-26 10:46:58"</f>
        <v>2018-10-26 10:46:58</v>
      </c>
    </row>
    <row r="25242" spans="1:7" x14ac:dyDescent="0.2">
      <c r="A25242" t="s">
        <v>23227</v>
      </c>
      <c r="B25242" t="str">
        <f>"14777295287"</f>
        <v>14777295287</v>
      </c>
      <c r="C25242" t="str">
        <f>"610321199603262118"</f>
        <v>610321199603262118</v>
      </c>
      <c r="D25242" t="s">
        <v>1</v>
      </c>
      <c r="E25242" t="s">
        <v>1</v>
      </c>
      <c r="F25242" t="s">
        <v>0</v>
      </c>
      <c r="G25242" t="str">
        <f>"2018-10-06 08:58:47"</f>
        <v>2018-10-06 08:58:47</v>
      </c>
    </row>
    <row r="25243" spans="1:7" x14ac:dyDescent="0.2">
      <c r="A25243" t="s">
        <v>1</v>
      </c>
      <c r="B25243" t="str">
        <f>"15550466370"</f>
        <v>15550466370</v>
      </c>
      <c r="C25243" t="s">
        <v>1</v>
      </c>
      <c r="D25243" t="s">
        <v>1</v>
      </c>
      <c r="E25243" t="s">
        <v>1</v>
      </c>
      <c r="F25243" t="s">
        <v>0</v>
      </c>
      <c r="G25243" t="str">
        <f>"2018-10-06 08:57:03"</f>
        <v>2018-10-06 08:57:03</v>
      </c>
    </row>
    <row r="25244" spans="1:7" x14ac:dyDescent="0.2">
      <c r="A25244" t="s">
        <v>23228</v>
      </c>
      <c r="B25244" t="str">
        <f>"15105811997"</f>
        <v>15105811997</v>
      </c>
      <c r="C25244" t="str">
        <f>"330103197407211022"</f>
        <v>330103197407211022</v>
      </c>
      <c r="D25244" t="s">
        <v>1</v>
      </c>
      <c r="E25244" t="s">
        <v>1</v>
      </c>
      <c r="F25244" t="s">
        <v>0</v>
      </c>
      <c r="G25244" t="str">
        <f>"2018-10-06 08:58:01"</f>
        <v>2018-10-06 08:58:01</v>
      </c>
    </row>
    <row r="25245" spans="1:7" x14ac:dyDescent="0.2">
      <c r="A25245" t="s">
        <v>1</v>
      </c>
      <c r="B25245" t="str">
        <f>"13286739316"</f>
        <v>13286739316</v>
      </c>
      <c r="C25245" t="s">
        <v>1</v>
      </c>
      <c r="D25245" t="s">
        <v>1</v>
      </c>
      <c r="E25245" t="s">
        <v>1</v>
      </c>
      <c r="F25245" t="s">
        <v>0</v>
      </c>
      <c r="G25245" t="str">
        <f>"2018-10-06 08:56:57"</f>
        <v>2018-10-06 08:56:57</v>
      </c>
    </row>
    <row r="25246" spans="1:7" x14ac:dyDescent="0.2">
      <c r="A25246" t="s">
        <v>413</v>
      </c>
      <c r="B25246" t="str">
        <f>"13753631686"</f>
        <v>13753631686</v>
      </c>
      <c r="C25246" t="str">
        <f>"140581198902184842"</f>
        <v>140581198902184842</v>
      </c>
      <c r="D25246" t="s">
        <v>1</v>
      </c>
      <c r="E25246" t="s">
        <v>1</v>
      </c>
      <c r="F25246" t="s">
        <v>0</v>
      </c>
      <c r="G25246" t="str">
        <f>"2018-10-06 09:36:52"</f>
        <v>2018-10-06 09:36:52</v>
      </c>
    </row>
    <row r="25247" spans="1:7" x14ac:dyDescent="0.2">
      <c r="A25247" t="s">
        <v>1</v>
      </c>
      <c r="B25247" t="str">
        <f>"15631161475"</f>
        <v>15631161475</v>
      </c>
      <c r="C25247" t="s">
        <v>1</v>
      </c>
      <c r="D25247" t="s">
        <v>1</v>
      </c>
      <c r="E25247" t="s">
        <v>1</v>
      </c>
      <c r="F25247" t="s">
        <v>0</v>
      </c>
      <c r="G25247" t="str">
        <f>"2018-10-06 08:56:24"</f>
        <v>2018-10-06 08:56:24</v>
      </c>
    </row>
    <row r="25248" spans="1:7" x14ac:dyDescent="0.2">
      <c r="A25248" t="s">
        <v>23229</v>
      </c>
      <c r="B25248" t="str">
        <f>"18323171010"</f>
        <v>18323171010</v>
      </c>
      <c r="C25248" t="str">
        <f>"500106199204088714"</f>
        <v>500106199204088714</v>
      </c>
      <c r="D25248" t="s">
        <v>1</v>
      </c>
      <c r="E25248" t="s">
        <v>1</v>
      </c>
      <c r="F25248" t="s">
        <v>0</v>
      </c>
      <c r="G25248" t="str">
        <f>"2018-10-06 08:57:55"</f>
        <v>2018-10-06 08:57:55</v>
      </c>
    </row>
    <row r="25249" spans="1:7" x14ac:dyDescent="0.2">
      <c r="A25249" t="s">
        <v>23230</v>
      </c>
      <c r="B25249" t="str">
        <f>"18208294917"</f>
        <v>18208294917</v>
      </c>
      <c r="C25249" t="str">
        <f>"511526199002134217"</f>
        <v>511526199002134217</v>
      </c>
      <c r="D25249" t="s">
        <v>1</v>
      </c>
      <c r="E25249" t="s">
        <v>1</v>
      </c>
      <c r="F25249" t="s">
        <v>0</v>
      </c>
      <c r="G25249" t="str">
        <f>"2018-10-06 08:58:24"</f>
        <v>2018-10-06 08:58:24</v>
      </c>
    </row>
    <row r="25250" spans="1:7" x14ac:dyDescent="0.2">
      <c r="A25250" t="s">
        <v>23231</v>
      </c>
      <c r="B25250" t="str">
        <f>"13233412798"</f>
        <v>13233412798</v>
      </c>
      <c r="C25250" t="str">
        <f>"140121198902286015"</f>
        <v>140121198902286015</v>
      </c>
      <c r="D25250" t="s">
        <v>1</v>
      </c>
      <c r="E25250" t="s">
        <v>1</v>
      </c>
      <c r="F25250" t="s">
        <v>0</v>
      </c>
      <c r="G25250" t="str">
        <f>"2018-10-06 08:55:46"</f>
        <v>2018-10-06 08:55:46</v>
      </c>
    </row>
    <row r="25251" spans="1:7" x14ac:dyDescent="0.2">
      <c r="A25251" t="s">
        <v>23232</v>
      </c>
      <c r="B25251" t="str">
        <f>"15608222731"</f>
        <v>15608222731</v>
      </c>
      <c r="C25251" t="str">
        <f>"512529197809140010"</f>
        <v>512529197809140010</v>
      </c>
      <c r="D25251" t="s">
        <v>23233</v>
      </c>
      <c r="E25251" t="s">
        <v>23234</v>
      </c>
      <c r="F25251" t="s">
        <v>0</v>
      </c>
      <c r="G25251" t="str">
        <f>"2018-10-06 08:58:24"</f>
        <v>2018-10-06 08:58:24</v>
      </c>
    </row>
    <row r="25252" spans="1:7" x14ac:dyDescent="0.2">
      <c r="A25252" t="s">
        <v>23235</v>
      </c>
      <c r="B25252" t="str">
        <f>"18275447631"</f>
        <v>18275447631</v>
      </c>
      <c r="C25252" t="str">
        <f>"52210119880630441X"</f>
        <v>52210119880630441X</v>
      </c>
      <c r="D25252" t="s">
        <v>1</v>
      </c>
      <c r="E25252" t="s">
        <v>1</v>
      </c>
      <c r="F25252" t="s">
        <v>0</v>
      </c>
      <c r="G25252" t="str">
        <f>"2018-10-13 13:00:13"</f>
        <v>2018-10-13 13:00:13</v>
      </c>
    </row>
    <row r="25253" spans="1:7" x14ac:dyDescent="0.2">
      <c r="A25253" t="s">
        <v>23236</v>
      </c>
      <c r="B25253" t="str">
        <f>"13290129940"</f>
        <v>13290129940</v>
      </c>
      <c r="C25253" t="str">
        <f>"140222199506059052"</f>
        <v>140222199506059052</v>
      </c>
      <c r="D25253" t="s">
        <v>1</v>
      </c>
      <c r="E25253" t="s">
        <v>1</v>
      </c>
      <c r="F25253" t="s">
        <v>0</v>
      </c>
      <c r="G25253" t="str">
        <f>"2018-10-06 08:55:24"</f>
        <v>2018-10-06 08:55:24</v>
      </c>
    </row>
    <row r="25254" spans="1:7" x14ac:dyDescent="0.2">
      <c r="A25254" t="s">
        <v>23237</v>
      </c>
      <c r="B25254" t="str">
        <f>"15248144332"</f>
        <v>15248144332</v>
      </c>
      <c r="C25254" t="str">
        <f>"150429199105064210"</f>
        <v>150429199105064210</v>
      </c>
      <c r="D25254" t="s">
        <v>1</v>
      </c>
      <c r="E25254" t="s">
        <v>1</v>
      </c>
      <c r="F25254" t="s">
        <v>0</v>
      </c>
      <c r="G25254" t="str">
        <f>"2018-10-06 09:15:16"</f>
        <v>2018-10-06 09:15:16</v>
      </c>
    </row>
    <row r="25255" spans="1:7" x14ac:dyDescent="0.2">
      <c r="A25255" t="s">
        <v>23238</v>
      </c>
      <c r="B25255" t="str">
        <f>"13080348626"</f>
        <v>13080348626</v>
      </c>
      <c r="C25255" t="str">
        <f>"142703198212112159"</f>
        <v>142703198212112159</v>
      </c>
      <c r="D25255" t="s">
        <v>1</v>
      </c>
      <c r="E25255" t="s">
        <v>1</v>
      </c>
      <c r="F25255" t="s">
        <v>0</v>
      </c>
      <c r="G25255" t="str">
        <f>"2018-10-06 09:06:16"</f>
        <v>2018-10-06 09:06:16</v>
      </c>
    </row>
    <row r="25256" spans="1:7" x14ac:dyDescent="0.2">
      <c r="A25256" t="s">
        <v>1</v>
      </c>
      <c r="B25256" t="str">
        <f>"13151738817"</f>
        <v>13151738817</v>
      </c>
      <c r="C25256" t="s">
        <v>1</v>
      </c>
      <c r="D25256" t="s">
        <v>1</v>
      </c>
      <c r="E25256" t="s">
        <v>1</v>
      </c>
      <c r="F25256" t="s">
        <v>0</v>
      </c>
      <c r="G25256" t="str">
        <f>"2018-10-06 08:53:14"</f>
        <v>2018-10-06 08:53:14</v>
      </c>
    </row>
    <row r="25257" spans="1:7" x14ac:dyDescent="0.2">
      <c r="A25257" t="s">
        <v>23239</v>
      </c>
      <c r="B25257" t="str">
        <f>"15865638703"</f>
        <v>15865638703</v>
      </c>
      <c r="C25257" t="str">
        <f>"370830198308137217"</f>
        <v>370830198308137217</v>
      </c>
      <c r="D25257" t="s">
        <v>23240</v>
      </c>
      <c r="E25257" t="s">
        <v>23241</v>
      </c>
      <c r="F25257" t="s">
        <v>0</v>
      </c>
      <c r="G25257" t="str">
        <f>"2018-10-06 08:56:37"</f>
        <v>2018-10-06 08:56:37</v>
      </c>
    </row>
    <row r="25258" spans="1:7" x14ac:dyDescent="0.2">
      <c r="A25258" t="s">
        <v>23242</v>
      </c>
      <c r="B25258" t="str">
        <f>"15269108003"</f>
        <v>15269108003</v>
      </c>
      <c r="C25258" t="str">
        <f>"33032719760123326X"</f>
        <v>33032719760123326X</v>
      </c>
      <c r="D25258" t="s">
        <v>1</v>
      </c>
      <c r="E25258" t="s">
        <v>1</v>
      </c>
      <c r="F25258" t="s">
        <v>0</v>
      </c>
      <c r="G25258" t="str">
        <f>"2018-10-06 08:59:55"</f>
        <v>2018-10-06 08:59:55</v>
      </c>
    </row>
    <row r="25259" spans="1:7" x14ac:dyDescent="0.2">
      <c r="A25259" t="s">
        <v>1727</v>
      </c>
      <c r="B25259" t="str">
        <f>"15074787923"</f>
        <v>15074787923</v>
      </c>
      <c r="C25259" t="str">
        <f>"430421199406139446"</f>
        <v>430421199406139446</v>
      </c>
      <c r="D25259" t="s">
        <v>1</v>
      </c>
      <c r="E25259" t="s">
        <v>1</v>
      </c>
      <c r="F25259" t="s">
        <v>0</v>
      </c>
      <c r="G25259" t="str">
        <f>"2018-10-06 09:09:32"</f>
        <v>2018-10-06 09:09:32</v>
      </c>
    </row>
    <row r="25260" spans="1:7" x14ac:dyDescent="0.2">
      <c r="A25260" t="s">
        <v>23243</v>
      </c>
      <c r="B25260" t="str">
        <f>"18136690552"</f>
        <v>18136690552</v>
      </c>
      <c r="C25260" t="str">
        <f>"320923199111035193"</f>
        <v>320923199111035193</v>
      </c>
      <c r="D25260" t="s">
        <v>1</v>
      </c>
      <c r="E25260" t="s">
        <v>1</v>
      </c>
      <c r="F25260" t="s">
        <v>0</v>
      </c>
      <c r="G25260" t="str">
        <f>"2018-10-06 08:53:18"</f>
        <v>2018-10-06 08:53:18</v>
      </c>
    </row>
    <row r="25261" spans="1:7" x14ac:dyDescent="0.2">
      <c r="A25261" t="s">
        <v>58</v>
      </c>
      <c r="B25261" t="str">
        <f>"17770692922"</f>
        <v>17770692922</v>
      </c>
      <c r="C25261" t="str">
        <f>"360828200007094117"</f>
        <v>360828200007094117</v>
      </c>
      <c r="D25261" t="s">
        <v>1</v>
      </c>
      <c r="E25261" t="s">
        <v>1</v>
      </c>
      <c r="F25261" t="s">
        <v>0</v>
      </c>
      <c r="G25261" t="str">
        <f>"2018-10-06 08:52:25"</f>
        <v>2018-10-06 08:52:25</v>
      </c>
    </row>
    <row r="25262" spans="1:7" x14ac:dyDescent="0.2">
      <c r="A25262" t="s">
        <v>23244</v>
      </c>
      <c r="B25262" t="str">
        <f>"13946331538"</f>
        <v>13946331538</v>
      </c>
      <c r="C25262" t="str">
        <f>"231004199509141210"</f>
        <v>231004199509141210</v>
      </c>
      <c r="D25262" t="s">
        <v>1</v>
      </c>
      <c r="E25262" t="s">
        <v>1</v>
      </c>
      <c r="F25262" t="s">
        <v>0</v>
      </c>
      <c r="G25262" t="str">
        <f>"2018-10-06 08:49:13"</f>
        <v>2018-10-06 08:49:13</v>
      </c>
    </row>
    <row r="25263" spans="1:7" x14ac:dyDescent="0.2">
      <c r="A25263" t="s">
        <v>1</v>
      </c>
      <c r="B25263" t="str">
        <f>"13101422345"</f>
        <v>13101422345</v>
      </c>
      <c r="C25263" t="s">
        <v>1</v>
      </c>
      <c r="D25263" t="s">
        <v>1</v>
      </c>
      <c r="E25263" t="s">
        <v>1</v>
      </c>
      <c r="F25263" t="s">
        <v>0</v>
      </c>
      <c r="G25263" t="str">
        <f>"2018-10-06 08:50:39"</f>
        <v>2018-10-06 08:50:39</v>
      </c>
    </row>
    <row r="25264" spans="1:7" x14ac:dyDescent="0.2">
      <c r="A25264" t="s">
        <v>23245</v>
      </c>
      <c r="B25264" t="str">
        <f>"15267528070"</f>
        <v>15267528070</v>
      </c>
      <c r="C25264" t="str">
        <f>"330681199612284445"</f>
        <v>330681199612284445</v>
      </c>
      <c r="D25264" t="s">
        <v>1</v>
      </c>
      <c r="E25264" t="s">
        <v>1</v>
      </c>
      <c r="F25264" t="s">
        <v>0</v>
      </c>
      <c r="G25264" t="str">
        <f>"2018-10-06 09:05:32"</f>
        <v>2018-10-06 09:05:32</v>
      </c>
    </row>
    <row r="25265" spans="1:7" x14ac:dyDescent="0.2">
      <c r="A25265" t="s">
        <v>1</v>
      </c>
      <c r="B25265" t="str">
        <f>"13134610149"</f>
        <v>13134610149</v>
      </c>
      <c r="C25265" t="s">
        <v>1</v>
      </c>
      <c r="D25265" t="s">
        <v>1</v>
      </c>
      <c r="E25265" t="s">
        <v>1</v>
      </c>
      <c r="F25265" t="s">
        <v>0</v>
      </c>
      <c r="G25265" t="str">
        <f>"2018-10-06 08:48:29"</f>
        <v>2018-10-06 08:48:29</v>
      </c>
    </row>
    <row r="25266" spans="1:7" x14ac:dyDescent="0.2">
      <c r="A25266" t="s">
        <v>23246</v>
      </c>
      <c r="B25266" t="str">
        <f>"15140302876"</f>
        <v>15140302876</v>
      </c>
      <c r="C25266" t="str">
        <f>"210221199212287115"</f>
        <v>210221199212287115</v>
      </c>
      <c r="D25266" t="s">
        <v>23247</v>
      </c>
      <c r="E25266" t="s">
        <v>23248</v>
      </c>
      <c r="F25266" t="s">
        <v>0</v>
      </c>
      <c r="G25266" t="str">
        <f>"2018-10-23 12:50:58"</f>
        <v>2018-10-23 12:50:58</v>
      </c>
    </row>
    <row r="25267" spans="1:7" x14ac:dyDescent="0.2">
      <c r="A25267" t="s">
        <v>23249</v>
      </c>
      <c r="B25267" t="str">
        <f>"15188427692"</f>
        <v>15188427692</v>
      </c>
      <c r="C25267" t="str">
        <f>"411123197108244015"</f>
        <v>411123197108244015</v>
      </c>
      <c r="D25267" t="s">
        <v>1</v>
      </c>
      <c r="E25267" t="s">
        <v>1</v>
      </c>
      <c r="F25267" t="s">
        <v>0</v>
      </c>
      <c r="G25267" t="str">
        <f>"2018-10-06 08:49:57"</f>
        <v>2018-10-06 08:49:57</v>
      </c>
    </row>
    <row r="25268" spans="1:7" x14ac:dyDescent="0.2">
      <c r="A25268" t="s">
        <v>23250</v>
      </c>
      <c r="B25268" t="str">
        <f>"13554022067"</f>
        <v>13554022067</v>
      </c>
      <c r="C25268" t="str">
        <f>"420521199310171218"</f>
        <v>420521199310171218</v>
      </c>
      <c r="D25268" t="s">
        <v>23251</v>
      </c>
      <c r="E25268" t="s">
        <v>23252</v>
      </c>
      <c r="F25268" t="s">
        <v>0</v>
      </c>
      <c r="G25268" t="str">
        <f>"2018-10-06 08:49:49"</f>
        <v>2018-10-06 08:49:49</v>
      </c>
    </row>
    <row r="25269" spans="1:7" x14ac:dyDescent="0.2">
      <c r="A25269" t="s">
        <v>23253</v>
      </c>
      <c r="B25269" t="str">
        <f>"15658800299"</f>
        <v>15658800299</v>
      </c>
      <c r="C25269" t="str">
        <f>"330123197501212318"</f>
        <v>330123197501212318</v>
      </c>
      <c r="D25269" t="s">
        <v>1</v>
      </c>
      <c r="E25269" t="s">
        <v>1</v>
      </c>
      <c r="F25269" t="s">
        <v>0</v>
      </c>
      <c r="G25269" t="str">
        <f>"2018-10-06 08:49:37"</f>
        <v>2018-10-06 08:49:37</v>
      </c>
    </row>
    <row r="25270" spans="1:7" x14ac:dyDescent="0.2">
      <c r="A25270" t="s">
        <v>1</v>
      </c>
      <c r="B25270" t="str">
        <f>"13031968269"</f>
        <v>13031968269</v>
      </c>
      <c r="C25270" t="s">
        <v>1</v>
      </c>
      <c r="D25270" t="s">
        <v>1</v>
      </c>
      <c r="E25270" t="s">
        <v>1</v>
      </c>
      <c r="F25270" t="s">
        <v>0</v>
      </c>
      <c r="G25270" t="str">
        <f>"2018-10-06 08:45:49"</f>
        <v>2018-10-06 08:45:49</v>
      </c>
    </row>
    <row r="25271" spans="1:7" x14ac:dyDescent="0.2">
      <c r="A25271" t="s">
        <v>1</v>
      </c>
      <c r="B25271" t="str">
        <f>"13541293419"</f>
        <v>13541293419</v>
      </c>
      <c r="C25271" t="s">
        <v>1</v>
      </c>
      <c r="D25271" t="s">
        <v>1</v>
      </c>
      <c r="E25271" t="s">
        <v>1</v>
      </c>
      <c r="F25271" t="s">
        <v>0</v>
      </c>
      <c r="G25271" t="str">
        <f>"2018-10-06 08:45:38"</f>
        <v>2018-10-06 08:45:38</v>
      </c>
    </row>
    <row r="25272" spans="1:7" x14ac:dyDescent="0.2">
      <c r="A25272" t="s">
        <v>1</v>
      </c>
      <c r="B25272" t="str">
        <f>"18324348987"</f>
        <v>18324348987</v>
      </c>
      <c r="C25272" t="s">
        <v>1</v>
      </c>
      <c r="D25272" t="s">
        <v>1</v>
      </c>
      <c r="E25272" t="s">
        <v>1</v>
      </c>
      <c r="F25272" t="s">
        <v>0</v>
      </c>
      <c r="G25272" t="str">
        <f>"2018-10-06 08:45:35"</f>
        <v>2018-10-06 08:45:35</v>
      </c>
    </row>
    <row r="25273" spans="1:7" x14ac:dyDescent="0.2">
      <c r="A25273" t="s">
        <v>23254</v>
      </c>
      <c r="B25273" t="str">
        <f>"13222099537"</f>
        <v>13222099537</v>
      </c>
      <c r="C25273" t="str">
        <f>"142603199502278818"</f>
        <v>142603199502278818</v>
      </c>
      <c r="D25273" t="s">
        <v>1</v>
      </c>
      <c r="E25273" t="s">
        <v>1</v>
      </c>
      <c r="F25273" t="s">
        <v>0</v>
      </c>
      <c r="G25273" t="str">
        <f>"2018-10-06 08:51:19"</f>
        <v>2018-10-06 08:51:19</v>
      </c>
    </row>
    <row r="25274" spans="1:7" x14ac:dyDescent="0.2">
      <c r="A25274" t="s">
        <v>23255</v>
      </c>
      <c r="B25274" t="str">
        <f>"15858758572"</f>
        <v>15858758572</v>
      </c>
      <c r="C25274" t="str">
        <f>"330303197610260613"</f>
        <v>330303197610260613</v>
      </c>
      <c r="D25274" t="s">
        <v>1</v>
      </c>
      <c r="E25274" t="s">
        <v>1</v>
      </c>
      <c r="F25274" t="s">
        <v>0</v>
      </c>
      <c r="G25274" t="str">
        <f>"2018-10-06 08:47:48"</f>
        <v>2018-10-06 08:47:48</v>
      </c>
    </row>
    <row r="25275" spans="1:7" x14ac:dyDescent="0.2">
      <c r="A25275" t="s">
        <v>23256</v>
      </c>
      <c r="B25275" t="str">
        <f>"13030985505"</f>
        <v>13030985505</v>
      </c>
      <c r="C25275" t="str">
        <f>"350582197711235548"</f>
        <v>350582197711235548</v>
      </c>
      <c r="D25275" t="s">
        <v>1</v>
      </c>
      <c r="E25275" t="s">
        <v>1</v>
      </c>
      <c r="F25275" t="s">
        <v>0</v>
      </c>
      <c r="G25275" t="str">
        <f>"2018-10-06 08:46:28"</f>
        <v>2018-10-06 08:46:28</v>
      </c>
    </row>
    <row r="25276" spans="1:7" x14ac:dyDescent="0.2">
      <c r="A25276" t="s">
        <v>1</v>
      </c>
      <c r="B25276" t="str">
        <f>"13233599719"</f>
        <v>13233599719</v>
      </c>
      <c r="C25276" t="s">
        <v>1</v>
      </c>
      <c r="D25276" t="s">
        <v>1</v>
      </c>
      <c r="E25276" t="s">
        <v>1</v>
      </c>
      <c r="F25276" t="s">
        <v>0</v>
      </c>
      <c r="G25276" t="str">
        <f>"2018-10-06 08:44:47"</f>
        <v>2018-10-06 08:44:47</v>
      </c>
    </row>
    <row r="25277" spans="1:7" x14ac:dyDescent="0.2">
      <c r="A25277" t="s">
        <v>13562</v>
      </c>
      <c r="B25277" t="str">
        <f>"18398600007"</f>
        <v>18398600007</v>
      </c>
      <c r="C25277" t="str">
        <f>"51113219970301263X"</f>
        <v>51113219970301263X</v>
      </c>
      <c r="D25277" t="s">
        <v>1</v>
      </c>
      <c r="E25277" t="s">
        <v>1</v>
      </c>
      <c r="F25277" t="s">
        <v>0</v>
      </c>
      <c r="G25277" t="str">
        <f>"2018-10-06 08:47:05"</f>
        <v>2018-10-06 08:47:05</v>
      </c>
    </row>
    <row r="25278" spans="1:7" x14ac:dyDescent="0.2">
      <c r="A25278" t="s">
        <v>1</v>
      </c>
      <c r="B25278" t="str">
        <f>"17608388150"</f>
        <v>17608388150</v>
      </c>
      <c r="C25278" t="s">
        <v>1</v>
      </c>
      <c r="D25278" t="s">
        <v>1</v>
      </c>
      <c r="E25278" t="s">
        <v>1</v>
      </c>
      <c r="F25278" t="s">
        <v>0</v>
      </c>
      <c r="G25278" t="str">
        <f>"2018-10-06 08:44:24"</f>
        <v>2018-10-06 08:44:24</v>
      </c>
    </row>
    <row r="25279" spans="1:7" x14ac:dyDescent="0.2">
      <c r="A25279" t="s">
        <v>1</v>
      </c>
      <c r="B25279" t="str">
        <f>"13152318238"</f>
        <v>13152318238</v>
      </c>
      <c r="C25279" t="s">
        <v>1</v>
      </c>
      <c r="D25279" t="s">
        <v>1</v>
      </c>
      <c r="E25279" t="s">
        <v>1</v>
      </c>
      <c r="F25279" t="s">
        <v>0</v>
      </c>
      <c r="G25279" t="str">
        <f>"2018-10-06 08:42:29"</f>
        <v>2018-10-06 08:42:29</v>
      </c>
    </row>
    <row r="25280" spans="1:7" x14ac:dyDescent="0.2">
      <c r="A25280" t="s">
        <v>23257</v>
      </c>
      <c r="B25280" t="str">
        <f>"18399861161"</f>
        <v>18399861161</v>
      </c>
      <c r="C25280" t="str">
        <f>"652222199308060812"</f>
        <v>652222199308060812</v>
      </c>
      <c r="D25280" t="s">
        <v>1</v>
      </c>
      <c r="E25280" t="s">
        <v>1</v>
      </c>
      <c r="F25280" t="s">
        <v>0</v>
      </c>
      <c r="G25280" t="str">
        <f>"2018-10-06 08:43:32"</f>
        <v>2018-10-06 08:43:32</v>
      </c>
    </row>
    <row r="25281" spans="1:7" x14ac:dyDescent="0.2">
      <c r="A25281" t="s">
        <v>1</v>
      </c>
      <c r="B25281" t="str">
        <f>"13533884035"</f>
        <v>13533884035</v>
      </c>
      <c r="C25281" t="s">
        <v>1</v>
      </c>
      <c r="D25281" t="s">
        <v>1</v>
      </c>
      <c r="E25281" t="s">
        <v>1</v>
      </c>
      <c r="F25281" t="s">
        <v>0</v>
      </c>
      <c r="G25281" t="str">
        <f>"2018-10-06 08:41:57"</f>
        <v>2018-10-06 08:41:57</v>
      </c>
    </row>
    <row r="25282" spans="1:7" x14ac:dyDescent="0.2">
      <c r="A25282" t="s">
        <v>1</v>
      </c>
      <c r="B25282" t="str">
        <f>"15570622982"</f>
        <v>15570622982</v>
      </c>
      <c r="C25282" t="s">
        <v>1</v>
      </c>
      <c r="D25282" t="s">
        <v>1</v>
      </c>
      <c r="E25282" t="s">
        <v>1</v>
      </c>
      <c r="F25282" t="s">
        <v>0</v>
      </c>
      <c r="G25282" t="str">
        <f>"2018-10-06 08:43:48"</f>
        <v>2018-10-06 08:43:48</v>
      </c>
    </row>
    <row r="25283" spans="1:7" x14ac:dyDescent="0.2">
      <c r="A25283" t="s">
        <v>1</v>
      </c>
      <c r="B25283" t="str">
        <f>"18803431678"</f>
        <v>18803431678</v>
      </c>
      <c r="C25283" t="s">
        <v>1</v>
      </c>
      <c r="D25283" t="s">
        <v>1</v>
      </c>
      <c r="E25283" t="s">
        <v>1</v>
      </c>
      <c r="F25283" t="s">
        <v>0</v>
      </c>
      <c r="G25283" t="str">
        <f>"2018-10-06 08:41:41"</f>
        <v>2018-10-06 08:41:41</v>
      </c>
    </row>
    <row r="25284" spans="1:7" x14ac:dyDescent="0.2">
      <c r="A25284" t="s">
        <v>1</v>
      </c>
      <c r="B25284" t="str">
        <f>"13006763964"</f>
        <v>13006763964</v>
      </c>
      <c r="C25284" t="s">
        <v>1</v>
      </c>
      <c r="D25284" t="s">
        <v>1</v>
      </c>
      <c r="E25284" t="s">
        <v>1</v>
      </c>
      <c r="F25284" t="s">
        <v>0</v>
      </c>
      <c r="G25284" t="str">
        <f>"2018-10-06 08:41:30"</f>
        <v>2018-10-06 08:41:30</v>
      </c>
    </row>
    <row r="25285" spans="1:7" x14ac:dyDescent="0.2">
      <c r="A25285" t="s">
        <v>1</v>
      </c>
      <c r="B25285" t="str">
        <f>"13069208182"</f>
        <v>13069208182</v>
      </c>
      <c r="C25285" t="s">
        <v>1</v>
      </c>
      <c r="D25285" t="s">
        <v>1</v>
      </c>
      <c r="E25285" t="s">
        <v>1</v>
      </c>
      <c r="F25285" t="s">
        <v>0</v>
      </c>
      <c r="G25285" t="str">
        <f>"2018-10-06 08:41:12"</f>
        <v>2018-10-06 08:41:12</v>
      </c>
    </row>
    <row r="25286" spans="1:7" x14ac:dyDescent="0.2">
      <c r="A25286" t="s">
        <v>1</v>
      </c>
      <c r="B25286" t="str">
        <f>"18641126916"</f>
        <v>18641126916</v>
      </c>
      <c r="C25286" t="s">
        <v>1</v>
      </c>
      <c r="D25286" t="s">
        <v>1</v>
      </c>
      <c r="E25286" t="s">
        <v>1</v>
      </c>
      <c r="F25286" t="s">
        <v>0</v>
      </c>
      <c r="G25286" t="str">
        <f>"2018-10-06 08:41:08"</f>
        <v>2018-10-06 08:41:08</v>
      </c>
    </row>
    <row r="25287" spans="1:7" x14ac:dyDescent="0.2">
      <c r="A25287" t="s">
        <v>1</v>
      </c>
      <c r="B25287" t="str">
        <f>"13295006410"</f>
        <v>13295006410</v>
      </c>
      <c r="C25287" t="s">
        <v>1</v>
      </c>
      <c r="D25287" t="s">
        <v>1</v>
      </c>
      <c r="E25287" t="s">
        <v>1</v>
      </c>
      <c r="F25287" t="s">
        <v>0</v>
      </c>
      <c r="G25287" t="str">
        <f>"2018-10-06 08:42:46"</f>
        <v>2018-10-06 08:42:46</v>
      </c>
    </row>
    <row r="25288" spans="1:7" x14ac:dyDescent="0.2">
      <c r="A25288" t="s">
        <v>1</v>
      </c>
      <c r="B25288" t="str">
        <f>"13272907508"</f>
        <v>13272907508</v>
      </c>
      <c r="C25288" t="s">
        <v>1</v>
      </c>
      <c r="D25288" t="s">
        <v>1</v>
      </c>
      <c r="E25288" t="s">
        <v>1</v>
      </c>
      <c r="F25288" t="s">
        <v>0</v>
      </c>
      <c r="G25288" t="str">
        <f>"2018-10-06 08:47:06"</f>
        <v>2018-10-06 08:47:06</v>
      </c>
    </row>
    <row r="25289" spans="1:7" x14ac:dyDescent="0.2">
      <c r="A25289" t="s">
        <v>1</v>
      </c>
      <c r="B25289" t="str">
        <f>"13026805388"</f>
        <v>13026805388</v>
      </c>
      <c r="C25289" t="s">
        <v>1</v>
      </c>
      <c r="D25289" t="s">
        <v>1</v>
      </c>
      <c r="E25289" t="s">
        <v>1</v>
      </c>
      <c r="F25289" t="s">
        <v>0</v>
      </c>
      <c r="G25289" t="str">
        <f>"2018-10-06 08:38:34"</f>
        <v>2018-10-06 08:38:34</v>
      </c>
    </row>
    <row r="25290" spans="1:7" x14ac:dyDescent="0.2">
      <c r="A25290" t="s">
        <v>1</v>
      </c>
      <c r="B25290" t="str">
        <f>"13578304331"</f>
        <v>13578304331</v>
      </c>
      <c r="C25290" t="s">
        <v>1</v>
      </c>
      <c r="D25290" t="s">
        <v>1</v>
      </c>
      <c r="E25290" t="s">
        <v>1</v>
      </c>
      <c r="F25290" t="s">
        <v>0</v>
      </c>
      <c r="G25290" t="str">
        <f>"2018-10-06 08:38:02"</f>
        <v>2018-10-06 08:38:02</v>
      </c>
    </row>
    <row r="25291" spans="1:7" x14ac:dyDescent="0.2">
      <c r="A25291" t="s">
        <v>1</v>
      </c>
      <c r="B25291" t="str">
        <f>"13001345313"</f>
        <v>13001345313</v>
      </c>
      <c r="C25291" t="s">
        <v>1</v>
      </c>
      <c r="D25291" t="s">
        <v>1</v>
      </c>
      <c r="E25291" t="s">
        <v>1</v>
      </c>
      <c r="F25291" t="s">
        <v>0</v>
      </c>
      <c r="G25291" t="str">
        <f>"2018-10-06 08:37:45"</f>
        <v>2018-10-06 08:37:45</v>
      </c>
    </row>
    <row r="25292" spans="1:7" x14ac:dyDescent="0.2">
      <c r="A25292" t="s">
        <v>23258</v>
      </c>
      <c r="B25292" t="str">
        <f>"15234379764"</f>
        <v>15234379764</v>
      </c>
      <c r="C25292" t="str">
        <f>"142725199308025212"</f>
        <v>142725199308025212</v>
      </c>
      <c r="D25292" t="s">
        <v>1</v>
      </c>
      <c r="E25292" t="s">
        <v>1</v>
      </c>
      <c r="F25292" t="s">
        <v>0</v>
      </c>
      <c r="G25292" t="str">
        <f>"2018-10-06 08:46:19"</f>
        <v>2018-10-06 08:46:19</v>
      </c>
    </row>
    <row r="25293" spans="1:7" x14ac:dyDescent="0.2">
      <c r="A25293" t="s">
        <v>1</v>
      </c>
      <c r="B25293" t="str">
        <f>"13246921555"</f>
        <v>13246921555</v>
      </c>
      <c r="C25293" t="s">
        <v>1</v>
      </c>
      <c r="D25293" t="s">
        <v>1</v>
      </c>
      <c r="E25293" t="s">
        <v>1</v>
      </c>
      <c r="F25293" t="s">
        <v>0</v>
      </c>
      <c r="G25293" t="str">
        <f>"2018-10-06 08:37:26"</f>
        <v>2018-10-06 08:37:26</v>
      </c>
    </row>
    <row r="25294" spans="1:7" x14ac:dyDescent="0.2">
      <c r="A25294" t="s">
        <v>1</v>
      </c>
      <c r="B25294" t="str">
        <f>"18756099510"</f>
        <v>18756099510</v>
      </c>
      <c r="C25294" t="s">
        <v>1</v>
      </c>
      <c r="D25294" t="s">
        <v>1</v>
      </c>
      <c r="E25294" t="s">
        <v>1</v>
      </c>
      <c r="F25294" t="s">
        <v>0</v>
      </c>
      <c r="G25294" t="str">
        <f>"2018-10-06 08:46:12"</f>
        <v>2018-10-06 08:46:12</v>
      </c>
    </row>
    <row r="25295" spans="1:7" x14ac:dyDescent="0.2">
      <c r="A25295" t="s">
        <v>23259</v>
      </c>
      <c r="B25295" t="str">
        <f>"18602776232"</f>
        <v>18602776232</v>
      </c>
      <c r="C25295" t="str">
        <f>"420621197405105455"</f>
        <v>420621197405105455</v>
      </c>
      <c r="D25295" t="s">
        <v>23260</v>
      </c>
      <c r="E25295" t="s">
        <v>23260</v>
      </c>
      <c r="F25295" t="s">
        <v>0</v>
      </c>
      <c r="G25295" t="str">
        <f>"2018-10-30 12:25:10"</f>
        <v>2018-10-30 12:25:10</v>
      </c>
    </row>
    <row r="25296" spans="1:7" x14ac:dyDescent="0.2">
      <c r="A25296" t="s">
        <v>3115</v>
      </c>
      <c r="B25296" t="str">
        <f>"13211348160"</f>
        <v>13211348160</v>
      </c>
      <c r="C25296" t="str">
        <f>"45010219900331202X"</f>
        <v>45010219900331202X</v>
      </c>
      <c r="D25296" t="s">
        <v>1</v>
      </c>
      <c r="E25296" t="s">
        <v>1</v>
      </c>
      <c r="F25296" t="s">
        <v>0</v>
      </c>
      <c r="G25296" t="str">
        <f>"2018-10-06 08:38:15"</f>
        <v>2018-10-06 08:38:15</v>
      </c>
    </row>
    <row r="25297" spans="1:7" x14ac:dyDescent="0.2">
      <c r="A25297" t="s">
        <v>23261</v>
      </c>
      <c r="B25297" t="str">
        <f>"15584825112"</f>
        <v>15584825112</v>
      </c>
      <c r="C25297" t="str">
        <f>"220524198701112570"</f>
        <v>220524198701112570</v>
      </c>
      <c r="D25297" t="s">
        <v>1</v>
      </c>
      <c r="E25297" t="s">
        <v>1</v>
      </c>
      <c r="F25297" t="s">
        <v>0</v>
      </c>
      <c r="G25297" t="str">
        <f>"2018-10-06 08:39:03"</f>
        <v>2018-10-06 08:39:03</v>
      </c>
    </row>
    <row r="25298" spans="1:7" x14ac:dyDescent="0.2">
      <c r="A25298" t="s">
        <v>23262</v>
      </c>
      <c r="B25298" t="str">
        <f>"15895787531"</f>
        <v>15895787531</v>
      </c>
      <c r="C25298" t="str">
        <f>"320722199601298124"</f>
        <v>320722199601298124</v>
      </c>
      <c r="D25298" t="s">
        <v>23263</v>
      </c>
      <c r="E25298" t="s">
        <v>23264</v>
      </c>
      <c r="F25298" t="s">
        <v>0</v>
      </c>
      <c r="G25298" t="str">
        <f>"2018-10-06 08:38:41"</f>
        <v>2018-10-06 08:38:41</v>
      </c>
    </row>
    <row r="25299" spans="1:7" x14ac:dyDescent="0.2">
      <c r="A25299" t="s">
        <v>1</v>
      </c>
      <c r="B25299" t="str">
        <f>"13960107262"</f>
        <v>13960107262</v>
      </c>
      <c r="C25299" t="s">
        <v>1</v>
      </c>
      <c r="D25299" t="s">
        <v>1</v>
      </c>
      <c r="E25299" t="s">
        <v>1</v>
      </c>
      <c r="F25299" t="s">
        <v>0</v>
      </c>
      <c r="G25299" t="str">
        <f>"2018-10-06 08:36:55"</f>
        <v>2018-10-06 08:36:55</v>
      </c>
    </row>
    <row r="25300" spans="1:7" x14ac:dyDescent="0.2">
      <c r="A25300" t="s">
        <v>1</v>
      </c>
      <c r="B25300" t="str">
        <f>"13116350067"</f>
        <v>13116350067</v>
      </c>
      <c r="C25300" t="s">
        <v>1</v>
      </c>
      <c r="D25300" t="s">
        <v>1</v>
      </c>
      <c r="E25300" t="s">
        <v>1</v>
      </c>
      <c r="F25300" t="s">
        <v>0</v>
      </c>
      <c r="G25300" t="str">
        <f>"2018-10-06 08:37:44"</f>
        <v>2018-10-06 08:37:44</v>
      </c>
    </row>
    <row r="25301" spans="1:7" x14ac:dyDescent="0.2">
      <c r="A25301" t="s">
        <v>1328</v>
      </c>
      <c r="B25301" t="str">
        <f>"15231176567"</f>
        <v>15231176567</v>
      </c>
      <c r="C25301" t="str">
        <f>"132301197408014111"</f>
        <v>132301197408014111</v>
      </c>
      <c r="D25301" t="s">
        <v>1</v>
      </c>
      <c r="E25301" t="s">
        <v>1</v>
      </c>
      <c r="F25301" t="s">
        <v>0</v>
      </c>
      <c r="G25301" t="str">
        <f>"2018-10-06 08:38:34"</f>
        <v>2018-10-06 08:38:34</v>
      </c>
    </row>
    <row r="25302" spans="1:7" x14ac:dyDescent="0.2">
      <c r="A25302" t="s">
        <v>23265</v>
      </c>
      <c r="B25302" t="str">
        <f>"13065115563"</f>
        <v>13065115563</v>
      </c>
      <c r="C25302" t="str">
        <f>"360104197406301511"</f>
        <v>360104197406301511</v>
      </c>
      <c r="D25302" t="s">
        <v>23266</v>
      </c>
      <c r="E25302" t="s">
        <v>23267</v>
      </c>
      <c r="F25302" t="s">
        <v>0</v>
      </c>
      <c r="G25302" t="str">
        <f>"2018-10-06 08:38:38"</f>
        <v>2018-10-06 08:38:38</v>
      </c>
    </row>
    <row r="25303" spans="1:7" x14ac:dyDescent="0.2">
      <c r="A25303" t="s">
        <v>3806</v>
      </c>
      <c r="B25303" t="str">
        <f>"13275722602"</f>
        <v>13275722602</v>
      </c>
      <c r="C25303" t="str">
        <f>"340824199104084012"</f>
        <v>340824199104084012</v>
      </c>
      <c r="D25303" t="s">
        <v>23268</v>
      </c>
      <c r="E25303" t="s">
        <v>23269</v>
      </c>
      <c r="F25303" t="s">
        <v>0</v>
      </c>
      <c r="G25303" t="str">
        <f>"2018-10-26 16:38:50"</f>
        <v>2018-10-26 16:38:50</v>
      </c>
    </row>
    <row r="25304" spans="1:7" x14ac:dyDescent="0.2">
      <c r="A25304" t="s">
        <v>23270</v>
      </c>
      <c r="B25304" t="str">
        <f>"13908723247"</f>
        <v>13908723247</v>
      </c>
      <c r="C25304" t="str">
        <f>"532927199510280934"</f>
        <v>532927199510280934</v>
      </c>
      <c r="D25304" t="s">
        <v>1</v>
      </c>
      <c r="E25304" t="s">
        <v>1</v>
      </c>
      <c r="F25304" t="s">
        <v>0</v>
      </c>
      <c r="G25304" t="str">
        <f>"2018-10-06 08:40:09"</f>
        <v>2018-10-06 08:40:09</v>
      </c>
    </row>
    <row r="25305" spans="1:7" x14ac:dyDescent="0.2">
      <c r="A25305" t="s">
        <v>23271</v>
      </c>
      <c r="B25305" t="str">
        <f>"18754252075"</f>
        <v>18754252075</v>
      </c>
      <c r="C25305" t="str">
        <f>"37292619860912819X"</f>
        <v>37292619860912819X</v>
      </c>
      <c r="D25305" t="s">
        <v>1</v>
      </c>
      <c r="E25305" t="s">
        <v>1</v>
      </c>
      <c r="F25305" t="s">
        <v>0</v>
      </c>
      <c r="G25305" t="str">
        <f>"2018-10-18 15:19:22"</f>
        <v>2018-10-18 15:19:22</v>
      </c>
    </row>
    <row r="25306" spans="1:7" x14ac:dyDescent="0.2">
      <c r="A25306" t="s">
        <v>23272</v>
      </c>
      <c r="B25306" t="str">
        <f>"15876640632"</f>
        <v>15876640632</v>
      </c>
      <c r="C25306" t="str">
        <f>"431021198909283022"</f>
        <v>431021198909283022</v>
      </c>
      <c r="D25306" t="s">
        <v>23273</v>
      </c>
      <c r="E25306" t="s">
        <v>23274</v>
      </c>
      <c r="F25306" t="s">
        <v>0</v>
      </c>
      <c r="G25306" t="str">
        <f>"2018-10-06 08:37:06"</f>
        <v>2018-10-06 08:37:06</v>
      </c>
    </row>
    <row r="25307" spans="1:7" x14ac:dyDescent="0.2">
      <c r="A25307" t="s">
        <v>987</v>
      </c>
      <c r="B25307" t="str">
        <f>"13178274283"</f>
        <v>13178274283</v>
      </c>
      <c r="C25307" t="str">
        <f>"421023199507110431"</f>
        <v>421023199507110431</v>
      </c>
      <c r="D25307" t="s">
        <v>1</v>
      </c>
      <c r="E25307" t="s">
        <v>1</v>
      </c>
      <c r="F25307" t="s">
        <v>0</v>
      </c>
      <c r="G25307" t="str">
        <f>"2018-10-06 08:38:45"</f>
        <v>2018-10-06 08:38:45</v>
      </c>
    </row>
    <row r="25308" spans="1:7" x14ac:dyDescent="0.2">
      <c r="A25308" t="s">
        <v>23275</v>
      </c>
      <c r="B25308" t="str">
        <f>"13066631680"</f>
        <v>13066631680</v>
      </c>
      <c r="C25308" t="str">
        <f>"210105197409303727"</f>
        <v>210105197409303727</v>
      </c>
      <c r="D25308" t="s">
        <v>1</v>
      </c>
      <c r="E25308" t="s">
        <v>1</v>
      </c>
      <c r="F25308" t="s">
        <v>0</v>
      </c>
      <c r="G25308" t="str">
        <f>"2018-10-06 08:39:38"</f>
        <v>2018-10-06 08:39:38</v>
      </c>
    </row>
    <row r="25309" spans="1:7" x14ac:dyDescent="0.2">
      <c r="A25309" t="s">
        <v>23276</v>
      </c>
      <c r="B25309" t="str">
        <f>"13033065522"</f>
        <v>13033065522</v>
      </c>
      <c r="C25309" t="str">
        <f>"340402198301160630"</f>
        <v>340402198301160630</v>
      </c>
      <c r="D25309" t="s">
        <v>23277</v>
      </c>
      <c r="E25309" t="s">
        <v>23278</v>
      </c>
      <c r="F25309" t="s">
        <v>0</v>
      </c>
      <c r="G25309" t="str">
        <f>"2018-10-06 08:37:29"</f>
        <v>2018-10-06 08:37:29</v>
      </c>
    </row>
    <row r="25310" spans="1:7" x14ac:dyDescent="0.2">
      <c r="A25310" t="s">
        <v>215</v>
      </c>
      <c r="B25310" t="str">
        <f>"13289285000"</f>
        <v>13289285000</v>
      </c>
      <c r="C25310" t="str">
        <f>"610113198503272110"</f>
        <v>610113198503272110</v>
      </c>
      <c r="D25310" t="s">
        <v>23279</v>
      </c>
      <c r="E25310" t="s">
        <v>23280</v>
      </c>
      <c r="F25310" t="s">
        <v>0</v>
      </c>
      <c r="G25310" t="str">
        <f>"2018-10-06 15:39:07"</f>
        <v>2018-10-06 15:39:07</v>
      </c>
    </row>
    <row r="25311" spans="1:7" x14ac:dyDescent="0.2">
      <c r="A25311" t="s">
        <v>1</v>
      </c>
      <c r="B25311" t="str">
        <f>"13288463891"</f>
        <v>13288463891</v>
      </c>
      <c r="C25311" t="s">
        <v>1</v>
      </c>
      <c r="D25311" t="s">
        <v>1</v>
      </c>
      <c r="E25311" t="s">
        <v>1</v>
      </c>
      <c r="F25311" t="s">
        <v>0</v>
      </c>
      <c r="G25311" t="str">
        <f>"2018-10-06 08:35:04"</f>
        <v>2018-10-06 08:35:04</v>
      </c>
    </row>
    <row r="25312" spans="1:7" x14ac:dyDescent="0.2">
      <c r="A25312" t="s">
        <v>23281</v>
      </c>
      <c r="B25312" t="str">
        <f>"18627767032"</f>
        <v>18627767032</v>
      </c>
      <c r="C25312" t="str">
        <f>"420111198207226330"</f>
        <v>420111198207226330</v>
      </c>
      <c r="D25312" t="s">
        <v>1</v>
      </c>
      <c r="E25312" t="s">
        <v>1</v>
      </c>
      <c r="F25312" t="s">
        <v>0</v>
      </c>
      <c r="G25312" t="str">
        <f>"2018-10-06 08:46:29"</f>
        <v>2018-10-06 08:46:29</v>
      </c>
    </row>
    <row r="25313" spans="1:7" x14ac:dyDescent="0.2">
      <c r="A25313" t="s">
        <v>1</v>
      </c>
      <c r="B25313" t="str">
        <f>"13162633129"</f>
        <v>13162633129</v>
      </c>
      <c r="C25313" t="s">
        <v>1</v>
      </c>
      <c r="D25313" t="s">
        <v>1</v>
      </c>
      <c r="E25313" t="s">
        <v>1</v>
      </c>
      <c r="F25313" t="s">
        <v>0</v>
      </c>
      <c r="G25313" t="str">
        <f>"2018-10-06 08:36:02"</f>
        <v>2018-10-06 08:36:02</v>
      </c>
    </row>
    <row r="25314" spans="1:7" x14ac:dyDescent="0.2">
      <c r="A25314" t="s">
        <v>23282</v>
      </c>
      <c r="B25314" t="str">
        <f>"18672178889"</f>
        <v>18672178889</v>
      </c>
      <c r="C25314" t="str">
        <f>"420881199003126217"</f>
        <v>420881199003126217</v>
      </c>
      <c r="D25314" t="s">
        <v>23283</v>
      </c>
      <c r="E25314" t="s">
        <v>23284</v>
      </c>
      <c r="F25314" t="s">
        <v>0</v>
      </c>
      <c r="G25314" t="str">
        <f>"2018-10-06 08:35:44"</f>
        <v>2018-10-06 08:35:44</v>
      </c>
    </row>
    <row r="25315" spans="1:7" x14ac:dyDescent="0.2">
      <c r="A25315" t="s">
        <v>23285</v>
      </c>
      <c r="B25315" t="str">
        <f>"13101402571"</f>
        <v>13101402571</v>
      </c>
      <c r="C25315" t="str">
        <f>"350182199711063333"</f>
        <v>350182199711063333</v>
      </c>
      <c r="D25315" t="s">
        <v>23286</v>
      </c>
      <c r="E25315" t="s">
        <v>23287</v>
      </c>
      <c r="F25315" t="s">
        <v>0</v>
      </c>
      <c r="G25315" t="str">
        <f>"2018-10-06 08:36:20"</f>
        <v>2018-10-06 08:36:20</v>
      </c>
    </row>
    <row r="25316" spans="1:7" x14ac:dyDescent="0.2">
      <c r="A25316" t="s">
        <v>1</v>
      </c>
      <c r="B25316" t="str">
        <f>"13211196392"</f>
        <v>13211196392</v>
      </c>
      <c r="C25316" t="s">
        <v>1</v>
      </c>
      <c r="D25316" t="s">
        <v>1</v>
      </c>
      <c r="E25316" t="s">
        <v>1</v>
      </c>
      <c r="F25316" t="s">
        <v>0</v>
      </c>
      <c r="G25316" t="str">
        <f>"2018-10-06 08:34:45"</f>
        <v>2018-10-06 08:34:45</v>
      </c>
    </row>
    <row r="25317" spans="1:7" x14ac:dyDescent="0.2">
      <c r="A25317" t="s">
        <v>1</v>
      </c>
      <c r="B25317" t="str">
        <f>"13137150707"</f>
        <v>13137150707</v>
      </c>
      <c r="C25317" t="s">
        <v>1</v>
      </c>
      <c r="D25317" t="s">
        <v>1</v>
      </c>
      <c r="E25317" t="s">
        <v>1</v>
      </c>
      <c r="F25317" t="s">
        <v>0</v>
      </c>
      <c r="G25317" t="str">
        <f>"2018-10-06 08:34:45"</f>
        <v>2018-10-06 08:34:45</v>
      </c>
    </row>
    <row r="25318" spans="1:7" x14ac:dyDescent="0.2">
      <c r="A25318" t="s">
        <v>23288</v>
      </c>
      <c r="B25318" t="str">
        <f>"13229576980"</f>
        <v>13229576980</v>
      </c>
      <c r="C25318" t="str">
        <f>"230105199205081918"</f>
        <v>230105199205081918</v>
      </c>
      <c r="D25318" t="s">
        <v>1</v>
      </c>
      <c r="E25318" t="s">
        <v>1</v>
      </c>
      <c r="F25318" t="s">
        <v>0</v>
      </c>
      <c r="G25318" t="str">
        <f>"2018-10-06 08:35:34"</f>
        <v>2018-10-06 08:35:34</v>
      </c>
    </row>
    <row r="25319" spans="1:7" x14ac:dyDescent="0.2">
      <c r="A25319" t="s">
        <v>23289</v>
      </c>
      <c r="B25319" t="str">
        <f>"13236656722"</f>
        <v>13236656722</v>
      </c>
      <c r="C25319" t="str">
        <f>"210113197407310560"</f>
        <v>210113197407310560</v>
      </c>
      <c r="D25319" t="s">
        <v>1</v>
      </c>
      <c r="E25319" t="s">
        <v>1</v>
      </c>
      <c r="F25319" t="s">
        <v>0</v>
      </c>
      <c r="G25319" t="str">
        <f>"2018-10-06 08:35:46"</f>
        <v>2018-10-06 08:35:46</v>
      </c>
    </row>
    <row r="25320" spans="1:7" x14ac:dyDescent="0.2">
      <c r="A25320" t="s">
        <v>23290</v>
      </c>
      <c r="B25320" t="str">
        <f>"13110592133"</f>
        <v>13110592133</v>
      </c>
      <c r="C25320" t="str">
        <f>"23081119940618111X"</f>
        <v>23081119940618111X</v>
      </c>
      <c r="D25320" t="s">
        <v>1</v>
      </c>
      <c r="E25320" t="s">
        <v>1</v>
      </c>
      <c r="F25320" t="s">
        <v>0</v>
      </c>
      <c r="G25320" t="str">
        <f>"2018-10-06 08:36:12"</f>
        <v>2018-10-06 08:36:12</v>
      </c>
    </row>
    <row r="25321" spans="1:7" x14ac:dyDescent="0.2">
      <c r="A25321" t="s">
        <v>1</v>
      </c>
      <c r="B25321" t="str">
        <f>"13217980060"</f>
        <v>13217980060</v>
      </c>
      <c r="C25321" t="s">
        <v>1</v>
      </c>
      <c r="D25321" t="s">
        <v>1</v>
      </c>
      <c r="E25321" t="s">
        <v>1</v>
      </c>
      <c r="F25321" t="s">
        <v>0</v>
      </c>
      <c r="G25321" t="str">
        <f>"2018-10-06 08:34:02"</f>
        <v>2018-10-06 08:34:02</v>
      </c>
    </row>
    <row r="25322" spans="1:7" x14ac:dyDescent="0.2">
      <c r="A25322" t="s">
        <v>23291</v>
      </c>
      <c r="B25322" t="str">
        <f>"15801757779"</f>
        <v>15801757779</v>
      </c>
      <c r="C25322" t="str">
        <f>"320381199301059453"</f>
        <v>320381199301059453</v>
      </c>
      <c r="D25322" t="s">
        <v>1</v>
      </c>
      <c r="E25322" t="s">
        <v>1</v>
      </c>
      <c r="F25322" t="s">
        <v>0</v>
      </c>
      <c r="G25322" t="str">
        <f>"2018-10-06 08:36:16"</f>
        <v>2018-10-06 08:36:16</v>
      </c>
    </row>
    <row r="25323" spans="1:7" x14ac:dyDescent="0.2">
      <c r="A25323" t="s">
        <v>1</v>
      </c>
      <c r="B25323" t="str">
        <f>"13488196066"</f>
        <v>13488196066</v>
      </c>
      <c r="C25323" t="s">
        <v>1</v>
      </c>
      <c r="D25323" t="s">
        <v>1</v>
      </c>
      <c r="E25323" t="s">
        <v>1</v>
      </c>
      <c r="F25323" t="s">
        <v>0</v>
      </c>
      <c r="G25323" t="str">
        <f>"2018-10-06 08:32:35"</f>
        <v>2018-10-06 08:32:35</v>
      </c>
    </row>
    <row r="25324" spans="1:7" x14ac:dyDescent="0.2">
      <c r="A25324" t="s">
        <v>23292</v>
      </c>
      <c r="B25324" t="str">
        <f>"17395198837"</f>
        <v>17395198837</v>
      </c>
      <c r="C25324" t="str">
        <f>"642221198608182093"</f>
        <v>642221198608182093</v>
      </c>
      <c r="D25324" t="s">
        <v>1</v>
      </c>
      <c r="E25324" t="s">
        <v>1</v>
      </c>
      <c r="F25324" t="s">
        <v>0</v>
      </c>
      <c r="G25324" t="str">
        <f>"2018-10-06 08:33:33"</f>
        <v>2018-10-06 08:33:33</v>
      </c>
    </row>
    <row r="25325" spans="1:7" x14ac:dyDescent="0.2">
      <c r="A25325" t="s">
        <v>1781</v>
      </c>
      <c r="B25325" t="str">
        <f>"15537212987"</f>
        <v>15537212987</v>
      </c>
      <c r="C25325" t="str">
        <f>"410521198910138079"</f>
        <v>410521198910138079</v>
      </c>
      <c r="D25325" t="s">
        <v>23293</v>
      </c>
      <c r="E25325" t="s">
        <v>23294</v>
      </c>
      <c r="F25325" t="s">
        <v>0</v>
      </c>
      <c r="G25325" t="str">
        <f>"2018-10-06 08:32:15"</f>
        <v>2018-10-06 08:32:15</v>
      </c>
    </row>
    <row r="25326" spans="1:7" x14ac:dyDescent="0.2">
      <c r="A25326" t="s">
        <v>1</v>
      </c>
      <c r="B25326" t="str">
        <f>"15526088589"</f>
        <v>15526088589</v>
      </c>
      <c r="C25326" t="s">
        <v>1</v>
      </c>
      <c r="D25326" t="s">
        <v>1</v>
      </c>
      <c r="E25326" t="s">
        <v>1</v>
      </c>
      <c r="F25326" t="s">
        <v>0</v>
      </c>
      <c r="G25326" t="str">
        <f>"2018-10-06 08:29:51"</f>
        <v>2018-10-06 08:29:51</v>
      </c>
    </row>
    <row r="25327" spans="1:7" x14ac:dyDescent="0.2">
      <c r="A25327" t="s">
        <v>23295</v>
      </c>
      <c r="B25327" t="str">
        <f>"15189722661"</f>
        <v>15189722661</v>
      </c>
      <c r="C25327" t="str">
        <f>"321281199410235853"</f>
        <v>321281199410235853</v>
      </c>
      <c r="D25327" t="s">
        <v>1</v>
      </c>
      <c r="E25327" t="s">
        <v>1</v>
      </c>
      <c r="F25327" t="s">
        <v>0</v>
      </c>
      <c r="G25327" t="str">
        <f>"2018-10-06 08:40:11"</f>
        <v>2018-10-06 08:40:11</v>
      </c>
    </row>
    <row r="25328" spans="1:7" x14ac:dyDescent="0.2">
      <c r="A25328" t="s">
        <v>1</v>
      </c>
      <c r="B25328" t="str">
        <f>"13013031296"</f>
        <v>13013031296</v>
      </c>
      <c r="C25328" t="s">
        <v>1</v>
      </c>
      <c r="D25328" t="s">
        <v>1</v>
      </c>
      <c r="E25328" t="s">
        <v>1</v>
      </c>
      <c r="F25328" t="s">
        <v>0</v>
      </c>
      <c r="G25328" t="str">
        <f>"2018-10-06 08:31:07"</f>
        <v>2018-10-06 08:31:07</v>
      </c>
    </row>
    <row r="25329" spans="1:7" x14ac:dyDescent="0.2">
      <c r="A25329" t="s">
        <v>23296</v>
      </c>
      <c r="B25329" t="str">
        <f>"15525700061"</f>
        <v>15525700061</v>
      </c>
      <c r="C25329" t="str">
        <f>"142726196204222177"</f>
        <v>142726196204222177</v>
      </c>
      <c r="D25329" t="s">
        <v>1</v>
      </c>
      <c r="E25329" t="s">
        <v>1</v>
      </c>
      <c r="F25329" t="s">
        <v>0</v>
      </c>
      <c r="G25329" t="str">
        <f>"2018-10-06 09:05:23"</f>
        <v>2018-10-06 09:05:23</v>
      </c>
    </row>
    <row r="25330" spans="1:7" x14ac:dyDescent="0.2">
      <c r="A25330" t="s">
        <v>1</v>
      </c>
      <c r="B25330" t="str">
        <f>"15516909835"</f>
        <v>15516909835</v>
      </c>
      <c r="C25330" t="s">
        <v>1</v>
      </c>
      <c r="D25330" t="s">
        <v>1</v>
      </c>
      <c r="E25330" t="s">
        <v>1</v>
      </c>
      <c r="F25330" t="s">
        <v>0</v>
      </c>
      <c r="G25330" t="str">
        <f>"2018-10-06 08:27:03"</f>
        <v>2018-10-06 08:27:03</v>
      </c>
    </row>
    <row r="25331" spans="1:7" x14ac:dyDescent="0.2">
      <c r="A25331" t="s">
        <v>1</v>
      </c>
      <c r="B25331" t="str">
        <f>"15030875973"</f>
        <v>15030875973</v>
      </c>
      <c r="C25331" t="s">
        <v>1</v>
      </c>
      <c r="D25331" t="s">
        <v>1</v>
      </c>
      <c r="E25331" t="s">
        <v>1</v>
      </c>
      <c r="F25331" t="s">
        <v>0</v>
      </c>
      <c r="G25331" t="str">
        <f>"2018-10-06 08:25:47"</f>
        <v>2018-10-06 08:25:47</v>
      </c>
    </row>
    <row r="25332" spans="1:7" x14ac:dyDescent="0.2">
      <c r="A25332" t="s">
        <v>23297</v>
      </c>
      <c r="B25332" t="str">
        <f>"18825124183"</f>
        <v>18825124183</v>
      </c>
      <c r="C25332" t="str">
        <f>"441284199207176014"</f>
        <v>441284199207176014</v>
      </c>
      <c r="D25332" t="s">
        <v>1</v>
      </c>
      <c r="E25332" t="s">
        <v>1</v>
      </c>
      <c r="F25332" t="s">
        <v>0</v>
      </c>
      <c r="G25332" t="str">
        <f>"2018-10-06 08:35:37"</f>
        <v>2018-10-06 08:35:37</v>
      </c>
    </row>
    <row r="25333" spans="1:7" x14ac:dyDescent="0.2">
      <c r="A25333" t="s">
        <v>1</v>
      </c>
      <c r="B25333" t="str">
        <f>"13222113663"</f>
        <v>13222113663</v>
      </c>
      <c r="C25333" t="s">
        <v>1</v>
      </c>
      <c r="D25333" t="s">
        <v>1</v>
      </c>
      <c r="E25333" t="s">
        <v>1</v>
      </c>
      <c r="F25333" t="s">
        <v>0</v>
      </c>
      <c r="G25333" t="str">
        <f>"2018-10-06 08:24:58"</f>
        <v>2018-10-06 08:24:58</v>
      </c>
    </row>
    <row r="25334" spans="1:7" x14ac:dyDescent="0.2">
      <c r="A25334" t="s">
        <v>1</v>
      </c>
      <c r="B25334" t="str">
        <f>"18722475249"</f>
        <v>18722475249</v>
      </c>
      <c r="C25334" t="s">
        <v>1</v>
      </c>
      <c r="D25334" t="s">
        <v>1</v>
      </c>
      <c r="E25334" t="s">
        <v>1</v>
      </c>
      <c r="F25334" t="s">
        <v>0</v>
      </c>
      <c r="G25334" t="str">
        <f>"2018-10-06 08:24:52"</f>
        <v>2018-10-06 08:24:52</v>
      </c>
    </row>
    <row r="25335" spans="1:7" x14ac:dyDescent="0.2">
      <c r="A25335" t="s">
        <v>23298</v>
      </c>
      <c r="B25335" t="str">
        <f>"13171512288"</f>
        <v>13171512288</v>
      </c>
      <c r="C25335" t="str">
        <f>"130202199705060614"</f>
        <v>130202199705060614</v>
      </c>
      <c r="D25335" t="s">
        <v>1</v>
      </c>
      <c r="E25335" t="s">
        <v>1</v>
      </c>
      <c r="F25335" t="s">
        <v>0</v>
      </c>
      <c r="G25335" t="str">
        <f>"2018-10-06 08:27:06"</f>
        <v>2018-10-06 08:27:06</v>
      </c>
    </row>
    <row r="25336" spans="1:7" x14ac:dyDescent="0.2">
      <c r="A25336" t="s">
        <v>23299</v>
      </c>
      <c r="B25336" t="str">
        <f>"15062218417"</f>
        <v>15062218417</v>
      </c>
      <c r="C25336" t="str">
        <f>"320925199507142027"</f>
        <v>320925199507142027</v>
      </c>
      <c r="D25336" t="s">
        <v>23300</v>
      </c>
      <c r="E25336" t="s">
        <v>23301</v>
      </c>
      <c r="F25336" t="s">
        <v>0</v>
      </c>
      <c r="G25336" t="str">
        <f>"2018-10-06 08:30:54"</f>
        <v>2018-10-06 08:30:54</v>
      </c>
    </row>
    <row r="25337" spans="1:7" x14ac:dyDescent="0.2">
      <c r="A25337" t="s">
        <v>23302</v>
      </c>
      <c r="B25337" t="str">
        <f>"15605518169"</f>
        <v>15605518169</v>
      </c>
      <c r="C25337" t="str">
        <f>"340123199101275273"</f>
        <v>340123199101275273</v>
      </c>
      <c r="D25337" t="s">
        <v>1</v>
      </c>
      <c r="E25337" t="s">
        <v>1</v>
      </c>
      <c r="F25337" t="s">
        <v>0</v>
      </c>
      <c r="G25337" t="str">
        <f>"2018-10-06 09:56:50"</f>
        <v>2018-10-06 09:56:50</v>
      </c>
    </row>
    <row r="25338" spans="1:7" x14ac:dyDescent="0.2">
      <c r="A25338" t="s">
        <v>23303</v>
      </c>
      <c r="B25338" t="str">
        <f>"15837011652"</f>
        <v>15837011652</v>
      </c>
      <c r="C25338" t="str">
        <f>"411403198205169315"</f>
        <v>411403198205169315</v>
      </c>
      <c r="D25338" t="s">
        <v>23304</v>
      </c>
      <c r="E25338" t="s">
        <v>23305</v>
      </c>
      <c r="F25338" t="s">
        <v>0</v>
      </c>
      <c r="G25338" t="str">
        <f>"2018-10-06 08:36:01"</f>
        <v>2018-10-06 08:36:01</v>
      </c>
    </row>
    <row r="25339" spans="1:7" x14ac:dyDescent="0.2">
      <c r="A25339" t="s">
        <v>23306</v>
      </c>
      <c r="B25339" t="str">
        <f>"15069966213"</f>
        <v>15069966213</v>
      </c>
      <c r="C25339" t="str">
        <f>"371329198912275446"</f>
        <v>371329198912275446</v>
      </c>
      <c r="D25339" t="s">
        <v>1</v>
      </c>
      <c r="E25339" t="s">
        <v>1</v>
      </c>
      <c r="F25339" t="s">
        <v>0</v>
      </c>
      <c r="G25339" t="str">
        <f>"2018-10-06 08:24:48"</f>
        <v>2018-10-06 08:24:48</v>
      </c>
    </row>
    <row r="25340" spans="1:7" x14ac:dyDescent="0.2">
      <c r="A25340" t="s">
        <v>64</v>
      </c>
      <c r="B25340" t="str">
        <f>"15926040154"</f>
        <v>15926040154</v>
      </c>
      <c r="C25340" t="str">
        <f>"429004198405160319"</f>
        <v>429004198405160319</v>
      </c>
      <c r="D25340" t="s">
        <v>1</v>
      </c>
      <c r="E25340" t="s">
        <v>1</v>
      </c>
      <c r="F25340" t="s">
        <v>0</v>
      </c>
      <c r="G25340" t="str">
        <f>"2018-10-06 09:02:32"</f>
        <v>2018-10-06 09:02:32</v>
      </c>
    </row>
    <row r="25341" spans="1:7" x14ac:dyDescent="0.2">
      <c r="A25341" t="s">
        <v>23307</v>
      </c>
      <c r="B25341" t="str">
        <f>"15205490682"</f>
        <v>15205490682</v>
      </c>
      <c r="C25341" t="str">
        <f>"371322199012158324"</f>
        <v>371322199012158324</v>
      </c>
      <c r="D25341" t="s">
        <v>1</v>
      </c>
      <c r="E25341" t="s">
        <v>1</v>
      </c>
      <c r="F25341" t="s">
        <v>0</v>
      </c>
      <c r="G25341" t="str">
        <f>"2018-10-10 11:13:28"</f>
        <v>2018-10-10 11:13:28</v>
      </c>
    </row>
    <row r="25342" spans="1:7" x14ac:dyDescent="0.2">
      <c r="A25342" t="s">
        <v>23308</v>
      </c>
      <c r="B25342" t="str">
        <f>"13597683973"</f>
        <v>13597683973</v>
      </c>
      <c r="C25342" t="str">
        <f>"420281198606161241"</f>
        <v>420281198606161241</v>
      </c>
      <c r="D25342" t="s">
        <v>23309</v>
      </c>
      <c r="E25342" t="s">
        <v>23310</v>
      </c>
      <c r="F25342" t="s">
        <v>0</v>
      </c>
      <c r="G25342" t="str">
        <f>"2018-10-14 07:38:06"</f>
        <v>2018-10-14 07:38:06</v>
      </c>
    </row>
    <row r="25343" spans="1:7" x14ac:dyDescent="0.2">
      <c r="A25343" t="s">
        <v>23311</v>
      </c>
      <c r="B25343" t="str">
        <f>"15882664646"</f>
        <v>15882664646</v>
      </c>
      <c r="C25343" t="str">
        <f>"511304198807067011"</f>
        <v>511304198807067011</v>
      </c>
      <c r="D25343" t="s">
        <v>1</v>
      </c>
      <c r="E25343" t="s">
        <v>1</v>
      </c>
      <c r="F25343" t="s">
        <v>0</v>
      </c>
      <c r="G25343" t="str">
        <f>"2018-10-06 13:51:46"</f>
        <v>2018-10-06 13:51:46</v>
      </c>
    </row>
    <row r="25344" spans="1:7" x14ac:dyDescent="0.2">
      <c r="A25344" t="s">
        <v>1</v>
      </c>
      <c r="B25344" t="str">
        <f>"13536353817"</f>
        <v>13536353817</v>
      </c>
      <c r="C25344" t="s">
        <v>1</v>
      </c>
      <c r="D25344" t="s">
        <v>1</v>
      </c>
      <c r="E25344" t="s">
        <v>1</v>
      </c>
      <c r="F25344" t="s">
        <v>0</v>
      </c>
      <c r="G25344" t="str">
        <f>"2018-10-06 08:20:02"</f>
        <v>2018-10-06 08:20:02</v>
      </c>
    </row>
    <row r="25345" spans="1:7" x14ac:dyDescent="0.2">
      <c r="A25345" t="s">
        <v>5427</v>
      </c>
      <c r="B25345" t="str">
        <f>"13917825370"</f>
        <v>13917825370</v>
      </c>
      <c r="C25345" t="str">
        <f>"362226199003070637"</f>
        <v>362226199003070637</v>
      </c>
      <c r="D25345" t="s">
        <v>1</v>
      </c>
      <c r="E25345" t="s">
        <v>1</v>
      </c>
      <c r="F25345" t="s">
        <v>0</v>
      </c>
      <c r="G25345" t="str">
        <f>"2018-10-16 11:51:56"</f>
        <v>2018-10-16 11:51:56</v>
      </c>
    </row>
    <row r="25346" spans="1:7" x14ac:dyDescent="0.2">
      <c r="A25346" t="s">
        <v>5384</v>
      </c>
      <c r="B25346" t="str">
        <f>"15223278824"</f>
        <v>15223278824</v>
      </c>
      <c r="C25346" t="str">
        <f>"522631198811180023"</f>
        <v>522631198811180023</v>
      </c>
      <c r="D25346" t="s">
        <v>23312</v>
      </c>
      <c r="E25346" t="s">
        <v>23313</v>
      </c>
      <c r="F25346" t="s">
        <v>0</v>
      </c>
      <c r="G25346" t="str">
        <f>"2018-10-06 08:20:36"</f>
        <v>2018-10-06 08:20:36</v>
      </c>
    </row>
    <row r="25347" spans="1:7" x14ac:dyDescent="0.2">
      <c r="A25347" t="s">
        <v>23314</v>
      </c>
      <c r="B25347" t="str">
        <f>"15157772180"</f>
        <v>15157772180</v>
      </c>
      <c r="C25347" t="str">
        <f>"33038219871110031X"</f>
        <v>33038219871110031X</v>
      </c>
      <c r="D25347" t="s">
        <v>1</v>
      </c>
      <c r="E25347" t="s">
        <v>1</v>
      </c>
      <c r="F25347" t="s">
        <v>0</v>
      </c>
      <c r="G25347" t="str">
        <f>"2018-10-06 08:24:19"</f>
        <v>2018-10-06 08:24:19</v>
      </c>
    </row>
    <row r="25348" spans="1:7" x14ac:dyDescent="0.2">
      <c r="A25348" t="s">
        <v>23315</v>
      </c>
      <c r="B25348" t="str">
        <f>"13201812275"</f>
        <v>13201812275</v>
      </c>
      <c r="C25348" t="str">
        <f>"61252519981215631X"</f>
        <v>61252519981215631X</v>
      </c>
      <c r="D25348" t="s">
        <v>23316</v>
      </c>
      <c r="E25348" t="s">
        <v>23317</v>
      </c>
      <c r="F25348" t="s">
        <v>0</v>
      </c>
      <c r="G25348" t="str">
        <f>"2018-10-06 08:18:53"</f>
        <v>2018-10-06 08:18:53</v>
      </c>
    </row>
    <row r="25349" spans="1:7" x14ac:dyDescent="0.2">
      <c r="A25349" t="s">
        <v>23318</v>
      </c>
      <c r="B25349" t="str">
        <f>"13905868182"</f>
        <v>13905868182</v>
      </c>
      <c r="C25349" t="str">
        <f>"33108219941013139X"</f>
        <v>33108219941013139X</v>
      </c>
      <c r="D25349" t="s">
        <v>23319</v>
      </c>
      <c r="E25349" t="s">
        <v>23320</v>
      </c>
      <c r="F25349" t="s">
        <v>0</v>
      </c>
      <c r="G25349" t="str">
        <f>"2018-10-06 08:49:57"</f>
        <v>2018-10-06 08:49:57</v>
      </c>
    </row>
    <row r="25350" spans="1:7" x14ac:dyDescent="0.2">
      <c r="A25350" t="s">
        <v>23321</v>
      </c>
      <c r="B25350" t="str">
        <f>"13874365614"</f>
        <v>13874365614</v>
      </c>
      <c r="C25350" t="str">
        <f>"431124199805085127"</f>
        <v>431124199805085127</v>
      </c>
      <c r="D25350" t="s">
        <v>1</v>
      </c>
      <c r="E25350" t="s">
        <v>1</v>
      </c>
      <c r="F25350" t="s">
        <v>0</v>
      </c>
      <c r="G25350" t="str">
        <f>"2018-10-06 08:19:45"</f>
        <v>2018-10-06 08:19:45</v>
      </c>
    </row>
    <row r="25351" spans="1:7" x14ac:dyDescent="0.2">
      <c r="A25351" t="s">
        <v>23322</v>
      </c>
      <c r="B25351" t="str">
        <f>"15056459087"</f>
        <v>15056459087</v>
      </c>
      <c r="C25351" t="str">
        <f>"340321199505016989"</f>
        <v>340321199505016989</v>
      </c>
      <c r="D25351" t="s">
        <v>1</v>
      </c>
      <c r="E25351" t="s">
        <v>1</v>
      </c>
      <c r="F25351" t="s">
        <v>0</v>
      </c>
      <c r="G25351" t="str">
        <f>"2018-10-06 08:15:14"</f>
        <v>2018-10-06 08:15:14</v>
      </c>
    </row>
    <row r="25352" spans="1:7" x14ac:dyDescent="0.2">
      <c r="A25352" t="s">
        <v>1</v>
      </c>
      <c r="B25352" t="str">
        <f>"15579196719"</f>
        <v>15579196719</v>
      </c>
      <c r="C25352" t="s">
        <v>1</v>
      </c>
      <c r="D25352" t="s">
        <v>1</v>
      </c>
      <c r="E25352" t="s">
        <v>1</v>
      </c>
      <c r="F25352" t="s">
        <v>0</v>
      </c>
      <c r="G25352" t="str">
        <f>"2018-10-06 08:11:36"</f>
        <v>2018-10-06 08:11:36</v>
      </c>
    </row>
    <row r="25353" spans="1:7" x14ac:dyDescent="0.2">
      <c r="A25353" t="s">
        <v>23323</v>
      </c>
      <c r="B25353" t="str">
        <f>"13192004583"</f>
        <v>13192004583</v>
      </c>
      <c r="C25353" t="str">
        <f>"522626197812273218"</f>
        <v>522626197812273218</v>
      </c>
      <c r="D25353" t="s">
        <v>1</v>
      </c>
      <c r="E25353" t="s">
        <v>1</v>
      </c>
      <c r="F25353" t="s">
        <v>0</v>
      </c>
      <c r="G25353" t="str">
        <f>"2018-10-06 08:12:55"</f>
        <v>2018-10-06 08:12:55</v>
      </c>
    </row>
    <row r="25354" spans="1:7" x14ac:dyDescent="0.2">
      <c r="A25354" t="s">
        <v>23324</v>
      </c>
      <c r="B25354" t="str">
        <f>"17603675747"</f>
        <v>17603675747</v>
      </c>
      <c r="C25354" t="str">
        <f>"232321199709076613"</f>
        <v>232321199709076613</v>
      </c>
      <c r="D25354" t="s">
        <v>1</v>
      </c>
      <c r="E25354" t="s">
        <v>1</v>
      </c>
      <c r="F25354" t="s">
        <v>0</v>
      </c>
      <c r="G25354" t="str">
        <f>"2018-10-06 08:15:29"</f>
        <v>2018-10-06 08:15:29</v>
      </c>
    </row>
    <row r="25355" spans="1:7" x14ac:dyDescent="0.2">
      <c r="A25355" t="s">
        <v>1</v>
      </c>
      <c r="B25355" t="str">
        <f>"15584003207"</f>
        <v>15584003207</v>
      </c>
      <c r="C25355" t="s">
        <v>1</v>
      </c>
      <c r="D25355" t="s">
        <v>1</v>
      </c>
      <c r="E25355" t="s">
        <v>1</v>
      </c>
      <c r="F25355" t="s">
        <v>0</v>
      </c>
      <c r="G25355" t="str">
        <f>"2018-10-06 08:14:00"</f>
        <v>2018-10-06 08:14:00</v>
      </c>
    </row>
    <row r="25356" spans="1:7" x14ac:dyDescent="0.2">
      <c r="A25356" t="s">
        <v>1045</v>
      </c>
      <c r="B25356" t="str">
        <f>"17664037121"</f>
        <v>17664037121</v>
      </c>
      <c r="C25356" t="str">
        <f>"370883199702114213"</f>
        <v>370883199702114213</v>
      </c>
      <c r="D25356" t="s">
        <v>1</v>
      </c>
      <c r="E25356" t="s">
        <v>1</v>
      </c>
      <c r="F25356" t="s">
        <v>0</v>
      </c>
      <c r="G25356" t="str">
        <f>"2018-10-06 08:07:41"</f>
        <v>2018-10-06 08:07:41</v>
      </c>
    </row>
    <row r="25357" spans="1:7" x14ac:dyDescent="0.2">
      <c r="A25357" t="s">
        <v>23325</v>
      </c>
      <c r="B25357" t="str">
        <f>"13880633389"</f>
        <v>13880633389</v>
      </c>
      <c r="C25357" t="str">
        <f>"510103196809213724"</f>
        <v>510103196809213724</v>
      </c>
      <c r="D25357" t="s">
        <v>1</v>
      </c>
      <c r="E25357" t="s">
        <v>1</v>
      </c>
      <c r="F25357" t="s">
        <v>0</v>
      </c>
      <c r="G25357" t="str">
        <f>"2018-10-06 08:09:48"</f>
        <v>2018-10-06 08:09:48</v>
      </c>
    </row>
    <row r="25358" spans="1:7" x14ac:dyDescent="0.2">
      <c r="A25358" t="s">
        <v>1</v>
      </c>
      <c r="B25358" t="str">
        <f>"18705930168"</f>
        <v>18705930168</v>
      </c>
      <c r="C25358" t="s">
        <v>1</v>
      </c>
      <c r="D25358" t="s">
        <v>1</v>
      </c>
      <c r="E25358" t="s">
        <v>1</v>
      </c>
      <c r="F25358" t="s">
        <v>0</v>
      </c>
      <c r="G25358" t="str">
        <f>"2018-10-06 08:06:03"</f>
        <v>2018-10-06 08:06:03</v>
      </c>
    </row>
    <row r="25359" spans="1:7" x14ac:dyDescent="0.2">
      <c r="A25359" t="s">
        <v>23326</v>
      </c>
      <c r="B25359" t="str">
        <f>"15568946904"</f>
        <v>15568946904</v>
      </c>
      <c r="C25359" t="str">
        <f>"220181199107041220"</f>
        <v>220181199107041220</v>
      </c>
      <c r="D25359" t="s">
        <v>1</v>
      </c>
      <c r="E25359" t="s">
        <v>1</v>
      </c>
      <c r="F25359" t="s">
        <v>0</v>
      </c>
      <c r="G25359" t="str">
        <f>"2018-10-06 10:34:41"</f>
        <v>2018-10-06 10:34:41</v>
      </c>
    </row>
    <row r="25360" spans="1:7" x14ac:dyDescent="0.2">
      <c r="A25360" t="s">
        <v>682</v>
      </c>
      <c r="B25360" t="str">
        <f>"17301822832"</f>
        <v>17301822832</v>
      </c>
      <c r="C25360" t="str">
        <f>"310113197210080515"</f>
        <v>310113197210080515</v>
      </c>
      <c r="D25360" t="s">
        <v>1</v>
      </c>
      <c r="E25360" t="s">
        <v>1</v>
      </c>
      <c r="F25360" t="s">
        <v>0</v>
      </c>
      <c r="G25360" t="str">
        <f>"2018-10-06 08:09:07"</f>
        <v>2018-10-06 08:09:07</v>
      </c>
    </row>
    <row r="25361" spans="1:7" x14ac:dyDescent="0.2">
      <c r="A25361" t="s">
        <v>1</v>
      </c>
      <c r="B25361" t="str">
        <f>"15388678108"</f>
        <v>15388678108</v>
      </c>
      <c r="C25361" t="s">
        <v>1</v>
      </c>
      <c r="D25361" t="s">
        <v>1</v>
      </c>
      <c r="E25361" t="s">
        <v>1</v>
      </c>
      <c r="F25361" t="s">
        <v>0</v>
      </c>
      <c r="G25361" t="str">
        <f>"2018-10-06 08:02:19"</f>
        <v>2018-10-06 08:02:19</v>
      </c>
    </row>
    <row r="25362" spans="1:7" x14ac:dyDescent="0.2">
      <c r="A25362" t="s">
        <v>23327</v>
      </c>
      <c r="B25362" t="str">
        <f>"15063334758"</f>
        <v>15063334758</v>
      </c>
      <c r="C25362" t="str">
        <f>"370103199108158838"</f>
        <v>370103199108158838</v>
      </c>
      <c r="D25362" t="s">
        <v>1</v>
      </c>
      <c r="E25362" t="s">
        <v>1</v>
      </c>
      <c r="F25362" t="s">
        <v>0</v>
      </c>
      <c r="G25362" t="str">
        <f>"2018-10-06 10:16:54"</f>
        <v>2018-10-06 10:16:54</v>
      </c>
    </row>
    <row r="25363" spans="1:7" x14ac:dyDescent="0.2">
      <c r="A25363" t="s">
        <v>1</v>
      </c>
      <c r="B25363" t="str">
        <f>"17607096056"</f>
        <v>17607096056</v>
      </c>
      <c r="C25363" t="s">
        <v>1</v>
      </c>
      <c r="D25363" t="s">
        <v>1</v>
      </c>
      <c r="E25363" t="s">
        <v>1</v>
      </c>
      <c r="F25363" t="s">
        <v>0</v>
      </c>
      <c r="G25363" t="str">
        <f>"2018-10-06 08:01:35"</f>
        <v>2018-10-06 08:01:35</v>
      </c>
    </row>
    <row r="25364" spans="1:7" x14ac:dyDescent="0.2">
      <c r="A25364" t="s">
        <v>1</v>
      </c>
      <c r="B25364" t="str">
        <f>"13326481986"</f>
        <v>13326481986</v>
      </c>
      <c r="C25364" t="s">
        <v>1</v>
      </c>
      <c r="D25364" t="s">
        <v>1</v>
      </c>
      <c r="E25364" t="s">
        <v>1</v>
      </c>
      <c r="F25364" t="s">
        <v>0</v>
      </c>
      <c r="G25364" t="str">
        <f>"2018-10-06 07:57:29"</f>
        <v>2018-10-06 07:57:29</v>
      </c>
    </row>
    <row r="25365" spans="1:7" x14ac:dyDescent="0.2">
      <c r="A25365" t="s">
        <v>23328</v>
      </c>
      <c r="B25365" t="str">
        <f>"15524749980"</f>
        <v>15524749980</v>
      </c>
      <c r="C25365" t="str">
        <f>"210281198311016814"</f>
        <v>210281198311016814</v>
      </c>
      <c r="D25365" t="s">
        <v>1</v>
      </c>
      <c r="E25365" t="s">
        <v>1</v>
      </c>
      <c r="F25365" t="s">
        <v>0</v>
      </c>
      <c r="G25365" t="str">
        <f>"2018-10-06 07:57:27"</f>
        <v>2018-10-06 07:57:27</v>
      </c>
    </row>
    <row r="25366" spans="1:7" x14ac:dyDescent="0.2">
      <c r="A25366" t="s">
        <v>23329</v>
      </c>
      <c r="B25366" t="str">
        <f>"13969549829"</f>
        <v>13969549829</v>
      </c>
      <c r="C25366" t="str">
        <f>"371525199409266331"</f>
        <v>371525199409266331</v>
      </c>
      <c r="D25366" t="s">
        <v>1</v>
      </c>
      <c r="E25366" t="s">
        <v>1</v>
      </c>
      <c r="F25366" t="s">
        <v>0</v>
      </c>
      <c r="G25366" t="str">
        <f>"2018-10-06 11:56:19"</f>
        <v>2018-10-06 11:56:19</v>
      </c>
    </row>
    <row r="25367" spans="1:7" x14ac:dyDescent="0.2">
      <c r="A25367" t="s">
        <v>23330</v>
      </c>
      <c r="B25367" t="str">
        <f>"15697314913"</f>
        <v>15697314913</v>
      </c>
      <c r="C25367" t="str">
        <f>"330327199408097250"</f>
        <v>330327199408097250</v>
      </c>
      <c r="D25367" t="s">
        <v>1</v>
      </c>
      <c r="E25367" t="s">
        <v>1</v>
      </c>
      <c r="F25367" t="s">
        <v>0</v>
      </c>
      <c r="G25367" t="str">
        <f>"2018-10-06 07:56:29"</f>
        <v>2018-10-06 07:56:29</v>
      </c>
    </row>
    <row r="25368" spans="1:7" x14ac:dyDescent="0.2">
      <c r="A25368" t="s">
        <v>23331</v>
      </c>
      <c r="B25368" t="str">
        <f>"13664318042"</f>
        <v>13664318042</v>
      </c>
      <c r="C25368" t="str">
        <f>"220323198901202426"</f>
        <v>220323198901202426</v>
      </c>
      <c r="D25368" t="s">
        <v>1</v>
      </c>
      <c r="E25368" t="s">
        <v>1</v>
      </c>
      <c r="F25368" t="s">
        <v>0</v>
      </c>
      <c r="G25368" t="str">
        <f>"2018-10-06 07:58:05"</f>
        <v>2018-10-06 07:58:05</v>
      </c>
    </row>
    <row r="25369" spans="1:7" x14ac:dyDescent="0.2">
      <c r="A25369" t="s">
        <v>23332</v>
      </c>
      <c r="B25369" t="str">
        <f>"18808997527"</f>
        <v>18808997527</v>
      </c>
      <c r="C25369" t="str">
        <f>"46000319910116465X"</f>
        <v>46000319910116465X</v>
      </c>
      <c r="D25369" t="s">
        <v>1</v>
      </c>
      <c r="E25369" t="s">
        <v>1</v>
      </c>
      <c r="F25369" t="s">
        <v>0</v>
      </c>
      <c r="G25369" t="str">
        <f>"2018-10-06 07:55:18"</f>
        <v>2018-10-06 07:55:18</v>
      </c>
    </row>
    <row r="25370" spans="1:7" x14ac:dyDescent="0.2">
      <c r="A25370" t="s">
        <v>210</v>
      </c>
      <c r="B25370" t="str">
        <f>"13753333380"</f>
        <v>13753333380</v>
      </c>
      <c r="C25370" t="str">
        <f>"140311198911213326"</f>
        <v>140311198911213326</v>
      </c>
      <c r="D25370" t="s">
        <v>23333</v>
      </c>
      <c r="E25370" t="s">
        <v>23334</v>
      </c>
      <c r="F25370" t="s">
        <v>0</v>
      </c>
      <c r="G25370" t="str">
        <f>"2018-10-06 08:03:55"</f>
        <v>2018-10-06 08:03:55</v>
      </c>
    </row>
    <row r="25371" spans="1:7" x14ac:dyDescent="0.2">
      <c r="A25371" t="s">
        <v>1</v>
      </c>
      <c r="B25371" t="str">
        <f>"15839110917"</f>
        <v>15839110917</v>
      </c>
      <c r="C25371" t="s">
        <v>1</v>
      </c>
      <c r="D25371" t="s">
        <v>1</v>
      </c>
      <c r="E25371" t="s">
        <v>1</v>
      </c>
      <c r="F25371" t="s">
        <v>0</v>
      </c>
      <c r="G25371" t="str">
        <f>"2018-10-06 07:50:43"</f>
        <v>2018-10-06 07:50:43</v>
      </c>
    </row>
    <row r="25372" spans="1:7" x14ac:dyDescent="0.2">
      <c r="A25372" t="s">
        <v>23335</v>
      </c>
      <c r="B25372" t="str">
        <f>"18397123277"</f>
        <v>18397123277</v>
      </c>
      <c r="C25372" t="str">
        <f>"632126198508231219"</f>
        <v>632126198508231219</v>
      </c>
      <c r="D25372" t="s">
        <v>1</v>
      </c>
      <c r="E25372" t="s">
        <v>1</v>
      </c>
      <c r="F25372" t="s">
        <v>0</v>
      </c>
      <c r="G25372" t="str">
        <f>"2018-10-06 07:48:13"</f>
        <v>2018-10-06 07:48:13</v>
      </c>
    </row>
    <row r="25373" spans="1:7" x14ac:dyDescent="0.2">
      <c r="A25373" t="s">
        <v>23336</v>
      </c>
      <c r="B25373" t="str">
        <f>"15108993151"</f>
        <v>15108993151</v>
      </c>
      <c r="C25373" t="str">
        <f>"460004198603014231"</f>
        <v>460004198603014231</v>
      </c>
      <c r="D25373" t="s">
        <v>1</v>
      </c>
      <c r="E25373" t="s">
        <v>1</v>
      </c>
      <c r="F25373" t="s">
        <v>0</v>
      </c>
      <c r="G25373" t="str">
        <f>"2018-10-06 08:08:08"</f>
        <v>2018-10-06 08:08:08</v>
      </c>
    </row>
    <row r="25374" spans="1:7" x14ac:dyDescent="0.2">
      <c r="A25374" t="s">
        <v>1</v>
      </c>
      <c r="B25374" t="str">
        <f>"15614717111"</f>
        <v>15614717111</v>
      </c>
      <c r="C25374" t="s">
        <v>1</v>
      </c>
      <c r="D25374" t="s">
        <v>1</v>
      </c>
      <c r="E25374" t="s">
        <v>1</v>
      </c>
      <c r="F25374" t="s">
        <v>0</v>
      </c>
      <c r="G25374" t="str">
        <f>"2018-10-06 07:46:07"</f>
        <v>2018-10-06 07:46:07</v>
      </c>
    </row>
    <row r="25375" spans="1:7" x14ac:dyDescent="0.2">
      <c r="A25375" t="s">
        <v>1</v>
      </c>
      <c r="B25375" t="str">
        <f>"18222748958"</f>
        <v>18222748958</v>
      </c>
      <c r="C25375" t="s">
        <v>1</v>
      </c>
      <c r="D25375" t="s">
        <v>1</v>
      </c>
      <c r="E25375" t="s">
        <v>1</v>
      </c>
      <c r="F25375" t="s">
        <v>0</v>
      </c>
      <c r="G25375" t="str">
        <f>"2018-10-06 07:45:24"</f>
        <v>2018-10-06 07:45:24</v>
      </c>
    </row>
    <row r="25376" spans="1:7" x14ac:dyDescent="0.2">
      <c r="A25376" t="s">
        <v>1</v>
      </c>
      <c r="B25376" t="str">
        <f>"13833513646"</f>
        <v>13833513646</v>
      </c>
      <c r="C25376" t="s">
        <v>1</v>
      </c>
      <c r="D25376" t="s">
        <v>1</v>
      </c>
      <c r="E25376" t="s">
        <v>1</v>
      </c>
      <c r="F25376" t="s">
        <v>0</v>
      </c>
      <c r="G25376" t="str">
        <f>"2018-10-06 07:43:27"</f>
        <v>2018-10-06 07:43:27</v>
      </c>
    </row>
    <row r="25377" spans="1:7" x14ac:dyDescent="0.2">
      <c r="A25377" t="s">
        <v>1098</v>
      </c>
      <c r="B25377" t="str">
        <f>"13382035932"</f>
        <v>13382035932</v>
      </c>
      <c r="C25377" t="str">
        <f>"320102198012292012"</f>
        <v>320102198012292012</v>
      </c>
      <c r="D25377" t="s">
        <v>1</v>
      </c>
      <c r="E25377" t="s">
        <v>1</v>
      </c>
      <c r="F25377" t="s">
        <v>0</v>
      </c>
      <c r="G25377" t="str">
        <f>"2018-10-06 07:52:33"</f>
        <v>2018-10-06 07:52:33</v>
      </c>
    </row>
    <row r="25378" spans="1:7" x14ac:dyDescent="0.2">
      <c r="A25378" t="s">
        <v>23337</v>
      </c>
      <c r="B25378" t="str">
        <f>"13299782305"</f>
        <v>13299782305</v>
      </c>
      <c r="C25378" t="str">
        <f>"630102198409040027"</f>
        <v>630102198409040027</v>
      </c>
      <c r="D25378" t="s">
        <v>1</v>
      </c>
      <c r="E25378" t="s">
        <v>1</v>
      </c>
      <c r="F25378" t="s">
        <v>0</v>
      </c>
      <c r="G25378" t="str">
        <f>"2018-10-06 07:43:35"</f>
        <v>2018-10-06 07:43:35</v>
      </c>
    </row>
    <row r="25379" spans="1:7" x14ac:dyDescent="0.2">
      <c r="A25379" t="s">
        <v>23338</v>
      </c>
      <c r="B25379" t="str">
        <f>"13667868758"</f>
        <v>13667868758</v>
      </c>
      <c r="C25379" t="str">
        <f>"450326199012110915"</f>
        <v>450326199012110915</v>
      </c>
      <c r="D25379" t="s">
        <v>23339</v>
      </c>
      <c r="E25379" t="s">
        <v>23340</v>
      </c>
      <c r="F25379" t="s">
        <v>0</v>
      </c>
      <c r="G25379" t="str">
        <f>"2018-10-06 08:19:50"</f>
        <v>2018-10-06 08:19:50</v>
      </c>
    </row>
    <row r="25380" spans="1:7" x14ac:dyDescent="0.2">
      <c r="A25380" t="s">
        <v>23341</v>
      </c>
      <c r="B25380" t="str">
        <f>"18754673099"</f>
        <v>18754673099</v>
      </c>
      <c r="C25380" t="str">
        <f>"370523199503062032"</f>
        <v>370523199503062032</v>
      </c>
      <c r="D25380" t="s">
        <v>23342</v>
      </c>
      <c r="E25380" t="s">
        <v>23343</v>
      </c>
      <c r="F25380" t="s">
        <v>0</v>
      </c>
      <c r="G25380" t="str">
        <f>"2018-10-06 08:01:05"</f>
        <v>2018-10-06 08:01:05</v>
      </c>
    </row>
    <row r="25381" spans="1:7" x14ac:dyDescent="0.2">
      <c r="A25381" t="s">
        <v>23344</v>
      </c>
      <c r="B25381" t="str">
        <f>"15919986708"</f>
        <v>15919986708</v>
      </c>
      <c r="C25381" t="str">
        <f>"44162319911003131X"</f>
        <v>44162319911003131X</v>
      </c>
      <c r="D25381" t="s">
        <v>1</v>
      </c>
      <c r="E25381" t="s">
        <v>1</v>
      </c>
      <c r="F25381" t="s">
        <v>0</v>
      </c>
      <c r="G25381" t="str">
        <f>"2018-10-06 07:49:49"</f>
        <v>2018-10-06 07:49:49</v>
      </c>
    </row>
    <row r="25382" spans="1:7" x14ac:dyDescent="0.2">
      <c r="A25382" t="s">
        <v>528</v>
      </c>
      <c r="B25382" t="str">
        <f>"13038672721"</f>
        <v>13038672721</v>
      </c>
      <c r="C25382" t="str">
        <f>"530381199807210930"</f>
        <v>530381199807210930</v>
      </c>
      <c r="D25382" t="s">
        <v>1</v>
      </c>
      <c r="E25382" t="s">
        <v>1</v>
      </c>
      <c r="F25382" t="s">
        <v>0</v>
      </c>
      <c r="G25382" t="str">
        <f>"2018-10-06 07:37:59"</f>
        <v>2018-10-06 07:37:59</v>
      </c>
    </row>
    <row r="25383" spans="1:7" x14ac:dyDescent="0.2">
      <c r="A25383" t="s">
        <v>1</v>
      </c>
      <c r="B25383" t="str">
        <f>"15049295167"</f>
        <v>15049295167</v>
      </c>
      <c r="C25383" t="s">
        <v>1</v>
      </c>
      <c r="D25383" t="s">
        <v>1</v>
      </c>
      <c r="E25383" t="s">
        <v>1</v>
      </c>
      <c r="F25383" t="s">
        <v>0</v>
      </c>
      <c r="G25383" t="str">
        <f>"2018-10-06 07:36:15"</f>
        <v>2018-10-06 07:36:15</v>
      </c>
    </row>
    <row r="25384" spans="1:7" x14ac:dyDescent="0.2">
      <c r="A25384" t="s">
        <v>413</v>
      </c>
      <c r="B25384" t="str">
        <f>"15200512622"</f>
        <v>15200512622</v>
      </c>
      <c r="C25384" t="str">
        <f>"430403198511010014"</f>
        <v>430403198511010014</v>
      </c>
      <c r="D25384" t="s">
        <v>1</v>
      </c>
      <c r="E25384" t="s">
        <v>1</v>
      </c>
      <c r="F25384" t="s">
        <v>0</v>
      </c>
      <c r="G25384" t="str">
        <f>"2018-10-06 07:35:59"</f>
        <v>2018-10-06 07:35:59</v>
      </c>
    </row>
    <row r="25385" spans="1:7" x14ac:dyDescent="0.2">
      <c r="A25385" t="s">
        <v>23345</v>
      </c>
      <c r="B25385" t="str">
        <f>"17615792699"</f>
        <v>17615792699</v>
      </c>
      <c r="C25385" t="str">
        <f>"371426199012130015"</f>
        <v>371426199012130015</v>
      </c>
      <c r="D25385" t="s">
        <v>23346</v>
      </c>
      <c r="E25385" t="s">
        <v>23347</v>
      </c>
      <c r="F25385" t="s">
        <v>0</v>
      </c>
      <c r="G25385" t="str">
        <f>"2018-10-06 07:34:18"</f>
        <v>2018-10-06 07:34:18</v>
      </c>
    </row>
    <row r="25386" spans="1:7" x14ac:dyDescent="0.2">
      <c r="A25386" t="s">
        <v>202</v>
      </c>
      <c r="B25386" t="str">
        <f>"15160093802"</f>
        <v>15160093802</v>
      </c>
      <c r="C25386" t="str">
        <f>"362202199011191032"</f>
        <v>362202199011191032</v>
      </c>
      <c r="D25386" t="s">
        <v>23348</v>
      </c>
      <c r="E25386" t="s">
        <v>23349</v>
      </c>
      <c r="F25386" t="s">
        <v>0</v>
      </c>
      <c r="G25386" t="str">
        <f>"2018-10-06 14:34:12"</f>
        <v>2018-10-06 14:34:12</v>
      </c>
    </row>
    <row r="25387" spans="1:7" x14ac:dyDescent="0.2">
      <c r="A25387" t="s">
        <v>23350</v>
      </c>
      <c r="B25387" t="str">
        <f>"18686766868"</f>
        <v>18686766868</v>
      </c>
      <c r="C25387" t="str">
        <f>"23010319830912003X"</f>
        <v>23010319830912003X</v>
      </c>
      <c r="D25387" t="s">
        <v>1</v>
      </c>
      <c r="E25387" t="s">
        <v>1</v>
      </c>
      <c r="F25387" t="s">
        <v>0</v>
      </c>
      <c r="G25387" t="str">
        <f>"2018-10-06 08:01:24"</f>
        <v>2018-10-06 08:01:24</v>
      </c>
    </row>
    <row r="25388" spans="1:7" x14ac:dyDescent="0.2">
      <c r="A25388" t="s">
        <v>23351</v>
      </c>
      <c r="B25388" t="str">
        <f>"15134252192"</f>
        <v>15134252192</v>
      </c>
      <c r="C25388" t="str">
        <f>"210881199606060019"</f>
        <v>210881199606060019</v>
      </c>
      <c r="D25388" t="s">
        <v>1</v>
      </c>
      <c r="E25388" t="s">
        <v>1</v>
      </c>
      <c r="F25388" t="s">
        <v>0</v>
      </c>
      <c r="G25388" t="str">
        <f>"2018-10-24 13:11:15"</f>
        <v>2018-10-24 13:11:15</v>
      </c>
    </row>
    <row r="25389" spans="1:7" x14ac:dyDescent="0.2">
      <c r="A25389" t="s">
        <v>23352</v>
      </c>
      <c r="B25389" t="str">
        <f>"13397902100"</f>
        <v>13397902100</v>
      </c>
      <c r="C25389" t="str">
        <f>"420527197811030033"</f>
        <v>420527197811030033</v>
      </c>
      <c r="D25389" t="s">
        <v>1</v>
      </c>
      <c r="E25389" t="s">
        <v>1</v>
      </c>
      <c r="F25389" t="s">
        <v>0</v>
      </c>
      <c r="G25389" t="str">
        <f>"2018-10-06 07:32:34"</f>
        <v>2018-10-06 07:32:34</v>
      </c>
    </row>
    <row r="25390" spans="1:7" x14ac:dyDescent="0.2">
      <c r="A25390" t="s">
        <v>23353</v>
      </c>
      <c r="B25390" t="str">
        <f>"15715435315"</f>
        <v>15715435315</v>
      </c>
      <c r="C25390" t="str">
        <f>"372323198704230633"</f>
        <v>372323198704230633</v>
      </c>
      <c r="D25390" t="s">
        <v>1</v>
      </c>
      <c r="E25390" t="s">
        <v>1</v>
      </c>
      <c r="F25390" t="s">
        <v>0</v>
      </c>
      <c r="G25390" t="str">
        <f>"2018-10-06 07:46:43"</f>
        <v>2018-10-06 07:46:43</v>
      </c>
    </row>
    <row r="25391" spans="1:7" x14ac:dyDescent="0.2">
      <c r="A25391" t="s">
        <v>23354</v>
      </c>
      <c r="B25391" t="str">
        <f>"15043923267"</f>
        <v>15043923267</v>
      </c>
      <c r="C25391" t="str">
        <f>"22062119941105182X"</f>
        <v>22062119941105182X</v>
      </c>
      <c r="D25391" t="s">
        <v>1</v>
      </c>
      <c r="E25391" t="s">
        <v>1</v>
      </c>
      <c r="F25391" t="s">
        <v>0</v>
      </c>
      <c r="G25391" t="str">
        <f>"2018-10-06 07:33:01"</f>
        <v>2018-10-06 07:33:01</v>
      </c>
    </row>
    <row r="25392" spans="1:7" x14ac:dyDescent="0.2">
      <c r="A25392" t="s">
        <v>23355</v>
      </c>
      <c r="B25392" t="str">
        <f>"15207971383"</f>
        <v>15207971383</v>
      </c>
      <c r="C25392" t="str">
        <f>"360782199110256214"</f>
        <v>360782199110256214</v>
      </c>
      <c r="D25392" t="s">
        <v>23356</v>
      </c>
      <c r="E25392" t="s">
        <v>23357</v>
      </c>
      <c r="F25392" t="s">
        <v>0</v>
      </c>
      <c r="G25392" t="str">
        <f>"2018-10-19 17:40:39"</f>
        <v>2018-10-19 17:40:39</v>
      </c>
    </row>
    <row r="25393" spans="1:7" x14ac:dyDescent="0.2">
      <c r="A25393" t="s">
        <v>641</v>
      </c>
      <c r="B25393" t="str">
        <f>"18250672291"</f>
        <v>18250672291</v>
      </c>
      <c r="C25393" t="str">
        <f>"352228199511124516"</f>
        <v>352228199511124516</v>
      </c>
      <c r="D25393" t="s">
        <v>23358</v>
      </c>
      <c r="E25393" t="s">
        <v>23359</v>
      </c>
      <c r="F25393" t="s">
        <v>0</v>
      </c>
      <c r="G25393" t="str">
        <f>"2018-10-06 07:29:53"</f>
        <v>2018-10-06 07:29:53</v>
      </c>
    </row>
    <row r="25394" spans="1:7" x14ac:dyDescent="0.2">
      <c r="A25394" t="s">
        <v>23360</v>
      </c>
      <c r="B25394" t="str">
        <f>"15888763138"</f>
        <v>15888763138</v>
      </c>
      <c r="C25394" t="str">
        <f>"330329199601061834"</f>
        <v>330329199601061834</v>
      </c>
      <c r="D25394" t="s">
        <v>23361</v>
      </c>
      <c r="E25394" t="s">
        <v>23362</v>
      </c>
      <c r="F25394" t="s">
        <v>0</v>
      </c>
      <c r="G25394" t="str">
        <f>"2018-10-06 08:17:30"</f>
        <v>2018-10-06 08:17:30</v>
      </c>
    </row>
    <row r="25395" spans="1:7" x14ac:dyDescent="0.2">
      <c r="A25395" t="s">
        <v>23363</v>
      </c>
      <c r="B25395" t="str">
        <f>"18321019177"</f>
        <v>18321019177</v>
      </c>
      <c r="C25395" t="str">
        <f>"35030119901212112X"</f>
        <v>35030119901212112X</v>
      </c>
      <c r="D25395" t="s">
        <v>1</v>
      </c>
      <c r="E25395" t="s">
        <v>1</v>
      </c>
      <c r="F25395" t="s">
        <v>0</v>
      </c>
      <c r="G25395" t="str">
        <f>"2018-10-06 07:42:52"</f>
        <v>2018-10-06 07:42:52</v>
      </c>
    </row>
    <row r="25396" spans="1:7" x14ac:dyDescent="0.2">
      <c r="A25396" t="s">
        <v>1</v>
      </c>
      <c r="B25396" t="str">
        <f>"15603681995"</f>
        <v>15603681995</v>
      </c>
      <c r="C25396" t="s">
        <v>1</v>
      </c>
      <c r="D25396" t="s">
        <v>1</v>
      </c>
      <c r="E25396" t="s">
        <v>1</v>
      </c>
      <c r="F25396" t="s">
        <v>0</v>
      </c>
      <c r="G25396" t="str">
        <f>"2018-10-06 07:30:33"</f>
        <v>2018-10-06 07:30:33</v>
      </c>
    </row>
    <row r="25397" spans="1:7" x14ac:dyDescent="0.2">
      <c r="A25397" t="s">
        <v>1</v>
      </c>
      <c r="B25397" t="str">
        <f>"18867906487"</f>
        <v>18867906487</v>
      </c>
      <c r="C25397" t="s">
        <v>1</v>
      </c>
      <c r="D25397" t="s">
        <v>1</v>
      </c>
      <c r="E25397" t="s">
        <v>1</v>
      </c>
      <c r="F25397" t="s">
        <v>0</v>
      </c>
      <c r="G25397" t="str">
        <f>"2018-10-06 07:26:22"</f>
        <v>2018-10-06 07:26:22</v>
      </c>
    </row>
    <row r="25398" spans="1:7" x14ac:dyDescent="0.2">
      <c r="A25398" t="s">
        <v>23364</v>
      </c>
      <c r="B25398" t="str">
        <f>"13661832129"</f>
        <v>13661832129</v>
      </c>
      <c r="C25398" t="str">
        <f>"34242219890612607X"</f>
        <v>34242219890612607X</v>
      </c>
      <c r="D25398" t="s">
        <v>1</v>
      </c>
      <c r="E25398" t="s">
        <v>1</v>
      </c>
      <c r="F25398" t="s">
        <v>0</v>
      </c>
      <c r="G25398" t="str">
        <f>"2018-10-06 07:21:44"</f>
        <v>2018-10-06 07:21:44</v>
      </c>
    </row>
    <row r="25399" spans="1:7" x14ac:dyDescent="0.2">
      <c r="A25399" t="s">
        <v>1</v>
      </c>
      <c r="B25399" t="str">
        <f>"18776701146"</f>
        <v>18776701146</v>
      </c>
      <c r="C25399" t="s">
        <v>1</v>
      </c>
      <c r="D25399" t="s">
        <v>1</v>
      </c>
      <c r="E25399" t="s">
        <v>1</v>
      </c>
      <c r="F25399" t="s">
        <v>0</v>
      </c>
      <c r="G25399" t="str">
        <f>"2018-10-06 07:14:00"</f>
        <v>2018-10-06 07:14:00</v>
      </c>
    </row>
    <row r="25400" spans="1:7" x14ac:dyDescent="0.2">
      <c r="A25400" t="s">
        <v>23365</v>
      </c>
      <c r="B25400" t="str">
        <f>"18177109306"</f>
        <v>18177109306</v>
      </c>
      <c r="C25400" t="str">
        <f>"452123198706186110"</f>
        <v>452123198706186110</v>
      </c>
      <c r="D25400" t="s">
        <v>23366</v>
      </c>
      <c r="E25400" t="s">
        <v>23366</v>
      </c>
      <c r="F25400" t="s">
        <v>0</v>
      </c>
      <c r="G25400" t="str">
        <f>"2018-10-06 11:58:06"</f>
        <v>2018-10-06 11:58:06</v>
      </c>
    </row>
    <row r="25401" spans="1:7" x14ac:dyDescent="0.2">
      <c r="A25401" t="s">
        <v>1164</v>
      </c>
      <c r="B25401" t="str">
        <f>"18234911234"</f>
        <v>18234911234</v>
      </c>
      <c r="C25401" t="str">
        <f>"210904197907191526"</f>
        <v>210904197907191526</v>
      </c>
      <c r="D25401" t="s">
        <v>1</v>
      </c>
      <c r="E25401" t="s">
        <v>1</v>
      </c>
      <c r="F25401" t="s">
        <v>0</v>
      </c>
      <c r="G25401" t="str">
        <f>"2018-10-06 07:14:46"</f>
        <v>2018-10-06 07:14:46</v>
      </c>
    </row>
    <row r="25402" spans="1:7" x14ac:dyDescent="0.2">
      <c r="A25402" t="s">
        <v>23367</v>
      </c>
      <c r="B25402" t="str">
        <f>"15178812217"</f>
        <v>15178812217</v>
      </c>
      <c r="C25402" t="str">
        <f>"510213197111232029"</f>
        <v>510213197111232029</v>
      </c>
      <c r="D25402" t="s">
        <v>1</v>
      </c>
      <c r="E25402" t="s">
        <v>1</v>
      </c>
      <c r="F25402" t="s">
        <v>0</v>
      </c>
      <c r="G25402" t="str">
        <f>"2018-10-25 01:29:31"</f>
        <v>2018-10-25 01:29:31</v>
      </c>
    </row>
    <row r="25403" spans="1:7" x14ac:dyDescent="0.2">
      <c r="A25403" t="s">
        <v>23368</v>
      </c>
      <c r="B25403" t="str">
        <f>"18604477498"</f>
        <v>18604477498</v>
      </c>
      <c r="C25403" t="str">
        <f>"220204199106170023"</f>
        <v>220204199106170023</v>
      </c>
      <c r="D25403" t="s">
        <v>1</v>
      </c>
      <c r="E25403" t="s">
        <v>1</v>
      </c>
      <c r="F25403" t="s">
        <v>0</v>
      </c>
      <c r="G25403" t="str">
        <f>"2018-10-28 16:22:17"</f>
        <v>2018-10-28 16:22:17</v>
      </c>
    </row>
    <row r="25404" spans="1:7" x14ac:dyDescent="0.2">
      <c r="A25404" t="s">
        <v>23369</v>
      </c>
      <c r="B25404" t="str">
        <f>"17623377185"</f>
        <v>17623377185</v>
      </c>
      <c r="C25404" t="str">
        <f>"500102199708310010"</f>
        <v>500102199708310010</v>
      </c>
      <c r="D25404" t="s">
        <v>1</v>
      </c>
      <c r="E25404" t="s">
        <v>1</v>
      </c>
      <c r="F25404" t="s">
        <v>0</v>
      </c>
      <c r="G25404" t="str">
        <f>"2018-10-06 07:12:23"</f>
        <v>2018-10-06 07:12:23</v>
      </c>
    </row>
    <row r="25405" spans="1:7" x14ac:dyDescent="0.2">
      <c r="A25405" t="s">
        <v>1</v>
      </c>
      <c r="B25405" t="str">
        <f>"13339083696"</f>
        <v>13339083696</v>
      </c>
      <c r="C25405" t="s">
        <v>1</v>
      </c>
      <c r="D25405" t="s">
        <v>1</v>
      </c>
      <c r="E25405" t="s">
        <v>1</v>
      </c>
      <c r="F25405" t="s">
        <v>0</v>
      </c>
      <c r="G25405" t="str">
        <f>"2018-10-06 07:05:37"</f>
        <v>2018-10-06 07:05:37</v>
      </c>
    </row>
    <row r="25406" spans="1:7" x14ac:dyDescent="0.2">
      <c r="A25406" t="s">
        <v>7207</v>
      </c>
      <c r="B25406" t="str">
        <f>"13529350116"</f>
        <v>13529350116</v>
      </c>
      <c r="C25406" t="str">
        <f>"610302197902022538"</f>
        <v>610302197902022538</v>
      </c>
      <c r="D25406" t="s">
        <v>23370</v>
      </c>
      <c r="E25406" t="s">
        <v>23371</v>
      </c>
      <c r="F25406" t="s">
        <v>0</v>
      </c>
      <c r="G25406" t="str">
        <f>"2018-10-06 09:12:04"</f>
        <v>2018-10-06 09:12:04</v>
      </c>
    </row>
    <row r="25407" spans="1:7" x14ac:dyDescent="0.2">
      <c r="A25407" t="s">
        <v>23372</v>
      </c>
      <c r="B25407" t="str">
        <f>"17674512006"</f>
        <v>17674512006</v>
      </c>
      <c r="C25407" t="str">
        <f>"431230199303060619"</f>
        <v>431230199303060619</v>
      </c>
      <c r="D25407" t="s">
        <v>23373</v>
      </c>
      <c r="E25407" t="s">
        <v>23374</v>
      </c>
      <c r="F25407" t="s">
        <v>0</v>
      </c>
      <c r="G25407" t="str">
        <f>"2018-10-06 07:04:28"</f>
        <v>2018-10-06 07:04:28</v>
      </c>
    </row>
    <row r="25408" spans="1:7" x14ac:dyDescent="0.2">
      <c r="A25408" t="s">
        <v>23375</v>
      </c>
      <c r="B25408" t="str">
        <f>"13512387153"</f>
        <v>13512387153</v>
      </c>
      <c r="C25408" t="str">
        <f>"500103198804060017"</f>
        <v>500103198804060017</v>
      </c>
      <c r="D25408" t="s">
        <v>1</v>
      </c>
      <c r="E25408" t="s">
        <v>1</v>
      </c>
      <c r="F25408" t="s">
        <v>0</v>
      </c>
      <c r="G25408" t="str">
        <f>"2018-10-06 07:05:35"</f>
        <v>2018-10-06 07:05:35</v>
      </c>
    </row>
    <row r="25409" spans="1:7" x14ac:dyDescent="0.2">
      <c r="A25409" t="s">
        <v>1434</v>
      </c>
      <c r="B25409" t="str">
        <f>"13703551557"</f>
        <v>13703551557</v>
      </c>
      <c r="C25409" t="str">
        <f>"142622197809110024"</f>
        <v>142622197809110024</v>
      </c>
      <c r="D25409" t="s">
        <v>1</v>
      </c>
      <c r="E25409" t="s">
        <v>1</v>
      </c>
      <c r="F25409" t="s">
        <v>0</v>
      </c>
      <c r="G25409" t="str">
        <f>"2018-10-06 07:04:50"</f>
        <v>2018-10-06 07:04:50</v>
      </c>
    </row>
    <row r="25410" spans="1:7" x14ac:dyDescent="0.2">
      <c r="A25410" t="s">
        <v>23376</v>
      </c>
      <c r="B25410" t="str">
        <f>"18656887701"</f>
        <v>18656887701</v>
      </c>
      <c r="C25410" t="str">
        <f>"34120419940808142X"</f>
        <v>34120419940808142X</v>
      </c>
      <c r="D25410" t="s">
        <v>1</v>
      </c>
      <c r="E25410" t="s">
        <v>1</v>
      </c>
      <c r="F25410" t="s">
        <v>0</v>
      </c>
      <c r="G25410" t="str">
        <f>"2018-10-18 11:03:22"</f>
        <v>2018-10-18 11:03:22</v>
      </c>
    </row>
    <row r="25411" spans="1:7" x14ac:dyDescent="0.2">
      <c r="A25411" t="s">
        <v>23377</v>
      </c>
      <c r="B25411" t="str">
        <f>"18850322183"</f>
        <v>18850322183</v>
      </c>
      <c r="C25411" t="str">
        <f>"350212199012275536"</f>
        <v>350212199012275536</v>
      </c>
      <c r="D25411" t="s">
        <v>23378</v>
      </c>
      <c r="E25411" t="s">
        <v>23379</v>
      </c>
      <c r="F25411" t="s">
        <v>0</v>
      </c>
      <c r="G25411" t="str">
        <f>"2018-10-06 06:54:50"</f>
        <v>2018-10-06 06:54:50</v>
      </c>
    </row>
    <row r="25412" spans="1:7" x14ac:dyDescent="0.2">
      <c r="A25412" t="s">
        <v>487</v>
      </c>
      <c r="B25412" t="str">
        <f>"13501863032"</f>
        <v>13501863032</v>
      </c>
      <c r="C25412" t="str">
        <f>"342425199603106534"</f>
        <v>342425199603106534</v>
      </c>
      <c r="D25412" t="s">
        <v>1</v>
      </c>
      <c r="E25412" t="s">
        <v>1</v>
      </c>
      <c r="F25412" t="s">
        <v>0</v>
      </c>
      <c r="G25412" t="str">
        <f>"2018-10-06 06:53:54"</f>
        <v>2018-10-06 06:53:54</v>
      </c>
    </row>
    <row r="25413" spans="1:7" x14ac:dyDescent="0.2">
      <c r="A25413" t="s">
        <v>1</v>
      </c>
      <c r="B25413" t="str">
        <f>"13918765018"</f>
        <v>13918765018</v>
      </c>
      <c r="C25413" t="s">
        <v>1</v>
      </c>
      <c r="D25413" t="s">
        <v>1</v>
      </c>
      <c r="E25413" t="s">
        <v>1</v>
      </c>
      <c r="F25413" t="s">
        <v>0</v>
      </c>
      <c r="G25413" t="str">
        <f>"2018-10-06 06:49:28"</f>
        <v>2018-10-06 06:49:28</v>
      </c>
    </row>
    <row r="25414" spans="1:7" x14ac:dyDescent="0.2">
      <c r="A25414" t="s">
        <v>23380</v>
      </c>
      <c r="B25414" t="str">
        <f>"13140070122"</f>
        <v>13140070122</v>
      </c>
      <c r="C25414" t="str">
        <f>"412722199611116914"</f>
        <v>412722199611116914</v>
      </c>
      <c r="D25414" t="s">
        <v>1</v>
      </c>
      <c r="E25414" t="s">
        <v>1</v>
      </c>
      <c r="F25414" t="s">
        <v>0</v>
      </c>
      <c r="G25414" t="str">
        <f>"2018-10-06 07:00:42"</f>
        <v>2018-10-06 07:00:42</v>
      </c>
    </row>
    <row r="25415" spans="1:7" x14ac:dyDescent="0.2">
      <c r="A25415" t="s">
        <v>1</v>
      </c>
      <c r="B25415" t="str">
        <f>"13002233664"</f>
        <v>13002233664</v>
      </c>
      <c r="C25415" t="s">
        <v>1</v>
      </c>
      <c r="D25415" t="s">
        <v>1</v>
      </c>
      <c r="E25415" t="s">
        <v>1</v>
      </c>
      <c r="F25415" t="s">
        <v>0</v>
      </c>
      <c r="G25415" t="str">
        <f>"2018-10-06 06:40:35"</f>
        <v>2018-10-06 06:40:35</v>
      </c>
    </row>
    <row r="25416" spans="1:7" x14ac:dyDescent="0.2">
      <c r="A25416" t="s">
        <v>23381</v>
      </c>
      <c r="B25416" t="str">
        <f>"15859952110"</f>
        <v>15859952110</v>
      </c>
      <c r="C25416" t="str">
        <f>"350783198608244034"</f>
        <v>350783198608244034</v>
      </c>
      <c r="D25416" t="s">
        <v>1</v>
      </c>
      <c r="E25416" t="s">
        <v>1</v>
      </c>
      <c r="F25416" t="s">
        <v>0</v>
      </c>
      <c r="G25416" t="str">
        <f>"2018-10-06 06:34:59"</f>
        <v>2018-10-06 06:34:59</v>
      </c>
    </row>
    <row r="25417" spans="1:7" x14ac:dyDescent="0.2">
      <c r="A25417" t="s">
        <v>23382</v>
      </c>
      <c r="B25417" t="str">
        <f>"15908952831"</f>
        <v>15908952831</v>
      </c>
      <c r="C25417" t="str">
        <f>"370285199308175616"</f>
        <v>370285199308175616</v>
      </c>
      <c r="D25417" t="s">
        <v>1</v>
      </c>
      <c r="E25417" t="s">
        <v>1</v>
      </c>
      <c r="F25417" t="s">
        <v>0</v>
      </c>
      <c r="G25417" t="str">
        <f>"2018-10-06 07:12:33"</f>
        <v>2018-10-06 07:12:33</v>
      </c>
    </row>
    <row r="25418" spans="1:7" x14ac:dyDescent="0.2">
      <c r="A25418" t="s">
        <v>1</v>
      </c>
      <c r="B25418" t="str">
        <f>"18244802508"</f>
        <v>18244802508</v>
      </c>
      <c r="C25418" t="s">
        <v>1</v>
      </c>
      <c r="D25418" t="s">
        <v>1</v>
      </c>
      <c r="E25418" t="s">
        <v>1</v>
      </c>
      <c r="F25418" t="s">
        <v>0</v>
      </c>
      <c r="G25418" t="str">
        <f>"2018-10-06 06:28:23"</f>
        <v>2018-10-06 06:28:23</v>
      </c>
    </row>
    <row r="25419" spans="1:7" x14ac:dyDescent="0.2">
      <c r="A25419" t="s">
        <v>23383</v>
      </c>
      <c r="B25419" t="str">
        <f>"13859711455"</f>
        <v>13859711455</v>
      </c>
      <c r="C25419" t="str">
        <f>"350526198609086017"</f>
        <v>350526198609086017</v>
      </c>
      <c r="D25419" t="s">
        <v>1</v>
      </c>
      <c r="E25419" t="s">
        <v>1</v>
      </c>
      <c r="F25419" t="s">
        <v>0</v>
      </c>
      <c r="G25419" t="str">
        <f>"2018-10-06 06:40:03"</f>
        <v>2018-10-06 06:40:03</v>
      </c>
    </row>
    <row r="25420" spans="1:7" x14ac:dyDescent="0.2">
      <c r="A25420" t="s">
        <v>23384</v>
      </c>
      <c r="B25420" t="str">
        <f>"13736776864"</f>
        <v>13736776864</v>
      </c>
      <c r="C25420" t="str">
        <f>"330382198707014718"</f>
        <v>330382198707014718</v>
      </c>
      <c r="D25420" t="s">
        <v>23385</v>
      </c>
      <c r="E25420" t="s">
        <v>23386</v>
      </c>
      <c r="F25420" t="s">
        <v>0</v>
      </c>
      <c r="G25420" t="str">
        <f>"2018-10-06 07:15:10"</f>
        <v>2018-10-06 07:15:10</v>
      </c>
    </row>
    <row r="25421" spans="1:7" x14ac:dyDescent="0.2">
      <c r="A25421" t="s">
        <v>1</v>
      </c>
      <c r="B25421" t="str">
        <f>"15142727120"</f>
        <v>15142727120</v>
      </c>
      <c r="C25421" t="s">
        <v>1</v>
      </c>
      <c r="D25421" t="s">
        <v>1</v>
      </c>
      <c r="E25421" t="s">
        <v>1</v>
      </c>
      <c r="F25421" t="s">
        <v>0</v>
      </c>
      <c r="G25421" t="str">
        <f>"2018-10-06 06:24:26"</f>
        <v>2018-10-06 06:24:26</v>
      </c>
    </row>
    <row r="25422" spans="1:7" x14ac:dyDescent="0.2">
      <c r="A25422" t="s">
        <v>1</v>
      </c>
      <c r="B25422" t="str">
        <f>"13098914002"</f>
        <v>13098914002</v>
      </c>
      <c r="C25422" t="s">
        <v>1</v>
      </c>
      <c r="D25422" t="s">
        <v>1</v>
      </c>
      <c r="E25422" t="s">
        <v>1</v>
      </c>
      <c r="F25422" t="s">
        <v>0</v>
      </c>
      <c r="G25422" t="str">
        <f>"2018-10-06 07:19:19"</f>
        <v>2018-10-06 07:19:19</v>
      </c>
    </row>
    <row r="25423" spans="1:7" x14ac:dyDescent="0.2">
      <c r="A25423" t="s">
        <v>23387</v>
      </c>
      <c r="B25423" t="str">
        <f>"15165258080"</f>
        <v>15165258080</v>
      </c>
      <c r="C25423" t="str">
        <f>"370281199212015735"</f>
        <v>370281199212015735</v>
      </c>
      <c r="D25423" t="s">
        <v>1</v>
      </c>
      <c r="E25423" t="s">
        <v>1</v>
      </c>
      <c r="F25423" t="s">
        <v>0</v>
      </c>
      <c r="G25423" t="str">
        <f>"2018-10-06 06:25:23"</f>
        <v>2018-10-06 06:25:23</v>
      </c>
    </row>
    <row r="25424" spans="1:7" x14ac:dyDescent="0.2">
      <c r="A25424" t="s">
        <v>23388</v>
      </c>
      <c r="B25424" t="str">
        <f>"13570054072"</f>
        <v>13570054072</v>
      </c>
      <c r="C25424" t="str">
        <f>"440882199602263520"</f>
        <v>440882199602263520</v>
      </c>
      <c r="D25424" t="s">
        <v>23389</v>
      </c>
      <c r="E25424" t="s">
        <v>23390</v>
      </c>
      <c r="F25424" t="s">
        <v>0</v>
      </c>
      <c r="G25424" t="str">
        <f>"2018-10-06 06:19:43"</f>
        <v>2018-10-06 06:19:43</v>
      </c>
    </row>
    <row r="25425" spans="1:7" x14ac:dyDescent="0.2">
      <c r="A25425" t="s">
        <v>1</v>
      </c>
      <c r="B25425" t="str">
        <f>"13185696910"</f>
        <v>13185696910</v>
      </c>
      <c r="C25425" t="s">
        <v>1</v>
      </c>
      <c r="D25425" t="s">
        <v>1</v>
      </c>
      <c r="E25425" t="s">
        <v>1</v>
      </c>
      <c r="F25425" t="s">
        <v>0</v>
      </c>
      <c r="G25425" t="str">
        <f>"2018-10-06 06:11:07"</f>
        <v>2018-10-06 06:11:07</v>
      </c>
    </row>
    <row r="25426" spans="1:7" x14ac:dyDescent="0.2">
      <c r="A25426" t="s">
        <v>1</v>
      </c>
      <c r="B25426" t="str">
        <f>"18645383521"</f>
        <v>18645383521</v>
      </c>
      <c r="C25426" t="s">
        <v>1</v>
      </c>
      <c r="D25426" t="s">
        <v>1</v>
      </c>
      <c r="E25426" t="s">
        <v>1</v>
      </c>
      <c r="F25426" t="s">
        <v>0</v>
      </c>
      <c r="G25426" t="str">
        <f>"2018-10-06 06:08:59"</f>
        <v>2018-10-06 06:08:59</v>
      </c>
    </row>
    <row r="25427" spans="1:7" x14ac:dyDescent="0.2">
      <c r="A25427" t="s">
        <v>1</v>
      </c>
      <c r="B25427" t="str">
        <f>"17677632531"</f>
        <v>17677632531</v>
      </c>
      <c r="C25427" t="s">
        <v>1</v>
      </c>
      <c r="D25427" t="s">
        <v>1</v>
      </c>
      <c r="E25427" t="s">
        <v>1</v>
      </c>
      <c r="F25427" t="s">
        <v>0</v>
      </c>
      <c r="G25427" t="str">
        <f>"2018-10-06 05:57:06"</f>
        <v>2018-10-06 05:57:06</v>
      </c>
    </row>
    <row r="25428" spans="1:7" x14ac:dyDescent="0.2">
      <c r="A25428" t="s">
        <v>23391</v>
      </c>
      <c r="B25428" t="str">
        <f>"15165079445"</f>
        <v>15165079445</v>
      </c>
      <c r="C25428" t="str">
        <f>"32092419811122413X"</f>
        <v>32092419811122413X</v>
      </c>
      <c r="D25428" t="s">
        <v>1</v>
      </c>
      <c r="E25428" t="s">
        <v>1</v>
      </c>
      <c r="F25428" t="s">
        <v>0</v>
      </c>
      <c r="G25428" t="str">
        <f>"2018-10-06 05:49:38"</f>
        <v>2018-10-06 05:49:38</v>
      </c>
    </row>
    <row r="25429" spans="1:7" x14ac:dyDescent="0.2">
      <c r="A25429" t="s">
        <v>23392</v>
      </c>
      <c r="B25429" t="str">
        <f>"15801818365"</f>
        <v>15801818365</v>
      </c>
      <c r="C25429" t="str">
        <f>"310226199107294511"</f>
        <v>310226199107294511</v>
      </c>
      <c r="D25429" t="s">
        <v>1</v>
      </c>
      <c r="E25429" t="s">
        <v>1</v>
      </c>
      <c r="F25429" t="s">
        <v>0</v>
      </c>
      <c r="G25429" t="str">
        <f>"2018-10-07 06:26:55"</f>
        <v>2018-10-07 06:26:55</v>
      </c>
    </row>
    <row r="25430" spans="1:7" x14ac:dyDescent="0.2">
      <c r="A25430" t="s">
        <v>1</v>
      </c>
      <c r="B25430" t="str">
        <f>"13647245958"</f>
        <v>13647245958</v>
      </c>
      <c r="C25430" t="s">
        <v>1</v>
      </c>
      <c r="D25430" t="s">
        <v>1</v>
      </c>
      <c r="E25430" t="s">
        <v>1</v>
      </c>
      <c r="F25430" t="s">
        <v>0</v>
      </c>
      <c r="G25430" t="str">
        <f>"2018-10-06 05:38:21"</f>
        <v>2018-10-06 05:38:21</v>
      </c>
    </row>
    <row r="25431" spans="1:7" x14ac:dyDescent="0.2">
      <c r="A25431" t="s">
        <v>23393</v>
      </c>
      <c r="B25431" t="str">
        <f>"13599902618"</f>
        <v>13599902618</v>
      </c>
      <c r="C25431" t="str">
        <f>"350681199502283015"</f>
        <v>350681199502283015</v>
      </c>
      <c r="D25431" t="s">
        <v>1</v>
      </c>
      <c r="E25431" t="s">
        <v>1</v>
      </c>
      <c r="F25431" t="s">
        <v>0</v>
      </c>
      <c r="G25431" t="str">
        <f>"2018-10-06 05:43:24"</f>
        <v>2018-10-06 05:43:24</v>
      </c>
    </row>
    <row r="25432" spans="1:7" x14ac:dyDescent="0.2">
      <c r="A25432" t="s">
        <v>23394</v>
      </c>
      <c r="B25432" t="str">
        <f>"13208320015"</f>
        <v>13208320015</v>
      </c>
      <c r="C25432" t="str">
        <f>"511002199212232810"</f>
        <v>511002199212232810</v>
      </c>
      <c r="D25432" t="s">
        <v>1</v>
      </c>
      <c r="E25432" t="s">
        <v>1</v>
      </c>
      <c r="F25432" t="s">
        <v>0</v>
      </c>
      <c r="G25432" t="str">
        <f>"2018-10-06 05:35:26"</f>
        <v>2018-10-06 05:35:26</v>
      </c>
    </row>
    <row r="25433" spans="1:7" x14ac:dyDescent="0.2">
      <c r="A25433" t="s">
        <v>1</v>
      </c>
      <c r="B25433" t="str">
        <f>"18795181013"</f>
        <v>18795181013</v>
      </c>
      <c r="C25433" t="s">
        <v>1</v>
      </c>
      <c r="D25433" t="s">
        <v>1</v>
      </c>
      <c r="E25433" t="s">
        <v>1</v>
      </c>
      <c r="F25433" t="s">
        <v>0</v>
      </c>
      <c r="G25433" t="str">
        <f>"2018-10-06 05:17:02"</f>
        <v>2018-10-06 05:17:02</v>
      </c>
    </row>
    <row r="25434" spans="1:7" x14ac:dyDescent="0.2">
      <c r="A25434" t="s">
        <v>1</v>
      </c>
      <c r="B25434" t="str">
        <f>"18753909826"</f>
        <v>18753909826</v>
      </c>
      <c r="C25434" t="s">
        <v>1</v>
      </c>
      <c r="D25434" t="s">
        <v>1</v>
      </c>
      <c r="E25434" t="s">
        <v>1</v>
      </c>
      <c r="F25434" t="s">
        <v>0</v>
      </c>
      <c r="G25434" t="str">
        <f>"2018-10-06 05:04:23"</f>
        <v>2018-10-06 05:04:23</v>
      </c>
    </row>
    <row r="25435" spans="1:7" x14ac:dyDescent="0.2">
      <c r="A25435" t="s">
        <v>23395</v>
      </c>
      <c r="B25435" t="str">
        <f>"18267058261"</f>
        <v>18267058261</v>
      </c>
      <c r="C25435" t="str">
        <f>"350724198211181522"</f>
        <v>350724198211181522</v>
      </c>
      <c r="D25435" t="s">
        <v>1</v>
      </c>
      <c r="E25435" t="s">
        <v>1</v>
      </c>
      <c r="F25435" t="s">
        <v>0</v>
      </c>
      <c r="G25435" t="str">
        <f>"2018-10-06 04:54:32"</f>
        <v>2018-10-06 04:54:32</v>
      </c>
    </row>
    <row r="25436" spans="1:7" x14ac:dyDescent="0.2">
      <c r="A25436" t="s">
        <v>1</v>
      </c>
      <c r="B25436" t="str">
        <f>"13015227777"</f>
        <v>13015227777</v>
      </c>
      <c r="C25436" t="s">
        <v>1</v>
      </c>
      <c r="D25436" t="s">
        <v>1</v>
      </c>
      <c r="E25436" t="s">
        <v>1</v>
      </c>
      <c r="F25436" t="s">
        <v>0</v>
      </c>
      <c r="G25436" t="str">
        <f>"2018-10-06 04:52:55"</f>
        <v>2018-10-06 04:52:55</v>
      </c>
    </row>
    <row r="25437" spans="1:7" x14ac:dyDescent="0.2">
      <c r="A25437" t="s">
        <v>23396</v>
      </c>
      <c r="B25437" t="str">
        <f>"18205187178"</f>
        <v>18205187178</v>
      </c>
      <c r="C25437" t="str">
        <f>"320283199707252074"</f>
        <v>320283199707252074</v>
      </c>
      <c r="D25437" t="s">
        <v>1</v>
      </c>
      <c r="E25437" t="s">
        <v>1</v>
      </c>
      <c r="F25437" t="s">
        <v>0</v>
      </c>
      <c r="G25437" t="str">
        <f>"2018-10-06 04:38:27"</f>
        <v>2018-10-06 04:38:27</v>
      </c>
    </row>
    <row r="25438" spans="1:7" x14ac:dyDescent="0.2">
      <c r="A25438" t="s">
        <v>23397</v>
      </c>
      <c r="B25438" t="str">
        <f>"18702382808"</f>
        <v>18702382808</v>
      </c>
      <c r="C25438" t="str">
        <f>"511322198308178377"</f>
        <v>511322198308178377</v>
      </c>
      <c r="D25438" t="s">
        <v>1</v>
      </c>
      <c r="E25438" t="s">
        <v>1</v>
      </c>
      <c r="F25438" t="s">
        <v>0</v>
      </c>
      <c r="G25438" t="str">
        <f>"2018-10-06 04:38:45"</f>
        <v>2018-10-06 04:38:45</v>
      </c>
    </row>
    <row r="25439" spans="1:7" x14ac:dyDescent="0.2">
      <c r="A25439" t="s">
        <v>23398</v>
      </c>
      <c r="B25439" t="str">
        <f>"15838920595"</f>
        <v>15838920595</v>
      </c>
      <c r="C25439" t="str">
        <f>"410823199710290352"</f>
        <v>410823199710290352</v>
      </c>
      <c r="D25439" t="s">
        <v>1</v>
      </c>
      <c r="E25439" t="s">
        <v>1</v>
      </c>
      <c r="F25439" t="s">
        <v>0</v>
      </c>
      <c r="G25439" t="str">
        <f>"2018-10-07 17:45:12"</f>
        <v>2018-10-07 17:45:12</v>
      </c>
    </row>
    <row r="25440" spans="1:7" x14ac:dyDescent="0.2">
      <c r="A25440" t="s">
        <v>23399</v>
      </c>
      <c r="B25440" t="str">
        <f>"13103124211"</f>
        <v>13103124211</v>
      </c>
      <c r="C25440" t="str">
        <f>"130635198406074033"</f>
        <v>130635198406074033</v>
      </c>
      <c r="D25440" t="s">
        <v>23400</v>
      </c>
      <c r="E25440" t="s">
        <v>23401</v>
      </c>
      <c r="F25440" t="s">
        <v>0</v>
      </c>
      <c r="G25440" t="str">
        <f>"2018-10-06 05:10:44"</f>
        <v>2018-10-06 05:10:44</v>
      </c>
    </row>
    <row r="25441" spans="1:7" x14ac:dyDescent="0.2">
      <c r="A25441" t="s">
        <v>1</v>
      </c>
      <c r="B25441" t="str">
        <f>"18671268299"</f>
        <v>18671268299</v>
      </c>
      <c r="C25441" t="s">
        <v>1</v>
      </c>
      <c r="D25441" t="s">
        <v>1</v>
      </c>
      <c r="E25441" t="s">
        <v>1</v>
      </c>
      <c r="F25441" t="s">
        <v>0</v>
      </c>
      <c r="G25441" t="str">
        <f>"2018-10-06 04:50:41"</f>
        <v>2018-10-06 04:50:41</v>
      </c>
    </row>
    <row r="25442" spans="1:7" x14ac:dyDescent="0.2">
      <c r="A25442" t="s">
        <v>1</v>
      </c>
      <c r="B25442" t="str">
        <f>"15122415954"</f>
        <v>15122415954</v>
      </c>
      <c r="C25442" t="s">
        <v>1</v>
      </c>
      <c r="D25442" t="s">
        <v>1</v>
      </c>
      <c r="E25442" t="s">
        <v>1</v>
      </c>
      <c r="F25442" t="s">
        <v>0</v>
      </c>
      <c r="G25442" t="str">
        <f>"2018-10-06 04:13:26"</f>
        <v>2018-10-06 04:13:26</v>
      </c>
    </row>
    <row r="25443" spans="1:7" x14ac:dyDescent="0.2">
      <c r="A25443" t="s">
        <v>1</v>
      </c>
      <c r="B25443" t="str">
        <f>"18670787937"</f>
        <v>18670787937</v>
      </c>
      <c r="C25443" t="s">
        <v>1</v>
      </c>
      <c r="D25443" t="s">
        <v>1</v>
      </c>
      <c r="E25443" t="s">
        <v>1</v>
      </c>
      <c r="F25443" t="s">
        <v>0</v>
      </c>
      <c r="G25443" t="str">
        <f>"2018-10-06 04:11:24"</f>
        <v>2018-10-06 04:11:24</v>
      </c>
    </row>
    <row r="25444" spans="1:7" x14ac:dyDescent="0.2">
      <c r="A25444" t="s">
        <v>23402</v>
      </c>
      <c r="B25444" t="str">
        <f>"15074579923"</f>
        <v>15074579923</v>
      </c>
      <c r="C25444" t="str">
        <f>"431221198708130880"</f>
        <v>431221198708130880</v>
      </c>
      <c r="D25444" t="s">
        <v>23403</v>
      </c>
      <c r="E25444" t="s">
        <v>23404</v>
      </c>
      <c r="F25444" t="s">
        <v>0</v>
      </c>
      <c r="G25444" t="str">
        <f>"2018-11-04 02:36:30"</f>
        <v>2018-11-04 02:36:30</v>
      </c>
    </row>
    <row r="25445" spans="1:7" x14ac:dyDescent="0.2">
      <c r="A25445" t="s">
        <v>23405</v>
      </c>
      <c r="B25445" t="str">
        <f>"15506263673"</f>
        <v>15506263673</v>
      </c>
      <c r="C25445" t="str">
        <f>"320583199312132111"</f>
        <v>320583199312132111</v>
      </c>
      <c r="D25445" t="s">
        <v>1</v>
      </c>
      <c r="E25445" t="s">
        <v>1</v>
      </c>
      <c r="F25445" t="s">
        <v>0</v>
      </c>
      <c r="G25445" t="str">
        <f>"2018-10-07 03:58:27"</f>
        <v>2018-10-07 03:58:27</v>
      </c>
    </row>
    <row r="25446" spans="1:7" x14ac:dyDescent="0.2">
      <c r="A25446" t="s">
        <v>1</v>
      </c>
      <c r="B25446" t="str">
        <f>"13760374138"</f>
        <v>13760374138</v>
      </c>
      <c r="C25446" t="s">
        <v>1</v>
      </c>
      <c r="D25446" t="s">
        <v>1</v>
      </c>
      <c r="E25446" t="s">
        <v>1</v>
      </c>
      <c r="F25446" t="s">
        <v>0</v>
      </c>
      <c r="G25446" t="str">
        <f>"2018-10-06 04:04:23"</f>
        <v>2018-10-06 04:04:23</v>
      </c>
    </row>
    <row r="25447" spans="1:7" x14ac:dyDescent="0.2">
      <c r="A25447" t="s">
        <v>23406</v>
      </c>
      <c r="B25447" t="str">
        <f>"18898472178"</f>
        <v>18898472178</v>
      </c>
      <c r="C25447" t="str">
        <f>"510525198711054373"</f>
        <v>510525198711054373</v>
      </c>
      <c r="D25447" t="s">
        <v>1</v>
      </c>
      <c r="E25447" t="s">
        <v>1</v>
      </c>
      <c r="F25447" t="s">
        <v>0</v>
      </c>
      <c r="G25447" t="str">
        <f>"2018-10-06 04:05:29"</f>
        <v>2018-10-06 04:05:29</v>
      </c>
    </row>
    <row r="25448" spans="1:7" x14ac:dyDescent="0.2">
      <c r="A25448" t="s">
        <v>23407</v>
      </c>
      <c r="B25448" t="str">
        <f>"15982892389"</f>
        <v>15982892389</v>
      </c>
      <c r="C25448" t="str">
        <f>"510124199305240425"</f>
        <v>510124199305240425</v>
      </c>
      <c r="D25448" t="s">
        <v>23408</v>
      </c>
      <c r="E25448" t="s">
        <v>23409</v>
      </c>
      <c r="F25448" t="s">
        <v>0</v>
      </c>
      <c r="G25448" t="str">
        <f>"2018-10-06 03:53:54"</f>
        <v>2018-10-06 03:53:54</v>
      </c>
    </row>
    <row r="25449" spans="1:7" x14ac:dyDescent="0.2">
      <c r="A25449" t="s">
        <v>23410</v>
      </c>
      <c r="B25449" t="str">
        <f>"15277268818"</f>
        <v>15277268818</v>
      </c>
      <c r="C25449" t="str">
        <f>"452224198810122522"</f>
        <v>452224198810122522</v>
      </c>
      <c r="D25449" t="s">
        <v>1</v>
      </c>
      <c r="E25449" t="s">
        <v>1</v>
      </c>
      <c r="F25449" t="s">
        <v>0</v>
      </c>
      <c r="G25449" t="str">
        <f>"2018-10-06 03:58:35"</f>
        <v>2018-10-06 03:58:35</v>
      </c>
    </row>
    <row r="25450" spans="1:7" x14ac:dyDescent="0.2">
      <c r="A25450" t="s">
        <v>1</v>
      </c>
      <c r="B25450" t="str">
        <f>"18131946789"</f>
        <v>18131946789</v>
      </c>
      <c r="C25450" t="s">
        <v>1</v>
      </c>
      <c r="D25450" t="s">
        <v>1</v>
      </c>
      <c r="E25450" t="s">
        <v>1</v>
      </c>
      <c r="F25450" t="s">
        <v>0</v>
      </c>
      <c r="G25450" t="str">
        <f>"2018-10-06 03:41:57"</f>
        <v>2018-10-06 03:41:57</v>
      </c>
    </row>
    <row r="25451" spans="1:7" x14ac:dyDescent="0.2">
      <c r="A25451" t="s">
        <v>413</v>
      </c>
      <c r="B25451" t="str">
        <f>"15549501083"</f>
        <v>15549501083</v>
      </c>
      <c r="C25451" t="str">
        <f>"422202199303224218"</f>
        <v>422202199303224218</v>
      </c>
      <c r="D25451" t="s">
        <v>1</v>
      </c>
      <c r="E25451" t="s">
        <v>1</v>
      </c>
      <c r="F25451" t="s">
        <v>0</v>
      </c>
      <c r="G25451" t="str">
        <f>"2018-10-06 03:48:47"</f>
        <v>2018-10-06 03:48:47</v>
      </c>
    </row>
    <row r="25452" spans="1:7" x14ac:dyDescent="0.2">
      <c r="A25452" t="s">
        <v>23411</v>
      </c>
      <c r="B25452" t="str">
        <f>"18968076781"</f>
        <v>18968076781</v>
      </c>
      <c r="C25452" t="str">
        <f>"341021198911233997"</f>
        <v>341021198911233997</v>
      </c>
      <c r="D25452" t="s">
        <v>1</v>
      </c>
      <c r="E25452" t="s">
        <v>1</v>
      </c>
      <c r="F25452" t="s">
        <v>0</v>
      </c>
      <c r="G25452" t="str">
        <f>"2018-10-06 03:39:31"</f>
        <v>2018-10-06 03:39:31</v>
      </c>
    </row>
    <row r="25453" spans="1:7" x14ac:dyDescent="0.2">
      <c r="A25453" t="s">
        <v>1</v>
      </c>
      <c r="B25453" t="str">
        <f>"15237598659"</f>
        <v>15237598659</v>
      </c>
      <c r="C25453" t="s">
        <v>1</v>
      </c>
      <c r="D25453" t="s">
        <v>1</v>
      </c>
      <c r="E25453" t="s">
        <v>1</v>
      </c>
      <c r="F25453" t="s">
        <v>0</v>
      </c>
      <c r="G25453" t="str">
        <f>"2018-10-06 03:28:30"</f>
        <v>2018-10-06 03:28:30</v>
      </c>
    </row>
    <row r="25454" spans="1:7" x14ac:dyDescent="0.2">
      <c r="A25454" t="s">
        <v>1567</v>
      </c>
      <c r="B25454" t="str">
        <f>"18292299267"</f>
        <v>18292299267</v>
      </c>
      <c r="C25454" t="str">
        <f>"612732197904050032"</f>
        <v>612732197904050032</v>
      </c>
      <c r="D25454" t="s">
        <v>1</v>
      </c>
      <c r="E25454" t="s">
        <v>1</v>
      </c>
      <c r="F25454" t="s">
        <v>0</v>
      </c>
      <c r="G25454" t="str">
        <f>"2018-10-13 22:44:25"</f>
        <v>2018-10-13 22:44:25</v>
      </c>
    </row>
    <row r="25455" spans="1:7" x14ac:dyDescent="0.2">
      <c r="A25455" t="s">
        <v>1</v>
      </c>
      <c r="B25455" t="str">
        <f>"13115765836"</f>
        <v>13115765836</v>
      </c>
      <c r="C25455" t="s">
        <v>1</v>
      </c>
      <c r="D25455" t="s">
        <v>1</v>
      </c>
      <c r="E25455" t="s">
        <v>1</v>
      </c>
      <c r="F25455" t="s">
        <v>0</v>
      </c>
      <c r="G25455" t="str">
        <f>"2018-10-06 03:17:32"</f>
        <v>2018-10-06 03:17:32</v>
      </c>
    </row>
    <row r="25456" spans="1:7" x14ac:dyDescent="0.2">
      <c r="A25456" t="s">
        <v>23412</v>
      </c>
      <c r="B25456" t="str">
        <f>"13877948431"</f>
        <v>13877948431</v>
      </c>
      <c r="C25456" t="str">
        <f>"450503199610080628"</f>
        <v>450503199610080628</v>
      </c>
      <c r="D25456" t="s">
        <v>23413</v>
      </c>
      <c r="E25456" t="s">
        <v>23414</v>
      </c>
      <c r="F25456" t="s">
        <v>0</v>
      </c>
      <c r="G25456" t="str">
        <f>"2018-10-06 03:11:21"</f>
        <v>2018-10-06 03:11:21</v>
      </c>
    </row>
    <row r="25457" spans="1:7" x14ac:dyDescent="0.2">
      <c r="A25457" t="s">
        <v>1</v>
      </c>
      <c r="B25457" t="str">
        <f>"15362212641"</f>
        <v>15362212641</v>
      </c>
      <c r="C25457" t="s">
        <v>1</v>
      </c>
      <c r="D25457" t="s">
        <v>1</v>
      </c>
      <c r="E25457" t="s">
        <v>1</v>
      </c>
      <c r="F25457" t="s">
        <v>0</v>
      </c>
      <c r="G25457" t="str">
        <f>"2018-10-06 03:05:08"</f>
        <v>2018-10-06 03:05:08</v>
      </c>
    </row>
    <row r="25458" spans="1:7" x14ac:dyDescent="0.2">
      <c r="A25458" t="s">
        <v>23415</v>
      </c>
      <c r="B25458" t="str">
        <f>"15880826091"</f>
        <v>15880826091</v>
      </c>
      <c r="C25458" t="str">
        <f>"350583199306205439"</f>
        <v>350583199306205439</v>
      </c>
      <c r="D25458" t="s">
        <v>1</v>
      </c>
      <c r="E25458" t="s">
        <v>1</v>
      </c>
      <c r="F25458" t="s">
        <v>0</v>
      </c>
      <c r="G25458" t="str">
        <f>"2018-10-06 03:01:30"</f>
        <v>2018-10-06 03:01:30</v>
      </c>
    </row>
    <row r="25459" spans="1:7" x14ac:dyDescent="0.2">
      <c r="A25459" t="s">
        <v>23416</v>
      </c>
      <c r="B25459" t="str">
        <f>"15216729612"</f>
        <v>15216729612</v>
      </c>
      <c r="C25459" t="str">
        <f>"420528199007101836"</f>
        <v>420528199007101836</v>
      </c>
      <c r="D25459" t="s">
        <v>23417</v>
      </c>
      <c r="E25459" t="s">
        <v>23418</v>
      </c>
      <c r="F25459" t="s">
        <v>0</v>
      </c>
      <c r="G25459" t="str">
        <f>"2018-10-06 03:26:17"</f>
        <v>2018-10-06 03:26:17</v>
      </c>
    </row>
    <row r="25460" spans="1:7" x14ac:dyDescent="0.2">
      <c r="A25460" t="s">
        <v>1</v>
      </c>
      <c r="B25460" t="str">
        <f>"15267579482"</f>
        <v>15267579482</v>
      </c>
      <c r="C25460" t="s">
        <v>1</v>
      </c>
      <c r="D25460" t="s">
        <v>1</v>
      </c>
      <c r="E25460" t="s">
        <v>1</v>
      </c>
      <c r="F25460" t="s">
        <v>0</v>
      </c>
      <c r="G25460" t="str">
        <f>"2018-10-06 02:52:23"</f>
        <v>2018-10-06 02:52:23</v>
      </c>
    </row>
    <row r="25461" spans="1:7" x14ac:dyDescent="0.2">
      <c r="A25461" t="s">
        <v>23419</v>
      </c>
      <c r="B25461" t="str">
        <f>"13732077022"</f>
        <v>13732077022</v>
      </c>
      <c r="C25461" t="str">
        <f>"421182199003130354"</f>
        <v>421182199003130354</v>
      </c>
      <c r="D25461" t="s">
        <v>1</v>
      </c>
      <c r="E25461" t="s">
        <v>1</v>
      </c>
      <c r="F25461" t="s">
        <v>0</v>
      </c>
      <c r="G25461" t="str">
        <f>"2018-10-06 02:46:48"</f>
        <v>2018-10-06 02:46:48</v>
      </c>
    </row>
    <row r="25462" spans="1:7" x14ac:dyDescent="0.2">
      <c r="A25462" t="s">
        <v>23420</v>
      </c>
      <c r="B25462" t="str">
        <f>"13735214250"</f>
        <v>13735214250</v>
      </c>
      <c r="C25462" t="str">
        <f>"330681198811128192"</f>
        <v>330681198811128192</v>
      </c>
      <c r="D25462" t="s">
        <v>1</v>
      </c>
      <c r="E25462" t="s">
        <v>1</v>
      </c>
      <c r="F25462" t="s">
        <v>0</v>
      </c>
      <c r="G25462" t="str">
        <f>"2018-10-06 02:45:50"</f>
        <v>2018-10-06 02:45:50</v>
      </c>
    </row>
    <row r="25463" spans="1:7" x14ac:dyDescent="0.2">
      <c r="A25463" t="s">
        <v>23421</v>
      </c>
      <c r="B25463" t="str">
        <f>"13976385810"</f>
        <v>13976385810</v>
      </c>
      <c r="C25463" t="str">
        <f>"460104199206110916"</f>
        <v>460104199206110916</v>
      </c>
      <c r="D25463" t="s">
        <v>23422</v>
      </c>
      <c r="E25463" t="s">
        <v>23423</v>
      </c>
      <c r="F25463" t="s">
        <v>0</v>
      </c>
      <c r="G25463" t="str">
        <f>"2018-10-06 02:45:56"</f>
        <v>2018-10-06 02:45:56</v>
      </c>
    </row>
    <row r="25464" spans="1:7" x14ac:dyDescent="0.2">
      <c r="A25464" t="s">
        <v>824</v>
      </c>
      <c r="B25464" t="str">
        <f>"18608660502"</f>
        <v>18608660502</v>
      </c>
      <c r="C25464" t="str">
        <f>"429005198410208555"</f>
        <v>429005198410208555</v>
      </c>
      <c r="D25464" t="s">
        <v>1</v>
      </c>
      <c r="E25464" t="s">
        <v>1</v>
      </c>
      <c r="F25464" t="s">
        <v>0</v>
      </c>
      <c r="G25464" t="str">
        <f>"2018-10-25 12:26:58"</f>
        <v>2018-10-25 12:26:58</v>
      </c>
    </row>
    <row r="25465" spans="1:7" x14ac:dyDescent="0.2">
      <c r="A25465" t="s">
        <v>1</v>
      </c>
      <c r="B25465" t="str">
        <f>"15322125128"</f>
        <v>15322125128</v>
      </c>
      <c r="C25465" t="s">
        <v>1</v>
      </c>
      <c r="D25465" t="s">
        <v>1</v>
      </c>
      <c r="E25465" t="s">
        <v>1</v>
      </c>
      <c r="F25465" t="s">
        <v>0</v>
      </c>
      <c r="G25465" t="str">
        <f>"2018-10-06 02:31:38"</f>
        <v>2018-10-06 02:31:38</v>
      </c>
    </row>
    <row r="25466" spans="1:7" x14ac:dyDescent="0.2">
      <c r="A25466" t="s">
        <v>23424</v>
      </c>
      <c r="B25466" t="str">
        <f>"13164490828"</f>
        <v>13164490828</v>
      </c>
      <c r="C25466" t="str">
        <f>"430225197308055017"</f>
        <v>430225197308055017</v>
      </c>
      <c r="D25466" t="s">
        <v>1</v>
      </c>
      <c r="E25466" t="s">
        <v>1</v>
      </c>
      <c r="F25466" t="s">
        <v>0</v>
      </c>
      <c r="G25466" t="str">
        <f>"2018-10-07 08:43:39"</f>
        <v>2018-10-07 08:43:39</v>
      </c>
    </row>
    <row r="25467" spans="1:7" x14ac:dyDescent="0.2">
      <c r="A25467" t="s">
        <v>193</v>
      </c>
      <c r="B25467" t="str">
        <f>"15736501560"</f>
        <v>15736501560</v>
      </c>
      <c r="C25467" t="str">
        <f>"50023019970328263X"</f>
        <v>50023019970328263X</v>
      </c>
      <c r="D25467" t="s">
        <v>1</v>
      </c>
      <c r="E25467" t="s">
        <v>1</v>
      </c>
      <c r="F25467" t="s">
        <v>0</v>
      </c>
      <c r="G25467" t="str">
        <f>"2018-10-06 02:29:18"</f>
        <v>2018-10-06 02:29:18</v>
      </c>
    </row>
    <row r="25468" spans="1:7" x14ac:dyDescent="0.2">
      <c r="A25468" t="s">
        <v>23425</v>
      </c>
      <c r="B25468" t="str">
        <f>"15892616392"</f>
        <v>15892616392</v>
      </c>
      <c r="C25468" t="str">
        <f>"510722199807060459"</f>
        <v>510722199807060459</v>
      </c>
      <c r="D25468" t="s">
        <v>1</v>
      </c>
      <c r="E25468" t="s">
        <v>1</v>
      </c>
      <c r="F25468" t="s">
        <v>0</v>
      </c>
      <c r="G25468" t="str">
        <f>"2018-10-06 02:50:57"</f>
        <v>2018-10-06 02:50:57</v>
      </c>
    </row>
    <row r="25469" spans="1:7" x14ac:dyDescent="0.2">
      <c r="A25469" t="s">
        <v>1</v>
      </c>
      <c r="B25469" t="str">
        <f>"13117342666"</f>
        <v>13117342666</v>
      </c>
      <c r="C25469" t="s">
        <v>1</v>
      </c>
      <c r="D25469" t="s">
        <v>1</v>
      </c>
      <c r="E25469" t="s">
        <v>1</v>
      </c>
      <c r="F25469" t="s">
        <v>0</v>
      </c>
      <c r="G25469" t="str">
        <f>"2018-10-06 02:24:06"</f>
        <v>2018-10-06 02:24:06</v>
      </c>
    </row>
    <row r="25470" spans="1:7" x14ac:dyDescent="0.2">
      <c r="A25470" t="s">
        <v>23426</v>
      </c>
      <c r="B25470" t="str">
        <f>"15103023226"</f>
        <v>15103023226</v>
      </c>
      <c r="C25470" t="str">
        <f>"460026199410072710"</f>
        <v>460026199410072710</v>
      </c>
      <c r="D25470" t="s">
        <v>1</v>
      </c>
      <c r="E25470" t="s">
        <v>1</v>
      </c>
      <c r="F25470" t="s">
        <v>0</v>
      </c>
      <c r="G25470" t="str">
        <f>"2018-10-06 02:23:11"</f>
        <v>2018-10-06 02:23:11</v>
      </c>
    </row>
    <row r="25471" spans="1:7" x14ac:dyDescent="0.2">
      <c r="A25471" t="s">
        <v>469</v>
      </c>
      <c r="B25471" t="str">
        <f>"15099123039"</f>
        <v>15099123039</v>
      </c>
      <c r="C25471" t="str">
        <f>"654123198308226016"</f>
        <v>654123198308226016</v>
      </c>
      <c r="D25471" t="s">
        <v>1</v>
      </c>
      <c r="E25471" t="s">
        <v>1</v>
      </c>
      <c r="F25471" t="s">
        <v>0</v>
      </c>
      <c r="G25471" t="str">
        <f>"2018-10-06 02:20:10"</f>
        <v>2018-10-06 02:20:10</v>
      </c>
    </row>
    <row r="25472" spans="1:7" x14ac:dyDescent="0.2">
      <c r="A25472" t="s">
        <v>23427</v>
      </c>
      <c r="B25472" t="str">
        <f>"18938054999"</f>
        <v>18938054999</v>
      </c>
      <c r="C25472" t="str">
        <f>"430521197409289673"</f>
        <v>430521197409289673</v>
      </c>
      <c r="D25472" t="s">
        <v>1</v>
      </c>
      <c r="E25472" t="s">
        <v>1</v>
      </c>
      <c r="F25472" t="s">
        <v>0</v>
      </c>
      <c r="G25472" t="str">
        <f>"2018-10-06 02:25:22"</f>
        <v>2018-10-06 02:25:22</v>
      </c>
    </row>
    <row r="25473" spans="1:7" x14ac:dyDescent="0.2">
      <c r="A25473" t="s">
        <v>1</v>
      </c>
      <c r="B25473" t="str">
        <f>"13884489059"</f>
        <v>13884489059</v>
      </c>
      <c r="C25473" t="s">
        <v>1</v>
      </c>
      <c r="D25473" t="s">
        <v>1</v>
      </c>
      <c r="E25473" t="s">
        <v>1</v>
      </c>
      <c r="F25473" t="s">
        <v>0</v>
      </c>
      <c r="G25473" t="str">
        <f>"2018-10-06 02:18:28"</f>
        <v>2018-10-06 02:18:28</v>
      </c>
    </row>
    <row r="25474" spans="1:7" x14ac:dyDescent="0.2">
      <c r="A25474" t="s">
        <v>1</v>
      </c>
      <c r="B25474" t="str">
        <f>"15819927172"</f>
        <v>15819927172</v>
      </c>
      <c r="C25474" t="s">
        <v>1</v>
      </c>
      <c r="D25474" t="s">
        <v>1</v>
      </c>
      <c r="E25474" t="s">
        <v>1</v>
      </c>
      <c r="F25474" t="s">
        <v>0</v>
      </c>
      <c r="G25474" t="str">
        <f>"2018-10-06 02:17:26"</f>
        <v>2018-10-06 02:17:26</v>
      </c>
    </row>
    <row r="25475" spans="1:7" x14ac:dyDescent="0.2">
      <c r="A25475" t="s">
        <v>23428</v>
      </c>
      <c r="B25475" t="str">
        <f>"13626936523"</f>
        <v>13626936523</v>
      </c>
      <c r="C25475" t="str">
        <f>"350321197607208618"</f>
        <v>350321197607208618</v>
      </c>
      <c r="D25475" t="s">
        <v>1</v>
      </c>
      <c r="E25475" t="s">
        <v>1</v>
      </c>
      <c r="F25475" t="s">
        <v>0</v>
      </c>
      <c r="G25475" t="str">
        <f>"2018-10-06 02:18:06"</f>
        <v>2018-10-06 02:18:06</v>
      </c>
    </row>
    <row r="25476" spans="1:7" x14ac:dyDescent="0.2">
      <c r="A25476" t="s">
        <v>1</v>
      </c>
      <c r="B25476" t="str">
        <f>"13232924005"</f>
        <v>13232924005</v>
      </c>
      <c r="C25476" t="s">
        <v>1</v>
      </c>
      <c r="D25476" t="s">
        <v>1</v>
      </c>
      <c r="E25476" t="s">
        <v>1</v>
      </c>
      <c r="F25476" t="s">
        <v>0</v>
      </c>
      <c r="G25476" t="str">
        <f>"2018-10-06 02:16:33"</f>
        <v>2018-10-06 02:16:33</v>
      </c>
    </row>
    <row r="25477" spans="1:7" x14ac:dyDescent="0.2">
      <c r="A25477" t="s">
        <v>23429</v>
      </c>
      <c r="B25477" t="str">
        <f>"13377181489"</f>
        <v>13377181489</v>
      </c>
      <c r="C25477" t="str">
        <f>"450423199512240018"</f>
        <v>450423199512240018</v>
      </c>
      <c r="D25477" t="s">
        <v>23430</v>
      </c>
      <c r="E25477" t="s">
        <v>23431</v>
      </c>
      <c r="F25477" t="s">
        <v>0</v>
      </c>
      <c r="G25477" t="str">
        <f>"2018-10-06 02:47:22"</f>
        <v>2018-10-06 02:47:22</v>
      </c>
    </row>
    <row r="25478" spans="1:7" x14ac:dyDescent="0.2">
      <c r="A25478" t="s">
        <v>23432</v>
      </c>
      <c r="B25478" t="str">
        <f>"18228016476"</f>
        <v>18228016476</v>
      </c>
      <c r="C25478" t="str">
        <f>"510107199912131574"</f>
        <v>510107199912131574</v>
      </c>
      <c r="D25478" t="s">
        <v>23433</v>
      </c>
      <c r="E25478" t="s">
        <v>23434</v>
      </c>
      <c r="F25478" t="s">
        <v>0</v>
      </c>
      <c r="G25478" t="str">
        <f>"2018-10-06 02:13:01"</f>
        <v>2018-10-06 02:13:01</v>
      </c>
    </row>
    <row r="25479" spans="1:7" x14ac:dyDescent="0.2">
      <c r="A25479" t="s">
        <v>23435</v>
      </c>
      <c r="B25479" t="str">
        <f>"15500957212"</f>
        <v>15500957212</v>
      </c>
      <c r="C25479" t="str">
        <f>"460025198112311217"</f>
        <v>460025198112311217</v>
      </c>
      <c r="D25479" t="s">
        <v>23436</v>
      </c>
      <c r="E25479" t="s">
        <v>23437</v>
      </c>
      <c r="F25479" t="s">
        <v>0</v>
      </c>
      <c r="G25479" t="str">
        <f>"2018-10-06 02:43:43"</f>
        <v>2018-10-06 02:43:43</v>
      </c>
    </row>
    <row r="25480" spans="1:7" x14ac:dyDescent="0.2">
      <c r="A25480" t="s">
        <v>23438</v>
      </c>
      <c r="B25480" t="str">
        <f>"13590940004"</f>
        <v>13590940004</v>
      </c>
      <c r="C25480" t="str">
        <f>"442000197904120917"</f>
        <v>442000197904120917</v>
      </c>
      <c r="D25480" t="s">
        <v>1</v>
      </c>
      <c r="E25480" t="s">
        <v>1</v>
      </c>
      <c r="F25480" t="s">
        <v>0</v>
      </c>
      <c r="G25480" t="str">
        <f>"2018-10-07 16:16:32"</f>
        <v>2018-10-07 16:16:32</v>
      </c>
    </row>
    <row r="25481" spans="1:7" x14ac:dyDescent="0.2">
      <c r="A25481" t="s">
        <v>1</v>
      </c>
      <c r="B25481" t="str">
        <f>"18753897658"</f>
        <v>18753897658</v>
      </c>
      <c r="C25481" t="s">
        <v>1</v>
      </c>
      <c r="D25481" t="s">
        <v>1</v>
      </c>
      <c r="E25481" t="s">
        <v>1</v>
      </c>
      <c r="F25481" t="s">
        <v>0</v>
      </c>
      <c r="G25481" t="str">
        <f>"2018-10-06 01:59:40"</f>
        <v>2018-10-06 01:59:40</v>
      </c>
    </row>
    <row r="25482" spans="1:7" x14ac:dyDescent="0.2">
      <c r="A25482" t="s">
        <v>1</v>
      </c>
      <c r="B25482" t="str">
        <f>"18824229784"</f>
        <v>18824229784</v>
      </c>
      <c r="C25482" t="s">
        <v>1</v>
      </c>
      <c r="D25482" t="s">
        <v>1</v>
      </c>
      <c r="E25482" t="s">
        <v>1</v>
      </c>
      <c r="F25482" t="s">
        <v>0</v>
      </c>
      <c r="G25482" t="str">
        <f>"2018-10-06 01:53:56"</f>
        <v>2018-10-06 01:53:56</v>
      </c>
    </row>
    <row r="25483" spans="1:7" x14ac:dyDescent="0.2">
      <c r="A25483" t="s">
        <v>1</v>
      </c>
      <c r="B25483" t="str">
        <f>"13380594757"</f>
        <v>13380594757</v>
      </c>
      <c r="C25483" t="s">
        <v>1</v>
      </c>
      <c r="D25483" t="s">
        <v>1</v>
      </c>
      <c r="E25483" t="s">
        <v>1</v>
      </c>
      <c r="F25483" t="s">
        <v>0</v>
      </c>
      <c r="G25483" t="str">
        <f>"2018-10-06 01:53:53"</f>
        <v>2018-10-06 01:53:53</v>
      </c>
    </row>
    <row r="25484" spans="1:7" x14ac:dyDescent="0.2">
      <c r="A25484" t="s">
        <v>1</v>
      </c>
      <c r="B25484" t="str">
        <f>"13026874601"</f>
        <v>13026874601</v>
      </c>
      <c r="C25484" t="s">
        <v>1</v>
      </c>
      <c r="D25484" t="s">
        <v>1</v>
      </c>
      <c r="E25484" t="s">
        <v>1</v>
      </c>
      <c r="F25484" t="s">
        <v>0</v>
      </c>
      <c r="G25484" t="str">
        <f>"2018-10-06 01:51:48"</f>
        <v>2018-10-06 01:51:48</v>
      </c>
    </row>
    <row r="25485" spans="1:7" x14ac:dyDescent="0.2">
      <c r="A25485" t="s">
        <v>23439</v>
      </c>
      <c r="B25485" t="str">
        <f>"13511341161"</f>
        <v>13511341161</v>
      </c>
      <c r="C25485" t="str">
        <f>"421002197912013976"</f>
        <v>421002197912013976</v>
      </c>
      <c r="D25485" t="s">
        <v>1</v>
      </c>
      <c r="E25485" t="s">
        <v>1</v>
      </c>
      <c r="F25485" t="s">
        <v>0</v>
      </c>
      <c r="G25485" t="str">
        <f>"2018-10-06 01:53:29"</f>
        <v>2018-10-06 01:53:29</v>
      </c>
    </row>
    <row r="25486" spans="1:7" x14ac:dyDescent="0.2">
      <c r="A25486" t="s">
        <v>23440</v>
      </c>
      <c r="B25486" t="str">
        <f>"15028381044"</f>
        <v>15028381044</v>
      </c>
      <c r="C25486" t="str">
        <f>"13070519981003182X"</f>
        <v>13070519981003182X</v>
      </c>
      <c r="D25486" t="s">
        <v>1</v>
      </c>
      <c r="E25486" t="s">
        <v>1</v>
      </c>
      <c r="F25486" t="s">
        <v>0</v>
      </c>
      <c r="G25486" t="str">
        <f>"2018-10-06 02:35:55"</f>
        <v>2018-10-06 02:35:55</v>
      </c>
    </row>
    <row r="25487" spans="1:7" x14ac:dyDescent="0.2">
      <c r="A25487" t="s">
        <v>23441</v>
      </c>
      <c r="B25487" t="str">
        <f>"18280344262"</f>
        <v>18280344262</v>
      </c>
      <c r="C25487" t="str">
        <f>"513922199410073298"</f>
        <v>513922199410073298</v>
      </c>
      <c r="D25487" t="s">
        <v>1</v>
      </c>
      <c r="E25487" t="s">
        <v>1</v>
      </c>
      <c r="F25487" t="s">
        <v>0</v>
      </c>
      <c r="G25487" t="str">
        <f>"2018-10-06 01:53:33"</f>
        <v>2018-10-06 01:53:33</v>
      </c>
    </row>
    <row r="25488" spans="1:7" x14ac:dyDescent="0.2">
      <c r="A25488" t="s">
        <v>1</v>
      </c>
      <c r="B25488" t="str">
        <f>"13153656866"</f>
        <v>13153656866</v>
      </c>
      <c r="C25488" t="s">
        <v>1</v>
      </c>
      <c r="D25488" t="s">
        <v>1</v>
      </c>
      <c r="E25488" t="s">
        <v>1</v>
      </c>
      <c r="F25488" t="s">
        <v>0</v>
      </c>
      <c r="G25488" t="str">
        <f>"2018-10-06 01:38:42"</f>
        <v>2018-10-06 01:38:42</v>
      </c>
    </row>
    <row r="25489" spans="1:7" x14ac:dyDescent="0.2">
      <c r="A25489" t="s">
        <v>23442</v>
      </c>
      <c r="B25489" t="str">
        <f>"17854238328"</f>
        <v>17854238328</v>
      </c>
      <c r="C25489" t="str">
        <f>"130530199706030013"</f>
        <v>130530199706030013</v>
      </c>
      <c r="D25489" t="s">
        <v>23443</v>
      </c>
      <c r="E25489" t="s">
        <v>23444</v>
      </c>
      <c r="F25489" t="s">
        <v>0</v>
      </c>
      <c r="G25489" t="str">
        <f>"2018-10-06 02:01:15"</f>
        <v>2018-10-06 02:01:15</v>
      </c>
    </row>
    <row r="25490" spans="1:7" x14ac:dyDescent="0.2">
      <c r="A25490" t="s">
        <v>23445</v>
      </c>
      <c r="B25490" t="str">
        <f>"13922838891"</f>
        <v>13922838891</v>
      </c>
      <c r="C25490" t="str">
        <f>"441523199110067616"</f>
        <v>441523199110067616</v>
      </c>
      <c r="D25490" t="s">
        <v>1</v>
      </c>
      <c r="E25490" t="s">
        <v>1</v>
      </c>
      <c r="F25490" t="s">
        <v>0</v>
      </c>
      <c r="G25490" t="str">
        <f>"2018-10-06 01:34:54"</f>
        <v>2018-10-06 01:34:54</v>
      </c>
    </row>
    <row r="25491" spans="1:7" x14ac:dyDescent="0.2">
      <c r="A25491" t="s">
        <v>1034</v>
      </c>
      <c r="B25491" t="str">
        <f>"13776009199"</f>
        <v>13776009199</v>
      </c>
      <c r="C25491" t="str">
        <f>"320502198608133014"</f>
        <v>320502198608133014</v>
      </c>
      <c r="D25491" t="s">
        <v>23446</v>
      </c>
      <c r="E25491" t="s">
        <v>23447</v>
      </c>
      <c r="F25491" t="s">
        <v>0</v>
      </c>
      <c r="G25491" t="str">
        <f>"2018-10-06 01:34:02"</f>
        <v>2018-10-06 01:34:02</v>
      </c>
    </row>
    <row r="25492" spans="1:7" x14ac:dyDescent="0.2">
      <c r="A25492" t="s">
        <v>1263</v>
      </c>
      <c r="B25492" t="str">
        <f>"13573236660"</f>
        <v>13573236660</v>
      </c>
      <c r="C25492" t="str">
        <f>"370213198903104031"</f>
        <v>370213198903104031</v>
      </c>
      <c r="D25492" t="s">
        <v>1</v>
      </c>
      <c r="E25492" t="s">
        <v>1</v>
      </c>
      <c r="F25492" t="s">
        <v>0</v>
      </c>
      <c r="G25492" t="str">
        <f>"2018-10-07 10:08:50"</f>
        <v>2018-10-07 10:08:50</v>
      </c>
    </row>
    <row r="25493" spans="1:7" x14ac:dyDescent="0.2">
      <c r="A25493" t="s">
        <v>23448</v>
      </c>
      <c r="B25493" t="str">
        <f>"15289668653"</f>
        <v>15289668653</v>
      </c>
      <c r="C25493" t="str">
        <f>"450922199612062512"</f>
        <v>450922199612062512</v>
      </c>
      <c r="D25493" t="s">
        <v>1</v>
      </c>
      <c r="E25493" t="s">
        <v>1</v>
      </c>
      <c r="F25493" t="s">
        <v>0</v>
      </c>
      <c r="G25493" t="str">
        <f>"2018-10-17 01:02:07"</f>
        <v>2018-10-17 01:02:07</v>
      </c>
    </row>
    <row r="25494" spans="1:7" x14ac:dyDescent="0.2">
      <c r="A25494" t="s">
        <v>23449</v>
      </c>
      <c r="B25494" t="str">
        <f>"18085853711"</f>
        <v>18085853711</v>
      </c>
      <c r="C25494" t="str">
        <f>"520221198902160339"</f>
        <v>520221198902160339</v>
      </c>
      <c r="D25494" t="s">
        <v>1</v>
      </c>
      <c r="E25494" t="s">
        <v>1</v>
      </c>
      <c r="F25494" t="s">
        <v>0</v>
      </c>
      <c r="G25494" t="str">
        <f>"2018-10-06 01:22:28"</f>
        <v>2018-10-06 01:22:28</v>
      </c>
    </row>
    <row r="25495" spans="1:7" x14ac:dyDescent="0.2">
      <c r="A25495" t="s">
        <v>54</v>
      </c>
      <c r="B25495" t="str">
        <f>"18602761057"</f>
        <v>18602761057</v>
      </c>
      <c r="C25495" t="str">
        <f>"420106198703210417"</f>
        <v>420106198703210417</v>
      </c>
      <c r="D25495" t="s">
        <v>1</v>
      </c>
      <c r="E25495" t="s">
        <v>1</v>
      </c>
      <c r="F25495" t="s">
        <v>0</v>
      </c>
      <c r="G25495" t="str">
        <f>"2018-10-06 20:39:10"</f>
        <v>2018-10-06 20:39:10</v>
      </c>
    </row>
    <row r="25496" spans="1:7" x14ac:dyDescent="0.2">
      <c r="A25496" t="s">
        <v>1</v>
      </c>
      <c r="B25496" t="str">
        <f>"13232913900"</f>
        <v>13232913900</v>
      </c>
      <c r="C25496" t="s">
        <v>1</v>
      </c>
      <c r="D25496" t="s">
        <v>1</v>
      </c>
      <c r="E25496" t="s">
        <v>1</v>
      </c>
      <c r="F25496" t="s">
        <v>0</v>
      </c>
      <c r="G25496" t="str">
        <f>"2018-10-06 01:16:48"</f>
        <v>2018-10-06 01:16:48</v>
      </c>
    </row>
    <row r="25497" spans="1:7" x14ac:dyDescent="0.2">
      <c r="A25497" t="s">
        <v>23450</v>
      </c>
      <c r="B25497" t="str">
        <f>"15283675637"</f>
        <v>15283675637</v>
      </c>
      <c r="C25497" t="str">
        <f>"511502199212031637"</f>
        <v>511502199212031637</v>
      </c>
      <c r="D25497" t="s">
        <v>23451</v>
      </c>
      <c r="E25497" t="s">
        <v>23452</v>
      </c>
      <c r="F25497" t="s">
        <v>0</v>
      </c>
      <c r="G25497" t="str">
        <f>"2018-10-06 03:28:08"</f>
        <v>2018-10-06 03:28:08</v>
      </c>
    </row>
    <row r="25498" spans="1:7" x14ac:dyDescent="0.2">
      <c r="A25498" t="s">
        <v>23453</v>
      </c>
      <c r="B25498" t="str">
        <f>"17809510621"</f>
        <v>17809510621</v>
      </c>
      <c r="C25498" t="str">
        <f>"622822199206232115"</f>
        <v>622822199206232115</v>
      </c>
      <c r="D25498" t="s">
        <v>1</v>
      </c>
      <c r="E25498" t="s">
        <v>1</v>
      </c>
      <c r="F25498" t="s">
        <v>0</v>
      </c>
      <c r="G25498" t="str">
        <f>"2018-10-06 02:09:58"</f>
        <v>2018-10-06 02:09:58</v>
      </c>
    </row>
    <row r="25499" spans="1:7" x14ac:dyDescent="0.2">
      <c r="A25499" t="s">
        <v>1</v>
      </c>
      <c r="B25499" t="str">
        <f>"13651412536"</f>
        <v>13651412536</v>
      </c>
      <c r="C25499" t="s">
        <v>1</v>
      </c>
      <c r="D25499" t="s">
        <v>1</v>
      </c>
      <c r="E25499" t="s">
        <v>1</v>
      </c>
      <c r="F25499" t="s">
        <v>0</v>
      </c>
      <c r="G25499" t="str">
        <f>"2018-10-06 01:10:24"</f>
        <v>2018-10-06 01:10:24</v>
      </c>
    </row>
    <row r="25500" spans="1:7" x14ac:dyDescent="0.2">
      <c r="A25500" t="s">
        <v>23454</v>
      </c>
      <c r="B25500" t="str">
        <f>"18728829396"</f>
        <v>18728829396</v>
      </c>
      <c r="C25500" t="str">
        <f>"511126199908130915"</f>
        <v>511126199908130915</v>
      </c>
      <c r="D25500" t="s">
        <v>1</v>
      </c>
      <c r="E25500" t="s">
        <v>1</v>
      </c>
      <c r="F25500" t="s">
        <v>0</v>
      </c>
      <c r="G25500" t="str">
        <f>"2018-10-06 01:09:06"</f>
        <v>2018-10-06 01:09:06</v>
      </c>
    </row>
    <row r="25501" spans="1:7" x14ac:dyDescent="0.2">
      <c r="A25501" t="s">
        <v>23455</v>
      </c>
      <c r="B25501" t="str">
        <f>"13518228668"</f>
        <v>13518228668</v>
      </c>
      <c r="C25501" t="str">
        <f>"511102197604107716"</f>
        <v>511102197604107716</v>
      </c>
      <c r="D25501" t="s">
        <v>23456</v>
      </c>
      <c r="E25501" t="s">
        <v>23457</v>
      </c>
      <c r="F25501" t="s">
        <v>0</v>
      </c>
      <c r="G25501" t="str">
        <f>"2018-10-06 01:09:41"</f>
        <v>2018-10-06 01:09:41</v>
      </c>
    </row>
    <row r="25502" spans="1:7" x14ac:dyDescent="0.2">
      <c r="A25502" t="s">
        <v>1</v>
      </c>
      <c r="B25502" t="str">
        <f>"15905104518"</f>
        <v>15905104518</v>
      </c>
      <c r="C25502" t="s">
        <v>1</v>
      </c>
      <c r="D25502" t="s">
        <v>1</v>
      </c>
      <c r="E25502" t="s">
        <v>1</v>
      </c>
      <c r="F25502" t="s">
        <v>0</v>
      </c>
      <c r="G25502" t="str">
        <f>"2018-10-06 01:07:05"</f>
        <v>2018-10-06 01:07:05</v>
      </c>
    </row>
    <row r="25503" spans="1:7" x14ac:dyDescent="0.2">
      <c r="A25503" t="s">
        <v>18726</v>
      </c>
      <c r="B25503" t="str">
        <f>"17380722331"</f>
        <v>17380722331</v>
      </c>
      <c r="C25503" t="str">
        <f>"511302199009172812"</f>
        <v>511302199009172812</v>
      </c>
      <c r="D25503" t="s">
        <v>1</v>
      </c>
      <c r="E25503" t="s">
        <v>1</v>
      </c>
      <c r="F25503" t="s">
        <v>0</v>
      </c>
      <c r="G25503" t="str">
        <f>"2018-10-06 01:02:25"</f>
        <v>2018-10-06 01:02:25</v>
      </c>
    </row>
    <row r="25504" spans="1:7" x14ac:dyDescent="0.2">
      <c r="A25504" t="s">
        <v>1</v>
      </c>
      <c r="B25504" t="str">
        <f>"18627998333"</f>
        <v>18627998333</v>
      </c>
      <c r="C25504" t="s">
        <v>1</v>
      </c>
      <c r="D25504" t="s">
        <v>1</v>
      </c>
      <c r="E25504" t="s">
        <v>1</v>
      </c>
      <c r="F25504" t="s">
        <v>0</v>
      </c>
      <c r="G25504" t="str">
        <f>"2018-10-06 01:00:47"</f>
        <v>2018-10-06 01:00:47</v>
      </c>
    </row>
    <row r="25505" spans="1:7" x14ac:dyDescent="0.2">
      <c r="A25505" t="s">
        <v>23458</v>
      </c>
      <c r="B25505" t="str">
        <f>"18820620527"</f>
        <v>18820620527</v>
      </c>
      <c r="C25505" t="str">
        <f>"440825198208232898"</f>
        <v>440825198208232898</v>
      </c>
      <c r="D25505" t="s">
        <v>1</v>
      </c>
      <c r="E25505" t="s">
        <v>1</v>
      </c>
      <c r="F25505" t="s">
        <v>0</v>
      </c>
      <c r="G25505" t="str">
        <f>"2018-10-06 00:59:40"</f>
        <v>2018-10-06 00:59:40</v>
      </c>
    </row>
    <row r="25506" spans="1:7" x14ac:dyDescent="0.2">
      <c r="A25506" t="s">
        <v>1</v>
      </c>
      <c r="B25506" t="str">
        <f>"17520609006"</f>
        <v>17520609006</v>
      </c>
      <c r="C25506" t="s">
        <v>1</v>
      </c>
      <c r="D25506" t="s">
        <v>1</v>
      </c>
      <c r="E25506" t="s">
        <v>1</v>
      </c>
      <c r="F25506" t="s">
        <v>0</v>
      </c>
      <c r="G25506" t="str">
        <f>"2018-10-06 00:58:45"</f>
        <v>2018-10-06 00:58:45</v>
      </c>
    </row>
    <row r="25507" spans="1:7" x14ac:dyDescent="0.2">
      <c r="A25507" t="s">
        <v>23459</v>
      </c>
      <c r="B25507" t="str">
        <f>"17551057530"</f>
        <v>17551057530</v>
      </c>
      <c r="C25507" t="str">
        <f>"44512119831107231X"</f>
        <v>44512119831107231X</v>
      </c>
      <c r="D25507" t="s">
        <v>1</v>
      </c>
      <c r="E25507" t="s">
        <v>1</v>
      </c>
      <c r="F25507" t="s">
        <v>0</v>
      </c>
      <c r="G25507" t="str">
        <f>"2018-10-29 21:01:13"</f>
        <v>2018-10-29 21:01:13</v>
      </c>
    </row>
    <row r="25508" spans="1:7" x14ac:dyDescent="0.2">
      <c r="A25508" t="s">
        <v>23460</v>
      </c>
      <c r="B25508" t="str">
        <f>"15983852794"</f>
        <v>15983852794</v>
      </c>
      <c r="C25508" t="str">
        <f>"513021199608022407"</f>
        <v>513021199608022407</v>
      </c>
      <c r="D25508" t="s">
        <v>1</v>
      </c>
      <c r="E25508" t="s">
        <v>1</v>
      </c>
      <c r="F25508" t="s">
        <v>0</v>
      </c>
      <c r="G25508" t="str">
        <f>"2018-10-06 00:54:26"</f>
        <v>2018-10-06 00:54:26</v>
      </c>
    </row>
    <row r="25509" spans="1:7" x14ac:dyDescent="0.2">
      <c r="A25509" t="s">
        <v>1</v>
      </c>
      <c r="B25509" t="str">
        <f>"15861651137"</f>
        <v>15861651137</v>
      </c>
      <c r="C25509" t="s">
        <v>1</v>
      </c>
      <c r="D25509" t="s">
        <v>1</v>
      </c>
      <c r="E25509" t="s">
        <v>1</v>
      </c>
      <c r="F25509" t="s">
        <v>0</v>
      </c>
      <c r="G25509" t="str">
        <f>"2018-10-06 00:53:23"</f>
        <v>2018-10-06 00:53:23</v>
      </c>
    </row>
    <row r="25510" spans="1:7" x14ac:dyDescent="0.2">
      <c r="A25510" t="s">
        <v>40</v>
      </c>
      <c r="B25510" t="str">
        <f>"18627211679"</f>
        <v>18627211679</v>
      </c>
      <c r="C25510" t="str">
        <f>"421022198211195412"</f>
        <v>421022198211195412</v>
      </c>
      <c r="D25510" t="s">
        <v>1</v>
      </c>
      <c r="E25510" t="s">
        <v>1</v>
      </c>
      <c r="F25510" t="s">
        <v>0</v>
      </c>
      <c r="G25510" t="str">
        <f>"2018-10-06 01:08:35"</f>
        <v>2018-10-06 01:08:35</v>
      </c>
    </row>
    <row r="25511" spans="1:7" x14ac:dyDescent="0.2">
      <c r="A25511" t="s">
        <v>23461</v>
      </c>
      <c r="B25511" t="str">
        <f>"13143340908"</f>
        <v>13143340908</v>
      </c>
      <c r="C25511" t="str">
        <f>"360302199703140539"</f>
        <v>360302199703140539</v>
      </c>
      <c r="D25511" t="s">
        <v>1</v>
      </c>
      <c r="E25511" t="s">
        <v>1</v>
      </c>
      <c r="F25511" t="s">
        <v>0</v>
      </c>
      <c r="G25511" t="str">
        <f>"2018-10-06 01:00:10"</f>
        <v>2018-10-06 01:00:10</v>
      </c>
    </row>
    <row r="25512" spans="1:7" x14ac:dyDescent="0.2">
      <c r="A25512" t="s">
        <v>23462</v>
      </c>
      <c r="B25512" t="str">
        <f>"13676104749"</f>
        <v>13676104749</v>
      </c>
      <c r="C25512" t="str">
        <f>"445122198309152237"</f>
        <v>445122198309152237</v>
      </c>
      <c r="D25512" t="s">
        <v>1</v>
      </c>
      <c r="E25512" t="s">
        <v>1</v>
      </c>
      <c r="F25512" t="s">
        <v>0</v>
      </c>
      <c r="G25512" t="str">
        <f>"2018-10-06 10:12:53"</f>
        <v>2018-10-06 10:12:53</v>
      </c>
    </row>
    <row r="25513" spans="1:7" x14ac:dyDescent="0.2">
      <c r="A25513" t="s">
        <v>23463</v>
      </c>
      <c r="B25513" t="str">
        <f>"18867458802"</f>
        <v>18867458802</v>
      </c>
      <c r="C25513" t="str">
        <f>"430511199801304547"</f>
        <v>430511199801304547</v>
      </c>
      <c r="D25513" t="s">
        <v>1</v>
      </c>
      <c r="E25513" t="s">
        <v>1</v>
      </c>
      <c r="F25513" t="s">
        <v>0</v>
      </c>
      <c r="G25513" t="str">
        <f>"2018-10-06 00:46:40"</f>
        <v>2018-10-06 00:46:40</v>
      </c>
    </row>
    <row r="25514" spans="1:7" x14ac:dyDescent="0.2">
      <c r="A25514" t="s">
        <v>23464</v>
      </c>
      <c r="B25514" t="str">
        <f>"17849304690"</f>
        <v>17849304690</v>
      </c>
      <c r="C25514" t="str">
        <f>"411523199711290914"</f>
        <v>411523199711290914</v>
      </c>
      <c r="D25514" t="s">
        <v>1</v>
      </c>
      <c r="E25514" t="s">
        <v>1</v>
      </c>
      <c r="F25514" t="s">
        <v>0</v>
      </c>
      <c r="G25514" t="str">
        <f>"2018-10-06 00:45:29"</f>
        <v>2018-10-06 00:45:29</v>
      </c>
    </row>
    <row r="25515" spans="1:7" x14ac:dyDescent="0.2">
      <c r="A25515" t="s">
        <v>23465</v>
      </c>
      <c r="B25515" t="str">
        <f>"13560421004"</f>
        <v>13560421004</v>
      </c>
      <c r="C25515" t="str">
        <f>"440107199001180625"</f>
        <v>440107199001180625</v>
      </c>
      <c r="D25515" t="s">
        <v>1</v>
      </c>
      <c r="E25515" t="s">
        <v>1</v>
      </c>
      <c r="F25515" t="s">
        <v>0</v>
      </c>
      <c r="G25515" t="str">
        <f>"2018-10-06 00:47:43"</f>
        <v>2018-10-06 00:47:43</v>
      </c>
    </row>
    <row r="25516" spans="1:7" x14ac:dyDescent="0.2">
      <c r="A25516" t="s">
        <v>170</v>
      </c>
      <c r="B25516" t="str">
        <f>"15828881990"</f>
        <v>15828881990</v>
      </c>
      <c r="C25516" t="str">
        <f>"510902198603168856"</f>
        <v>510902198603168856</v>
      </c>
      <c r="D25516" t="s">
        <v>23466</v>
      </c>
      <c r="E25516" t="s">
        <v>23467</v>
      </c>
      <c r="F25516" t="s">
        <v>0</v>
      </c>
      <c r="G25516" t="str">
        <f>"2018-10-06 00:39:55"</f>
        <v>2018-10-06 00:39:55</v>
      </c>
    </row>
    <row r="25517" spans="1:7" x14ac:dyDescent="0.2">
      <c r="A25517" t="s">
        <v>23468</v>
      </c>
      <c r="B25517" t="str">
        <f>"15016595206"</f>
        <v>15016595206</v>
      </c>
      <c r="C25517" t="str">
        <f>"445323199206041210"</f>
        <v>445323199206041210</v>
      </c>
      <c r="D25517" t="s">
        <v>1</v>
      </c>
      <c r="E25517" t="s">
        <v>1</v>
      </c>
      <c r="F25517" t="s">
        <v>0</v>
      </c>
      <c r="G25517" t="str">
        <f>"2018-10-06 00:59:43"</f>
        <v>2018-10-06 00:59:43</v>
      </c>
    </row>
    <row r="25518" spans="1:7" x14ac:dyDescent="0.2">
      <c r="A25518" t="s">
        <v>1001</v>
      </c>
      <c r="B25518" t="str">
        <f>"15037777556"</f>
        <v>15037777556</v>
      </c>
      <c r="C25518" t="str">
        <f>"411325199103246532"</f>
        <v>411325199103246532</v>
      </c>
      <c r="D25518" t="s">
        <v>23469</v>
      </c>
      <c r="E25518" t="s">
        <v>23470</v>
      </c>
      <c r="F25518" t="s">
        <v>0</v>
      </c>
      <c r="G25518" t="str">
        <f>"2018-10-06 08:10:52"</f>
        <v>2018-10-06 08:10:52</v>
      </c>
    </row>
    <row r="25519" spans="1:7" x14ac:dyDescent="0.2">
      <c r="A25519" t="s">
        <v>23471</v>
      </c>
      <c r="B25519" t="str">
        <f>"18669004347"</f>
        <v>18669004347</v>
      </c>
      <c r="C25519" t="str">
        <f>"512532197502256922"</f>
        <v>512532197502256922</v>
      </c>
      <c r="D25519" t="s">
        <v>1</v>
      </c>
      <c r="E25519" t="s">
        <v>1</v>
      </c>
      <c r="F25519" t="s">
        <v>0</v>
      </c>
      <c r="G25519" t="str">
        <f>"2018-10-06 15:09:24"</f>
        <v>2018-10-06 15:09:24</v>
      </c>
    </row>
    <row r="25520" spans="1:7" x14ac:dyDescent="0.2">
      <c r="A25520" t="s">
        <v>23472</v>
      </c>
      <c r="B25520" t="str">
        <f>"15569052016"</f>
        <v>15569052016</v>
      </c>
      <c r="C25520" t="str">
        <f>"65290119940416671X"</f>
        <v>65290119940416671X</v>
      </c>
      <c r="D25520" t="s">
        <v>1</v>
      </c>
      <c r="E25520" t="s">
        <v>1</v>
      </c>
      <c r="F25520" t="s">
        <v>0</v>
      </c>
      <c r="G25520" t="str">
        <f>"2018-10-06 00:35:17"</f>
        <v>2018-10-06 00:35:17</v>
      </c>
    </row>
    <row r="25521" spans="1:7" x14ac:dyDescent="0.2">
      <c r="A25521" t="s">
        <v>1</v>
      </c>
      <c r="B25521" t="str">
        <f>"18681325876"</f>
        <v>18681325876</v>
      </c>
      <c r="C25521" t="s">
        <v>1</v>
      </c>
      <c r="D25521" t="s">
        <v>1</v>
      </c>
      <c r="E25521" t="s">
        <v>1</v>
      </c>
      <c r="F25521" t="s">
        <v>0</v>
      </c>
      <c r="G25521" t="str">
        <f>"2018-10-06 00:29:03"</f>
        <v>2018-10-06 00:29:03</v>
      </c>
    </row>
    <row r="25522" spans="1:7" x14ac:dyDescent="0.2">
      <c r="A25522" t="s">
        <v>23473</v>
      </c>
      <c r="B25522" t="str">
        <f>"13835177407"</f>
        <v>13835177407</v>
      </c>
      <c r="C25522" t="str">
        <f>"140109198906204238"</f>
        <v>140109198906204238</v>
      </c>
      <c r="D25522" t="s">
        <v>1</v>
      </c>
      <c r="E25522" t="s">
        <v>1</v>
      </c>
      <c r="F25522" t="s">
        <v>0</v>
      </c>
      <c r="G25522" t="str">
        <f>"2018-10-06 00:28:02"</f>
        <v>2018-10-06 00:28:02</v>
      </c>
    </row>
    <row r="25523" spans="1:7" x14ac:dyDescent="0.2">
      <c r="A25523" t="s">
        <v>23474</v>
      </c>
      <c r="B25523" t="str">
        <f>"13577020159"</f>
        <v>13577020159</v>
      </c>
      <c r="C25523" t="str">
        <f>"532326199005140085"</f>
        <v>532326199005140085</v>
      </c>
      <c r="D25523" t="s">
        <v>23475</v>
      </c>
      <c r="E25523" t="s">
        <v>23476</v>
      </c>
      <c r="F25523" t="s">
        <v>0</v>
      </c>
      <c r="G25523" t="str">
        <f>"2018-10-06 01:06:13"</f>
        <v>2018-10-06 01:06:13</v>
      </c>
    </row>
    <row r="25524" spans="1:7" x14ac:dyDescent="0.2">
      <c r="A25524" t="s">
        <v>1</v>
      </c>
      <c r="B25524" t="str">
        <f>"18907817774"</f>
        <v>18907817774</v>
      </c>
      <c r="C25524" t="s">
        <v>1</v>
      </c>
      <c r="D25524" t="s">
        <v>1</v>
      </c>
      <c r="E25524" t="s">
        <v>1</v>
      </c>
      <c r="F25524" t="s">
        <v>0</v>
      </c>
      <c r="G25524" t="str">
        <f>"2018-10-06 00:23:07"</f>
        <v>2018-10-06 00:23:07</v>
      </c>
    </row>
    <row r="25525" spans="1:7" x14ac:dyDescent="0.2">
      <c r="A25525" t="s">
        <v>1</v>
      </c>
      <c r="B25525" t="str">
        <f>"13415420352"</f>
        <v>13415420352</v>
      </c>
      <c r="C25525" t="s">
        <v>1</v>
      </c>
      <c r="D25525" t="s">
        <v>1</v>
      </c>
      <c r="E25525" t="s">
        <v>1</v>
      </c>
      <c r="F25525" t="s">
        <v>0</v>
      </c>
      <c r="G25525" t="str">
        <f>"2018-10-06 00:39:03"</f>
        <v>2018-10-06 00:39:03</v>
      </c>
    </row>
    <row r="25526" spans="1:7" x14ac:dyDescent="0.2">
      <c r="A25526" t="s">
        <v>23477</v>
      </c>
      <c r="B25526" t="str">
        <f>"18650278998"</f>
        <v>18650278998</v>
      </c>
      <c r="C25526" t="str">
        <f>"350303197605180014"</f>
        <v>350303197605180014</v>
      </c>
      <c r="D25526" t="s">
        <v>1</v>
      </c>
      <c r="E25526" t="s">
        <v>1</v>
      </c>
      <c r="F25526" t="s">
        <v>0</v>
      </c>
      <c r="G25526" t="str">
        <f>"2018-10-06 00:24:35"</f>
        <v>2018-10-06 00:24:35</v>
      </c>
    </row>
    <row r="25527" spans="1:7" x14ac:dyDescent="0.2">
      <c r="A25527" t="s">
        <v>23478</v>
      </c>
      <c r="B25527" t="str">
        <f>"13542261026"</f>
        <v>13542261026</v>
      </c>
      <c r="C25527" t="str">
        <f>"440221199209281938"</f>
        <v>440221199209281938</v>
      </c>
      <c r="D25527" t="s">
        <v>1</v>
      </c>
      <c r="E25527" t="s">
        <v>1</v>
      </c>
      <c r="F25527" t="s">
        <v>0</v>
      </c>
      <c r="G25527" t="str">
        <f>"2018-10-06 00:22:44"</f>
        <v>2018-10-06 00:22:44</v>
      </c>
    </row>
    <row r="25528" spans="1:7" x14ac:dyDescent="0.2">
      <c r="A25528" t="s">
        <v>23479</v>
      </c>
      <c r="B25528" t="str">
        <f>"15927328198"</f>
        <v>15927328198</v>
      </c>
      <c r="C25528" t="str">
        <f>"420204198601104923"</f>
        <v>420204198601104923</v>
      </c>
      <c r="D25528" t="s">
        <v>1</v>
      </c>
      <c r="E25528" t="s">
        <v>1</v>
      </c>
      <c r="F25528" t="s">
        <v>0</v>
      </c>
      <c r="G25528" t="str">
        <f>"2018-10-06 00:24:19"</f>
        <v>2018-10-06 00:24:19</v>
      </c>
    </row>
    <row r="25529" spans="1:7" x14ac:dyDescent="0.2">
      <c r="A25529" t="s">
        <v>1</v>
      </c>
      <c r="B25529" t="str">
        <f>"13663536011"</f>
        <v>13663536011</v>
      </c>
      <c r="C25529" t="s">
        <v>1</v>
      </c>
      <c r="D25529" t="s">
        <v>1</v>
      </c>
      <c r="E25529" t="s">
        <v>1</v>
      </c>
      <c r="F25529" t="s">
        <v>0</v>
      </c>
      <c r="G25529" t="str">
        <f>"2018-10-06 00:19:23"</f>
        <v>2018-10-06 00:19:23</v>
      </c>
    </row>
    <row r="25530" spans="1:7" x14ac:dyDescent="0.2">
      <c r="A25530" t="s">
        <v>1</v>
      </c>
      <c r="B25530" t="str">
        <f>"18985679424"</f>
        <v>18985679424</v>
      </c>
      <c r="C25530" t="s">
        <v>1</v>
      </c>
      <c r="D25530" t="s">
        <v>1</v>
      </c>
      <c r="E25530" t="s">
        <v>1</v>
      </c>
      <c r="F25530" t="s">
        <v>0</v>
      </c>
      <c r="G25530" t="str">
        <f>"2018-10-06 00:18:14"</f>
        <v>2018-10-06 00:18:14</v>
      </c>
    </row>
    <row r="25531" spans="1:7" x14ac:dyDescent="0.2">
      <c r="A25531" t="s">
        <v>1653</v>
      </c>
      <c r="B25531" t="str">
        <f>"18627485002"</f>
        <v>18627485002</v>
      </c>
      <c r="C25531" t="str">
        <f>"431226199104104514"</f>
        <v>431226199104104514</v>
      </c>
      <c r="D25531" t="s">
        <v>1</v>
      </c>
      <c r="E25531" t="s">
        <v>1</v>
      </c>
      <c r="F25531" t="s">
        <v>0</v>
      </c>
      <c r="G25531" t="str">
        <f>"2018-10-06 00:22:39"</f>
        <v>2018-10-06 00:22:39</v>
      </c>
    </row>
    <row r="25532" spans="1:7" x14ac:dyDescent="0.2">
      <c r="A25532" t="s">
        <v>23480</v>
      </c>
      <c r="B25532" t="str">
        <f>"18911206120"</f>
        <v>18911206120</v>
      </c>
      <c r="C25532" t="str">
        <f>"320684198608130075"</f>
        <v>320684198608130075</v>
      </c>
      <c r="D25532" t="s">
        <v>1</v>
      </c>
      <c r="E25532" t="s">
        <v>1</v>
      </c>
      <c r="F25532" t="s">
        <v>0</v>
      </c>
      <c r="G25532" t="str">
        <f>"2018-10-06 00:18:22"</f>
        <v>2018-10-06 00:18:22</v>
      </c>
    </row>
    <row r="25533" spans="1:7" x14ac:dyDescent="0.2">
      <c r="A25533" t="s">
        <v>1</v>
      </c>
      <c r="B25533" t="str">
        <f>"15072630285"</f>
        <v>15072630285</v>
      </c>
      <c r="C25533" t="s">
        <v>1</v>
      </c>
      <c r="D25533" t="s">
        <v>1</v>
      </c>
      <c r="E25533" t="s">
        <v>1</v>
      </c>
      <c r="F25533" t="s">
        <v>0</v>
      </c>
      <c r="G25533" t="str">
        <f>"2018-10-06 00:12:07"</f>
        <v>2018-10-06 00:12:07</v>
      </c>
    </row>
    <row r="25534" spans="1:7" x14ac:dyDescent="0.2">
      <c r="A25534" t="s">
        <v>1386</v>
      </c>
      <c r="B25534" t="str">
        <f>"17319231963"</f>
        <v>17319231963</v>
      </c>
      <c r="C25534" t="str">
        <f>"110221199108286813"</f>
        <v>110221199108286813</v>
      </c>
      <c r="D25534" t="s">
        <v>23481</v>
      </c>
      <c r="E25534" t="s">
        <v>23482</v>
      </c>
      <c r="F25534" t="s">
        <v>0</v>
      </c>
      <c r="G25534" t="str">
        <f>"2018-10-06 00:10:19"</f>
        <v>2018-10-06 00:10:19</v>
      </c>
    </row>
    <row r="25535" spans="1:7" x14ac:dyDescent="0.2">
      <c r="A25535" t="s">
        <v>1</v>
      </c>
      <c r="B25535" t="str">
        <f>"18849888307"</f>
        <v>18849888307</v>
      </c>
      <c r="C25535" t="s">
        <v>1</v>
      </c>
      <c r="D25535" t="s">
        <v>1</v>
      </c>
      <c r="E25535" t="s">
        <v>1</v>
      </c>
      <c r="F25535" t="s">
        <v>0</v>
      </c>
      <c r="G25535" t="str">
        <f>"2018-10-06 00:07:26"</f>
        <v>2018-10-06 00:07:26</v>
      </c>
    </row>
    <row r="25536" spans="1:7" x14ac:dyDescent="0.2">
      <c r="A25536" t="s">
        <v>1</v>
      </c>
      <c r="B25536" t="str">
        <f>"15918947110"</f>
        <v>15918947110</v>
      </c>
      <c r="C25536" t="s">
        <v>1</v>
      </c>
      <c r="D25536" t="s">
        <v>1</v>
      </c>
      <c r="E25536" t="s">
        <v>1</v>
      </c>
      <c r="F25536" t="s">
        <v>0</v>
      </c>
      <c r="G25536" t="str">
        <f>"2018-10-06 00:06:21"</f>
        <v>2018-10-06 00:06:21</v>
      </c>
    </row>
    <row r="25537" spans="1:7" x14ac:dyDescent="0.2">
      <c r="A25537" t="s">
        <v>66</v>
      </c>
      <c r="B25537" t="str">
        <f>"13368148251"</f>
        <v>13368148251</v>
      </c>
      <c r="C25537" t="str">
        <f>"510213197805281220"</f>
        <v>510213197805281220</v>
      </c>
      <c r="D25537" t="s">
        <v>23483</v>
      </c>
      <c r="E25537" t="s">
        <v>23484</v>
      </c>
      <c r="F25537" t="s">
        <v>0</v>
      </c>
      <c r="G25537" t="str">
        <f>"2018-10-06 00:08:18"</f>
        <v>2018-10-06 00:08:18</v>
      </c>
    </row>
    <row r="25538" spans="1:7" x14ac:dyDescent="0.2">
      <c r="A25538" t="s">
        <v>23485</v>
      </c>
      <c r="B25538" t="str">
        <f>"13476307719"</f>
        <v>13476307719</v>
      </c>
      <c r="C25538" t="str">
        <f>"420625198209270031"</f>
        <v>420625198209270031</v>
      </c>
      <c r="D25538" t="s">
        <v>23486</v>
      </c>
      <c r="E25538" t="s">
        <v>23487</v>
      </c>
      <c r="F25538" t="s">
        <v>0</v>
      </c>
      <c r="G25538" t="str">
        <f>"2018-10-06 00:07:38"</f>
        <v>2018-10-06 00:07:38</v>
      </c>
    </row>
    <row r="25539" spans="1:7" x14ac:dyDescent="0.2">
      <c r="A25539" t="s">
        <v>23488</v>
      </c>
      <c r="B25539" t="str">
        <f>"18333021377"</f>
        <v>18333021377</v>
      </c>
      <c r="C25539" t="str">
        <f>"130923199908043013"</f>
        <v>130923199908043013</v>
      </c>
      <c r="D25539" t="s">
        <v>23489</v>
      </c>
      <c r="E25539" t="s">
        <v>23490</v>
      </c>
      <c r="F25539" t="s">
        <v>0</v>
      </c>
      <c r="G25539" t="str">
        <f>"2018-10-06 00:02:16"</f>
        <v>2018-10-06 00:02:16</v>
      </c>
    </row>
    <row r="25540" spans="1:7" x14ac:dyDescent="0.2">
      <c r="A25540" t="s">
        <v>23491</v>
      </c>
      <c r="B25540" t="str">
        <f>"17652489525"</f>
        <v>17652489525</v>
      </c>
      <c r="C25540" t="str">
        <f>"430624199305026717"</f>
        <v>430624199305026717</v>
      </c>
      <c r="D25540" t="s">
        <v>1</v>
      </c>
      <c r="E25540" t="s">
        <v>1</v>
      </c>
      <c r="F25540" t="s">
        <v>0</v>
      </c>
      <c r="G25540" t="str">
        <f>"2018-10-06 00:01:16"</f>
        <v>2018-10-06 00:01:16</v>
      </c>
    </row>
    <row r="25541" spans="1:7" x14ac:dyDescent="0.2">
      <c r="A25541" t="s">
        <v>9949</v>
      </c>
      <c r="B25541" t="str">
        <f>"15811860078"</f>
        <v>15811860078</v>
      </c>
      <c r="C25541" t="str">
        <f>"53042319860428091X"</f>
        <v>53042319860428091X</v>
      </c>
      <c r="D25541" t="s">
        <v>1</v>
      </c>
      <c r="E25541" t="s">
        <v>1</v>
      </c>
      <c r="F25541" t="s">
        <v>0</v>
      </c>
      <c r="G25541" t="str">
        <f>"2018-10-05 23:59:35"</f>
        <v>2018-10-05 23:59:35</v>
      </c>
    </row>
    <row r="25542" spans="1:7" x14ac:dyDescent="0.2">
      <c r="A25542" t="s">
        <v>23492</v>
      </c>
      <c r="B25542" t="str">
        <f>"18565070337"</f>
        <v>18565070337</v>
      </c>
      <c r="C25542" t="str">
        <f>"360122199506170039"</f>
        <v>360122199506170039</v>
      </c>
      <c r="D25542" t="s">
        <v>1</v>
      </c>
      <c r="E25542" t="s">
        <v>1</v>
      </c>
      <c r="F25542" t="s">
        <v>0</v>
      </c>
      <c r="G25542" t="str">
        <f>"2018-10-05 23:56:34"</f>
        <v>2018-10-05 23:56:34</v>
      </c>
    </row>
    <row r="25543" spans="1:7" x14ac:dyDescent="0.2">
      <c r="A25543" t="s">
        <v>1</v>
      </c>
      <c r="B25543" t="str">
        <f>"15850712456"</f>
        <v>15850712456</v>
      </c>
      <c r="C25543" t="s">
        <v>1</v>
      </c>
      <c r="D25543" t="s">
        <v>1</v>
      </c>
      <c r="E25543" t="s">
        <v>1</v>
      </c>
      <c r="F25543" t="s">
        <v>0</v>
      </c>
      <c r="G25543" t="str">
        <f>"2018-10-05 23:52:31"</f>
        <v>2018-10-05 23:52:31</v>
      </c>
    </row>
    <row r="25544" spans="1:7" x14ac:dyDescent="0.2">
      <c r="A25544" t="s">
        <v>23493</v>
      </c>
      <c r="B25544" t="str">
        <f>"13668245123"</f>
        <v>13668245123</v>
      </c>
      <c r="C25544" t="str">
        <f>"51012319880116001X"</f>
        <v>51012319880116001X</v>
      </c>
      <c r="D25544" t="s">
        <v>23494</v>
      </c>
      <c r="E25544" t="s">
        <v>23495</v>
      </c>
      <c r="F25544" t="s">
        <v>0</v>
      </c>
      <c r="G25544" t="str">
        <f>"2018-10-05 23:53:30"</f>
        <v>2018-10-05 23:53:30</v>
      </c>
    </row>
    <row r="25545" spans="1:7" x14ac:dyDescent="0.2">
      <c r="A25545" t="s">
        <v>23496</v>
      </c>
      <c r="B25545" t="str">
        <f>"15050254505"</f>
        <v>15050254505</v>
      </c>
      <c r="C25545" t="str">
        <f>"430524198905091571"</f>
        <v>430524198905091571</v>
      </c>
      <c r="D25545" t="s">
        <v>23497</v>
      </c>
      <c r="E25545" t="s">
        <v>23498</v>
      </c>
      <c r="F25545" t="s">
        <v>0</v>
      </c>
      <c r="G25545" t="str">
        <f>"2018-11-01 22:34:11"</f>
        <v>2018-11-01 22:34:11</v>
      </c>
    </row>
    <row r="25546" spans="1:7" x14ac:dyDescent="0.2">
      <c r="A25546" t="s">
        <v>23499</v>
      </c>
      <c r="B25546" t="str">
        <f>"18268350632"</f>
        <v>18268350632</v>
      </c>
      <c r="C25546" t="str">
        <f>"53212419911009059X"</f>
        <v>53212419911009059X</v>
      </c>
      <c r="D25546" t="s">
        <v>1</v>
      </c>
      <c r="E25546" t="s">
        <v>1</v>
      </c>
      <c r="F25546" t="s">
        <v>0</v>
      </c>
      <c r="G25546" t="str">
        <f>"2018-10-05 23:51:53"</f>
        <v>2018-10-05 23:51:53</v>
      </c>
    </row>
    <row r="25547" spans="1:7" x14ac:dyDescent="0.2">
      <c r="A25547" t="s">
        <v>23500</v>
      </c>
      <c r="B25547" t="str">
        <f>"15206246348"</f>
        <v>15206246348</v>
      </c>
      <c r="C25547" t="str">
        <f>"321323198706251278"</f>
        <v>321323198706251278</v>
      </c>
      <c r="D25547" t="s">
        <v>1</v>
      </c>
      <c r="E25547" t="s">
        <v>1</v>
      </c>
      <c r="F25547" t="s">
        <v>0</v>
      </c>
      <c r="G25547" t="str">
        <f>"2018-10-07 01:14:05"</f>
        <v>2018-10-07 01:14:05</v>
      </c>
    </row>
    <row r="25548" spans="1:7" x14ac:dyDescent="0.2">
      <c r="A25548" t="s">
        <v>1</v>
      </c>
      <c r="B25548" t="str">
        <f>"15990802020"</f>
        <v>15990802020</v>
      </c>
      <c r="C25548" t="s">
        <v>1</v>
      </c>
      <c r="D25548" t="s">
        <v>1</v>
      </c>
      <c r="E25548" t="s">
        <v>1</v>
      </c>
      <c r="F25548" t="s">
        <v>0</v>
      </c>
      <c r="G25548" t="str">
        <f>"2018-10-05 23:46:40"</f>
        <v>2018-10-05 23:46:40</v>
      </c>
    </row>
    <row r="25549" spans="1:7" x14ac:dyDescent="0.2">
      <c r="A25549" t="s">
        <v>23501</v>
      </c>
      <c r="B25549" t="str">
        <f>"13923840190"</f>
        <v>13923840190</v>
      </c>
      <c r="C25549" t="str">
        <f>"441502199509080212"</f>
        <v>441502199509080212</v>
      </c>
      <c r="D25549" t="s">
        <v>1</v>
      </c>
      <c r="E25549" t="s">
        <v>1</v>
      </c>
      <c r="F25549" t="s">
        <v>0</v>
      </c>
      <c r="G25549" t="str">
        <f>"2018-10-05 23:44:50"</f>
        <v>2018-10-05 23:44:50</v>
      </c>
    </row>
    <row r="25550" spans="1:7" x14ac:dyDescent="0.2">
      <c r="A25550" t="s">
        <v>1</v>
      </c>
      <c r="B25550" t="str">
        <f>"13289224945"</f>
        <v>13289224945</v>
      </c>
      <c r="C25550" t="s">
        <v>1</v>
      </c>
      <c r="D25550" t="s">
        <v>1</v>
      </c>
      <c r="E25550" t="s">
        <v>1</v>
      </c>
      <c r="F25550" t="s">
        <v>0</v>
      </c>
      <c r="G25550" t="str">
        <f>"2018-10-05 23:43:26"</f>
        <v>2018-10-05 23:43:26</v>
      </c>
    </row>
    <row r="25551" spans="1:7" x14ac:dyDescent="0.2">
      <c r="A25551" t="s">
        <v>23502</v>
      </c>
      <c r="B25551" t="str">
        <f>"13987804906"</f>
        <v>13987804906</v>
      </c>
      <c r="C25551" t="str">
        <f>"532324198708260019"</f>
        <v>532324198708260019</v>
      </c>
      <c r="D25551" t="s">
        <v>23503</v>
      </c>
      <c r="E25551" t="s">
        <v>23504</v>
      </c>
      <c r="F25551" t="s">
        <v>0</v>
      </c>
      <c r="G25551" t="str">
        <f>"2018-10-29 20:10:09"</f>
        <v>2018-10-29 20:10:09</v>
      </c>
    </row>
    <row r="25552" spans="1:7" x14ac:dyDescent="0.2">
      <c r="A25552" t="s">
        <v>23505</v>
      </c>
      <c r="B25552" t="str">
        <f>"15105347734"</f>
        <v>15105347734</v>
      </c>
      <c r="C25552" t="str">
        <f>"371421199302195974"</f>
        <v>371421199302195974</v>
      </c>
      <c r="D25552" t="s">
        <v>1</v>
      </c>
      <c r="E25552" t="s">
        <v>1</v>
      </c>
      <c r="F25552" t="s">
        <v>0</v>
      </c>
      <c r="G25552" t="str">
        <f>"2018-10-05 23:44:27"</f>
        <v>2018-10-05 23:44:27</v>
      </c>
    </row>
    <row r="25553" spans="1:7" x14ac:dyDescent="0.2">
      <c r="A25553" t="s">
        <v>23506</v>
      </c>
      <c r="B25553" t="str">
        <f>"13328729819"</f>
        <v>13328729819</v>
      </c>
      <c r="C25553" t="str">
        <f>"350603199001081539"</f>
        <v>350603199001081539</v>
      </c>
      <c r="D25553" t="s">
        <v>23507</v>
      </c>
      <c r="E25553" t="s">
        <v>23508</v>
      </c>
      <c r="F25553" t="s">
        <v>0</v>
      </c>
      <c r="G25553" t="str">
        <f>"2018-10-05 23:43:26"</f>
        <v>2018-10-05 23:43:26</v>
      </c>
    </row>
    <row r="25554" spans="1:7" x14ac:dyDescent="0.2">
      <c r="A25554" t="s">
        <v>23509</v>
      </c>
      <c r="B25554" t="str">
        <f>"15982273121"</f>
        <v>15982273121</v>
      </c>
      <c r="C25554" t="str">
        <f>"510182198511174819"</f>
        <v>510182198511174819</v>
      </c>
      <c r="D25554" t="s">
        <v>1</v>
      </c>
      <c r="E25554" t="s">
        <v>1</v>
      </c>
      <c r="F25554" t="s">
        <v>0</v>
      </c>
      <c r="G25554" t="str">
        <f>"2018-10-05 23:41:49"</f>
        <v>2018-10-05 23:41:49</v>
      </c>
    </row>
    <row r="25555" spans="1:7" x14ac:dyDescent="0.2">
      <c r="A25555" t="s">
        <v>1</v>
      </c>
      <c r="B25555" t="str">
        <f>"13581067021"</f>
        <v>13581067021</v>
      </c>
      <c r="C25555" t="s">
        <v>1</v>
      </c>
      <c r="D25555" t="s">
        <v>1</v>
      </c>
      <c r="E25555" t="s">
        <v>1</v>
      </c>
      <c r="F25555" t="s">
        <v>0</v>
      </c>
      <c r="G25555" t="str">
        <f>"2018-10-06 06:21:58"</f>
        <v>2018-10-06 06:21:58</v>
      </c>
    </row>
    <row r="25556" spans="1:7" x14ac:dyDescent="0.2">
      <c r="A25556" t="s">
        <v>23510</v>
      </c>
      <c r="B25556" t="str">
        <f>"13002842087"</f>
        <v>13002842087</v>
      </c>
      <c r="C25556" t="str">
        <f>"510902199704282214"</f>
        <v>510902199704282214</v>
      </c>
      <c r="D25556" t="s">
        <v>1</v>
      </c>
      <c r="E25556" t="s">
        <v>1</v>
      </c>
      <c r="F25556" t="s">
        <v>0</v>
      </c>
      <c r="G25556" t="str">
        <f>"2018-10-31 18:12:23"</f>
        <v>2018-10-31 18:12:23</v>
      </c>
    </row>
    <row r="25557" spans="1:7" x14ac:dyDescent="0.2">
      <c r="A25557" t="s">
        <v>680</v>
      </c>
      <c r="B25557" t="str">
        <f>"17671266330"</f>
        <v>17671266330</v>
      </c>
      <c r="C25557" t="str">
        <f>"420582198410160063"</f>
        <v>420582198410160063</v>
      </c>
      <c r="D25557" t="s">
        <v>23511</v>
      </c>
      <c r="E25557" t="s">
        <v>23512</v>
      </c>
      <c r="F25557" t="s">
        <v>0</v>
      </c>
      <c r="G25557" t="str">
        <f>"2018-10-05 23:33:02"</f>
        <v>2018-10-05 23:33:02</v>
      </c>
    </row>
    <row r="25558" spans="1:7" x14ac:dyDescent="0.2">
      <c r="A25558" t="s">
        <v>23513</v>
      </c>
      <c r="B25558" t="str">
        <f>"18313867774"</f>
        <v>18313867774</v>
      </c>
      <c r="C25558" t="str">
        <f>"142703198403191558"</f>
        <v>142703198403191558</v>
      </c>
      <c r="D25558" t="s">
        <v>1</v>
      </c>
      <c r="E25558" t="s">
        <v>1</v>
      </c>
      <c r="F25558" t="s">
        <v>0</v>
      </c>
      <c r="G25558" t="str">
        <f>"2018-10-05 23:35:00"</f>
        <v>2018-10-05 23:35:00</v>
      </c>
    </row>
    <row r="25559" spans="1:7" x14ac:dyDescent="0.2">
      <c r="A25559" t="s">
        <v>1</v>
      </c>
      <c r="B25559" t="str">
        <f>"15650292717"</f>
        <v>15650292717</v>
      </c>
      <c r="C25559" t="s">
        <v>1</v>
      </c>
      <c r="D25559" t="s">
        <v>1</v>
      </c>
      <c r="E25559" t="s">
        <v>1</v>
      </c>
      <c r="F25559" t="s">
        <v>0</v>
      </c>
      <c r="G25559" t="str">
        <f>"2018-10-05 23:31:10"</f>
        <v>2018-10-05 23:31:10</v>
      </c>
    </row>
    <row r="25560" spans="1:7" x14ac:dyDescent="0.2">
      <c r="A25560" t="s">
        <v>1</v>
      </c>
      <c r="B25560" t="str">
        <f>"15884919110"</f>
        <v>15884919110</v>
      </c>
      <c r="C25560" t="s">
        <v>1</v>
      </c>
      <c r="D25560" t="s">
        <v>1</v>
      </c>
      <c r="E25560" t="s">
        <v>1</v>
      </c>
      <c r="F25560" t="s">
        <v>0</v>
      </c>
      <c r="G25560" t="str">
        <f>"2018-10-05 23:29:30"</f>
        <v>2018-10-05 23:29:30</v>
      </c>
    </row>
    <row r="25561" spans="1:7" x14ac:dyDescent="0.2">
      <c r="A25561" t="s">
        <v>23514</v>
      </c>
      <c r="B25561" t="str">
        <f>"15824110425"</f>
        <v>15824110425</v>
      </c>
      <c r="C25561" t="str">
        <f>"532627199106242315"</f>
        <v>532627199106242315</v>
      </c>
      <c r="D25561" t="s">
        <v>23515</v>
      </c>
      <c r="E25561" t="s">
        <v>23516</v>
      </c>
      <c r="F25561" t="s">
        <v>0</v>
      </c>
      <c r="G25561" t="str">
        <f>"2018-10-05 23:28:09"</f>
        <v>2018-10-05 23:28:09</v>
      </c>
    </row>
    <row r="25562" spans="1:7" x14ac:dyDescent="0.2">
      <c r="A25562" t="s">
        <v>23517</v>
      </c>
      <c r="B25562" t="str">
        <f>"13651344696"</f>
        <v>13651344696</v>
      </c>
      <c r="C25562" t="str">
        <f>"450211198808161625"</f>
        <v>450211198808161625</v>
      </c>
      <c r="D25562" t="s">
        <v>1</v>
      </c>
      <c r="E25562" t="s">
        <v>1</v>
      </c>
      <c r="F25562" t="s">
        <v>0</v>
      </c>
      <c r="G25562" t="str">
        <f>"2018-10-11 00:57:34"</f>
        <v>2018-10-11 00:57:34</v>
      </c>
    </row>
    <row r="25563" spans="1:7" x14ac:dyDescent="0.2">
      <c r="A25563" t="s">
        <v>1523</v>
      </c>
      <c r="B25563" t="str">
        <f>"13500967652"</f>
        <v>13500967652</v>
      </c>
      <c r="C25563" t="str">
        <f>"220302198101160246"</f>
        <v>220302198101160246</v>
      </c>
      <c r="D25563" t="s">
        <v>1</v>
      </c>
      <c r="E25563" t="s">
        <v>1</v>
      </c>
      <c r="F25563" t="s">
        <v>0</v>
      </c>
      <c r="G25563" t="str">
        <f>"2018-10-05 23:26:12"</f>
        <v>2018-10-05 23:26:12</v>
      </c>
    </row>
    <row r="25564" spans="1:7" x14ac:dyDescent="0.2">
      <c r="A25564" t="s">
        <v>1</v>
      </c>
      <c r="B25564" t="str">
        <f>"15942891911"</f>
        <v>15942891911</v>
      </c>
      <c r="C25564" t="s">
        <v>1</v>
      </c>
      <c r="D25564" t="s">
        <v>1</v>
      </c>
      <c r="E25564" t="s">
        <v>1</v>
      </c>
      <c r="F25564" t="s">
        <v>0</v>
      </c>
      <c r="G25564" t="str">
        <f>"2018-10-05 23:23:29"</f>
        <v>2018-10-05 23:23:29</v>
      </c>
    </row>
    <row r="25565" spans="1:7" x14ac:dyDescent="0.2">
      <c r="A25565" t="s">
        <v>23518</v>
      </c>
      <c r="B25565" t="str">
        <f>"15978933057"</f>
        <v>15978933057</v>
      </c>
      <c r="C25565" t="str">
        <f>"511202198007301318"</f>
        <v>511202198007301318</v>
      </c>
      <c r="D25565" t="s">
        <v>23519</v>
      </c>
      <c r="E25565" t="s">
        <v>23520</v>
      </c>
      <c r="F25565" t="s">
        <v>0</v>
      </c>
      <c r="G25565" t="str">
        <f>"2018-10-30 12:39:31"</f>
        <v>2018-10-30 12:39:31</v>
      </c>
    </row>
    <row r="25566" spans="1:7" x14ac:dyDescent="0.2">
      <c r="A25566" t="s">
        <v>1</v>
      </c>
      <c r="B25566" t="str">
        <f>"17082525648"</f>
        <v>17082525648</v>
      </c>
      <c r="C25566" t="s">
        <v>1</v>
      </c>
      <c r="D25566" t="s">
        <v>1</v>
      </c>
      <c r="E25566" t="s">
        <v>1</v>
      </c>
      <c r="F25566" t="s">
        <v>0</v>
      </c>
      <c r="G25566" t="str">
        <f>"2018-10-05 23:20:37"</f>
        <v>2018-10-05 23:20:37</v>
      </c>
    </row>
    <row r="25567" spans="1:7" x14ac:dyDescent="0.2">
      <c r="A25567" t="s">
        <v>23521</v>
      </c>
      <c r="B25567" t="str">
        <f>"18218315488"</f>
        <v>18218315488</v>
      </c>
      <c r="C25567" t="str">
        <f>"445221198207256536"</f>
        <v>445221198207256536</v>
      </c>
      <c r="D25567" t="s">
        <v>1</v>
      </c>
      <c r="E25567" t="s">
        <v>1</v>
      </c>
      <c r="F25567" t="s">
        <v>0</v>
      </c>
      <c r="G25567" t="str">
        <f>"2018-10-05 23:21:00"</f>
        <v>2018-10-05 23:21:00</v>
      </c>
    </row>
    <row r="25568" spans="1:7" x14ac:dyDescent="0.2">
      <c r="A25568" t="s">
        <v>23522</v>
      </c>
      <c r="B25568" t="str">
        <f>"13023288532"</f>
        <v>13023288532</v>
      </c>
      <c r="C25568" t="str">
        <f>"310225198809263233"</f>
        <v>310225198809263233</v>
      </c>
      <c r="D25568" t="s">
        <v>1</v>
      </c>
      <c r="E25568" t="s">
        <v>1</v>
      </c>
      <c r="F25568" t="s">
        <v>0</v>
      </c>
      <c r="G25568" t="str">
        <f>"2018-10-24 11:22:11"</f>
        <v>2018-10-24 11:22:11</v>
      </c>
    </row>
    <row r="25569" spans="1:7" x14ac:dyDescent="0.2">
      <c r="A25569" t="s">
        <v>23523</v>
      </c>
      <c r="B25569" t="str">
        <f>"18134945482"</f>
        <v>18134945482</v>
      </c>
      <c r="C25569" t="str">
        <f>"140621199010224910"</f>
        <v>140621199010224910</v>
      </c>
      <c r="D25569" t="s">
        <v>1</v>
      </c>
      <c r="E25569" t="s">
        <v>1</v>
      </c>
      <c r="F25569" t="s">
        <v>0</v>
      </c>
      <c r="G25569" t="str">
        <f>"2018-10-05 23:23:37"</f>
        <v>2018-10-05 23:23:37</v>
      </c>
    </row>
    <row r="25570" spans="1:7" x14ac:dyDescent="0.2">
      <c r="A25570" t="s">
        <v>23524</v>
      </c>
      <c r="B25570" t="str">
        <f>"17307454088"</f>
        <v>17307454088</v>
      </c>
      <c r="C25570" t="str">
        <f>"431281199503133210"</f>
        <v>431281199503133210</v>
      </c>
      <c r="D25570" t="s">
        <v>1</v>
      </c>
      <c r="E25570" t="s">
        <v>1</v>
      </c>
      <c r="F25570" t="s">
        <v>0</v>
      </c>
      <c r="G25570" t="str">
        <f>"2018-10-05 23:33:10"</f>
        <v>2018-10-05 23:33:10</v>
      </c>
    </row>
    <row r="25571" spans="1:7" x14ac:dyDescent="0.2">
      <c r="A25571" t="s">
        <v>1</v>
      </c>
      <c r="B25571" t="str">
        <f>"18338978988"</f>
        <v>18338978988</v>
      </c>
      <c r="C25571" t="s">
        <v>1</v>
      </c>
      <c r="D25571" t="s">
        <v>1</v>
      </c>
      <c r="E25571" t="s">
        <v>1</v>
      </c>
      <c r="F25571" t="s">
        <v>0</v>
      </c>
      <c r="G25571" t="str">
        <f>"2018-10-05 23:22:54"</f>
        <v>2018-10-05 23:22:54</v>
      </c>
    </row>
    <row r="25572" spans="1:7" x14ac:dyDescent="0.2">
      <c r="A25572" t="s">
        <v>23525</v>
      </c>
      <c r="B25572" t="str">
        <f>"15179384605"</f>
        <v>15179384605</v>
      </c>
      <c r="C25572" t="str">
        <f>"362321200002253537"</f>
        <v>362321200002253537</v>
      </c>
      <c r="D25572" t="s">
        <v>1</v>
      </c>
      <c r="E25572" t="s">
        <v>1</v>
      </c>
      <c r="F25572" t="s">
        <v>0</v>
      </c>
      <c r="G25572" t="str">
        <f>"2018-10-05 23:11:53"</f>
        <v>2018-10-05 23:11:53</v>
      </c>
    </row>
    <row r="25573" spans="1:7" x14ac:dyDescent="0.2">
      <c r="A25573" t="s">
        <v>828</v>
      </c>
      <c r="B25573" t="str">
        <f>"18788115311"</f>
        <v>18788115311</v>
      </c>
      <c r="C25573" t="str">
        <f>"532627197908063918"</f>
        <v>532627197908063918</v>
      </c>
      <c r="D25573" t="s">
        <v>23526</v>
      </c>
      <c r="E25573" t="s">
        <v>23527</v>
      </c>
      <c r="F25573" t="s">
        <v>0</v>
      </c>
      <c r="G25573" t="str">
        <f>"2018-10-06 12:10:21"</f>
        <v>2018-10-06 12:10:21</v>
      </c>
    </row>
    <row r="25574" spans="1:7" x14ac:dyDescent="0.2">
      <c r="A25574" t="s">
        <v>23528</v>
      </c>
      <c r="B25574" t="str">
        <f>"15389553792"</f>
        <v>15389553792</v>
      </c>
      <c r="C25574" t="str">
        <f>"610626199306230636"</f>
        <v>610626199306230636</v>
      </c>
      <c r="D25574" t="s">
        <v>1</v>
      </c>
      <c r="E25574" t="s">
        <v>1</v>
      </c>
      <c r="F25574" t="s">
        <v>0</v>
      </c>
      <c r="G25574" t="str">
        <f>"2018-10-05 23:13:54"</f>
        <v>2018-10-05 23:13:54</v>
      </c>
    </row>
    <row r="25575" spans="1:7" x14ac:dyDescent="0.2">
      <c r="A25575" t="s">
        <v>23529</v>
      </c>
      <c r="B25575" t="str">
        <f>"15171288860"</f>
        <v>15171288860</v>
      </c>
      <c r="C25575" t="str">
        <f>"420902198506276474"</f>
        <v>420902198506276474</v>
      </c>
      <c r="D25575" t="s">
        <v>23530</v>
      </c>
      <c r="E25575" t="s">
        <v>23531</v>
      </c>
      <c r="F25575" t="s">
        <v>0</v>
      </c>
      <c r="G25575" t="str">
        <f>"2018-10-05 23:12:24"</f>
        <v>2018-10-05 23:12:24</v>
      </c>
    </row>
    <row r="25576" spans="1:7" x14ac:dyDescent="0.2">
      <c r="A25576" t="s">
        <v>23532</v>
      </c>
      <c r="B25576" t="str">
        <f>"17635461913"</f>
        <v>17635461913</v>
      </c>
      <c r="C25576" t="str">
        <f>"142301199704022715"</f>
        <v>142301199704022715</v>
      </c>
      <c r="D25576" t="s">
        <v>23533</v>
      </c>
      <c r="E25576" t="s">
        <v>23534</v>
      </c>
      <c r="F25576" t="s">
        <v>0</v>
      </c>
      <c r="G25576" t="str">
        <f>"2018-10-05 23:12:24"</f>
        <v>2018-10-05 23:12:24</v>
      </c>
    </row>
    <row r="25577" spans="1:7" x14ac:dyDescent="0.2">
      <c r="A25577" t="s">
        <v>1</v>
      </c>
      <c r="B25577" t="str">
        <f>"14752107770"</f>
        <v>14752107770</v>
      </c>
      <c r="C25577" t="s">
        <v>1</v>
      </c>
      <c r="D25577" t="s">
        <v>1</v>
      </c>
      <c r="E25577" t="s">
        <v>1</v>
      </c>
      <c r="F25577" t="s">
        <v>0</v>
      </c>
      <c r="G25577" t="str">
        <f>"2018-10-05 23:09:00"</f>
        <v>2018-10-05 23:09:00</v>
      </c>
    </row>
    <row r="25578" spans="1:7" x14ac:dyDescent="0.2">
      <c r="A25578" t="s">
        <v>1</v>
      </c>
      <c r="B25578" t="str">
        <f>"17875537181"</f>
        <v>17875537181</v>
      </c>
      <c r="C25578" t="s">
        <v>1</v>
      </c>
      <c r="D25578" t="s">
        <v>1</v>
      </c>
      <c r="E25578" t="s">
        <v>1</v>
      </c>
      <c r="F25578" t="s">
        <v>0</v>
      </c>
      <c r="G25578" t="str">
        <f>"2018-10-05 23:07:11"</f>
        <v>2018-10-05 23:07:11</v>
      </c>
    </row>
    <row r="25579" spans="1:7" x14ac:dyDescent="0.2">
      <c r="A25579" t="s">
        <v>23535</v>
      </c>
      <c r="B25579" t="str">
        <f>"15992655777"</f>
        <v>15992655777</v>
      </c>
      <c r="C25579" t="str">
        <f>"220403198902243123"</f>
        <v>220403198902243123</v>
      </c>
      <c r="D25579" t="s">
        <v>1</v>
      </c>
      <c r="E25579" t="s">
        <v>1</v>
      </c>
      <c r="F25579" t="s">
        <v>0</v>
      </c>
      <c r="G25579" t="str">
        <f>"2018-10-05 23:13:20"</f>
        <v>2018-10-05 23:13:20</v>
      </c>
    </row>
    <row r="25580" spans="1:7" x14ac:dyDescent="0.2">
      <c r="A25580" t="s">
        <v>1</v>
      </c>
      <c r="B25580" t="str">
        <f>"15017211755"</f>
        <v>15017211755</v>
      </c>
      <c r="C25580" t="s">
        <v>1</v>
      </c>
      <c r="D25580" t="s">
        <v>1</v>
      </c>
      <c r="E25580" t="s">
        <v>1</v>
      </c>
      <c r="F25580" t="s">
        <v>0</v>
      </c>
      <c r="G25580" t="str">
        <f>"2018-10-05 23:03:18"</f>
        <v>2018-10-05 23:03:18</v>
      </c>
    </row>
    <row r="25581" spans="1:7" x14ac:dyDescent="0.2">
      <c r="A25581" t="s">
        <v>23536</v>
      </c>
      <c r="B25581" t="str">
        <f>"18908006060"</f>
        <v>18908006060</v>
      </c>
      <c r="C25581" t="str">
        <f>"510107198712122177"</f>
        <v>510107198712122177</v>
      </c>
      <c r="D25581" t="s">
        <v>23537</v>
      </c>
      <c r="E25581" t="s">
        <v>23538</v>
      </c>
      <c r="F25581" t="s">
        <v>0</v>
      </c>
      <c r="G25581" t="str">
        <f>"2018-10-05 23:20:05"</f>
        <v>2018-10-05 23:20:05</v>
      </c>
    </row>
    <row r="25582" spans="1:7" x14ac:dyDescent="0.2">
      <c r="A25582" t="s">
        <v>23539</v>
      </c>
      <c r="B25582" t="str">
        <f>"13926127883"</f>
        <v>13926127883</v>
      </c>
      <c r="C25582" t="str">
        <f>"612722197703120265"</f>
        <v>612722197703120265</v>
      </c>
      <c r="D25582" t="s">
        <v>23540</v>
      </c>
      <c r="E25582" t="s">
        <v>23541</v>
      </c>
      <c r="F25582" t="s">
        <v>0</v>
      </c>
      <c r="G25582" t="str">
        <f>"2018-10-05 23:05:45"</f>
        <v>2018-10-05 23:05:45</v>
      </c>
    </row>
    <row r="25583" spans="1:7" x14ac:dyDescent="0.2">
      <c r="A25583" t="s">
        <v>23542</v>
      </c>
      <c r="B25583" t="str">
        <f>"13665256411"</f>
        <v>13665256411</v>
      </c>
      <c r="C25583" t="str">
        <f>"321002198003157623"</f>
        <v>321002198003157623</v>
      </c>
      <c r="D25583" t="s">
        <v>23543</v>
      </c>
      <c r="E25583" t="s">
        <v>23544</v>
      </c>
      <c r="F25583" t="s">
        <v>0</v>
      </c>
      <c r="G25583" t="str">
        <f>"2018-10-05 23:12:36"</f>
        <v>2018-10-05 23:12:36</v>
      </c>
    </row>
    <row r="25584" spans="1:7" x14ac:dyDescent="0.2">
      <c r="A25584" t="s">
        <v>23545</v>
      </c>
      <c r="B25584" t="str">
        <f>"18638820833"</f>
        <v>18638820833</v>
      </c>
      <c r="C25584" t="str">
        <f>"410303198911210032"</f>
        <v>410303198911210032</v>
      </c>
      <c r="D25584" t="s">
        <v>1</v>
      </c>
      <c r="E25584" t="s">
        <v>1</v>
      </c>
      <c r="F25584" t="s">
        <v>0</v>
      </c>
      <c r="G25584" t="str">
        <f>"2018-10-05 23:03:26"</f>
        <v>2018-10-05 23:03:26</v>
      </c>
    </row>
    <row r="25585" spans="1:7" x14ac:dyDescent="0.2">
      <c r="A25585" t="s">
        <v>1</v>
      </c>
      <c r="B25585" t="str">
        <f>"15067064767"</f>
        <v>15067064767</v>
      </c>
      <c r="C25585" t="s">
        <v>1</v>
      </c>
      <c r="D25585" t="s">
        <v>1</v>
      </c>
      <c r="E25585" t="s">
        <v>1</v>
      </c>
      <c r="F25585" t="s">
        <v>0</v>
      </c>
      <c r="G25585" t="str">
        <f>"2018-10-05 22:59:01"</f>
        <v>2018-10-05 22:59:01</v>
      </c>
    </row>
    <row r="25586" spans="1:7" x14ac:dyDescent="0.2">
      <c r="A25586" t="s">
        <v>1</v>
      </c>
      <c r="B25586" t="str">
        <f>"15906456391"</f>
        <v>15906456391</v>
      </c>
      <c r="C25586" t="s">
        <v>1</v>
      </c>
      <c r="D25586" t="s">
        <v>1</v>
      </c>
      <c r="E25586" t="s">
        <v>1</v>
      </c>
      <c r="F25586" t="s">
        <v>0</v>
      </c>
      <c r="G25586" t="str">
        <f>"2018-10-05 22:57:07"</f>
        <v>2018-10-05 22:57:07</v>
      </c>
    </row>
    <row r="25587" spans="1:7" x14ac:dyDescent="0.2">
      <c r="A25587" t="s">
        <v>781</v>
      </c>
      <c r="B25587" t="str">
        <f>"17766996889"</f>
        <v>17766996889</v>
      </c>
      <c r="C25587" t="str">
        <f>"460034199403240931"</f>
        <v>460034199403240931</v>
      </c>
      <c r="D25587" t="s">
        <v>1</v>
      </c>
      <c r="E25587" t="s">
        <v>1</v>
      </c>
      <c r="F25587" t="s">
        <v>0</v>
      </c>
      <c r="G25587" t="str">
        <f>"2018-10-06 11:20:31"</f>
        <v>2018-10-06 11:20:31</v>
      </c>
    </row>
    <row r="25588" spans="1:7" x14ac:dyDescent="0.2">
      <c r="A25588" t="s">
        <v>23546</v>
      </c>
      <c r="B25588" t="str">
        <f>"15989102993"</f>
        <v>15989102993</v>
      </c>
      <c r="C25588" t="str">
        <f>"500226199008293770"</f>
        <v>500226199008293770</v>
      </c>
      <c r="D25588" t="s">
        <v>1</v>
      </c>
      <c r="E25588" t="s">
        <v>1</v>
      </c>
      <c r="F25588" t="s">
        <v>0</v>
      </c>
      <c r="G25588" t="str">
        <f>"2018-10-05 22:54:45"</f>
        <v>2018-10-05 22:54:45</v>
      </c>
    </row>
    <row r="25589" spans="1:7" x14ac:dyDescent="0.2">
      <c r="A25589" t="s">
        <v>1</v>
      </c>
      <c r="B25589" t="str">
        <f>"18031931803"</f>
        <v>18031931803</v>
      </c>
      <c r="C25589" t="s">
        <v>1</v>
      </c>
      <c r="D25589" t="s">
        <v>1</v>
      </c>
      <c r="E25589" t="s">
        <v>1</v>
      </c>
      <c r="F25589" t="s">
        <v>0</v>
      </c>
      <c r="G25589" t="str">
        <f>"2018-10-05 22:52:26"</f>
        <v>2018-10-05 22:52:26</v>
      </c>
    </row>
    <row r="25590" spans="1:7" x14ac:dyDescent="0.2">
      <c r="A25590" t="s">
        <v>1071</v>
      </c>
      <c r="B25590" t="str">
        <f>"18443918431"</f>
        <v>18443918431</v>
      </c>
      <c r="C25590" t="str">
        <f>"220381199507295810"</f>
        <v>220381199507295810</v>
      </c>
      <c r="D25590" t="s">
        <v>1</v>
      </c>
      <c r="E25590" t="s">
        <v>1</v>
      </c>
      <c r="F25590" t="s">
        <v>0</v>
      </c>
      <c r="G25590" t="str">
        <f>"2018-10-05 22:53:06"</f>
        <v>2018-10-05 22:53:06</v>
      </c>
    </row>
    <row r="25591" spans="1:7" x14ac:dyDescent="0.2">
      <c r="A25591" t="s">
        <v>23547</v>
      </c>
      <c r="B25591" t="str">
        <f>"13822137828"</f>
        <v>13822137828</v>
      </c>
      <c r="C25591" t="str">
        <f>"441423197808232017"</f>
        <v>441423197808232017</v>
      </c>
      <c r="D25591" t="s">
        <v>1</v>
      </c>
      <c r="E25591" t="s">
        <v>1</v>
      </c>
      <c r="F25591" t="s">
        <v>0</v>
      </c>
      <c r="G25591" t="str">
        <f>"2018-10-05 22:51:51"</f>
        <v>2018-10-05 22:51:51</v>
      </c>
    </row>
    <row r="25592" spans="1:7" x14ac:dyDescent="0.2">
      <c r="A25592" t="s">
        <v>23548</v>
      </c>
      <c r="B25592" t="str">
        <f>"15217590999"</f>
        <v>15217590999</v>
      </c>
      <c r="C25592" t="str">
        <f>"441302198904185115"</f>
        <v>441302198904185115</v>
      </c>
      <c r="D25592" t="s">
        <v>23549</v>
      </c>
      <c r="E25592" t="s">
        <v>23550</v>
      </c>
      <c r="F25592" t="s">
        <v>0</v>
      </c>
      <c r="G25592" t="str">
        <f>"2018-10-11 11:59:56"</f>
        <v>2018-10-11 11:59:56</v>
      </c>
    </row>
    <row r="25593" spans="1:7" x14ac:dyDescent="0.2">
      <c r="A25593" t="s">
        <v>1</v>
      </c>
      <c r="B25593" t="str">
        <f>"13959380936"</f>
        <v>13959380936</v>
      </c>
      <c r="C25593" t="s">
        <v>1</v>
      </c>
      <c r="D25593" t="s">
        <v>1</v>
      </c>
      <c r="E25593" t="s">
        <v>1</v>
      </c>
      <c r="F25593" t="s">
        <v>0</v>
      </c>
      <c r="G25593" t="str">
        <f>"2018-10-05 22:45:15"</f>
        <v>2018-10-05 22:45:15</v>
      </c>
    </row>
    <row r="25594" spans="1:7" x14ac:dyDescent="0.2">
      <c r="A25594" t="s">
        <v>1</v>
      </c>
      <c r="B25594" t="str">
        <f>"15607817942"</f>
        <v>15607817942</v>
      </c>
      <c r="C25594" t="s">
        <v>1</v>
      </c>
      <c r="D25594" t="s">
        <v>1</v>
      </c>
      <c r="E25594" t="s">
        <v>1</v>
      </c>
      <c r="F25594" t="s">
        <v>0</v>
      </c>
      <c r="G25594" t="str">
        <f>"2018-10-05 22:45:13"</f>
        <v>2018-10-05 22:45:13</v>
      </c>
    </row>
    <row r="25595" spans="1:7" x14ac:dyDescent="0.2">
      <c r="A25595" t="s">
        <v>23551</v>
      </c>
      <c r="B25595" t="str">
        <f>"18868946342"</f>
        <v>18868946342</v>
      </c>
      <c r="C25595" t="str">
        <f>"330825199305020028"</f>
        <v>330825199305020028</v>
      </c>
      <c r="D25595" t="s">
        <v>23552</v>
      </c>
      <c r="E25595" t="s">
        <v>23553</v>
      </c>
      <c r="F25595" t="s">
        <v>0</v>
      </c>
      <c r="G25595" t="str">
        <f>"2018-10-05 22:50:28"</f>
        <v>2018-10-05 22:50:28</v>
      </c>
    </row>
    <row r="25596" spans="1:7" x14ac:dyDescent="0.2">
      <c r="A25596" t="s">
        <v>23554</v>
      </c>
      <c r="B25596" t="str">
        <f>"13692765753"</f>
        <v>13692765753</v>
      </c>
      <c r="C25596" t="str">
        <f>"431224199505071642"</f>
        <v>431224199505071642</v>
      </c>
      <c r="D25596" t="s">
        <v>1</v>
      </c>
      <c r="E25596" t="s">
        <v>1</v>
      </c>
      <c r="F25596" t="s">
        <v>0</v>
      </c>
      <c r="G25596" t="str">
        <f>"2018-10-05 22:44:33"</f>
        <v>2018-10-05 22:44:33</v>
      </c>
    </row>
    <row r="25597" spans="1:7" x14ac:dyDescent="0.2">
      <c r="A25597" t="s">
        <v>23555</v>
      </c>
      <c r="B25597" t="str">
        <f>"13676548067"</f>
        <v>13676548067</v>
      </c>
      <c r="C25597" t="str">
        <f>"420321199201120736"</f>
        <v>420321199201120736</v>
      </c>
      <c r="D25597" t="s">
        <v>1</v>
      </c>
      <c r="E25597" t="s">
        <v>1</v>
      </c>
      <c r="F25597" t="s">
        <v>0</v>
      </c>
      <c r="G25597" t="str">
        <f>"2018-10-05 22:44:38"</f>
        <v>2018-10-05 22:44:38</v>
      </c>
    </row>
    <row r="25598" spans="1:7" x14ac:dyDescent="0.2">
      <c r="A25598" t="s">
        <v>23556</v>
      </c>
      <c r="B25598" t="str">
        <f>"18228413534"</f>
        <v>18228413534</v>
      </c>
      <c r="C25598" t="str">
        <f>"511026196506193711"</f>
        <v>511026196506193711</v>
      </c>
      <c r="D25598" t="s">
        <v>1</v>
      </c>
      <c r="E25598" t="s">
        <v>1</v>
      </c>
      <c r="F25598" t="s">
        <v>0</v>
      </c>
      <c r="G25598" t="str">
        <f>"2018-10-29 19:09:38"</f>
        <v>2018-10-29 19:09:38</v>
      </c>
    </row>
    <row r="25599" spans="1:7" x14ac:dyDescent="0.2">
      <c r="A25599" t="s">
        <v>23557</v>
      </c>
      <c r="B25599" t="str">
        <f>"13789852587"</f>
        <v>13789852587</v>
      </c>
      <c r="C25599" t="str">
        <f>"370281199007054911"</f>
        <v>370281199007054911</v>
      </c>
      <c r="D25599" t="s">
        <v>23558</v>
      </c>
      <c r="E25599" t="s">
        <v>23559</v>
      </c>
      <c r="F25599" t="s">
        <v>0</v>
      </c>
      <c r="G25599" t="str">
        <f>"2018-10-05 22:42:36"</f>
        <v>2018-10-05 22:42:36</v>
      </c>
    </row>
    <row r="25600" spans="1:7" x14ac:dyDescent="0.2">
      <c r="A25600" t="s">
        <v>1</v>
      </c>
      <c r="B25600" t="str">
        <f>"13711523021"</f>
        <v>13711523021</v>
      </c>
      <c r="C25600" t="s">
        <v>1</v>
      </c>
      <c r="D25600" t="s">
        <v>1</v>
      </c>
      <c r="E25600" t="s">
        <v>1</v>
      </c>
      <c r="F25600" t="s">
        <v>0</v>
      </c>
      <c r="G25600" t="str">
        <f>"2018-10-05 22:40:38"</f>
        <v>2018-10-05 22:40:38</v>
      </c>
    </row>
    <row r="25601" spans="1:7" x14ac:dyDescent="0.2">
      <c r="A25601" t="s">
        <v>1</v>
      </c>
      <c r="B25601" t="str">
        <f>"15943330765"</f>
        <v>15943330765</v>
      </c>
      <c r="C25601" t="s">
        <v>1</v>
      </c>
      <c r="D25601" t="s">
        <v>1</v>
      </c>
      <c r="E25601" t="s">
        <v>1</v>
      </c>
      <c r="F25601" t="s">
        <v>0</v>
      </c>
      <c r="G25601" t="str">
        <f>"2018-10-05 22:39:00"</f>
        <v>2018-10-05 22:39:00</v>
      </c>
    </row>
    <row r="25602" spans="1:7" x14ac:dyDescent="0.2">
      <c r="A25602" t="s">
        <v>23560</v>
      </c>
      <c r="B25602" t="str">
        <f>"13970080151"</f>
        <v>13970080151</v>
      </c>
      <c r="C25602" t="str">
        <f>"360102198411283815"</f>
        <v>360102198411283815</v>
      </c>
      <c r="D25602" t="s">
        <v>23561</v>
      </c>
      <c r="E25602" t="s">
        <v>23562</v>
      </c>
      <c r="F25602" t="s">
        <v>0</v>
      </c>
      <c r="G25602" t="str">
        <f>"2018-10-14 14:18:06"</f>
        <v>2018-10-14 14:18:06</v>
      </c>
    </row>
    <row r="25603" spans="1:7" x14ac:dyDescent="0.2">
      <c r="A25603" t="s">
        <v>23563</v>
      </c>
      <c r="B25603" t="str">
        <f>"18346423909"</f>
        <v>18346423909</v>
      </c>
      <c r="C25603" t="str">
        <f>"230921199312152025"</f>
        <v>230921199312152025</v>
      </c>
      <c r="D25603" t="s">
        <v>1</v>
      </c>
      <c r="E25603" t="s">
        <v>1</v>
      </c>
      <c r="F25603" t="s">
        <v>0</v>
      </c>
      <c r="G25603" t="str">
        <f>"2018-10-05 22:42:23"</f>
        <v>2018-10-05 22:42:23</v>
      </c>
    </row>
    <row r="25604" spans="1:7" x14ac:dyDescent="0.2">
      <c r="A25604" t="s">
        <v>23564</v>
      </c>
      <c r="B25604" t="str">
        <f>"17770108724"</f>
        <v>17770108724</v>
      </c>
      <c r="C25604" t="str">
        <f>"360781199804192933"</f>
        <v>360781199804192933</v>
      </c>
      <c r="D25604" t="s">
        <v>1</v>
      </c>
      <c r="E25604" t="s">
        <v>1</v>
      </c>
      <c r="F25604" t="s">
        <v>0</v>
      </c>
      <c r="G25604" t="str">
        <f>"2018-10-05 23:10:39"</f>
        <v>2018-10-05 23:10:39</v>
      </c>
    </row>
    <row r="25605" spans="1:7" x14ac:dyDescent="0.2">
      <c r="A25605" t="s">
        <v>23565</v>
      </c>
      <c r="B25605" t="str">
        <f>"13006197370"</f>
        <v>13006197370</v>
      </c>
      <c r="C25605" t="str">
        <f>"412822199410291201"</f>
        <v>412822199410291201</v>
      </c>
      <c r="D25605" t="s">
        <v>1</v>
      </c>
      <c r="E25605" t="s">
        <v>1</v>
      </c>
      <c r="F25605" t="s">
        <v>0</v>
      </c>
      <c r="G25605" t="str">
        <f>"2018-10-05 22:34:36"</f>
        <v>2018-10-05 22:34:36</v>
      </c>
    </row>
    <row r="25606" spans="1:7" x14ac:dyDescent="0.2">
      <c r="A25606" t="s">
        <v>23566</v>
      </c>
      <c r="B25606" t="str">
        <f>"18725635781"</f>
        <v>18725635781</v>
      </c>
      <c r="C25606" t="str">
        <f>"360731199311148228"</f>
        <v>360731199311148228</v>
      </c>
      <c r="D25606" t="s">
        <v>1</v>
      </c>
      <c r="E25606" t="s">
        <v>1</v>
      </c>
      <c r="F25606" t="s">
        <v>0</v>
      </c>
      <c r="G25606" t="str">
        <f>"2018-10-05 22:35:34"</f>
        <v>2018-10-05 22:35:34</v>
      </c>
    </row>
    <row r="25607" spans="1:7" x14ac:dyDescent="0.2">
      <c r="A25607" t="s">
        <v>150</v>
      </c>
      <c r="B25607" t="str">
        <f>"18615713032"</f>
        <v>18615713032</v>
      </c>
      <c r="C25607" t="str">
        <f>"510723198301170011"</f>
        <v>510723198301170011</v>
      </c>
      <c r="D25607" t="s">
        <v>1</v>
      </c>
      <c r="E25607" t="s">
        <v>1</v>
      </c>
      <c r="F25607" t="s">
        <v>0</v>
      </c>
      <c r="G25607" t="str">
        <f>"2018-10-05 22:30:36"</f>
        <v>2018-10-05 22:30:36</v>
      </c>
    </row>
    <row r="25608" spans="1:7" x14ac:dyDescent="0.2">
      <c r="A25608" t="s">
        <v>1</v>
      </c>
      <c r="B25608" t="str">
        <f>"15923859069"</f>
        <v>15923859069</v>
      </c>
      <c r="C25608" t="s">
        <v>1</v>
      </c>
      <c r="D25608" t="s">
        <v>1</v>
      </c>
      <c r="E25608" t="s">
        <v>1</v>
      </c>
      <c r="F25608" t="s">
        <v>0</v>
      </c>
      <c r="G25608" t="str">
        <f>"2018-10-05 22:29:12"</f>
        <v>2018-10-05 22:29:12</v>
      </c>
    </row>
    <row r="25609" spans="1:7" x14ac:dyDescent="0.2">
      <c r="A25609" t="s">
        <v>23567</v>
      </c>
      <c r="B25609" t="str">
        <f>"13927126267"</f>
        <v>13927126267</v>
      </c>
      <c r="C25609" t="str">
        <f>"445322199706251015"</f>
        <v>445322199706251015</v>
      </c>
      <c r="D25609" t="s">
        <v>23568</v>
      </c>
      <c r="E25609" t="s">
        <v>23569</v>
      </c>
      <c r="F25609" t="s">
        <v>0</v>
      </c>
      <c r="G25609" t="str">
        <f>"2018-10-05 22:28:44"</f>
        <v>2018-10-05 22:28:44</v>
      </c>
    </row>
    <row r="25610" spans="1:7" x14ac:dyDescent="0.2">
      <c r="A25610" t="s">
        <v>1</v>
      </c>
      <c r="B25610" t="str">
        <f>"18348647663"</f>
        <v>18348647663</v>
      </c>
      <c r="C25610" t="s">
        <v>1</v>
      </c>
      <c r="D25610" t="s">
        <v>1</v>
      </c>
      <c r="E25610" t="s">
        <v>1</v>
      </c>
      <c r="F25610" t="s">
        <v>0</v>
      </c>
      <c r="G25610" t="str">
        <f>"2018-10-05 22:24:16"</f>
        <v>2018-10-05 22:24:16</v>
      </c>
    </row>
    <row r="25611" spans="1:7" x14ac:dyDescent="0.2">
      <c r="A25611" t="s">
        <v>23570</v>
      </c>
      <c r="B25611" t="str">
        <f>"18970722798"</f>
        <v>18970722798</v>
      </c>
      <c r="C25611" t="str">
        <f>"360733199509135919"</f>
        <v>360733199509135919</v>
      </c>
      <c r="D25611" t="s">
        <v>1</v>
      </c>
      <c r="E25611" t="s">
        <v>1</v>
      </c>
      <c r="F25611" t="s">
        <v>0</v>
      </c>
      <c r="G25611" t="str">
        <f>"2018-10-06 12:48:00"</f>
        <v>2018-10-06 12:48:00</v>
      </c>
    </row>
    <row r="25612" spans="1:7" x14ac:dyDescent="0.2">
      <c r="A25612" t="s">
        <v>23571</v>
      </c>
      <c r="B25612" t="str">
        <f>"18787725134"</f>
        <v>18787725134</v>
      </c>
      <c r="C25612" t="str">
        <f>"530423198407241938"</f>
        <v>530423198407241938</v>
      </c>
      <c r="D25612" t="s">
        <v>1</v>
      </c>
      <c r="E25612" t="s">
        <v>1</v>
      </c>
      <c r="F25612" t="s">
        <v>0</v>
      </c>
      <c r="G25612" t="str">
        <f>"2018-10-06 08:53:03"</f>
        <v>2018-10-06 08:53:03</v>
      </c>
    </row>
    <row r="25613" spans="1:7" x14ac:dyDescent="0.2">
      <c r="A25613" t="s">
        <v>1</v>
      </c>
      <c r="B25613" t="str">
        <f>"15376043307"</f>
        <v>15376043307</v>
      </c>
      <c r="C25613" t="s">
        <v>1</v>
      </c>
      <c r="D25613" t="s">
        <v>1</v>
      </c>
      <c r="E25613" t="s">
        <v>1</v>
      </c>
      <c r="F25613" t="s">
        <v>0</v>
      </c>
      <c r="G25613" t="str">
        <f>"2018-10-05 22:20:51"</f>
        <v>2018-10-05 22:20:51</v>
      </c>
    </row>
    <row r="25614" spans="1:7" x14ac:dyDescent="0.2">
      <c r="A25614" t="s">
        <v>1</v>
      </c>
      <c r="B25614" t="str">
        <f>"18656350381"</f>
        <v>18656350381</v>
      </c>
      <c r="C25614" t="s">
        <v>1</v>
      </c>
      <c r="D25614" t="s">
        <v>1</v>
      </c>
      <c r="E25614" t="s">
        <v>1</v>
      </c>
      <c r="F25614" t="s">
        <v>0</v>
      </c>
      <c r="G25614" t="str">
        <f>"2018-10-05 22:20:28"</f>
        <v>2018-10-05 22:20:28</v>
      </c>
    </row>
    <row r="25615" spans="1:7" x14ac:dyDescent="0.2">
      <c r="A25615" t="s">
        <v>23572</v>
      </c>
      <c r="B25615" t="str">
        <f>"15812106609"</f>
        <v>15812106609</v>
      </c>
      <c r="C25615" t="str">
        <f>"530128199202054522"</f>
        <v>530128199202054522</v>
      </c>
      <c r="D25615" t="s">
        <v>1</v>
      </c>
      <c r="E25615" t="s">
        <v>1</v>
      </c>
      <c r="F25615" t="s">
        <v>0</v>
      </c>
      <c r="G25615" t="str">
        <f>"2018-10-30 16:02:10"</f>
        <v>2018-10-30 16:02:10</v>
      </c>
    </row>
    <row r="25616" spans="1:7" x14ac:dyDescent="0.2">
      <c r="A25616" t="s">
        <v>23573</v>
      </c>
      <c r="B25616" t="str">
        <f>"18820615795"</f>
        <v>18820615795</v>
      </c>
      <c r="C25616" t="str">
        <f>"431124199804040031"</f>
        <v>431124199804040031</v>
      </c>
      <c r="D25616" t="s">
        <v>23574</v>
      </c>
      <c r="E25616" t="s">
        <v>23574</v>
      </c>
      <c r="F25616" t="s">
        <v>0</v>
      </c>
      <c r="G25616" t="str">
        <f>"2018-10-05 22:17:52"</f>
        <v>2018-10-05 22:17:52</v>
      </c>
    </row>
    <row r="25617" spans="1:7" x14ac:dyDescent="0.2">
      <c r="A25617" t="s">
        <v>17603</v>
      </c>
      <c r="B25617" t="str">
        <f>"18295991724"</f>
        <v>18295991724</v>
      </c>
      <c r="C25617" t="str">
        <f>"142726199704242717"</f>
        <v>142726199704242717</v>
      </c>
      <c r="D25617" t="s">
        <v>1</v>
      </c>
      <c r="E25617" t="s">
        <v>1</v>
      </c>
      <c r="F25617" t="s">
        <v>0</v>
      </c>
      <c r="G25617" t="str">
        <f>"2018-10-05 22:27:59"</f>
        <v>2018-10-05 22:27:59</v>
      </c>
    </row>
    <row r="25618" spans="1:7" x14ac:dyDescent="0.2">
      <c r="A25618" t="s">
        <v>23575</v>
      </c>
      <c r="B25618" t="str">
        <f>"13876365152"</f>
        <v>13876365152</v>
      </c>
      <c r="C25618" t="str">
        <f>"460103199406100011"</f>
        <v>460103199406100011</v>
      </c>
      <c r="D25618" t="s">
        <v>23576</v>
      </c>
      <c r="E25618" t="s">
        <v>23577</v>
      </c>
      <c r="F25618" t="s">
        <v>0</v>
      </c>
      <c r="G25618" t="str">
        <f>"2018-10-05 22:21:06"</f>
        <v>2018-10-05 22:21:06</v>
      </c>
    </row>
    <row r="25619" spans="1:7" x14ac:dyDescent="0.2">
      <c r="A25619" t="s">
        <v>23578</v>
      </c>
      <c r="B25619" t="str">
        <f>"15120844343"</f>
        <v>15120844343</v>
      </c>
      <c r="C25619" t="str">
        <f>"460004199412312636"</f>
        <v>460004199412312636</v>
      </c>
      <c r="D25619" t="s">
        <v>23579</v>
      </c>
      <c r="E25619" t="s">
        <v>23580</v>
      </c>
      <c r="F25619" t="s">
        <v>0</v>
      </c>
      <c r="G25619" t="str">
        <f>"2018-10-05 22:19:42"</f>
        <v>2018-10-05 22:19:42</v>
      </c>
    </row>
    <row r="25620" spans="1:7" x14ac:dyDescent="0.2">
      <c r="A25620" t="s">
        <v>1</v>
      </c>
      <c r="B25620" t="str">
        <f>"13148397847"</f>
        <v>13148397847</v>
      </c>
      <c r="C25620" t="s">
        <v>1</v>
      </c>
      <c r="D25620" t="s">
        <v>1</v>
      </c>
      <c r="E25620" t="s">
        <v>1</v>
      </c>
      <c r="F25620" t="s">
        <v>0</v>
      </c>
      <c r="G25620" t="str">
        <f>"2018-10-05 22:15:38"</f>
        <v>2018-10-05 22:15:38</v>
      </c>
    </row>
    <row r="25621" spans="1:7" x14ac:dyDescent="0.2">
      <c r="A25621" t="s">
        <v>23581</v>
      </c>
      <c r="B25621" t="str">
        <f>"17614984248"</f>
        <v>17614984248</v>
      </c>
      <c r="C25621" t="str">
        <f>"152104199404044111"</f>
        <v>152104199404044111</v>
      </c>
      <c r="D25621" t="s">
        <v>23582</v>
      </c>
      <c r="E25621" t="s">
        <v>23583</v>
      </c>
      <c r="F25621" t="s">
        <v>0</v>
      </c>
      <c r="G25621" t="str">
        <f>"2018-10-06 12:28:41"</f>
        <v>2018-10-06 12:28:41</v>
      </c>
    </row>
    <row r="25622" spans="1:7" x14ac:dyDescent="0.2">
      <c r="A25622" t="s">
        <v>23584</v>
      </c>
      <c r="B25622" t="str">
        <f>"15803058636"</f>
        <v>15803058636</v>
      </c>
      <c r="C25622" t="str">
        <f>"500225198712180023"</f>
        <v>500225198712180023</v>
      </c>
      <c r="D25622" t="s">
        <v>23585</v>
      </c>
      <c r="E25622" t="s">
        <v>23586</v>
      </c>
      <c r="F25622" t="s">
        <v>0</v>
      </c>
      <c r="G25622" t="str">
        <f>"2018-10-05 22:13:35"</f>
        <v>2018-10-05 22:13:35</v>
      </c>
    </row>
    <row r="25623" spans="1:7" x14ac:dyDescent="0.2">
      <c r="A25623" t="s">
        <v>23587</v>
      </c>
      <c r="B25623" t="str">
        <f>"15722943006"</f>
        <v>15722943006</v>
      </c>
      <c r="C25623" t="str">
        <f>"320826199810220228"</f>
        <v>320826199810220228</v>
      </c>
      <c r="D25623" t="s">
        <v>1</v>
      </c>
      <c r="E25623" t="s">
        <v>1</v>
      </c>
      <c r="F25623" t="s">
        <v>0</v>
      </c>
      <c r="G25623" t="str">
        <f>"2018-10-05 22:16:42"</f>
        <v>2018-10-05 22:16:42</v>
      </c>
    </row>
    <row r="25624" spans="1:7" x14ac:dyDescent="0.2">
      <c r="A25624" t="s">
        <v>23588</v>
      </c>
      <c r="B25624" t="str">
        <f>"15378103925"</f>
        <v>15378103925</v>
      </c>
      <c r="C25624" t="str">
        <f>"510681198903244813"</f>
        <v>510681198903244813</v>
      </c>
      <c r="D25624" t="s">
        <v>23589</v>
      </c>
      <c r="E25624" t="s">
        <v>23590</v>
      </c>
      <c r="F25624" t="s">
        <v>0</v>
      </c>
      <c r="G25624" t="str">
        <f>"2018-10-05 22:08:35"</f>
        <v>2018-10-05 22:08:35</v>
      </c>
    </row>
    <row r="25625" spans="1:7" x14ac:dyDescent="0.2">
      <c r="A25625" t="s">
        <v>23591</v>
      </c>
      <c r="B25625" t="str">
        <f>"15025130216"</f>
        <v>15025130216</v>
      </c>
      <c r="C25625" t="str">
        <f>"530128199710232428"</f>
        <v>530128199710232428</v>
      </c>
      <c r="D25625" t="s">
        <v>1</v>
      </c>
      <c r="E25625" t="s">
        <v>1</v>
      </c>
      <c r="F25625" t="s">
        <v>0</v>
      </c>
      <c r="G25625" t="str">
        <f>"2018-10-05 22:25:54"</f>
        <v>2018-10-05 22:25:54</v>
      </c>
    </row>
    <row r="25626" spans="1:7" x14ac:dyDescent="0.2">
      <c r="A25626" t="s">
        <v>23592</v>
      </c>
      <c r="B25626" t="str">
        <f>"13583917120"</f>
        <v>13583917120</v>
      </c>
      <c r="C25626" t="str">
        <f>"371311199407134491"</f>
        <v>371311199407134491</v>
      </c>
      <c r="D25626" t="s">
        <v>1</v>
      </c>
      <c r="E25626" t="s">
        <v>1</v>
      </c>
      <c r="F25626" t="s">
        <v>0</v>
      </c>
      <c r="G25626" t="str">
        <f>"2018-10-05 22:04:30"</f>
        <v>2018-10-05 22:04:30</v>
      </c>
    </row>
    <row r="25627" spans="1:7" x14ac:dyDescent="0.2">
      <c r="A25627" t="s">
        <v>23593</v>
      </c>
      <c r="B25627" t="str">
        <f>"15709112813"</f>
        <v>15709112813</v>
      </c>
      <c r="C25627" t="str">
        <f>"610631199208161228"</f>
        <v>610631199208161228</v>
      </c>
      <c r="D25627" t="s">
        <v>1</v>
      </c>
      <c r="E25627" t="s">
        <v>1</v>
      </c>
      <c r="F25627" t="s">
        <v>0</v>
      </c>
      <c r="G25627" t="str">
        <f>"2018-10-06 11:58:44"</f>
        <v>2018-10-06 11:58:44</v>
      </c>
    </row>
    <row r="25628" spans="1:7" x14ac:dyDescent="0.2">
      <c r="A25628" t="s">
        <v>1300</v>
      </c>
      <c r="B25628" t="str">
        <f>"15864419157"</f>
        <v>15864419157</v>
      </c>
      <c r="C25628" t="str">
        <f>"372901198309184571"</f>
        <v>372901198309184571</v>
      </c>
      <c r="D25628" t="s">
        <v>1</v>
      </c>
      <c r="E25628" t="s">
        <v>1</v>
      </c>
      <c r="F25628" t="s">
        <v>0</v>
      </c>
      <c r="G25628" t="str">
        <f>"2018-10-05 22:06:26"</f>
        <v>2018-10-05 22:06:26</v>
      </c>
    </row>
    <row r="25629" spans="1:7" x14ac:dyDescent="0.2">
      <c r="A25629" t="s">
        <v>23594</v>
      </c>
      <c r="B25629" t="str">
        <f>"18393905855"</f>
        <v>18393905855</v>
      </c>
      <c r="C25629" t="str">
        <f>"622926199004181533"</f>
        <v>622926199004181533</v>
      </c>
      <c r="D25629" t="s">
        <v>1</v>
      </c>
      <c r="E25629" t="s">
        <v>1</v>
      </c>
      <c r="F25629" t="s">
        <v>0</v>
      </c>
      <c r="G25629" t="str">
        <f>"2018-10-05 22:06:09"</f>
        <v>2018-10-05 22:06:09</v>
      </c>
    </row>
    <row r="25630" spans="1:7" x14ac:dyDescent="0.2">
      <c r="A25630" t="s">
        <v>1</v>
      </c>
      <c r="B25630" t="str">
        <f>"13324809060"</f>
        <v>13324809060</v>
      </c>
      <c r="C25630" t="s">
        <v>1</v>
      </c>
      <c r="D25630" t="s">
        <v>1</v>
      </c>
      <c r="E25630" t="s">
        <v>1</v>
      </c>
      <c r="F25630" t="s">
        <v>0</v>
      </c>
      <c r="G25630" t="str">
        <f>"2018-10-05 22:06:53"</f>
        <v>2018-10-05 22:06:53</v>
      </c>
    </row>
    <row r="25631" spans="1:7" x14ac:dyDescent="0.2">
      <c r="A25631" t="s">
        <v>1116</v>
      </c>
      <c r="B25631" t="str">
        <f>"15152488868"</f>
        <v>15152488868</v>
      </c>
      <c r="C25631" t="str">
        <f>"321283198405069019"</f>
        <v>321283198405069019</v>
      </c>
      <c r="D25631" t="s">
        <v>23595</v>
      </c>
      <c r="E25631" t="s">
        <v>23596</v>
      </c>
      <c r="F25631" t="s">
        <v>0</v>
      </c>
      <c r="G25631" t="str">
        <f>"2018-10-05 22:02:22"</f>
        <v>2018-10-05 22:02:22</v>
      </c>
    </row>
    <row r="25632" spans="1:7" x14ac:dyDescent="0.2">
      <c r="A25632" t="s">
        <v>23597</v>
      </c>
      <c r="B25632" t="str">
        <f>"15996966163"</f>
        <v>15996966163</v>
      </c>
      <c r="C25632" t="str">
        <f>"320304198603054829"</f>
        <v>320304198603054829</v>
      </c>
      <c r="D25632" t="s">
        <v>1</v>
      </c>
      <c r="E25632" t="s">
        <v>1</v>
      </c>
      <c r="F25632" t="s">
        <v>0</v>
      </c>
      <c r="G25632" t="str">
        <f>"2018-10-06 13:50:42"</f>
        <v>2018-10-06 13:50:42</v>
      </c>
    </row>
    <row r="25633" spans="1:7" x14ac:dyDescent="0.2">
      <c r="A25633" t="s">
        <v>23598</v>
      </c>
      <c r="B25633" t="str">
        <f>"13510286566"</f>
        <v>13510286566</v>
      </c>
      <c r="C25633" t="str">
        <f>"430422199102140030"</f>
        <v>430422199102140030</v>
      </c>
      <c r="D25633" t="s">
        <v>23599</v>
      </c>
      <c r="E25633" t="s">
        <v>23600</v>
      </c>
      <c r="F25633" t="s">
        <v>0</v>
      </c>
      <c r="G25633" t="str">
        <f>"2018-10-05 22:01:08"</f>
        <v>2018-10-05 22:01:08</v>
      </c>
    </row>
    <row r="25634" spans="1:7" x14ac:dyDescent="0.2">
      <c r="A25634" t="s">
        <v>23601</v>
      </c>
      <c r="B25634" t="str">
        <f>"18073424053"</f>
        <v>18073424053</v>
      </c>
      <c r="C25634" t="str">
        <f>"430482199006271416"</f>
        <v>430482199006271416</v>
      </c>
      <c r="D25634" t="s">
        <v>23602</v>
      </c>
      <c r="E25634" t="s">
        <v>23603</v>
      </c>
      <c r="F25634" t="s">
        <v>0</v>
      </c>
      <c r="G25634" t="str">
        <f>"2018-10-05 22:06:06"</f>
        <v>2018-10-05 22:06:06</v>
      </c>
    </row>
    <row r="25635" spans="1:7" x14ac:dyDescent="0.2">
      <c r="A25635" t="s">
        <v>23604</v>
      </c>
      <c r="B25635" t="str">
        <f>"13578723733"</f>
        <v>13578723733</v>
      </c>
      <c r="C25635" t="str">
        <f>"220104198809152649"</f>
        <v>220104198809152649</v>
      </c>
      <c r="D25635" t="s">
        <v>1</v>
      </c>
      <c r="E25635" t="s">
        <v>1</v>
      </c>
      <c r="F25635" t="s">
        <v>0</v>
      </c>
      <c r="G25635" t="str">
        <f>"2018-10-06 07:47:37"</f>
        <v>2018-10-06 07:47:37</v>
      </c>
    </row>
    <row r="25636" spans="1:7" x14ac:dyDescent="0.2">
      <c r="A25636" t="s">
        <v>1</v>
      </c>
      <c r="B25636" t="str">
        <f>"15077199183"</f>
        <v>15077199183</v>
      </c>
      <c r="C25636" t="s">
        <v>1</v>
      </c>
      <c r="D25636" t="s">
        <v>1</v>
      </c>
      <c r="E25636" t="s">
        <v>1</v>
      </c>
      <c r="F25636" t="s">
        <v>0</v>
      </c>
      <c r="G25636" t="str">
        <f>"2018-10-05 21:58:05"</f>
        <v>2018-10-05 21:58:05</v>
      </c>
    </row>
    <row r="25637" spans="1:7" x14ac:dyDescent="0.2">
      <c r="A25637" t="s">
        <v>23605</v>
      </c>
      <c r="B25637" t="str">
        <f>"13996043763"</f>
        <v>13996043763</v>
      </c>
      <c r="C25637" t="str">
        <f>"500223198903240639"</f>
        <v>500223198903240639</v>
      </c>
      <c r="D25637" t="s">
        <v>1</v>
      </c>
      <c r="E25637" t="s">
        <v>1</v>
      </c>
      <c r="F25637" t="s">
        <v>0</v>
      </c>
      <c r="G25637" t="str">
        <f>"2018-10-05 21:57:35"</f>
        <v>2018-10-05 21:57:35</v>
      </c>
    </row>
    <row r="25638" spans="1:7" x14ac:dyDescent="0.2">
      <c r="A25638" t="s">
        <v>1</v>
      </c>
      <c r="B25638" t="str">
        <f>"18352762369"</f>
        <v>18352762369</v>
      </c>
      <c r="C25638" t="s">
        <v>1</v>
      </c>
      <c r="D25638" t="s">
        <v>1</v>
      </c>
      <c r="E25638" t="s">
        <v>1</v>
      </c>
      <c r="F25638" t="s">
        <v>0</v>
      </c>
      <c r="G25638" t="str">
        <f>"2018-10-05 21:55:55"</f>
        <v>2018-10-05 21:55:55</v>
      </c>
    </row>
    <row r="25639" spans="1:7" x14ac:dyDescent="0.2">
      <c r="A25639" t="s">
        <v>1</v>
      </c>
      <c r="B25639" t="str">
        <f>"13030401780"</f>
        <v>13030401780</v>
      </c>
      <c r="C25639" t="s">
        <v>1</v>
      </c>
      <c r="D25639" t="s">
        <v>1</v>
      </c>
      <c r="E25639" t="s">
        <v>1</v>
      </c>
      <c r="F25639" t="s">
        <v>0</v>
      </c>
      <c r="G25639" t="str">
        <f>"2018-10-05 21:54:20"</f>
        <v>2018-10-05 21:54:20</v>
      </c>
    </row>
    <row r="25640" spans="1:7" x14ac:dyDescent="0.2">
      <c r="A25640" t="s">
        <v>23606</v>
      </c>
      <c r="B25640" t="str">
        <f>"13457194455"</f>
        <v>13457194455</v>
      </c>
      <c r="C25640" t="str">
        <f>"452133196809084516"</f>
        <v>452133196809084516</v>
      </c>
      <c r="D25640" t="s">
        <v>1</v>
      </c>
      <c r="E25640" t="s">
        <v>1</v>
      </c>
      <c r="F25640" t="s">
        <v>0</v>
      </c>
      <c r="G25640" t="str">
        <f>"2018-10-05 21:58:50"</f>
        <v>2018-10-05 21:58:50</v>
      </c>
    </row>
    <row r="25641" spans="1:7" x14ac:dyDescent="0.2">
      <c r="A25641" t="s">
        <v>23607</v>
      </c>
      <c r="B25641" t="str">
        <f>"17600639520"</f>
        <v>17600639520</v>
      </c>
      <c r="C25641" t="str">
        <f>"13093019950216031X"</f>
        <v>13093019950216031X</v>
      </c>
      <c r="D25641" t="s">
        <v>1</v>
      </c>
      <c r="E25641" t="s">
        <v>1</v>
      </c>
      <c r="F25641" t="s">
        <v>0</v>
      </c>
      <c r="G25641" t="str">
        <f>"2018-10-28 22:22:42"</f>
        <v>2018-10-28 22:22:42</v>
      </c>
    </row>
    <row r="25642" spans="1:7" x14ac:dyDescent="0.2">
      <c r="A25642" t="s">
        <v>23608</v>
      </c>
      <c r="B25642" t="str">
        <f>"15245238170"</f>
        <v>15245238170</v>
      </c>
      <c r="C25642" t="str">
        <f>"230227199209231921"</f>
        <v>230227199209231921</v>
      </c>
      <c r="D25642" t="s">
        <v>1</v>
      </c>
      <c r="E25642" t="s">
        <v>1</v>
      </c>
      <c r="F25642" t="s">
        <v>0</v>
      </c>
      <c r="G25642" t="str">
        <f>"2018-10-05 21:50:07"</f>
        <v>2018-10-05 21:50:07</v>
      </c>
    </row>
    <row r="25643" spans="1:7" x14ac:dyDescent="0.2">
      <c r="A25643" t="s">
        <v>23609</v>
      </c>
      <c r="B25643" t="str">
        <f>"18011200308"</f>
        <v>18011200308</v>
      </c>
      <c r="C25643" t="str">
        <f>"511011198710255072"</f>
        <v>511011198710255072</v>
      </c>
      <c r="D25643" t="s">
        <v>1</v>
      </c>
      <c r="E25643" t="s">
        <v>1</v>
      </c>
      <c r="F25643" t="s">
        <v>0</v>
      </c>
      <c r="G25643" t="str">
        <f>"2018-10-05 21:51:53"</f>
        <v>2018-10-05 21:51:53</v>
      </c>
    </row>
    <row r="25644" spans="1:7" x14ac:dyDescent="0.2">
      <c r="A25644" t="s">
        <v>1</v>
      </c>
      <c r="B25644" t="str">
        <f>"13064554569"</f>
        <v>13064554569</v>
      </c>
      <c r="C25644" t="s">
        <v>1</v>
      </c>
      <c r="D25644" t="s">
        <v>1</v>
      </c>
      <c r="E25644" t="s">
        <v>1</v>
      </c>
      <c r="F25644" t="s">
        <v>0</v>
      </c>
      <c r="G25644" t="str">
        <f>"2018-10-05 21:48:43"</f>
        <v>2018-10-05 21:48:43</v>
      </c>
    </row>
    <row r="25645" spans="1:7" x14ac:dyDescent="0.2">
      <c r="A25645" t="s">
        <v>23610</v>
      </c>
      <c r="B25645" t="str">
        <f>"15164524141"</f>
        <v>15164524141</v>
      </c>
      <c r="C25645" t="str">
        <f>"152123199705231841"</f>
        <v>152123199705231841</v>
      </c>
      <c r="D25645" t="s">
        <v>23611</v>
      </c>
      <c r="E25645" t="s">
        <v>23612</v>
      </c>
      <c r="F25645" t="s">
        <v>0</v>
      </c>
      <c r="G25645" t="str">
        <f>"2018-10-12 15:12:39"</f>
        <v>2018-10-12 15:12:39</v>
      </c>
    </row>
    <row r="25646" spans="1:7" x14ac:dyDescent="0.2">
      <c r="A25646" t="s">
        <v>23613</v>
      </c>
      <c r="B25646" t="str">
        <f>"15071571863"</f>
        <v>15071571863</v>
      </c>
      <c r="C25646" t="str">
        <f>"420323199601052819"</f>
        <v>420323199601052819</v>
      </c>
      <c r="D25646" t="s">
        <v>1</v>
      </c>
      <c r="E25646" t="s">
        <v>1</v>
      </c>
      <c r="F25646" t="s">
        <v>0</v>
      </c>
      <c r="G25646" t="str">
        <f>"2018-10-05 21:46:52"</f>
        <v>2018-10-05 21:46:52</v>
      </c>
    </row>
    <row r="25647" spans="1:7" x14ac:dyDescent="0.2">
      <c r="A25647" t="s">
        <v>1</v>
      </c>
      <c r="B25647" t="str">
        <f>"13627542233"</f>
        <v>13627542233</v>
      </c>
      <c r="C25647" t="s">
        <v>1</v>
      </c>
      <c r="D25647" t="s">
        <v>1</v>
      </c>
      <c r="E25647" t="s">
        <v>1</v>
      </c>
      <c r="F25647" t="s">
        <v>0</v>
      </c>
      <c r="G25647" t="str">
        <f>"2018-10-05 21:56:55"</f>
        <v>2018-10-05 21:56:55</v>
      </c>
    </row>
    <row r="25648" spans="1:7" x14ac:dyDescent="0.2">
      <c r="A25648" t="s">
        <v>23614</v>
      </c>
      <c r="B25648" t="str">
        <f>"18158860816"</f>
        <v>18158860816</v>
      </c>
      <c r="C25648" t="str">
        <f>"342601199506103622"</f>
        <v>342601199506103622</v>
      </c>
      <c r="D25648" t="s">
        <v>1</v>
      </c>
      <c r="E25648" t="s">
        <v>1</v>
      </c>
      <c r="F25648" t="s">
        <v>0</v>
      </c>
      <c r="G25648" t="str">
        <f>"2018-10-05 21:50:54"</f>
        <v>2018-10-05 21:50:54</v>
      </c>
    </row>
    <row r="25649" spans="1:7" x14ac:dyDescent="0.2">
      <c r="A25649" t="s">
        <v>1</v>
      </c>
      <c r="B25649" t="str">
        <f>"13653013960"</f>
        <v>13653013960</v>
      </c>
      <c r="C25649" t="s">
        <v>1</v>
      </c>
      <c r="D25649" t="s">
        <v>1</v>
      </c>
      <c r="E25649" t="s">
        <v>1</v>
      </c>
      <c r="F25649" t="s">
        <v>0</v>
      </c>
      <c r="G25649" t="str">
        <f>"2018-10-05 21:44:40"</f>
        <v>2018-10-05 21:44:40</v>
      </c>
    </row>
    <row r="25650" spans="1:7" x14ac:dyDescent="0.2">
      <c r="A25650" t="s">
        <v>23615</v>
      </c>
      <c r="B25650" t="str">
        <f>"13423980223"</f>
        <v>13423980223</v>
      </c>
      <c r="C25650" t="str">
        <f>"452223199405252030"</f>
        <v>452223199405252030</v>
      </c>
      <c r="D25650" t="s">
        <v>1</v>
      </c>
      <c r="E25650" t="s">
        <v>1</v>
      </c>
      <c r="F25650" t="s">
        <v>0</v>
      </c>
      <c r="G25650" t="str">
        <f>"2018-10-06 08:17:44"</f>
        <v>2018-10-06 08:17:44</v>
      </c>
    </row>
    <row r="25651" spans="1:7" x14ac:dyDescent="0.2">
      <c r="A25651" t="s">
        <v>1</v>
      </c>
      <c r="B25651" t="str">
        <f>"18928960767"</f>
        <v>18928960767</v>
      </c>
      <c r="C25651" t="s">
        <v>1</v>
      </c>
      <c r="D25651" t="s">
        <v>1</v>
      </c>
      <c r="E25651" t="s">
        <v>1</v>
      </c>
      <c r="F25651" t="s">
        <v>0</v>
      </c>
      <c r="G25651" t="str">
        <f>"2018-10-05 21:43:59"</f>
        <v>2018-10-05 21:43:59</v>
      </c>
    </row>
    <row r="25652" spans="1:7" x14ac:dyDescent="0.2">
      <c r="A25652" t="s">
        <v>23616</v>
      </c>
      <c r="B25652" t="str">
        <f>"18359362770"</f>
        <v>18359362770</v>
      </c>
      <c r="C25652" t="str">
        <f>"35098219940729005X"</f>
        <v>35098219940729005X</v>
      </c>
      <c r="D25652" t="s">
        <v>23617</v>
      </c>
      <c r="E25652" t="s">
        <v>23618</v>
      </c>
      <c r="F25652" t="s">
        <v>0</v>
      </c>
      <c r="G25652" t="str">
        <f>"2018-10-07 01:10:14"</f>
        <v>2018-10-07 01:10:14</v>
      </c>
    </row>
    <row r="25653" spans="1:7" x14ac:dyDescent="0.2">
      <c r="A25653" t="s">
        <v>1</v>
      </c>
      <c r="B25653" t="str">
        <f>"13252214738"</f>
        <v>13252214738</v>
      </c>
      <c r="C25653" t="s">
        <v>1</v>
      </c>
      <c r="D25653" t="s">
        <v>1</v>
      </c>
      <c r="E25653" t="s">
        <v>1</v>
      </c>
      <c r="F25653" t="s">
        <v>0</v>
      </c>
      <c r="G25653" t="str">
        <f>"2018-10-05 21:42:33"</f>
        <v>2018-10-05 21:42:33</v>
      </c>
    </row>
    <row r="25654" spans="1:7" x14ac:dyDescent="0.2">
      <c r="A25654" t="s">
        <v>1</v>
      </c>
      <c r="B25654" t="str">
        <f>"13952157101"</f>
        <v>13952157101</v>
      </c>
      <c r="C25654" t="s">
        <v>1</v>
      </c>
      <c r="D25654" t="s">
        <v>1</v>
      </c>
      <c r="E25654" t="s">
        <v>1</v>
      </c>
      <c r="F25654" t="s">
        <v>0</v>
      </c>
      <c r="G25654" t="str">
        <f>"2018-10-05 21:42:07"</f>
        <v>2018-10-05 21:42:07</v>
      </c>
    </row>
    <row r="25655" spans="1:7" x14ac:dyDescent="0.2">
      <c r="A25655" t="s">
        <v>23619</v>
      </c>
      <c r="B25655" t="str">
        <f>"13631032341"</f>
        <v>13631032341</v>
      </c>
      <c r="C25655" t="str">
        <f>"445121199407064220"</f>
        <v>445121199407064220</v>
      </c>
      <c r="D25655" t="s">
        <v>1</v>
      </c>
      <c r="E25655" t="s">
        <v>1</v>
      </c>
      <c r="F25655" t="s">
        <v>0</v>
      </c>
      <c r="G25655" t="str">
        <f>"2018-10-16 23:20:36"</f>
        <v>2018-10-16 23:20:36</v>
      </c>
    </row>
    <row r="25656" spans="1:7" x14ac:dyDescent="0.2">
      <c r="A25656" t="s">
        <v>412</v>
      </c>
      <c r="B25656" t="str">
        <f>"15988131378"</f>
        <v>15988131378</v>
      </c>
      <c r="C25656" t="str">
        <f>"360122199408062413"</f>
        <v>360122199408062413</v>
      </c>
      <c r="D25656" t="s">
        <v>1</v>
      </c>
      <c r="E25656" t="s">
        <v>1</v>
      </c>
      <c r="F25656" t="s">
        <v>0</v>
      </c>
      <c r="G25656" t="str">
        <f>"2018-10-05 21:39:22"</f>
        <v>2018-10-05 21:39:22</v>
      </c>
    </row>
    <row r="25657" spans="1:7" x14ac:dyDescent="0.2">
      <c r="A25657" t="s">
        <v>23620</v>
      </c>
      <c r="B25657" t="str">
        <f>"15996027851"</f>
        <v>15996027851</v>
      </c>
      <c r="C25657" t="str">
        <f>"321281198711037469"</f>
        <v>321281198711037469</v>
      </c>
      <c r="D25657" t="s">
        <v>1</v>
      </c>
      <c r="E25657" t="s">
        <v>1</v>
      </c>
      <c r="F25657" t="s">
        <v>0</v>
      </c>
      <c r="G25657" t="str">
        <f>"2018-10-05 21:37:51"</f>
        <v>2018-10-05 21:37:51</v>
      </c>
    </row>
    <row r="25658" spans="1:7" x14ac:dyDescent="0.2">
      <c r="A25658" t="s">
        <v>23621</v>
      </c>
      <c r="B25658" t="str">
        <f>"18505987731"</f>
        <v>18505987731</v>
      </c>
      <c r="C25658" t="str">
        <f>"350425199009033512"</f>
        <v>350425199009033512</v>
      </c>
      <c r="D25658" t="s">
        <v>23622</v>
      </c>
      <c r="E25658" t="s">
        <v>23623</v>
      </c>
      <c r="F25658" t="s">
        <v>0</v>
      </c>
      <c r="G25658" t="str">
        <f>"2018-10-24 18:41:48"</f>
        <v>2018-10-24 18:41:48</v>
      </c>
    </row>
    <row r="25659" spans="1:7" x14ac:dyDescent="0.2">
      <c r="A25659" t="s">
        <v>23624</v>
      </c>
      <c r="B25659" t="str">
        <f>"18251365287"</f>
        <v>18251365287</v>
      </c>
      <c r="C25659" t="str">
        <f>"320623199601290801"</f>
        <v>320623199601290801</v>
      </c>
      <c r="D25659" t="s">
        <v>1</v>
      </c>
      <c r="E25659" t="s">
        <v>1</v>
      </c>
      <c r="F25659" t="s">
        <v>0</v>
      </c>
      <c r="G25659" t="str">
        <f>"2018-10-05 21:37:33"</f>
        <v>2018-10-05 21:37:33</v>
      </c>
    </row>
    <row r="25660" spans="1:7" x14ac:dyDescent="0.2">
      <c r="A25660" t="s">
        <v>296</v>
      </c>
      <c r="B25660" t="str">
        <f>"15757257448"</f>
        <v>15757257448</v>
      </c>
      <c r="C25660" t="str">
        <f>"33050119950715131X"</f>
        <v>33050119950715131X</v>
      </c>
      <c r="D25660" t="s">
        <v>1</v>
      </c>
      <c r="E25660" t="s">
        <v>1</v>
      </c>
      <c r="F25660" t="s">
        <v>0</v>
      </c>
      <c r="G25660" t="str">
        <f>"2018-10-05 22:52:11"</f>
        <v>2018-10-05 22:52:11</v>
      </c>
    </row>
    <row r="25661" spans="1:7" x14ac:dyDescent="0.2">
      <c r="A25661" t="s">
        <v>23625</v>
      </c>
      <c r="B25661" t="str">
        <f>"18251972418"</f>
        <v>18251972418</v>
      </c>
      <c r="C25661" t="str">
        <f>"340321198402154057"</f>
        <v>340321198402154057</v>
      </c>
      <c r="D25661" t="s">
        <v>23626</v>
      </c>
      <c r="E25661" t="s">
        <v>23627</v>
      </c>
      <c r="F25661" t="s">
        <v>0</v>
      </c>
      <c r="G25661" t="str">
        <f>"2018-10-24 23:07:34"</f>
        <v>2018-10-24 23:07:34</v>
      </c>
    </row>
    <row r="25662" spans="1:7" x14ac:dyDescent="0.2">
      <c r="A25662" t="s">
        <v>23628</v>
      </c>
      <c r="B25662" t="str">
        <f>"13259480201"</f>
        <v>13259480201</v>
      </c>
      <c r="C25662" t="str">
        <f>"612526199702012290"</f>
        <v>612526199702012290</v>
      </c>
      <c r="D25662" t="s">
        <v>1</v>
      </c>
      <c r="E25662" t="s">
        <v>1</v>
      </c>
      <c r="F25662" t="s">
        <v>0</v>
      </c>
      <c r="G25662" t="str">
        <f>"2018-10-05 21:35:51"</f>
        <v>2018-10-05 21:35:51</v>
      </c>
    </row>
    <row r="25663" spans="1:7" x14ac:dyDescent="0.2">
      <c r="A25663" t="s">
        <v>23629</v>
      </c>
      <c r="B25663" t="str">
        <f>"18660818069"</f>
        <v>18660818069</v>
      </c>
      <c r="C25663" t="str">
        <f>"370104198205202919"</f>
        <v>370104198205202919</v>
      </c>
      <c r="D25663" t="s">
        <v>1</v>
      </c>
      <c r="E25663" t="s">
        <v>1</v>
      </c>
      <c r="F25663" t="s">
        <v>0</v>
      </c>
      <c r="G25663" t="str">
        <f>"2018-10-05 21:33:11"</f>
        <v>2018-10-05 21:33:11</v>
      </c>
    </row>
    <row r="25664" spans="1:7" x14ac:dyDescent="0.2">
      <c r="A25664" t="s">
        <v>23630</v>
      </c>
      <c r="B25664" t="str">
        <f>"13822124194"</f>
        <v>13822124194</v>
      </c>
      <c r="C25664" t="str">
        <f>"320682198509145797"</f>
        <v>320682198509145797</v>
      </c>
      <c r="D25664" t="s">
        <v>1</v>
      </c>
      <c r="E25664" t="s">
        <v>1</v>
      </c>
      <c r="F25664" t="s">
        <v>0</v>
      </c>
      <c r="G25664" t="str">
        <f>"2018-10-05 21:58:22"</f>
        <v>2018-10-05 21:58:22</v>
      </c>
    </row>
    <row r="25665" spans="1:7" x14ac:dyDescent="0.2">
      <c r="A25665" t="s">
        <v>1</v>
      </c>
      <c r="B25665" t="str">
        <f>"18658199629"</f>
        <v>18658199629</v>
      </c>
      <c r="C25665" t="s">
        <v>1</v>
      </c>
      <c r="D25665" t="s">
        <v>1</v>
      </c>
      <c r="E25665" t="s">
        <v>1</v>
      </c>
      <c r="F25665" t="s">
        <v>0</v>
      </c>
      <c r="G25665" t="str">
        <f>"2018-10-05 21:31:07"</f>
        <v>2018-10-05 21:31:07</v>
      </c>
    </row>
    <row r="25666" spans="1:7" x14ac:dyDescent="0.2">
      <c r="A25666" t="s">
        <v>23631</v>
      </c>
      <c r="B25666" t="str">
        <f>"18685370036"</f>
        <v>18685370036</v>
      </c>
      <c r="C25666" t="str">
        <f>"522527198912052311"</f>
        <v>522527198912052311</v>
      </c>
      <c r="D25666" t="s">
        <v>1</v>
      </c>
      <c r="E25666" t="s">
        <v>1</v>
      </c>
      <c r="F25666" t="s">
        <v>0</v>
      </c>
      <c r="G25666" t="str">
        <f>"2018-10-05 21:30:59"</f>
        <v>2018-10-05 21:30:59</v>
      </c>
    </row>
    <row r="25667" spans="1:7" x14ac:dyDescent="0.2">
      <c r="A25667" t="s">
        <v>8977</v>
      </c>
      <c r="B25667" t="str">
        <f>"13407868636"</f>
        <v>13407868636</v>
      </c>
      <c r="C25667" t="str">
        <f>"450204199309240020"</f>
        <v>450204199309240020</v>
      </c>
      <c r="D25667" t="s">
        <v>1</v>
      </c>
      <c r="E25667" t="s">
        <v>1</v>
      </c>
      <c r="F25667" t="s">
        <v>0</v>
      </c>
      <c r="G25667" t="str">
        <f>"2018-10-05 21:30:37"</f>
        <v>2018-10-05 21:30:37</v>
      </c>
    </row>
    <row r="25668" spans="1:7" x14ac:dyDescent="0.2">
      <c r="A25668" t="s">
        <v>23632</v>
      </c>
      <c r="B25668" t="str">
        <f>"18010765332"</f>
        <v>18010765332</v>
      </c>
      <c r="C25668" t="str">
        <f>"342623199102051254"</f>
        <v>342623199102051254</v>
      </c>
      <c r="D25668" t="s">
        <v>23633</v>
      </c>
      <c r="E25668" t="s">
        <v>23634</v>
      </c>
      <c r="F25668" t="s">
        <v>0</v>
      </c>
      <c r="G25668" t="str">
        <f>"2018-10-05 21:36:41"</f>
        <v>2018-10-05 21:36:41</v>
      </c>
    </row>
    <row r="25669" spans="1:7" x14ac:dyDescent="0.2">
      <c r="A25669" t="s">
        <v>23635</v>
      </c>
      <c r="B25669" t="str">
        <f>"17600164770"</f>
        <v>17600164770</v>
      </c>
      <c r="C25669" t="str">
        <f>"130423199605151212"</f>
        <v>130423199605151212</v>
      </c>
      <c r="D25669" t="s">
        <v>1</v>
      </c>
      <c r="E25669" t="s">
        <v>1</v>
      </c>
      <c r="F25669" t="s">
        <v>0</v>
      </c>
      <c r="G25669" t="str">
        <f>"2018-10-05 21:26:32"</f>
        <v>2018-10-05 21:26:32</v>
      </c>
    </row>
    <row r="25670" spans="1:7" x14ac:dyDescent="0.2">
      <c r="A25670" t="s">
        <v>1</v>
      </c>
      <c r="B25670" t="str">
        <f>"15183854249"</f>
        <v>15183854249</v>
      </c>
      <c r="C25670" t="s">
        <v>1</v>
      </c>
      <c r="D25670" t="s">
        <v>1</v>
      </c>
      <c r="E25670" t="s">
        <v>1</v>
      </c>
      <c r="F25670" t="s">
        <v>0</v>
      </c>
      <c r="G25670" t="str">
        <f>"2018-10-05 21:25:59"</f>
        <v>2018-10-05 21:25:59</v>
      </c>
    </row>
    <row r="25671" spans="1:7" x14ac:dyDescent="0.2">
      <c r="A25671" t="s">
        <v>23636</v>
      </c>
      <c r="B25671" t="str">
        <f>"15214577535"</f>
        <v>15214577535</v>
      </c>
      <c r="C25671" t="str">
        <f>"230833199101150417"</f>
        <v>230833199101150417</v>
      </c>
      <c r="D25671" t="s">
        <v>23637</v>
      </c>
      <c r="E25671" t="s">
        <v>23637</v>
      </c>
      <c r="F25671" t="s">
        <v>0</v>
      </c>
      <c r="G25671" t="str">
        <f>"2018-10-05 21:27:06"</f>
        <v>2018-10-05 21:27:06</v>
      </c>
    </row>
    <row r="25672" spans="1:7" x14ac:dyDescent="0.2">
      <c r="A25672" t="s">
        <v>1</v>
      </c>
      <c r="B25672" t="str">
        <f>"18696593718"</f>
        <v>18696593718</v>
      </c>
      <c r="C25672" t="s">
        <v>1</v>
      </c>
      <c r="D25672" t="s">
        <v>1</v>
      </c>
      <c r="E25672" t="s">
        <v>1</v>
      </c>
      <c r="F25672" t="s">
        <v>0</v>
      </c>
      <c r="G25672" t="str">
        <f>"2018-10-05 21:24:36"</f>
        <v>2018-10-05 21:24:36</v>
      </c>
    </row>
    <row r="25673" spans="1:7" x14ac:dyDescent="0.2">
      <c r="A25673" t="s">
        <v>1</v>
      </c>
      <c r="B25673" t="str">
        <f>"13825214543"</f>
        <v>13825214543</v>
      </c>
      <c r="C25673" t="s">
        <v>1</v>
      </c>
      <c r="D25673" t="s">
        <v>1</v>
      </c>
      <c r="E25673" t="s">
        <v>1</v>
      </c>
      <c r="F25673" t="s">
        <v>0</v>
      </c>
      <c r="G25673" t="str">
        <f>"2018-10-05 21:23:12"</f>
        <v>2018-10-05 21:23:12</v>
      </c>
    </row>
    <row r="25674" spans="1:7" x14ac:dyDescent="0.2">
      <c r="A25674" t="s">
        <v>23638</v>
      </c>
      <c r="B25674" t="str">
        <f>"17310670429"</f>
        <v>17310670429</v>
      </c>
      <c r="C25674" t="str">
        <f>"152127199603153446"</f>
        <v>152127199603153446</v>
      </c>
      <c r="D25674" t="s">
        <v>1</v>
      </c>
      <c r="E25674" t="s">
        <v>1</v>
      </c>
      <c r="F25674" t="s">
        <v>0</v>
      </c>
      <c r="G25674" t="str">
        <f>"2018-10-05 22:59:28"</f>
        <v>2018-10-05 22:59:28</v>
      </c>
    </row>
    <row r="25675" spans="1:7" x14ac:dyDescent="0.2">
      <c r="A25675" t="s">
        <v>1</v>
      </c>
      <c r="B25675" t="str">
        <f>"13185271659"</f>
        <v>13185271659</v>
      </c>
      <c r="C25675" t="s">
        <v>1</v>
      </c>
      <c r="D25675" t="s">
        <v>1</v>
      </c>
      <c r="E25675" t="s">
        <v>1</v>
      </c>
      <c r="F25675" t="s">
        <v>0</v>
      </c>
      <c r="G25675" t="str">
        <f>"2018-10-05 21:17:54"</f>
        <v>2018-10-05 21:17:54</v>
      </c>
    </row>
    <row r="25676" spans="1:7" x14ac:dyDescent="0.2">
      <c r="A25676" t="s">
        <v>9636</v>
      </c>
      <c r="B25676" t="str">
        <f>"17725175558"</f>
        <v>17725175558</v>
      </c>
      <c r="C25676" t="str">
        <f>"500228199511036555"</f>
        <v>500228199511036555</v>
      </c>
      <c r="D25676" t="s">
        <v>1</v>
      </c>
      <c r="E25676" t="s">
        <v>1</v>
      </c>
      <c r="F25676" t="s">
        <v>0</v>
      </c>
      <c r="G25676" t="str">
        <f>"2018-10-05 21:20:36"</f>
        <v>2018-10-05 21:20:36</v>
      </c>
    </row>
    <row r="25677" spans="1:7" x14ac:dyDescent="0.2">
      <c r="A25677" t="s">
        <v>23639</v>
      </c>
      <c r="B25677" t="str">
        <f>"18238852839"</f>
        <v>18238852839</v>
      </c>
      <c r="C25677" t="str">
        <f>"410327199505069657"</f>
        <v>410327199505069657</v>
      </c>
      <c r="D25677" t="s">
        <v>1</v>
      </c>
      <c r="E25677" t="s">
        <v>1</v>
      </c>
      <c r="F25677" t="s">
        <v>0</v>
      </c>
      <c r="G25677" t="str">
        <f>"2018-10-05 21:18:21"</f>
        <v>2018-10-05 21:18:21</v>
      </c>
    </row>
    <row r="25678" spans="1:7" x14ac:dyDescent="0.2">
      <c r="A25678" t="s">
        <v>1</v>
      </c>
      <c r="B25678" t="str">
        <f>"13907792500"</f>
        <v>13907792500</v>
      </c>
      <c r="C25678" t="s">
        <v>1</v>
      </c>
      <c r="D25678" t="s">
        <v>1</v>
      </c>
      <c r="E25678" t="s">
        <v>1</v>
      </c>
      <c r="F25678" t="s">
        <v>0</v>
      </c>
      <c r="G25678" t="str">
        <f>"2018-10-05 21:14:25"</f>
        <v>2018-10-05 21:14:25</v>
      </c>
    </row>
    <row r="25679" spans="1:7" x14ac:dyDescent="0.2">
      <c r="A25679" t="s">
        <v>23640</v>
      </c>
      <c r="B25679" t="str">
        <f>"15801909889"</f>
        <v>15801909889</v>
      </c>
      <c r="C25679" t="str">
        <f>"310225197308050016"</f>
        <v>310225197308050016</v>
      </c>
      <c r="D25679" t="s">
        <v>23641</v>
      </c>
      <c r="E25679" t="s">
        <v>23642</v>
      </c>
      <c r="F25679" t="s">
        <v>0</v>
      </c>
      <c r="G25679" t="str">
        <f>"2018-10-05 21:14:19"</f>
        <v>2018-10-05 21:14:19</v>
      </c>
    </row>
    <row r="25680" spans="1:7" x14ac:dyDescent="0.2">
      <c r="A25680" t="s">
        <v>1</v>
      </c>
      <c r="B25680" t="str">
        <f>"15198708143"</f>
        <v>15198708143</v>
      </c>
      <c r="C25680" t="s">
        <v>1</v>
      </c>
      <c r="D25680" t="s">
        <v>1</v>
      </c>
      <c r="E25680" t="s">
        <v>1</v>
      </c>
      <c r="F25680" t="s">
        <v>0</v>
      </c>
      <c r="G25680" t="str">
        <f>"2018-10-05 21:18:16"</f>
        <v>2018-10-05 21:18:16</v>
      </c>
    </row>
    <row r="25681" spans="1:7" x14ac:dyDescent="0.2">
      <c r="A25681" t="s">
        <v>23643</v>
      </c>
      <c r="B25681" t="str">
        <f>"13555036347"</f>
        <v>13555036347</v>
      </c>
      <c r="C25681" t="str">
        <f>"230524198102191766"</f>
        <v>230524198102191766</v>
      </c>
      <c r="D25681" t="s">
        <v>1</v>
      </c>
      <c r="E25681" t="s">
        <v>1</v>
      </c>
      <c r="F25681" t="s">
        <v>0</v>
      </c>
      <c r="G25681" t="str">
        <f>"2018-11-03 15:52:39"</f>
        <v>2018-11-03 15:52:39</v>
      </c>
    </row>
    <row r="25682" spans="1:7" x14ac:dyDescent="0.2">
      <c r="A25682" t="s">
        <v>23644</v>
      </c>
      <c r="B25682" t="str">
        <f>"18608838882"</f>
        <v>18608838882</v>
      </c>
      <c r="C25682" t="str">
        <f>"533521198507163661"</f>
        <v>533521198507163661</v>
      </c>
      <c r="D25682" t="s">
        <v>1</v>
      </c>
      <c r="E25682" t="s">
        <v>1</v>
      </c>
      <c r="F25682" t="s">
        <v>0</v>
      </c>
      <c r="G25682" t="str">
        <f>"2018-10-05 21:11:22"</f>
        <v>2018-10-05 21:11:22</v>
      </c>
    </row>
    <row r="25683" spans="1:7" x14ac:dyDescent="0.2">
      <c r="A25683" t="s">
        <v>1</v>
      </c>
      <c r="B25683" t="str">
        <f>"13815132704"</f>
        <v>13815132704</v>
      </c>
      <c r="C25683" t="s">
        <v>1</v>
      </c>
      <c r="D25683" t="s">
        <v>1</v>
      </c>
      <c r="E25683" t="s">
        <v>1</v>
      </c>
      <c r="F25683" t="s">
        <v>0</v>
      </c>
      <c r="G25683" t="str">
        <f>"2018-10-05 21:04:52"</f>
        <v>2018-10-05 21:04:52</v>
      </c>
    </row>
    <row r="25684" spans="1:7" x14ac:dyDescent="0.2">
      <c r="A25684" t="s">
        <v>23645</v>
      </c>
      <c r="B25684" t="str">
        <f>"15052359350"</f>
        <v>15052359350</v>
      </c>
      <c r="C25684" t="str">
        <f>"321284198802284675"</f>
        <v>321284198802284675</v>
      </c>
      <c r="D25684" t="s">
        <v>1</v>
      </c>
      <c r="E25684" t="s">
        <v>1</v>
      </c>
      <c r="F25684" t="s">
        <v>0</v>
      </c>
      <c r="G25684" t="str">
        <f>"2018-10-05 21:10:03"</f>
        <v>2018-10-05 21:10:03</v>
      </c>
    </row>
    <row r="25685" spans="1:7" x14ac:dyDescent="0.2">
      <c r="A25685" t="s">
        <v>1</v>
      </c>
      <c r="B25685" t="str">
        <f>"13097742452"</f>
        <v>13097742452</v>
      </c>
      <c r="C25685" t="s">
        <v>1</v>
      </c>
      <c r="D25685" t="s">
        <v>1</v>
      </c>
      <c r="E25685" t="s">
        <v>1</v>
      </c>
      <c r="F25685" t="s">
        <v>0</v>
      </c>
      <c r="G25685" t="str">
        <f>"2018-10-05 21:03:52"</f>
        <v>2018-10-05 21:03:52</v>
      </c>
    </row>
    <row r="25686" spans="1:7" x14ac:dyDescent="0.2">
      <c r="A25686" t="s">
        <v>23646</v>
      </c>
      <c r="B25686" t="str">
        <f>"13644951937"</f>
        <v>13644951937</v>
      </c>
      <c r="C25686" t="str">
        <f>"210203198303052023"</f>
        <v>210203198303052023</v>
      </c>
      <c r="D25686" t="s">
        <v>23647</v>
      </c>
      <c r="E25686" t="s">
        <v>23648</v>
      </c>
      <c r="F25686" t="s">
        <v>0</v>
      </c>
      <c r="G25686" t="str">
        <f>"2018-10-05 22:29:12"</f>
        <v>2018-10-05 22:29:12</v>
      </c>
    </row>
    <row r="25687" spans="1:7" x14ac:dyDescent="0.2">
      <c r="A25687" t="s">
        <v>1</v>
      </c>
      <c r="B25687" t="str">
        <f>"18122873339"</f>
        <v>18122873339</v>
      </c>
      <c r="C25687" t="s">
        <v>1</v>
      </c>
      <c r="D25687" t="s">
        <v>1</v>
      </c>
      <c r="E25687" t="s">
        <v>1</v>
      </c>
      <c r="F25687" t="s">
        <v>0</v>
      </c>
      <c r="G25687" t="str">
        <f>"2018-10-05 21:02:17"</f>
        <v>2018-10-05 21:02:17</v>
      </c>
    </row>
    <row r="25688" spans="1:7" x14ac:dyDescent="0.2">
      <c r="A25688" t="s">
        <v>1</v>
      </c>
      <c r="B25688" t="str">
        <f>"18073346091"</f>
        <v>18073346091</v>
      </c>
      <c r="C25688" t="s">
        <v>1</v>
      </c>
      <c r="D25688" t="s">
        <v>1</v>
      </c>
      <c r="E25688" t="s">
        <v>1</v>
      </c>
      <c r="F25688" t="s">
        <v>0</v>
      </c>
      <c r="G25688" t="str">
        <f>"2018-10-05 21:17:01"</f>
        <v>2018-10-05 21:17:01</v>
      </c>
    </row>
    <row r="25689" spans="1:7" x14ac:dyDescent="0.2">
      <c r="A25689" t="s">
        <v>23649</v>
      </c>
      <c r="B25689" t="str">
        <f>"15638099309"</f>
        <v>15638099309</v>
      </c>
      <c r="C25689" t="str">
        <f>"412701198912164016"</f>
        <v>412701198912164016</v>
      </c>
      <c r="D25689" t="s">
        <v>1</v>
      </c>
      <c r="E25689" t="s">
        <v>1</v>
      </c>
      <c r="F25689" t="s">
        <v>0</v>
      </c>
      <c r="G25689" t="str">
        <f>"2018-10-05 20:59:53"</f>
        <v>2018-10-05 20:59:53</v>
      </c>
    </row>
    <row r="25690" spans="1:7" x14ac:dyDescent="0.2">
      <c r="A25690" t="s">
        <v>1</v>
      </c>
      <c r="B25690" t="str">
        <f>"15085091920"</f>
        <v>15085091920</v>
      </c>
      <c r="C25690" t="s">
        <v>1</v>
      </c>
      <c r="D25690" t="s">
        <v>1</v>
      </c>
      <c r="E25690" t="s">
        <v>1</v>
      </c>
      <c r="F25690" t="s">
        <v>0</v>
      </c>
      <c r="G25690" t="str">
        <f>"2018-10-05 20:59:41"</f>
        <v>2018-10-05 20:59:41</v>
      </c>
    </row>
    <row r="25691" spans="1:7" x14ac:dyDescent="0.2">
      <c r="A25691" t="s">
        <v>23650</v>
      </c>
      <c r="B25691" t="str">
        <f>"15750090341"</f>
        <v>15750090341</v>
      </c>
      <c r="C25691" t="str">
        <f>"532524199704013024"</f>
        <v>532524199704013024</v>
      </c>
      <c r="D25691" t="s">
        <v>1</v>
      </c>
      <c r="E25691" t="s">
        <v>1</v>
      </c>
      <c r="F25691" t="s">
        <v>0</v>
      </c>
      <c r="G25691" t="str">
        <f>"2018-10-05 21:02:23"</f>
        <v>2018-10-05 21:02:23</v>
      </c>
    </row>
    <row r="25692" spans="1:7" x14ac:dyDescent="0.2">
      <c r="A25692" t="s">
        <v>23651</v>
      </c>
      <c r="B25692" t="str">
        <f>"15008498484"</f>
        <v>15008498484</v>
      </c>
      <c r="C25692" t="str">
        <f>"510106198304064127"</f>
        <v>510106198304064127</v>
      </c>
      <c r="D25692" t="s">
        <v>1</v>
      </c>
      <c r="E25692" t="s">
        <v>1</v>
      </c>
      <c r="F25692" t="s">
        <v>0</v>
      </c>
      <c r="G25692" t="str">
        <f>"2018-10-05 21:03:32"</f>
        <v>2018-10-05 21:03:32</v>
      </c>
    </row>
    <row r="25693" spans="1:7" x14ac:dyDescent="0.2">
      <c r="A25693" t="s">
        <v>23652</v>
      </c>
      <c r="B25693" t="str">
        <f>"15106226163"</f>
        <v>15106226163</v>
      </c>
      <c r="C25693" t="str">
        <f>"412726198801144968"</f>
        <v>412726198801144968</v>
      </c>
      <c r="D25693" t="s">
        <v>23653</v>
      </c>
      <c r="E25693" t="s">
        <v>23654</v>
      </c>
      <c r="F25693" t="s">
        <v>0</v>
      </c>
      <c r="G25693" t="str">
        <f>"2018-10-05 21:21:58"</f>
        <v>2018-10-05 21:21:58</v>
      </c>
    </row>
    <row r="25694" spans="1:7" x14ac:dyDescent="0.2">
      <c r="A25694" t="s">
        <v>1713</v>
      </c>
      <c r="B25694" t="str">
        <f>"13679269067"</f>
        <v>13679269067</v>
      </c>
      <c r="C25694" t="str">
        <f>"610122199302191710"</f>
        <v>610122199302191710</v>
      </c>
      <c r="D25694" t="s">
        <v>1</v>
      </c>
      <c r="E25694" t="s">
        <v>1</v>
      </c>
      <c r="F25694" t="s">
        <v>0</v>
      </c>
      <c r="G25694" t="str">
        <f>"2018-10-05 21:06:17"</f>
        <v>2018-10-05 21:06:17</v>
      </c>
    </row>
    <row r="25695" spans="1:7" x14ac:dyDescent="0.2">
      <c r="A25695" t="s">
        <v>23655</v>
      </c>
      <c r="B25695" t="str">
        <f>"15987230787"</f>
        <v>15987230787</v>
      </c>
      <c r="C25695" t="str">
        <f>"532301198802134110"</f>
        <v>532301198802134110</v>
      </c>
      <c r="D25695" t="s">
        <v>1</v>
      </c>
      <c r="E25695" t="s">
        <v>1</v>
      </c>
      <c r="F25695" t="s">
        <v>0</v>
      </c>
      <c r="G25695" t="str">
        <f>"2018-10-05 21:00:41"</f>
        <v>2018-10-05 21:00:41</v>
      </c>
    </row>
    <row r="25696" spans="1:7" x14ac:dyDescent="0.2">
      <c r="A25696" t="s">
        <v>1</v>
      </c>
      <c r="B25696" t="str">
        <f>"13024654909"</f>
        <v>13024654909</v>
      </c>
      <c r="C25696" t="s">
        <v>1</v>
      </c>
      <c r="D25696" t="s">
        <v>1</v>
      </c>
      <c r="E25696" t="s">
        <v>1</v>
      </c>
      <c r="F25696" t="s">
        <v>0</v>
      </c>
      <c r="G25696" t="str">
        <f>"2018-10-05 20:54:38"</f>
        <v>2018-10-05 20:54:38</v>
      </c>
    </row>
    <row r="25697" spans="1:7" x14ac:dyDescent="0.2">
      <c r="A25697" t="s">
        <v>1</v>
      </c>
      <c r="B25697" t="str">
        <f>"13698497167"</f>
        <v>13698497167</v>
      </c>
      <c r="C25697" t="s">
        <v>1</v>
      </c>
      <c r="D25697" t="s">
        <v>1</v>
      </c>
      <c r="E25697" t="s">
        <v>1</v>
      </c>
      <c r="F25697" t="s">
        <v>0</v>
      </c>
      <c r="G25697" t="str">
        <f>"2018-10-05 20:53:36"</f>
        <v>2018-10-05 20:53:36</v>
      </c>
    </row>
    <row r="25698" spans="1:7" x14ac:dyDescent="0.2">
      <c r="A25698" t="s">
        <v>1</v>
      </c>
      <c r="B25698" t="str">
        <f>"15137489198"</f>
        <v>15137489198</v>
      </c>
      <c r="C25698" t="s">
        <v>1</v>
      </c>
      <c r="D25698" t="s">
        <v>1</v>
      </c>
      <c r="E25698" t="s">
        <v>1</v>
      </c>
      <c r="F25698" t="s">
        <v>0</v>
      </c>
      <c r="G25698" t="str">
        <f>"2018-10-05 20:53:11"</f>
        <v>2018-10-05 20:53:11</v>
      </c>
    </row>
    <row r="25699" spans="1:7" x14ac:dyDescent="0.2">
      <c r="A25699" t="s">
        <v>1</v>
      </c>
      <c r="B25699" t="str">
        <f>"18557538436"</f>
        <v>18557538436</v>
      </c>
      <c r="C25699" t="s">
        <v>1</v>
      </c>
      <c r="D25699" t="s">
        <v>1</v>
      </c>
      <c r="E25699" t="s">
        <v>1</v>
      </c>
      <c r="F25699" t="s">
        <v>0</v>
      </c>
      <c r="G25699" t="str">
        <f>"2018-10-05 20:52:54"</f>
        <v>2018-10-05 20:52:54</v>
      </c>
    </row>
    <row r="25700" spans="1:7" x14ac:dyDescent="0.2">
      <c r="A25700" t="s">
        <v>1</v>
      </c>
      <c r="B25700" t="str">
        <f>"18677141226"</f>
        <v>18677141226</v>
      </c>
      <c r="C25700" t="s">
        <v>1</v>
      </c>
      <c r="D25700" t="s">
        <v>1</v>
      </c>
      <c r="E25700" t="s">
        <v>1</v>
      </c>
      <c r="F25700" t="s">
        <v>0</v>
      </c>
      <c r="G25700" t="str">
        <f>"2018-10-05 20:52:51"</f>
        <v>2018-10-05 20:52:51</v>
      </c>
    </row>
    <row r="25701" spans="1:7" x14ac:dyDescent="0.2">
      <c r="A25701" t="s">
        <v>23656</v>
      </c>
      <c r="B25701" t="str">
        <f>"15825126675"</f>
        <v>15825126675</v>
      </c>
      <c r="C25701" t="str">
        <f>"530423199201071616"</f>
        <v>530423199201071616</v>
      </c>
      <c r="D25701" t="s">
        <v>1</v>
      </c>
      <c r="E25701" t="s">
        <v>1</v>
      </c>
      <c r="F25701" t="s">
        <v>0</v>
      </c>
      <c r="G25701" t="str">
        <f>"2018-10-05 20:54:32"</f>
        <v>2018-10-05 20:54:32</v>
      </c>
    </row>
    <row r="25702" spans="1:7" x14ac:dyDescent="0.2">
      <c r="A25702" t="s">
        <v>23657</v>
      </c>
      <c r="B25702" t="str">
        <f>"18685580088"</f>
        <v>18685580088</v>
      </c>
      <c r="C25702" t="str">
        <f>"522627199204100036"</f>
        <v>522627199204100036</v>
      </c>
      <c r="D25702" t="s">
        <v>1</v>
      </c>
      <c r="E25702" t="s">
        <v>1</v>
      </c>
      <c r="F25702" t="s">
        <v>0</v>
      </c>
      <c r="G25702" t="str">
        <f>"2018-10-05 20:53:42"</f>
        <v>2018-10-05 20:53:42</v>
      </c>
    </row>
    <row r="25703" spans="1:7" x14ac:dyDescent="0.2">
      <c r="A25703" t="s">
        <v>23658</v>
      </c>
      <c r="B25703" t="str">
        <f>"17773761620"</f>
        <v>17773761620</v>
      </c>
      <c r="C25703" t="str">
        <f>"430903199301110924"</f>
        <v>430903199301110924</v>
      </c>
      <c r="D25703" t="s">
        <v>1</v>
      </c>
      <c r="E25703" t="s">
        <v>1</v>
      </c>
      <c r="F25703" t="s">
        <v>0</v>
      </c>
      <c r="G25703" t="str">
        <f>"2018-10-05 20:52:15"</f>
        <v>2018-10-05 20:52:15</v>
      </c>
    </row>
    <row r="25704" spans="1:7" x14ac:dyDescent="0.2">
      <c r="A25704" t="s">
        <v>23659</v>
      </c>
      <c r="B25704" t="str">
        <f>"13162782786"</f>
        <v>13162782786</v>
      </c>
      <c r="C25704" t="str">
        <f>"350925199108180013"</f>
        <v>350925199108180013</v>
      </c>
      <c r="D25704" t="s">
        <v>23660</v>
      </c>
      <c r="E25704" t="s">
        <v>23661</v>
      </c>
      <c r="F25704" t="s">
        <v>0</v>
      </c>
      <c r="G25704" t="str">
        <f>"2018-10-05 20:55:37"</f>
        <v>2018-10-05 20:55:37</v>
      </c>
    </row>
    <row r="25705" spans="1:7" x14ac:dyDescent="0.2">
      <c r="A25705" t="s">
        <v>1527</v>
      </c>
      <c r="B25705" t="str">
        <f>"15267039345"</f>
        <v>15267039345</v>
      </c>
      <c r="C25705" t="str">
        <f>"230781199606015718"</f>
        <v>230781199606015718</v>
      </c>
      <c r="D25705" t="s">
        <v>1</v>
      </c>
      <c r="E25705" t="s">
        <v>1</v>
      </c>
      <c r="F25705" t="s">
        <v>0</v>
      </c>
      <c r="G25705" t="str">
        <f>"2018-10-05 20:55:34"</f>
        <v>2018-10-05 20:55:34</v>
      </c>
    </row>
    <row r="25706" spans="1:7" x14ac:dyDescent="0.2">
      <c r="A25706" t="s">
        <v>1</v>
      </c>
      <c r="B25706" t="str">
        <f>"15543657503"</f>
        <v>15543657503</v>
      </c>
      <c r="C25706" t="s">
        <v>1</v>
      </c>
      <c r="D25706" t="s">
        <v>1</v>
      </c>
      <c r="E25706" t="s">
        <v>1</v>
      </c>
      <c r="F25706" t="s">
        <v>0</v>
      </c>
      <c r="G25706" t="str">
        <f>"2018-10-05 20:49:32"</f>
        <v>2018-10-05 20:49:32</v>
      </c>
    </row>
    <row r="25707" spans="1:7" x14ac:dyDescent="0.2">
      <c r="A25707" t="s">
        <v>1</v>
      </c>
      <c r="B25707" t="str">
        <f>"13817153520"</f>
        <v>13817153520</v>
      </c>
      <c r="C25707" t="s">
        <v>1</v>
      </c>
      <c r="D25707" t="s">
        <v>1</v>
      </c>
      <c r="E25707" t="s">
        <v>1</v>
      </c>
      <c r="F25707" t="s">
        <v>0</v>
      </c>
      <c r="G25707" t="str">
        <f>"2018-10-05 20:48:29"</f>
        <v>2018-10-05 20:48:29</v>
      </c>
    </row>
    <row r="25708" spans="1:7" x14ac:dyDescent="0.2">
      <c r="A25708" t="s">
        <v>23662</v>
      </c>
      <c r="B25708" t="str">
        <f>"18373878169"</f>
        <v>18373878169</v>
      </c>
      <c r="C25708" t="str">
        <f>"432503199910015674"</f>
        <v>432503199910015674</v>
      </c>
      <c r="D25708" t="s">
        <v>23663</v>
      </c>
      <c r="E25708" t="s">
        <v>23664</v>
      </c>
      <c r="F25708" t="s">
        <v>0</v>
      </c>
      <c r="G25708" t="str">
        <f>"2018-10-19 07:01:33"</f>
        <v>2018-10-19 07:01:33</v>
      </c>
    </row>
    <row r="25709" spans="1:7" x14ac:dyDescent="0.2">
      <c r="A25709" t="s">
        <v>23665</v>
      </c>
      <c r="B25709" t="str">
        <f>"18850969883"</f>
        <v>18850969883</v>
      </c>
      <c r="C25709" t="str">
        <f>"350302199511201673"</f>
        <v>350302199511201673</v>
      </c>
      <c r="D25709" t="s">
        <v>1</v>
      </c>
      <c r="E25709" t="s">
        <v>1</v>
      </c>
      <c r="F25709" t="s">
        <v>0</v>
      </c>
      <c r="G25709" t="str">
        <f>"2018-10-05 21:00:25"</f>
        <v>2018-10-05 21:00:25</v>
      </c>
    </row>
    <row r="25710" spans="1:7" x14ac:dyDescent="0.2">
      <c r="A25710" t="s">
        <v>23666</v>
      </c>
      <c r="B25710" t="str">
        <f>"18575035463"</f>
        <v>18575035463</v>
      </c>
      <c r="C25710" t="str">
        <f>"440781199501016510"</f>
        <v>440781199501016510</v>
      </c>
      <c r="D25710" t="s">
        <v>1</v>
      </c>
      <c r="E25710" t="s">
        <v>1</v>
      </c>
      <c r="F25710" t="s">
        <v>0</v>
      </c>
      <c r="G25710" t="str">
        <f>"2018-10-05 20:48:58"</f>
        <v>2018-10-05 20:48:58</v>
      </c>
    </row>
    <row r="25711" spans="1:7" x14ac:dyDescent="0.2">
      <c r="A25711" t="s">
        <v>1253</v>
      </c>
      <c r="B25711" t="str">
        <f>"13813807794"</f>
        <v>13813807794</v>
      </c>
      <c r="C25711" t="str">
        <f>"341126198512020721"</f>
        <v>341126198512020721</v>
      </c>
      <c r="D25711" t="s">
        <v>1</v>
      </c>
      <c r="E25711" t="s">
        <v>1</v>
      </c>
      <c r="F25711" t="s">
        <v>0</v>
      </c>
      <c r="G25711" t="str">
        <f>"2018-10-05 20:47:49"</f>
        <v>2018-10-05 20:47:49</v>
      </c>
    </row>
    <row r="25712" spans="1:7" x14ac:dyDescent="0.2">
      <c r="A25712" t="s">
        <v>23667</v>
      </c>
      <c r="B25712" t="str">
        <f>"13503431007"</f>
        <v>13503431007</v>
      </c>
      <c r="C25712" t="str">
        <f>"410721198401030511"</f>
        <v>410721198401030511</v>
      </c>
      <c r="D25712" t="s">
        <v>1</v>
      </c>
      <c r="E25712" t="s">
        <v>1</v>
      </c>
      <c r="F25712" t="s">
        <v>0</v>
      </c>
      <c r="G25712" t="str">
        <f>"2018-10-05 20:48:18"</f>
        <v>2018-10-05 20:48:18</v>
      </c>
    </row>
    <row r="25713" spans="1:7" x14ac:dyDescent="0.2">
      <c r="A25713" t="s">
        <v>23668</v>
      </c>
      <c r="B25713" t="str">
        <f>"18188283971"</f>
        <v>18188283971</v>
      </c>
      <c r="C25713" t="str">
        <f>"520203199112110216"</f>
        <v>520203199112110216</v>
      </c>
      <c r="D25713" t="s">
        <v>1</v>
      </c>
      <c r="E25713" t="s">
        <v>1</v>
      </c>
      <c r="F25713" t="s">
        <v>0</v>
      </c>
      <c r="G25713" t="str">
        <f>"2018-10-05 21:03:45"</f>
        <v>2018-10-05 21:03:45</v>
      </c>
    </row>
    <row r="25714" spans="1:7" x14ac:dyDescent="0.2">
      <c r="A25714" t="s">
        <v>1</v>
      </c>
      <c r="B25714" t="str">
        <f>"17688289846"</f>
        <v>17688289846</v>
      </c>
      <c r="C25714" t="s">
        <v>1</v>
      </c>
      <c r="D25714" t="s">
        <v>1</v>
      </c>
      <c r="E25714" t="s">
        <v>1</v>
      </c>
      <c r="F25714" t="s">
        <v>0</v>
      </c>
      <c r="G25714" t="str">
        <f>"2018-10-05 20:40:56"</f>
        <v>2018-10-05 20:40:56</v>
      </c>
    </row>
    <row r="25715" spans="1:7" x14ac:dyDescent="0.2">
      <c r="A25715" t="s">
        <v>23669</v>
      </c>
      <c r="B25715" t="str">
        <f>"18655298174"</f>
        <v>18655298174</v>
      </c>
      <c r="C25715" t="str">
        <f>"340303199105130413"</f>
        <v>340303199105130413</v>
      </c>
      <c r="D25715" t="s">
        <v>1</v>
      </c>
      <c r="E25715" t="s">
        <v>1</v>
      </c>
      <c r="F25715" t="s">
        <v>0</v>
      </c>
      <c r="G25715" t="str">
        <f>"2018-10-05 20:42:13"</f>
        <v>2018-10-05 20:42:13</v>
      </c>
    </row>
    <row r="25716" spans="1:7" x14ac:dyDescent="0.2">
      <c r="A25716" t="s">
        <v>23670</v>
      </c>
      <c r="B25716" t="str">
        <f>"13552876994"</f>
        <v>13552876994</v>
      </c>
      <c r="C25716" t="str">
        <f>"130828199706243718"</f>
        <v>130828199706243718</v>
      </c>
      <c r="D25716" t="s">
        <v>1</v>
      </c>
      <c r="E25716" t="s">
        <v>1</v>
      </c>
      <c r="F25716" t="s">
        <v>0</v>
      </c>
      <c r="G25716" t="str">
        <f>"2018-10-05 20:42:37"</f>
        <v>2018-10-05 20:42:37</v>
      </c>
    </row>
    <row r="25717" spans="1:7" x14ac:dyDescent="0.2">
      <c r="A25717" t="s">
        <v>1</v>
      </c>
      <c r="B25717" t="str">
        <f>"13913002573"</f>
        <v>13913002573</v>
      </c>
      <c r="C25717" t="s">
        <v>1</v>
      </c>
      <c r="D25717" t="s">
        <v>1</v>
      </c>
      <c r="E25717" t="s">
        <v>1</v>
      </c>
      <c r="F25717" t="s">
        <v>0</v>
      </c>
      <c r="G25717" t="str">
        <f>"2018-10-05 20:40:26"</f>
        <v>2018-10-05 20:40:26</v>
      </c>
    </row>
    <row r="25718" spans="1:7" x14ac:dyDescent="0.2">
      <c r="A25718" t="s">
        <v>23671</v>
      </c>
      <c r="B25718" t="str">
        <f>"18790389139"</f>
        <v>18790389139</v>
      </c>
      <c r="C25718" t="str">
        <f>"412824199808290615"</f>
        <v>412824199808290615</v>
      </c>
      <c r="D25718" t="s">
        <v>1</v>
      </c>
      <c r="E25718" t="s">
        <v>1</v>
      </c>
      <c r="F25718" t="s">
        <v>0</v>
      </c>
      <c r="G25718" t="str">
        <f>"2018-10-05 20:41:53"</f>
        <v>2018-10-05 20:41:53</v>
      </c>
    </row>
    <row r="25719" spans="1:7" x14ac:dyDescent="0.2">
      <c r="A25719" t="s">
        <v>23672</v>
      </c>
      <c r="B25719" t="str">
        <f>"15159505862"</f>
        <v>15159505862</v>
      </c>
      <c r="C25719" t="str">
        <f>"350521199301216084"</f>
        <v>350521199301216084</v>
      </c>
      <c r="D25719" t="s">
        <v>1</v>
      </c>
      <c r="E25719" t="s">
        <v>1</v>
      </c>
      <c r="F25719" t="s">
        <v>0</v>
      </c>
      <c r="G25719" t="str">
        <f>"2018-10-05 20:42:02"</f>
        <v>2018-10-05 20:42:02</v>
      </c>
    </row>
    <row r="25720" spans="1:7" x14ac:dyDescent="0.2">
      <c r="A25720" t="s">
        <v>23673</v>
      </c>
      <c r="B25720" t="str">
        <f>"13893796112"</f>
        <v>13893796112</v>
      </c>
      <c r="C25720" t="str">
        <f>"622323199702103127"</f>
        <v>622323199702103127</v>
      </c>
      <c r="D25720" t="s">
        <v>1</v>
      </c>
      <c r="E25720" t="s">
        <v>1</v>
      </c>
      <c r="F25720" t="s">
        <v>0</v>
      </c>
      <c r="G25720" t="str">
        <f>"2018-10-05 20:42:29"</f>
        <v>2018-10-05 20:42:29</v>
      </c>
    </row>
    <row r="25721" spans="1:7" x14ac:dyDescent="0.2">
      <c r="A25721" t="s">
        <v>1</v>
      </c>
      <c r="B25721" t="str">
        <f>"17384242287"</f>
        <v>17384242287</v>
      </c>
      <c r="C25721" t="s">
        <v>1</v>
      </c>
      <c r="D25721" t="s">
        <v>1</v>
      </c>
      <c r="E25721" t="s">
        <v>1</v>
      </c>
      <c r="F25721" t="s">
        <v>0</v>
      </c>
      <c r="G25721" t="str">
        <f>"2018-10-05 20:38:13"</f>
        <v>2018-10-05 20:38:13</v>
      </c>
    </row>
    <row r="25722" spans="1:7" x14ac:dyDescent="0.2">
      <c r="A25722" t="s">
        <v>23674</v>
      </c>
      <c r="B25722" t="str">
        <f>"13858655129"</f>
        <v>13858655129</v>
      </c>
      <c r="C25722" t="str">
        <f>"330203198411151843"</f>
        <v>330203198411151843</v>
      </c>
      <c r="D25722" t="s">
        <v>1</v>
      </c>
      <c r="E25722" t="s">
        <v>1</v>
      </c>
      <c r="F25722" t="s">
        <v>0</v>
      </c>
      <c r="G25722" t="str">
        <f>"2018-11-03 10:51:15"</f>
        <v>2018-11-03 10:51:15</v>
      </c>
    </row>
    <row r="25723" spans="1:7" x14ac:dyDescent="0.2">
      <c r="A25723" t="s">
        <v>23675</v>
      </c>
      <c r="B25723" t="str">
        <f>"13397859919"</f>
        <v>13397859919</v>
      </c>
      <c r="C25723" t="str">
        <f>"450803199211305857"</f>
        <v>450803199211305857</v>
      </c>
      <c r="D25723" t="s">
        <v>1</v>
      </c>
      <c r="E25723" t="s">
        <v>1</v>
      </c>
      <c r="F25723" t="s">
        <v>0</v>
      </c>
      <c r="G25723" t="str">
        <f>"2018-10-05 22:19:08"</f>
        <v>2018-10-05 22:19:08</v>
      </c>
    </row>
    <row r="25724" spans="1:7" x14ac:dyDescent="0.2">
      <c r="A25724" t="s">
        <v>1</v>
      </c>
      <c r="B25724" t="str">
        <f>"13880789345"</f>
        <v>13880789345</v>
      </c>
      <c r="C25724" t="s">
        <v>1</v>
      </c>
      <c r="D25724" t="s">
        <v>1</v>
      </c>
      <c r="E25724" t="s">
        <v>1</v>
      </c>
      <c r="F25724" t="s">
        <v>0</v>
      </c>
      <c r="G25724" t="str">
        <f>"2018-10-05 20:35:37"</f>
        <v>2018-10-05 20:35:37</v>
      </c>
    </row>
    <row r="25725" spans="1:7" x14ac:dyDescent="0.2">
      <c r="A25725" t="s">
        <v>1</v>
      </c>
      <c r="B25725" t="str">
        <f>"15706589324"</f>
        <v>15706589324</v>
      </c>
      <c r="C25725" t="s">
        <v>1</v>
      </c>
      <c r="D25725" t="s">
        <v>1</v>
      </c>
      <c r="E25725" t="s">
        <v>1</v>
      </c>
      <c r="F25725" t="s">
        <v>0</v>
      </c>
      <c r="G25725" t="str">
        <f>"2018-10-05 20:34:02"</f>
        <v>2018-10-05 20:34:02</v>
      </c>
    </row>
    <row r="25726" spans="1:7" x14ac:dyDescent="0.2">
      <c r="A25726" t="s">
        <v>23676</v>
      </c>
      <c r="B25726" t="str">
        <f>"13530521440"</f>
        <v>13530521440</v>
      </c>
      <c r="C25726" t="str">
        <f>"450802198911044335"</f>
        <v>450802198911044335</v>
      </c>
      <c r="D25726" t="s">
        <v>1</v>
      </c>
      <c r="E25726" t="s">
        <v>1</v>
      </c>
      <c r="F25726" t="s">
        <v>0</v>
      </c>
      <c r="G25726" t="str">
        <f>"2018-10-05 20:38:20"</f>
        <v>2018-10-05 20:38:20</v>
      </c>
    </row>
    <row r="25727" spans="1:7" x14ac:dyDescent="0.2">
      <c r="A25727" t="s">
        <v>23677</v>
      </c>
      <c r="B25727" t="str">
        <f>"18061653045"</f>
        <v>18061653045</v>
      </c>
      <c r="C25727" t="str">
        <f>"420205197605245717"</f>
        <v>420205197605245717</v>
      </c>
      <c r="D25727" t="s">
        <v>1</v>
      </c>
      <c r="E25727" t="s">
        <v>1</v>
      </c>
      <c r="F25727" t="s">
        <v>0</v>
      </c>
      <c r="G25727" t="str">
        <f>"2018-10-05 20:35:03"</f>
        <v>2018-10-05 20:35:03</v>
      </c>
    </row>
    <row r="25728" spans="1:7" x14ac:dyDescent="0.2">
      <c r="A25728" t="s">
        <v>23678</v>
      </c>
      <c r="B25728" t="str">
        <f>"15900037537"</f>
        <v>15900037537</v>
      </c>
      <c r="C25728" t="str">
        <f>"442000197309151292"</f>
        <v>442000197309151292</v>
      </c>
      <c r="D25728" t="s">
        <v>1</v>
      </c>
      <c r="E25728" t="s">
        <v>1</v>
      </c>
      <c r="F25728" t="s">
        <v>0</v>
      </c>
      <c r="G25728" t="str">
        <f>"2018-10-05 20:33:11"</f>
        <v>2018-10-05 20:33:11</v>
      </c>
    </row>
    <row r="25729" spans="1:7" x14ac:dyDescent="0.2">
      <c r="A25729" t="s">
        <v>23679</v>
      </c>
      <c r="B25729" t="str">
        <f>"13914331816"</f>
        <v>13914331816</v>
      </c>
      <c r="C25729" t="str">
        <f>"320404198205123417"</f>
        <v>320404198205123417</v>
      </c>
      <c r="D25729" t="s">
        <v>23680</v>
      </c>
      <c r="E25729" t="s">
        <v>23681</v>
      </c>
      <c r="F25729" t="s">
        <v>0</v>
      </c>
      <c r="G25729" t="str">
        <f>"2018-10-05 20:31:54"</f>
        <v>2018-10-05 20:31:54</v>
      </c>
    </row>
    <row r="25730" spans="1:7" x14ac:dyDescent="0.2">
      <c r="A25730" t="s">
        <v>1</v>
      </c>
      <c r="B25730" t="str">
        <f>"15977133256"</f>
        <v>15977133256</v>
      </c>
      <c r="C25730" t="s">
        <v>1</v>
      </c>
      <c r="D25730" t="s">
        <v>1</v>
      </c>
      <c r="E25730" t="s">
        <v>1</v>
      </c>
      <c r="F25730" t="s">
        <v>0</v>
      </c>
      <c r="G25730" t="str">
        <f>"2018-10-05 20:27:01"</f>
        <v>2018-10-05 20:27:01</v>
      </c>
    </row>
    <row r="25731" spans="1:7" x14ac:dyDescent="0.2">
      <c r="A25731" t="s">
        <v>1</v>
      </c>
      <c r="B25731" t="str">
        <f>"13646725907"</f>
        <v>13646725907</v>
      </c>
      <c r="C25731" t="s">
        <v>1</v>
      </c>
      <c r="D25731" t="s">
        <v>1</v>
      </c>
      <c r="E25731" t="s">
        <v>1</v>
      </c>
      <c r="F25731" t="s">
        <v>0</v>
      </c>
      <c r="G25731" t="str">
        <f>"2018-10-05 20:26:05"</f>
        <v>2018-10-05 20:26:05</v>
      </c>
    </row>
    <row r="25732" spans="1:7" x14ac:dyDescent="0.2">
      <c r="A25732" t="s">
        <v>1257</v>
      </c>
      <c r="B25732" t="str">
        <f>"13233182535"</f>
        <v>13233182535</v>
      </c>
      <c r="C25732" t="str">
        <f>"140202198506130023"</f>
        <v>140202198506130023</v>
      </c>
      <c r="D25732" t="s">
        <v>1</v>
      </c>
      <c r="E25732" t="s">
        <v>1</v>
      </c>
      <c r="F25732" t="s">
        <v>0</v>
      </c>
      <c r="G25732" t="str">
        <f>"2018-10-05 20:27:44"</f>
        <v>2018-10-05 20:27:44</v>
      </c>
    </row>
    <row r="25733" spans="1:7" x14ac:dyDescent="0.2">
      <c r="A25733" t="s">
        <v>1199</v>
      </c>
      <c r="B25733" t="str">
        <f>"18721287408"</f>
        <v>18721287408</v>
      </c>
      <c r="C25733" t="str">
        <f>"610327199305164913"</f>
        <v>610327199305164913</v>
      </c>
      <c r="D25733" t="s">
        <v>1</v>
      </c>
      <c r="E25733" t="s">
        <v>1</v>
      </c>
      <c r="F25733" t="s">
        <v>0</v>
      </c>
      <c r="G25733" t="str">
        <f>"2018-10-05 20:30:21"</f>
        <v>2018-10-05 20:30:21</v>
      </c>
    </row>
    <row r="25734" spans="1:7" x14ac:dyDescent="0.2">
      <c r="A25734" t="s">
        <v>350</v>
      </c>
      <c r="B25734" t="str">
        <f>"13806091158"</f>
        <v>13806091158</v>
      </c>
      <c r="C25734" t="str">
        <f>"350322198601092512"</f>
        <v>350322198601092512</v>
      </c>
      <c r="D25734" t="s">
        <v>1</v>
      </c>
      <c r="E25734" t="s">
        <v>1</v>
      </c>
      <c r="F25734" t="s">
        <v>0</v>
      </c>
      <c r="G25734" t="str">
        <f>"2018-10-05 20:32:10"</f>
        <v>2018-10-05 20:32:10</v>
      </c>
    </row>
    <row r="25735" spans="1:7" x14ac:dyDescent="0.2">
      <c r="A25735" t="s">
        <v>23682</v>
      </c>
      <c r="B25735" t="str">
        <f>"15952637077"</f>
        <v>15952637077</v>
      </c>
      <c r="C25735" t="str">
        <f>"32128219960401203X"</f>
        <v>32128219960401203X</v>
      </c>
      <c r="D25735" t="s">
        <v>1</v>
      </c>
      <c r="E25735" t="s">
        <v>1</v>
      </c>
      <c r="F25735" t="s">
        <v>0</v>
      </c>
      <c r="G25735" t="str">
        <f>"2018-10-05 20:26:50"</f>
        <v>2018-10-05 20:26:50</v>
      </c>
    </row>
    <row r="25736" spans="1:7" x14ac:dyDescent="0.2">
      <c r="A25736" t="s">
        <v>23683</v>
      </c>
      <c r="B25736" t="str">
        <f>"13608218544"</f>
        <v>13608218544</v>
      </c>
      <c r="C25736" t="str">
        <f>"510132199103220047"</f>
        <v>510132199103220047</v>
      </c>
      <c r="D25736" t="s">
        <v>23684</v>
      </c>
      <c r="E25736" t="s">
        <v>23685</v>
      </c>
      <c r="F25736" t="s">
        <v>0</v>
      </c>
      <c r="G25736" t="str">
        <f>"2018-10-05 20:27:07"</f>
        <v>2018-10-05 20:27:07</v>
      </c>
    </row>
    <row r="25737" spans="1:7" x14ac:dyDescent="0.2">
      <c r="A25737" t="s">
        <v>23686</v>
      </c>
      <c r="B25737" t="str">
        <f>"15060575777"</f>
        <v>15060575777</v>
      </c>
      <c r="C25737" t="str">
        <f>"350681199501156516"</f>
        <v>350681199501156516</v>
      </c>
      <c r="D25737" t="s">
        <v>1</v>
      </c>
      <c r="E25737" t="s">
        <v>1</v>
      </c>
      <c r="F25737" t="s">
        <v>0</v>
      </c>
      <c r="G25737" t="str">
        <f>"2018-10-06 16:10:45"</f>
        <v>2018-10-06 16:10:45</v>
      </c>
    </row>
    <row r="25738" spans="1:7" x14ac:dyDescent="0.2">
      <c r="A25738" t="s">
        <v>1</v>
      </c>
      <c r="B25738" t="str">
        <f>"15706594413"</f>
        <v>15706594413</v>
      </c>
      <c r="C25738" t="s">
        <v>1</v>
      </c>
      <c r="D25738" t="s">
        <v>1</v>
      </c>
      <c r="E25738" t="s">
        <v>1</v>
      </c>
      <c r="F25738" t="s">
        <v>0</v>
      </c>
      <c r="G25738" t="str">
        <f>"2018-10-05 20:24:25"</f>
        <v>2018-10-05 20:24:25</v>
      </c>
    </row>
    <row r="25739" spans="1:7" x14ac:dyDescent="0.2">
      <c r="A25739" t="s">
        <v>23687</v>
      </c>
      <c r="B25739" t="str">
        <f>"15015116985"</f>
        <v>15015116985</v>
      </c>
      <c r="C25739" t="str">
        <f>"450481199105114210"</f>
        <v>450481199105114210</v>
      </c>
      <c r="D25739" t="s">
        <v>1</v>
      </c>
      <c r="E25739" t="s">
        <v>1</v>
      </c>
      <c r="F25739" t="s">
        <v>0</v>
      </c>
      <c r="G25739" t="str">
        <f>"2018-10-05 20:23:07"</f>
        <v>2018-10-05 20:23:07</v>
      </c>
    </row>
    <row r="25740" spans="1:7" x14ac:dyDescent="0.2">
      <c r="A25740" t="s">
        <v>1311</v>
      </c>
      <c r="B25740" t="str">
        <f>"15914610602"</f>
        <v>15914610602</v>
      </c>
      <c r="C25740" t="str">
        <f>"511528199801030628"</f>
        <v>511528199801030628</v>
      </c>
      <c r="D25740" t="s">
        <v>23688</v>
      </c>
      <c r="E25740" t="s">
        <v>23689</v>
      </c>
      <c r="F25740" t="s">
        <v>0</v>
      </c>
      <c r="G25740" t="str">
        <f>"2018-10-05 20:23:34"</f>
        <v>2018-10-05 20:23:34</v>
      </c>
    </row>
    <row r="25741" spans="1:7" x14ac:dyDescent="0.2">
      <c r="A25741" t="s">
        <v>223</v>
      </c>
      <c r="B25741" t="str">
        <f>"18025053122"</f>
        <v>18025053122</v>
      </c>
      <c r="C25741" t="str">
        <f>"445302199104040311"</f>
        <v>445302199104040311</v>
      </c>
      <c r="D25741" t="s">
        <v>1</v>
      </c>
      <c r="E25741" t="s">
        <v>1</v>
      </c>
      <c r="F25741" t="s">
        <v>0</v>
      </c>
      <c r="G25741" t="str">
        <f>"2018-10-05 20:51:52"</f>
        <v>2018-10-05 20:51:52</v>
      </c>
    </row>
    <row r="25742" spans="1:7" x14ac:dyDescent="0.2">
      <c r="A25742" t="s">
        <v>23690</v>
      </c>
      <c r="B25742" t="str">
        <f>"13533243649"</f>
        <v>13533243649</v>
      </c>
      <c r="C25742" t="str">
        <f>"441522199311222372"</f>
        <v>441522199311222372</v>
      </c>
      <c r="D25742" t="s">
        <v>1</v>
      </c>
      <c r="E25742" t="s">
        <v>1</v>
      </c>
      <c r="F25742" t="s">
        <v>0</v>
      </c>
      <c r="G25742" t="str">
        <f>"2018-10-05 20:40:31"</f>
        <v>2018-10-05 20:40:31</v>
      </c>
    </row>
    <row r="25743" spans="1:7" x14ac:dyDescent="0.2">
      <c r="A25743" t="s">
        <v>23691</v>
      </c>
      <c r="B25743" t="str">
        <f>"15000340346"</f>
        <v>15000340346</v>
      </c>
      <c r="C25743" t="str">
        <f>"320681199411145412"</f>
        <v>320681199411145412</v>
      </c>
      <c r="D25743" t="s">
        <v>1</v>
      </c>
      <c r="E25743" t="s">
        <v>1</v>
      </c>
      <c r="F25743" t="s">
        <v>0</v>
      </c>
      <c r="G25743" t="str">
        <f>"2018-10-05 20:18:45"</f>
        <v>2018-10-05 20:18:45</v>
      </c>
    </row>
    <row r="25744" spans="1:7" x14ac:dyDescent="0.2">
      <c r="A25744" t="s">
        <v>23692</v>
      </c>
      <c r="B25744" t="str">
        <f>"18209817410"</f>
        <v>18209817410</v>
      </c>
      <c r="C25744" t="str">
        <f>"522101199308214811"</f>
        <v>522101199308214811</v>
      </c>
      <c r="D25744" t="s">
        <v>23693</v>
      </c>
      <c r="E25744" t="s">
        <v>23694</v>
      </c>
      <c r="F25744" t="s">
        <v>0</v>
      </c>
      <c r="G25744" t="str">
        <f>"2018-10-05 20:51:47"</f>
        <v>2018-10-05 20:51:47</v>
      </c>
    </row>
    <row r="25745" spans="1:7" x14ac:dyDescent="0.2">
      <c r="A25745" t="s">
        <v>1191</v>
      </c>
      <c r="B25745" t="str">
        <f>"18858503339"</f>
        <v>18858503339</v>
      </c>
      <c r="C25745" t="str">
        <f>"360281199303015472"</f>
        <v>360281199303015472</v>
      </c>
      <c r="D25745" t="s">
        <v>1</v>
      </c>
      <c r="E25745" t="s">
        <v>1</v>
      </c>
      <c r="F25745" t="s">
        <v>0</v>
      </c>
      <c r="G25745" t="str">
        <f>"2018-10-05 20:20:44"</f>
        <v>2018-10-05 20:20:44</v>
      </c>
    </row>
    <row r="25746" spans="1:7" x14ac:dyDescent="0.2">
      <c r="A25746" t="s">
        <v>231</v>
      </c>
      <c r="B25746" t="str">
        <f>"13367279238"</f>
        <v>13367279238</v>
      </c>
      <c r="C25746" t="str">
        <f>"420122198102280014"</f>
        <v>420122198102280014</v>
      </c>
      <c r="D25746" t="s">
        <v>1</v>
      </c>
      <c r="E25746" t="s">
        <v>1</v>
      </c>
      <c r="F25746" t="s">
        <v>0</v>
      </c>
      <c r="G25746" t="str">
        <f>"2018-10-05 20:36:15"</f>
        <v>2018-10-05 20:36:15</v>
      </c>
    </row>
    <row r="25747" spans="1:7" x14ac:dyDescent="0.2">
      <c r="A25747" t="s">
        <v>2561</v>
      </c>
      <c r="B25747" t="str">
        <f>"18685793906"</f>
        <v>18685793906</v>
      </c>
      <c r="C25747" t="str">
        <f>"522427199110120035"</f>
        <v>522427199110120035</v>
      </c>
      <c r="D25747" t="s">
        <v>23695</v>
      </c>
      <c r="E25747" t="s">
        <v>23696</v>
      </c>
      <c r="F25747" t="s">
        <v>0</v>
      </c>
      <c r="G25747" t="str">
        <f>"2018-10-05 22:12:30"</f>
        <v>2018-10-05 22:12:30</v>
      </c>
    </row>
    <row r="25748" spans="1:7" x14ac:dyDescent="0.2">
      <c r="A25748" t="s">
        <v>23697</v>
      </c>
      <c r="B25748" t="str">
        <f>"15592286983"</f>
        <v>15592286983</v>
      </c>
      <c r="C25748" t="str">
        <f>"610528199511120011"</f>
        <v>610528199511120011</v>
      </c>
      <c r="D25748" t="s">
        <v>1</v>
      </c>
      <c r="E25748" t="s">
        <v>1</v>
      </c>
      <c r="F25748" t="s">
        <v>0</v>
      </c>
      <c r="G25748" t="str">
        <f>"2018-10-05 20:22:42"</f>
        <v>2018-10-05 20:22:42</v>
      </c>
    </row>
    <row r="25749" spans="1:7" x14ac:dyDescent="0.2">
      <c r="A25749" t="s">
        <v>1</v>
      </c>
      <c r="B25749" t="str">
        <f>"18062603625"</f>
        <v>18062603625</v>
      </c>
      <c r="C25749" t="s">
        <v>1</v>
      </c>
      <c r="D25749" t="s">
        <v>1</v>
      </c>
      <c r="E25749" t="s">
        <v>1</v>
      </c>
      <c r="F25749" t="s">
        <v>0</v>
      </c>
      <c r="G25749" t="str">
        <f>"2018-10-05 20:15:47"</f>
        <v>2018-10-05 20:15:47</v>
      </c>
    </row>
    <row r="25750" spans="1:7" x14ac:dyDescent="0.2">
      <c r="A25750" t="s">
        <v>23698</v>
      </c>
      <c r="B25750" t="str">
        <f>"18625013758"</f>
        <v>18625013758</v>
      </c>
      <c r="C25750" t="str">
        <f>"321023198208131031"</f>
        <v>321023198208131031</v>
      </c>
      <c r="D25750" t="s">
        <v>1</v>
      </c>
      <c r="E25750" t="s">
        <v>1</v>
      </c>
      <c r="F25750" t="s">
        <v>0</v>
      </c>
      <c r="G25750" t="str">
        <f>"2018-10-05 20:17:41"</f>
        <v>2018-10-05 20:17:41</v>
      </c>
    </row>
    <row r="25751" spans="1:7" x14ac:dyDescent="0.2">
      <c r="A25751" t="s">
        <v>1</v>
      </c>
      <c r="B25751" t="str">
        <f>"15868336711"</f>
        <v>15868336711</v>
      </c>
      <c r="C25751" t="s">
        <v>1</v>
      </c>
      <c r="D25751" t="s">
        <v>1</v>
      </c>
      <c r="E25751" t="s">
        <v>1</v>
      </c>
      <c r="F25751" t="s">
        <v>0</v>
      </c>
      <c r="G25751" t="str">
        <f>"2018-10-05 20:14:32"</f>
        <v>2018-10-05 20:14:32</v>
      </c>
    </row>
    <row r="25752" spans="1:7" x14ac:dyDescent="0.2">
      <c r="A25752" t="s">
        <v>1</v>
      </c>
      <c r="B25752" t="str">
        <f>"18275854710"</f>
        <v>18275854710</v>
      </c>
      <c r="C25752" t="s">
        <v>1</v>
      </c>
      <c r="D25752" t="s">
        <v>1</v>
      </c>
      <c r="E25752" t="s">
        <v>1</v>
      </c>
      <c r="F25752" t="s">
        <v>0</v>
      </c>
      <c r="G25752" t="str">
        <f>"2018-10-05 20:14:03"</f>
        <v>2018-10-05 20:14:03</v>
      </c>
    </row>
    <row r="25753" spans="1:7" x14ac:dyDescent="0.2">
      <c r="A25753" t="s">
        <v>23699</v>
      </c>
      <c r="B25753" t="str">
        <f>"17642004806"</f>
        <v>17642004806</v>
      </c>
      <c r="C25753" t="str">
        <f>"210103199810064546"</f>
        <v>210103199810064546</v>
      </c>
      <c r="D25753" t="s">
        <v>1</v>
      </c>
      <c r="E25753" t="s">
        <v>1</v>
      </c>
      <c r="F25753" t="s">
        <v>0</v>
      </c>
      <c r="G25753" t="str">
        <f>"2018-10-05 20:14:15"</f>
        <v>2018-10-05 20:14:15</v>
      </c>
    </row>
    <row r="25754" spans="1:7" x14ac:dyDescent="0.2">
      <c r="A25754" t="s">
        <v>1</v>
      </c>
      <c r="B25754" t="str">
        <f>"13059950240"</f>
        <v>13059950240</v>
      </c>
      <c r="C25754" t="s">
        <v>1</v>
      </c>
      <c r="D25754" t="s">
        <v>1</v>
      </c>
      <c r="E25754" t="s">
        <v>1</v>
      </c>
      <c r="F25754" t="s">
        <v>0</v>
      </c>
      <c r="G25754" t="str">
        <f>"2018-10-05 20:13:17"</f>
        <v>2018-10-05 20:13:17</v>
      </c>
    </row>
    <row r="25755" spans="1:7" x14ac:dyDescent="0.2">
      <c r="A25755" t="s">
        <v>1</v>
      </c>
      <c r="B25755" t="str">
        <f>"18214842982"</f>
        <v>18214842982</v>
      </c>
      <c r="C25755" t="s">
        <v>1</v>
      </c>
      <c r="D25755" t="s">
        <v>1</v>
      </c>
      <c r="E25755" t="s">
        <v>1</v>
      </c>
      <c r="F25755" t="s">
        <v>0</v>
      </c>
      <c r="G25755" t="str">
        <f>"2018-10-05 20:11:21"</f>
        <v>2018-10-05 20:11:21</v>
      </c>
    </row>
    <row r="25756" spans="1:7" x14ac:dyDescent="0.2">
      <c r="A25756" t="s">
        <v>247</v>
      </c>
      <c r="B25756" t="str">
        <f>"15242166918"</f>
        <v>15242166918</v>
      </c>
      <c r="C25756" t="str">
        <f>"211321198710254078"</f>
        <v>211321198710254078</v>
      </c>
      <c r="D25756" t="s">
        <v>1</v>
      </c>
      <c r="E25756" t="s">
        <v>1</v>
      </c>
      <c r="F25756" t="s">
        <v>0</v>
      </c>
      <c r="G25756" t="str">
        <f>"2018-10-05 20:18:01"</f>
        <v>2018-10-05 20:18:01</v>
      </c>
    </row>
    <row r="25757" spans="1:7" x14ac:dyDescent="0.2">
      <c r="A25757" t="s">
        <v>1</v>
      </c>
      <c r="B25757" t="str">
        <f>"15676546041"</f>
        <v>15676546041</v>
      </c>
      <c r="C25757" t="s">
        <v>1</v>
      </c>
      <c r="D25757" t="s">
        <v>1</v>
      </c>
      <c r="E25757" t="s">
        <v>1</v>
      </c>
      <c r="F25757" t="s">
        <v>0</v>
      </c>
      <c r="G25757" t="str">
        <f>"2018-10-05 20:09:51"</f>
        <v>2018-10-05 20:09:51</v>
      </c>
    </row>
    <row r="25758" spans="1:7" x14ac:dyDescent="0.2">
      <c r="A25758" t="s">
        <v>23700</v>
      </c>
      <c r="B25758" t="str">
        <f>"18258766407"</f>
        <v>18258766407</v>
      </c>
      <c r="C25758" t="str">
        <f>"410426199611266012"</f>
        <v>410426199611266012</v>
      </c>
      <c r="D25758" t="s">
        <v>1</v>
      </c>
      <c r="E25758" t="s">
        <v>1</v>
      </c>
      <c r="F25758" t="s">
        <v>0</v>
      </c>
      <c r="G25758" t="str">
        <f>"2018-10-05 20:11:32"</f>
        <v>2018-10-05 20:11:32</v>
      </c>
    </row>
    <row r="25759" spans="1:7" x14ac:dyDescent="0.2">
      <c r="A25759" t="s">
        <v>23701</v>
      </c>
      <c r="B25759" t="str">
        <f>"18787390871"</f>
        <v>18787390871</v>
      </c>
      <c r="C25759" t="str">
        <f>"532524199402240037"</f>
        <v>532524199402240037</v>
      </c>
      <c r="D25759" t="s">
        <v>23702</v>
      </c>
      <c r="E25759" t="s">
        <v>23703</v>
      </c>
      <c r="F25759" t="s">
        <v>0</v>
      </c>
      <c r="G25759" t="str">
        <f>"2018-10-05 20:12:54"</f>
        <v>2018-10-05 20:12:54</v>
      </c>
    </row>
    <row r="25760" spans="1:7" x14ac:dyDescent="0.2">
      <c r="A25760" t="s">
        <v>23704</v>
      </c>
      <c r="B25760" t="str">
        <f>"15987132021"</f>
        <v>15987132021</v>
      </c>
      <c r="C25760" t="str">
        <f>"530302199408062728"</f>
        <v>530302199408062728</v>
      </c>
      <c r="D25760" t="s">
        <v>1</v>
      </c>
      <c r="E25760" t="s">
        <v>1</v>
      </c>
      <c r="F25760" t="s">
        <v>0</v>
      </c>
      <c r="G25760" t="str">
        <f>"2018-10-05 20:10:27"</f>
        <v>2018-10-05 20:10:27</v>
      </c>
    </row>
    <row r="25761" spans="1:7" x14ac:dyDescent="0.2">
      <c r="A25761" t="s">
        <v>23705</v>
      </c>
      <c r="B25761" t="str">
        <f>"18146560657"</f>
        <v>18146560657</v>
      </c>
      <c r="C25761" t="str">
        <f>"140624198405233015"</f>
        <v>140624198405233015</v>
      </c>
      <c r="D25761" t="s">
        <v>1</v>
      </c>
      <c r="E25761" t="s">
        <v>1</v>
      </c>
      <c r="F25761" t="s">
        <v>0</v>
      </c>
      <c r="G25761" t="str">
        <f>"2018-10-05 20:11:43"</f>
        <v>2018-10-05 20:11:43</v>
      </c>
    </row>
    <row r="25762" spans="1:7" x14ac:dyDescent="0.2">
      <c r="A25762" t="s">
        <v>853</v>
      </c>
      <c r="B25762" t="str">
        <f>"13671878226"</f>
        <v>13671878226</v>
      </c>
      <c r="C25762" t="str">
        <f>"513721199305085054"</f>
        <v>513721199305085054</v>
      </c>
      <c r="D25762" t="s">
        <v>23706</v>
      </c>
      <c r="E25762" t="s">
        <v>23707</v>
      </c>
      <c r="F25762" t="s">
        <v>0</v>
      </c>
      <c r="G25762" t="str">
        <f>"2018-10-05 20:14:51"</f>
        <v>2018-10-05 20:14:51</v>
      </c>
    </row>
    <row r="25763" spans="1:7" x14ac:dyDescent="0.2">
      <c r="A25763" t="s">
        <v>23708</v>
      </c>
      <c r="B25763" t="str">
        <f>"18825267534"</f>
        <v>18825267534</v>
      </c>
      <c r="C25763" t="str">
        <f>"522323199902036236"</f>
        <v>522323199902036236</v>
      </c>
      <c r="D25763" t="s">
        <v>1</v>
      </c>
      <c r="E25763" t="s">
        <v>1</v>
      </c>
      <c r="F25763" t="s">
        <v>0</v>
      </c>
      <c r="G25763" t="str">
        <f>"2018-10-18 18:31:45"</f>
        <v>2018-10-18 18:31:45</v>
      </c>
    </row>
    <row r="25764" spans="1:7" x14ac:dyDescent="0.2">
      <c r="A25764" t="s">
        <v>421</v>
      </c>
      <c r="B25764" t="str">
        <f>"15584531996"</f>
        <v>15584531996</v>
      </c>
      <c r="C25764" t="str">
        <f>"220702199601180223"</f>
        <v>220702199601180223</v>
      </c>
      <c r="D25764" t="s">
        <v>1</v>
      </c>
      <c r="E25764" t="s">
        <v>1</v>
      </c>
      <c r="F25764" t="s">
        <v>0</v>
      </c>
      <c r="G25764" t="str">
        <f>"2018-10-06 15:13:28"</f>
        <v>2018-10-06 15:13:28</v>
      </c>
    </row>
    <row r="25765" spans="1:7" x14ac:dyDescent="0.2">
      <c r="A25765" t="s">
        <v>23709</v>
      </c>
      <c r="B25765" t="str">
        <f>"18160221018"</f>
        <v>18160221018</v>
      </c>
      <c r="C25765" t="str">
        <f>"652827198911272617"</f>
        <v>652827198911272617</v>
      </c>
      <c r="D25765" t="s">
        <v>1</v>
      </c>
      <c r="E25765" t="s">
        <v>1</v>
      </c>
      <c r="F25765" t="s">
        <v>0</v>
      </c>
      <c r="G25765" t="str">
        <f>"2018-10-05 20:09:09"</f>
        <v>2018-10-05 20:09:09</v>
      </c>
    </row>
    <row r="25766" spans="1:7" x14ac:dyDescent="0.2">
      <c r="A25766" t="s">
        <v>70</v>
      </c>
      <c r="B25766" t="str">
        <f>"13612971797"</f>
        <v>13612971797</v>
      </c>
      <c r="C25766" t="str">
        <f>"362329198208308717"</f>
        <v>362329198208308717</v>
      </c>
      <c r="D25766" t="s">
        <v>23710</v>
      </c>
      <c r="E25766" t="s">
        <v>23711</v>
      </c>
      <c r="F25766" t="s">
        <v>0</v>
      </c>
      <c r="G25766" t="str">
        <f>"2018-10-05 20:09:01"</f>
        <v>2018-10-05 20:09:01</v>
      </c>
    </row>
    <row r="25767" spans="1:7" x14ac:dyDescent="0.2">
      <c r="A25767" t="s">
        <v>23712</v>
      </c>
      <c r="B25767" t="str">
        <f>"13538286394"</f>
        <v>13538286394</v>
      </c>
      <c r="C25767" t="str">
        <f>"452130198910121828"</f>
        <v>452130198910121828</v>
      </c>
      <c r="D25767" t="s">
        <v>23713</v>
      </c>
      <c r="E25767" t="s">
        <v>23714</v>
      </c>
      <c r="F25767" t="s">
        <v>0</v>
      </c>
      <c r="G25767" t="str">
        <f>"2018-10-05 20:11:21"</f>
        <v>2018-10-05 20:11:21</v>
      </c>
    </row>
    <row r="25768" spans="1:7" x14ac:dyDescent="0.2">
      <c r="A25768" t="s">
        <v>23715</v>
      </c>
      <c r="B25768" t="str">
        <f>"15035930681"</f>
        <v>15035930681</v>
      </c>
      <c r="C25768" t="str">
        <f>"142732197311050413"</f>
        <v>142732197311050413</v>
      </c>
      <c r="D25768" t="s">
        <v>1</v>
      </c>
      <c r="E25768" t="s">
        <v>1</v>
      </c>
      <c r="F25768" t="s">
        <v>0</v>
      </c>
      <c r="G25768" t="str">
        <f>"2018-10-05 20:06:05"</f>
        <v>2018-10-05 20:06:05</v>
      </c>
    </row>
    <row r="25769" spans="1:7" x14ac:dyDescent="0.2">
      <c r="A25769" t="s">
        <v>23716</v>
      </c>
      <c r="B25769" t="str">
        <f>"15992773060"</f>
        <v>15992773060</v>
      </c>
      <c r="C25769" t="str">
        <f>"411024198904054357"</f>
        <v>411024198904054357</v>
      </c>
      <c r="D25769" t="s">
        <v>1</v>
      </c>
      <c r="E25769" t="s">
        <v>1</v>
      </c>
      <c r="F25769" t="s">
        <v>0</v>
      </c>
      <c r="G25769" t="str">
        <f>"2018-10-05 20:06:56"</f>
        <v>2018-10-05 20:06:56</v>
      </c>
    </row>
    <row r="25770" spans="1:7" x14ac:dyDescent="0.2">
      <c r="A25770" t="s">
        <v>159</v>
      </c>
      <c r="B25770" t="str">
        <f>"18618378821"</f>
        <v>18618378821</v>
      </c>
      <c r="C25770" t="str">
        <f>"210921198712013827"</f>
        <v>210921198712013827</v>
      </c>
      <c r="D25770" t="s">
        <v>1</v>
      </c>
      <c r="E25770" t="s">
        <v>1</v>
      </c>
      <c r="F25770" t="s">
        <v>0</v>
      </c>
      <c r="G25770" t="str">
        <f>"2018-10-05 20:07:01"</f>
        <v>2018-10-05 20:07:01</v>
      </c>
    </row>
    <row r="25771" spans="1:7" x14ac:dyDescent="0.2">
      <c r="A25771" t="s">
        <v>1</v>
      </c>
      <c r="B25771" t="str">
        <f>"13546854456"</f>
        <v>13546854456</v>
      </c>
      <c r="C25771" t="s">
        <v>1</v>
      </c>
      <c r="D25771" t="s">
        <v>1</v>
      </c>
      <c r="E25771" t="s">
        <v>1</v>
      </c>
      <c r="F25771" t="s">
        <v>0</v>
      </c>
      <c r="G25771" t="str">
        <f>"2018-10-05 20:08:04"</f>
        <v>2018-10-05 20:08:04</v>
      </c>
    </row>
    <row r="25772" spans="1:7" x14ac:dyDescent="0.2">
      <c r="A25772" t="s">
        <v>1</v>
      </c>
      <c r="B25772" t="str">
        <f>"18513095128"</f>
        <v>18513095128</v>
      </c>
      <c r="C25772" t="s">
        <v>1</v>
      </c>
      <c r="D25772" t="s">
        <v>1</v>
      </c>
      <c r="E25772" t="s">
        <v>1</v>
      </c>
      <c r="F25772" t="s">
        <v>0</v>
      </c>
      <c r="G25772" t="str">
        <f>"2018-10-05 20:04:08"</f>
        <v>2018-10-05 20:04:08</v>
      </c>
    </row>
    <row r="25773" spans="1:7" x14ac:dyDescent="0.2">
      <c r="A25773" t="s">
        <v>1</v>
      </c>
      <c r="B25773" t="str">
        <f>"18790612774"</f>
        <v>18790612774</v>
      </c>
      <c r="C25773" t="s">
        <v>1</v>
      </c>
      <c r="D25773" t="s">
        <v>1</v>
      </c>
      <c r="E25773" t="s">
        <v>1</v>
      </c>
      <c r="F25773" t="s">
        <v>0</v>
      </c>
      <c r="G25773" t="str">
        <f>"2018-10-05 20:04:07"</f>
        <v>2018-10-05 20:04:07</v>
      </c>
    </row>
    <row r="25774" spans="1:7" x14ac:dyDescent="0.2">
      <c r="A25774" t="s">
        <v>1</v>
      </c>
      <c r="B25774" t="str">
        <f>"15177908456"</f>
        <v>15177908456</v>
      </c>
      <c r="C25774" t="s">
        <v>1</v>
      </c>
      <c r="D25774" t="s">
        <v>1</v>
      </c>
      <c r="E25774" t="s">
        <v>1</v>
      </c>
      <c r="F25774" t="s">
        <v>0</v>
      </c>
      <c r="G25774" t="str">
        <f>"2018-10-05 20:02:34"</f>
        <v>2018-10-05 20:02:34</v>
      </c>
    </row>
    <row r="25775" spans="1:7" x14ac:dyDescent="0.2">
      <c r="A25775" t="s">
        <v>23717</v>
      </c>
      <c r="B25775" t="str">
        <f>"13788844421"</f>
        <v>13788844421</v>
      </c>
      <c r="C25775" t="str">
        <f>"350525198908183574"</f>
        <v>350525198908183574</v>
      </c>
      <c r="D25775" t="s">
        <v>1</v>
      </c>
      <c r="E25775" t="s">
        <v>1</v>
      </c>
      <c r="F25775" t="s">
        <v>0</v>
      </c>
      <c r="G25775" t="str">
        <f>"2018-10-05 20:00:56"</f>
        <v>2018-10-05 20:00:56</v>
      </c>
    </row>
    <row r="25776" spans="1:7" x14ac:dyDescent="0.2">
      <c r="A25776" t="s">
        <v>1</v>
      </c>
      <c r="B25776" t="str">
        <f>"15995060260"</f>
        <v>15995060260</v>
      </c>
      <c r="C25776" t="s">
        <v>1</v>
      </c>
      <c r="D25776" t="s">
        <v>1</v>
      </c>
      <c r="E25776" t="s">
        <v>1</v>
      </c>
      <c r="F25776" t="s">
        <v>0</v>
      </c>
      <c r="G25776" t="str">
        <f>"2018-10-05 20:06:04"</f>
        <v>2018-10-05 20:06:04</v>
      </c>
    </row>
    <row r="25777" spans="1:7" x14ac:dyDescent="0.2">
      <c r="A25777" t="s">
        <v>1</v>
      </c>
      <c r="B25777" t="str">
        <f>"18723038639"</f>
        <v>18723038639</v>
      </c>
      <c r="C25777" t="s">
        <v>1</v>
      </c>
      <c r="D25777" t="s">
        <v>1</v>
      </c>
      <c r="E25777" t="s">
        <v>1</v>
      </c>
      <c r="F25777" t="s">
        <v>0</v>
      </c>
      <c r="G25777" t="str">
        <f>"2018-10-05 19:57:46"</f>
        <v>2018-10-05 19:57:46</v>
      </c>
    </row>
    <row r="25778" spans="1:7" x14ac:dyDescent="0.2">
      <c r="A25778" t="s">
        <v>23718</v>
      </c>
      <c r="B25778" t="str">
        <f>"18161332871"</f>
        <v>18161332871</v>
      </c>
      <c r="C25778" t="str">
        <f>"510603199304043257"</f>
        <v>510603199304043257</v>
      </c>
      <c r="D25778" t="s">
        <v>23719</v>
      </c>
      <c r="E25778" t="s">
        <v>23720</v>
      </c>
      <c r="F25778" t="s">
        <v>0</v>
      </c>
      <c r="G25778" t="str">
        <f>"2018-10-05 20:00:05"</f>
        <v>2018-10-05 20:00:05</v>
      </c>
    </row>
    <row r="25779" spans="1:7" x14ac:dyDescent="0.2">
      <c r="A25779" t="s">
        <v>1</v>
      </c>
      <c r="B25779" t="str">
        <f>"17550070679"</f>
        <v>17550070679</v>
      </c>
      <c r="C25779" t="s">
        <v>1</v>
      </c>
      <c r="D25779" t="s">
        <v>1</v>
      </c>
      <c r="E25779" t="s">
        <v>1</v>
      </c>
      <c r="F25779" t="s">
        <v>0</v>
      </c>
      <c r="G25779" t="str">
        <f>"2018-10-05 19:57:22"</f>
        <v>2018-10-05 19:57:22</v>
      </c>
    </row>
    <row r="25780" spans="1:7" x14ac:dyDescent="0.2">
      <c r="A25780" t="s">
        <v>1680</v>
      </c>
      <c r="B25780" t="str">
        <f>"15630839009"</f>
        <v>15630839009</v>
      </c>
      <c r="C25780" t="str">
        <f>"130622199007096676"</f>
        <v>130622199007096676</v>
      </c>
      <c r="D25780" t="s">
        <v>1</v>
      </c>
      <c r="E25780" t="s">
        <v>1</v>
      </c>
      <c r="F25780" t="s">
        <v>0</v>
      </c>
      <c r="G25780" t="str">
        <f>"2018-10-05 19:57:11"</f>
        <v>2018-10-05 19:57:11</v>
      </c>
    </row>
    <row r="25781" spans="1:7" x14ac:dyDescent="0.2">
      <c r="A25781" t="s">
        <v>23721</v>
      </c>
      <c r="B25781" t="str">
        <f>"13784391985"</f>
        <v>13784391985</v>
      </c>
      <c r="C25781" t="str">
        <f>"130129198208123012"</f>
        <v>130129198208123012</v>
      </c>
      <c r="D25781" t="s">
        <v>1</v>
      </c>
      <c r="E25781" t="s">
        <v>1</v>
      </c>
      <c r="F25781" t="s">
        <v>0</v>
      </c>
      <c r="G25781" t="str">
        <f>"2018-10-05 19:58:09"</f>
        <v>2018-10-05 19:58:09</v>
      </c>
    </row>
    <row r="25782" spans="1:7" x14ac:dyDescent="0.2">
      <c r="A25782" t="s">
        <v>1</v>
      </c>
      <c r="B25782" t="str">
        <f>"15993888993"</f>
        <v>15993888993</v>
      </c>
      <c r="C25782" t="s">
        <v>1</v>
      </c>
      <c r="D25782" t="s">
        <v>1</v>
      </c>
      <c r="E25782" t="s">
        <v>1</v>
      </c>
      <c r="F25782" t="s">
        <v>0</v>
      </c>
      <c r="G25782" t="str">
        <f>"2018-11-02 07:11:38"</f>
        <v>2018-11-02 07:11:38</v>
      </c>
    </row>
    <row r="25783" spans="1:7" x14ac:dyDescent="0.2">
      <c r="A25783" t="s">
        <v>23722</v>
      </c>
      <c r="B25783" t="str">
        <f>"18321423996"</f>
        <v>18321423996</v>
      </c>
      <c r="C25783" t="str">
        <f>"321281199710196016"</f>
        <v>321281199710196016</v>
      </c>
      <c r="D25783" t="s">
        <v>23723</v>
      </c>
      <c r="E25783" t="s">
        <v>23724</v>
      </c>
      <c r="F25783" t="s">
        <v>0</v>
      </c>
      <c r="G25783" t="str">
        <f>"2018-10-05 20:02:00"</f>
        <v>2018-10-05 20:02:00</v>
      </c>
    </row>
    <row r="25784" spans="1:7" x14ac:dyDescent="0.2">
      <c r="A25784" t="s">
        <v>23725</v>
      </c>
      <c r="B25784" t="str">
        <f>"13855979688"</f>
        <v>13855979688</v>
      </c>
      <c r="C25784" t="str">
        <f>"341003198602062810"</f>
        <v>341003198602062810</v>
      </c>
      <c r="D25784" t="s">
        <v>1</v>
      </c>
      <c r="E25784" t="s">
        <v>1</v>
      </c>
      <c r="F25784" t="s">
        <v>0</v>
      </c>
      <c r="G25784" t="str">
        <f>"2018-10-05 19:55:47"</f>
        <v>2018-10-05 19:55:47</v>
      </c>
    </row>
    <row r="25785" spans="1:7" x14ac:dyDescent="0.2">
      <c r="A25785" t="s">
        <v>1</v>
      </c>
      <c r="B25785" t="str">
        <f>"15001004925"</f>
        <v>15001004925</v>
      </c>
      <c r="C25785" t="s">
        <v>1</v>
      </c>
      <c r="D25785" t="s">
        <v>1</v>
      </c>
      <c r="E25785" t="s">
        <v>1</v>
      </c>
      <c r="F25785" t="s">
        <v>0</v>
      </c>
      <c r="G25785" t="str">
        <f>"2018-10-05 19:55:32"</f>
        <v>2018-10-05 19:55:32</v>
      </c>
    </row>
    <row r="25786" spans="1:7" x14ac:dyDescent="0.2">
      <c r="A25786" t="s">
        <v>34</v>
      </c>
      <c r="B25786" t="str">
        <f>"13913895971"</f>
        <v>13913895971</v>
      </c>
      <c r="C25786" t="str">
        <f>"320281199304070011"</f>
        <v>320281199304070011</v>
      </c>
      <c r="D25786" t="s">
        <v>1</v>
      </c>
      <c r="E25786" t="s">
        <v>1</v>
      </c>
      <c r="F25786" t="s">
        <v>0</v>
      </c>
      <c r="G25786" t="str">
        <f>"2018-10-05 20:57:42"</f>
        <v>2018-10-05 20:57:42</v>
      </c>
    </row>
    <row r="25787" spans="1:7" x14ac:dyDescent="0.2">
      <c r="A25787" t="s">
        <v>23726</v>
      </c>
      <c r="B25787" t="str">
        <f>"13280888289"</f>
        <v>13280888289</v>
      </c>
      <c r="C25787" t="str">
        <f>"370283199403070414"</f>
        <v>370283199403070414</v>
      </c>
      <c r="D25787" t="s">
        <v>1</v>
      </c>
      <c r="E25787" t="s">
        <v>1</v>
      </c>
      <c r="F25787" t="s">
        <v>0</v>
      </c>
      <c r="G25787" t="str">
        <f>"2018-10-05 19:55:45"</f>
        <v>2018-10-05 19:55:45</v>
      </c>
    </row>
    <row r="25788" spans="1:7" x14ac:dyDescent="0.2">
      <c r="A25788" t="s">
        <v>23727</v>
      </c>
      <c r="B25788" t="str">
        <f>"15116558783"</f>
        <v>15116558783</v>
      </c>
      <c r="C25788" t="str">
        <f>"431129199502114818"</f>
        <v>431129199502114818</v>
      </c>
      <c r="D25788" t="s">
        <v>1</v>
      </c>
      <c r="E25788" t="s">
        <v>1</v>
      </c>
      <c r="F25788" t="s">
        <v>0</v>
      </c>
      <c r="G25788" t="str">
        <f>"2018-10-05 19:55:55"</f>
        <v>2018-10-05 19:55:55</v>
      </c>
    </row>
    <row r="25789" spans="1:7" x14ac:dyDescent="0.2">
      <c r="A25789" t="s">
        <v>23728</v>
      </c>
      <c r="B25789" t="str">
        <f>"17388793736"</f>
        <v>17388793736</v>
      </c>
      <c r="C25789" t="str">
        <f>"429005199202122671"</f>
        <v>429005199202122671</v>
      </c>
      <c r="D25789" t="s">
        <v>1</v>
      </c>
      <c r="E25789" t="s">
        <v>1</v>
      </c>
      <c r="F25789" t="s">
        <v>0</v>
      </c>
      <c r="G25789" t="str">
        <f>"2018-10-06 20:00:20"</f>
        <v>2018-10-06 20:00:20</v>
      </c>
    </row>
    <row r="25790" spans="1:7" x14ac:dyDescent="0.2">
      <c r="A25790" t="s">
        <v>23729</v>
      </c>
      <c r="B25790" t="str">
        <f>"15204172641"</f>
        <v>15204172641</v>
      </c>
      <c r="C25790" t="str">
        <f>"210803198211064513"</f>
        <v>210803198211064513</v>
      </c>
      <c r="D25790" t="s">
        <v>23730</v>
      </c>
      <c r="E25790" t="s">
        <v>23731</v>
      </c>
      <c r="F25790" t="s">
        <v>0</v>
      </c>
      <c r="G25790" t="str">
        <f>"2018-10-05 19:51:03"</f>
        <v>2018-10-05 19:51:03</v>
      </c>
    </row>
    <row r="25791" spans="1:7" x14ac:dyDescent="0.2">
      <c r="A25791" t="s">
        <v>23732</v>
      </c>
      <c r="B25791" t="str">
        <f>"15690799327"</f>
        <v>15690799327</v>
      </c>
      <c r="C25791" t="str">
        <f>"410703199608183015"</f>
        <v>410703199608183015</v>
      </c>
      <c r="D25791" t="s">
        <v>1</v>
      </c>
      <c r="E25791" t="s">
        <v>1</v>
      </c>
      <c r="F25791" t="s">
        <v>0</v>
      </c>
      <c r="G25791" t="str">
        <f>"2018-10-05 19:51:49"</f>
        <v>2018-10-05 19:51:49</v>
      </c>
    </row>
    <row r="25792" spans="1:7" x14ac:dyDescent="0.2">
      <c r="A25792" t="s">
        <v>1</v>
      </c>
      <c r="B25792" t="str">
        <f>"13117794951"</f>
        <v>13117794951</v>
      </c>
      <c r="C25792" t="s">
        <v>1</v>
      </c>
      <c r="D25792" t="s">
        <v>1</v>
      </c>
      <c r="E25792" t="s">
        <v>1</v>
      </c>
      <c r="F25792" t="s">
        <v>0</v>
      </c>
      <c r="G25792" t="str">
        <f>"2018-10-05 19:45:53"</f>
        <v>2018-10-05 19:45:53</v>
      </c>
    </row>
    <row r="25793" spans="1:7" x14ac:dyDescent="0.2">
      <c r="A25793" t="s">
        <v>903</v>
      </c>
      <c r="B25793" t="str">
        <f>"13075920110"</f>
        <v>13075920110</v>
      </c>
      <c r="C25793" t="str">
        <f>"350181198810231880"</f>
        <v>350181198810231880</v>
      </c>
      <c r="D25793" t="s">
        <v>1</v>
      </c>
      <c r="E25793" t="s">
        <v>1</v>
      </c>
      <c r="F25793" t="s">
        <v>0</v>
      </c>
      <c r="G25793" t="str">
        <f>"2018-10-05 19:46:53"</f>
        <v>2018-10-05 19:46:53</v>
      </c>
    </row>
    <row r="25794" spans="1:7" x14ac:dyDescent="0.2">
      <c r="A25794" t="s">
        <v>1</v>
      </c>
      <c r="B25794" t="str">
        <f>"13928606600"</f>
        <v>13928606600</v>
      </c>
      <c r="C25794" t="s">
        <v>1</v>
      </c>
      <c r="D25794" t="s">
        <v>1</v>
      </c>
      <c r="E25794" t="s">
        <v>1</v>
      </c>
      <c r="F25794" t="s">
        <v>0</v>
      </c>
      <c r="G25794" t="str">
        <f>"2018-10-05 19:45:47"</f>
        <v>2018-10-05 19:45:47</v>
      </c>
    </row>
    <row r="25795" spans="1:7" x14ac:dyDescent="0.2">
      <c r="A25795" t="s">
        <v>264</v>
      </c>
      <c r="B25795" t="str">
        <f>"13466351986"</f>
        <v>13466351986</v>
      </c>
      <c r="C25795" t="str">
        <f>"210321198401051225"</f>
        <v>210321198401051225</v>
      </c>
      <c r="D25795" t="s">
        <v>1</v>
      </c>
      <c r="E25795" t="s">
        <v>1</v>
      </c>
      <c r="F25795" t="s">
        <v>0</v>
      </c>
      <c r="G25795" t="str">
        <f>"2018-10-05 20:08:42"</f>
        <v>2018-10-05 20:08:42</v>
      </c>
    </row>
    <row r="25796" spans="1:7" x14ac:dyDescent="0.2">
      <c r="A25796" t="s">
        <v>23733</v>
      </c>
      <c r="B25796" t="str">
        <f>"13758586530"</f>
        <v>13758586530</v>
      </c>
      <c r="C25796" t="str">
        <f>"330681198607244436"</f>
        <v>330681198607244436</v>
      </c>
      <c r="D25796" t="s">
        <v>1</v>
      </c>
      <c r="E25796" t="s">
        <v>1</v>
      </c>
      <c r="F25796" t="s">
        <v>0</v>
      </c>
      <c r="G25796" t="str">
        <f>"2018-10-17 09:37:53"</f>
        <v>2018-10-17 09:37:53</v>
      </c>
    </row>
    <row r="25797" spans="1:7" x14ac:dyDescent="0.2">
      <c r="A25797" t="s">
        <v>1</v>
      </c>
      <c r="B25797" t="str">
        <f>"15208129867"</f>
        <v>15208129867</v>
      </c>
      <c r="C25797" t="s">
        <v>1</v>
      </c>
      <c r="D25797" t="s">
        <v>1</v>
      </c>
      <c r="E25797" t="s">
        <v>1</v>
      </c>
      <c r="F25797" t="s">
        <v>0</v>
      </c>
      <c r="G25797" t="str">
        <f>"2018-10-05 19:44:31"</f>
        <v>2018-10-05 19:44:31</v>
      </c>
    </row>
    <row r="25798" spans="1:7" x14ac:dyDescent="0.2">
      <c r="A25798" t="s">
        <v>23734</v>
      </c>
      <c r="B25798" t="str">
        <f>"18127093468"</f>
        <v>18127093468</v>
      </c>
      <c r="C25798" t="str">
        <f>"511325198904043312"</f>
        <v>511325198904043312</v>
      </c>
      <c r="D25798" t="s">
        <v>23735</v>
      </c>
      <c r="E25798" t="s">
        <v>23736</v>
      </c>
      <c r="F25798" t="s">
        <v>0</v>
      </c>
      <c r="G25798" t="str">
        <f>"2018-10-05 19:45:16"</f>
        <v>2018-10-05 19:45:16</v>
      </c>
    </row>
    <row r="25799" spans="1:7" x14ac:dyDescent="0.2">
      <c r="A25799" t="s">
        <v>23737</v>
      </c>
      <c r="B25799" t="str">
        <f>"18269520701"</f>
        <v>18269520701</v>
      </c>
      <c r="C25799" t="str">
        <f>"450821199708162532"</f>
        <v>450821199708162532</v>
      </c>
      <c r="D25799" t="s">
        <v>1</v>
      </c>
      <c r="E25799" t="s">
        <v>1</v>
      </c>
      <c r="F25799" t="s">
        <v>0</v>
      </c>
      <c r="G25799" t="str">
        <f>"2018-10-05 19:40:03"</f>
        <v>2018-10-05 19:40:03</v>
      </c>
    </row>
    <row r="25800" spans="1:7" x14ac:dyDescent="0.2">
      <c r="A25800" t="s">
        <v>1</v>
      </c>
      <c r="B25800" t="str">
        <f>"15818751782"</f>
        <v>15818751782</v>
      </c>
      <c r="C25800" t="s">
        <v>1</v>
      </c>
      <c r="D25800" t="s">
        <v>1</v>
      </c>
      <c r="E25800" t="s">
        <v>1</v>
      </c>
      <c r="F25800" t="s">
        <v>0</v>
      </c>
      <c r="G25800" t="str">
        <f>"2018-10-05 19:41:08"</f>
        <v>2018-10-05 19:41:08</v>
      </c>
    </row>
    <row r="25801" spans="1:7" x14ac:dyDescent="0.2">
      <c r="A25801" t="s">
        <v>1</v>
      </c>
      <c r="B25801" t="str">
        <f>"13123482514"</f>
        <v>13123482514</v>
      </c>
      <c r="C25801" t="s">
        <v>1</v>
      </c>
      <c r="D25801" t="s">
        <v>1</v>
      </c>
      <c r="E25801" t="s">
        <v>1</v>
      </c>
      <c r="F25801" t="s">
        <v>0</v>
      </c>
      <c r="G25801" t="str">
        <f>"2018-10-05 19:37:42"</f>
        <v>2018-10-05 19:37:42</v>
      </c>
    </row>
    <row r="25802" spans="1:7" x14ac:dyDescent="0.2">
      <c r="A25802" t="s">
        <v>23738</v>
      </c>
      <c r="B25802" t="str">
        <f>"13596042225"</f>
        <v>13596042225</v>
      </c>
      <c r="C25802" t="str">
        <f>"220381199212153030"</f>
        <v>220381199212153030</v>
      </c>
      <c r="D25802" t="s">
        <v>1</v>
      </c>
      <c r="E25802" t="s">
        <v>1</v>
      </c>
      <c r="F25802" t="s">
        <v>0</v>
      </c>
      <c r="G25802" t="str">
        <f>"2018-10-05 19:40:35"</f>
        <v>2018-10-05 19:40:35</v>
      </c>
    </row>
    <row r="25803" spans="1:7" x14ac:dyDescent="0.2">
      <c r="A25803" t="s">
        <v>1</v>
      </c>
      <c r="B25803" t="str">
        <f>"18177767979"</f>
        <v>18177767979</v>
      </c>
      <c r="C25803" t="s">
        <v>1</v>
      </c>
      <c r="D25803" t="s">
        <v>1</v>
      </c>
      <c r="E25803" t="s">
        <v>1</v>
      </c>
      <c r="F25803" t="s">
        <v>0</v>
      </c>
      <c r="G25803" t="str">
        <f>"2018-10-05 19:36:00"</f>
        <v>2018-10-05 19:36:00</v>
      </c>
    </row>
    <row r="25804" spans="1:7" x14ac:dyDescent="0.2">
      <c r="A25804" t="s">
        <v>1</v>
      </c>
      <c r="B25804" t="str">
        <f>"15678813446"</f>
        <v>15678813446</v>
      </c>
      <c r="C25804" t="s">
        <v>1</v>
      </c>
      <c r="D25804" t="s">
        <v>1</v>
      </c>
      <c r="E25804" t="s">
        <v>1</v>
      </c>
      <c r="F25804" t="s">
        <v>0</v>
      </c>
      <c r="G25804" t="str">
        <f>"2018-10-05 19:36:28"</f>
        <v>2018-10-05 19:36:28</v>
      </c>
    </row>
    <row r="25805" spans="1:7" x14ac:dyDescent="0.2">
      <c r="A25805" t="s">
        <v>23739</v>
      </c>
      <c r="B25805" t="str">
        <f>"15121467220"</f>
        <v>15121467220</v>
      </c>
      <c r="C25805" t="str">
        <f>"522631198101030418"</f>
        <v>522631198101030418</v>
      </c>
      <c r="D25805" t="s">
        <v>1</v>
      </c>
      <c r="E25805" t="s">
        <v>1</v>
      </c>
      <c r="F25805" t="s">
        <v>0</v>
      </c>
      <c r="G25805" t="str">
        <f>"2018-10-05 19:33:45"</f>
        <v>2018-10-05 19:33:45</v>
      </c>
    </row>
    <row r="25806" spans="1:7" x14ac:dyDescent="0.2">
      <c r="A25806" t="s">
        <v>1</v>
      </c>
      <c r="B25806" t="str">
        <f>"18388977126"</f>
        <v>18388977126</v>
      </c>
      <c r="C25806" t="s">
        <v>1</v>
      </c>
      <c r="D25806" t="s">
        <v>1</v>
      </c>
      <c r="E25806" t="s">
        <v>1</v>
      </c>
      <c r="F25806" t="s">
        <v>0</v>
      </c>
      <c r="G25806" t="str">
        <f>"2018-10-05 19:32:58"</f>
        <v>2018-10-05 19:32:58</v>
      </c>
    </row>
    <row r="25807" spans="1:7" x14ac:dyDescent="0.2">
      <c r="A25807" t="s">
        <v>23740</v>
      </c>
      <c r="B25807" t="str">
        <f>"13386434317"</f>
        <v>13386434317</v>
      </c>
      <c r="C25807" t="str">
        <f>"372330199101181850"</f>
        <v>372330199101181850</v>
      </c>
      <c r="D25807" t="s">
        <v>23741</v>
      </c>
      <c r="E25807" t="s">
        <v>23742</v>
      </c>
      <c r="F25807" t="s">
        <v>0</v>
      </c>
      <c r="G25807" t="str">
        <f>"2018-10-05 19:34:10"</f>
        <v>2018-10-05 19:34:10</v>
      </c>
    </row>
    <row r="25808" spans="1:7" x14ac:dyDescent="0.2">
      <c r="A25808" t="s">
        <v>1</v>
      </c>
      <c r="B25808" t="str">
        <f>"18198387066"</f>
        <v>18198387066</v>
      </c>
      <c r="C25808" t="s">
        <v>1</v>
      </c>
      <c r="D25808" t="s">
        <v>1</v>
      </c>
      <c r="E25808" t="s">
        <v>1</v>
      </c>
      <c r="F25808" t="s">
        <v>0</v>
      </c>
      <c r="G25808" t="str">
        <f>"2018-10-05 19:31:17"</f>
        <v>2018-10-05 19:31:17</v>
      </c>
    </row>
    <row r="25809" spans="1:7" x14ac:dyDescent="0.2">
      <c r="A25809" t="s">
        <v>1</v>
      </c>
      <c r="B25809" t="str">
        <f>"18702926380"</f>
        <v>18702926380</v>
      </c>
      <c r="C25809" t="s">
        <v>1</v>
      </c>
      <c r="D25809" t="s">
        <v>1</v>
      </c>
      <c r="E25809" t="s">
        <v>1</v>
      </c>
      <c r="F25809" t="s">
        <v>0</v>
      </c>
      <c r="G25809" t="str">
        <f>"2018-10-05 19:29:31"</f>
        <v>2018-10-05 19:29:31</v>
      </c>
    </row>
    <row r="25810" spans="1:7" x14ac:dyDescent="0.2">
      <c r="A25810" t="s">
        <v>23743</v>
      </c>
      <c r="B25810" t="str">
        <f>"15968651471"</f>
        <v>15968651471</v>
      </c>
      <c r="C25810" t="str">
        <f>"33100319900520051X"</f>
        <v>33100319900520051X</v>
      </c>
      <c r="D25810" t="s">
        <v>1</v>
      </c>
      <c r="E25810" t="s">
        <v>1</v>
      </c>
      <c r="F25810" t="s">
        <v>0</v>
      </c>
      <c r="G25810" t="str">
        <f>"2018-10-05 19:28:30"</f>
        <v>2018-10-05 19:28:30</v>
      </c>
    </row>
    <row r="25811" spans="1:7" x14ac:dyDescent="0.2">
      <c r="A25811" t="s">
        <v>1</v>
      </c>
      <c r="B25811" t="str">
        <f>"18673399818"</f>
        <v>18673399818</v>
      </c>
      <c r="C25811" t="s">
        <v>1</v>
      </c>
      <c r="D25811" t="s">
        <v>1</v>
      </c>
      <c r="E25811" t="s">
        <v>1</v>
      </c>
      <c r="F25811" t="s">
        <v>0</v>
      </c>
      <c r="G25811" t="str">
        <f>"2018-10-05 19:26:55"</f>
        <v>2018-10-05 19:26:55</v>
      </c>
    </row>
    <row r="25812" spans="1:7" x14ac:dyDescent="0.2">
      <c r="A25812" t="s">
        <v>20447</v>
      </c>
      <c r="B25812" t="str">
        <f>"13895101341"</f>
        <v>13895101341</v>
      </c>
      <c r="C25812" t="str">
        <f>"610622199405141713"</f>
        <v>610622199405141713</v>
      </c>
      <c r="D25812" t="s">
        <v>1</v>
      </c>
      <c r="E25812" t="s">
        <v>1</v>
      </c>
      <c r="F25812" t="s">
        <v>0</v>
      </c>
      <c r="G25812" t="str">
        <f>"2018-10-24 10:51:16"</f>
        <v>2018-10-24 10:51:16</v>
      </c>
    </row>
    <row r="25813" spans="1:7" x14ac:dyDescent="0.2">
      <c r="A25813" t="s">
        <v>23744</v>
      </c>
      <c r="B25813" t="str">
        <f>"15976318181"</f>
        <v>15976318181</v>
      </c>
      <c r="C25813" t="str">
        <f>"445121199801035356"</f>
        <v>445121199801035356</v>
      </c>
      <c r="D25813" t="s">
        <v>1</v>
      </c>
      <c r="E25813" t="s">
        <v>1</v>
      </c>
      <c r="F25813" t="s">
        <v>0</v>
      </c>
      <c r="G25813" t="str">
        <f>"2018-10-05 19:27:20"</f>
        <v>2018-10-05 19:27:20</v>
      </c>
    </row>
    <row r="25814" spans="1:7" x14ac:dyDescent="0.2">
      <c r="A25814" t="s">
        <v>1</v>
      </c>
      <c r="B25814" t="str">
        <f>"18719189998"</f>
        <v>18719189998</v>
      </c>
      <c r="C25814" t="s">
        <v>1</v>
      </c>
      <c r="D25814" t="s">
        <v>1</v>
      </c>
      <c r="E25814" t="s">
        <v>1</v>
      </c>
      <c r="F25814" t="s">
        <v>0</v>
      </c>
      <c r="G25814" t="str">
        <f>"2018-10-05 19:26:40"</f>
        <v>2018-10-05 19:26:40</v>
      </c>
    </row>
    <row r="25815" spans="1:7" x14ac:dyDescent="0.2">
      <c r="A25815" t="s">
        <v>23745</v>
      </c>
      <c r="B25815" t="str">
        <f>"15220868734"</f>
        <v>15220868734</v>
      </c>
      <c r="C25815" t="str">
        <f>"452424199902161778"</f>
        <v>452424199902161778</v>
      </c>
      <c r="D25815" t="s">
        <v>1</v>
      </c>
      <c r="E25815" t="s">
        <v>1</v>
      </c>
      <c r="F25815" t="s">
        <v>0</v>
      </c>
      <c r="G25815" t="str">
        <f>"2018-10-05 19:27:31"</f>
        <v>2018-10-05 19:27:31</v>
      </c>
    </row>
    <row r="25816" spans="1:7" x14ac:dyDescent="0.2">
      <c r="A25816" t="s">
        <v>23746</v>
      </c>
      <c r="B25816" t="str">
        <f>"15266273878"</f>
        <v>15266273878</v>
      </c>
      <c r="C25816" t="str">
        <f>"370481198511204735"</f>
        <v>370481198511204735</v>
      </c>
      <c r="D25816" t="s">
        <v>1</v>
      </c>
      <c r="E25816" t="s">
        <v>1</v>
      </c>
      <c r="F25816" t="s">
        <v>0</v>
      </c>
      <c r="G25816" t="str">
        <f>"2018-10-05 19:27:56"</f>
        <v>2018-10-05 19:27:56</v>
      </c>
    </row>
    <row r="25817" spans="1:7" x14ac:dyDescent="0.2">
      <c r="A25817" t="s">
        <v>23747</v>
      </c>
      <c r="B25817" t="str">
        <f>"15268202111"</f>
        <v>15268202111</v>
      </c>
      <c r="C25817" t="str">
        <f>"330523198904022814"</f>
        <v>330523198904022814</v>
      </c>
      <c r="D25817" t="s">
        <v>1</v>
      </c>
      <c r="E25817" t="s">
        <v>1</v>
      </c>
      <c r="F25817" t="s">
        <v>0</v>
      </c>
      <c r="G25817" t="str">
        <f>"2018-10-05 19:24:11"</f>
        <v>2018-10-05 19:24:11</v>
      </c>
    </row>
    <row r="25818" spans="1:7" x14ac:dyDescent="0.2">
      <c r="A25818" t="s">
        <v>23748</v>
      </c>
      <c r="B25818" t="str">
        <f>"13825165081"</f>
        <v>13825165081</v>
      </c>
      <c r="C25818" t="str">
        <f>"440181198012184225"</f>
        <v>440181198012184225</v>
      </c>
      <c r="D25818" t="s">
        <v>23749</v>
      </c>
      <c r="E25818" t="s">
        <v>23750</v>
      </c>
      <c r="F25818" t="s">
        <v>0</v>
      </c>
      <c r="G25818" t="str">
        <f>"2018-10-05 19:27:54"</f>
        <v>2018-10-05 19:27:54</v>
      </c>
    </row>
    <row r="25819" spans="1:7" x14ac:dyDescent="0.2">
      <c r="A25819" t="s">
        <v>23751</v>
      </c>
      <c r="B25819" t="str">
        <f>"13599783215"</f>
        <v>13599783215</v>
      </c>
      <c r="C25819" t="str">
        <f>"350526198804220058"</f>
        <v>350526198804220058</v>
      </c>
      <c r="D25819" t="s">
        <v>1</v>
      </c>
      <c r="E25819" t="s">
        <v>1</v>
      </c>
      <c r="F25819" t="s">
        <v>0</v>
      </c>
      <c r="G25819" t="str">
        <f>"2018-10-05 19:23:23"</f>
        <v>2018-10-05 19:23:23</v>
      </c>
    </row>
    <row r="25820" spans="1:7" x14ac:dyDescent="0.2">
      <c r="A25820" t="s">
        <v>255</v>
      </c>
      <c r="B25820" t="str">
        <f>"15840334438"</f>
        <v>15840334438</v>
      </c>
      <c r="C25820" t="str">
        <f>"210124198909230011"</f>
        <v>210124198909230011</v>
      </c>
      <c r="D25820" t="s">
        <v>23752</v>
      </c>
      <c r="E25820" t="s">
        <v>23753</v>
      </c>
      <c r="F25820" t="s">
        <v>0</v>
      </c>
      <c r="G25820" t="str">
        <f>"2018-10-23 15:19:43"</f>
        <v>2018-10-23 15:19:43</v>
      </c>
    </row>
    <row r="25821" spans="1:7" x14ac:dyDescent="0.2">
      <c r="A25821" t="s">
        <v>23754</v>
      </c>
      <c r="B25821" t="str">
        <f>"18600697626"</f>
        <v>18600697626</v>
      </c>
      <c r="C25821" t="str">
        <f>"110108198802251425"</f>
        <v>110108198802251425</v>
      </c>
      <c r="D25821" t="s">
        <v>23755</v>
      </c>
      <c r="E25821" t="s">
        <v>23756</v>
      </c>
      <c r="F25821" t="s">
        <v>0</v>
      </c>
      <c r="G25821" t="str">
        <f>"2018-10-28 11:50:47"</f>
        <v>2018-10-28 11:50:47</v>
      </c>
    </row>
    <row r="25822" spans="1:7" x14ac:dyDescent="0.2">
      <c r="A25822" t="s">
        <v>23757</v>
      </c>
      <c r="B25822" t="str">
        <f>"13382697909"</f>
        <v>13382697909</v>
      </c>
      <c r="C25822" t="str">
        <f>"320323199708123417"</f>
        <v>320323199708123417</v>
      </c>
      <c r="D25822" t="s">
        <v>1</v>
      </c>
      <c r="E25822" t="s">
        <v>1</v>
      </c>
      <c r="F25822" t="s">
        <v>0</v>
      </c>
      <c r="G25822" t="str">
        <f>"2018-10-11 20:52:38"</f>
        <v>2018-10-11 20:52:38</v>
      </c>
    </row>
    <row r="25823" spans="1:7" x14ac:dyDescent="0.2">
      <c r="A25823" t="s">
        <v>23758</v>
      </c>
      <c r="B25823" t="str">
        <f>"18772886477"</f>
        <v>18772886477</v>
      </c>
      <c r="C25823" t="str">
        <f>"420381198806284655"</f>
        <v>420381198806284655</v>
      </c>
      <c r="D25823" t="s">
        <v>1</v>
      </c>
      <c r="E25823" t="s">
        <v>1</v>
      </c>
      <c r="F25823" t="s">
        <v>0</v>
      </c>
      <c r="G25823" t="str">
        <f>"2018-10-05 19:21:03"</f>
        <v>2018-10-05 19:21:03</v>
      </c>
    </row>
    <row r="25824" spans="1:7" x14ac:dyDescent="0.2">
      <c r="A25824" t="s">
        <v>23759</v>
      </c>
      <c r="B25824" t="str">
        <f>"17600563930"</f>
        <v>17600563930</v>
      </c>
      <c r="C25824" t="str">
        <f>"142726199806022133"</f>
        <v>142726199806022133</v>
      </c>
      <c r="D25824" t="s">
        <v>1</v>
      </c>
      <c r="E25824" t="s">
        <v>1</v>
      </c>
      <c r="F25824" t="s">
        <v>0</v>
      </c>
      <c r="G25824" t="str">
        <f>"2018-10-05 19:18:02"</f>
        <v>2018-10-05 19:18:02</v>
      </c>
    </row>
    <row r="25825" spans="1:7" x14ac:dyDescent="0.2">
      <c r="A25825" t="s">
        <v>1</v>
      </c>
      <c r="B25825" t="str">
        <f>"15842771602"</f>
        <v>15842771602</v>
      </c>
      <c r="C25825" t="s">
        <v>1</v>
      </c>
      <c r="D25825" t="s">
        <v>1</v>
      </c>
      <c r="E25825" t="s">
        <v>1</v>
      </c>
      <c r="F25825" t="s">
        <v>0</v>
      </c>
      <c r="G25825" t="str">
        <f>"2018-10-05 19:17:10"</f>
        <v>2018-10-05 19:17:10</v>
      </c>
    </row>
    <row r="25826" spans="1:7" x14ac:dyDescent="0.2">
      <c r="A25826" t="s">
        <v>23760</v>
      </c>
      <c r="B25826" t="str">
        <f>"13116254031"</f>
        <v>13116254031</v>
      </c>
      <c r="C25826" t="str">
        <f>"530326199706163894"</f>
        <v>530326199706163894</v>
      </c>
      <c r="D25826" t="s">
        <v>1</v>
      </c>
      <c r="E25826" t="s">
        <v>1</v>
      </c>
      <c r="F25826" t="s">
        <v>0</v>
      </c>
      <c r="G25826" t="str">
        <f>"2018-10-05 19:18:41"</f>
        <v>2018-10-05 19:18:41</v>
      </c>
    </row>
    <row r="25827" spans="1:7" x14ac:dyDescent="0.2">
      <c r="A25827" t="s">
        <v>23761</v>
      </c>
      <c r="B25827" t="str">
        <f>"18559020626"</f>
        <v>18559020626</v>
      </c>
      <c r="C25827" t="str">
        <f>"513902198908116726"</f>
        <v>513902198908116726</v>
      </c>
      <c r="D25827" t="s">
        <v>1</v>
      </c>
      <c r="E25827" t="s">
        <v>1</v>
      </c>
      <c r="F25827" t="s">
        <v>0</v>
      </c>
      <c r="G25827" t="str">
        <f>"2018-10-05 19:19:24"</f>
        <v>2018-10-05 19:19:24</v>
      </c>
    </row>
    <row r="25828" spans="1:7" x14ac:dyDescent="0.2">
      <c r="A25828" t="s">
        <v>1</v>
      </c>
      <c r="B25828" t="str">
        <f>"15379175510"</f>
        <v>15379175510</v>
      </c>
      <c r="C25828" t="s">
        <v>1</v>
      </c>
      <c r="D25828" t="s">
        <v>1</v>
      </c>
      <c r="E25828" t="s">
        <v>1</v>
      </c>
      <c r="F25828" t="s">
        <v>0</v>
      </c>
      <c r="G25828" t="str">
        <f>"2018-10-05 19:14:55"</f>
        <v>2018-10-05 19:14:55</v>
      </c>
    </row>
    <row r="25829" spans="1:7" x14ac:dyDescent="0.2">
      <c r="A25829" t="s">
        <v>1</v>
      </c>
      <c r="B25829" t="str">
        <f>"15224308283"</f>
        <v>15224308283</v>
      </c>
      <c r="C25829" t="s">
        <v>1</v>
      </c>
      <c r="D25829" t="s">
        <v>1</v>
      </c>
      <c r="E25829" t="s">
        <v>1</v>
      </c>
      <c r="F25829" t="s">
        <v>0</v>
      </c>
      <c r="G25829" t="str">
        <f>"2018-10-05 19:14:45"</f>
        <v>2018-10-05 19:14:45</v>
      </c>
    </row>
    <row r="25830" spans="1:7" x14ac:dyDescent="0.2">
      <c r="A25830" t="s">
        <v>23762</v>
      </c>
      <c r="B25830" t="str">
        <f>"18312839912"</f>
        <v>18312839912</v>
      </c>
      <c r="C25830" t="str">
        <f>"440183199111113710"</f>
        <v>440183199111113710</v>
      </c>
      <c r="D25830" t="s">
        <v>23763</v>
      </c>
      <c r="E25830" t="s">
        <v>23764</v>
      </c>
      <c r="F25830" t="s">
        <v>0</v>
      </c>
      <c r="G25830" t="str">
        <f>"2018-10-05 20:53:09"</f>
        <v>2018-10-05 20:53:09</v>
      </c>
    </row>
    <row r="25831" spans="1:7" x14ac:dyDescent="0.2">
      <c r="A25831" t="s">
        <v>845</v>
      </c>
      <c r="B25831" t="str">
        <f>"13002377430"</f>
        <v>13002377430</v>
      </c>
      <c r="C25831" t="str">
        <f>"510221198211010428"</f>
        <v>510221198211010428</v>
      </c>
      <c r="D25831" t="s">
        <v>23765</v>
      </c>
      <c r="E25831" t="s">
        <v>23766</v>
      </c>
      <c r="F25831" t="s">
        <v>0</v>
      </c>
      <c r="G25831" t="str">
        <f>"2018-10-10 20:35:08"</f>
        <v>2018-10-10 20:35:08</v>
      </c>
    </row>
    <row r="25832" spans="1:7" x14ac:dyDescent="0.2">
      <c r="A25832" t="s">
        <v>1</v>
      </c>
      <c r="B25832" t="str">
        <f>"13512217440"</f>
        <v>13512217440</v>
      </c>
      <c r="C25832" t="s">
        <v>1</v>
      </c>
      <c r="D25832" t="s">
        <v>1</v>
      </c>
      <c r="E25832" t="s">
        <v>1</v>
      </c>
      <c r="F25832" t="s">
        <v>0</v>
      </c>
      <c r="G25832" t="str">
        <f>"2018-10-05 19:13:21"</f>
        <v>2018-10-05 19:13:21</v>
      </c>
    </row>
    <row r="25833" spans="1:7" x14ac:dyDescent="0.2">
      <c r="A25833" t="s">
        <v>23767</v>
      </c>
      <c r="B25833" t="str">
        <f>"18677212971"</f>
        <v>18677212971</v>
      </c>
      <c r="C25833" t="str">
        <f>"450205198711180048"</f>
        <v>450205198711180048</v>
      </c>
      <c r="D25833" t="s">
        <v>1</v>
      </c>
      <c r="E25833" t="s">
        <v>1</v>
      </c>
      <c r="F25833" t="s">
        <v>0</v>
      </c>
      <c r="G25833" t="str">
        <f>"2018-10-05 19:14:09"</f>
        <v>2018-10-05 19:14:09</v>
      </c>
    </row>
    <row r="25834" spans="1:7" x14ac:dyDescent="0.2">
      <c r="A25834" t="s">
        <v>187</v>
      </c>
      <c r="B25834" t="str">
        <f>"15613335333"</f>
        <v>15613335333</v>
      </c>
      <c r="C25834" t="str">
        <f>"130126198908012437"</f>
        <v>130126198908012437</v>
      </c>
      <c r="D25834" t="s">
        <v>23768</v>
      </c>
      <c r="E25834" t="s">
        <v>23769</v>
      </c>
      <c r="F25834" t="s">
        <v>0</v>
      </c>
      <c r="G25834" t="str">
        <f>"2018-10-05 19:15:54"</f>
        <v>2018-10-05 19:15:54</v>
      </c>
    </row>
    <row r="25835" spans="1:7" x14ac:dyDescent="0.2">
      <c r="A25835" t="s">
        <v>23770</v>
      </c>
      <c r="B25835" t="str">
        <f>"15953214765"</f>
        <v>15953214765</v>
      </c>
      <c r="C25835" t="str">
        <f>"231085199601212710"</f>
        <v>231085199601212710</v>
      </c>
      <c r="D25835" t="s">
        <v>1</v>
      </c>
      <c r="E25835" t="s">
        <v>1</v>
      </c>
      <c r="F25835" t="s">
        <v>0</v>
      </c>
      <c r="G25835" t="str">
        <f>"2018-10-05 19:40:54"</f>
        <v>2018-10-05 19:40:54</v>
      </c>
    </row>
    <row r="25836" spans="1:7" x14ac:dyDescent="0.2">
      <c r="A25836" t="s">
        <v>23771</v>
      </c>
      <c r="B25836" t="str">
        <f>"18359798494"</f>
        <v>18359798494</v>
      </c>
      <c r="C25836" t="str">
        <f>"350128199507073245"</f>
        <v>350128199507073245</v>
      </c>
      <c r="D25836" t="s">
        <v>23772</v>
      </c>
      <c r="E25836" t="s">
        <v>23773</v>
      </c>
      <c r="F25836" t="s">
        <v>0</v>
      </c>
      <c r="G25836" t="str">
        <f>"2018-10-05 19:09:22"</f>
        <v>2018-10-05 19:09:22</v>
      </c>
    </row>
    <row r="25837" spans="1:7" x14ac:dyDescent="0.2">
      <c r="A25837" t="s">
        <v>1</v>
      </c>
      <c r="B25837" t="str">
        <f>"15038991692"</f>
        <v>15038991692</v>
      </c>
      <c r="C25837" t="s">
        <v>1</v>
      </c>
      <c r="D25837" t="s">
        <v>1</v>
      </c>
      <c r="E25837" t="s">
        <v>1</v>
      </c>
      <c r="F25837" t="s">
        <v>0</v>
      </c>
      <c r="G25837" t="str">
        <f>"2018-10-05 19:08:44"</f>
        <v>2018-10-05 19:08:44</v>
      </c>
    </row>
    <row r="25838" spans="1:7" x14ac:dyDescent="0.2">
      <c r="A25838" t="s">
        <v>7698</v>
      </c>
      <c r="B25838" t="str">
        <f>"18350075538"</f>
        <v>18350075538</v>
      </c>
      <c r="C25838" t="str">
        <f>"350725199804224517"</f>
        <v>350725199804224517</v>
      </c>
      <c r="D25838" t="s">
        <v>1</v>
      </c>
      <c r="E25838" t="s">
        <v>1</v>
      </c>
      <c r="F25838" t="s">
        <v>0</v>
      </c>
      <c r="G25838" t="str">
        <f>"2018-10-05 19:08:16"</f>
        <v>2018-10-05 19:08:16</v>
      </c>
    </row>
    <row r="25839" spans="1:7" x14ac:dyDescent="0.2">
      <c r="A25839" t="s">
        <v>23774</v>
      </c>
      <c r="B25839" t="str">
        <f>"15069070576"</f>
        <v>15069070576</v>
      </c>
      <c r="C25839" t="str">
        <f>"370102198810104927"</f>
        <v>370102198810104927</v>
      </c>
      <c r="D25839" t="s">
        <v>1</v>
      </c>
      <c r="E25839" t="s">
        <v>1</v>
      </c>
      <c r="F25839" t="s">
        <v>0</v>
      </c>
      <c r="G25839" t="str">
        <f>"2018-10-05 19:10:56"</f>
        <v>2018-10-05 19:10:56</v>
      </c>
    </row>
    <row r="25840" spans="1:7" x14ac:dyDescent="0.2">
      <c r="A25840" t="s">
        <v>1</v>
      </c>
      <c r="B25840" t="str">
        <f>"15056115009"</f>
        <v>15056115009</v>
      </c>
      <c r="C25840" t="s">
        <v>1</v>
      </c>
      <c r="D25840" t="s">
        <v>1</v>
      </c>
      <c r="E25840" t="s">
        <v>1</v>
      </c>
      <c r="F25840" t="s">
        <v>0</v>
      </c>
      <c r="G25840" t="str">
        <f>"2018-10-05 19:07:40"</f>
        <v>2018-10-05 19:07:40</v>
      </c>
    </row>
    <row r="25841" spans="1:7" x14ac:dyDescent="0.2">
      <c r="A25841" t="s">
        <v>23775</v>
      </c>
      <c r="B25841" t="str">
        <f>"18275468756"</f>
        <v>18275468756</v>
      </c>
      <c r="C25841" t="str">
        <f>"522101199708252032"</f>
        <v>522101199708252032</v>
      </c>
      <c r="D25841" t="s">
        <v>23776</v>
      </c>
      <c r="E25841" t="s">
        <v>23777</v>
      </c>
      <c r="F25841" t="s">
        <v>0</v>
      </c>
      <c r="G25841" t="str">
        <f>"2018-10-05 19:06:26"</f>
        <v>2018-10-05 19:06:26</v>
      </c>
    </row>
    <row r="25842" spans="1:7" x14ac:dyDescent="0.2">
      <c r="A25842" t="s">
        <v>23778</v>
      </c>
      <c r="B25842" t="str">
        <f>"13959683133"</f>
        <v>13959683133</v>
      </c>
      <c r="C25842" t="str">
        <f>"350628198004191541"</f>
        <v>350628198004191541</v>
      </c>
      <c r="D25842" t="s">
        <v>1</v>
      </c>
      <c r="E25842" t="s">
        <v>1</v>
      </c>
      <c r="F25842" t="s">
        <v>0</v>
      </c>
      <c r="G25842" t="str">
        <f>"2018-10-05 19:50:38"</f>
        <v>2018-10-05 19:50:38</v>
      </c>
    </row>
    <row r="25843" spans="1:7" x14ac:dyDescent="0.2">
      <c r="A25843" t="s">
        <v>23779</v>
      </c>
      <c r="B25843" t="str">
        <f>"13833408543"</f>
        <v>13833408543</v>
      </c>
      <c r="C25843" t="str">
        <f>"130824198610021539"</f>
        <v>130824198610021539</v>
      </c>
      <c r="D25843" t="s">
        <v>23780</v>
      </c>
      <c r="E25843" t="s">
        <v>23781</v>
      </c>
      <c r="F25843" t="s">
        <v>0</v>
      </c>
      <c r="G25843" t="str">
        <f>"2018-10-05 19:07:19"</f>
        <v>2018-10-05 19:07:19</v>
      </c>
    </row>
    <row r="25844" spans="1:7" x14ac:dyDescent="0.2">
      <c r="A25844" t="s">
        <v>1</v>
      </c>
      <c r="B25844" t="str">
        <f>"18335405218"</f>
        <v>18335405218</v>
      </c>
      <c r="C25844" t="s">
        <v>1</v>
      </c>
      <c r="D25844" t="s">
        <v>1</v>
      </c>
      <c r="E25844" t="s">
        <v>1</v>
      </c>
      <c r="F25844" t="s">
        <v>0</v>
      </c>
      <c r="G25844" t="str">
        <f>"2018-10-05 19:04:06"</f>
        <v>2018-10-05 19:04:06</v>
      </c>
    </row>
    <row r="25845" spans="1:7" x14ac:dyDescent="0.2">
      <c r="A25845" t="s">
        <v>23782</v>
      </c>
      <c r="B25845" t="str">
        <f>"18312026848"</f>
        <v>18312026848</v>
      </c>
      <c r="C25845" t="str">
        <f>"450923199312285673"</f>
        <v>450923199312285673</v>
      </c>
      <c r="D25845" t="s">
        <v>1</v>
      </c>
      <c r="E25845" t="s">
        <v>1</v>
      </c>
      <c r="F25845" t="s">
        <v>0</v>
      </c>
      <c r="G25845" t="str">
        <f>"2018-10-05 19:03:39"</f>
        <v>2018-10-05 19:03:39</v>
      </c>
    </row>
    <row r="25846" spans="1:7" x14ac:dyDescent="0.2">
      <c r="A25846" t="s">
        <v>1</v>
      </c>
      <c r="B25846" t="str">
        <f>"13573976022"</f>
        <v>13573976022</v>
      </c>
      <c r="C25846" t="s">
        <v>1</v>
      </c>
      <c r="D25846" t="s">
        <v>1</v>
      </c>
      <c r="E25846" t="s">
        <v>1</v>
      </c>
      <c r="F25846" t="s">
        <v>0</v>
      </c>
      <c r="G25846" t="str">
        <f>"2018-10-05 19:03:04"</f>
        <v>2018-10-05 19:03:04</v>
      </c>
    </row>
    <row r="25847" spans="1:7" x14ac:dyDescent="0.2">
      <c r="A25847" t="s">
        <v>23783</v>
      </c>
      <c r="B25847" t="str">
        <f>"13952963599"</f>
        <v>13952963599</v>
      </c>
      <c r="C25847" t="str">
        <f>"321123197807234535"</f>
        <v>321123197807234535</v>
      </c>
      <c r="D25847" t="s">
        <v>1</v>
      </c>
      <c r="E25847" t="s">
        <v>1</v>
      </c>
      <c r="F25847" t="s">
        <v>0</v>
      </c>
      <c r="G25847" t="str">
        <f>"2018-10-05 19:03:46"</f>
        <v>2018-10-05 19:03:46</v>
      </c>
    </row>
    <row r="25848" spans="1:7" x14ac:dyDescent="0.2">
      <c r="A25848" t="s">
        <v>23784</v>
      </c>
      <c r="B25848" t="str">
        <f>"13571002278"</f>
        <v>13571002278</v>
      </c>
      <c r="C25848" t="str">
        <f>"610402198507261192"</f>
        <v>610402198507261192</v>
      </c>
      <c r="D25848" t="s">
        <v>1</v>
      </c>
      <c r="E25848" t="s">
        <v>1</v>
      </c>
      <c r="F25848" t="s">
        <v>0</v>
      </c>
      <c r="G25848" t="str">
        <f>"2018-10-05 19:04:08"</f>
        <v>2018-10-05 19:04:08</v>
      </c>
    </row>
    <row r="25849" spans="1:7" x14ac:dyDescent="0.2">
      <c r="A25849" t="s">
        <v>23785</v>
      </c>
      <c r="B25849" t="str">
        <f>"15675597132"</f>
        <v>15675597132</v>
      </c>
      <c r="C25849" t="str">
        <f>"330724199510137135"</f>
        <v>330724199510137135</v>
      </c>
      <c r="D25849" t="s">
        <v>1</v>
      </c>
      <c r="E25849" t="s">
        <v>1</v>
      </c>
      <c r="F25849" t="s">
        <v>0</v>
      </c>
      <c r="G25849" t="str">
        <f>"2018-10-05 19:02:00"</f>
        <v>2018-10-05 19:02:00</v>
      </c>
    </row>
    <row r="25850" spans="1:7" x14ac:dyDescent="0.2">
      <c r="A25850" t="s">
        <v>23786</v>
      </c>
      <c r="B25850" t="str">
        <f>"17315654913"</f>
        <v>17315654913</v>
      </c>
      <c r="C25850" t="str">
        <f>"320281199612133512"</f>
        <v>320281199612133512</v>
      </c>
      <c r="D25850" t="s">
        <v>1</v>
      </c>
      <c r="E25850" t="s">
        <v>1</v>
      </c>
      <c r="F25850" t="s">
        <v>0</v>
      </c>
      <c r="G25850" t="str">
        <f>"2018-10-05 19:02:02"</f>
        <v>2018-10-05 19:02:02</v>
      </c>
    </row>
    <row r="25851" spans="1:7" x14ac:dyDescent="0.2">
      <c r="A25851" t="s">
        <v>23787</v>
      </c>
      <c r="B25851" t="str">
        <f>"18023999707"</f>
        <v>18023999707</v>
      </c>
      <c r="C25851" t="str">
        <f>"440981197908217279"</f>
        <v>440981197908217279</v>
      </c>
      <c r="D25851" t="s">
        <v>1</v>
      </c>
      <c r="E25851" t="s">
        <v>1</v>
      </c>
      <c r="F25851" t="s">
        <v>0</v>
      </c>
      <c r="G25851" t="str">
        <f>"2018-10-05 19:06:28"</f>
        <v>2018-10-05 19:06:28</v>
      </c>
    </row>
    <row r="25852" spans="1:7" x14ac:dyDescent="0.2">
      <c r="A25852" t="s">
        <v>1</v>
      </c>
      <c r="B25852" t="str">
        <f>"13573777465"</f>
        <v>13573777465</v>
      </c>
      <c r="C25852" t="s">
        <v>1</v>
      </c>
      <c r="D25852" t="s">
        <v>1</v>
      </c>
      <c r="E25852" t="s">
        <v>1</v>
      </c>
      <c r="F25852" t="s">
        <v>0</v>
      </c>
      <c r="G25852" t="str">
        <f>"2018-10-05 19:00:22"</f>
        <v>2018-10-05 19:00:22</v>
      </c>
    </row>
    <row r="25853" spans="1:7" x14ac:dyDescent="0.2">
      <c r="A25853" t="s">
        <v>23788</v>
      </c>
      <c r="B25853" t="str">
        <f>"15123302386"</f>
        <v>15123302386</v>
      </c>
      <c r="C25853" t="str">
        <f>"500222199304099168"</f>
        <v>500222199304099168</v>
      </c>
      <c r="D25853" t="s">
        <v>1</v>
      </c>
      <c r="E25853" t="s">
        <v>1</v>
      </c>
      <c r="F25853" t="s">
        <v>0</v>
      </c>
      <c r="G25853" t="str">
        <f>"2018-10-05 19:01:34"</f>
        <v>2018-10-05 19:01:34</v>
      </c>
    </row>
    <row r="25854" spans="1:7" x14ac:dyDescent="0.2">
      <c r="A25854" t="s">
        <v>1</v>
      </c>
      <c r="B25854" t="str">
        <f>"15820702526"</f>
        <v>15820702526</v>
      </c>
      <c r="C25854" t="s">
        <v>1</v>
      </c>
      <c r="D25854" t="s">
        <v>1</v>
      </c>
      <c r="E25854" t="s">
        <v>1</v>
      </c>
      <c r="F25854" t="s">
        <v>0</v>
      </c>
      <c r="G25854" t="str">
        <f>"2018-10-05 18:58:27"</f>
        <v>2018-10-05 18:58:27</v>
      </c>
    </row>
    <row r="25855" spans="1:7" x14ac:dyDescent="0.2">
      <c r="A25855" t="s">
        <v>162</v>
      </c>
      <c r="B25855" t="str">
        <f>"18854022359"</f>
        <v>18854022359</v>
      </c>
      <c r="C25855" t="str">
        <f>"372922199104084792"</f>
        <v>372922199104084792</v>
      </c>
      <c r="D25855" t="s">
        <v>1</v>
      </c>
      <c r="E25855" t="s">
        <v>1</v>
      </c>
      <c r="F25855" t="s">
        <v>0</v>
      </c>
      <c r="G25855" t="str">
        <f>"2018-10-06 10:40:41"</f>
        <v>2018-10-06 10:40:41</v>
      </c>
    </row>
    <row r="25856" spans="1:7" x14ac:dyDescent="0.2">
      <c r="A25856" t="s">
        <v>1</v>
      </c>
      <c r="B25856" t="str">
        <f>"15676547964"</f>
        <v>15676547964</v>
      </c>
      <c r="C25856" t="s">
        <v>1</v>
      </c>
      <c r="D25856" t="s">
        <v>1</v>
      </c>
      <c r="E25856" t="s">
        <v>1</v>
      </c>
      <c r="F25856" t="s">
        <v>0</v>
      </c>
      <c r="G25856" t="str">
        <f>"2018-10-05 18:57:47"</f>
        <v>2018-10-05 18:57:47</v>
      </c>
    </row>
    <row r="25857" spans="1:7" x14ac:dyDescent="0.2">
      <c r="A25857" t="s">
        <v>1</v>
      </c>
      <c r="B25857" t="str">
        <f>"13333927117"</f>
        <v>13333927117</v>
      </c>
      <c r="C25857" t="s">
        <v>1</v>
      </c>
      <c r="D25857" t="s">
        <v>1</v>
      </c>
      <c r="E25857" t="s">
        <v>1</v>
      </c>
      <c r="F25857" t="s">
        <v>0</v>
      </c>
      <c r="G25857" t="str">
        <f>"2018-10-05 18:56:06"</f>
        <v>2018-10-05 18:56:06</v>
      </c>
    </row>
    <row r="25858" spans="1:7" x14ac:dyDescent="0.2">
      <c r="A25858" t="s">
        <v>23789</v>
      </c>
      <c r="B25858" t="str">
        <f>"18729202698"</f>
        <v>18729202698</v>
      </c>
      <c r="C25858" t="str">
        <f>"610524199112230023"</f>
        <v>610524199112230023</v>
      </c>
      <c r="D25858" t="s">
        <v>1</v>
      </c>
      <c r="E25858" t="s">
        <v>1</v>
      </c>
      <c r="F25858" t="s">
        <v>0</v>
      </c>
      <c r="G25858" t="str">
        <f>"2018-10-06 10:19:04"</f>
        <v>2018-10-06 10:19:04</v>
      </c>
    </row>
    <row r="25859" spans="1:7" x14ac:dyDescent="0.2">
      <c r="A25859" t="s">
        <v>23790</v>
      </c>
      <c r="B25859" t="str">
        <f>"13718818677"</f>
        <v>13718818677</v>
      </c>
      <c r="C25859" t="str">
        <f>"130722198711223027"</f>
        <v>130722198711223027</v>
      </c>
      <c r="D25859" t="s">
        <v>23791</v>
      </c>
      <c r="E25859" t="s">
        <v>23792</v>
      </c>
      <c r="F25859" t="s">
        <v>0</v>
      </c>
      <c r="G25859" t="str">
        <f>"2018-11-03 20:39:29"</f>
        <v>2018-11-03 20:39:29</v>
      </c>
    </row>
    <row r="25860" spans="1:7" x14ac:dyDescent="0.2">
      <c r="A25860" t="s">
        <v>23793</v>
      </c>
      <c r="B25860" t="str">
        <f>"13769193390"</f>
        <v>13769193390</v>
      </c>
      <c r="C25860" t="str">
        <f>"532124198811131513"</f>
        <v>532124198811131513</v>
      </c>
      <c r="D25860" t="s">
        <v>1</v>
      </c>
      <c r="E25860" t="s">
        <v>1</v>
      </c>
      <c r="F25860" t="s">
        <v>0</v>
      </c>
      <c r="G25860" t="str">
        <f>"2018-10-05 18:55:28"</f>
        <v>2018-10-05 18:55:28</v>
      </c>
    </row>
    <row r="25861" spans="1:7" x14ac:dyDescent="0.2">
      <c r="A25861" t="s">
        <v>1</v>
      </c>
      <c r="B25861" t="str">
        <f>"15290194916"</f>
        <v>15290194916</v>
      </c>
      <c r="C25861" t="s">
        <v>1</v>
      </c>
      <c r="D25861" t="s">
        <v>1</v>
      </c>
      <c r="E25861" t="s">
        <v>1</v>
      </c>
      <c r="F25861" t="s">
        <v>0</v>
      </c>
      <c r="G25861" t="str">
        <f>"2018-10-05 18:51:38"</f>
        <v>2018-10-05 18:51:38</v>
      </c>
    </row>
    <row r="25862" spans="1:7" x14ac:dyDescent="0.2">
      <c r="A25862" t="s">
        <v>23794</v>
      </c>
      <c r="B25862" t="str">
        <f>"15906752681"</f>
        <v>15906752681</v>
      </c>
      <c r="C25862" t="str">
        <f>"330681199804183884"</f>
        <v>330681199804183884</v>
      </c>
      <c r="D25862" t="s">
        <v>1</v>
      </c>
      <c r="E25862" t="s">
        <v>1</v>
      </c>
      <c r="F25862" t="s">
        <v>0</v>
      </c>
      <c r="G25862" t="str">
        <f>"2018-10-05 18:51:33"</f>
        <v>2018-10-05 18:51:33</v>
      </c>
    </row>
    <row r="25863" spans="1:7" x14ac:dyDescent="0.2">
      <c r="A25863" t="s">
        <v>23795</v>
      </c>
      <c r="B25863" t="str">
        <f>"13777929497"</f>
        <v>13777929497</v>
      </c>
      <c r="C25863" t="str">
        <f>"330782199502176218"</f>
        <v>330782199502176218</v>
      </c>
      <c r="D25863" t="s">
        <v>1</v>
      </c>
      <c r="E25863" t="s">
        <v>1</v>
      </c>
      <c r="F25863" t="s">
        <v>0</v>
      </c>
      <c r="G25863" t="str">
        <f>"2018-10-05 18:49:03"</f>
        <v>2018-10-05 18:49:03</v>
      </c>
    </row>
    <row r="25864" spans="1:7" x14ac:dyDescent="0.2">
      <c r="A25864" t="s">
        <v>23796</v>
      </c>
      <c r="B25864" t="str">
        <f>"15730591095"</f>
        <v>15730591095</v>
      </c>
      <c r="C25864" t="str">
        <f>"500234199810050848"</f>
        <v>500234199810050848</v>
      </c>
      <c r="D25864" t="s">
        <v>1</v>
      </c>
      <c r="E25864" t="s">
        <v>1</v>
      </c>
      <c r="F25864" t="s">
        <v>0</v>
      </c>
      <c r="G25864" t="str">
        <f>"2018-10-05 19:03:51"</f>
        <v>2018-10-05 19:03:51</v>
      </c>
    </row>
    <row r="25865" spans="1:7" x14ac:dyDescent="0.2">
      <c r="A25865" t="s">
        <v>23797</v>
      </c>
      <c r="B25865" t="str">
        <f>"17687127261"</f>
        <v>17687127261</v>
      </c>
      <c r="C25865" t="str">
        <f>"530102198806031120"</f>
        <v>530102198806031120</v>
      </c>
      <c r="D25865" t="s">
        <v>1</v>
      </c>
      <c r="E25865" t="s">
        <v>1</v>
      </c>
      <c r="F25865" t="s">
        <v>0</v>
      </c>
      <c r="G25865" t="str">
        <f>"2018-10-05 18:49:02"</f>
        <v>2018-10-05 18:49:02</v>
      </c>
    </row>
    <row r="25866" spans="1:7" x14ac:dyDescent="0.2">
      <c r="A25866" t="s">
        <v>1</v>
      </c>
      <c r="B25866" t="str">
        <f>"13143331380"</f>
        <v>13143331380</v>
      </c>
      <c r="C25866" t="s">
        <v>1</v>
      </c>
      <c r="D25866" t="s">
        <v>1</v>
      </c>
      <c r="E25866" t="s">
        <v>1</v>
      </c>
      <c r="F25866" t="s">
        <v>0</v>
      </c>
      <c r="G25866" t="str">
        <f>"2018-10-05 18:47:05"</f>
        <v>2018-10-05 18:47:05</v>
      </c>
    </row>
    <row r="25867" spans="1:7" x14ac:dyDescent="0.2">
      <c r="A25867" t="s">
        <v>889</v>
      </c>
      <c r="B25867" t="str">
        <f>"13780653101"</f>
        <v>13780653101</v>
      </c>
      <c r="C25867" t="str">
        <f>"370284198805244319"</f>
        <v>370284198805244319</v>
      </c>
      <c r="D25867" t="s">
        <v>1</v>
      </c>
      <c r="E25867" t="s">
        <v>1</v>
      </c>
      <c r="F25867" t="s">
        <v>0</v>
      </c>
      <c r="G25867" t="str">
        <f>"2018-10-05 18:49:04"</f>
        <v>2018-10-05 18:49:04</v>
      </c>
    </row>
    <row r="25868" spans="1:7" x14ac:dyDescent="0.2">
      <c r="A25868" t="s">
        <v>23798</v>
      </c>
      <c r="B25868" t="str">
        <f>"18681604505"</f>
        <v>18681604505</v>
      </c>
      <c r="C25868" t="str">
        <f>"510781198908206037"</f>
        <v>510781198908206037</v>
      </c>
      <c r="D25868" t="s">
        <v>1</v>
      </c>
      <c r="E25868" t="s">
        <v>1</v>
      </c>
      <c r="F25868" t="s">
        <v>0</v>
      </c>
      <c r="G25868" t="str">
        <f>"2018-10-05 18:46:45"</f>
        <v>2018-10-05 18:46:45</v>
      </c>
    </row>
    <row r="25869" spans="1:7" x14ac:dyDescent="0.2">
      <c r="A25869" t="s">
        <v>23799</v>
      </c>
      <c r="B25869" t="str">
        <f>"15285193938"</f>
        <v>15285193938</v>
      </c>
      <c r="C25869" t="str">
        <f>"522424199006293236"</f>
        <v>522424199006293236</v>
      </c>
      <c r="D25869" t="s">
        <v>1</v>
      </c>
      <c r="E25869" t="s">
        <v>1</v>
      </c>
      <c r="F25869" t="s">
        <v>0</v>
      </c>
      <c r="G25869" t="str">
        <f>"2018-10-05 18:47:13"</f>
        <v>2018-10-05 18:47:13</v>
      </c>
    </row>
    <row r="25870" spans="1:7" x14ac:dyDescent="0.2">
      <c r="A25870" t="s">
        <v>23800</v>
      </c>
      <c r="B25870" t="str">
        <f>"18268130140"</f>
        <v>18268130140</v>
      </c>
      <c r="C25870" t="str">
        <f>"341021199112151930"</f>
        <v>341021199112151930</v>
      </c>
      <c r="D25870" t="s">
        <v>1</v>
      </c>
      <c r="E25870" t="s">
        <v>1</v>
      </c>
      <c r="F25870" t="s">
        <v>0</v>
      </c>
      <c r="G25870" t="str">
        <f>"2018-10-05 19:39:19"</f>
        <v>2018-10-05 19:39:19</v>
      </c>
    </row>
    <row r="25871" spans="1:7" x14ac:dyDescent="0.2">
      <c r="A25871" t="s">
        <v>1633</v>
      </c>
      <c r="B25871" t="str">
        <f>"17671806828"</f>
        <v>17671806828</v>
      </c>
      <c r="C25871" t="str">
        <f>"420321199408280075"</f>
        <v>420321199408280075</v>
      </c>
      <c r="D25871" t="s">
        <v>1</v>
      </c>
      <c r="E25871" t="s">
        <v>1</v>
      </c>
      <c r="F25871" t="s">
        <v>0</v>
      </c>
      <c r="G25871" t="str">
        <f>"2018-10-06 09:13:49"</f>
        <v>2018-10-06 09:13:49</v>
      </c>
    </row>
    <row r="25872" spans="1:7" x14ac:dyDescent="0.2">
      <c r="A25872" t="s">
        <v>23801</v>
      </c>
      <c r="B25872" t="str">
        <f>"18211424825"</f>
        <v>18211424825</v>
      </c>
      <c r="C25872" t="str">
        <f>"445281199503054446"</f>
        <v>445281199503054446</v>
      </c>
      <c r="D25872" t="s">
        <v>1</v>
      </c>
      <c r="E25872" t="s">
        <v>1</v>
      </c>
      <c r="F25872" t="s">
        <v>0</v>
      </c>
      <c r="G25872" t="str">
        <f>"2018-10-05 19:02:14"</f>
        <v>2018-10-05 19:02:14</v>
      </c>
    </row>
    <row r="25873" spans="1:7" x14ac:dyDescent="0.2">
      <c r="A25873" t="s">
        <v>23802</v>
      </c>
      <c r="B25873" t="str">
        <f>"13962070755"</f>
        <v>13962070755</v>
      </c>
      <c r="C25873" t="str">
        <f>"320921197907079130"</f>
        <v>320921197907079130</v>
      </c>
      <c r="D25873" t="s">
        <v>1</v>
      </c>
      <c r="E25873" t="s">
        <v>1</v>
      </c>
      <c r="F25873" t="s">
        <v>0</v>
      </c>
      <c r="G25873" t="str">
        <f>"2018-10-05 18:46:29"</f>
        <v>2018-10-05 18:46:29</v>
      </c>
    </row>
    <row r="25874" spans="1:7" x14ac:dyDescent="0.2">
      <c r="A25874" t="s">
        <v>1</v>
      </c>
      <c r="B25874" t="str">
        <f>"13960904291"</f>
        <v>13960904291</v>
      </c>
      <c r="C25874" t="s">
        <v>1</v>
      </c>
      <c r="D25874" t="s">
        <v>1</v>
      </c>
      <c r="E25874" t="s">
        <v>1</v>
      </c>
      <c r="F25874" t="s">
        <v>0</v>
      </c>
      <c r="G25874" t="str">
        <f>"2018-10-05 18:43:32"</f>
        <v>2018-10-05 18:43:32</v>
      </c>
    </row>
    <row r="25875" spans="1:7" x14ac:dyDescent="0.2">
      <c r="A25875" t="s">
        <v>23803</v>
      </c>
      <c r="B25875" t="str">
        <f>"17794038499"</f>
        <v>17794038499</v>
      </c>
      <c r="C25875" t="str">
        <f>"612328198810161223"</f>
        <v>612328198810161223</v>
      </c>
      <c r="D25875" t="s">
        <v>1</v>
      </c>
      <c r="E25875" t="s">
        <v>1</v>
      </c>
      <c r="F25875" t="s">
        <v>0</v>
      </c>
      <c r="G25875" t="str">
        <f>"2018-10-05 18:36:29"</f>
        <v>2018-10-05 18:36:29</v>
      </c>
    </row>
    <row r="25876" spans="1:7" x14ac:dyDescent="0.2">
      <c r="A25876" t="s">
        <v>23804</v>
      </c>
      <c r="B25876" t="str">
        <f>"15295744374"</f>
        <v>15295744374</v>
      </c>
      <c r="C25876" t="str">
        <f>"341122199607081614"</f>
        <v>341122199607081614</v>
      </c>
      <c r="D25876" t="s">
        <v>23805</v>
      </c>
      <c r="E25876" t="s">
        <v>23806</v>
      </c>
      <c r="F25876" t="s">
        <v>0</v>
      </c>
      <c r="G25876" t="str">
        <f>"2018-10-05 18:37:12"</f>
        <v>2018-10-05 18:37:12</v>
      </c>
    </row>
    <row r="25877" spans="1:7" x14ac:dyDescent="0.2">
      <c r="A25877" t="s">
        <v>1</v>
      </c>
      <c r="B25877" t="str">
        <f>"18351942837"</f>
        <v>18351942837</v>
      </c>
      <c r="C25877" t="s">
        <v>1</v>
      </c>
      <c r="D25877" t="s">
        <v>1</v>
      </c>
      <c r="E25877" t="s">
        <v>1</v>
      </c>
      <c r="F25877" t="s">
        <v>0</v>
      </c>
      <c r="G25877" t="str">
        <f>"2018-10-05 18:34:13"</f>
        <v>2018-10-05 18:34:13</v>
      </c>
    </row>
    <row r="25878" spans="1:7" x14ac:dyDescent="0.2">
      <c r="A25878" t="s">
        <v>23807</v>
      </c>
      <c r="B25878" t="str">
        <f>"15136466065"</f>
        <v>15136466065</v>
      </c>
      <c r="C25878" t="str">
        <f>"413026199008014831"</f>
        <v>413026199008014831</v>
      </c>
      <c r="D25878" t="s">
        <v>1</v>
      </c>
      <c r="E25878" t="s">
        <v>1</v>
      </c>
      <c r="F25878" t="s">
        <v>0</v>
      </c>
      <c r="G25878" t="str">
        <f>"2018-10-05 18:49:22"</f>
        <v>2018-10-05 18:49:22</v>
      </c>
    </row>
    <row r="25879" spans="1:7" x14ac:dyDescent="0.2">
      <c r="A25879" t="s">
        <v>96</v>
      </c>
      <c r="B25879" t="str">
        <f>"18665984012"</f>
        <v>18665984012</v>
      </c>
      <c r="C25879" t="str">
        <f>"510525199210245619"</f>
        <v>510525199210245619</v>
      </c>
      <c r="D25879" t="s">
        <v>1</v>
      </c>
      <c r="E25879" t="s">
        <v>1</v>
      </c>
      <c r="F25879" t="s">
        <v>0</v>
      </c>
      <c r="G25879" t="str">
        <f>"2018-10-05 18:31:53"</f>
        <v>2018-10-05 18:31:53</v>
      </c>
    </row>
    <row r="25880" spans="1:7" x14ac:dyDescent="0.2">
      <c r="A25880" t="s">
        <v>23808</v>
      </c>
      <c r="B25880" t="str">
        <f>"15186208994"</f>
        <v>15186208994</v>
      </c>
      <c r="C25880" t="str">
        <f>"520202199007107211"</f>
        <v>520202199007107211</v>
      </c>
      <c r="D25880" t="s">
        <v>1</v>
      </c>
      <c r="E25880" t="s">
        <v>1</v>
      </c>
      <c r="F25880" t="s">
        <v>0</v>
      </c>
      <c r="G25880" t="str">
        <f>"2018-10-05 18:33:11"</f>
        <v>2018-10-05 18:33:11</v>
      </c>
    </row>
    <row r="25881" spans="1:7" x14ac:dyDescent="0.2">
      <c r="A25881" t="s">
        <v>23809</v>
      </c>
      <c r="B25881" t="str">
        <f>"15283887207"</f>
        <v>15283887207</v>
      </c>
      <c r="C25881" t="str">
        <f>"513823199305072817"</f>
        <v>513823199305072817</v>
      </c>
      <c r="D25881" t="s">
        <v>23810</v>
      </c>
      <c r="E25881" t="s">
        <v>23811</v>
      </c>
      <c r="F25881" t="s">
        <v>0</v>
      </c>
      <c r="G25881" t="str">
        <f>"2018-10-05 18:31:37"</f>
        <v>2018-10-05 18:31:37</v>
      </c>
    </row>
    <row r="25882" spans="1:7" x14ac:dyDescent="0.2">
      <c r="A25882" t="s">
        <v>23812</v>
      </c>
      <c r="B25882" t="str">
        <f>"15950587122"</f>
        <v>15950587122</v>
      </c>
      <c r="C25882" t="str">
        <f>"341122198511082810"</f>
        <v>341122198511082810</v>
      </c>
      <c r="D25882" t="s">
        <v>1</v>
      </c>
      <c r="E25882" t="s">
        <v>1</v>
      </c>
      <c r="F25882" t="s">
        <v>0</v>
      </c>
      <c r="G25882" t="str">
        <f>"2018-10-05 18:29:45"</f>
        <v>2018-10-05 18:29:45</v>
      </c>
    </row>
    <row r="25883" spans="1:7" x14ac:dyDescent="0.2">
      <c r="A25883" t="s">
        <v>1</v>
      </c>
      <c r="B25883" t="str">
        <f>"17775196712"</f>
        <v>17775196712</v>
      </c>
      <c r="C25883" t="s">
        <v>1</v>
      </c>
      <c r="D25883" t="s">
        <v>1</v>
      </c>
      <c r="E25883" t="s">
        <v>1</v>
      </c>
      <c r="F25883" t="s">
        <v>0</v>
      </c>
      <c r="G25883" t="str">
        <f>"2018-10-05 18:26:25"</f>
        <v>2018-10-05 18:26:25</v>
      </c>
    </row>
    <row r="25884" spans="1:7" x14ac:dyDescent="0.2">
      <c r="A25884" t="s">
        <v>23813</v>
      </c>
      <c r="B25884" t="str">
        <f>"18687815654"</f>
        <v>18687815654</v>
      </c>
      <c r="C25884" t="str">
        <f>"53011119920713441X"</f>
        <v>53011119920713441X</v>
      </c>
      <c r="D25884" t="s">
        <v>1</v>
      </c>
      <c r="E25884" t="s">
        <v>1</v>
      </c>
      <c r="F25884" t="s">
        <v>0</v>
      </c>
      <c r="G25884" t="str">
        <f>"2018-10-05 18:28:24"</f>
        <v>2018-10-05 18:28:24</v>
      </c>
    </row>
    <row r="25885" spans="1:7" x14ac:dyDescent="0.2">
      <c r="A25885" t="s">
        <v>23814</v>
      </c>
      <c r="B25885" t="str">
        <f>"13735820769"</f>
        <v>13735820769</v>
      </c>
      <c r="C25885" t="str">
        <f>"330327199703250211"</f>
        <v>330327199703250211</v>
      </c>
      <c r="D25885" t="s">
        <v>1</v>
      </c>
      <c r="E25885" t="s">
        <v>1</v>
      </c>
      <c r="F25885" t="s">
        <v>0</v>
      </c>
      <c r="G25885" t="str">
        <f>"2018-10-05 18:26:08"</f>
        <v>2018-10-05 18:26:08</v>
      </c>
    </row>
    <row r="25886" spans="1:7" x14ac:dyDescent="0.2">
      <c r="A25886" t="s">
        <v>23815</v>
      </c>
      <c r="B25886" t="str">
        <f>"18318029722"</f>
        <v>18318029722</v>
      </c>
      <c r="C25886" t="str">
        <f>"445281199311091314"</f>
        <v>445281199311091314</v>
      </c>
      <c r="D25886" t="s">
        <v>1</v>
      </c>
      <c r="E25886" t="s">
        <v>1</v>
      </c>
      <c r="F25886" t="s">
        <v>0</v>
      </c>
      <c r="G25886" t="str">
        <f>"2018-10-05 18:28:19"</f>
        <v>2018-10-05 18:28:19</v>
      </c>
    </row>
    <row r="25887" spans="1:7" x14ac:dyDescent="0.2">
      <c r="A25887" t="s">
        <v>23816</v>
      </c>
      <c r="B25887" t="str">
        <f>"18074580217"</f>
        <v>18074580217</v>
      </c>
      <c r="C25887" t="str">
        <f>"431222199706010034"</f>
        <v>431222199706010034</v>
      </c>
      <c r="D25887" t="s">
        <v>1</v>
      </c>
      <c r="E25887" t="s">
        <v>1</v>
      </c>
      <c r="F25887" t="s">
        <v>0</v>
      </c>
      <c r="G25887" t="str">
        <f>"2018-10-06 03:21:23"</f>
        <v>2018-10-06 03:21:23</v>
      </c>
    </row>
    <row r="25888" spans="1:7" x14ac:dyDescent="0.2">
      <c r="A25888" t="s">
        <v>1</v>
      </c>
      <c r="B25888" t="str">
        <f>"15605513612"</f>
        <v>15605513612</v>
      </c>
      <c r="C25888" t="s">
        <v>1</v>
      </c>
      <c r="D25888" t="s">
        <v>1</v>
      </c>
      <c r="E25888" t="s">
        <v>1</v>
      </c>
      <c r="F25888" t="s">
        <v>0</v>
      </c>
      <c r="G25888" t="str">
        <f>"2018-10-05 18:24:06"</f>
        <v>2018-10-05 18:24:06</v>
      </c>
    </row>
    <row r="25889" spans="1:7" x14ac:dyDescent="0.2">
      <c r="A25889" t="s">
        <v>23817</v>
      </c>
      <c r="B25889" t="str">
        <f>"17688892516"</f>
        <v>17688892516</v>
      </c>
      <c r="C25889" t="str">
        <f>"441721198904014536"</f>
        <v>441721198904014536</v>
      </c>
      <c r="D25889" t="s">
        <v>1</v>
      </c>
      <c r="E25889" t="s">
        <v>1</v>
      </c>
      <c r="F25889" t="s">
        <v>0</v>
      </c>
      <c r="G25889" t="str">
        <f>"2018-10-05 18:25:21"</f>
        <v>2018-10-05 18:25:21</v>
      </c>
    </row>
    <row r="25890" spans="1:7" x14ac:dyDescent="0.2">
      <c r="A25890" t="s">
        <v>23818</v>
      </c>
      <c r="B25890" t="str">
        <f>"15196610385"</f>
        <v>15196610385</v>
      </c>
      <c r="C25890" t="str">
        <f>"513002199603044755"</f>
        <v>513002199603044755</v>
      </c>
      <c r="D25890" t="s">
        <v>23819</v>
      </c>
      <c r="E25890" t="s">
        <v>23820</v>
      </c>
      <c r="F25890" t="s">
        <v>0</v>
      </c>
      <c r="G25890" t="str">
        <f>"2018-10-05 18:28:43"</f>
        <v>2018-10-05 18:28:43</v>
      </c>
    </row>
    <row r="25891" spans="1:7" x14ac:dyDescent="0.2">
      <c r="A25891" t="s">
        <v>1</v>
      </c>
      <c r="B25891" t="str">
        <f>"13049972449"</f>
        <v>13049972449</v>
      </c>
      <c r="C25891" t="s">
        <v>1</v>
      </c>
      <c r="D25891" t="s">
        <v>1</v>
      </c>
      <c r="E25891" t="s">
        <v>1</v>
      </c>
      <c r="F25891" t="s">
        <v>0</v>
      </c>
      <c r="G25891" t="str">
        <f>"2018-10-05 18:22:46"</f>
        <v>2018-10-05 18:22:46</v>
      </c>
    </row>
    <row r="25892" spans="1:7" x14ac:dyDescent="0.2">
      <c r="A25892" t="s">
        <v>23821</v>
      </c>
      <c r="B25892" t="str">
        <f>"18802704590"</f>
        <v>18802704590</v>
      </c>
      <c r="C25892" t="str">
        <f>"420983198105079419"</f>
        <v>420983198105079419</v>
      </c>
      <c r="D25892" t="s">
        <v>23822</v>
      </c>
      <c r="E25892" t="s">
        <v>23823</v>
      </c>
      <c r="F25892" t="s">
        <v>0</v>
      </c>
      <c r="G25892" t="str">
        <f>"2018-10-05 18:22:56"</f>
        <v>2018-10-05 18:22:56</v>
      </c>
    </row>
    <row r="25893" spans="1:7" x14ac:dyDescent="0.2">
      <c r="A25893" t="s">
        <v>19578</v>
      </c>
      <c r="B25893" t="str">
        <f>"18311346177"</f>
        <v>18311346177</v>
      </c>
      <c r="C25893" t="str">
        <f>"110111199708082015"</f>
        <v>110111199708082015</v>
      </c>
      <c r="D25893" t="s">
        <v>1</v>
      </c>
      <c r="E25893" t="s">
        <v>1</v>
      </c>
      <c r="F25893" t="s">
        <v>0</v>
      </c>
      <c r="G25893" t="str">
        <f>"2018-10-05 18:22:11"</f>
        <v>2018-10-05 18:22:11</v>
      </c>
    </row>
    <row r="25894" spans="1:7" x14ac:dyDescent="0.2">
      <c r="A25894" t="s">
        <v>23824</v>
      </c>
      <c r="B25894" t="str">
        <f>"18307068338"</f>
        <v>18307068338</v>
      </c>
      <c r="C25894" t="str">
        <f>"362426198708235813"</f>
        <v>362426198708235813</v>
      </c>
      <c r="D25894" t="s">
        <v>1</v>
      </c>
      <c r="E25894" t="s">
        <v>1</v>
      </c>
      <c r="F25894" t="s">
        <v>0</v>
      </c>
      <c r="G25894" t="str">
        <f>"2018-10-05 18:22:46"</f>
        <v>2018-10-05 18:22:46</v>
      </c>
    </row>
    <row r="25895" spans="1:7" x14ac:dyDescent="0.2">
      <c r="A25895" t="s">
        <v>1</v>
      </c>
      <c r="B25895" t="str">
        <f>"18395220709"</f>
        <v>18395220709</v>
      </c>
      <c r="C25895" t="s">
        <v>1</v>
      </c>
      <c r="D25895" t="s">
        <v>1</v>
      </c>
      <c r="E25895" t="s">
        <v>1</v>
      </c>
      <c r="F25895" t="s">
        <v>0</v>
      </c>
      <c r="G25895" t="str">
        <f>"2018-10-05 18:22:43"</f>
        <v>2018-10-05 18:22:43</v>
      </c>
    </row>
    <row r="25896" spans="1:7" x14ac:dyDescent="0.2">
      <c r="A25896" t="s">
        <v>1505</v>
      </c>
      <c r="B25896" t="str">
        <f>"13816313693"</f>
        <v>13816313693</v>
      </c>
      <c r="C25896" t="str">
        <f>"310227198410183218"</f>
        <v>310227198410183218</v>
      </c>
      <c r="D25896" t="s">
        <v>23825</v>
      </c>
      <c r="E25896" t="s">
        <v>23826</v>
      </c>
      <c r="F25896" t="s">
        <v>0</v>
      </c>
      <c r="G25896" t="str">
        <f>"2018-11-05 04:15:35"</f>
        <v>2018-11-05 04:15:35</v>
      </c>
    </row>
    <row r="25897" spans="1:7" x14ac:dyDescent="0.2">
      <c r="A25897" t="s">
        <v>23827</v>
      </c>
      <c r="B25897" t="str">
        <f>"18944502327"</f>
        <v>18944502327</v>
      </c>
      <c r="C25897" t="str">
        <f>"230121199304140215"</f>
        <v>230121199304140215</v>
      </c>
      <c r="D25897" t="s">
        <v>1</v>
      </c>
      <c r="E25897" t="s">
        <v>1</v>
      </c>
      <c r="F25897" t="s">
        <v>0</v>
      </c>
      <c r="G25897" t="str">
        <f>"2018-10-05 18:22:07"</f>
        <v>2018-10-05 18:22:07</v>
      </c>
    </row>
    <row r="25898" spans="1:7" x14ac:dyDescent="0.2">
      <c r="A25898" t="s">
        <v>1</v>
      </c>
      <c r="B25898" t="str">
        <f>"18185669453"</f>
        <v>18185669453</v>
      </c>
      <c r="C25898" t="s">
        <v>1</v>
      </c>
      <c r="D25898" t="s">
        <v>1</v>
      </c>
      <c r="E25898" t="s">
        <v>1</v>
      </c>
      <c r="F25898" t="s">
        <v>0</v>
      </c>
      <c r="G25898" t="str">
        <f>"2018-10-05 18:21:27"</f>
        <v>2018-10-05 18:21:27</v>
      </c>
    </row>
    <row r="25899" spans="1:7" x14ac:dyDescent="0.2">
      <c r="A25899" t="s">
        <v>1</v>
      </c>
      <c r="B25899" t="str">
        <f>"18876951763"</f>
        <v>18876951763</v>
      </c>
      <c r="C25899" t="s">
        <v>1</v>
      </c>
      <c r="D25899" t="s">
        <v>1</v>
      </c>
      <c r="E25899" t="s">
        <v>1</v>
      </c>
      <c r="F25899" t="s">
        <v>0</v>
      </c>
      <c r="G25899" t="str">
        <f>"2018-10-05 18:18:53"</f>
        <v>2018-10-05 18:18:53</v>
      </c>
    </row>
    <row r="25900" spans="1:7" x14ac:dyDescent="0.2">
      <c r="A25900" t="s">
        <v>23828</v>
      </c>
      <c r="B25900" t="str">
        <f>"15199949663"</f>
        <v>15199949663</v>
      </c>
      <c r="C25900" t="str">
        <f>"652801199602211619"</f>
        <v>652801199602211619</v>
      </c>
      <c r="D25900" t="s">
        <v>1</v>
      </c>
      <c r="E25900" t="s">
        <v>1</v>
      </c>
      <c r="F25900" t="s">
        <v>0</v>
      </c>
      <c r="G25900" t="str">
        <f>"2018-10-05 18:19:54"</f>
        <v>2018-10-05 18:19:54</v>
      </c>
    </row>
    <row r="25901" spans="1:7" x14ac:dyDescent="0.2">
      <c r="A25901" t="s">
        <v>23829</v>
      </c>
      <c r="B25901" t="str">
        <f>"13053964718"</f>
        <v>13053964718</v>
      </c>
      <c r="C25901" t="str">
        <f>"37131219840810531X"</f>
        <v>37131219840810531X</v>
      </c>
      <c r="D25901" t="s">
        <v>1</v>
      </c>
      <c r="E25901" t="s">
        <v>1</v>
      </c>
      <c r="F25901" t="s">
        <v>0</v>
      </c>
      <c r="G25901" t="str">
        <f>"2018-10-05 18:23:07"</f>
        <v>2018-10-05 18:23:07</v>
      </c>
    </row>
    <row r="25902" spans="1:7" x14ac:dyDescent="0.2">
      <c r="A25902" t="s">
        <v>23830</v>
      </c>
      <c r="B25902" t="str">
        <f>"15962023047"</f>
        <v>15962023047</v>
      </c>
      <c r="C25902" t="str">
        <f>"320925198310212015"</f>
        <v>320925198310212015</v>
      </c>
      <c r="D25902" t="s">
        <v>1</v>
      </c>
      <c r="E25902" t="s">
        <v>1</v>
      </c>
      <c r="F25902" t="s">
        <v>0</v>
      </c>
      <c r="G25902" t="str">
        <f>"2018-10-24 13:07:44"</f>
        <v>2018-10-24 13:07:44</v>
      </c>
    </row>
    <row r="25903" spans="1:7" x14ac:dyDescent="0.2">
      <c r="A25903" t="s">
        <v>23831</v>
      </c>
      <c r="B25903" t="str">
        <f>"15948378380"</f>
        <v>15948378380</v>
      </c>
      <c r="C25903" t="str">
        <f>"220106198303239029"</f>
        <v>220106198303239029</v>
      </c>
      <c r="D25903" t="s">
        <v>1</v>
      </c>
      <c r="E25903" t="s">
        <v>1</v>
      </c>
      <c r="F25903" t="s">
        <v>0</v>
      </c>
      <c r="G25903" t="str">
        <f>"2018-10-05 18:14:44"</f>
        <v>2018-10-05 18:14:44</v>
      </c>
    </row>
    <row r="25904" spans="1:7" x14ac:dyDescent="0.2">
      <c r="A25904" t="s">
        <v>23832</v>
      </c>
      <c r="B25904" t="str">
        <f>"15618050376"</f>
        <v>15618050376</v>
      </c>
      <c r="C25904" t="str">
        <f>"310115198411048025"</f>
        <v>310115198411048025</v>
      </c>
      <c r="D25904" t="s">
        <v>1</v>
      </c>
      <c r="E25904" t="s">
        <v>1</v>
      </c>
      <c r="F25904" t="s">
        <v>0</v>
      </c>
      <c r="G25904" t="str">
        <f>"2018-10-05 18:15:58"</f>
        <v>2018-10-05 18:15:58</v>
      </c>
    </row>
    <row r="25905" spans="1:7" x14ac:dyDescent="0.2">
      <c r="A25905" t="s">
        <v>1</v>
      </c>
      <c r="B25905" t="str">
        <f>"18543011503"</f>
        <v>18543011503</v>
      </c>
      <c r="C25905" t="s">
        <v>1</v>
      </c>
      <c r="D25905" t="s">
        <v>1</v>
      </c>
      <c r="E25905" t="s">
        <v>1</v>
      </c>
      <c r="F25905" t="s">
        <v>0</v>
      </c>
      <c r="G25905" t="str">
        <f>"2018-10-05 18:12:30"</f>
        <v>2018-10-05 18:12:30</v>
      </c>
    </row>
    <row r="25906" spans="1:7" x14ac:dyDescent="0.2">
      <c r="A25906" t="s">
        <v>1</v>
      </c>
      <c r="B25906" t="str">
        <f>"17749101130"</f>
        <v>17749101130</v>
      </c>
      <c r="C25906" t="s">
        <v>1</v>
      </c>
      <c r="D25906" t="s">
        <v>1</v>
      </c>
      <c r="E25906" t="s">
        <v>1</v>
      </c>
      <c r="F25906" t="s">
        <v>0</v>
      </c>
      <c r="G25906" t="str">
        <f>"2018-10-05 18:12:04"</f>
        <v>2018-10-05 18:12:04</v>
      </c>
    </row>
    <row r="25907" spans="1:7" x14ac:dyDescent="0.2">
      <c r="A25907" t="s">
        <v>23833</v>
      </c>
      <c r="B25907" t="str">
        <f>"18211436449"</f>
        <v>18211436449</v>
      </c>
      <c r="C25907" t="str">
        <f>"441702199502054223"</f>
        <v>441702199502054223</v>
      </c>
      <c r="D25907" t="s">
        <v>1</v>
      </c>
      <c r="E25907" t="s">
        <v>1</v>
      </c>
      <c r="F25907" t="s">
        <v>0</v>
      </c>
      <c r="G25907" t="str">
        <f>"2018-10-05 18:33:40"</f>
        <v>2018-10-05 18:33:40</v>
      </c>
    </row>
    <row r="25908" spans="1:7" x14ac:dyDescent="0.2">
      <c r="A25908" t="s">
        <v>1</v>
      </c>
      <c r="B25908" t="str">
        <f>"13026930400"</f>
        <v>13026930400</v>
      </c>
      <c r="C25908" t="s">
        <v>1</v>
      </c>
      <c r="D25908" t="s">
        <v>1</v>
      </c>
      <c r="E25908" t="s">
        <v>1</v>
      </c>
      <c r="F25908" t="s">
        <v>0</v>
      </c>
      <c r="G25908" t="str">
        <f>"2018-10-05 18:08:08"</f>
        <v>2018-10-05 18:08:08</v>
      </c>
    </row>
    <row r="25909" spans="1:7" x14ac:dyDescent="0.2">
      <c r="A25909" t="s">
        <v>23834</v>
      </c>
      <c r="B25909" t="str">
        <f>"13892889252"</f>
        <v>13892889252</v>
      </c>
      <c r="C25909" t="str">
        <f>"610111197701302512"</f>
        <v>610111197701302512</v>
      </c>
      <c r="D25909" t="s">
        <v>1</v>
      </c>
      <c r="E25909" t="s">
        <v>1</v>
      </c>
      <c r="F25909" t="s">
        <v>0</v>
      </c>
      <c r="G25909" t="str">
        <f>"2018-10-05 18:08:24"</f>
        <v>2018-10-05 18:08:24</v>
      </c>
    </row>
    <row r="25910" spans="1:7" x14ac:dyDescent="0.2">
      <c r="A25910" t="s">
        <v>1</v>
      </c>
      <c r="B25910" t="str">
        <f>"15578623541"</f>
        <v>15578623541</v>
      </c>
      <c r="C25910" t="s">
        <v>1</v>
      </c>
      <c r="D25910" t="s">
        <v>1</v>
      </c>
      <c r="E25910" t="s">
        <v>1</v>
      </c>
      <c r="F25910" t="s">
        <v>0</v>
      </c>
      <c r="G25910" t="str">
        <f>"2018-10-05 18:06:35"</f>
        <v>2018-10-05 18:06:35</v>
      </c>
    </row>
    <row r="25911" spans="1:7" x14ac:dyDescent="0.2">
      <c r="A25911" t="s">
        <v>1400</v>
      </c>
      <c r="B25911" t="str">
        <f>"13575044755"</f>
        <v>13575044755</v>
      </c>
      <c r="C25911" t="str">
        <f>"430681199409167917"</f>
        <v>430681199409167917</v>
      </c>
      <c r="D25911" t="s">
        <v>1</v>
      </c>
      <c r="E25911" t="s">
        <v>1</v>
      </c>
      <c r="F25911" t="s">
        <v>0</v>
      </c>
      <c r="G25911" t="str">
        <f>"2018-10-05 18:08:05"</f>
        <v>2018-10-05 18:08:05</v>
      </c>
    </row>
    <row r="25912" spans="1:7" x14ac:dyDescent="0.2">
      <c r="A25912" t="s">
        <v>23835</v>
      </c>
      <c r="B25912" t="str">
        <f>"15119160722"</f>
        <v>15119160722</v>
      </c>
      <c r="C25912" t="str">
        <f>"442000199703223791"</f>
        <v>442000199703223791</v>
      </c>
      <c r="D25912" t="s">
        <v>1</v>
      </c>
      <c r="E25912" t="s">
        <v>1</v>
      </c>
      <c r="F25912" t="s">
        <v>0</v>
      </c>
      <c r="G25912" t="str">
        <f>"2018-10-05 18:49:17"</f>
        <v>2018-10-05 18:49:17</v>
      </c>
    </row>
    <row r="25913" spans="1:7" x14ac:dyDescent="0.2">
      <c r="A25913" t="s">
        <v>23836</v>
      </c>
      <c r="B25913" t="str">
        <f>"13958243393"</f>
        <v>13958243393</v>
      </c>
      <c r="C25913" t="str">
        <f>"35012219910209463X"</f>
        <v>35012219910209463X</v>
      </c>
      <c r="D25913" t="s">
        <v>1</v>
      </c>
      <c r="E25913" t="s">
        <v>1</v>
      </c>
      <c r="F25913" t="s">
        <v>0</v>
      </c>
      <c r="G25913" t="str">
        <f>"2018-10-05 18:08:34"</f>
        <v>2018-10-05 18:08:34</v>
      </c>
    </row>
    <row r="25914" spans="1:7" x14ac:dyDescent="0.2">
      <c r="A25914" t="s">
        <v>233</v>
      </c>
      <c r="B25914" t="str">
        <f>"13105331336"</f>
        <v>13105331336</v>
      </c>
      <c r="C25914" t="str">
        <f>"370302199111093347"</f>
        <v>370302199111093347</v>
      </c>
      <c r="D25914" t="s">
        <v>1</v>
      </c>
      <c r="E25914" t="s">
        <v>1</v>
      </c>
      <c r="F25914" t="s">
        <v>0</v>
      </c>
      <c r="G25914" t="str">
        <f>"2018-10-05 18:30:19"</f>
        <v>2018-10-05 18:30:19</v>
      </c>
    </row>
    <row r="25915" spans="1:7" x14ac:dyDescent="0.2">
      <c r="A25915" t="s">
        <v>23837</v>
      </c>
      <c r="B25915" t="str">
        <f>"15047471176"</f>
        <v>15047471176</v>
      </c>
      <c r="C25915" t="str">
        <f>"152302199007200086"</f>
        <v>152302199007200086</v>
      </c>
      <c r="D25915" t="s">
        <v>1</v>
      </c>
      <c r="E25915" t="s">
        <v>1</v>
      </c>
      <c r="F25915" t="s">
        <v>0</v>
      </c>
      <c r="G25915" t="str">
        <f>"2018-10-05 18:08:31"</f>
        <v>2018-10-05 18:08:31</v>
      </c>
    </row>
    <row r="25916" spans="1:7" x14ac:dyDescent="0.2">
      <c r="A25916" t="s">
        <v>23838</v>
      </c>
      <c r="B25916" t="str">
        <f>"18362377770"</f>
        <v>18362377770</v>
      </c>
      <c r="C25916" t="str">
        <f>"321283198604121211"</f>
        <v>321283198604121211</v>
      </c>
      <c r="D25916" t="s">
        <v>1</v>
      </c>
      <c r="E25916" t="s">
        <v>1</v>
      </c>
      <c r="F25916" t="s">
        <v>0</v>
      </c>
      <c r="G25916" t="str">
        <f>"2018-10-30 10:33:56"</f>
        <v>2018-10-30 10:33:56</v>
      </c>
    </row>
    <row r="25917" spans="1:7" x14ac:dyDescent="0.2">
      <c r="A25917" t="s">
        <v>23839</v>
      </c>
      <c r="B25917" t="str">
        <f>"13885342040"</f>
        <v>13885342040</v>
      </c>
      <c r="C25917" t="str">
        <f>"522501198605111218"</f>
        <v>522501198605111218</v>
      </c>
      <c r="D25917" t="s">
        <v>1</v>
      </c>
      <c r="E25917" t="s">
        <v>1</v>
      </c>
      <c r="F25917" t="s">
        <v>0</v>
      </c>
      <c r="G25917" t="str">
        <f>"2018-10-05 18:05:36"</f>
        <v>2018-10-05 18:05:36</v>
      </c>
    </row>
    <row r="25918" spans="1:7" x14ac:dyDescent="0.2">
      <c r="A25918" t="s">
        <v>1</v>
      </c>
      <c r="B25918" t="str">
        <f>"18500893463"</f>
        <v>18500893463</v>
      </c>
      <c r="C25918" t="s">
        <v>1</v>
      </c>
      <c r="D25918" t="s">
        <v>1</v>
      </c>
      <c r="E25918" t="s">
        <v>1</v>
      </c>
      <c r="F25918" t="s">
        <v>0</v>
      </c>
      <c r="G25918" t="str">
        <f>"2018-10-05 18:06:19"</f>
        <v>2018-10-05 18:06:19</v>
      </c>
    </row>
    <row r="25919" spans="1:7" x14ac:dyDescent="0.2">
      <c r="A25919" t="s">
        <v>23840</v>
      </c>
      <c r="B25919" t="str">
        <f>"13651554994"</f>
        <v>13651554994</v>
      </c>
      <c r="C25919" t="str">
        <f>"320830199310043215"</f>
        <v>320830199310043215</v>
      </c>
      <c r="D25919" t="s">
        <v>1</v>
      </c>
      <c r="E25919" t="s">
        <v>1</v>
      </c>
      <c r="F25919" t="s">
        <v>0</v>
      </c>
      <c r="G25919" t="str">
        <f>"2018-10-06 08:05:55"</f>
        <v>2018-10-06 08:05:55</v>
      </c>
    </row>
    <row r="25920" spans="1:7" x14ac:dyDescent="0.2">
      <c r="A25920" t="s">
        <v>23841</v>
      </c>
      <c r="B25920" t="str">
        <f>"13270810668"</f>
        <v>13270810668</v>
      </c>
      <c r="C25920" t="str">
        <f>"320721199410180637"</f>
        <v>320721199410180637</v>
      </c>
      <c r="D25920" t="s">
        <v>23842</v>
      </c>
      <c r="E25920" t="s">
        <v>23843</v>
      </c>
      <c r="F25920" t="s">
        <v>0</v>
      </c>
      <c r="G25920" t="str">
        <f>"2018-10-05 18:03:31"</f>
        <v>2018-10-05 18:03:31</v>
      </c>
    </row>
    <row r="25921" spans="1:7" x14ac:dyDescent="0.2">
      <c r="A25921" t="s">
        <v>23844</v>
      </c>
      <c r="B25921" t="str">
        <f>"13763228445"</f>
        <v>13763228445</v>
      </c>
      <c r="C25921" t="str">
        <f>"43108119910529005X"</f>
        <v>43108119910529005X</v>
      </c>
      <c r="D25921" t="s">
        <v>1</v>
      </c>
      <c r="E25921" t="s">
        <v>1</v>
      </c>
      <c r="F25921" t="s">
        <v>0</v>
      </c>
      <c r="G25921" t="str">
        <f>"2018-10-05 18:05:58"</f>
        <v>2018-10-05 18:05:58</v>
      </c>
    </row>
    <row r="25922" spans="1:7" x14ac:dyDescent="0.2">
      <c r="A25922" t="s">
        <v>23845</v>
      </c>
      <c r="B25922" t="str">
        <f>"15961689293"</f>
        <v>15961689293</v>
      </c>
      <c r="C25922" t="str">
        <f>"320281199711175523"</f>
        <v>320281199711175523</v>
      </c>
      <c r="D25922" t="s">
        <v>1</v>
      </c>
      <c r="E25922" t="s">
        <v>1</v>
      </c>
      <c r="F25922" t="s">
        <v>0</v>
      </c>
      <c r="G25922" t="str">
        <f>"2018-10-05 18:00:43"</f>
        <v>2018-10-05 18:00:43</v>
      </c>
    </row>
    <row r="25923" spans="1:7" x14ac:dyDescent="0.2">
      <c r="A25923" t="s">
        <v>23846</v>
      </c>
      <c r="B25923" t="str">
        <f>"18230354006"</f>
        <v>18230354006</v>
      </c>
      <c r="C25923" t="str">
        <f>"13032419811204452X"</f>
        <v>13032419811204452X</v>
      </c>
      <c r="D25923" t="s">
        <v>1</v>
      </c>
      <c r="E25923" t="s">
        <v>1</v>
      </c>
      <c r="F25923" t="s">
        <v>0</v>
      </c>
      <c r="G25923" t="str">
        <f>"2018-10-10 12:23:49"</f>
        <v>2018-10-10 12:23:49</v>
      </c>
    </row>
    <row r="25924" spans="1:7" x14ac:dyDescent="0.2">
      <c r="A25924" t="s">
        <v>1</v>
      </c>
      <c r="B25924" t="str">
        <f>"18686682442"</f>
        <v>18686682442</v>
      </c>
      <c r="C25924" t="s">
        <v>1</v>
      </c>
      <c r="D25924" t="s">
        <v>1</v>
      </c>
      <c r="E25924" t="s">
        <v>1</v>
      </c>
      <c r="F25924" t="s">
        <v>0</v>
      </c>
      <c r="G25924" t="str">
        <f>"2018-10-05 17:58:28"</f>
        <v>2018-10-05 17:58:28</v>
      </c>
    </row>
    <row r="25925" spans="1:7" x14ac:dyDescent="0.2">
      <c r="A25925" t="s">
        <v>23847</v>
      </c>
      <c r="B25925" t="str">
        <f>"18685833184"</f>
        <v>18685833184</v>
      </c>
      <c r="C25925" t="str">
        <f>"520202198811046718"</f>
        <v>520202198811046718</v>
      </c>
      <c r="D25925" t="s">
        <v>1</v>
      </c>
      <c r="E25925" t="s">
        <v>1</v>
      </c>
      <c r="F25925" t="s">
        <v>0</v>
      </c>
      <c r="G25925" t="str">
        <f>"2018-10-05 18:02:07"</f>
        <v>2018-10-05 18:02:07</v>
      </c>
    </row>
    <row r="25926" spans="1:7" x14ac:dyDescent="0.2">
      <c r="A25926" t="s">
        <v>23848</v>
      </c>
      <c r="B25926" t="str">
        <f>"18576505968"</f>
        <v>18576505968</v>
      </c>
      <c r="C25926" t="str">
        <f>"441881199512017232"</f>
        <v>441881199512017232</v>
      </c>
      <c r="D25926" t="s">
        <v>1</v>
      </c>
      <c r="E25926" t="s">
        <v>1</v>
      </c>
      <c r="F25926" t="s">
        <v>0</v>
      </c>
      <c r="G25926" t="str">
        <f>"2018-10-05 17:58:50"</f>
        <v>2018-10-05 17:58:50</v>
      </c>
    </row>
    <row r="25927" spans="1:7" x14ac:dyDescent="0.2">
      <c r="A25927" t="s">
        <v>1</v>
      </c>
      <c r="B25927" t="str">
        <f>"15245134216"</f>
        <v>15245134216</v>
      </c>
      <c r="C25927" t="s">
        <v>1</v>
      </c>
      <c r="D25927" t="s">
        <v>1</v>
      </c>
      <c r="E25927" t="s">
        <v>1</v>
      </c>
      <c r="F25927" t="s">
        <v>0</v>
      </c>
      <c r="G25927" t="str">
        <f>"2018-10-05 17:56:32"</f>
        <v>2018-10-05 17:56:32</v>
      </c>
    </row>
    <row r="25928" spans="1:7" x14ac:dyDescent="0.2">
      <c r="A25928" t="s">
        <v>20782</v>
      </c>
      <c r="B25928" t="str">
        <f>"13778159331"</f>
        <v>13778159331</v>
      </c>
      <c r="C25928" t="str">
        <f>"510821199103055319"</f>
        <v>510821199103055319</v>
      </c>
      <c r="D25928" t="s">
        <v>1</v>
      </c>
      <c r="E25928" t="s">
        <v>1</v>
      </c>
      <c r="F25928" t="s">
        <v>0</v>
      </c>
      <c r="G25928" t="str">
        <f>"2018-10-05 17:56:00"</f>
        <v>2018-10-05 17:56:00</v>
      </c>
    </row>
    <row r="25929" spans="1:7" x14ac:dyDescent="0.2">
      <c r="A25929" t="s">
        <v>23849</v>
      </c>
      <c r="B25929" t="str">
        <f>"18734247551"</f>
        <v>18734247551</v>
      </c>
      <c r="C25929" t="str">
        <f>"140211198711021412"</f>
        <v>140211198711021412</v>
      </c>
      <c r="D25929" t="s">
        <v>1</v>
      </c>
      <c r="E25929" t="s">
        <v>1</v>
      </c>
      <c r="F25929" t="s">
        <v>0</v>
      </c>
      <c r="G25929" t="str">
        <f>"2018-10-26 12:36:32"</f>
        <v>2018-10-26 12:36:32</v>
      </c>
    </row>
    <row r="25930" spans="1:7" x14ac:dyDescent="0.2">
      <c r="A25930" t="s">
        <v>681</v>
      </c>
      <c r="B25930" t="str">
        <f>"13933868518"</f>
        <v>13933868518</v>
      </c>
      <c r="C25930" t="str">
        <f>"411325198810182377"</f>
        <v>411325198810182377</v>
      </c>
      <c r="D25930" t="s">
        <v>1</v>
      </c>
      <c r="E25930" t="s">
        <v>1</v>
      </c>
      <c r="F25930" t="s">
        <v>0</v>
      </c>
      <c r="G25930" t="str">
        <f>"2018-10-06 10:43:34"</f>
        <v>2018-10-06 10:43:34</v>
      </c>
    </row>
    <row r="25931" spans="1:7" x14ac:dyDescent="0.2">
      <c r="A25931" t="s">
        <v>23850</v>
      </c>
      <c r="B25931" t="str">
        <f>"13825758787"</f>
        <v>13825758787</v>
      </c>
      <c r="C25931" t="str">
        <f>"445224198311230351"</f>
        <v>445224198311230351</v>
      </c>
      <c r="D25931" t="s">
        <v>1</v>
      </c>
      <c r="E25931" t="s">
        <v>1</v>
      </c>
      <c r="F25931" t="s">
        <v>0</v>
      </c>
      <c r="G25931" t="str">
        <f>"2018-10-18 16:32:06"</f>
        <v>2018-10-18 16:32:06</v>
      </c>
    </row>
    <row r="25932" spans="1:7" x14ac:dyDescent="0.2">
      <c r="A25932" t="s">
        <v>23851</v>
      </c>
      <c r="B25932" t="str">
        <f>"18377912128"</f>
        <v>18377912128</v>
      </c>
      <c r="C25932" t="str">
        <f>"450512198903101025"</f>
        <v>450512198903101025</v>
      </c>
      <c r="D25932" t="s">
        <v>1</v>
      </c>
      <c r="E25932" t="s">
        <v>1</v>
      </c>
      <c r="F25932" t="s">
        <v>0</v>
      </c>
      <c r="G25932" t="str">
        <f>"2018-10-05 18:07:31"</f>
        <v>2018-10-05 18:07:31</v>
      </c>
    </row>
    <row r="25933" spans="1:7" x14ac:dyDescent="0.2">
      <c r="A25933" t="s">
        <v>23852</v>
      </c>
      <c r="B25933" t="str">
        <f>"17780136107"</f>
        <v>17780136107</v>
      </c>
      <c r="C25933" t="str">
        <f>"510322199001213055"</f>
        <v>510322199001213055</v>
      </c>
      <c r="D25933" t="s">
        <v>1</v>
      </c>
      <c r="E25933" t="s">
        <v>1</v>
      </c>
      <c r="F25933" t="s">
        <v>0</v>
      </c>
      <c r="G25933" t="str">
        <f>"2018-10-05 18:10:04"</f>
        <v>2018-10-05 18:10:04</v>
      </c>
    </row>
    <row r="25934" spans="1:7" x14ac:dyDescent="0.2">
      <c r="A25934" t="s">
        <v>23853</v>
      </c>
      <c r="B25934" t="str">
        <f>"15806255994"</f>
        <v>15806255994</v>
      </c>
      <c r="C25934" t="str">
        <f>"622627199109022416"</f>
        <v>622627199109022416</v>
      </c>
      <c r="D25934" t="s">
        <v>23854</v>
      </c>
      <c r="E25934" t="s">
        <v>23855</v>
      </c>
      <c r="F25934" t="s">
        <v>0</v>
      </c>
      <c r="G25934" t="str">
        <f>"2018-10-05 17:53:02"</f>
        <v>2018-10-05 17:53:02</v>
      </c>
    </row>
    <row r="25935" spans="1:7" x14ac:dyDescent="0.2">
      <c r="A25935" t="s">
        <v>1706</v>
      </c>
      <c r="B25935" t="str">
        <f>"15180809793"</f>
        <v>15180809793</v>
      </c>
      <c r="C25935" t="str">
        <f>"41052119910501457X"</f>
        <v>41052119910501457X</v>
      </c>
      <c r="D25935" t="s">
        <v>23856</v>
      </c>
      <c r="E25935" t="s">
        <v>23857</v>
      </c>
      <c r="F25935" t="s">
        <v>0</v>
      </c>
      <c r="G25935" t="str">
        <f>"2018-10-05 17:56:52"</f>
        <v>2018-10-05 17:56:52</v>
      </c>
    </row>
    <row r="25936" spans="1:7" x14ac:dyDescent="0.2">
      <c r="A25936" t="s">
        <v>23858</v>
      </c>
      <c r="B25936" t="str">
        <f>"18668328300"</f>
        <v>18668328300</v>
      </c>
      <c r="C25936" t="str">
        <f>"330482198709180010"</f>
        <v>330482198709180010</v>
      </c>
      <c r="D25936" t="s">
        <v>1</v>
      </c>
      <c r="E25936" t="s">
        <v>1</v>
      </c>
      <c r="F25936" t="s">
        <v>0</v>
      </c>
      <c r="G25936" t="str">
        <f>"2018-10-05 17:51:47"</f>
        <v>2018-10-05 17:51:47</v>
      </c>
    </row>
    <row r="25937" spans="1:7" x14ac:dyDescent="0.2">
      <c r="A25937" t="s">
        <v>1</v>
      </c>
      <c r="B25937" t="str">
        <f>"15527046579"</f>
        <v>15527046579</v>
      </c>
      <c r="C25937" t="s">
        <v>1</v>
      </c>
      <c r="D25937" t="s">
        <v>1</v>
      </c>
      <c r="E25937" t="s">
        <v>1</v>
      </c>
      <c r="F25937" t="s">
        <v>0</v>
      </c>
      <c r="G25937" t="str">
        <f>"2018-10-05 17:49:21"</f>
        <v>2018-10-05 17:49:21</v>
      </c>
    </row>
    <row r="25938" spans="1:7" x14ac:dyDescent="0.2">
      <c r="A25938" t="s">
        <v>23859</v>
      </c>
      <c r="B25938" t="str">
        <f>"13782772697"</f>
        <v>13782772697</v>
      </c>
      <c r="C25938" t="str">
        <f>"410821198610295028"</f>
        <v>410821198610295028</v>
      </c>
      <c r="D25938" t="s">
        <v>23860</v>
      </c>
      <c r="E25938" t="s">
        <v>23861</v>
      </c>
      <c r="F25938" t="s">
        <v>0</v>
      </c>
      <c r="G25938" t="str">
        <f>"2018-10-05 17:50:41"</f>
        <v>2018-10-05 17:50:41</v>
      </c>
    </row>
    <row r="25939" spans="1:7" x14ac:dyDescent="0.2">
      <c r="A25939" t="s">
        <v>23862</v>
      </c>
      <c r="B25939" t="str">
        <f>"13366080076"</f>
        <v>13366080076</v>
      </c>
      <c r="C25939" t="str">
        <f>"211324198407235818"</f>
        <v>211324198407235818</v>
      </c>
      <c r="D25939" t="s">
        <v>1</v>
      </c>
      <c r="E25939" t="s">
        <v>1</v>
      </c>
      <c r="F25939" t="s">
        <v>0</v>
      </c>
      <c r="G25939" t="str">
        <f>"2018-10-05 17:48:51"</f>
        <v>2018-10-05 17:48:51</v>
      </c>
    </row>
    <row r="25940" spans="1:7" x14ac:dyDescent="0.2">
      <c r="A25940" t="s">
        <v>23863</v>
      </c>
      <c r="B25940" t="str">
        <f>"15503024444"</f>
        <v>15503024444</v>
      </c>
      <c r="C25940" t="str">
        <f>"130403198204012115"</f>
        <v>130403198204012115</v>
      </c>
      <c r="D25940" t="s">
        <v>23864</v>
      </c>
      <c r="E25940" t="s">
        <v>23865</v>
      </c>
      <c r="F25940" t="s">
        <v>0</v>
      </c>
      <c r="G25940" t="str">
        <f>"2018-10-05 17:49:59"</f>
        <v>2018-10-05 17:49:59</v>
      </c>
    </row>
    <row r="25941" spans="1:7" x14ac:dyDescent="0.2">
      <c r="A25941" t="s">
        <v>1</v>
      </c>
      <c r="B25941" t="str">
        <f>"15167416256"</f>
        <v>15167416256</v>
      </c>
      <c r="C25941" t="s">
        <v>1</v>
      </c>
      <c r="D25941" t="s">
        <v>1</v>
      </c>
      <c r="E25941" t="s">
        <v>1</v>
      </c>
      <c r="F25941" t="s">
        <v>0</v>
      </c>
      <c r="G25941" t="str">
        <f>"2018-10-05 18:12:34"</f>
        <v>2018-10-05 18:12:34</v>
      </c>
    </row>
    <row r="25942" spans="1:7" x14ac:dyDescent="0.2">
      <c r="A25942" t="s">
        <v>23866</v>
      </c>
      <c r="B25942" t="str">
        <f>"13925526511"</f>
        <v>13925526511</v>
      </c>
      <c r="C25942" t="str">
        <f>"44018419810705182X"</f>
        <v>44018419810705182X</v>
      </c>
      <c r="D25942" t="s">
        <v>1</v>
      </c>
      <c r="E25942" t="s">
        <v>1</v>
      </c>
      <c r="F25942" t="s">
        <v>0</v>
      </c>
      <c r="G25942" t="str">
        <f>"2018-10-05 17:50:47"</f>
        <v>2018-10-05 17:50:47</v>
      </c>
    </row>
    <row r="25943" spans="1:7" x14ac:dyDescent="0.2">
      <c r="A25943" t="s">
        <v>23867</v>
      </c>
      <c r="B25943" t="str">
        <f>"15022507083"</f>
        <v>15022507083</v>
      </c>
      <c r="C25943" t="str">
        <f>"120225198508173423"</f>
        <v>120225198508173423</v>
      </c>
      <c r="D25943" t="s">
        <v>1</v>
      </c>
      <c r="E25943" t="s">
        <v>1</v>
      </c>
      <c r="F25943" t="s">
        <v>0</v>
      </c>
      <c r="G25943" t="str">
        <f>"2018-10-05 17:47:10"</f>
        <v>2018-10-05 17:47:10</v>
      </c>
    </row>
    <row r="25944" spans="1:7" x14ac:dyDescent="0.2">
      <c r="A25944" t="s">
        <v>1</v>
      </c>
      <c r="B25944" t="str">
        <f>"18805533937"</f>
        <v>18805533937</v>
      </c>
      <c r="C25944" t="s">
        <v>1</v>
      </c>
      <c r="D25944" t="s">
        <v>1</v>
      </c>
      <c r="E25944" t="s">
        <v>1</v>
      </c>
      <c r="F25944" t="s">
        <v>0</v>
      </c>
      <c r="G25944" t="str">
        <f>"2018-10-05 17:45:31"</f>
        <v>2018-10-05 17:45:31</v>
      </c>
    </row>
    <row r="25945" spans="1:7" x14ac:dyDescent="0.2">
      <c r="A25945" t="s">
        <v>1</v>
      </c>
      <c r="B25945" t="str">
        <f>"13518367136"</f>
        <v>13518367136</v>
      </c>
      <c r="C25945" t="s">
        <v>1</v>
      </c>
      <c r="D25945" t="s">
        <v>1</v>
      </c>
      <c r="E25945" t="s">
        <v>1</v>
      </c>
      <c r="F25945" t="s">
        <v>0</v>
      </c>
      <c r="G25945" t="str">
        <f>"2018-10-05 17:46:42"</f>
        <v>2018-10-05 17:46:42</v>
      </c>
    </row>
    <row r="25946" spans="1:7" x14ac:dyDescent="0.2">
      <c r="A25946" t="s">
        <v>366</v>
      </c>
      <c r="B25946" t="str">
        <f>"13658456774"</f>
        <v>13658456774</v>
      </c>
      <c r="C25946" t="str">
        <f>"500102199502154753"</f>
        <v>500102199502154753</v>
      </c>
      <c r="D25946" t="s">
        <v>1</v>
      </c>
      <c r="E25946" t="s">
        <v>1</v>
      </c>
      <c r="F25946" t="s">
        <v>0</v>
      </c>
      <c r="G25946" t="str">
        <f>"2018-10-05 17:45:34"</f>
        <v>2018-10-05 17:45:34</v>
      </c>
    </row>
    <row r="25947" spans="1:7" x14ac:dyDescent="0.2">
      <c r="A25947" t="s">
        <v>1</v>
      </c>
      <c r="B25947" t="str">
        <f>"13112168412"</f>
        <v>13112168412</v>
      </c>
      <c r="C25947" t="s">
        <v>1</v>
      </c>
      <c r="D25947" t="s">
        <v>1</v>
      </c>
      <c r="E25947" t="s">
        <v>1</v>
      </c>
      <c r="F25947" t="s">
        <v>0</v>
      </c>
      <c r="G25947" t="str">
        <f>"2018-10-05 17:44:01"</f>
        <v>2018-10-05 17:44:01</v>
      </c>
    </row>
    <row r="25948" spans="1:7" x14ac:dyDescent="0.2">
      <c r="A25948" t="s">
        <v>23868</v>
      </c>
      <c r="B25948" t="str">
        <f>"18356280382"</f>
        <v>18356280382</v>
      </c>
      <c r="C25948" t="str">
        <f>"341281199308010651"</f>
        <v>341281199308010651</v>
      </c>
      <c r="D25948" t="s">
        <v>1</v>
      </c>
      <c r="E25948" t="s">
        <v>1</v>
      </c>
      <c r="F25948" t="s">
        <v>0</v>
      </c>
      <c r="G25948" t="str">
        <f>"2018-10-05 17:44:06"</f>
        <v>2018-10-05 17:44:06</v>
      </c>
    </row>
    <row r="25949" spans="1:7" x14ac:dyDescent="0.2">
      <c r="A25949" t="s">
        <v>1</v>
      </c>
      <c r="B25949" t="str">
        <f>"17686489536"</f>
        <v>17686489536</v>
      </c>
      <c r="C25949" t="s">
        <v>1</v>
      </c>
      <c r="D25949" t="s">
        <v>1</v>
      </c>
      <c r="E25949" t="s">
        <v>1</v>
      </c>
      <c r="F25949" t="s">
        <v>0</v>
      </c>
      <c r="G25949" t="str">
        <f>"2018-10-05 17:43:01"</f>
        <v>2018-10-05 17:43:01</v>
      </c>
    </row>
    <row r="25950" spans="1:7" x14ac:dyDescent="0.2">
      <c r="A25950" t="s">
        <v>23869</v>
      </c>
      <c r="B25950" t="str">
        <f>"18221225406"</f>
        <v>18221225406</v>
      </c>
      <c r="C25950" t="str">
        <f>"320821199103293901"</f>
        <v>320821199103293901</v>
      </c>
      <c r="D25950" t="s">
        <v>1</v>
      </c>
      <c r="E25950" t="s">
        <v>1</v>
      </c>
      <c r="F25950" t="s">
        <v>0</v>
      </c>
      <c r="G25950" t="str">
        <f>"2018-10-05 17:44:02"</f>
        <v>2018-10-05 17:44:02</v>
      </c>
    </row>
    <row r="25951" spans="1:7" x14ac:dyDescent="0.2">
      <c r="A25951" t="s">
        <v>23870</v>
      </c>
      <c r="B25951" t="str">
        <f>"13113663345"</f>
        <v>13113663345</v>
      </c>
      <c r="C25951" t="str">
        <f>"220421199004083129"</f>
        <v>220421199004083129</v>
      </c>
      <c r="D25951" t="s">
        <v>23871</v>
      </c>
      <c r="E25951" t="s">
        <v>23872</v>
      </c>
      <c r="F25951" t="s">
        <v>0</v>
      </c>
      <c r="G25951" t="str">
        <f>"2018-10-13 12:12:08"</f>
        <v>2018-10-13 12:12:08</v>
      </c>
    </row>
    <row r="25952" spans="1:7" x14ac:dyDescent="0.2">
      <c r="A25952" t="s">
        <v>23873</v>
      </c>
      <c r="B25952" t="str">
        <f>"17802563091"</f>
        <v>17802563091</v>
      </c>
      <c r="C25952" t="str">
        <f>"411729199811261837"</f>
        <v>411729199811261837</v>
      </c>
      <c r="D25952" t="s">
        <v>1</v>
      </c>
      <c r="E25952" t="s">
        <v>1</v>
      </c>
      <c r="F25952" t="s">
        <v>0</v>
      </c>
      <c r="G25952" t="str">
        <f>"2018-10-05 17:42:53"</f>
        <v>2018-10-05 17:42:53</v>
      </c>
    </row>
    <row r="25953" spans="1:7" x14ac:dyDescent="0.2">
      <c r="A25953" t="s">
        <v>1</v>
      </c>
      <c r="B25953" t="str">
        <f>"15952684096"</f>
        <v>15952684096</v>
      </c>
      <c r="C25953" t="s">
        <v>1</v>
      </c>
      <c r="D25953" t="s">
        <v>1</v>
      </c>
      <c r="E25953" t="s">
        <v>1</v>
      </c>
      <c r="F25953" t="s">
        <v>0</v>
      </c>
      <c r="G25953" t="str">
        <f>"2018-10-05 17:41:31"</f>
        <v>2018-10-05 17:41:31</v>
      </c>
    </row>
    <row r="25954" spans="1:7" x14ac:dyDescent="0.2">
      <c r="A25954" t="s">
        <v>23874</v>
      </c>
      <c r="B25954" t="str">
        <f>"13854155735"</f>
        <v>13854155735</v>
      </c>
      <c r="C25954" t="str">
        <f>"370112198408292512"</f>
        <v>370112198408292512</v>
      </c>
      <c r="D25954" t="s">
        <v>1</v>
      </c>
      <c r="E25954" t="s">
        <v>1</v>
      </c>
      <c r="F25954" t="s">
        <v>0</v>
      </c>
      <c r="G25954" t="str">
        <f>"2018-10-05 18:16:41"</f>
        <v>2018-10-05 18:16:41</v>
      </c>
    </row>
    <row r="25955" spans="1:7" x14ac:dyDescent="0.2">
      <c r="A25955" t="s">
        <v>23875</v>
      </c>
      <c r="B25955" t="str">
        <f>"17699920996"</f>
        <v>17699920996</v>
      </c>
      <c r="C25955" t="str">
        <f>"654222199804023916"</f>
        <v>654222199804023916</v>
      </c>
      <c r="D25955" t="s">
        <v>23876</v>
      </c>
      <c r="E25955" t="s">
        <v>23877</v>
      </c>
      <c r="F25955" t="s">
        <v>0</v>
      </c>
      <c r="G25955" t="str">
        <f>"2018-10-05 18:30:32"</f>
        <v>2018-10-05 18:30:32</v>
      </c>
    </row>
    <row r="25956" spans="1:7" x14ac:dyDescent="0.2">
      <c r="A25956" t="s">
        <v>23878</v>
      </c>
      <c r="B25956" t="str">
        <f>"15291762659"</f>
        <v>15291762659</v>
      </c>
      <c r="C25956" t="str">
        <f>"610328199410153032"</f>
        <v>610328199410153032</v>
      </c>
      <c r="D25956" t="s">
        <v>1</v>
      </c>
      <c r="E25956" t="s">
        <v>1</v>
      </c>
      <c r="F25956" t="s">
        <v>0</v>
      </c>
      <c r="G25956" t="str">
        <f>"2018-10-06 12:20:02"</f>
        <v>2018-10-06 12:20:02</v>
      </c>
    </row>
    <row r="25957" spans="1:7" x14ac:dyDescent="0.2">
      <c r="A25957" t="s">
        <v>23879</v>
      </c>
      <c r="B25957" t="str">
        <f>"15589968906"</f>
        <v>15589968906</v>
      </c>
      <c r="C25957" t="str">
        <f>"370125198901243812"</f>
        <v>370125198901243812</v>
      </c>
      <c r="D25957" t="s">
        <v>1</v>
      </c>
      <c r="E25957" t="s">
        <v>1</v>
      </c>
      <c r="F25957" t="s">
        <v>0</v>
      </c>
      <c r="G25957" t="str">
        <f>"2018-10-05 17:40:17"</f>
        <v>2018-10-05 17:40:17</v>
      </c>
    </row>
    <row r="25958" spans="1:7" x14ac:dyDescent="0.2">
      <c r="A25958" t="s">
        <v>23880</v>
      </c>
      <c r="B25958" t="str">
        <f>"15990661615"</f>
        <v>15990661615</v>
      </c>
      <c r="C25958" t="str">
        <f>"412726199004212045"</f>
        <v>412726199004212045</v>
      </c>
      <c r="D25958" t="s">
        <v>1</v>
      </c>
      <c r="E25958" t="s">
        <v>1</v>
      </c>
      <c r="F25958" t="s">
        <v>0</v>
      </c>
      <c r="G25958" t="str">
        <f>"2018-10-05 17:39:34"</f>
        <v>2018-10-05 17:39:34</v>
      </c>
    </row>
    <row r="25959" spans="1:7" x14ac:dyDescent="0.2">
      <c r="A25959" t="s">
        <v>1189</v>
      </c>
      <c r="B25959" t="str">
        <f>"18287896459"</f>
        <v>18287896459</v>
      </c>
      <c r="C25959" t="str">
        <f>"532325198909151544"</f>
        <v>532325198909151544</v>
      </c>
      <c r="D25959" t="s">
        <v>1</v>
      </c>
      <c r="E25959" t="s">
        <v>1</v>
      </c>
      <c r="F25959" t="s">
        <v>0</v>
      </c>
      <c r="G25959" t="str">
        <f>"2018-10-05 17:37:13"</f>
        <v>2018-10-05 17:37:13</v>
      </c>
    </row>
    <row r="25960" spans="1:7" x14ac:dyDescent="0.2">
      <c r="A25960" t="s">
        <v>23881</v>
      </c>
      <c r="B25960" t="str">
        <f>"18767805807"</f>
        <v>18767805807</v>
      </c>
      <c r="C25960" t="str">
        <f>"332502199703054419"</f>
        <v>332502199703054419</v>
      </c>
      <c r="D25960" t="s">
        <v>1</v>
      </c>
      <c r="E25960" t="s">
        <v>1</v>
      </c>
      <c r="F25960" t="s">
        <v>0</v>
      </c>
      <c r="G25960" t="str">
        <f>"2018-10-05 17:38:36"</f>
        <v>2018-10-05 17:38:36</v>
      </c>
    </row>
    <row r="25961" spans="1:7" x14ac:dyDescent="0.2">
      <c r="A25961" t="s">
        <v>1</v>
      </c>
      <c r="B25961" t="str">
        <f>"18321963655"</f>
        <v>18321963655</v>
      </c>
      <c r="C25961" t="s">
        <v>1</v>
      </c>
      <c r="D25961" t="s">
        <v>1</v>
      </c>
      <c r="E25961" t="s">
        <v>1</v>
      </c>
      <c r="F25961" t="s">
        <v>0</v>
      </c>
      <c r="G25961" t="str">
        <f>"2018-10-05 17:34:38"</f>
        <v>2018-10-05 17:34:38</v>
      </c>
    </row>
    <row r="25962" spans="1:7" x14ac:dyDescent="0.2">
      <c r="A25962" t="s">
        <v>23882</v>
      </c>
      <c r="B25962" t="str">
        <f>"18268695515"</f>
        <v>18268695515</v>
      </c>
      <c r="C25962" t="str">
        <f>"13063219840705641X"</f>
        <v>13063219840705641X</v>
      </c>
      <c r="D25962" t="s">
        <v>1</v>
      </c>
      <c r="E25962" t="s">
        <v>1</v>
      </c>
      <c r="F25962" t="s">
        <v>0</v>
      </c>
      <c r="G25962" t="str">
        <f>"2018-10-18 17:15:40"</f>
        <v>2018-10-18 17:15:40</v>
      </c>
    </row>
    <row r="25963" spans="1:7" x14ac:dyDescent="0.2">
      <c r="A25963" t="s">
        <v>23883</v>
      </c>
      <c r="B25963" t="str">
        <f>"15028533662"</f>
        <v>15028533662</v>
      </c>
      <c r="C25963" t="str">
        <f>"130802199404242046"</f>
        <v>130802199404242046</v>
      </c>
      <c r="D25963" t="s">
        <v>1</v>
      </c>
      <c r="E25963" t="s">
        <v>1</v>
      </c>
      <c r="F25963" t="s">
        <v>0</v>
      </c>
      <c r="G25963" t="str">
        <f>"2018-10-05 17:42:50"</f>
        <v>2018-10-05 17:42:50</v>
      </c>
    </row>
    <row r="25964" spans="1:7" x14ac:dyDescent="0.2">
      <c r="A25964" t="s">
        <v>23884</v>
      </c>
      <c r="B25964" t="str">
        <f>"15809560673"</f>
        <v>15809560673</v>
      </c>
      <c r="C25964" t="str">
        <f>"640321199105062039"</f>
        <v>640321199105062039</v>
      </c>
      <c r="D25964" t="s">
        <v>1</v>
      </c>
      <c r="E25964" t="s">
        <v>1</v>
      </c>
      <c r="F25964" t="s">
        <v>0</v>
      </c>
      <c r="G25964" t="str">
        <f>"2018-10-06 09:01:11"</f>
        <v>2018-10-06 09:01:11</v>
      </c>
    </row>
    <row r="25965" spans="1:7" x14ac:dyDescent="0.2">
      <c r="A25965" t="s">
        <v>1782</v>
      </c>
      <c r="B25965" t="str">
        <f>"15214341804"</f>
        <v>15214341804</v>
      </c>
      <c r="C25965" t="str">
        <f>"310230198610094445"</f>
        <v>310230198610094445</v>
      </c>
      <c r="D25965" t="s">
        <v>1</v>
      </c>
      <c r="E25965" t="s">
        <v>1</v>
      </c>
      <c r="F25965" t="s">
        <v>0</v>
      </c>
      <c r="G25965" t="str">
        <f>"2018-10-27 20:10:39"</f>
        <v>2018-10-27 20:10:39</v>
      </c>
    </row>
    <row r="25966" spans="1:7" x14ac:dyDescent="0.2">
      <c r="A25966" t="s">
        <v>1444</v>
      </c>
      <c r="B25966" t="str">
        <f>"18601354310"</f>
        <v>18601354310</v>
      </c>
      <c r="C25966" t="str">
        <f>"130682199101077099"</f>
        <v>130682199101077099</v>
      </c>
      <c r="D25966" t="s">
        <v>1</v>
      </c>
      <c r="E25966" t="s">
        <v>1</v>
      </c>
      <c r="F25966" t="s">
        <v>0</v>
      </c>
      <c r="G25966" t="str">
        <f>"2018-10-05 17:36:13"</f>
        <v>2018-10-05 17:36:13</v>
      </c>
    </row>
    <row r="25967" spans="1:7" x14ac:dyDescent="0.2">
      <c r="A25967" t="s">
        <v>23885</v>
      </c>
      <c r="B25967" t="str">
        <f>"15150713210"</f>
        <v>15150713210</v>
      </c>
      <c r="C25967" t="str">
        <f>"321324199403284014"</f>
        <v>321324199403284014</v>
      </c>
      <c r="D25967" t="s">
        <v>1</v>
      </c>
      <c r="E25967" t="s">
        <v>1</v>
      </c>
      <c r="F25967" t="s">
        <v>0</v>
      </c>
      <c r="G25967" t="str">
        <f>"2018-10-05 17:32:55"</f>
        <v>2018-10-05 17:32:55</v>
      </c>
    </row>
    <row r="25968" spans="1:7" x14ac:dyDescent="0.2">
      <c r="A25968" t="s">
        <v>609</v>
      </c>
      <c r="B25968" t="str">
        <f>"15922520733"</f>
        <v>15922520733</v>
      </c>
      <c r="C25968" t="str">
        <f>"511622199306298034"</f>
        <v>511622199306298034</v>
      </c>
      <c r="D25968" t="s">
        <v>1</v>
      </c>
      <c r="E25968" t="s">
        <v>1</v>
      </c>
      <c r="F25968" t="s">
        <v>0</v>
      </c>
      <c r="G25968" t="str">
        <f>"2018-10-05 17:32:44"</f>
        <v>2018-10-05 17:32:44</v>
      </c>
    </row>
    <row r="25969" spans="1:7" x14ac:dyDescent="0.2">
      <c r="A25969" t="s">
        <v>23886</v>
      </c>
      <c r="B25969" t="str">
        <f>"13921125161"</f>
        <v>13921125161</v>
      </c>
      <c r="C25969" t="str">
        <f>"321102197610251014"</f>
        <v>321102197610251014</v>
      </c>
      <c r="D25969" t="s">
        <v>23887</v>
      </c>
      <c r="E25969" t="s">
        <v>23888</v>
      </c>
      <c r="F25969" t="s">
        <v>0</v>
      </c>
      <c r="G25969" t="str">
        <f>"2018-10-26 01:09:38"</f>
        <v>2018-10-26 01:09:38</v>
      </c>
    </row>
    <row r="25970" spans="1:7" x14ac:dyDescent="0.2">
      <c r="A25970" t="s">
        <v>23889</v>
      </c>
      <c r="B25970" t="str">
        <f>"15505348234"</f>
        <v>15505348234</v>
      </c>
      <c r="C25970" t="str">
        <f>"37142819920120301X"</f>
        <v>37142819920120301X</v>
      </c>
      <c r="D25970" t="s">
        <v>1</v>
      </c>
      <c r="E25970" t="s">
        <v>1</v>
      </c>
      <c r="F25970" t="s">
        <v>0</v>
      </c>
      <c r="G25970" t="str">
        <f>"2018-10-14 16:15:18"</f>
        <v>2018-10-14 16:15:18</v>
      </c>
    </row>
    <row r="25971" spans="1:7" x14ac:dyDescent="0.2">
      <c r="A25971" t="s">
        <v>1</v>
      </c>
      <c r="B25971" t="str">
        <f>"13109172345"</f>
        <v>13109172345</v>
      </c>
      <c r="C25971" t="s">
        <v>1</v>
      </c>
      <c r="D25971" t="s">
        <v>1</v>
      </c>
      <c r="E25971" t="s">
        <v>1</v>
      </c>
      <c r="F25971" t="s">
        <v>0</v>
      </c>
      <c r="G25971" t="str">
        <f>"2018-10-05 17:29:40"</f>
        <v>2018-10-05 17:29:40</v>
      </c>
    </row>
    <row r="25972" spans="1:7" x14ac:dyDescent="0.2">
      <c r="A25972" t="s">
        <v>14030</v>
      </c>
      <c r="B25972" t="str">
        <f>"13456616076"</f>
        <v>13456616076</v>
      </c>
      <c r="C25972" t="str">
        <f>"41042219890809707X"</f>
        <v>41042219890809707X</v>
      </c>
      <c r="D25972" t="s">
        <v>23890</v>
      </c>
      <c r="E25972" t="s">
        <v>23891</v>
      </c>
      <c r="F25972" t="s">
        <v>0</v>
      </c>
      <c r="G25972" t="str">
        <f>"2018-10-05 17:30:22"</f>
        <v>2018-10-05 17:30:22</v>
      </c>
    </row>
    <row r="25973" spans="1:7" x14ac:dyDescent="0.2">
      <c r="A25973" t="s">
        <v>23892</v>
      </c>
      <c r="B25973" t="str">
        <f>"13859948670"</f>
        <v>13859948670</v>
      </c>
      <c r="C25973" t="str">
        <f>"350212199108221532"</f>
        <v>350212199108221532</v>
      </c>
      <c r="D25973" t="s">
        <v>23893</v>
      </c>
      <c r="E25973" t="s">
        <v>23894</v>
      </c>
      <c r="F25973" t="s">
        <v>0</v>
      </c>
      <c r="G25973" t="str">
        <f>"2018-10-05 17:28:16"</f>
        <v>2018-10-05 17:28:16</v>
      </c>
    </row>
    <row r="25974" spans="1:7" x14ac:dyDescent="0.2">
      <c r="A25974" t="s">
        <v>2599</v>
      </c>
      <c r="B25974" t="str">
        <f>"18409318078"</f>
        <v>18409318078</v>
      </c>
      <c r="C25974" t="str">
        <f>"620422199001040810"</f>
        <v>620422199001040810</v>
      </c>
      <c r="D25974" t="s">
        <v>1</v>
      </c>
      <c r="E25974" t="s">
        <v>1</v>
      </c>
      <c r="F25974" t="s">
        <v>0</v>
      </c>
      <c r="G25974" t="str">
        <f>"2018-10-05 17:29:41"</f>
        <v>2018-10-05 17:29:41</v>
      </c>
    </row>
    <row r="25975" spans="1:7" x14ac:dyDescent="0.2">
      <c r="A25975" t="s">
        <v>1</v>
      </c>
      <c r="B25975" t="str">
        <f>"13123873247"</f>
        <v>13123873247</v>
      </c>
      <c r="C25975" t="s">
        <v>1</v>
      </c>
      <c r="D25975" t="s">
        <v>1</v>
      </c>
      <c r="E25975" t="s">
        <v>1</v>
      </c>
      <c r="F25975" t="s">
        <v>0</v>
      </c>
      <c r="G25975" t="str">
        <f>"2018-10-05 17:25:49"</f>
        <v>2018-10-05 17:25:49</v>
      </c>
    </row>
    <row r="25976" spans="1:7" x14ac:dyDescent="0.2">
      <c r="A25976" t="s">
        <v>23895</v>
      </c>
      <c r="B25976" t="str">
        <f>"15293611611"</f>
        <v>15293611611</v>
      </c>
      <c r="C25976" t="str">
        <f>"62220119811016151X"</f>
        <v>62220119811016151X</v>
      </c>
      <c r="D25976" t="s">
        <v>23896</v>
      </c>
      <c r="E25976" t="s">
        <v>23897</v>
      </c>
      <c r="F25976" t="s">
        <v>0</v>
      </c>
      <c r="G25976" t="str">
        <f>"2018-10-06 14:17:37"</f>
        <v>2018-10-06 14:17:37</v>
      </c>
    </row>
    <row r="25977" spans="1:7" x14ac:dyDescent="0.2">
      <c r="A25977" t="s">
        <v>1</v>
      </c>
      <c r="B25977" t="str">
        <f>"15841061352"</f>
        <v>15841061352</v>
      </c>
      <c r="C25977" t="s">
        <v>1</v>
      </c>
      <c r="D25977" t="s">
        <v>1</v>
      </c>
      <c r="E25977" t="s">
        <v>1</v>
      </c>
      <c r="F25977" t="s">
        <v>0</v>
      </c>
      <c r="G25977" t="str">
        <f>"2018-10-05 17:36:54"</f>
        <v>2018-10-05 17:36:54</v>
      </c>
    </row>
    <row r="25978" spans="1:7" x14ac:dyDescent="0.2">
      <c r="A25978" t="s">
        <v>263</v>
      </c>
      <c r="B25978" t="str">
        <f>"15726784781"</f>
        <v>15726784781</v>
      </c>
      <c r="C25978" t="str">
        <f>"130121199310202618"</f>
        <v>130121199310202618</v>
      </c>
      <c r="D25978" t="s">
        <v>1</v>
      </c>
      <c r="E25978" t="s">
        <v>1</v>
      </c>
      <c r="F25978" t="s">
        <v>0</v>
      </c>
      <c r="G25978" t="str">
        <f>"2018-10-28 14:36:41"</f>
        <v>2018-10-28 14:36:41</v>
      </c>
    </row>
    <row r="25979" spans="1:7" x14ac:dyDescent="0.2">
      <c r="A25979" t="s">
        <v>1</v>
      </c>
      <c r="B25979" t="str">
        <f>"17687663862"</f>
        <v>17687663862</v>
      </c>
      <c r="C25979" t="s">
        <v>1</v>
      </c>
      <c r="D25979" t="s">
        <v>1</v>
      </c>
      <c r="E25979" t="s">
        <v>1</v>
      </c>
      <c r="F25979" t="s">
        <v>0</v>
      </c>
      <c r="G25979" t="str">
        <f>"2018-10-05 17:23:52"</f>
        <v>2018-10-05 17:23:52</v>
      </c>
    </row>
    <row r="25980" spans="1:7" x14ac:dyDescent="0.2">
      <c r="A25980" t="s">
        <v>173</v>
      </c>
      <c r="B25980" t="str">
        <f>"13022808097"</f>
        <v>13022808097</v>
      </c>
      <c r="C25980" t="str">
        <f>"612523198912254331"</f>
        <v>612523198912254331</v>
      </c>
      <c r="D25980" t="s">
        <v>23898</v>
      </c>
      <c r="E25980" t="s">
        <v>23899</v>
      </c>
      <c r="F25980" t="s">
        <v>0</v>
      </c>
      <c r="G25980" t="str">
        <f>"2018-10-05 17:36:46"</f>
        <v>2018-10-05 17:36:46</v>
      </c>
    </row>
    <row r="25981" spans="1:7" x14ac:dyDescent="0.2">
      <c r="A25981" t="s">
        <v>23900</v>
      </c>
      <c r="B25981" t="str">
        <f>"18370975856"</f>
        <v>18370975856</v>
      </c>
      <c r="C25981" t="str">
        <f>"360731198402210328"</f>
        <v>360731198402210328</v>
      </c>
      <c r="D25981" t="s">
        <v>1</v>
      </c>
      <c r="E25981" t="s">
        <v>1</v>
      </c>
      <c r="F25981" t="s">
        <v>0</v>
      </c>
      <c r="G25981" t="str">
        <f>"2018-10-26 16:09:54"</f>
        <v>2018-10-26 16:09:54</v>
      </c>
    </row>
    <row r="25982" spans="1:7" x14ac:dyDescent="0.2">
      <c r="A25982" t="s">
        <v>23901</v>
      </c>
      <c r="B25982" t="str">
        <f>"15256638717"</f>
        <v>15256638717</v>
      </c>
      <c r="C25982" t="str">
        <f>"340721199002223945"</f>
        <v>340721199002223945</v>
      </c>
      <c r="D25982" t="s">
        <v>1</v>
      </c>
      <c r="E25982" t="s">
        <v>1</v>
      </c>
      <c r="F25982" t="s">
        <v>0</v>
      </c>
      <c r="G25982" t="str">
        <f>"2018-10-05 17:29:44"</f>
        <v>2018-10-05 17:29:44</v>
      </c>
    </row>
    <row r="25983" spans="1:7" x14ac:dyDescent="0.2">
      <c r="A25983" t="s">
        <v>1</v>
      </c>
      <c r="B25983" t="str">
        <f>"15003791961"</f>
        <v>15003791961</v>
      </c>
      <c r="C25983" t="s">
        <v>1</v>
      </c>
      <c r="D25983" t="s">
        <v>1</v>
      </c>
      <c r="E25983" t="s">
        <v>1</v>
      </c>
      <c r="F25983" t="s">
        <v>0</v>
      </c>
      <c r="G25983" t="str">
        <f>"2018-10-05 17:23:14"</f>
        <v>2018-10-05 17:23:14</v>
      </c>
    </row>
    <row r="25984" spans="1:7" x14ac:dyDescent="0.2">
      <c r="A25984" t="s">
        <v>1</v>
      </c>
      <c r="B25984" t="str">
        <f>"17776063302"</f>
        <v>17776063302</v>
      </c>
      <c r="C25984" t="s">
        <v>1</v>
      </c>
      <c r="D25984" t="s">
        <v>1</v>
      </c>
      <c r="E25984" t="s">
        <v>1</v>
      </c>
      <c r="F25984" t="s">
        <v>0</v>
      </c>
      <c r="G25984" t="str">
        <f>"2018-10-05 17:24:33"</f>
        <v>2018-10-05 17:24:33</v>
      </c>
    </row>
    <row r="25985" spans="1:7" x14ac:dyDescent="0.2">
      <c r="A25985" t="s">
        <v>1</v>
      </c>
      <c r="B25985" t="str">
        <f>"15938620960"</f>
        <v>15938620960</v>
      </c>
      <c r="C25985" t="s">
        <v>1</v>
      </c>
      <c r="D25985" t="s">
        <v>1</v>
      </c>
      <c r="E25985" t="s">
        <v>1</v>
      </c>
      <c r="F25985" t="s">
        <v>0</v>
      </c>
      <c r="G25985" t="str">
        <f>"2018-10-05 17:22:34"</f>
        <v>2018-10-05 17:22:34</v>
      </c>
    </row>
    <row r="25986" spans="1:7" x14ac:dyDescent="0.2">
      <c r="A25986" t="s">
        <v>23902</v>
      </c>
      <c r="B25986" t="str">
        <f>"13310334337"</f>
        <v>13310334337</v>
      </c>
      <c r="C25986" t="str">
        <f>"152724199303280033"</f>
        <v>152724199303280033</v>
      </c>
      <c r="D25986" t="s">
        <v>1</v>
      </c>
      <c r="E25986" t="s">
        <v>1</v>
      </c>
      <c r="F25986" t="s">
        <v>0</v>
      </c>
      <c r="G25986" t="str">
        <f>"2018-10-05 17:23:49"</f>
        <v>2018-10-05 17:23:49</v>
      </c>
    </row>
    <row r="25987" spans="1:7" x14ac:dyDescent="0.2">
      <c r="A25987" t="s">
        <v>2</v>
      </c>
      <c r="B25987" t="str">
        <f>"18734728193"</f>
        <v>18734728193</v>
      </c>
      <c r="C25987" t="str">
        <f>"142602199103082045"</f>
        <v>142602199103082045</v>
      </c>
      <c r="D25987" t="s">
        <v>1</v>
      </c>
      <c r="E25987" t="s">
        <v>1</v>
      </c>
      <c r="F25987" t="s">
        <v>0</v>
      </c>
      <c r="G25987" t="str">
        <f>"2018-10-05 17:24:05"</f>
        <v>2018-10-05 17:24:05</v>
      </c>
    </row>
    <row r="25988" spans="1:7" x14ac:dyDescent="0.2">
      <c r="A25988" t="s">
        <v>1</v>
      </c>
      <c r="B25988" t="str">
        <f>"13617725460"</f>
        <v>13617725460</v>
      </c>
      <c r="C25988" t="s">
        <v>1</v>
      </c>
      <c r="D25988" t="s">
        <v>1</v>
      </c>
      <c r="E25988" t="s">
        <v>1</v>
      </c>
      <c r="F25988" t="s">
        <v>0</v>
      </c>
      <c r="G25988" t="str">
        <f>"2018-10-05 17:21:39"</f>
        <v>2018-10-05 17:21:39</v>
      </c>
    </row>
    <row r="25989" spans="1:7" x14ac:dyDescent="0.2">
      <c r="A25989" t="s">
        <v>1</v>
      </c>
      <c r="B25989" t="str">
        <f>"15123513256"</f>
        <v>15123513256</v>
      </c>
      <c r="C25989" t="s">
        <v>1</v>
      </c>
      <c r="D25989" t="s">
        <v>1</v>
      </c>
      <c r="E25989" t="s">
        <v>1</v>
      </c>
      <c r="F25989" t="s">
        <v>0</v>
      </c>
      <c r="G25989" t="str">
        <f>"2018-10-05 17:20:26"</f>
        <v>2018-10-05 17:20:26</v>
      </c>
    </row>
    <row r="25990" spans="1:7" x14ac:dyDescent="0.2">
      <c r="A25990" t="s">
        <v>1</v>
      </c>
      <c r="B25990" t="str">
        <f>"13281465146"</f>
        <v>13281465146</v>
      </c>
      <c r="C25990" t="s">
        <v>1</v>
      </c>
      <c r="D25990" t="s">
        <v>1</v>
      </c>
      <c r="E25990" t="s">
        <v>1</v>
      </c>
      <c r="F25990" t="s">
        <v>0</v>
      </c>
      <c r="G25990" t="str">
        <f>"2018-10-05 17:22:02"</f>
        <v>2018-10-05 17:22:02</v>
      </c>
    </row>
    <row r="25991" spans="1:7" x14ac:dyDescent="0.2">
      <c r="A25991" t="s">
        <v>23903</v>
      </c>
      <c r="B25991" t="str">
        <f>"13859773917"</f>
        <v>13859773917</v>
      </c>
      <c r="C25991" t="str">
        <f>"350521198808083124"</f>
        <v>350521198808083124</v>
      </c>
      <c r="D25991" t="s">
        <v>23904</v>
      </c>
      <c r="E25991" t="s">
        <v>23905</v>
      </c>
      <c r="F25991" t="s">
        <v>0</v>
      </c>
      <c r="G25991" t="str">
        <f>"2018-10-05 17:21:22"</f>
        <v>2018-10-05 17:21:22</v>
      </c>
    </row>
    <row r="25992" spans="1:7" x14ac:dyDescent="0.2">
      <c r="A25992" t="s">
        <v>149</v>
      </c>
      <c r="B25992" t="str">
        <f>"18263431120"</f>
        <v>18263431120</v>
      </c>
      <c r="C25992" t="str">
        <f>"371202199612157754"</f>
        <v>371202199612157754</v>
      </c>
      <c r="D25992" t="s">
        <v>23906</v>
      </c>
      <c r="E25992" t="s">
        <v>23907</v>
      </c>
      <c r="F25992" t="s">
        <v>0</v>
      </c>
      <c r="G25992" t="str">
        <f>"2018-10-05 20:56:09"</f>
        <v>2018-10-05 20:56:09</v>
      </c>
    </row>
    <row r="25993" spans="1:7" x14ac:dyDescent="0.2">
      <c r="A25993" t="s">
        <v>1</v>
      </c>
      <c r="B25993" t="str">
        <f>"13891603825"</f>
        <v>13891603825</v>
      </c>
      <c r="C25993" t="s">
        <v>1</v>
      </c>
      <c r="D25993" t="s">
        <v>1</v>
      </c>
      <c r="E25993" t="s">
        <v>1</v>
      </c>
      <c r="F25993" t="s">
        <v>0</v>
      </c>
      <c r="G25993" t="str">
        <f>"2018-10-05 17:18:53"</f>
        <v>2018-10-05 17:18:53</v>
      </c>
    </row>
    <row r="25994" spans="1:7" x14ac:dyDescent="0.2">
      <c r="A25994" t="s">
        <v>1</v>
      </c>
      <c r="B25994" t="str">
        <f>"18246361698"</f>
        <v>18246361698</v>
      </c>
      <c r="C25994" t="s">
        <v>1</v>
      </c>
      <c r="D25994" t="s">
        <v>1</v>
      </c>
      <c r="E25994" t="s">
        <v>1</v>
      </c>
      <c r="F25994" t="s">
        <v>0</v>
      </c>
      <c r="G25994" t="str">
        <f>"2018-10-05 17:18:36"</f>
        <v>2018-10-05 17:18:36</v>
      </c>
    </row>
    <row r="25995" spans="1:7" x14ac:dyDescent="0.2">
      <c r="A25995" t="s">
        <v>23908</v>
      </c>
      <c r="B25995" t="str">
        <f>"15078886909"</f>
        <v>15078886909</v>
      </c>
      <c r="C25995" t="str">
        <f>"452724199001134023"</f>
        <v>452724199001134023</v>
      </c>
      <c r="D25995" t="s">
        <v>1</v>
      </c>
      <c r="E25995" t="s">
        <v>1</v>
      </c>
      <c r="F25995" t="s">
        <v>0</v>
      </c>
      <c r="G25995" t="str">
        <f>"2018-10-05 17:19:45"</f>
        <v>2018-10-05 17:19:45</v>
      </c>
    </row>
    <row r="25996" spans="1:7" x14ac:dyDescent="0.2">
      <c r="A25996" t="s">
        <v>23909</v>
      </c>
      <c r="B25996" t="str">
        <f>"18798873804"</f>
        <v>18798873804</v>
      </c>
      <c r="C25996" t="str">
        <f>"520121199602113820"</f>
        <v>520121199602113820</v>
      </c>
      <c r="D25996" t="s">
        <v>1</v>
      </c>
      <c r="E25996" t="s">
        <v>1</v>
      </c>
      <c r="F25996" t="s">
        <v>0</v>
      </c>
      <c r="G25996" t="str">
        <f>"2018-10-05 17:18:44"</f>
        <v>2018-10-05 17:18:44</v>
      </c>
    </row>
    <row r="25997" spans="1:7" x14ac:dyDescent="0.2">
      <c r="A25997" t="s">
        <v>1</v>
      </c>
      <c r="B25997" t="str">
        <f>"13824820422"</f>
        <v>13824820422</v>
      </c>
      <c r="C25997" t="s">
        <v>1</v>
      </c>
      <c r="D25997" t="s">
        <v>1</v>
      </c>
      <c r="E25997" t="s">
        <v>1</v>
      </c>
      <c r="F25997" t="s">
        <v>0</v>
      </c>
      <c r="G25997" t="str">
        <f>"2018-10-05 17:17:15"</f>
        <v>2018-10-05 17:17:15</v>
      </c>
    </row>
    <row r="25998" spans="1:7" x14ac:dyDescent="0.2">
      <c r="A25998" t="s">
        <v>23910</v>
      </c>
      <c r="B25998" t="str">
        <f>"15252382922"</f>
        <v>15252382922</v>
      </c>
      <c r="C25998" t="str">
        <f>"321322199509216439"</f>
        <v>321322199509216439</v>
      </c>
      <c r="D25998" t="s">
        <v>1</v>
      </c>
      <c r="E25998" t="s">
        <v>1</v>
      </c>
      <c r="F25998" t="s">
        <v>0</v>
      </c>
      <c r="G25998" t="str">
        <f>"2018-10-05 17:25:38"</f>
        <v>2018-10-05 17:25:38</v>
      </c>
    </row>
    <row r="25999" spans="1:7" x14ac:dyDescent="0.2">
      <c r="A25999" t="s">
        <v>1</v>
      </c>
      <c r="B25999" t="str">
        <f>"17693203297"</f>
        <v>17693203297</v>
      </c>
      <c r="C25999" t="s">
        <v>1</v>
      </c>
      <c r="D25999" t="s">
        <v>1</v>
      </c>
      <c r="E25999" t="s">
        <v>1</v>
      </c>
      <c r="F25999" t="s">
        <v>0</v>
      </c>
      <c r="G25999" t="str">
        <f>"2018-10-05 17:18:43"</f>
        <v>2018-10-05 17:18:43</v>
      </c>
    </row>
    <row r="26000" spans="1:7" x14ac:dyDescent="0.2">
      <c r="A26000" t="s">
        <v>23911</v>
      </c>
      <c r="B26000" t="str">
        <f>"13415802525"</f>
        <v>13415802525</v>
      </c>
      <c r="C26000" t="str">
        <f>"452730198701203213"</f>
        <v>452730198701203213</v>
      </c>
      <c r="D26000" t="s">
        <v>1</v>
      </c>
      <c r="E26000" t="s">
        <v>1</v>
      </c>
      <c r="F26000" t="s">
        <v>0</v>
      </c>
      <c r="G26000" t="str">
        <f>"2018-10-05 17:17:48"</f>
        <v>2018-10-05 17:17:48</v>
      </c>
    </row>
    <row r="26001" spans="1:7" x14ac:dyDescent="0.2">
      <c r="A26001" t="s">
        <v>1</v>
      </c>
      <c r="B26001" t="str">
        <f>"18561733791"</f>
        <v>18561733791</v>
      </c>
      <c r="C26001" t="s">
        <v>1</v>
      </c>
      <c r="D26001" t="s">
        <v>1</v>
      </c>
      <c r="E26001" t="s">
        <v>1</v>
      </c>
      <c r="F26001" t="s">
        <v>0</v>
      </c>
      <c r="G26001" t="str">
        <f>"2018-10-05 17:15:49"</f>
        <v>2018-10-05 17:15:49</v>
      </c>
    </row>
    <row r="26002" spans="1:7" x14ac:dyDescent="0.2">
      <c r="A26002" t="s">
        <v>23290</v>
      </c>
      <c r="B26002" t="str">
        <f>"18900965972"</f>
        <v>18900965972</v>
      </c>
      <c r="C26002" t="str">
        <f>"622226199209021914"</f>
        <v>622226199209021914</v>
      </c>
      <c r="D26002" t="s">
        <v>1</v>
      </c>
      <c r="E26002" t="s">
        <v>1</v>
      </c>
      <c r="F26002" t="s">
        <v>0</v>
      </c>
      <c r="G26002" t="str">
        <f>"2018-10-05 17:51:08"</f>
        <v>2018-10-05 17:51:08</v>
      </c>
    </row>
    <row r="26003" spans="1:7" x14ac:dyDescent="0.2">
      <c r="A26003" t="s">
        <v>1</v>
      </c>
      <c r="B26003" t="str">
        <f>"15875355129"</f>
        <v>15875355129</v>
      </c>
      <c r="C26003" t="s">
        <v>1</v>
      </c>
      <c r="D26003" t="s">
        <v>1</v>
      </c>
      <c r="E26003" t="s">
        <v>1</v>
      </c>
      <c r="F26003" t="s">
        <v>0</v>
      </c>
      <c r="G26003" t="str">
        <f>"2018-10-05 17:15:05"</f>
        <v>2018-10-05 17:15:05</v>
      </c>
    </row>
    <row r="26004" spans="1:7" x14ac:dyDescent="0.2">
      <c r="A26004" t="s">
        <v>23912</v>
      </c>
      <c r="B26004" t="str">
        <f>"15942468163"</f>
        <v>15942468163</v>
      </c>
      <c r="C26004" t="str">
        <f>"210221199009017320"</f>
        <v>210221199009017320</v>
      </c>
      <c r="D26004" t="s">
        <v>1</v>
      </c>
      <c r="E26004" t="s">
        <v>1</v>
      </c>
      <c r="F26004" t="s">
        <v>0</v>
      </c>
      <c r="G26004" t="str">
        <f>"2018-10-05 17:16:23"</f>
        <v>2018-10-05 17:16:23</v>
      </c>
    </row>
    <row r="26005" spans="1:7" x14ac:dyDescent="0.2">
      <c r="A26005" t="s">
        <v>23913</v>
      </c>
      <c r="B26005" t="str">
        <f>"15961637113"</f>
        <v>15961637113</v>
      </c>
      <c r="C26005" t="str">
        <f>"321322199510128612"</f>
        <v>321322199510128612</v>
      </c>
      <c r="D26005" t="s">
        <v>1</v>
      </c>
      <c r="E26005" t="s">
        <v>1</v>
      </c>
      <c r="F26005" t="s">
        <v>0</v>
      </c>
      <c r="G26005" t="str">
        <f>"2018-10-05 17:16:49"</f>
        <v>2018-10-05 17:16:49</v>
      </c>
    </row>
    <row r="26006" spans="1:7" x14ac:dyDescent="0.2">
      <c r="A26006" t="s">
        <v>23914</v>
      </c>
      <c r="B26006" t="str">
        <f>"15859831876"</f>
        <v>15859831876</v>
      </c>
      <c r="C26006" t="str">
        <f>"350425199308032413"</f>
        <v>350425199308032413</v>
      </c>
      <c r="D26006" t="s">
        <v>1</v>
      </c>
      <c r="E26006" t="s">
        <v>1</v>
      </c>
      <c r="F26006" t="s">
        <v>0</v>
      </c>
      <c r="G26006" t="str">
        <f>"2018-10-05 17:12:13"</f>
        <v>2018-10-05 17:12:13</v>
      </c>
    </row>
    <row r="26007" spans="1:7" x14ac:dyDescent="0.2">
      <c r="A26007" t="s">
        <v>23915</v>
      </c>
      <c r="B26007" t="str">
        <f>"15334387141"</f>
        <v>15334387141</v>
      </c>
      <c r="C26007" t="str">
        <f>"532524199401111516"</f>
        <v>532524199401111516</v>
      </c>
      <c r="D26007" t="s">
        <v>1</v>
      </c>
      <c r="E26007" t="s">
        <v>1</v>
      </c>
      <c r="F26007" t="s">
        <v>0</v>
      </c>
      <c r="G26007" t="str">
        <f>"2018-10-05 17:12:03"</f>
        <v>2018-10-05 17:12:03</v>
      </c>
    </row>
    <row r="26008" spans="1:7" x14ac:dyDescent="0.2">
      <c r="A26008" t="s">
        <v>23916</v>
      </c>
      <c r="B26008" t="str">
        <f>"18853153866"</f>
        <v>18853153866</v>
      </c>
      <c r="C26008" t="str">
        <f>"370181199501314840"</f>
        <v>370181199501314840</v>
      </c>
      <c r="D26008" t="s">
        <v>1</v>
      </c>
      <c r="E26008" t="s">
        <v>1</v>
      </c>
      <c r="F26008" t="s">
        <v>0</v>
      </c>
      <c r="G26008" t="str">
        <f>"2018-10-05 17:11:20"</f>
        <v>2018-10-05 17:11:20</v>
      </c>
    </row>
    <row r="26009" spans="1:7" x14ac:dyDescent="0.2">
      <c r="A26009" t="s">
        <v>23917</v>
      </c>
      <c r="B26009" t="str">
        <f>"18568075572"</f>
        <v>18568075572</v>
      </c>
      <c r="C26009" t="str">
        <f>"412823199511174828"</f>
        <v>412823199511174828</v>
      </c>
      <c r="D26009" t="s">
        <v>1</v>
      </c>
      <c r="E26009" t="s">
        <v>1</v>
      </c>
      <c r="F26009" t="s">
        <v>0</v>
      </c>
      <c r="G26009" t="str">
        <f>"2018-10-05 17:19:12"</f>
        <v>2018-10-05 17:19:12</v>
      </c>
    </row>
    <row r="26010" spans="1:7" x14ac:dyDescent="0.2">
      <c r="A26010" t="s">
        <v>1574</v>
      </c>
      <c r="B26010" t="str">
        <f>"18825005785"</f>
        <v>18825005785</v>
      </c>
      <c r="C26010" t="str">
        <f>"431222198808134412"</f>
        <v>431222198808134412</v>
      </c>
      <c r="D26010" t="s">
        <v>23918</v>
      </c>
      <c r="E26010" t="s">
        <v>23919</v>
      </c>
      <c r="F26010" t="s">
        <v>0</v>
      </c>
      <c r="G26010" t="str">
        <f>"2018-10-05 17:11:52"</f>
        <v>2018-10-05 17:11:52</v>
      </c>
    </row>
    <row r="26011" spans="1:7" x14ac:dyDescent="0.2">
      <c r="A26011" t="s">
        <v>1</v>
      </c>
      <c r="B26011" t="str">
        <f>"13127041623"</f>
        <v>13127041623</v>
      </c>
      <c r="C26011" t="s">
        <v>1</v>
      </c>
      <c r="D26011" t="s">
        <v>1</v>
      </c>
      <c r="E26011" t="s">
        <v>1</v>
      </c>
      <c r="F26011" t="s">
        <v>0</v>
      </c>
      <c r="G26011" t="str">
        <f>"2018-10-05 17:09:52"</f>
        <v>2018-10-05 17:09:52</v>
      </c>
    </row>
    <row r="26012" spans="1:7" x14ac:dyDescent="0.2">
      <c r="A26012" t="s">
        <v>1</v>
      </c>
      <c r="B26012" t="str">
        <f>"18980146353"</f>
        <v>18980146353</v>
      </c>
      <c r="C26012" t="s">
        <v>1</v>
      </c>
      <c r="D26012" t="s">
        <v>1</v>
      </c>
      <c r="E26012" t="s">
        <v>1</v>
      </c>
      <c r="F26012" t="s">
        <v>0</v>
      </c>
      <c r="G26012" t="str">
        <f>"2018-10-05 17:09:27"</f>
        <v>2018-10-05 17:09:27</v>
      </c>
    </row>
    <row r="26013" spans="1:7" x14ac:dyDescent="0.2">
      <c r="A26013" t="s">
        <v>23113</v>
      </c>
      <c r="B26013" t="str">
        <f>"13053046512"</f>
        <v>13053046512</v>
      </c>
      <c r="C26013" t="str">
        <f>"342425199505240414"</f>
        <v>342425199505240414</v>
      </c>
      <c r="D26013" t="s">
        <v>1</v>
      </c>
      <c r="E26013" t="s">
        <v>1</v>
      </c>
      <c r="F26013" t="s">
        <v>0</v>
      </c>
      <c r="G26013" t="str">
        <f>"2018-10-05 17:07:55"</f>
        <v>2018-10-05 17:07:55</v>
      </c>
    </row>
    <row r="26014" spans="1:7" x14ac:dyDescent="0.2">
      <c r="A26014" t="s">
        <v>23920</v>
      </c>
      <c r="B26014" t="str">
        <f>"18796549202"</f>
        <v>18796549202</v>
      </c>
      <c r="C26014" t="str">
        <f>"320925199801182513"</f>
        <v>320925199801182513</v>
      </c>
      <c r="D26014" t="s">
        <v>1</v>
      </c>
      <c r="E26014" t="s">
        <v>1</v>
      </c>
      <c r="F26014" t="s">
        <v>0</v>
      </c>
      <c r="G26014" t="str">
        <f>"2018-10-05 17:07:28"</f>
        <v>2018-10-05 17:07:28</v>
      </c>
    </row>
    <row r="26015" spans="1:7" x14ac:dyDescent="0.2">
      <c r="A26015" t="s">
        <v>23921</v>
      </c>
      <c r="B26015" t="str">
        <f>"13386975532"</f>
        <v>13386975532</v>
      </c>
      <c r="C26015" t="str">
        <f>"350628198702204055"</f>
        <v>350628198702204055</v>
      </c>
      <c r="D26015" t="s">
        <v>23922</v>
      </c>
      <c r="E26015" t="s">
        <v>23923</v>
      </c>
      <c r="F26015" t="s">
        <v>0</v>
      </c>
      <c r="G26015" t="str">
        <f>"2018-10-05 17:07:38"</f>
        <v>2018-10-05 17:07:38</v>
      </c>
    </row>
    <row r="26016" spans="1:7" x14ac:dyDescent="0.2">
      <c r="A26016" t="s">
        <v>23924</v>
      </c>
      <c r="B26016" t="str">
        <f>"18306089687"</f>
        <v>18306089687</v>
      </c>
      <c r="C26016" t="str">
        <f>"500381199511231219"</f>
        <v>500381199511231219</v>
      </c>
      <c r="D26016" t="s">
        <v>1</v>
      </c>
      <c r="E26016" t="s">
        <v>1</v>
      </c>
      <c r="F26016" t="s">
        <v>0</v>
      </c>
      <c r="G26016" t="str">
        <f>"2018-10-05 17:11:21"</f>
        <v>2018-10-05 17:11:21</v>
      </c>
    </row>
    <row r="26017" spans="1:7" x14ac:dyDescent="0.2">
      <c r="A26017" t="s">
        <v>1</v>
      </c>
      <c r="B26017" t="str">
        <f>"18343080107"</f>
        <v>18343080107</v>
      </c>
      <c r="C26017" t="s">
        <v>1</v>
      </c>
      <c r="D26017" t="s">
        <v>1</v>
      </c>
      <c r="E26017" t="s">
        <v>1</v>
      </c>
      <c r="F26017" t="s">
        <v>0</v>
      </c>
      <c r="G26017" t="str">
        <f>"2018-10-05 17:04:45"</f>
        <v>2018-10-05 17:04:45</v>
      </c>
    </row>
    <row r="26018" spans="1:7" x14ac:dyDescent="0.2">
      <c r="A26018" t="s">
        <v>23925</v>
      </c>
      <c r="B26018" t="str">
        <f>"14795401609"</f>
        <v>14795401609</v>
      </c>
      <c r="C26018" t="str">
        <f>"450421198707081558"</f>
        <v>450421198707081558</v>
      </c>
      <c r="D26018" t="s">
        <v>23926</v>
      </c>
      <c r="E26018" t="s">
        <v>23927</v>
      </c>
      <c r="F26018" t="s">
        <v>0</v>
      </c>
      <c r="G26018" t="str">
        <f>"2018-10-05 18:14:26"</f>
        <v>2018-10-05 18:14:26</v>
      </c>
    </row>
    <row r="26019" spans="1:7" x14ac:dyDescent="0.2">
      <c r="A26019" t="s">
        <v>23928</v>
      </c>
      <c r="B26019" t="str">
        <f>"18127182182"</f>
        <v>18127182182</v>
      </c>
      <c r="C26019" t="str">
        <f>"445381198801112115"</f>
        <v>445381198801112115</v>
      </c>
      <c r="D26019" t="s">
        <v>1</v>
      </c>
      <c r="E26019" t="s">
        <v>1</v>
      </c>
      <c r="F26019" t="s">
        <v>0</v>
      </c>
      <c r="G26019" t="str">
        <f>"2018-10-05 17:07:01"</f>
        <v>2018-10-05 17:07:01</v>
      </c>
    </row>
    <row r="26020" spans="1:7" x14ac:dyDescent="0.2">
      <c r="A26020" t="s">
        <v>1</v>
      </c>
      <c r="B26020" t="str">
        <f>"15154575277"</f>
        <v>15154575277</v>
      </c>
      <c r="C26020" t="s">
        <v>1</v>
      </c>
      <c r="D26020" t="s">
        <v>1</v>
      </c>
      <c r="E26020" t="s">
        <v>1</v>
      </c>
      <c r="F26020" t="s">
        <v>0</v>
      </c>
      <c r="G26020" t="str">
        <f>"2018-10-05 17:03:37"</f>
        <v>2018-10-05 17:03:37</v>
      </c>
    </row>
    <row r="26021" spans="1:7" x14ac:dyDescent="0.2">
      <c r="A26021" t="s">
        <v>23929</v>
      </c>
      <c r="B26021" t="str">
        <f>"17621899842"</f>
        <v>17621899842</v>
      </c>
      <c r="C26021" t="str">
        <f>"330185199807023817"</f>
        <v>330185199807023817</v>
      </c>
      <c r="D26021" t="s">
        <v>23930</v>
      </c>
      <c r="E26021" t="s">
        <v>23931</v>
      </c>
      <c r="F26021" t="s">
        <v>0</v>
      </c>
      <c r="G26021" t="str">
        <f>"2018-10-05 17:02:36"</f>
        <v>2018-10-05 17:02:36</v>
      </c>
    </row>
    <row r="26022" spans="1:7" x14ac:dyDescent="0.2">
      <c r="A26022" t="s">
        <v>1645</v>
      </c>
      <c r="B26022" t="str">
        <f>"13527222107"</f>
        <v>13527222107</v>
      </c>
      <c r="C26022" t="str">
        <f>"440402198108119007"</f>
        <v>440402198108119007</v>
      </c>
      <c r="D26022" t="s">
        <v>1</v>
      </c>
      <c r="E26022" t="s">
        <v>1</v>
      </c>
      <c r="F26022" t="s">
        <v>0</v>
      </c>
      <c r="G26022" t="str">
        <f>"2018-10-05 17:05:32"</f>
        <v>2018-10-05 17:05:32</v>
      </c>
    </row>
    <row r="26023" spans="1:7" x14ac:dyDescent="0.2">
      <c r="A26023" t="s">
        <v>23932</v>
      </c>
      <c r="B26023" t="str">
        <f>"15096676434"</f>
        <v>15096676434</v>
      </c>
      <c r="C26023" t="str">
        <f>"530381198303234731"</f>
        <v>530381198303234731</v>
      </c>
      <c r="D26023" t="s">
        <v>1</v>
      </c>
      <c r="E26023" t="s">
        <v>1</v>
      </c>
      <c r="F26023" t="s">
        <v>0</v>
      </c>
      <c r="G26023" t="str">
        <f>"2018-11-04 11:08:25"</f>
        <v>2018-11-04 11:08:25</v>
      </c>
    </row>
    <row r="26024" spans="1:7" x14ac:dyDescent="0.2">
      <c r="A26024" t="s">
        <v>1</v>
      </c>
      <c r="B26024" t="str">
        <f>"15107065600"</f>
        <v>15107065600</v>
      </c>
      <c r="C26024" t="s">
        <v>1</v>
      </c>
      <c r="D26024" t="s">
        <v>1</v>
      </c>
      <c r="E26024" t="s">
        <v>1</v>
      </c>
      <c r="F26024" t="s">
        <v>0</v>
      </c>
      <c r="G26024" t="str">
        <f>"2018-10-05 17:01:38"</f>
        <v>2018-10-05 17:01:38</v>
      </c>
    </row>
    <row r="26025" spans="1:7" x14ac:dyDescent="0.2">
      <c r="A26025" t="s">
        <v>23933</v>
      </c>
      <c r="B26025" t="str">
        <f>"13936054137"</f>
        <v>13936054137</v>
      </c>
      <c r="C26025" t="str">
        <f>"232126199506251312"</f>
        <v>232126199506251312</v>
      </c>
      <c r="D26025" t="s">
        <v>23934</v>
      </c>
      <c r="E26025" t="s">
        <v>23935</v>
      </c>
      <c r="F26025" t="s">
        <v>0</v>
      </c>
      <c r="G26025" t="str">
        <f>"2018-10-05 17:05:12"</f>
        <v>2018-10-05 17:05:12</v>
      </c>
    </row>
    <row r="26026" spans="1:7" x14ac:dyDescent="0.2">
      <c r="A26026" t="s">
        <v>23936</v>
      </c>
      <c r="B26026" t="str">
        <f>"18310015733"</f>
        <v>18310015733</v>
      </c>
      <c r="C26026" t="str">
        <f>"320324199104266288"</f>
        <v>320324199104266288</v>
      </c>
      <c r="D26026" t="s">
        <v>1</v>
      </c>
      <c r="E26026" t="s">
        <v>1</v>
      </c>
      <c r="F26026" t="s">
        <v>0</v>
      </c>
      <c r="G26026" t="str">
        <f>"2018-10-05 17:33:58"</f>
        <v>2018-10-05 17:33:58</v>
      </c>
    </row>
    <row r="26027" spans="1:7" x14ac:dyDescent="0.2">
      <c r="A26027" t="s">
        <v>23937</v>
      </c>
      <c r="B26027" t="str">
        <f>"13618061038"</f>
        <v>13618061038</v>
      </c>
      <c r="C26027" t="str">
        <f>"513030198610220017"</f>
        <v>513030198610220017</v>
      </c>
      <c r="D26027" t="s">
        <v>23938</v>
      </c>
      <c r="E26027" t="s">
        <v>23939</v>
      </c>
      <c r="F26027" t="s">
        <v>0</v>
      </c>
      <c r="G26027" t="str">
        <f>"2018-10-18 10:00:43"</f>
        <v>2018-10-18 10:00:43</v>
      </c>
    </row>
    <row r="26028" spans="1:7" x14ac:dyDescent="0.2">
      <c r="A26028" t="s">
        <v>23940</v>
      </c>
      <c r="B26028" t="str">
        <f>"18294655579"</f>
        <v>18294655579</v>
      </c>
      <c r="C26028" t="str">
        <f>"622621199103014839"</f>
        <v>622621199103014839</v>
      </c>
      <c r="D26028" t="s">
        <v>1</v>
      </c>
      <c r="E26028" t="s">
        <v>1</v>
      </c>
      <c r="F26028" t="s">
        <v>0</v>
      </c>
      <c r="G26028" t="str">
        <f>"2018-10-05 17:01:58"</f>
        <v>2018-10-05 17:01:58</v>
      </c>
    </row>
    <row r="26029" spans="1:7" x14ac:dyDescent="0.2">
      <c r="A26029" t="s">
        <v>1</v>
      </c>
      <c r="B26029" t="str">
        <f>"17711765801"</f>
        <v>17711765801</v>
      </c>
      <c r="C26029" t="s">
        <v>1</v>
      </c>
      <c r="D26029" t="s">
        <v>1</v>
      </c>
      <c r="E26029" t="s">
        <v>1</v>
      </c>
      <c r="F26029" t="s">
        <v>0</v>
      </c>
      <c r="G26029" t="str">
        <f>"2018-10-05 16:59:44"</f>
        <v>2018-10-05 16:59:44</v>
      </c>
    </row>
    <row r="26030" spans="1:7" x14ac:dyDescent="0.2">
      <c r="A26030" t="s">
        <v>23941</v>
      </c>
      <c r="B26030" t="str">
        <f>"13518192907"</f>
        <v>13518192907</v>
      </c>
      <c r="C26030" t="str">
        <f>"510121199405187829"</f>
        <v>510121199405187829</v>
      </c>
      <c r="D26030" t="s">
        <v>1</v>
      </c>
      <c r="E26030" t="s">
        <v>1</v>
      </c>
      <c r="F26030" t="s">
        <v>0</v>
      </c>
      <c r="G26030" t="str">
        <f>"2018-10-05 17:00:38"</f>
        <v>2018-10-05 17:00:38</v>
      </c>
    </row>
    <row r="26031" spans="1:7" x14ac:dyDescent="0.2">
      <c r="A26031" t="s">
        <v>37</v>
      </c>
      <c r="B26031" t="str">
        <f>"18939612022"</f>
        <v>18939612022</v>
      </c>
      <c r="C26031" t="str">
        <f>"412728197604152836"</f>
        <v>412728197604152836</v>
      </c>
      <c r="D26031" t="s">
        <v>23942</v>
      </c>
      <c r="E26031" t="s">
        <v>23943</v>
      </c>
      <c r="F26031" t="s">
        <v>0</v>
      </c>
      <c r="G26031" t="str">
        <f>"2018-10-05 17:05:22"</f>
        <v>2018-10-05 17:05:22</v>
      </c>
    </row>
    <row r="26032" spans="1:7" x14ac:dyDescent="0.2">
      <c r="A26032" t="s">
        <v>23944</v>
      </c>
      <c r="B26032" t="str">
        <f>"13518833208"</f>
        <v>13518833208</v>
      </c>
      <c r="C26032" t="str">
        <f>"460004198805083817"</f>
        <v>460004198805083817</v>
      </c>
      <c r="D26032" t="s">
        <v>1</v>
      </c>
      <c r="E26032" t="s">
        <v>1</v>
      </c>
      <c r="F26032" t="s">
        <v>0</v>
      </c>
      <c r="G26032" t="str">
        <f>"2018-10-05 17:13:03"</f>
        <v>2018-10-05 17:13:03</v>
      </c>
    </row>
    <row r="26033" spans="1:7" x14ac:dyDescent="0.2">
      <c r="A26033" t="s">
        <v>23945</v>
      </c>
      <c r="B26033" t="str">
        <f>"15703157514"</f>
        <v>15703157514</v>
      </c>
      <c r="C26033" t="str">
        <f>"130223198904163218"</f>
        <v>130223198904163218</v>
      </c>
      <c r="D26033" t="s">
        <v>23946</v>
      </c>
      <c r="E26033" t="s">
        <v>23947</v>
      </c>
      <c r="F26033" t="s">
        <v>0</v>
      </c>
      <c r="G26033" t="str">
        <f>"2018-10-05 17:00:37"</f>
        <v>2018-10-05 17:00:37</v>
      </c>
    </row>
    <row r="26034" spans="1:7" x14ac:dyDescent="0.2">
      <c r="A26034" t="s">
        <v>23948</v>
      </c>
      <c r="B26034" t="str">
        <f>"13625058861"</f>
        <v>13625058861</v>
      </c>
      <c r="C26034" t="str">
        <f>"350121198206041275"</f>
        <v>350121198206041275</v>
      </c>
      <c r="D26034" t="s">
        <v>23949</v>
      </c>
      <c r="E26034" t="s">
        <v>23950</v>
      </c>
      <c r="F26034" t="s">
        <v>0</v>
      </c>
      <c r="G26034" t="str">
        <f>"2018-10-05 16:58:40"</f>
        <v>2018-10-05 16:58:40</v>
      </c>
    </row>
    <row r="26035" spans="1:7" x14ac:dyDescent="0.2">
      <c r="A26035" t="s">
        <v>23951</v>
      </c>
      <c r="B26035" t="str">
        <f>"18020209241"</f>
        <v>18020209241</v>
      </c>
      <c r="C26035" t="str">
        <f>"14272319890429143X"</f>
        <v>14272319890429143X</v>
      </c>
      <c r="D26035" t="s">
        <v>1</v>
      </c>
      <c r="E26035" t="s">
        <v>1</v>
      </c>
      <c r="F26035" t="s">
        <v>0</v>
      </c>
      <c r="G26035" t="str">
        <f>"2018-10-05 16:57:18"</f>
        <v>2018-10-05 16:57:18</v>
      </c>
    </row>
    <row r="26036" spans="1:7" x14ac:dyDescent="0.2">
      <c r="A26036" t="s">
        <v>176</v>
      </c>
      <c r="B26036" t="str">
        <f>"18205299960"</f>
        <v>18205299960</v>
      </c>
      <c r="C26036" t="str">
        <f>"321183198807090026"</f>
        <v>321183198807090026</v>
      </c>
      <c r="D26036" t="s">
        <v>1</v>
      </c>
      <c r="E26036" t="s">
        <v>1</v>
      </c>
      <c r="F26036" t="s">
        <v>0</v>
      </c>
      <c r="G26036" t="str">
        <f>"2018-10-26 13:30:09"</f>
        <v>2018-10-26 13:30:09</v>
      </c>
    </row>
    <row r="26037" spans="1:7" x14ac:dyDescent="0.2">
      <c r="A26037" t="s">
        <v>813</v>
      </c>
      <c r="B26037" t="str">
        <f>"15192180665"</f>
        <v>15192180665</v>
      </c>
      <c r="C26037" t="str">
        <f>"372527198401306334"</f>
        <v>372527198401306334</v>
      </c>
      <c r="D26037" t="s">
        <v>1</v>
      </c>
      <c r="E26037" t="s">
        <v>1</v>
      </c>
      <c r="F26037" t="s">
        <v>0</v>
      </c>
      <c r="G26037" t="str">
        <f>"2018-10-05 16:57:36"</f>
        <v>2018-10-05 16:57:36</v>
      </c>
    </row>
    <row r="26038" spans="1:7" x14ac:dyDescent="0.2">
      <c r="A26038" t="s">
        <v>435</v>
      </c>
      <c r="B26038" t="str">
        <f>"15269489990"</f>
        <v>15269489990</v>
      </c>
      <c r="C26038" t="str">
        <f>"371402199305100011"</f>
        <v>371402199305100011</v>
      </c>
      <c r="D26038" t="s">
        <v>1</v>
      </c>
      <c r="E26038" t="s">
        <v>1</v>
      </c>
      <c r="F26038" t="s">
        <v>0</v>
      </c>
      <c r="G26038" t="str">
        <f>"2018-10-05 16:55:40"</f>
        <v>2018-10-05 16:55:40</v>
      </c>
    </row>
    <row r="26039" spans="1:7" x14ac:dyDescent="0.2">
      <c r="A26039" t="s">
        <v>23952</v>
      </c>
      <c r="B26039" t="str">
        <f>"17711039482"</f>
        <v>17711039482</v>
      </c>
      <c r="C26039" t="str">
        <f>"362326199607160911"</f>
        <v>362326199607160911</v>
      </c>
      <c r="D26039" t="s">
        <v>1</v>
      </c>
      <c r="E26039" t="s">
        <v>1</v>
      </c>
      <c r="F26039" t="s">
        <v>0</v>
      </c>
      <c r="G26039" t="str">
        <f>"2018-10-05 16:55:56"</f>
        <v>2018-10-05 16:55:56</v>
      </c>
    </row>
    <row r="26040" spans="1:7" x14ac:dyDescent="0.2">
      <c r="A26040" t="s">
        <v>23953</v>
      </c>
      <c r="B26040" t="str">
        <f>"13799694164"</f>
        <v>13799694164</v>
      </c>
      <c r="C26040" t="str">
        <f>"350424198607210936"</f>
        <v>350424198607210936</v>
      </c>
      <c r="D26040" t="s">
        <v>23954</v>
      </c>
      <c r="E26040" t="s">
        <v>23955</v>
      </c>
      <c r="F26040" t="s">
        <v>0</v>
      </c>
      <c r="G26040" t="str">
        <f>"2018-10-05 17:10:37"</f>
        <v>2018-10-05 17:10:37</v>
      </c>
    </row>
    <row r="26041" spans="1:7" x14ac:dyDescent="0.2">
      <c r="A26041" t="s">
        <v>1</v>
      </c>
      <c r="B26041" t="str">
        <f>"18235659368"</f>
        <v>18235659368</v>
      </c>
      <c r="C26041" t="s">
        <v>1</v>
      </c>
      <c r="D26041" t="s">
        <v>1</v>
      </c>
      <c r="E26041" t="s">
        <v>1</v>
      </c>
      <c r="F26041" t="s">
        <v>0</v>
      </c>
      <c r="G26041" t="str">
        <f>"2018-10-05 16:53:42"</f>
        <v>2018-10-05 16:53:42</v>
      </c>
    </row>
    <row r="26042" spans="1:7" x14ac:dyDescent="0.2">
      <c r="A26042" t="s">
        <v>23956</v>
      </c>
      <c r="B26042" t="str">
        <f>"13893556360"</f>
        <v>13893556360</v>
      </c>
      <c r="C26042" t="str">
        <f>"622301198502289198"</f>
        <v>622301198502289198</v>
      </c>
      <c r="D26042" t="s">
        <v>23957</v>
      </c>
      <c r="E26042" t="s">
        <v>23958</v>
      </c>
      <c r="F26042" t="s">
        <v>0</v>
      </c>
      <c r="G26042" t="str">
        <f>"2018-10-05 17:07:10"</f>
        <v>2018-10-05 17:07:10</v>
      </c>
    </row>
    <row r="26043" spans="1:7" x14ac:dyDescent="0.2">
      <c r="A26043" t="s">
        <v>23959</v>
      </c>
      <c r="B26043" t="str">
        <f>"15852169525"</f>
        <v>15852169525</v>
      </c>
      <c r="C26043" t="str">
        <f>"320302198410300816"</f>
        <v>320302198410300816</v>
      </c>
      <c r="D26043" t="s">
        <v>1</v>
      </c>
      <c r="E26043" t="s">
        <v>1</v>
      </c>
      <c r="F26043" t="s">
        <v>0</v>
      </c>
      <c r="G26043" t="str">
        <f>"2018-10-05 16:54:05"</f>
        <v>2018-10-05 16:54:05</v>
      </c>
    </row>
    <row r="26044" spans="1:7" x14ac:dyDescent="0.2">
      <c r="A26044" t="s">
        <v>1</v>
      </c>
      <c r="B26044" t="str">
        <f>"13719678743"</f>
        <v>13719678743</v>
      </c>
      <c r="C26044" t="s">
        <v>1</v>
      </c>
      <c r="D26044" t="s">
        <v>1</v>
      </c>
      <c r="E26044" t="s">
        <v>1</v>
      </c>
      <c r="F26044" t="s">
        <v>0</v>
      </c>
      <c r="G26044" t="str">
        <f>"2018-10-05 16:52:32"</f>
        <v>2018-10-05 16:52:32</v>
      </c>
    </row>
    <row r="26045" spans="1:7" x14ac:dyDescent="0.2">
      <c r="A26045" t="s">
        <v>23960</v>
      </c>
      <c r="B26045" t="str">
        <f>"13475120308"</f>
        <v>13475120308</v>
      </c>
      <c r="C26045" t="str">
        <f>"210204198910243039"</f>
        <v>210204198910243039</v>
      </c>
      <c r="D26045" t="s">
        <v>23961</v>
      </c>
      <c r="E26045" t="s">
        <v>23962</v>
      </c>
      <c r="F26045" t="s">
        <v>0</v>
      </c>
      <c r="G26045" t="str">
        <f>"2018-10-06 15:10:01"</f>
        <v>2018-10-06 15:10:01</v>
      </c>
    </row>
    <row r="26046" spans="1:7" x14ac:dyDescent="0.2">
      <c r="A26046" t="s">
        <v>23963</v>
      </c>
      <c r="B26046" t="str">
        <f>"13632875296"</f>
        <v>13632875296</v>
      </c>
      <c r="C26046" t="str">
        <f>"340406198102051218"</f>
        <v>340406198102051218</v>
      </c>
      <c r="D26046" t="s">
        <v>1</v>
      </c>
      <c r="E26046" t="s">
        <v>1</v>
      </c>
      <c r="F26046" t="s">
        <v>0</v>
      </c>
      <c r="G26046" t="str">
        <f>"2018-10-05 16:53:14"</f>
        <v>2018-10-05 16:53:14</v>
      </c>
    </row>
    <row r="26047" spans="1:7" x14ac:dyDescent="0.2">
      <c r="A26047" t="s">
        <v>23964</v>
      </c>
      <c r="B26047" t="str">
        <f>"17508928868"</f>
        <v>17508928868</v>
      </c>
      <c r="C26047" t="str">
        <f>"510321199208011577"</f>
        <v>510321199208011577</v>
      </c>
      <c r="D26047" t="s">
        <v>1</v>
      </c>
      <c r="E26047" t="s">
        <v>1</v>
      </c>
      <c r="F26047" t="s">
        <v>0</v>
      </c>
      <c r="G26047" t="str">
        <f>"2018-10-05 16:52:59"</f>
        <v>2018-10-05 16:52:59</v>
      </c>
    </row>
    <row r="26048" spans="1:7" x14ac:dyDescent="0.2">
      <c r="A26048" t="s">
        <v>23965</v>
      </c>
      <c r="B26048" t="str">
        <f>"15856996132"</f>
        <v>15856996132</v>
      </c>
      <c r="C26048" t="str">
        <f>"342401199008196933"</f>
        <v>342401199008196933</v>
      </c>
      <c r="D26048" t="s">
        <v>1</v>
      </c>
      <c r="E26048" t="s">
        <v>1</v>
      </c>
      <c r="F26048" t="s">
        <v>0</v>
      </c>
      <c r="G26048" t="str">
        <f>"2018-10-05 16:53:47"</f>
        <v>2018-10-05 16:53:47</v>
      </c>
    </row>
    <row r="26049" spans="1:7" x14ac:dyDescent="0.2">
      <c r="A26049" t="s">
        <v>23966</v>
      </c>
      <c r="B26049" t="str">
        <f>"13052711197"</f>
        <v>13052711197</v>
      </c>
      <c r="C26049" t="str">
        <f>"21020219830822641X"</f>
        <v>21020219830822641X</v>
      </c>
      <c r="D26049" t="s">
        <v>1</v>
      </c>
      <c r="E26049" t="s">
        <v>1</v>
      </c>
      <c r="F26049" t="s">
        <v>0</v>
      </c>
      <c r="G26049" t="str">
        <f>"2018-10-14 19:33:40"</f>
        <v>2018-10-14 19:33:40</v>
      </c>
    </row>
    <row r="26050" spans="1:7" x14ac:dyDescent="0.2">
      <c r="A26050" t="s">
        <v>1</v>
      </c>
      <c r="B26050" t="str">
        <f>"13721653551"</f>
        <v>13721653551</v>
      </c>
      <c r="C26050" t="s">
        <v>1</v>
      </c>
      <c r="D26050" t="s">
        <v>1</v>
      </c>
      <c r="E26050" t="s">
        <v>1</v>
      </c>
      <c r="F26050" t="s">
        <v>0</v>
      </c>
      <c r="G26050" t="str">
        <f>"2018-10-05 16:50:30"</f>
        <v>2018-10-05 16:50:30</v>
      </c>
    </row>
    <row r="26051" spans="1:7" x14ac:dyDescent="0.2">
      <c r="A26051" t="s">
        <v>14</v>
      </c>
      <c r="B26051" t="str">
        <f>"13243752888"</f>
        <v>13243752888</v>
      </c>
      <c r="C26051" t="str">
        <f>"230183198509286212"</f>
        <v>230183198509286212</v>
      </c>
      <c r="D26051" t="s">
        <v>23967</v>
      </c>
      <c r="E26051" t="s">
        <v>23968</v>
      </c>
      <c r="F26051" t="s">
        <v>0</v>
      </c>
      <c r="G26051" t="str">
        <f>"2018-10-05 16:52:09"</f>
        <v>2018-10-05 16:52:09</v>
      </c>
    </row>
    <row r="26052" spans="1:7" x14ac:dyDescent="0.2">
      <c r="A26052" t="s">
        <v>23969</v>
      </c>
      <c r="B26052" t="str">
        <f>"15517502628"</f>
        <v>15517502628</v>
      </c>
      <c r="C26052" t="str">
        <f>"410181198710256999"</f>
        <v>410181198710256999</v>
      </c>
      <c r="D26052" t="s">
        <v>1</v>
      </c>
      <c r="E26052" t="s">
        <v>1</v>
      </c>
      <c r="F26052" t="s">
        <v>0</v>
      </c>
      <c r="G26052" t="str">
        <f>"2018-10-05 16:51:38"</f>
        <v>2018-10-05 16:51:38</v>
      </c>
    </row>
    <row r="26053" spans="1:7" x14ac:dyDescent="0.2">
      <c r="A26053" t="s">
        <v>23970</v>
      </c>
      <c r="B26053" t="str">
        <f>"15150335464"</f>
        <v>15150335464</v>
      </c>
      <c r="C26053" t="str">
        <f>"320325198204079019"</f>
        <v>320325198204079019</v>
      </c>
      <c r="D26053" t="s">
        <v>1</v>
      </c>
      <c r="E26053" t="s">
        <v>1</v>
      </c>
      <c r="F26053" t="s">
        <v>0</v>
      </c>
      <c r="G26053" t="str">
        <f>"2018-10-05 16:55:45"</f>
        <v>2018-10-05 16:55:45</v>
      </c>
    </row>
    <row r="26054" spans="1:7" x14ac:dyDescent="0.2">
      <c r="A26054" t="s">
        <v>1</v>
      </c>
      <c r="B26054" t="str">
        <f>"18435925340"</f>
        <v>18435925340</v>
      </c>
      <c r="C26054" t="s">
        <v>1</v>
      </c>
      <c r="D26054" t="s">
        <v>1</v>
      </c>
      <c r="E26054" t="s">
        <v>1</v>
      </c>
      <c r="F26054" t="s">
        <v>0</v>
      </c>
      <c r="G26054" t="str">
        <f>"2018-10-05 16:48:44"</f>
        <v>2018-10-05 16:48:44</v>
      </c>
    </row>
    <row r="26055" spans="1:7" x14ac:dyDescent="0.2">
      <c r="A26055" t="s">
        <v>23971</v>
      </c>
      <c r="B26055" t="str">
        <f>"15257246352"</f>
        <v>15257246352</v>
      </c>
      <c r="C26055" t="str">
        <f>"330522199303131319"</f>
        <v>330522199303131319</v>
      </c>
      <c r="D26055" t="s">
        <v>1</v>
      </c>
      <c r="E26055" t="s">
        <v>1</v>
      </c>
      <c r="F26055" t="s">
        <v>0</v>
      </c>
      <c r="G26055" t="str">
        <f>"2018-10-05 16:52:42"</f>
        <v>2018-10-05 16:52:42</v>
      </c>
    </row>
    <row r="26056" spans="1:7" x14ac:dyDescent="0.2">
      <c r="A26056" t="s">
        <v>23972</v>
      </c>
      <c r="B26056" t="str">
        <f>"13903779141"</f>
        <v>13903779141</v>
      </c>
      <c r="C26056" t="str">
        <f>"412925197510201571"</f>
        <v>412925197510201571</v>
      </c>
      <c r="D26056" t="s">
        <v>1</v>
      </c>
      <c r="E26056" t="s">
        <v>1</v>
      </c>
      <c r="F26056" t="s">
        <v>0</v>
      </c>
      <c r="G26056" t="str">
        <f>"2018-10-05 18:48:25"</f>
        <v>2018-10-05 18:48:25</v>
      </c>
    </row>
    <row r="26057" spans="1:7" x14ac:dyDescent="0.2">
      <c r="A26057" t="s">
        <v>1</v>
      </c>
      <c r="B26057" t="str">
        <f>"15929945471"</f>
        <v>15929945471</v>
      </c>
      <c r="C26057" t="s">
        <v>1</v>
      </c>
      <c r="D26057" t="s">
        <v>1</v>
      </c>
      <c r="E26057" t="s">
        <v>1</v>
      </c>
      <c r="F26057" t="s">
        <v>0</v>
      </c>
      <c r="G26057" t="str">
        <f>"2018-10-05 16:46:21"</f>
        <v>2018-10-05 16:46:21</v>
      </c>
    </row>
    <row r="26058" spans="1:7" x14ac:dyDescent="0.2">
      <c r="A26058" t="s">
        <v>1</v>
      </c>
      <c r="B26058" t="str">
        <f>"15173397950"</f>
        <v>15173397950</v>
      </c>
      <c r="C26058" t="s">
        <v>1</v>
      </c>
      <c r="D26058" t="s">
        <v>1</v>
      </c>
      <c r="E26058" t="s">
        <v>1</v>
      </c>
      <c r="F26058" t="s">
        <v>0</v>
      </c>
      <c r="G26058" t="str">
        <f>"2018-10-05 16:44:53"</f>
        <v>2018-10-05 16:44:53</v>
      </c>
    </row>
    <row r="26059" spans="1:7" x14ac:dyDescent="0.2">
      <c r="A26059" t="s">
        <v>23973</v>
      </c>
      <c r="B26059" t="str">
        <f>"13413584231"</f>
        <v>13413584231</v>
      </c>
      <c r="C26059" t="str">
        <f>"441827199506076828"</f>
        <v>441827199506076828</v>
      </c>
      <c r="D26059" t="s">
        <v>1</v>
      </c>
      <c r="E26059" t="s">
        <v>1</v>
      </c>
      <c r="F26059" t="s">
        <v>0</v>
      </c>
      <c r="G26059" t="str">
        <f>"2018-10-05 16:46:11"</f>
        <v>2018-10-05 16:46:11</v>
      </c>
    </row>
    <row r="26060" spans="1:7" x14ac:dyDescent="0.2">
      <c r="A26060" t="s">
        <v>1</v>
      </c>
      <c r="B26060" t="str">
        <f>"13855885296"</f>
        <v>13855885296</v>
      </c>
      <c r="C26060" t="s">
        <v>1</v>
      </c>
      <c r="D26060" t="s">
        <v>1</v>
      </c>
      <c r="E26060" t="s">
        <v>1</v>
      </c>
      <c r="F26060" t="s">
        <v>0</v>
      </c>
      <c r="G26060" t="str">
        <f>"2018-10-05 16:44:15"</f>
        <v>2018-10-05 16:44:15</v>
      </c>
    </row>
    <row r="26061" spans="1:7" x14ac:dyDescent="0.2">
      <c r="A26061" t="s">
        <v>23974</v>
      </c>
      <c r="B26061" t="str">
        <f>"18212204061"</f>
        <v>18212204061</v>
      </c>
      <c r="C26061" t="str">
        <f>"522101199005057222"</f>
        <v>522101199005057222</v>
      </c>
      <c r="D26061" t="s">
        <v>1</v>
      </c>
      <c r="E26061" t="s">
        <v>1</v>
      </c>
      <c r="F26061" t="s">
        <v>0</v>
      </c>
      <c r="G26061" t="str">
        <f>"2018-10-05 16:46:42"</f>
        <v>2018-10-05 16:46:42</v>
      </c>
    </row>
    <row r="26062" spans="1:7" x14ac:dyDescent="0.2">
      <c r="A26062" t="s">
        <v>23975</v>
      </c>
      <c r="B26062" t="str">
        <f>"13059454396"</f>
        <v>13059454396</v>
      </c>
      <c r="C26062" t="str">
        <f>"452724199612032536"</f>
        <v>452724199612032536</v>
      </c>
      <c r="D26062" t="s">
        <v>1</v>
      </c>
      <c r="E26062" t="s">
        <v>1</v>
      </c>
      <c r="F26062" t="s">
        <v>0</v>
      </c>
      <c r="G26062" t="str">
        <f>"2018-10-05 16:45:26"</f>
        <v>2018-10-05 16:45:26</v>
      </c>
    </row>
    <row r="26063" spans="1:7" x14ac:dyDescent="0.2">
      <c r="A26063" t="s">
        <v>23976</v>
      </c>
      <c r="B26063" t="str">
        <f>"15995001779"</f>
        <v>15995001779</v>
      </c>
      <c r="C26063" t="str">
        <f>"610526199009204639"</f>
        <v>610526199009204639</v>
      </c>
      <c r="D26063" t="s">
        <v>23977</v>
      </c>
      <c r="E26063" t="s">
        <v>23978</v>
      </c>
      <c r="F26063" t="s">
        <v>0</v>
      </c>
      <c r="G26063" t="str">
        <f>"2018-10-19 09:18:25"</f>
        <v>2018-10-19 09:18:25</v>
      </c>
    </row>
    <row r="26064" spans="1:7" x14ac:dyDescent="0.2">
      <c r="A26064" t="s">
        <v>23979</v>
      </c>
      <c r="B26064" t="str">
        <f>"15116595741"</f>
        <v>15116595741</v>
      </c>
      <c r="C26064" t="str">
        <f>"431228199912112718"</f>
        <v>431228199912112718</v>
      </c>
      <c r="D26064" t="s">
        <v>1</v>
      </c>
      <c r="E26064" t="s">
        <v>1</v>
      </c>
      <c r="F26064" t="s">
        <v>0</v>
      </c>
      <c r="G26064" t="str">
        <f>"2018-10-05 16:43:19"</f>
        <v>2018-10-05 16:43:19</v>
      </c>
    </row>
    <row r="26065" spans="1:7" x14ac:dyDescent="0.2">
      <c r="A26065" t="s">
        <v>1</v>
      </c>
      <c r="B26065" t="str">
        <f>"15533737006"</f>
        <v>15533737006</v>
      </c>
      <c r="C26065" t="s">
        <v>1</v>
      </c>
      <c r="D26065" t="s">
        <v>1</v>
      </c>
      <c r="E26065" t="s">
        <v>1</v>
      </c>
      <c r="F26065" t="s">
        <v>0</v>
      </c>
      <c r="G26065" t="str">
        <f>"2018-10-05 16:42:10"</f>
        <v>2018-10-05 16:42:10</v>
      </c>
    </row>
    <row r="26066" spans="1:7" x14ac:dyDescent="0.2">
      <c r="A26066" t="s">
        <v>23980</v>
      </c>
      <c r="B26066" t="str">
        <f>"17640449219"</f>
        <v>17640449219</v>
      </c>
      <c r="C26066" t="str">
        <f>"210403199604240015"</f>
        <v>210403199604240015</v>
      </c>
      <c r="D26066" t="s">
        <v>23981</v>
      </c>
      <c r="E26066" t="s">
        <v>23982</v>
      </c>
      <c r="F26066" t="s">
        <v>0</v>
      </c>
      <c r="G26066" t="str">
        <f>"2018-10-05 16:43:13"</f>
        <v>2018-10-05 16:43:13</v>
      </c>
    </row>
    <row r="26067" spans="1:7" x14ac:dyDescent="0.2">
      <c r="A26067" t="s">
        <v>18891</v>
      </c>
      <c r="B26067" t="str">
        <f>"15072926126"</f>
        <v>15072926126</v>
      </c>
      <c r="C26067" t="str">
        <f>"420700196809246034"</f>
        <v>420700196809246034</v>
      </c>
      <c r="D26067" t="s">
        <v>1</v>
      </c>
      <c r="E26067" t="s">
        <v>1</v>
      </c>
      <c r="F26067" t="s">
        <v>0</v>
      </c>
      <c r="G26067" t="str">
        <f>"2018-10-05 16:42:53"</f>
        <v>2018-10-05 16:42:53</v>
      </c>
    </row>
    <row r="26068" spans="1:7" x14ac:dyDescent="0.2">
      <c r="A26068" t="s">
        <v>23983</v>
      </c>
      <c r="B26068" t="str">
        <f>"15887412220"</f>
        <v>15887412220</v>
      </c>
      <c r="C26068" t="str">
        <f>"53032419970922037X"</f>
        <v>53032419970922037X</v>
      </c>
      <c r="D26068" t="s">
        <v>23984</v>
      </c>
      <c r="E26068" t="s">
        <v>23985</v>
      </c>
      <c r="F26068" t="s">
        <v>0</v>
      </c>
      <c r="G26068" t="str">
        <f>"2018-10-05 16:44:11"</f>
        <v>2018-10-05 16:44:11</v>
      </c>
    </row>
    <row r="26069" spans="1:7" x14ac:dyDescent="0.2">
      <c r="A26069" t="s">
        <v>1</v>
      </c>
      <c r="B26069" t="str">
        <f>"18993551355"</f>
        <v>18993551355</v>
      </c>
      <c r="C26069" t="s">
        <v>1</v>
      </c>
      <c r="D26069" t="s">
        <v>1</v>
      </c>
      <c r="E26069" t="s">
        <v>1</v>
      </c>
      <c r="F26069" t="s">
        <v>0</v>
      </c>
      <c r="G26069" t="str">
        <f>"2018-10-05 16:41:19"</f>
        <v>2018-10-05 16:41:19</v>
      </c>
    </row>
    <row r="26070" spans="1:7" x14ac:dyDescent="0.2">
      <c r="A26070" t="s">
        <v>1</v>
      </c>
      <c r="B26070" t="str">
        <f>"13146918980"</f>
        <v>13146918980</v>
      </c>
      <c r="C26070" t="s">
        <v>1</v>
      </c>
      <c r="D26070" t="s">
        <v>1</v>
      </c>
      <c r="E26070" t="s">
        <v>1</v>
      </c>
      <c r="F26070" t="s">
        <v>0</v>
      </c>
      <c r="G26070" t="str">
        <f>"2018-10-05 16:41:17"</f>
        <v>2018-10-05 16:41:17</v>
      </c>
    </row>
    <row r="26071" spans="1:7" x14ac:dyDescent="0.2">
      <c r="A26071" t="s">
        <v>23986</v>
      </c>
      <c r="B26071" t="str">
        <f>"13150649896"</f>
        <v>13150649896</v>
      </c>
      <c r="C26071" t="str">
        <f>"532924198909290321"</f>
        <v>532924198909290321</v>
      </c>
      <c r="D26071" t="s">
        <v>1</v>
      </c>
      <c r="E26071" t="s">
        <v>1</v>
      </c>
      <c r="F26071" t="s">
        <v>0</v>
      </c>
      <c r="G26071" t="str">
        <f>"2018-10-05 16:42:08"</f>
        <v>2018-10-05 16:42:08</v>
      </c>
    </row>
    <row r="26072" spans="1:7" x14ac:dyDescent="0.2">
      <c r="A26072" t="s">
        <v>1</v>
      </c>
      <c r="B26072" t="str">
        <f>"15319965909"</f>
        <v>15319965909</v>
      </c>
      <c r="C26072" t="s">
        <v>1</v>
      </c>
      <c r="D26072" t="s">
        <v>1</v>
      </c>
      <c r="E26072" t="s">
        <v>1</v>
      </c>
      <c r="F26072" t="s">
        <v>0</v>
      </c>
      <c r="G26072" t="str">
        <f>"2018-10-05 16:40:44"</f>
        <v>2018-10-05 16:40:44</v>
      </c>
    </row>
    <row r="26073" spans="1:7" x14ac:dyDescent="0.2">
      <c r="A26073" t="s">
        <v>23987</v>
      </c>
      <c r="B26073" t="str">
        <f>"18589537775"</f>
        <v>18589537775</v>
      </c>
      <c r="C26073" t="str">
        <f>"460002200005143436"</f>
        <v>460002200005143436</v>
      </c>
      <c r="D26073" t="s">
        <v>1</v>
      </c>
      <c r="E26073" t="s">
        <v>1</v>
      </c>
      <c r="F26073" t="s">
        <v>0</v>
      </c>
      <c r="G26073" t="str">
        <f>"2018-10-05 16:43:45"</f>
        <v>2018-10-05 16:43:45</v>
      </c>
    </row>
    <row r="26074" spans="1:7" x14ac:dyDescent="0.2">
      <c r="A26074" t="s">
        <v>23988</v>
      </c>
      <c r="B26074" t="str">
        <f>"18910701336"</f>
        <v>18910701336</v>
      </c>
      <c r="C26074" t="str">
        <f>"320721198211032821"</f>
        <v>320721198211032821</v>
      </c>
      <c r="D26074" t="s">
        <v>23989</v>
      </c>
      <c r="E26074" t="s">
        <v>23990</v>
      </c>
      <c r="F26074" t="s">
        <v>0</v>
      </c>
      <c r="G26074" t="str">
        <f>"2018-10-06 12:45:34"</f>
        <v>2018-10-06 12:45:34</v>
      </c>
    </row>
    <row r="26075" spans="1:7" x14ac:dyDescent="0.2">
      <c r="A26075" t="s">
        <v>1</v>
      </c>
      <c r="B26075" t="str">
        <f>"15157226092"</f>
        <v>15157226092</v>
      </c>
      <c r="C26075" t="s">
        <v>1</v>
      </c>
      <c r="D26075" t="s">
        <v>1</v>
      </c>
      <c r="E26075" t="s">
        <v>1</v>
      </c>
      <c r="F26075" t="s">
        <v>0</v>
      </c>
      <c r="G26075" t="str">
        <f>"2018-10-05 16:40:08"</f>
        <v>2018-10-05 16:40:08</v>
      </c>
    </row>
    <row r="26076" spans="1:7" x14ac:dyDescent="0.2">
      <c r="A26076" t="s">
        <v>1</v>
      </c>
      <c r="B26076" t="str">
        <f>"15213797000"</f>
        <v>15213797000</v>
      </c>
      <c r="C26076" t="s">
        <v>1</v>
      </c>
      <c r="D26076" t="s">
        <v>1</v>
      </c>
      <c r="E26076" t="s">
        <v>1</v>
      </c>
      <c r="F26076" t="s">
        <v>0</v>
      </c>
      <c r="G26076" t="str">
        <f>"2018-10-05 16:40:07"</f>
        <v>2018-10-05 16:40:07</v>
      </c>
    </row>
    <row r="26077" spans="1:7" x14ac:dyDescent="0.2">
      <c r="A26077" t="s">
        <v>23991</v>
      </c>
      <c r="B26077" t="str">
        <f>"18571237732"</f>
        <v>18571237732</v>
      </c>
      <c r="C26077" t="str">
        <f>"422801199306224615"</f>
        <v>422801199306224615</v>
      </c>
      <c r="D26077" t="s">
        <v>1</v>
      </c>
      <c r="E26077" t="s">
        <v>1</v>
      </c>
      <c r="F26077" t="s">
        <v>0</v>
      </c>
      <c r="G26077" t="str">
        <f>"2018-10-12 16:19:16"</f>
        <v>2018-10-12 16:19:16</v>
      </c>
    </row>
    <row r="26078" spans="1:7" x14ac:dyDescent="0.2">
      <c r="A26078" t="s">
        <v>1013</v>
      </c>
      <c r="B26078" t="str">
        <f>"18990961882"</f>
        <v>18990961882</v>
      </c>
      <c r="C26078" t="str">
        <f>"511502199709260013"</f>
        <v>511502199709260013</v>
      </c>
      <c r="D26078" t="s">
        <v>1</v>
      </c>
      <c r="E26078" t="s">
        <v>1</v>
      </c>
      <c r="F26078" t="s">
        <v>0</v>
      </c>
      <c r="G26078" t="str">
        <f>"2018-10-05 16:41:20"</f>
        <v>2018-10-05 16:41:20</v>
      </c>
    </row>
    <row r="26079" spans="1:7" x14ac:dyDescent="0.2">
      <c r="A26079" t="s">
        <v>23992</v>
      </c>
      <c r="B26079" t="str">
        <f>"13560739442"</f>
        <v>13560739442</v>
      </c>
      <c r="C26079" t="str">
        <f>"450703199411237283"</f>
        <v>450703199411237283</v>
      </c>
      <c r="D26079" t="s">
        <v>1</v>
      </c>
      <c r="E26079" t="s">
        <v>1</v>
      </c>
      <c r="F26079" t="s">
        <v>0</v>
      </c>
      <c r="G26079" t="str">
        <f>"2018-10-05 16:41:47"</f>
        <v>2018-10-05 16:41:47</v>
      </c>
    </row>
    <row r="26080" spans="1:7" x14ac:dyDescent="0.2">
      <c r="A26080" t="s">
        <v>4507</v>
      </c>
      <c r="B26080" t="str">
        <f>"17731918988"</f>
        <v>17731918988</v>
      </c>
      <c r="C26080" t="str">
        <f>"130522198411091236"</f>
        <v>130522198411091236</v>
      </c>
      <c r="D26080" t="s">
        <v>1</v>
      </c>
      <c r="E26080" t="s">
        <v>1</v>
      </c>
      <c r="F26080" t="s">
        <v>0</v>
      </c>
      <c r="G26080" t="str">
        <f>"2018-10-05 16:41:56"</f>
        <v>2018-10-05 16:41:56</v>
      </c>
    </row>
    <row r="26081" spans="1:7" x14ac:dyDescent="0.2">
      <c r="A26081" t="s">
        <v>1</v>
      </c>
      <c r="B26081" t="str">
        <f>"15577924984"</f>
        <v>15577924984</v>
      </c>
      <c r="C26081" t="s">
        <v>1</v>
      </c>
      <c r="D26081" t="s">
        <v>1</v>
      </c>
      <c r="E26081" t="s">
        <v>1</v>
      </c>
      <c r="F26081" t="s">
        <v>0</v>
      </c>
      <c r="G26081" t="str">
        <f>"2018-10-05 16:39:11"</f>
        <v>2018-10-05 16:39:11</v>
      </c>
    </row>
    <row r="26082" spans="1:7" x14ac:dyDescent="0.2">
      <c r="A26082" t="s">
        <v>23993</v>
      </c>
      <c r="B26082" t="str">
        <f>"15327902132"</f>
        <v>15327902132</v>
      </c>
      <c r="C26082" t="str">
        <f>"420607199202113211"</f>
        <v>420607199202113211</v>
      </c>
      <c r="D26082" t="s">
        <v>1</v>
      </c>
      <c r="E26082" t="s">
        <v>1</v>
      </c>
      <c r="F26082" t="s">
        <v>0</v>
      </c>
      <c r="G26082" t="str">
        <f>"2018-10-05 17:54:34"</f>
        <v>2018-10-05 17:54:34</v>
      </c>
    </row>
    <row r="26083" spans="1:7" x14ac:dyDescent="0.2">
      <c r="A26083" t="s">
        <v>244</v>
      </c>
      <c r="B26083" t="str">
        <f>"13950552628"</f>
        <v>13950552628</v>
      </c>
      <c r="C26083" t="str">
        <f>"410522198508152012"</f>
        <v>410522198508152012</v>
      </c>
      <c r="D26083" t="s">
        <v>1</v>
      </c>
      <c r="E26083" t="s">
        <v>1</v>
      </c>
      <c r="F26083" t="s">
        <v>0</v>
      </c>
      <c r="G26083" t="str">
        <f>"2018-10-05 16:40:14"</f>
        <v>2018-10-05 16:40:14</v>
      </c>
    </row>
    <row r="26084" spans="1:7" x14ac:dyDescent="0.2">
      <c r="A26084" t="s">
        <v>23994</v>
      </c>
      <c r="B26084" t="str">
        <f>"15121094108"</f>
        <v>15121094108</v>
      </c>
      <c r="C26084" t="str">
        <f>"510402198204013841"</f>
        <v>510402198204013841</v>
      </c>
      <c r="D26084" t="s">
        <v>23995</v>
      </c>
      <c r="E26084" t="s">
        <v>23996</v>
      </c>
      <c r="F26084" t="s">
        <v>0</v>
      </c>
      <c r="G26084" t="str">
        <f>"2018-10-05 16:47:04"</f>
        <v>2018-10-05 16:47:04</v>
      </c>
    </row>
    <row r="26085" spans="1:7" x14ac:dyDescent="0.2">
      <c r="A26085" t="s">
        <v>974</v>
      </c>
      <c r="B26085" t="str">
        <f>"18399683173"</f>
        <v>18399683173</v>
      </c>
      <c r="C26085" t="str">
        <f>"411326199203132811"</f>
        <v>411326199203132811</v>
      </c>
      <c r="D26085" t="s">
        <v>1</v>
      </c>
      <c r="E26085" t="s">
        <v>1</v>
      </c>
      <c r="F26085" t="s">
        <v>0</v>
      </c>
      <c r="G26085" t="str">
        <f>"2018-10-06 10:56:49"</f>
        <v>2018-10-06 10:56:49</v>
      </c>
    </row>
    <row r="26086" spans="1:7" x14ac:dyDescent="0.2">
      <c r="A26086" t="s">
        <v>1856</v>
      </c>
      <c r="B26086" t="str">
        <f>"15187320011"</f>
        <v>15187320011</v>
      </c>
      <c r="C26086" t="str">
        <f>"532530197709290010"</f>
        <v>532530197709290010</v>
      </c>
      <c r="D26086" t="s">
        <v>1</v>
      </c>
      <c r="E26086" t="s">
        <v>1</v>
      </c>
      <c r="F26086" t="s">
        <v>0</v>
      </c>
      <c r="G26086" t="str">
        <f>"2018-10-05 16:49:03"</f>
        <v>2018-10-05 16:49:03</v>
      </c>
    </row>
    <row r="26087" spans="1:7" x14ac:dyDescent="0.2">
      <c r="A26087" t="s">
        <v>1635</v>
      </c>
      <c r="B26087" t="str">
        <f>"15976497875"</f>
        <v>15976497875</v>
      </c>
      <c r="C26087" t="str">
        <f>"431022197909193694"</f>
        <v>431022197909193694</v>
      </c>
      <c r="D26087" t="s">
        <v>1</v>
      </c>
      <c r="E26087" t="s">
        <v>1</v>
      </c>
      <c r="F26087" t="s">
        <v>0</v>
      </c>
      <c r="G26087" t="str">
        <f>"2018-10-05 16:49:45"</f>
        <v>2018-10-05 16:49:45</v>
      </c>
    </row>
    <row r="26088" spans="1:7" x14ac:dyDescent="0.2">
      <c r="A26088" t="s">
        <v>8052</v>
      </c>
      <c r="B26088" t="str">
        <f>"13919465348"</f>
        <v>13919465348</v>
      </c>
      <c r="C26088" t="str">
        <f>"620102198207154315"</f>
        <v>620102198207154315</v>
      </c>
      <c r="D26088" t="s">
        <v>23997</v>
      </c>
      <c r="E26088" t="s">
        <v>23998</v>
      </c>
      <c r="F26088" t="s">
        <v>0</v>
      </c>
      <c r="G26088" t="str">
        <f>"2018-10-05 16:38:40"</f>
        <v>2018-10-05 16:38:40</v>
      </c>
    </row>
    <row r="26089" spans="1:7" x14ac:dyDescent="0.2">
      <c r="A26089" t="s">
        <v>23999</v>
      </c>
      <c r="B26089" t="str">
        <f>"18586606333"</f>
        <v>18586606333</v>
      </c>
      <c r="C26089" t="str">
        <f>"520201199504270435"</f>
        <v>520201199504270435</v>
      </c>
      <c r="D26089" t="s">
        <v>1</v>
      </c>
      <c r="E26089" t="s">
        <v>1</v>
      </c>
      <c r="F26089" t="s">
        <v>0</v>
      </c>
      <c r="G26089" t="str">
        <f>"2018-10-05 16:36:35"</f>
        <v>2018-10-05 16:36:35</v>
      </c>
    </row>
    <row r="26090" spans="1:7" x14ac:dyDescent="0.2">
      <c r="A26090" t="s">
        <v>1</v>
      </c>
      <c r="B26090" t="str">
        <f>"15578480945"</f>
        <v>15578480945</v>
      </c>
      <c r="C26090" t="s">
        <v>1</v>
      </c>
      <c r="D26090" t="s">
        <v>1</v>
      </c>
      <c r="E26090" t="s">
        <v>1</v>
      </c>
      <c r="F26090" t="s">
        <v>0</v>
      </c>
      <c r="G26090" t="str">
        <f>"2018-10-05 16:35:14"</f>
        <v>2018-10-05 16:35:14</v>
      </c>
    </row>
    <row r="26091" spans="1:7" x14ac:dyDescent="0.2">
      <c r="A26091" t="s">
        <v>24000</v>
      </c>
      <c r="B26091" t="str">
        <f>"15530975913"</f>
        <v>15530975913</v>
      </c>
      <c r="C26091" t="str">
        <f>"130526198811205816"</f>
        <v>130526198811205816</v>
      </c>
      <c r="D26091" t="s">
        <v>1</v>
      </c>
      <c r="E26091" t="s">
        <v>1</v>
      </c>
      <c r="F26091" t="s">
        <v>0</v>
      </c>
      <c r="G26091" t="str">
        <f>"2018-10-06 18:29:38"</f>
        <v>2018-10-06 18:29:38</v>
      </c>
    </row>
    <row r="26092" spans="1:7" x14ac:dyDescent="0.2">
      <c r="A26092" t="s">
        <v>24001</v>
      </c>
      <c r="B26092" t="str">
        <f>"13815735123"</f>
        <v>13815735123</v>
      </c>
      <c r="C26092" t="str">
        <f>"321322198107146410"</f>
        <v>321322198107146410</v>
      </c>
      <c r="D26092" t="s">
        <v>24002</v>
      </c>
      <c r="E26092" t="s">
        <v>24003</v>
      </c>
      <c r="F26092" t="s">
        <v>0</v>
      </c>
      <c r="G26092" t="str">
        <f>"2018-10-06 09:00:20"</f>
        <v>2018-10-06 09:00:20</v>
      </c>
    </row>
    <row r="26093" spans="1:7" x14ac:dyDescent="0.2">
      <c r="A26093" t="s">
        <v>24004</v>
      </c>
      <c r="B26093" t="str">
        <f>"17673650719"</f>
        <v>17673650719</v>
      </c>
      <c r="C26093" t="str">
        <f>"430521199707173555"</f>
        <v>430521199707173555</v>
      </c>
      <c r="D26093" t="s">
        <v>1</v>
      </c>
      <c r="E26093" t="s">
        <v>1</v>
      </c>
      <c r="F26093" t="s">
        <v>0</v>
      </c>
      <c r="G26093" t="str">
        <f>"2018-10-05 16:35:37"</f>
        <v>2018-10-05 16:35:37</v>
      </c>
    </row>
    <row r="26094" spans="1:7" x14ac:dyDescent="0.2">
      <c r="A26094" t="s">
        <v>24005</v>
      </c>
      <c r="B26094" t="str">
        <f>"13875032777"</f>
        <v>13875032777</v>
      </c>
      <c r="C26094" t="str">
        <f>"430725198301152174"</f>
        <v>430725198301152174</v>
      </c>
      <c r="D26094" t="s">
        <v>1</v>
      </c>
      <c r="E26094" t="s">
        <v>1</v>
      </c>
      <c r="F26094" t="s">
        <v>0</v>
      </c>
      <c r="G26094" t="str">
        <f>"2018-10-15 13:20:54"</f>
        <v>2018-10-15 13:20:54</v>
      </c>
    </row>
    <row r="26095" spans="1:7" x14ac:dyDescent="0.2">
      <c r="A26095" t="s">
        <v>24006</v>
      </c>
      <c r="B26095" t="str">
        <f>"18717064391"</f>
        <v>18717064391</v>
      </c>
      <c r="C26095" t="str">
        <f>"500242199501261828"</f>
        <v>500242199501261828</v>
      </c>
      <c r="D26095" t="s">
        <v>1</v>
      </c>
      <c r="E26095" t="s">
        <v>1</v>
      </c>
      <c r="F26095" t="s">
        <v>0</v>
      </c>
      <c r="G26095" t="str">
        <f>"2018-10-05 16:49:40"</f>
        <v>2018-10-05 16:49:40</v>
      </c>
    </row>
    <row r="26096" spans="1:7" x14ac:dyDescent="0.2">
      <c r="A26096" t="s">
        <v>1</v>
      </c>
      <c r="B26096" t="str">
        <f>"13014991141"</f>
        <v>13014991141</v>
      </c>
      <c r="C26096" t="s">
        <v>1</v>
      </c>
      <c r="D26096" t="s">
        <v>1</v>
      </c>
      <c r="E26096" t="s">
        <v>1</v>
      </c>
      <c r="F26096" t="s">
        <v>0</v>
      </c>
      <c r="G26096" t="str">
        <f>"2018-10-05 16:33:50"</f>
        <v>2018-10-05 16:33:50</v>
      </c>
    </row>
    <row r="26097" spans="1:7" x14ac:dyDescent="0.2">
      <c r="A26097" t="s">
        <v>24007</v>
      </c>
      <c r="B26097" t="str">
        <f>"18007700404"</f>
        <v>18007700404</v>
      </c>
      <c r="C26097" t="str">
        <f>"511303199501105618"</f>
        <v>511303199501105618</v>
      </c>
      <c r="D26097" t="s">
        <v>1</v>
      </c>
      <c r="E26097" t="s">
        <v>1</v>
      </c>
      <c r="F26097" t="s">
        <v>0</v>
      </c>
      <c r="G26097" t="str">
        <f>"2018-10-05 17:41:56"</f>
        <v>2018-10-05 17:41:56</v>
      </c>
    </row>
    <row r="26098" spans="1:7" x14ac:dyDescent="0.2">
      <c r="A26098" t="s">
        <v>24008</v>
      </c>
      <c r="B26098" t="str">
        <f>"13762091777"</f>
        <v>13762091777</v>
      </c>
      <c r="C26098" t="str">
        <f>"430626198105240039"</f>
        <v>430626198105240039</v>
      </c>
      <c r="D26098" t="s">
        <v>1</v>
      </c>
      <c r="E26098" t="s">
        <v>1</v>
      </c>
      <c r="F26098" t="s">
        <v>0</v>
      </c>
      <c r="G26098" t="str">
        <f>"2018-10-05 16:34:16"</f>
        <v>2018-10-05 16:34:16</v>
      </c>
    </row>
    <row r="26099" spans="1:7" x14ac:dyDescent="0.2">
      <c r="A26099" t="s">
        <v>24009</v>
      </c>
      <c r="B26099" t="str">
        <f>"15774822536"</f>
        <v>15774822536</v>
      </c>
      <c r="C26099" t="str">
        <f>"152222199802044019"</f>
        <v>152222199802044019</v>
      </c>
      <c r="D26099" t="s">
        <v>24010</v>
      </c>
      <c r="E26099" t="s">
        <v>24011</v>
      </c>
      <c r="F26099" t="s">
        <v>0</v>
      </c>
      <c r="G26099" t="str">
        <f>"2018-10-05 16:34:05"</f>
        <v>2018-10-05 16:34:05</v>
      </c>
    </row>
    <row r="26100" spans="1:7" x14ac:dyDescent="0.2">
      <c r="A26100" t="s">
        <v>1</v>
      </c>
      <c r="B26100" t="str">
        <f>"13931261823"</f>
        <v>13931261823</v>
      </c>
      <c r="C26100" t="s">
        <v>1</v>
      </c>
      <c r="D26100" t="s">
        <v>1</v>
      </c>
      <c r="E26100" t="s">
        <v>1</v>
      </c>
      <c r="F26100" t="s">
        <v>0</v>
      </c>
      <c r="G26100" t="str">
        <f>"2018-10-05 16:33:01"</f>
        <v>2018-10-05 16:33:01</v>
      </c>
    </row>
    <row r="26101" spans="1:7" x14ac:dyDescent="0.2">
      <c r="A26101" t="s">
        <v>1</v>
      </c>
      <c r="B26101" t="str">
        <f>"15957099040"</f>
        <v>15957099040</v>
      </c>
      <c r="C26101" t="s">
        <v>1</v>
      </c>
      <c r="D26101" t="s">
        <v>1</v>
      </c>
      <c r="E26101" t="s">
        <v>1</v>
      </c>
      <c r="F26101" t="s">
        <v>0</v>
      </c>
      <c r="G26101" t="str">
        <f>"2018-10-05 16:32:59"</f>
        <v>2018-10-05 16:32:59</v>
      </c>
    </row>
    <row r="26102" spans="1:7" x14ac:dyDescent="0.2">
      <c r="A26102" t="s">
        <v>954</v>
      </c>
      <c r="B26102" t="str">
        <f>"15912878273"</f>
        <v>15912878273</v>
      </c>
      <c r="C26102" t="str">
        <f>"532525198611060317"</f>
        <v>532525198611060317</v>
      </c>
      <c r="D26102" t="s">
        <v>24012</v>
      </c>
      <c r="E26102" t="s">
        <v>24013</v>
      </c>
      <c r="F26102" t="s">
        <v>0</v>
      </c>
      <c r="G26102" t="str">
        <f>"2018-10-17 16:57:21"</f>
        <v>2018-10-17 16:57:21</v>
      </c>
    </row>
    <row r="26103" spans="1:7" x14ac:dyDescent="0.2">
      <c r="A26103" t="s">
        <v>1</v>
      </c>
      <c r="B26103" t="str">
        <f>"15520101292"</f>
        <v>15520101292</v>
      </c>
      <c r="C26103" t="s">
        <v>1</v>
      </c>
      <c r="D26103" t="s">
        <v>1</v>
      </c>
      <c r="E26103" t="s">
        <v>1</v>
      </c>
      <c r="F26103" t="s">
        <v>0</v>
      </c>
      <c r="G26103" t="str">
        <f>"2018-10-05 16:32:24"</f>
        <v>2018-10-05 16:32:24</v>
      </c>
    </row>
    <row r="26104" spans="1:7" x14ac:dyDescent="0.2">
      <c r="A26104" t="s">
        <v>24014</v>
      </c>
      <c r="B26104" t="str">
        <f>"15675354571"</f>
        <v>15675354571</v>
      </c>
      <c r="C26104" t="str">
        <f>"430821199607173239"</f>
        <v>430821199607173239</v>
      </c>
      <c r="D26104" t="s">
        <v>1</v>
      </c>
      <c r="E26104" t="s">
        <v>1</v>
      </c>
      <c r="F26104" t="s">
        <v>0</v>
      </c>
      <c r="G26104" t="str">
        <f>"2018-10-12 11:25:35"</f>
        <v>2018-10-12 11:25:35</v>
      </c>
    </row>
    <row r="26105" spans="1:7" x14ac:dyDescent="0.2">
      <c r="A26105" t="s">
        <v>24015</v>
      </c>
      <c r="B26105" t="str">
        <f>"15694736999"</f>
        <v>15694736999</v>
      </c>
      <c r="C26105" t="str">
        <f>"150304199111162519"</f>
        <v>150304199111162519</v>
      </c>
      <c r="D26105" t="s">
        <v>24016</v>
      </c>
      <c r="E26105" t="s">
        <v>24017</v>
      </c>
      <c r="F26105" t="s">
        <v>0</v>
      </c>
      <c r="G26105" t="str">
        <f>"2018-10-05 16:32:08"</f>
        <v>2018-10-05 16:32:08</v>
      </c>
    </row>
    <row r="26106" spans="1:7" x14ac:dyDescent="0.2">
      <c r="A26106" t="s">
        <v>918</v>
      </c>
      <c r="B26106" t="str">
        <f>"13569996456"</f>
        <v>13569996456</v>
      </c>
      <c r="C26106" t="str">
        <f>"411024198809096284"</f>
        <v>411024198809096284</v>
      </c>
      <c r="D26106" t="s">
        <v>1</v>
      </c>
      <c r="E26106" t="s">
        <v>1</v>
      </c>
      <c r="F26106" t="s">
        <v>0</v>
      </c>
      <c r="G26106" t="str">
        <f>"2018-10-05 16:33:14"</f>
        <v>2018-10-05 16:33:14</v>
      </c>
    </row>
    <row r="26107" spans="1:7" x14ac:dyDescent="0.2">
      <c r="A26107" t="s">
        <v>24018</v>
      </c>
      <c r="B26107" t="str">
        <f>"18908088684"</f>
        <v>18908088684</v>
      </c>
      <c r="C26107" t="str">
        <f>"510104198501011064"</f>
        <v>510104198501011064</v>
      </c>
      <c r="D26107" t="s">
        <v>1</v>
      </c>
      <c r="E26107" t="s">
        <v>1</v>
      </c>
      <c r="F26107" t="s">
        <v>0</v>
      </c>
      <c r="G26107" t="str">
        <f>"2018-10-05 16:52:10"</f>
        <v>2018-10-05 16:52:10</v>
      </c>
    </row>
    <row r="26108" spans="1:7" x14ac:dyDescent="0.2">
      <c r="A26108" t="s">
        <v>1</v>
      </c>
      <c r="B26108" t="str">
        <f>"18637778890"</f>
        <v>18637778890</v>
      </c>
      <c r="C26108" t="s">
        <v>1</v>
      </c>
      <c r="D26108" t="s">
        <v>1</v>
      </c>
      <c r="E26108" t="s">
        <v>1</v>
      </c>
      <c r="F26108" t="s">
        <v>0</v>
      </c>
      <c r="G26108" t="str">
        <f>"2018-10-05 16:28:59"</f>
        <v>2018-10-05 16:28:59</v>
      </c>
    </row>
    <row r="26109" spans="1:7" x14ac:dyDescent="0.2">
      <c r="A26109" t="s">
        <v>137</v>
      </c>
      <c r="B26109" t="str">
        <f>"15040887663"</f>
        <v>15040887663</v>
      </c>
      <c r="C26109" t="str">
        <f>"211382198810171838"</f>
        <v>211382198810171838</v>
      </c>
      <c r="D26109" t="s">
        <v>1</v>
      </c>
      <c r="E26109" t="s">
        <v>1</v>
      </c>
      <c r="F26109" t="s">
        <v>0</v>
      </c>
      <c r="G26109" t="str">
        <f>"2018-10-05 16:34:12"</f>
        <v>2018-10-05 16:34:12</v>
      </c>
    </row>
    <row r="26110" spans="1:7" x14ac:dyDescent="0.2">
      <c r="A26110" t="s">
        <v>24019</v>
      </c>
      <c r="B26110" t="str">
        <f>"15874176837"</f>
        <v>15874176837</v>
      </c>
      <c r="C26110" t="str">
        <f>"430181199607053024"</f>
        <v>430181199607053024</v>
      </c>
      <c r="D26110" t="s">
        <v>1</v>
      </c>
      <c r="E26110" t="s">
        <v>1</v>
      </c>
      <c r="F26110" t="s">
        <v>0</v>
      </c>
      <c r="G26110" t="str">
        <f>"2018-10-05 16:31:56"</f>
        <v>2018-10-05 16:31:56</v>
      </c>
    </row>
    <row r="26111" spans="1:7" x14ac:dyDescent="0.2">
      <c r="A26111" t="s">
        <v>24020</v>
      </c>
      <c r="B26111" t="str">
        <f>"15964361646"</f>
        <v>15964361646</v>
      </c>
      <c r="C26111" t="str">
        <f>"372524198310070515"</f>
        <v>372524198310070515</v>
      </c>
      <c r="D26111" t="s">
        <v>1</v>
      </c>
      <c r="E26111" t="s">
        <v>1</v>
      </c>
      <c r="F26111" t="s">
        <v>0</v>
      </c>
      <c r="G26111" t="str">
        <f>"2018-10-05 16:31:02"</f>
        <v>2018-10-05 16:31:02</v>
      </c>
    </row>
    <row r="26112" spans="1:7" x14ac:dyDescent="0.2">
      <c r="A26112" t="s">
        <v>24021</v>
      </c>
      <c r="B26112" t="str">
        <f>"18605491448"</f>
        <v>18605491448</v>
      </c>
      <c r="C26112" t="str">
        <f>"371321198809035830"</f>
        <v>371321198809035830</v>
      </c>
      <c r="D26112" t="s">
        <v>1</v>
      </c>
      <c r="E26112" t="s">
        <v>1</v>
      </c>
      <c r="F26112" t="s">
        <v>0</v>
      </c>
      <c r="G26112" t="str">
        <f>"2018-10-05 16:28:36"</f>
        <v>2018-10-05 16:28:36</v>
      </c>
    </row>
    <row r="26113" spans="1:7" x14ac:dyDescent="0.2">
      <c r="A26113" t="s">
        <v>1</v>
      </c>
      <c r="B26113" t="str">
        <f>"13183874167"</f>
        <v>13183874167</v>
      </c>
      <c r="C26113" t="s">
        <v>1</v>
      </c>
      <c r="D26113" t="s">
        <v>1</v>
      </c>
      <c r="E26113" t="s">
        <v>1</v>
      </c>
      <c r="F26113" t="s">
        <v>0</v>
      </c>
      <c r="G26113" t="str">
        <f>"2018-10-05 16:27:27"</f>
        <v>2018-10-05 16:27:27</v>
      </c>
    </row>
    <row r="26114" spans="1:7" x14ac:dyDescent="0.2">
      <c r="A26114" t="s">
        <v>24022</v>
      </c>
      <c r="B26114" t="str">
        <f>"13716548851"</f>
        <v>13716548851</v>
      </c>
      <c r="C26114" t="str">
        <f>"110111199209066715"</f>
        <v>110111199209066715</v>
      </c>
      <c r="D26114" t="s">
        <v>1</v>
      </c>
      <c r="E26114" t="s">
        <v>1</v>
      </c>
      <c r="F26114" t="s">
        <v>0</v>
      </c>
      <c r="G26114" t="str">
        <f>"2018-10-05 16:27:22"</f>
        <v>2018-10-05 16:27:22</v>
      </c>
    </row>
    <row r="26115" spans="1:7" x14ac:dyDescent="0.2">
      <c r="A26115" t="s">
        <v>24023</v>
      </c>
      <c r="B26115" t="str">
        <f>"13976768650"</f>
        <v>13976768650</v>
      </c>
      <c r="C26115" t="str">
        <f>"460002199810105816"</f>
        <v>460002199810105816</v>
      </c>
      <c r="D26115" t="s">
        <v>24024</v>
      </c>
      <c r="E26115" t="s">
        <v>24025</v>
      </c>
      <c r="F26115" t="s">
        <v>0</v>
      </c>
      <c r="G26115" t="str">
        <f>"2018-10-29 19:57:30"</f>
        <v>2018-10-29 19:57:30</v>
      </c>
    </row>
    <row r="26116" spans="1:7" x14ac:dyDescent="0.2">
      <c r="A26116" t="s">
        <v>1</v>
      </c>
      <c r="B26116" t="str">
        <f>"18211508191"</f>
        <v>18211508191</v>
      </c>
      <c r="C26116" t="s">
        <v>1</v>
      </c>
      <c r="D26116" t="s">
        <v>1</v>
      </c>
      <c r="E26116" t="s">
        <v>1</v>
      </c>
      <c r="F26116" t="s">
        <v>0</v>
      </c>
      <c r="G26116" t="str">
        <f>"2018-10-05 16:26:26"</f>
        <v>2018-10-05 16:26:26</v>
      </c>
    </row>
    <row r="26117" spans="1:7" x14ac:dyDescent="0.2">
      <c r="A26117" t="s">
        <v>24026</v>
      </c>
      <c r="B26117" t="str">
        <f>"18672946816"</f>
        <v>18672946816</v>
      </c>
      <c r="C26117" t="str">
        <f>"420116199009051417"</f>
        <v>420116199009051417</v>
      </c>
      <c r="D26117" t="s">
        <v>24027</v>
      </c>
      <c r="E26117" t="s">
        <v>24028</v>
      </c>
      <c r="F26117" t="s">
        <v>0</v>
      </c>
      <c r="G26117" t="str">
        <f>"2018-10-05 16:36:26"</f>
        <v>2018-10-05 16:36:26</v>
      </c>
    </row>
    <row r="26118" spans="1:7" x14ac:dyDescent="0.2">
      <c r="A26118" t="s">
        <v>396</v>
      </c>
      <c r="B26118" t="str">
        <f>"13500170116"</f>
        <v>13500170116</v>
      </c>
      <c r="C26118" t="str">
        <f>"422326198406256150"</f>
        <v>422326198406256150</v>
      </c>
      <c r="D26118" t="s">
        <v>1</v>
      </c>
      <c r="E26118" t="s">
        <v>1</v>
      </c>
      <c r="F26118" t="s">
        <v>0</v>
      </c>
      <c r="G26118" t="str">
        <f>"2018-10-13 08:32:39"</f>
        <v>2018-10-13 08:32:39</v>
      </c>
    </row>
    <row r="26119" spans="1:7" x14ac:dyDescent="0.2">
      <c r="A26119" t="s">
        <v>24029</v>
      </c>
      <c r="B26119" t="str">
        <f>"13378584386"</f>
        <v>13378584386</v>
      </c>
      <c r="C26119" t="str">
        <f>"530325198401051129"</f>
        <v>530325198401051129</v>
      </c>
      <c r="D26119" t="s">
        <v>1</v>
      </c>
      <c r="E26119" t="s">
        <v>1</v>
      </c>
      <c r="F26119" t="s">
        <v>0</v>
      </c>
      <c r="G26119" t="str">
        <f>"2018-10-05 16:26:53"</f>
        <v>2018-10-05 16:26:53</v>
      </c>
    </row>
    <row r="26120" spans="1:7" x14ac:dyDescent="0.2">
      <c r="A26120" t="s">
        <v>235</v>
      </c>
      <c r="B26120" t="str">
        <f>"13312233501"</f>
        <v>13312233501</v>
      </c>
      <c r="C26120" t="str">
        <f>"522422197611251227"</f>
        <v>522422197611251227</v>
      </c>
      <c r="D26120" t="s">
        <v>1</v>
      </c>
      <c r="E26120" t="s">
        <v>1</v>
      </c>
      <c r="F26120" t="s">
        <v>0</v>
      </c>
      <c r="G26120" t="str">
        <f>"2018-10-05 16:31:54"</f>
        <v>2018-10-05 16:31:54</v>
      </c>
    </row>
    <row r="26121" spans="1:7" x14ac:dyDescent="0.2">
      <c r="A26121" t="s">
        <v>24030</v>
      </c>
      <c r="B26121" t="str">
        <f>"15712819121"</f>
        <v>15712819121</v>
      </c>
      <c r="C26121" t="str">
        <f>"530629199602082315"</f>
        <v>530629199602082315</v>
      </c>
      <c r="D26121" t="s">
        <v>1</v>
      </c>
      <c r="E26121" t="s">
        <v>1</v>
      </c>
      <c r="F26121" t="s">
        <v>0</v>
      </c>
      <c r="G26121" t="str">
        <f>"2018-10-05 16:25:13"</f>
        <v>2018-10-05 16:25:13</v>
      </c>
    </row>
    <row r="26122" spans="1:7" x14ac:dyDescent="0.2">
      <c r="A26122" t="s">
        <v>24031</v>
      </c>
      <c r="B26122" t="str">
        <f>"18780472965"</f>
        <v>18780472965</v>
      </c>
      <c r="C26122" t="str">
        <f>"510781198902173000"</f>
        <v>510781198902173000</v>
      </c>
      <c r="D26122" t="s">
        <v>1</v>
      </c>
      <c r="E26122" t="s">
        <v>1</v>
      </c>
      <c r="F26122" t="s">
        <v>0</v>
      </c>
      <c r="G26122" t="str">
        <f>"2018-10-05 16:26:09"</f>
        <v>2018-10-05 16:26:09</v>
      </c>
    </row>
    <row r="26123" spans="1:7" x14ac:dyDescent="0.2">
      <c r="A26123" t="s">
        <v>745</v>
      </c>
      <c r="B26123" t="str">
        <f>"18203510715"</f>
        <v>18203510715</v>
      </c>
      <c r="C26123" t="str">
        <f>"140624199110110071"</f>
        <v>140624199110110071</v>
      </c>
      <c r="D26123" t="s">
        <v>1</v>
      </c>
      <c r="E26123" t="s">
        <v>1</v>
      </c>
      <c r="F26123" t="s">
        <v>0</v>
      </c>
      <c r="G26123" t="str">
        <f>"2018-10-05 16:29:53"</f>
        <v>2018-10-05 16:29:53</v>
      </c>
    </row>
    <row r="26124" spans="1:7" x14ac:dyDescent="0.2">
      <c r="A26124" t="s">
        <v>24032</v>
      </c>
      <c r="B26124" t="str">
        <f>"17795590101"</f>
        <v>17795590101</v>
      </c>
      <c r="C26124" t="str">
        <f>"642222198406170277"</f>
        <v>642222198406170277</v>
      </c>
      <c r="D26124" t="s">
        <v>1</v>
      </c>
      <c r="E26124" t="s">
        <v>1</v>
      </c>
      <c r="F26124" t="s">
        <v>0</v>
      </c>
      <c r="G26124" t="str">
        <f>"2018-10-05 16:25:53"</f>
        <v>2018-10-05 16:25:53</v>
      </c>
    </row>
    <row r="26125" spans="1:7" x14ac:dyDescent="0.2">
      <c r="A26125" t="s">
        <v>24033</v>
      </c>
      <c r="B26125" t="str">
        <f>"13698707023"</f>
        <v>13698707023</v>
      </c>
      <c r="C26125" t="str">
        <f>"533025198703073610"</f>
        <v>533025198703073610</v>
      </c>
      <c r="D26125" t="s">
        <v>1</v>
      </c>
      <c r="E26125" t="s">
        <v>1</v>
      </c>
      <c r="F26125" t="s">
        <v>0</v>
      </c>
      <c r="G26125" t="str">
        <f>"2018-10-05 16:25:19"</f>
        <v>2018-10-05 16:25:19</v>
      </c>
    </row>
    <row r="26126" spans="1:7" x14ac:dyDescent="0.2">
      <c r="A26126" t="s">
        <v>7792</v>
      </c>
      <c r="B26126" t="str">
        <f>"17614821576"</f>
        <v>17614821576</v>
      </c>
      <c r="C26126" t="str">
        <f>"152630199901253037"</f>
        <v>152630199901253037</v>
      </c>
      <c r="D26126" t="s">
        <v>24034</v>
      </c>
      <c r="E26126" t="s">
        <v>24035</v>
      </c>
      <c r="F26126" t="s">
        <v>0</v>
      </c>
      <c r="G26126" t="str">
        <f>"2018-10-05 16:25:29"</f>
        <v>2018-10-05 16:25:29</v>
      </c>
    </row>
    <row r="26127" spans="1:7" x14ac:dyDescent="0.2">
      <c r="A26127" t="s">
        <v>24036</v>
      </c>
      <c r="B26127" t="str">
        <f>"13960019506"</f>
        <v>13960019506</v>
      </c>
      <c r="C26127" t="str">
        <f>"350628198610121017"</f>
        <v>350628198610121017</v>
      </c>
      <c r="D26127" t="s">
        <v>24037</v>
      </c>
      <c r="E26127" t="s">
        <v>24038</v>
      </c>
      <c r="F26127" t="s">
        <v>0</v>
      </c>
      <c r="G26127" t="str">
        <f>"2018-10-06 00:28:21"</f>
        <v>2018-10-06 00:28:21</v>
      </c>
    </row>
    <row r="26128" spans="1:7" x14ac:dyDescent="0.2">
      <c r="A26128" t="s">
        <v>24039</v>
      </c>
      <c r="B26128" t="str">
        <f>"15278036430"</f>
        <v>15278036430</v>
      </c>
      <c r="C26128" t="str">
        <f>"45212319900306586X"</f>
        <v>45212319900306586X</v>
      </c>
      <c r="D26128" t="s">
        <v>1</v>
      </c>
      <c r="E26128" t="s">
        <v>1</v>
      </c>
      <c r="F26128" t="s">
        <v>0</v>
      </c>
      <c r="G26128" t="str">
        <f>"2018-10-05 16:24:35"</f>
        <v>2018-10-05 16:24:35</v>
      </c>
    </row>
    <row r="26129" spans="1:7" x14ac:dyDescent="0.2">
      <c r="A26129" t="s">
        <v>1</v>
      </c>
      <c r="B26129" t="str">
        <f>"13216627224"</f>
        <v>13216627224</v>
      </c>
      <c r="C26129" t="s">
        <v>1</v>
      </c>
      <c r="D26129" t="s">
        <v>1</v>
      </c>
      <c r="E26129" t="s">
        <v>1</v>
      </c>
      <c r="F26129" t="s">
        <v>0</v>
      </c>
      <c r="G26129" t="str">
        <f>"2018-10-05 16:22:11"</f>
        <v>2018-10-05 16:22:11</v>
      </c>
    </row>
    <row r="26130" spans="1:7" x14ac:dyDescent="0.2">
      <c r="A26130" t="s">
        <v>1</v>
      </c>
      <c r="B26130" t="str">
        <f>"18113728311"</f>
        <v>18113728311</v>
      </c>
      <c r="C26130" t="s">
        <v>1</v>
      </c>
      <c r="D26130" t="s">
        <v>1</v>
      </c>
      <c r="E26130" t="s">
        <v>1</v>
      </c>
      <c r="F26130" t="s">
        <v>0</v>
      </c>
      <c r="G26130" t="str">
        <f>"2018-10-05 16:24:56"</f>
        <v>2018-10-05 16:24:56</v>
      </c>
    </row>
    <row r="26131" spans="1:7" x14ac:dyDescent="0.2">
      <c r="A26131" t="s">
        <v>24040</v>
      </c>
      <c r="B26131" t="str">
        <f>"15064340166"</f>
        <v>15064340166</v>
      </c>
      <c r="C26131" t="str">
        <f>"370323199505100222"</f>
        <v>370323199505100222</v>
      </c>
      <c r="D26131" t="s">
        <v>1</v>
      </c>
      <c r="E26131" t="s">
        <v>1</v>
      </c>
      <c r="F26131" t="s">
        <v>0</v>
      </c>
      <c r="G26131" t="str">
        <f>"2018-10-05 16:37:12"</f>
        <v>2018-10-05 16:37:12</v>
      </c>
    </row>
    <row r="26132" spans="1:7" x14ac:dyDescent="0.2">
      <c r="A26132" t="s">
        <v>1</v>
      </c>
      <c r="B26132" t="str">
        <f>"15578310435"</f>
        <v>15578310435</v>
      </c>
      <c r="C26132" t="s">
        <v>1</v>
      </c>
      <c r="D26132" t="s">
        <v>1</v>
      </c>
      <c r="E26132" t="s">
        <v>1</v>
      </c>
      <c r="F26132" t="s">
        <v>0</v>
      </c>
      <c r="G26132" t="str">
        <f>"2018-10-05 16:22:51"</f>
        <v>2018-10-05 16:22:51</v>
      </c>
    </row>
    <row r="26133" spans="1:7" x14ac:dyDescent="0.2">
      <c r="A26133" t="s">
        <v>24041</v>
      </c>
      <c r="B26133" t="str">
        <f>"13858880481"</f>
        <v>13858880481</v>
      </c>
      <c r="C26133" t="str">
        <f>"330328198905080021"</f>
        <v>330328198905080021</v>
      </c>
      <c r="D26133" t="s">
        <v>24042</v>
      </c>
      <c r="E26133" t="s">
        <v>24043</v>
      </c>
      <c r="F26133" t="s">
        <v>0</v>
      </c>
      <c r="G26133" t="str">
        <f>"2018-10-05 16:22:39"</f>
        <v>2018-10-05 16:22:39</v>
      </c>
    </row>
    <row r="26134" spans="1:7" x14ac:dyDescent="0.2">
      <c r="A26134" t="s">
        <v>24044</v>
      </c>
      <c r="B26134" t="str">
        <f>"18372606233"</f>
        <v>18372606233</v>
      </c>
      <c r="C26134" t="str">
        <f>"420325198104135726"</f>
        <v>420325198104135726</v>
      </c>
      <c r="D26134" t="s">
        <v>1</v>
      </c>
      <c r="E26134" t="s">
        <v>1</v>
      </c>
      <c r="F26134" t="s">
        <v>0</v>
      </c>
      <c r="G26134" t="str">
        <f>"2018-10-05 16:22:18"</f>
        <v>2018-10-05 16:22:18</v>
      </c>
    </row>
    <row r="26135" spans="1:7" x14ac:dyDescent="0.2">
      <c r="A26135" t="s">
        <v>24045</v>
      </c>
      <c r="B26135" t="str">
        <f>"15050103350"</f>
        <v>15050103350</v>
      </c>
      <c r="C26135" t="str">
        <f>"522425198807089034"</f>
        <v>522425198807089034</v>
      </c>
      <c r="D26135" t="s">
        <v>1</v>
      </c>
      <c r="E26135" t="s">
        <v>1</v>
      </c>
      <c r="F26135" t="s">
        <v>0</v>
      </c>
      <c r="G26135" t="str">
        <f>"2018-10-05 16:22:59"</f>
        <v>2018-10-05 16:22:59</v>
      </c>
    </row>
    <row r="26136" spans="1:7" x14ac:dyDescent="0.2">
      <c r="A26136" t="s">
        <v>1</v>
      </c>
      <c r="B26136" t="str">
        <f>"15128297773"</f>
        <v>15128297773</v>
      </c>
      <c r="C26136" t="s">
        <v>1</v>
      </c>
      <c r="D26136" t="s">
        <v>1</v>
      </c>
      <c r="E26136" t="s">
        <v>1</v>
      </c>
      <c r="F26136" t="s">
        <v>0</v>
      </c>
      <c r="G26136" t="str">
        <f>"2018-10-05 16:20:25"</f>
        <v>2018-10-05 16:20:25</v>
      </c>
    </row>
    <row r="26137" spans="1:7" x14ac:dyDescent="0.2">
      <c r="A26137" t="s">
        <v>24046</v>
      </c>
      <c r="B26137" t="str">
        <f>"18385461001"</f>
        <v>18385461001</v>
      </c>
      <c r="C26137" t="str">
        <f>"522730198503291716"</f>
        <v>522730198503291716</v>
      </c>
      <c r="D26137" t="s">
        <v>1</v>
      </c>
      <c r="E26137" t="s">
        <v>1</v>
      </c>
      <c r="F26137" t="s">
        <v>0</v>
      </c>
      <c r="G26137" t="str">
        <f>"2018-10-05 16:21:15"</f>
        <v>2018-10-05 16:21:15</v>
      </c>
    </row>
    <row r="26138" spans="1:7" x14ac:dyDescent="0.2">
      <c r="A26138" t="s">
        <v>24047</v>
      </c>
      <c r="B26138" t="str">
        <f>"13559229020"</f>
        <v>13559229020</v>
      </c>
      <c r="C26138" t="str">
        <f>"522428198909144611"</f>
        <v>522428198909144611</v>
      </c>
      <c r="D26138" t="s">
        <v>1</v>
      </c>
      <c r="E26138" t="s">
        <v>1</v>
      </c>
      <c r="F26138" t="s">
        <v>0</v>
      </c>
      <c r="G26138" t="str">
        <f>"2018-10-12 11:34:15"</f>
        <v>2018-10-12 11:34:15</v>
      </c>
    </row>
    <row r="26139" spans="1:7" x14ac:dyDescent="0.2">
      <c r="A26139" t="s">
        <v>1</v>
      </c>
      <c r="B26139" t="str">
        <f>"15060721876"</f>
        <v>15060721876</v>
      </c>
      <c r="C26139" t="s">
        <v>1</v>
      </c>
      <c r="D26139" t="s">
        <v>1</v>
      </c>
      <c r="E26139" t="s">
        <v>1</v>
      </c>
      <c r="F26139" t="s">
        <v>0</v>
      </c>
      <c r="G26139" t="str">
        <f>"2018-10-05 16:19:51"</f>
        <v>2018-10-05 16:19:51</v>
      </c>
    </row>
    <row r="26140" spans="1:7" x14ac:dyDescent="0.2">
      <c r="A26140" t="s">
        <v>24048</v>
      </c>
      <c r="B26140" t="str">
        <f>"13707445970"</f>
        <v>13707445970</v>
      </c>
      <c r="C26140" t="str">
        <f>"430821198711047035"</f>
        <v>430821198711047035</v>
      </c>
      <c r="D26140" t="s">
        <v>1</v>
      </c>
      <c r="E26140" t="s">
        <v>1</v>
      </c>
      <c r="F26140" t="s">
        <v>0</v>
      </c>
      <c r="G26140" t="str">
        <f>"2018-10-05 16:21:00"</f>
        <v>2018-10-05 16:21:00</v>
      </c>
    </row>
    <row r="26141" spans="1:7" x14ac:dyDescent="0.2">
      <c r="A26141" t="s">
        <v>24049</v>
      </c>
      <c r="B26141" t="str">
        <f>"15757261991"</f>
        <v>15757261991</v>
      </c>
      <c r="C26141" t="str">
        <f>"330501199006284413"</f>
        <v>330501199006284413</v>
      </c>
      <c r="D26141" t="s">
        <v>24050</v>
      </c>
      <c r="E26141" t="s">
        <v>24051</v>
      </c>
      <c r="F26141" t="s">
        <v>0</v>
      </c>
      <c r="G26141" t="str">
        <f>"2018-10-05 16:19:00"</f>
        <v>2018-10-05 16:19:00</v>
      </c>
    </row>
    <row r="26142" spans="1:7" x14ac:dyDescent="0.2">
      <c r="A26142" t="s">
        <v>24052</v>
      </c>
      <c r="B26142" t="str">
        <f>"18698272399"</f>
        <v>18698272399</v>
      </c>
      <c r="C26142" t="str">
        <f>"211022198103114735"</f>
        <v>211022198103114735</v>
      </c>
      <c r="D26142" t="s">
        <v>1</v>
      </c>
      <c r="E26142" t="s">
        <v>1</v>
      </c>
      <c r="F26142" t="s">
        <v>0</v>
      </c>
      <c r="G26142" t="str">
        <f>"2018-10-05 16:19:19"</f>
        <v>2018-10-05 16:19:19</v>
      </c>
    </row>
    <row r="26143" spans="1:7" x14ac:dyDescent="0.2">
      <c r="A26143" t="s">
        <v>1</v>
      </c>
      <c r="B26143" t="str">
        <f>"18096430319"</f>
        <v>18096430319</v>
      </c>
      <c r="C26143" t="s">
        <v>1</v>
      </c>
      <c r="D26143" t="s">
        <v>1</v>
      </c>
      <c r="E26143" t="s">
        <v>1</v>
      </c>
      <c r="F26143" t="s">
        <v>0</v>
      </c>
      <c r="G26143" t="str">
        <f>"2018-10-05 16:19:19"</f>
        <v>2018-10-05 16:19:19</v>
      </c>
    </row>
    <row r="26144" spans="1:7" x14ac:dyDescent="0.2">
      <c r="A26144" t="s">
        <v>24053</v>
      </c>
      <c r="B26144" t="str">
        <f>"15215021059"</f>
        <v>15215021059</v>
      </c>
      <c r="C26144" t="str">
        <f>"500230199003212972"</f>
        <v>500230199003212972</v>
      </c>
      <c r="D26144" t="s">
        <v>1</v>
      </c>
      <c r="E26144" t="s">
        <v>1</v>
      </c>
      <c r="F26144" t="s">
        <v>0</v>
      </c>
      <c r="G26144" t="str">
        <f>"2018-10-05 16:16:55"</f>
        <v>2018-10-05 16:16:55</v>
      </c>
    </row>
    <row r="26145" spans="1:7" x14ac:dyDescent="0.2">
      <c r="A26145" t="s">
        <v>24054</v>
      </c>
      <c r="B26145" t="str">
        <f>"13811620032"</f>
        <v>13811620032</v>
      </c>
      <c r="C26145" t="str">
        <f>"11010219870917042X"</f>
        <v>11010219870917042X</v>
      </c>
      <c r="D26145" t="s">
        <v>1</v>
      </c>
      <c r="E26145" t="s">
        <v>1</v>
      </c>
      <c r="F26145" t="s">
        <v>0</v>
      </c>
      <c r="G26145" t="str">
        <f>"2018-10-19 21:50:22"</f>
        <v>2018-10-19 21:50:22</v>
      </c>
    </row>
    <row r="26146" spans="1:7" x14ac:dyDescent="0.2">
      <c r="A26146" t="s">
        <v>1</v>
      </c>
      <c r="B26146" t="str">
        <f>"18681067180"</f>
        <v>18681067180</v>
      </c>
      <c r="C26146" t="s">
        <v>1</v>
      </c>
      <c r="D26146" t="s">
        <v>1</v>
      </c>
      <c r="E26146" t="s">
        <v>1</v>
      </c>
      <c r="F26146" t="s">
        <v>0</v>
      </c>
      <c r="G26146" t="str">
        <f>"2018-10-05 16:15:45"</f>
        <v>2018-10-05 16:15:45</v>
      </c>
    </row>
    <row r="26147" spans="1:7" x14ac:dyDescent="0.2">
      <c r="A26147" t="s">
        <v>24055</v>
      </c>
      <c r="B26147" t="str">
        <f>"13784677568"</f>
        <v>13784677568</v>
      </c>
      <c r="C26147" t="str">
        <f>"130281199108230713"</f>
        <v>130281199108230713</v>
      </c>
      <c r="D26147" t="s">
        <v>1</v>
      </c>
      <c r="E26147" t="s">
        <v>1</v>
      </c>
      <c r="F26147" t="s">
        <v>0</v>
      </c>
      <c r="G26147" t="str">
        <f>"2018-10-05 18:36:01"</f>
        <v>2018-10-05 18:36:01</v>
      </c>
    </row>
    <row r="26148" spans="1:7" x14ac:dyDescent="0.2">
      <c r="A26148" t="s">
        <v>24056</v>
      </c>
      <c r="B26148" t="str">
        <f>"18081623258"</f>
        <v>18081623258</v>
      </c>
      <c r="C26148" t="str">
        <f>"513401198805252414"</f>
        <v>513401198805252414</v>
      </c>
      <c r="D26148" t="s">
        <v>24057</v>
      </c>
      <c r="E26148" t="s">
        <v>24058</v>
      </c>
      <c r="F26148" t="s">
        <v>0</v>
      </c>
      <c r="G26148" t="str">
        <f>"2018-11-02 14:22:29"</f>
        <v>2018-11-02 14:22:29</v>
      </c>
    </row>
    <row r="26149" spans="1:7" x14ac:dyDescent="0.2">
      <c r="A26149" t="s">
        <v>24059</v>
      </c>
      <c r="B26149" t="str">
        <f>"13836169419"</f>
        <v>13836169419</v>
      </c>
      <c r="C26149" t="str">
        <f>"230102199307136140"</f>
        <v>230102199307136140</v>
      </c>
      <c r="D26149" t="s">
        <v>1</v>
      </c>
      <c r="E26149" t="s">
        <v>1</v>
      </c>
      <c r="F26149" t="s">
        <v>0</v>
      </c>
      <c r="G26149" t="str">
        <f>"2018-10-05 16:15:30"</f>
        <v>2018-10-05 16:15:30</v>
      </c>
    </row>
    <row r="26150" spans="1:7" x14ac:dyDescent="0.2">
      <c r="A26150" t="s">
        <v>920</v>
      </c>
      <c r="B26150" t="str">
        <f>"18175211012"</f>
        <v>18175211012</v>
      </c>
      <c r="C26150" t="str">
        <f>"341181199404101611"</f>
        <v>341181199404101611</v>
      </c>
      <c r="D26150" t="s">
        <v>1</v>
      </c>
      <c r="E26150" t="s">
        <v>1</v>
      </c>
      <c r="F26150" t="s">
        <v>0</v>
      </c>
      <c r="G26150" t="str">
        <f>"2018-10-12 19:23:54"</f>
        <v>2018-10-12 19:23:54</v>
      </c>
    </row>
    <row r="26151" spans="1:7" x14ac:dyDescent="0.2">
      <c r="A26151" t="s">
        <v>24060</v>
      </c>
      <c r="B26151" t="str">
        <f>"13859883552"</f>
        <v>13859883552</v>
      </c>
      <c r="C26151" t="str">
        <f>"350301198812230071"</f>
        <v>350301198812230071</v>
      </c>
      <c r="D26151" t="s">
        <v>1</v>
      </c>
      <c r="E26151" t="s">
        <v>1</v>
      </c>
      <c r="F26151" t="s">
        <v>0</v>
      </c>
      <c r="G26151" t="str">
        <f>"2018-10-05 16:14:08"</f>
        <v>2018-10-05 16:14:08</v>
      </c>
    </row>
    <row r="26152" spans="1:7" x14ac:dyDescent="0.2">
      <c r="A26152" t="s">
        <v>276</v>
      </c>
      <c r="B26152" t="str">
        <f>"15877908011"</f>
        <v>15877908011</v>
      </c>
      <c r="C26152" t="str">
        <f>"530113199205140018"</f>
        <v>530113199205140018</v>
      </c>
      <c r="D26152" t="s">
        <v>1</v>
      </c>
      <c r="E26152" t="s">
        <v>1</v>
      </c>
      <c r="F26152" t="s">
        <v>0</v>
      </c>
      <c r="G26152" t="str">
        <f>"2018-10-06 08:04:52"</f>
        <v>2018-10-06 08:04:52</v>
      </c>
    </row>
    <row r="26153" spans="1:7" x14ac:dyDescent="0.2">
      <c r="A26153" t="s">
        <v>24061</v>
      </c>
      <c r="B26153" t="str">
        <f>"18036578489"</f>
        <v>18036578489</v>
      </c>
      <c r="C26153" t="str">
        <f>"320705199112143520"</f>
        <v>320705199112143520</v>
      </c>
      <c r="D26153" t="s">
        <v>1</v>
      </c>
      <c r="E26153" t="s">
        <v>1</v>
      </c>
      <c r="F26153" t="s">
        <v>0</v>
      </c>
      <c r="G26153" t="str">
        <f>"2018-10-19 12:12:18"</f>
        <v>2018-10-19 12:12:18</v>
      </c>
    </row>
    <row r="26154" spans="1:7" x14ac:dyDescent="0.2">
      <c r="A26154" t="s">
        <v>24062</v>
      </c>
      <c r="B26154" t="str">
        <f>"18288864675"</f>
        <v>18288864675</v>
      </c>
      <c r="C26154" t="str">
        <f>"533221198712054767"</f>
        <v>533221198712054767</v>
      </c>
      <c r="D26154" t="s">
        <v>1</v>
      </c>
      <c r="E26154" t="s">
        <v>1</v>
      </c>
      <c r="F26154" t="s">
        <v>0</v>
      </c>
      <c r="G26154" t="str">
        <f>"2018-10-28 22:47:53"</f>
        <v>2018-10-28 22:47:53</v>
      </c>
    </row>
    <row r="26155" spans="1:7" x14ac:dyDescent="0.2">
      <c r="A26155" t="s">
        <v>1</v>
      </c>
      <c r="B26155" t="str">
        <f>"15872558556"</f>
        <v>15872558556</v>
      </c>
      <c r="C26155" t="s">
        <v>1</v>
      </c>
      <c r="D26155" t="s">
        <v>1</v>
      </c>
      <c r="E26155" t="s">
        <v>1</v>
      </c>
      <c r="F26155" t="s">
        <v>0</v>
      </c>
      <c r="G26155" t="str">
        <f>"2018-10-05 16:13:00"</f>
        <v>2018-10-05 16:13:00</v>
      </c>
    </row>
    <row r="26156" spans="1:7" x14ac:dyDescent="0.2">
      <c r="A26156" t="s">
        <v>24063</v>
      </c>
      <c r="B26156" t="str">
        <f>"18984439344"</f>
        <v>18984439344</v>
      </c>
      <c r="C26156" t="str">
        <f>"520221199003072014"</f>
        <v>520221199003072014</v>
      </c>
      <c r="D26156" t="s">
        <v>24064</v>
      </c>
      <c r="E26156" t="s">
        <v>24065</v>
      </c>
      <c r="F26156" t="s">
        <v>0</v>
      </c>
      <c r="G26156" t="str">
        <f>"2018-10-16 15:56:04"</f>
        <v>2018-10-16 15:56:04</v>
      </c>
    </row>
    <row r="26157" spans="1:7" x14ac:dyDescent="0.2">
      <c r="A26157" t="s">
        <v>976</v>
      </c>
      <c r="B26157" t="str">
        <f>"13002330275"</f>
        <v>13002330275</v>
      </c>
      <c r="C26157" t="str">
        <f>"510212198205123817"</f>
        <v>510212198205123817</v>
      </c>
      <c r="D26157" t="s">
        <v>1</v>
      </c>
      <c r="E26157" t="s">
        <v>1</v>
      </c>
      <c r="F26157" t="s">
        <v>0</v>
      </c>
      <c r="G26157" t="str">
        <f>"2018-10-05 16:12:47"</f>
        <v>2018-10-05 16:12:47</v>
      </c>
    </row>
    <row r="26158" spans="1:7" x14ac:dyDescent="0.2">
      <c r="A26158" t="s">
        <v>24066</v>
      </c>
      <c r="B26158" t="str">
        <f>"13020739118"</f>
        <v>13020739118</v>
      </c>
      <c r="C26158" t="str">
        <f>"610481198710131014"</f>
        <v>610481198710131014</v>
      </c>
      <c r="D26158" t="s">
        <v>1</v>
      </c>
      <c r="E26158" t="s">
        <v>1</v>
      </c>
      <c r="F26158" t="s">
        <v>0</v>
      </c>
      <c r="G26158" t="str">
        <f>"2018-10-05 16:13:29"</f>
        <v>2018-10-05 16:13:29</v>
      </c>
    </row>
    <row r="26159" spans="1:7" x14ac:dyDescent="0.2">
      <c r="A26159" t="s">
        <v>24067</v>
      </c>
      <c r="B26159" t="str">
        <f>"18854172786"</f>
        <v>18854172786</v>
      </c>
      <c r="C26159" t="str">
        <f>"370112198610142550"</f>
        <v>370112198610142550</v>
      </c>
      <c r="D26159" t="s">
        <v>1</v>
      </c>
      <c r="E26159" t="s">
        <v>1</v>
      </c>
      <c r="F26159" t="s">
        <v>0</v>
      </c>
      <c r="G26159" t="str">
        <f>"2018-10-05 16:13:09"</f>
        <v>2018-10-05 16:13:09</v>
      </c>
    </row>
    <row r="26160" spans="1:7" x14ac:dyDescent="0.2">
      <c r="A26160" t="s">
        <v>24068</v>
      </c>
      <c r="B26160" t="str">
        <f>"13826811490"</f>
        <v>13826811490</v>
      </c>
      <c r="C26160" t="str">
        <f>"440106198007085011"</f>
        <v>440106198007085011</v>
      </c>
      <c r="D26160" t="s">
        <v>1</v>
      </c>
      <c r="E26160" t="s">
        <v>1</v>
      </c>
      <c r="F26160" t="s">
        <v>0</v>
      </c>
      <c r="G26160" t="str">
        <f>"2018-10-05 16:12:38"</f>
        <v>2018-10-05 16:12:38</v>
      </c>
    </row>
    <row r="26161" spans="1:7" x14ac:dyDescent="0.2">
      <c r="A26161" t="s">
        <v>1</v>
      </c>
      <c r="B26161" t="str">
        <f>"15581651951"</f>
        <v>15581651951</v>
      </c>
      <c r="C26161" t="s">
        <v>1</v>
      </c>
      <c r="D26161" t="s">
        <v>1</v>
      </c>
      <c r="E26161" t="s">
        <v>1</v>
      </c>
      <c r="F26161" t="s">
        <v>0</v>
      </c>
      <c r="G26161" t="str">
        <f>"2018-10-05 16:10:31"</f>
        <v>2018-10-05 16:10:31</v>
      </c>
    </row>
    <row r="26162" spans="1:7" x14ac:dyDescent="0.2">
      <c r="A26162" t="s">
        <v>24069</v>
      </c>
      <c r="B26162" t="str">
        <f>"15777332227"</f>
        <v>15777332227</v>
      </c>
      <c r="C26162" t="str">
        <f>"452324198007180956"</f>
        <v>452324198007180956</v>
      </c>
      <c r="D26162" t="s">
        <v>1</v>
      </c>
      <c r="E26162" t="s">
        <v>1</v>
      </c>
      <c r="F26162" t="s">
        <v>0</v>
      </c>
      <c r="G26162" t="str">
        <f>"2018-10-05 16:09:34"</f>
        <v>2018-10-05 16:09:34</v>
      </c>
    </row>
    <row r="26163" spans="1:7" x14ac:dyDescent="0.2">
      <c r="A26163" t="s">
        <v>1</v>
      </c>
      <c r="B26163" t="str">
        <f>"18584806924"</f>
        <v>18584806924</v>
      </c>
      <c r="C26163" t="s">
        <v>1</v>
      </c>
      <c r="D26163" t="s">
        <v>1</v>
      </c>
      <c r="E26163" t="s">
        <v>1</v>
      </c>
      <c r="F26163" t="s">
        <v>0</v>
      </c>
      <c r="G26163" t="str">
        <f>"2018-10-05 16:09:07"</f>
        <v>2018-10-05 16:09:07</v>
      </c>
    </row>
    <row r="26164" spans="1:7" x14ac:dyDescent="0.2">
      <c r="A26164" t="s">
        <v>24070</v>
      </c>
      <c r="B26164" t="str">
        <f>"13585386228"</f>
        <v>13585386228</v>
      </c>
      <c r="C26164" t="str">
        <f>"320305199205012050"</f>
        <v>320305199205012050</v>
      </c>
      <c r="D26164" t="s">
        <v>1</v>
      </c>
      <c r="E26164" t="s">
        <v>1</v>
      </c>
      <c r="F26164" t="s">
        <v>0</v>
      </c>
      <c r="G26164" t="str">
        <f>"2018-10-05 16:07:21"</f>
        <v>2018-10-05 16:07:21</v>
      </c>
    </row>
    <row r="26165" spans="1:7" x14ac:dyDescent="0.2">
      <c r="A26165" t="s">
        <v>24071</v>
      </c>
      <c r="B26165" t="str">
        <f>"18805935302"</f>
        <v>18805935302</v>
      </c>
      <c r="C26165" t="str">
        <f>"352202199708080023"</f>
        <v>352202199708080023</v>
      </c>
      <c r="D26165" t="s">
        <v>1</v>
      </c>
      <c r="E26165" t="s">
        <v>1</v>
      </c>
      <c r="F26165" t="s">
        <v>0</v>
      </c>
      <c r="G26165" t="str">
        <f>"2018-10-05 16:08:36"</f>
        <v>2018-10-05 16:08:36</v>
      </c>
    </row>
    <row r="26166" spans="1:7" x14ac:dyDescent="0.2">
      <c r="A26166" t="s">
        <v>24072</v>
      </c>
      <c r="B26166" t="str">
        <f>"15014050520"</f>
        <v>15014050520</v>
      </c>
      <c r="C26166" t="str">
        <f>"44180219941029601X"</f>
        <v>44180219941029601X</v>
      </c>
      <c r="D26166" t="s">
        <v>1</v>
      </c>
      <c r="E26166" t="s">
        <v>1</v>
      </c>
      <c r="F26166" t="s">
        <v>0</v>
      </c>
      <c r="G26166" t="str">
        <f>"2018-11-05 14:27:48"</f>
        <v>2018-11-05 14:27:48</v>
      </c>
    </row>
    <row r="26167" spans="1:7" x14ac:dyDescent="0.2">
      <c r="A26167" t="s">
        <v>1</v>
      </c>
      <c r="B26167" t="str">
        <f>"17753578668"</f>
        <v>17753578668</v>
      </c>
      <c r="C26167" t="s">
        <v>1</v>
      </c>
      <c r="D26167" t="s">
        <v>1</v>
      </c>
      <c r="E26167" t="s">
        <v>1</v>
      </c>
      <c r="F26167" t="s">
        <v>0</v>
      </c>
      <c r="G26167" t="str">
        <f>"2018-10-05 16:05:55"</f>
        <v>2018-10-05 16:05:55</v>
      </c>
    </row>
    <row r="26168" spans="1:7" x14ac:dyDescent="0.2">
      <c r="A26168" t="s">
        <v>1</v>
      </c>
      <c r="B26168" t="str">
        <f>"13823257127"</f>
        <v>13823257127</v>
      </c>
      <c r="C26168" t="s">
        <v>1</v>
      </c>
      <c r="D26168" t="s">
        <v>1</v>
      </c>
      <c r="E26168" t="s">
        <v>1</v>
      </c>
      <c r="F26168" t="s">
        <v>0</v>
      </c>
      <c r="G26168" t="str">
        <f>"2018-10-05 16:05:38"</f>
        <v>2018-10-05 16:05:38</v>
      </c>
    </row>
    <row r="26169" spans="1:7" x14ac:dyDescent="0.2">
      <c r="A26169" t="s">
        <v>1</v>
      </c>
      <c r="B26169" t="str">
        <f>"18121662978"</f>
        <v>18121662978</v>
      </c>
      <c r="C26169" t="s">
        <v>1</v>
      </c>
      <c r="D26169" t="s">
        <v>1</v>
      </c>
      <c r="E26169" t="s">
        <v>1</v>
      </c>
      <c r="F26169" t="s">
        <v>0</v>
      </c>
      <c r="G26169" t="str">
        <f>"2018-10-05 16:05:35"</f>
        <v>2018-10-05 16:05:35</v>
      </c>
    </row>
    <row r="26170" spans="1:7" x14ac:dyDescent="0.2">
      <c r="A26170" t="s">
        <v>1</v>
      </c>
      <c r="B26170" t="str">
        <f>"15014049650"</f>
        <v>15014049650</v>
      </c>
      <c r="C26170" t="s">
        <v>1</v>
      </c>
      <c r="D26170" t="s">
        <v>1</v>
      </c>
      <c r="E26170" t="s">
        <v>1</v>
      </c>
      <c r="F26170" t="s">
        <v>0</v>
      </c>
      <c r="G26170" t="str">
        <f>"2018-10-05 16:04:35"</f>
        <v>2018-10-05 16:04:35</v>
      </c>
    </row>
    <row r="26171" spans="1:7" x14ac:dyDescent="0.2">
      <c r="A26171" t="s">
        <v>1</v>
      </c>
      <c r="B26171" t="str">
        <f>"15682611382"</f>
        <v>15682611382</v>
      </c>
      <c r="C26171" t="s">
        <v>1</v>
      </c>
      <c r="D26171" t="s">
        <v>1</v>
      </c>
      <c r="E26171" t="s">
        <v>1</v>
      </c>
      <c r="F26171" t="s">
        <v>0</v>
      </c>
      <c r="G26171" t="str">
        <f>"2018-10-05 16:04:32"</f>
        <v>2018-10-05 16:04:32</v>
      </c>
    </row>
    <row r="26172" spans="1:7" x14ac:dyDescent="0.2">
      <c r="A26172" t="s">
        <v>1317</v>
      </c>
      <c r="B26172" t="str">
        <f>"17315261631"</f>
        <v>17315261631</v>
      </c>
      <c r="C26172" t="str">
        <f>"412825199206066436"</f>
        <v>412825199206066436</v>
      </c>
      <c r="D26172" t="s">
        <v>1</v>
      </c>
      <c r="E26172" t="s">
        <v>1</v>
      </c>
      <c r="F26172" t="s">
        <v>0</v>
      </c>
      <c r="G26172" t="str">
        <f>"2018-10-05 16:06:10"</f>
        <v>2018-10-05 16:06:10</v>
      </c>
    </row>
    <row r="26173" spans="1:7" x14ac:dyDescent="0.2">
      <c r="A26173" t="s">
        <v>1</v>
      </c>
      <c r="B26173" t="str">
        <f>"15599168948"</f>
        <v>15599168948</v>
      </c>
      <c r="C26173" t="s">
        <v>1</v>
      </c>
      <c r="D26173" t="s">
        <v>1</v>
      </c>
      <c r="E26173" t="s">
        <v>1</v>
      </c>
      <c r="F26173" t="s">
        <v>0</v>
      </c>
      <c r="G26173" t="str">
        <f>"2018-10-05 16:05:26"</f>
        <v>2018-10-05 16:05:26</v>
      </c>
    </row>
    <row r="26174" spans="1:7" x14ac:dyDescent="0.2">
      <c r="A26174" t="s">
        <v>24073</v>
      </c>
      <c r="B26174" t="str">
        <f>"18686883814"</f>
        <v>18686883814</v>
      </c>
      <c r="C26174" t="str">
        <f>"230205198805070826"</f>
        <v>230205198805070826</v>
      </c>
      <c r="D26174" t="s">
        <v>1</v>
      </c>
      <c r="E26174" t="s">
        <v>1</v>
      </c>
      <c r="F26174" t="s">
        <v>0</v>
      </c>
      <c r="G26174" t="str">
        <f>"2018-10-05 16:09:35"</f>
        <v>2018-10-05 16:09:35</v>
      </c>
    </row>
    <row r="26175" spans="1:7" x14ac:dyDescent="0.2">
      <c r="A26175" t="s">
        <v>24074</v>
      </c>
      <c r="B26175" t="str">
        <f>"13670493195"</f>
        <v>13670493195</v>
      </c>
      <c r="C26175" t="str">
        <f>"52263319911102502X"</f>
        <v>52263319911102502X</v>
      </c>
      <c r="D26175" t="s">
        <v>1</v>
      </c>
      <c r="E26175" t="s">
        <v>1</v>
      </c>
      <c r="F26175" t="s">
        <v>0</v>
      </c>
      <c r="G26175" t="str">
        <f>"2018-10-23 11:37:51"</f>
        <v>2018-10-23 11:37:51</v>
      </c>
    </row>
    <row r="26176" spans="1:7" x14ac:dyDescent="0.2">
      <c r="A26176" t="s">
        <v>658</v>
      </c>
      <c r="B26176" t="str">
        <f>"15233847789"</f>
        <v>15233847789</v>
      </c>
      <c r="C26176" t="str">
        <f>"130433199312083917"</f>
        <v>130433199312083917</v>
      </c>
      <c r="D26176" t="s">
        <v>24075</v>
      </c>
      <c r="E26176" t="s">
        <v>24076</v>
      </c>
      <c r="F26176" t="s">
        <v>0</v>
      </c>
      <c r="G26176" t="str">
        <f>"2018-10-05 19:37:00"</f>
        <v>2018-10-05 19:37:00</v>
      </c>
    </row>
    <row r="26177" spans="1:7" x14ac:dyDescent="0.2">
      <c r="A26177" t="s">
        <v>24077</v>
      </c>
      <c r="B26177" t="str">
        <f>"13004855191"</f>
        <v>13004855191</v>
      </c>
      <c r="C26177" t="str">
        <f>"350321197311105652"</f>
        <v>350321197311105652</v>
      </c>
      <c r="D26177" t="s">
        <v>24078</v>
      </c>
      <c r="E26177" t="s">
        <v>24079</v>
      </c>
      <c r="F26177" t="s">
        <v>0</v>
      </c>
      <c r="G26177" t="str">
        <f>"2018-10-29 08:20:58"</f>
        <v>2018-10-29 08:20:58</v>
      </c>
    </row>
    <row r="26178" spans="1:7" x14ac:dyDescent="0.2">
      <c r="A26178" t="s">
        <v>13922</v>
      </c>
      <c r="B26178" t="str">
        <f>"15096319509"</f>
        <v>15096319509</v>
      </c>
      <c r="C26178" t="str">
        <f>"432501196807251015"</f>
        <v>432501196807251015</v>
      </c>
      <c r="D26178" t="s">
        <v>1</v>
      </c>
      <c r="E26178" t="s">
        <v>1</v>
      </c>
      <c r="F26178" t="s">
        <v>0</v>
      </c>
      <c r="G26178" t="str">
        <f>"2018-10-05 16:10:06"</f>
        <v>2018-10-05 16:10:06</v>
      </c>
    </row>
    <row r="26179" spans="1:7" x14ac:dyDescent="0.2">
      <c r="A26179" t="s">
        <v>1073</v>
      </c>
      <c r="B26179" t="str">
        <f>"18641184339"</f>
        <v>18641184339</v>
      </c>
      <c r="C26179" t="str">
        <f>"230802198804220558"</f>
        <v>230802198804220558</v>
      </c>
      <c r="D26179" t="s">
        <v>1</v>
      </c>
      <c r="E26179" t="s">
        <v>1</v>
      </c>
      <c r="F26179" t="s">
        <v>0</v>
      </c>
      <c r="G26179" t="str">
        <f>"2018-10-05 16:06:55"</f>
        <v>2018-10-05 16:06:55</v>
      </c>
    </row>
    <row r="26180" spans="1:7" x14ac:dyDescent="0.2">
      <c r="A26180" t="s">
        <v>1</v>
      </c>
      <c r="B26180" t="str">
        <f>"13905154560"</f>
        <v>13905154560</v>
      </c>
      <c r="C26180" t="s">
        <v>1</v>
      </c>
      <c r="D26180" t="s">
        <v>1</v>
      </c>
      <c r="E26180" t="s">
        <v>1</v>
      </c>
      <c r="F26180" t="s">
        <v>0</v>
      </c>
      <c r="G26180" t="str">
        <f>"2018-10-05 16:02:45"</f>
        <v>2018-10-05 16:02:45</v>
      </c>
    </row>
    <row r="26181" spans="1:7" x14ac:dyDescent="0.2">
      <c r="A26181" t="s">
        <v>24080</v>
      </c>
      <c r="B26181" t="str">
        <f>"13968574360"</f>
        <v>13968574360</v>
      </c>
      <c r="C26181" t="str">
        <f>"331023198509095822"</f>
        <v>331023198509095822</v>
      </c>
      <c r="D26181" t="s">
        <v>1</v>
      </c>
      <c r="E26181" t="s">
        <v>1</v>
      </c>
      <c r="F26181" t="s">
        <v>0</v>
      </c>
      <c r="G26181" t="str">
        <f>"2018-10-05 16:03:54"</f>
        <v>2018-10-05 16:03:54</v>
      </c>
    </row>
    <row r="26182" spans="1:7" x14ac:dyDescent="0.2">
      <c r="A26182" t="s">
        <v>24081</v>
      </c>
      <c r="B26182" t="str">
        <f>"18254455456"</f>
        <v>18254455456</v>
      </c>
      <c r="C26182" t="str">
        <f>"370402199402283031"</f>
        <v>370402199402283031</v>
      </c>
      <c r="D26182" t="s">
        <v>1</v>
      </c>
      <c r="E26182" t="s">
        <v>1</v>
      </c>
      <c r="F26182" t="s">
        <v>0</v>
      </c>
      <c r="G26182" t="str">
        <f>"2018-10-05 16:03:15"</f>
        <v>2018-10-05 16:03:15</v>
      </c>
    </row>
    <row r="26183" spans="1:7" x14ac:dyDescent="0.2">
      <c r="A26183" t="s">
        <v>24082</v>
      </c>
      <c r="B26183" t="str">
        <f>"13027883877"</f>
        <v>13027883877</v>
      </c>
      <c r="C26183" t="str">
        <f>"522424200006101631"</f>
        <v>522424200006101631</v>
      </c>
      <c r="D26183" t="s">
        <v>1</v>
      </c>
      <c r="E26183" t="s">
        <v>1</v>
      </c>
      <c r="F26183" t="s">
        <v>0</v>
      </c>
      <c r="G26183" t="str">
        <f>"2018-10-05 16:02:15"</f>
        <v>2018-10-05 16:02:15</v>
      </c>
    </row>
    <row r="26184" spans="1:7" x14ac:dyDescent="0.2">
      <c r="A26184" t="s">
        <v>24083</v>
      </c>
      <c r="B26184" t="str">
        <f>"13067044390"</f>
        <v>13067044390</v>
      </c>
      <c r="C26184" t="str">
        <f>"350525198406264534"</f>
        <v>350525198406264534</v>
      </c>
      <c r="D26184" t="s">
        <v>1</v>
      </c>
      <c r="E26184" t="s">
        <v>1</v>
      </c>
      <c r="F26184" t="s">
        <v>0</v>
      </c>
      <c r="G26184" t="str">
        <f>"2018-10-05 16:01:54"</f>
        <v>2018-10-05 16:01:54</v>
      </c>
    </row>
    <row r="26185" spans="1:7" x14ac:dyDescent="0.2">
      <c r="A26185" t="s">
        <v>24084</v>
      </c>
      <c r="B26185" t="str">
        <f>"15229060607"</f>
        <v>15229060607</v>
      </c>
      <c r="C26185" t="str">
        <f>"610111199203134519"</f>
        <v>610111199203134519</v>
      </c>
      <c r="D26185" t="s">
        <v>1</v>
      </c>
      <c r="E26185" t="s">
        <v>1</v>
      </c>
      <c r="F26185" t="s">
        <v>0</v>
      </c>
      <c r="G26185" t="str">
        <f>"2018-10-05 16:02:25"</f>
        <v>2018-10-05 16:02:25</v>
      </c>
    </row>
    <row r="26186" spans="1:7" x14ac:dyDescent="0.2">
      <c r="A26186" t="s">
        <v>24085</v>
      </c>
      <c r="B26186" t="str">
        <f>"13425716589"</f>
        <v>13425716589</v>
      </c>
      <c r="C26186" t="str">
        <f>"45042219860102261X"</f>
        <v>45042219860102261X</v>
      </c>
      <c r="D26186" t="s">
        <v>24086</v>
      </c>
      <c r="E26186" t="s">
        <v>24087</v>
      </c>
      <c r="F26186" t="s">
        <v>0</v>
      </c>
      <c r="G26186" t="str">
        <f>"2018-10-05 16:04:02"</f>
        <v>2018-10-05 16:04:02</v>
      </c>
    </row>
    <row r="26187" spans="1:7" x14ac:dyDescent="0.2">
      <c r="A26187" t="s">
        <v>24088</v>
      </c>
      <c r="B26187" t="str">
        <f>"15201162601"</f>
        <v>15201162601</v>
      </c>
      <c r="C26187" t="str">
        <f>"342623199110102074"</f>
        <v>342623199110102074</v>
      </c>
      <c r="D26187" t="s">
        <v>1</v>
      </c>
      <c r="E26187" t="s">
        <v>1</v>
      </c>
      <c r="F26187" t="s">
        <v>0</v>
      </c>
      <c r="G26187" t="str">
        <f>"2018-10-05 16:04:21"</f>
        <v>2018-10-05 16:04:21</v>
      </c>
    </row>
    <row r="26188" spans="1:7" x14ac:dyDescent="0.2">
      <c r="A26188" t="s">
        <v>841</v>
      </c>
      <c r="B26188" t="str">
        <f>"18360609993"</f>
        <v>18360609993</v>
      </c>
      <c r="C26188" t="str">
        <f>"320721198703253612"</f>
        <v>320721198703253612</v>
      </c>
      <c r="D26188" t="s">
        <v>1</v>
      </c>
      <c r="E26188" t="s">
        <v>1</v>
      </c>
      <c r="F26188" t="s">
        <v>0</v>
      </c>
      <c r="G26188" t="str">
        <f>"2018-10-05 16:01:10"</f>
        <v>2018-10-05 16:01:10</v>
      </c>
    </row>
    <row r="26189" spans="1:7" x14ac:dyDescent="0.2">
      <c r="A26189" t="s">
        <v>1</v>
      </c>
      <c r="B26189" t="str">
        <f>"15182155615"</f>
        <v>15182155615</v>
      </c>
      <c r="C26189" t="s">
        <v>1</v>
      </c>
      <c r="D26189" t="s">
        <v>1</v>
      </c>
      <c r="E26189" t="s">
        <v>1</v>
      </c>
      <c r="F26189" t="s">
        <v>0</v>
      </c>
      <c r="G26189" t="str">
        <f>"2018-10-05 15:58:57"</f>
        <v>2018-10-05 15:58:57</v>
      </c>
    </row>
    <row r="26190" spans="1:7" x14ac:dyDescent="0.2">
      <c r="A26190" t="s">
        <v>24089</v>
      </c>
      <c r="B26190" t="str">
        <f>"13904021096"</f>
        <v>13904021096</v>
      </c>
      <c r="C26190" t="str">
        <f>"210113197907050021"</f>
        <v>210113197907050021</v>
      </c>
      <c r="D26190" t="s">
        <v>24090</v>
      </c>
      <c r="E26190" t="s">
        <v>24091</v>
      </c>
      <c r="F26190" t="s">
        <v>0</v>
      </c>
      <c r="G26190" t="str">
        <f>"2018-10-05 16:01:47"</f>
        <v>2018-10-05 16:01:47</v>
      </c>
    </row>
    <row r="26191" spans="1:7" x14ac:dyDescent="0.2">
      <c r="A26191" t="s">
        <v>1</v>
      </c>
      <c r="B26191" t="str">
        <f>"17642510779"</f>
        <v>17642510779</v>
      </c>
      <c r="C26191" t="s">
        <v>1</v>
      </c>
      <c r="D26191" t="s">
        <v>1</v>
      </c>
      <c r="E26191" t="s">
        <v>1</v>
      </c>
      <c r="F26191" t="s">
        <v>0</v>
      </c>
      <c r="G26191" t="str">
        <f>"2018-10-05 15:59:36"</f>
        <v>2018-10-05 15:59:36</v>
      </c>
    </row>
    <row r="26192" spans="1:7" x14ac:dyDescent="0.2">
      <c r="A26192" t="s">
        <v>24092</v>
      </c>
      <c r="B26192" t="str">
        <f>"15527601206"</f>
        <v>15527601206</v>
      </c>
      <c r="C26192" t="str">
        <f>"420106196304214040"</f>
        <v>420106196304214040</v>
      </c>
      <c r="D26192" t="s">
        <v>1</v>
      </c>
      <c r="E26192" t="s">
        <v>1</v>
      </c>
      <c r="F26192" t="s">
        <v>0</v>
      </c>
      <c r="G26192" t="str">
        <f>"2018-11-03 02:51:38"</f>
        <v>2018-11-03 02:51:38</v>
      </c>
    </row>
    <row r="26193" spans="1:7" x14ac:dyDescent="0.2">
      <c r="A26193" t="s">
        <v>24093</v>
      </c>
      <c r="B26193" t="str">
        <f>"18698953000"</f>
        <v>18698953000</v>
      </c>
      <c r="C26193" t="str">
        <f>"211404199001143424"</f>
        <v>211404199001143424</v>
      </c>
      <c r="D26193" t="s">
        <v>1</v>
      </c>
      <c r="E26193" t="s">
        <v>1</v>
      </c>
      <c r="F26193" t="s">
        <v>0</v>
      </c>
      <c r="G26193" t="str">
        <f>"2018-10-05 15:58:33"</f>
        <v>2018-10-05 15:58:33</v>
      </c>
    </row>
    <row r="26194" spans="1:7" x14ac:dyDescent="0.2">
      <c r="A26194" t="s">
        <v>1</v>
      </c>
      <c r="B26194" t="str">
        <f>"15399636695"</f>
        <v>15399636695</v>
      </c>
      <c r="C26194" t="s">
        <v>1</v>
      </c>
      <c r="D26194" t="s">
        <v>1</v>
      </c>
      <c r="E26194" t="s">
        <v>1</v>
      </c>
      <c r="F26194" t="s">
        <v>0</v>
      </c>
      <c r="G26194" t="str">
        <f>"2018-10-05 15:57:28"</f>
        <v>2018-10-05 15:57:28</v>
      </c>
    </row>
    <row r="26195" spans="1:7" x14ac:dyDescent="0.2">
      <c r="A26195" t="s">
        <v>24094</v>
      </c>
      <c r="B26195" t="str">
        <f>"13942301231"</f>
        <v>13942301231</v>
      </c>
      <c r="C26195" t="str">
        <f>"21041119890110383X"</f>
        <v>21041119890110383X</v>
      </c>
      <c r="D26195" t="s">
        <v>1</v>
      </c>
      <c r="E26195" t="s">
        <v>1</v>
      </c>
      <c r="F26195" t="s">
        <v>0</v>
      </c>
      <c r="G26195" t="str">
        <f>"2018-10-05 16:00:04"</f>
        <v>2018-10-05 16:00:04</v>
      </c>
    </row>
    <row r="26196" spans="1:7" x14ac:dyDescent="0.2">
      <c r="A26196" t="s">
        <v>24095</v>
      </c>
      <c r="B26196" t="str">
        <f>"13871714086"</f>
        <v>13871714086</v>
      </c>
      <c r="C26196" t="str">
        <f>"420683197306250015"</f>
        <v>420683197306250015</v>
      </c>
      <c r="D26196" t="s">
        <v>1</v>
      </c>
      <c r="E26196" t="s">
        <v>1</v>
      </c>
      <c r="F26196" t="s">
        <v>0</v>
      </c>
      <c r="G26196" t="str">
        <f>"2018-10-05 15:59:37"</f>
        <v>2018-10-05 15:59:37</v>
      </c>
    </row>
    <row r="26197" spans="1:7" x14ac:dyDescent="0.2">
      <c r="A26197" t="s">
        <v>1</v>
      </c>
      <c r="B26197" t="str">
        <f>"13867966500"</f>
        <v>13867966500</v>
      </c>
      <c r="C26197" t="s">
        <v>1</v>
      </c>
      <c r="D26197" t="s">
        <v>1</v>
      </c>
      <c r="E26197" t="s">
        <v>1</v>
      </c>
      <c r="F26197" t="s">
        <v>0</v>
      </c>
      <c r="G26197" t="str">
        <f>"2018-10-05 16:56:19"</f>
        <v>2018-10-05 16:56:19</v>
      </c>
    </row>
    <row r="26198" spans="1:7" x14ac:dyDescent="0.2">
      <c r="A26198" t="s">
        <v>24096</v>
      </c>
      <c r="B26198" t="str">
        <f>"17669301252"</f>
        <v>17669301252</v>
      </c>
      <c r="C26198" t="str">
        <f>"372929199401076937"</f>
        <v>372929199401076937</v>
      </c>
      <c r="D26198" t="s">
        <v>1</v>
      </c>
      <c r="E26198" t="s">
        <v>1</v>
      </c>
      <c r="F26198" t="s">
        <v>0</v>
      </c>
      <c r="G26198" t="str">
        <f>"2018-10-05 16:12:46"</f>
        <v>2018-10-05 16:12:46</v>
      </c>
    </row>
    <row r="26199" spans="1:7" x14ac:dyDescent="0.2">
      <c r="A26199" t="s">
        <v>1</v>
      </c>
      <c r="B26199" t="str">
        <f>"15677976046"</f>
        <v>15677976046</v>
      </c>
      <c r="C26199" t="s">
        <v>1</v>
      </c>
      <c r="D26199" t="s">
        <v>1</v>
      </c>
      <c r="E26199" t="s">
        <v>1</v>
      </c>
      <c r="F26199" t="s">
        <v>0</v>
      </c>
      <c r="G26199" t="str">
        <f>"2018-10-05 15:56:29"</f>
        <v>2018-10-05 15:56:29</v>
      </c>
    </row>
    <row r="26200" spans="1:7" x14ac:dyDescent="0.2">
      <c r="A26200" t="s">
        <v>24097</v>
      </c>
      <c r="B26200" t="str">
        <f>"18873703287"</f>
        <v>18873703287</v>
      </c>
      <c r="C26200" t="str">
        <f>"460006198806097826"</f>
        <v>460006198806097826</v>
      </c>
      <c r="D26200" t="s">
        <v>1</v>
      </c>
      <c r="E26200" t="s">
        <v>1</v>
      </c>
      <c r="F26200" t="s">
        <v>0</v>
      </c>
      <c r="G26200" t="str">
        <f>"2018-10-05 16:01:05"</f>
        <v>2018-10-05 16:01:05</v>
      </c>
    </row>
    <row r="26201" spans="1:7" x14ac:dyDescent="0.2">
      <c r="A26201" t="s">
        <v>24098</v>
      </c>
      <c r="B26201" t="str">
        <f>"18711320101"</f>
        <v>18711320101</v>
      </c>
      <c r="C26201" t="str">
        <f>"430302198407123068"</f>
        <v>430302198407123068</v>
      </c>
      <c r="D26201" t="s">
        <v>24099</v>
      </c>
      <c r="E26201" t="s">
        <v>24100</v>
      </c>
      <c r="F26201" t="s">
        <v>0</v>
      </c>
      <c r="G26201" t="str">
        <f>"2018-10-28 15:50:23"</f>
        <v>2018-10-28 15:50:23</v>
      </c>
    </row>
    <row r="26202" spans="1:7" x14ac:dyDescent="0.2">
      <c r="A26202" t="s">
        <v>359</v>
      </c>
      <c r="B26202" t="str">
        <f>"17503282757"</f>
        <v>17503282757</v>
      </c>
      <c r="C26202" t="str">
        <f>"152326199512105072"</f>
        <v>152326199512105072</v>
      </c>
      <c r="D26202" t="s">
        <v>1</v>
      </c>
      <c r="E26202" t="s">
        <v>1</v>
      </c>
      <c r="F26202" t="s">
        <v>0</v>
      </c>
      <c r="G26202" t="str">
        <f>"2018-10-05 15:58:28"</f>
        <v>2018-10-05 15:58:28</v>
      </c>
    </row>
    <row r="26203" spans="1:7" x14ac:dyDescent="0.2">
      <c r="A26203" t="s">
        <v>24101</v>
      </c>
      <c r="B26203" t="str">
        <f>"18524522114"</f>
        <v>18524522114</v>
      </c>
      <c r="C26203" t="str">
        <f>"210726198304010310"</f>
        <v>210726198304010310</v>
      </c>
      <c r="D26203" t="s">
        <v>24102</v>
      </c>
      <c r="E26203" t="s">
        <v>24102</v>
      </c>
      <c r="F26203" t="s">
        <v>0</v>
      </c>
      <c r="G26203" t="str">
        <f>"2018-10-31 12:15:38"</f>
        <v>2018-10-31 12:15:38</v>
      </c>
    </row>
    <row r="26204" spans="1:7" x14ac:dyDescent="0.2">
      <c r="A26204" t="s">
        <v>24103</v>
      </c>
      <c r="B26204" t="str">
        <f>"13865088029"</f>
        <v>13865088029</v>
      </c>
      <c r="C26204" t="str">
        <f>"340322199002011242"</f>
        <v>340322199002011242</v>
      </c>
      <c r="D26204" t="s">
        <v>1</v>
      </c>
      <c r="E26204" t="s">
        <v>1</v>
      </c>
      <c r="F26204" t="s">
        <v>0</v>
      </c>
      <c r="G26204" t="str">
        <f>"2018-10-23 16:02:37"</f>
        <v>2018-10-23 16:02:37</v>
      </c>
    </row>
    <row r="26205" spans="1:7" x14ac:dyDescent="0.2">
      <c r="A26205" t="s">
        <v>660</v>
      </c>
      <c r="B26205" t="str">
        <f>"18670273723"</f>
        <v>18670273723</v>
      </c>
      <c r="C26205" t="str">
        <f>"431022198703047477"</f>
        <v>431022198703047477</v>
      </c>
      <c r="D26205" t="s">
        <v>24104</v>
      </c>
      <c r="E26205" t="s">
        <v>24105</v>
      </c>
      <c r="F26205" t="s">
        <v>0</v>
      </c>
      <c r="G26205" t="str">
        <f>"2018-10-05 15:58:35"</f>
        <v>2018-10-05 15:58:35</v>
      </c>
    </row>
    <row r="26206" spans="1:7" x14ac:dyDescent="0.2">
      <c r="A26206" t="s">
        <v>24106</v>
      </c>
      <c r="B26206" t="str">
        <f>"13877686638"</f>
        <v>13877686638</v>
      </c>
      <c r="C26206" t="str">
        <f>"452631198208104554"</f>
        <v>452631198208104554</v>
      </c>
      <c r="D26206" t="s">
        <v>1</v>
      </c>
      <c r="E26206" t="s">
        <v>1</v>
      </c>
      <c r="F26206" t="s">
        <v>0</v>
      </c>
      <c r="G26206" t="str">
        <f>"2018-10-05 15:57:15"</f>
        <v>2018-10-05 15:57:15</v>
      </c>
    </row>
    <row r="26207" spans="1:7" x14ac:dyDescent="0.2">
      <c r="A26207" t="s">
        <v>24107</v>
      </c>
      <c r="B26207" t="str">
        <f>"18784779233"</f>
        <v>18784779233</v>
      </c>
      <c r="C26207" t="str">
        <f>"51130219861108073X"</f>
        <v>51130219861108073X</v>
      </c>
      <c r="D26207" t="s">
        <v>24108</v>
      </c>
      <c r="E26207" t="s">
        <v>24109</v>
      </c>
      <c r="F26207" t="s">
        <v>0</v>
      </c>
      <c r="G26207" t="str">
        <f>"2018-10-05 15:58:19"</f>
        <v>2018-10-05 15:58:19</v>
      </c>
    </row>
    <row r="26208" spans="1:7" x14ac:dyDescent="0.2">
      <c r="A26208" t="s">
        <v>24110</v>
      </c>
      <c r="B26208" t="str">
        <f>"15061613226"</f>
        <v>15061613226</v>
      </c>
      <c r="C26208" t="str">
        <f>"320911198603296322"</f>
        <v>320911198603296322</v>
      </c>
      <c r="D26208" t="s">
        <v>24111</v>
      </c>
      <c r="E26208" t="s">
        <v>24112</v>
      </c>
      <c r="F26208" t="s">
        <v>0</v>
      </c>
      <c r="G26208" t="str">
        <f>"2018-10-05 15:56:53"</f>
        <v>2018-10-05 15:56:53</v>
      </c>
    </row>
    <row r="26209" spans="1:7" x14ac:dyDescent="0.2">
      <c r="A26209" t="s">
        <v>1</v>
      </c>
      <c r="B26209" t="str">
        <f>"15126272602"</f>
        <v>15126272602</v>
      </c>
      <c r="C26209" t="s">
        <v>1</v>
      </c>
      <c r="D26209" t="s">
        <v>1</v>
      </c>
      <c r="E26209" t="s">
        <v>1</v>
      </c>
      <c r="F26209" t="s">
        <v>0</v>
      </c>
      <c r="G26209" t="str">
        <f>"2018-10-05 15:57:37"</f>
        <v>2018-10-05 15:57:37</v>
      </c>
    </row>
    <row r="26210" spans="1:7" x14ac:dyDescent="0.2">
      <c r="A26210" t="s">
        <v>1</v>
      </c>
      <c r="B26210" t="str">
        <f>"18110953667"</f>
        <v>18110953667</v>
      </c>
      <c r="C26210" t="s">
        <v>1</v>
      </c>
      <c r="D26210" t="s">
        <v>1</v>
      </c>
      <c r="E26210" t="s">
        <v>1</v>
      </c>
      <c r="F26210" t="s">
        <v>0</v>
      </c>
      <c r="G26210" t="str">
        <f>"2018-10-05 15:55:17"</f>
        <v>2018-10-05 15:55:17</v>
      </c>
    </row>
    <row r="26211" spans="1:7" x14ac:dyDescent="0.2">
      <c r="A26211" t="s">
        <v>24113</v>
      </c>
      <c r="B26211" t="str">
        <f>"18783230055"</f>
        <v>18783230055</v>
      </c>
      <c r="C26211" t="str">
        <f>"511028199005239538"</f>
        <v>511028199005239538</v>
      </c>
      <c r="D26211" t="s">
        <v>1</v>
      </c>
      <c r="E26211" t="s">
        <v>1</v>
      </c>
      <c r="F26211" t="s">
        <v>0</v>
      </c>
      <c r="G26211" t="str">
        <f>"2018-10-05 15:56:37"</f>
        <v>2018-10-05 15:56:37</v>
      </c>
    </row>
    <row r="26212" spans="1:7" x14ac:dyDescent="0.2">
      <c r="A26212" t="s">
        <v>9</v>
      </c>
      <c r="B26212" t="str">
        <f>"15330921112"</f>
        <v>15330921112</v>
      </c>
      <c r="C26212" t="str">
        <f>"232126198208271505"</f>
        <v>232126198208271505</v>
      </c>
      <c r="D26212" t="s">
        <v>1</v>
      </c>
      <c r="E26212" t="s">
        <v>1</v>
      </c>
      <c r="F26212" t="s">
        <v>0</v>
      </c>
      <c r="G26212" t="str">
        <f>"2018-10-05 15:56:36"</f>
        <v>2018-10-05 15:56:36</v>
      </c>
    </row>
    <row r="26213" spans="1:7" x14ac:dyDescent="0.2">
      <c r="A26213" t="s">
        <v>1</v>
      </c>
      <c r="B26213" t="str">
        <f>"18750638815"</f>
        <v>18750638815</v>
      </c>
      <c r="C26213" t="s">
        <v>1</v>
      </c>
      <c r="D26213" t="s">
        <v>1</v>
      </c>
      <c r="E26213" t="s">
        <v>1</v>
      </c>
      <c r="F26213" t="s">
        <v>0</v>
      </c>
      <c r="G26213" t="str">
        <f>"2018-10-05 15:54:27"</f>
        <v>2018-10-05 15:54:27</v>
      </c>
    </row>
    <row r="26214" spans="1:7" x14ac:dyDescent="0.2">
      <c r="A26214" t="s">
        <v>24114</v>
      </c>
      <c r="B26214" t="str">
        <f>"18134907240"</f>
        <v>18134907240</v>
      </c>
      <c r="C26214" t="str">
        <f>"142725199703092810"</f>
        <v>142725199703092810</v>
      </c>
      <c r="D26214" t="s">
        <v>1</v>
      </c>
      <c r="E26214" t="s">
        <v>1</v>
      </c>
      <c r="F26214" t="s">
        <v>0</v>
      </c>
      <c r="G26214" t="str">
        <f>"2018-10-05 15:55:22"</f>
        <v>2018-10-05 15:55:22</v>
      </c>
    </row>
    <row r="26215" spans="1:7" x14ac:dyDescent="0.2">
      <c r="A26215" t="s">
        <v>24115</v>
      </c>
      <c r="B26215" t="str">
        <f>"15539365567"</f>
        <v>15539365567</v>
      </c>
      <c r="C26215" t="str">
        <f>"410923199005217219"</f>
        <v>410923199005217219</v>
      </c>
      <c r="D26215" t="s">
        <v>24116</v>
      </c>
      <c r="E26215" t="s">
        <v>24117</v>
      </c>
      <c r="F26215" t="s">
        <v>0</v>
      </c>
      <c r="G26215" t="str">
        <f>"2018-10-05 15:54:38"</f>
        <v>2018-10-05 15:54:38</v>
      </c>
    </row>
    <row r="26216" spans="1:7" x14ac:dyDescent="0.2">
      <c r="A26216" t="s">
        <v>24118</v>
      </c>
      <c r="B26216" t="str">
        <f>"17795424648"</f>
        <v>17795424648</v>
      </c>
      <c r="C26216" t="str">
        <f>"642223198907140611"</f>
        <v>642223198907140611</v>
      </c>
      <c r="D26216" t="s">
        <v>24119</v>
      </c>
      <c r="E26216" t="s">
        <v>24120</v>
      </c>
      <c r="F26216" t="s">
        <v>0</v>
      </c>
      <c r="G26216" t="str">
        <f>"2018-10-16 10:33:29"</f>
        <v>2018-10-16 10:33:29</v>
      </c>
    </row>
    <row r="26217" spans="1:7" x14ac:dyDescent="0.2">
      <c r="A26217" t="s">
        <v>24121</v>
      </c>
      <c r="B26217" t="str">
        <f>"18156003426"</f>
        <v>18156003426</v>
      </c>
      <c r="C26217" t="str">
        <f>"340827199403204917"</f>
        <v>340827199403204917</v>
      </c>
      <c r="D26217" t="s">
        <v>24122</v>
      </c>
      <c r="E26217" t="s">
        <v>24123</v>
      </c>
      <c r="F26217" t="s">
        <v>0</v>
      </c>
      <c r="G26217" t="str">
        <f>"2018-10-05 15:53:20"</f>
        <v>2018-10-05 15:53:20</v>
      </c>
    </row>
    <row r="26218" spans="1:7" x14ac:dyDescent="0.2">
      <c r="A26218" t="s">
        <v>24124</v>
      </c>
      <c r="B26218" t="str">
        <f>"15752788626"</f>
        <v>15752788626</v>
      </c>
      <c r="C26218" t="str">
        <f>"53292719890404071X"</f>
        <v>53292719890404071X</v>
      </c>
      <c r="D26218" t="s">
        <v>24125</v>
      </c>
      <c r="E26218" t="s">
        <v>24126</v>
      </c>
      <c r="F26218" t="s">
        <v>0</v>
      </c>
      <c r="G26218" t="str">
        <f>"2018-10-05 15:53:26"</f>
        <v>2018-10-05 15:53:26</v>
      </c>
    </row>
    <row r="26219" spans="1:7" x14ac:dyDescent="0.2">
      <c r="A26219" t="s">
        <v>24127</v>
      </c>
      <c r="B26219" t="str">
        <f>"13329351597"</f>
        <v>13329351597</v>
      </c>
      <c r="C26219" t="str">
        <f>"232321199311171717"</f>
        <v>232321199311171717</v>
      </c>
      <c r="D26219" t="s">
        <v>24128</v>
      </c>
      <c r="E26219" t="s">
        <v>24129</v>
      </c>
      <c r="F26219" t="s">
        <v>0</v>
      </c>
      <c r="G26219" t="str">
        <f>"2018-10-06 08:44:58"</f>
        <v>2018-10-06 08:44:58</v>
      </c>
    </row>
    <row r="26220" spans="1:7" x14ac:dyDescent="0.2">
      <c r="A26220" t="s">
        <v>1</v>
      </c>
      <c r="B26220" t="str">
        <f>"13056839824"</f>
        <v>13056839824</v>
      </c>
      <c r="C26220" t="s">
        <v>1</v>
      </c>
      <c r="D26220" t="s">
        <v>1</v>
      </c>
      <c r="E26220" t="s">
        <v>1</v>
      </c>
      <c r="F26220" t="s">
        <v>0</v>
      </c>
      <c r="G26220" t="str">
        <f>"2018-10-05 15:51:21"</f>
        <v>2018-10-05 15:51:21</v>
      </c>
    </row>
    <row r="26221" spans="1:7" x14ac:dyDescent="0.2">
      <c r="A26221" t="s">
        <v>921</v>
      </c>
      <c r="B26221" t="str">
        <f>"18679717390"</f>
        <v>18679717390</v>
      </c>
      <c r="C26221" t="str">
        <f>"360723199010171416"</f>
        <v>360723199010171416</v>
      </c>
      <c r="D26221" t="s">
        <v>1</v>
      </c>
      <c r="E26221" t="s">
        <v>1</v>
      </c>
      <c r="F26221" t="s">
        <v>0</v>
      </c>
      <c r="G26221" t="str">
        <f>"2018-10-05 15:53:00"</f>
        <v>2018-10-05 15:53:00</v>
      </c>
    </row>
    <row r="26222" spans="1:7" x14ac:dyDescent="0.2">
      <c r="A26222" t="s">
        <v>24130</v>
      </c>
      <c r="B26222" t="str">
        <f>"15912573017"</f>
        <v>15912573017</v>
      </c>
      <c r="C26222" t="str">
        <f>"530124199707180027"</f>
        <v>530124199707180027</v>
      </c>
      <c r="D26222" t="s">
        <v>24131</v>
      </c>
      <c r="E26222" t="s">
        <v>24132</v>
      </c>
      <c r="F26222" t="s">
        <v>0</v>
      </c>
      <c r="G26222" t="str">
        <f>"2018-10-05 15:52:03"</f>
        <v>2018-10-05 15:52:03</v>
      </c>
    </row>
    <row r="26223" spans="1:7" x14ac:dyDescent="0.2">
      <c r="A26223" t="s">
        <v>1</v>
      </c>
      <c r="B26223" t="str">
        <f>"18689990162"</f>
        <v>18689990162</v>
      </c>
      <c r="C26223" t="s">
        <v>1</v>
      </c>
      <c r="D26223" t="s">
        <v>1</v>
      </c>
      <c r="E26223" t="s">
        <v>1</v>
      </c>
      <c r="F26223" t="s">
        <v>0</v>
      </c>
      <c r="G26223" t="str">
        <f>"2018-10-05 15:50:51"</f>
        <v>2018-10-05 15:50:51</v>
      </c>
    </row>
    <row r="26224" spans="1:7" x14ac:dyDescent="0.2">
      <c r="A26224" t="s">
        <v>1</v>
      </c>
      <c r="B26224" t="str">
        <f>"17790761973"</f>
        <v>17790761973</v>
      </c>
      <c r="C26224" t="s">
        <v>1</v>
      </c>
      <c r="D26224" t="s">
        <v>1</v>
      </c>
      <c r="E26224" t="s">
        <v>1</v>
      </c>
      <c r="F26224" t="s">
        <v>0</v>
      </c>
      <c r="G26224" t="str">
        <f>"2018-10-05 15:52:03"</f>
        <v>2018-10-05 15:52:03</v>
      </c>
    </row>
    <row r="26225" spans="1:7" x14ac:dyDescent="0.2">
      <c r="A26225" t="s">
        <v>24133</v>
      </c>
      <c r="B26225" t="str">
        <f>"18573401358"</f>
        <v>18573401358</v>
      </c>
      <c r="C26225" t="str">
        <f>"430482198801146601"</f>
        <v>430482198801146601</v>
      </c>
      <c r="D26225" t="s">
        <v>1</v>
      </c>
      <c r="E26225" t="s">
        <v>1</v>
      </c>
      <c r="F26225" t="s">
        <v>0</v>
      </c>
      <c r="G26225" t="str">
        <f>"2018-11-05 13:09:13"</f>
        <v>2018-11-05 13:09:13</v>
      </c>
    </row>
    <row r="26226" spans="1:7" x14ac:dyDescent="0.2">
      <c r="A26226" t="s">
        <v>24134</v>
      </c>
      <c r="B26226" t="str">
        <f>"13868090796"</f>
        <v>13868090796</v>
      </c>
      <c r="C26226" t="str">
        <f>"330681199007075717"</f>
        <v>330681199007075717</v>
      </c>
      <c r="D26226" t="s">
        <v>1</v>
      </c>
      <c r="E26226" t="s">
        <v>1</v>
      </c>
      <c r="F26226" t="s">
        <v>0</v>
      </c>
      <c r="G26226" t="str">
        <f>"2018-10-05 15:58:55"</f>
        <v>2018-10-05 15:58:55</v>
      </c>
    </row>
    <row r="26227" spans="1:7" x14ac:dyDescent="0.2">
      <c r="A26227" t="s">
        <v>24135</v>
      </c>
      <c r="B26227" t="str">
        <f>"13637741424"</f>
        <v>13637741424</v>
      </c>
      <c r="C26227" t="str">
        <f>"500227199210230016"</f>
        <v>500227199210230016</v>
      </c>
      <c r="D26227" t="s">
        <v>24136</v>
      </c>
      <c r="E26227" t="s">
        <v>24137</v>
      </c>
      <c r="F26227" t="s">
        <v>0</v>
      </c>
      <c r="G26227" t="str">
        <f>"2018-10-05 15:49:08"</f>
        <v>2018-10-05 15:49:08</v>
      </c>
    </row>
    <row r="26228" spans="1:7" x14ac:dyDescent="0.2">
      <c r="A26228" t="s">
        <v>24138</v>
      </c>
      <c r="B26228" t="str">
        <f>"13599577300"</f>
        <v>13599577300</v>
      </c>
      <c r="C26228" t="str">
        <f>"510524198708191397"</f>
        <v>510524198708191397</v>
      </c>
      <c r="D26228" t="s">
        <v>24139</v>
      </c>
      <c r="E26228" t="s">
        <v>24140</v>
      </c>
      <c r="F26228" t="s">
        <v>0</v>
      </c>
      <c r="G26228" t="str">
        <f>"2018-10-05 16:31:08"</f>
        <v>2018-10-05 16:31:08</v>
      </c>
    </row>
    <row r="26229" spans="1:7" x14ac:dyDescent="0.2">
      <c r="A26229" t="s">
        <v>24141</v>
      </c>
      <c r="B26229" t="str">
        <f>"13570377786"</f>
        <v>13570377786</v>
      </c>
      <c r="C26229" t="str">
        <f>"440882199110122473"</f>
        <v>440882199110122473</v>
      </c>
      <c r="D26229" t="s">
        <v>1</v>
      </c>
      <c r="E26229" t="s">
        <v>1</v>
      </c>
      <c r="F26229" t="s">
        <v>0</v>
      </c>
      <c r="G26229" t="str">
        <f>"2018-10-05 15:50:10"</f>
        <v>2018-10-05 15:50:10</v>
      </c>
    </row>
    <row r="26230" spans="1:7" x14ac:dyDescent="0.2">
      <c r="A26230" t="s">
        <v>24142</v>
      </c>
      <c r="B26230" t="str">
        <f>"13724053442"</f>
        <v>13724053442</v>
      </c>
      <c r="C26230" t="str">
        <f>"441701199606150045"</f>
        <v>441701199606150045</v>
      </c>
      <c r="D26230" t="s">
        <v>1</v>
      </c>
      <c r="E26230" t="s">
        <v>1</v>
      </c>
      <c r="F26230" t="s">
        <v>0</v>
      </c>
      <c r="G26230" t="str">
        <f>"2018-10-12 22:36:40"</f>
        <v>2018-10-12 22:36:40</v>
      </c>
    </row>
    <row r="26231" spans="1:7" x14ac:dyDescent="0.2">
      <c r="A26231" t="s">
        <v>24143</v>
      </c>
      <c r="B26231" t="str">
        <f>"15615330482"</f>
        <v>15615330482</v>
      </c>
      <c r="C26231" t="str">
        <f>"370304198808081037"</f>
        <v>370304198808081037</v>
      </c>
      <c r="D26231" t="s">
        <v>1</v>
      </c>
      <c r="E26231" t="s">
        <v>1</v>
      </c>
      <c r="F26231" t="s">
        <v>0</v>
      </c>
      <c r="G26231" t="str">
        <f>"2018-10-05 15:48:45"</f>
        <v>2018-10-05 15:48:45</v>
      </c>
    </row>
    <row r="26232" spans="1:7" x14ac:dyDescent="0.2">
      <c r="A26232" t="s">
        <v>24144</v>
      </c>
      <c r="B26232" t="str">
        <f>"15050243061"</f>
        <v>15050243061</v>
      </c>
      <c r="C26232" t="str">
        <f>"620503198606065377"</f>
        <v>620503198606065377</v>
      </c>
      <c r="D26232" t="s">
        <v>1</v>
      </c>
      <c r="E26232" t="s">
        <v>1</v>
      </c>
      <c r="F26232" t="s">
        <v>0</v>
      </c>
      <c r="G26232" t="str">
        <f>"2018-10-05 15:47:43"</f>
        <v>2018-10-05 15:47:43</v>
      </c>
    </row>
    <row r="26233" spans="1:7" x14ac:dyDescent="0.2">
      <c r="A26233" t="s">
        <v>24145</v>
      </c>
      <c r="B26233" t="str">
        <f>"15738489108"</f>
        <v>15738489108</v>
      </c>
      <c r="C26233" t="str">
        <f>"410225197906101577"</f>
        <v>410225197906101577</v>
      </c>
      <c r="D26233" t="s">
        <v>1</v>
      </c>
      <c r="E26233" t="s">
        <v>1</v>
      </c>
      <c r="F26233" t="s">
        <v>0</v>
      </c>
      <c r="G26233" t="str">
        <f>"2018-10-05 16:09:17"</f>
        <v>2018-10-05 16:09:17</v>
      </c>
    </row>
    <row r="26234" spans="1:7" x14ac:dyDescent="0.2">
      <c r="A26234" t="s">
        <v>24146</v>
      </c>
      <c r="B26234" t="str">
        <f>"13803270200"</f>
        <v>13803270200</v>
      </c>
      <c r="C26234" t="str">
        <f>"130626198702190841"</f>
        <v>130626198702190841</v>
      </c>
      <c r="D26234" t="s">
        <v>1</v>
      </c>
      <c r="E26234" t="s">
        <v>1</v>
      </c>
      <c r="F26234" t="s">
        <v>0</v>
      </c>
      <c r="G26234" t="str">
        <f>"2018-10-07 13:39:15"</f>
        <v>2018-10-07 13:39:15</v>
      </c>
    </row>
    <row r="26235" spans="1:7" x14ac:dyDescent="0.2">
      <c r="A26235" t="s">
        <v>24147</v>
      </c>
      <c r="B26235" t="str">
        <f>"18825093334"</f>
        <v>18825093334</v>
      </c>
      <c r="C26235" t="str">
        <f>"44088219900318613X"</f>
        <v>44088219900318613X</v>
      </c>
      <c r="D26235" t="s">
        <v>1</v>
      </c>
      <c r="E26235" t="s">
        <v>1</v>
      </c>
      <c r="F26235" t="s">
        <v>0</v>
      </c>
      <c r="G26235" t="str">
        <f>"2018-10-05 15:45:15"</f>
        <v>2018-10-05 15:45:15</v>
      </c>
    </row>
    <row r="26236" spans="1:7" x14ac:dyDescent="0.2">
      <c r="A26236" t="s">
        <v>1</v>
      </c>
      <c r="B26236" t="str">
        <f>"18627118186"</f>
        <v>18627118186</v>
      </c>
      <c r="C26236" t="s">
        <v>1</v>
      </c>
      <c r="D26236" t="s">
        <v>1</v>
      </c>
      <c r="E26236" t="s">
        <v>1</v>
      </c>
      <c r="F26236" t="s">
        <v>0</v>
      </c>
      <c r="G26236" t="str">
        <f>"2018-10-05 15:44:07"</f>
        <v>2018-10-05 15:44:07</v>
      </c>
    </row>
    <row r="26237" spans="1:7" x14ac:dyDescent="0.2">
      <c r="A26237" t="s">
        <v>24148</v>
      </c>
      <c r="B26237" t="str">
        <f>"13454215612"</f>
        <v>13454215612</v>
      </c>
      <c r="C26237" t="str">
        <f>"341225198804190019"</f>
        <v>341225198804190019</v>
      </c>
      <c r="D26237" t="s">
        <v>1</v>
      </c>
      <c r="E26237" t="s">
        <v>1</v>
      </c>
      <c r="F26237" t="s">
        <v>0</v>
      </c>
      <c r="G26237" t="str">
        <f>"2018-10-05 16:36:21"</f>
        <v>2018-10-05 16:36:21</v>
      </c>
    </row>
    <row r="26238" spans="1:7" x14ac:dyDescent="0.2">
      <c r="A26238" t="s">
        <v>1</v>
      </c>
      <c r="B26238" t="str">
        <f>"13048936194"</f>
        <v>13048936194</v>
      </c>
      <c r="C26238" t="s">
        <v>1</v>
      </c>
      <c r="D26238" t="s">
        <v>1</v>
      </c>
      <c r="E26238" t="s">
        <v>1</v>
      </c>
      <c r="F26238" t="s">
        <v>0</v>
      </c>
      <c r="G26238" t="str">
        <f>"2018-10-05 15:43:27"</f>
        <v>2018-10-05 15:43:27</v>
      </c>
    </row>
    <row r="26239" spans="1:7" x14ac:dyDescent="0.2">
      <c r="A26239" t="s">
        <v>1</v>
      </c>
      <c r="B26239" t="str">
        <f>"13049979244"</f>
        <v>13049979244</v>
      </c>
      <c r="C26239" t="s">
        <v>1</v>
      </c>
      <c r="D26239" t="s">
        <v>1</v>
      </c>
      <c r="E26239" t="s">
        <v>1</v>
      </c>
      <c r="F26239" t="s">
        <v>0</v>
      </c>
      <c r="G26239" t="str">
        <f>"2018-10-05 15:43:17"</f>
        <v>2018-10-05 15:43:17</v>
      </c>
    </row>
    <row r="26240" spans="1:7" x14ac:dyDescent="0.2">
      <c r="A26240" t="s">
        <v>24149</v>
      </c>
      <c r="B26240" t="str">
        <f>"15637906691"</f>
        <v>15637906691</v>
      </c>
      <c r="C26240" t="str">
        <f>"41032819911201052X"</f>
        <v>41032819911201052X</v>
      </c>
      <c r="D26240" t="s">
        <v>1</v>
      </c>
      <c r="E26240" t="s">
        <v>1</v>
      </c>
      <c r="F26240" t="s">
        <v>0</v>
      </c>
      <c r="G26240" t="str">
        <f>"2018-11-01 15:46:12"</f>
        <v>2018-11-01 15:46:12</v>
      </c>
    </row>
    <row r="26241" spans="1:7" x14ac:dyDescent="0.2">
      <c r="A26241" t="s">
        <v>1</v>
      </c>
      <c r="B26241" t="str">
        <f>"13375829826"</f>
        <v>13375829826</v>
      </c>
      <c r="C26241" t="s">
        <v>1</v>
      </c>
      <c r="D26241" t="s">
        <v>1</v>
      </c>
      <c r="E26241" t="s">
        <v>1</v>
      </c>
      <c r="F26241" t="s">
        <v>0</v>
      </c>
      <c r="G26241" t="str">
        <f>"2018-10-05 15:43:10"</f>
        <v>2018-10-05 15:43:10</v>
      </c>
    </row>
    <row r="26242" spans="1:7" x14ac:dyDescent="0.2">
      <c r="A26242" t="s">
        <v>24150</v>
      </c>
      <c r="B26242" t="str">
        <f>"18706374860"</f>
        <v>18706374860</v>
      </c>
      <c r="C26242" t="str">
        <f>"37132719901114183X"</f>
        <v>37132719901114183X</v>
      </c>
      <c r="D26242" t="s">
        <v>24151</v>
      </c>
      <c r="E26242" t="s">
        <v>24152</v>
      </c>
      <c r="F26242" t="s">
        <v>0</v>
      </c>
      <c r="G26242" t="str">
        <f>"2018-10-05 16:13:49"</f>
        <v>2018-10-05 16:13:49</v>
      </c>
    </row>
    <row r="26243" spans="1:7" x14ac:dyDescent="0.2">
      <c r="A26243" t="s">
        <v>24153</v>
      </c>
      <c r="B26243" t="str">
        <f>"15889429323"</f>
        <v>15889429323</v>
      </c>
      <c r="C26243" t="str">
        <f>"441323199212106339"</f>
        <v>441323199212106339</v>
      </c>
      <c r="D26243" t="s">
        <v>24154</v>
      </c>
      <c r="E26243" t="s">
        <v>24155</v>
      </c>
      <c r="F26243" t="s">
        <v>0</v>
      </c>
      <c r="G26243" t="str">
        <f>"2018-10-25 11:37:34"</f>
        <v>2018-10-25 11:37:34</v>
      </c>
    </row>
    <row r="26244" spans="1:7" x14ac:dyDescent="0.2">
      <c r="A26244" t="s">
        <v>1</v>
      </c>
      <c r="B26244" t="str">
        <f>"17707823041"</f>
        <v>17707823041</v>
      </c>
      <c r="C26244" t="s">
        <v>1</v>
      </c>
      <c r="D26244" t="s">
        <v>1</v>
      </c>
      <c r="E26244" t="s">
        <v>1</v>
      </c>
      <c r="F26244" t="s">
        <v>0</v>
      </c>
      <c r="G26244" t="str">
        <f>"2018-10-05 15:40:16"</f>
        <v>2018-10-05 15:40:16</v>
      </c>
    </row>
    <row r="26245" spans="1:7" x14ac:dyDescent="0.2">
      <c r="A26245" t="s">
        <v>1</v>
      </c>
      <c r="B26245" t="str">
        <f>"15840001381"</f>
        <v>15840001381</v>
      </c>
      <c r="C26245" t="s">
        <v>1</v>
      </c>
      <c r="D26245" t="s">
        <v>1</v>
      </c>
      <c r="E26245" t="s">
        <v>1</v>
      </c>
      <c r="F26245" t="s">
        <v>0</v>
      </c>
      <c r="G26245" t="str">
        <f>"2018-10-05 15:39:58"</f>
        <v>2018-10-05 15:39:58</v>
      </c>
    </row>
    <row r="26246" spans="1:7" x14ac:dyDescent="0.2">
      <c r="A26246" t="s">
        <v>583</v>
      </c>
      <c r="B26246" t="str">
        <f>"18584786199"</f>
        <v>18584786199</v>
      </c>
      <c r="C26246" t="str">
        <f>"500233198906231036"</f>
        <v>500233198906231036</v>
      </c>
      <c r="D26246" t="s">
        <v>1</v>
      </c>
      <c r="E26246" t="s">
        <v>1</v>
      </c>
      <c r="F26246" t="s">
        <v>0</v>
      </c>
      <c r="G26246" t="str">
        <f>"2018-10-05 15:43:33"</f>
        <v>2018-10-05 15:43:33</v>
      </c>
    </row>
    <row r="26247" spans="1:7" x14ac:dyDescent="0.2">
      <c r="A26247" t="s">
        <v>24156</v>
      </c>
      <c r="B26247" t="str">
        <f>"13842866330"</f>
        <v>13842866330</v>
      </c>
      <c r="C26247" t="str">
        <f>"152103198409073375"</f>
        <v>152103198409073375</v>
      </c>
      <c r="D26247" t="s">
        <v>1</v>
      </c>
      <c r="E26247" t="s">
        <v>1</v>
      </c>
      <c r="F26247" t="s">
        <v>0</v>
      </c>
      <c r="G26247" t="str">
        <f>"2018-10-05 15:39:52"</f>
        <v>2018-10-05 15:39:52</v>
      </c>
    </row>
    <row r="26248" spans="1:7" x14ac:dyDescent="0.2">
      <c r="A26248" t="s">
        <v>24157</v>
      </c>
      <c r="B26248" t="str">
        <f>"15139278337"</f>
        <v>15139278337</v>
      </c>
      <c r="C26248" t="str">
        <f>"410523199508177528"</f>
        <v>410523199508177528</v>
      </c>
      <c r="D26248" t="s">
        <v>1</v>
      </c>
      <c r="E26248" t="s">
        <v>1</v>
      </c>
      <c r="F26248" t="s">
        <v>0</v>
      </c>
      <c r="G26248" t="str">
        <f>"2018-10-05 15:54:43"</f>
        <v>2018-10-05 15:54:43</v>
      </c>
    </row>
    <row r="26249" spans="1:7" x14ac:dyDescent="0.2">
      <c r="A26249" t="s">
        <v>24158</v>
      </c>
      <c r="B26249" t="str">
        <f>"17791679512"</f>
        <v>17791679512</v>
      </c>
      <c r="C26249" t="str">
        <f>"610102198412171585"</f>
        <v>610102198412171585</v>
      </c>
      <c r="D26249" t="s">
        <v>1</v>
      </c>
      <c r="E26249" t="s">
        <v>1</v>
      </c>
      <c r="F26249" t="s">
        <v>0</v>
      </c>
      <c r="G26249" t="str">
        <f>"2018-10-05 15:39:42"</f>
        <v>2018-10-05 15:39:42</v>
      </c>
    </row>
    <row r="26250" spans="1:7" x14ac:dyDescent="0.2">
      <c r="A26250" t="s">
        <v>24159</v>
      </c>
      <c r="B26250" t="str">
        <f>"13236785005"</f>
        <v>13236785005</v>
      </c>
      <c r="C26250" t="str">
        <f>"211102199509180518"</f>
        <v>211102199509180518</v>
      </c>
      <c r="D26250" t="s">
        <v>1</v>
      </c>
      <c r="E26250" t="s">
        <v>1</v>
      </c>
      <c r="F26250" t="s">
        <v>0</v>
      </c>
      <c r="G26250" t="str">
        <f>"2018-10-05 21:37:46"</f>
        <v>2018-10-05 21:37:46</v>
      </c>
    </row>
    <row r="26251" spans="1:7" x14ac:dyDescent="0.2">
      <c r="A26251" t="s">
        <v>1</v>
      </c>
      <c r="B26251" t="str">
        <f>"13571627291"</f>
        <v>13571627291</v>
      </c>
      <c r="C26251" t="s">
        <v>1</v>
      </c>
      <c r="D26251" t="s">
        <v>1</v>
      </c>
      <c r="E26251" t="s">
        <v>1</v>
      </c>
      <c r="F26251" t="s">
        <v>0</v>
      </c>
      <c r="G26251" t="str">
        <f>"2018-10-05 15:36:46"</f>
        <v>2018-10-05 15:36:46</v>
      </c>
    </row>
    <row r="26252" spans="1:7" x14ac:dyDescent="0.2">
      <c r="A26252" t="s">
        <v>24160</v>
      </c>
      <c r="B26252" t="str">
        <f>"13637752722"</f>
        <v>13637752722</v>
      </c>
      <c r="C26252" t="str">
        <f>"500225199608150013"</f>
        <v>500225199608150013</v>
      </c>
      <c r="D26252" t="s">
        <v>1</v>
      </c>
      <c r="E26252" t="s">
        <v>1</v>
      </c>
      <c r="F26252" t="s">
        <v>0</v>
      </c>
      <c r="G26252" t="str">
        <f>"2018-10-27 20:24:15"</f>
        <v>2018-10-27 20:24:15</v>
      </c>
    </row>
    <row r="26253" spans="1:7" x14ac:dyDescent="0.2">
      <c r="A26253" t="s">
        <v>1</v>
      </c>
      <c r="B26253" t="str">
        <f>"17862018758"</f>
        <v>17862018758</v>
      </c>
      <c r="C26253" t="s">
        <v>1</v>
      </c>
      <c r="D26253" t="s">
        <v>1</v>
      </c>
      <c r="E26253" t="s">
        <v>1</v>
      </c>
      <c r="F26253" t="s">
        <v>0</v>
      </c>
      <c r="G26253" t="str">
        <f>"2018-10-05 15:35:50"</f>
        <v>2018-10-05 15:35:50</v>
      </c>
    </row>
    <row r="26254" spans="1:7" x14ac:dyDescent="0.2">
      <c r="A26254" t="s">
        <v>24161</v>
      </c>
      <c r="B26254" t="str">
        <f>"18547111146"</f>
        <v>18547111146</v>
      </c>
      <c r="C26254" t="str">
        <f>"150102199208066028"</f>
        <v>150102199208066028</v>
      </c>
      <c r="D26254" t="s">
        <v>1</v>
      </c>
      <c r="E26254" t="s">
        <v>1</v>
      </c>
      <c r="F26254" t="s">
        <v>0</v>
      </c>
      <c r="G26254" t="str">
        <f>"2018-10-05 15:57:06"</f>
        <v>2018-10-05 15:57:06</v>
      </c>
    </row>
    <row r="26255" spans="1:7" x14ac:dyDescent="0.2">
      <c r="A26255" t="s">
        <v>11520</v>
      </c>
      <c r="B26255" t="str">
        <f>"17623174134"</f>
        <v>17623174134</v>
      </c>
      <c r="C26255" t="str">
        <f>"500227199901296110"</f>
        <v>500227199901296110</v>
      </c>
      <c r="D26255" t="s">
        <v>1</v>
      </c>
      <c r="E26255" t="s">
        <v>1</v>
      </c>
      <c r="F26255" t="s">
        <v>0</v>
      </c>
      <c r="G26255" t="str">
        <f>"2018-10-05 15:36:30"</f>
        <v>2018-10-05 15:36:30</v>
      </c>
    </row>
    <row r="26256" spans="1:7" x14ac:dyDescent="0.2">
      <c r="A26256" t="s">
        <v>24162</v>
      </c>
      <c r="B26256" t="str">
        <f>"18862118454"</f>
        <v>18862118454</v>
      </c>
      <c r="C26256" t="str">
        <f>"342222199303136010"</f>
        <v>342222199303136010</v>
      </c>
      <c r="D26256" t="s">
        <v>1</v>
      </c>
      <c r="E26256" t="s">
        <v>1</v>
      </c>
      <c r="F26256" t="s">
        <v>0</v>
      </c>
      <c r="G26256" t="str">
        <f>"2018-10-05 15:36:09"</f>
        <v>2018-10-05 15:36:09</v>
      </c>
    </row>
    <row r="26257" spans="1:7" x14ac:dyDescent="0.2">
      <c r="A26257" t="s">
        <v>1</v>
      </c>
      <c r="B26257" t="str">
        <f>"15860333989"</f>
        <v>15860333989</v>
      </c>
      <c r="C26257" t="s">
        <v>1</v>
      </c>
      <c r="D26257" t="s">
        <v>1</v>
      </c>
      <c r="E26257" t="s">
        <v>1</v>
      </c>
      <c r="F26257" t="s">
        <v>0</v>
      </c>
      <c r="G26257" t="str">
        <f>"2018-10-05 15:37:47"</f>
        <v>2018-10-05 15:37:47</v>
      </c>
    </row>
    <row r="26258" spans="1:7" x14ac:dyDescent="0.2">
      <c r="A26258" t="s">
        <v>1</v>
      </c>
      <c r="B26258" t="str">
        <f>"15970880500"</f>
        <v>15970880500</v>
      </c>
      <c r="C26258" t="s">
        <v>1</v>
      </c>
      <c r="D26258" t="s">
        <v>1</v>
      </c>
      <c r="E26258" t="s">
        <v>1</v>
      </c>
      <c r="F26258" t="s">
        <v>0</v>
      </c>
      <c r="G26258" t="str">
        <f>"2018-10-05 15:32:56"</f>
        <v>2018-10-05 15:32:56</v>
      </c>
    </row>
    <row r="26259" spans="1:7" x14ac:dyDescent="0.2">
      <c r="A26259" t="s">
        <v>24163</v>
      </c>
      <c r="B26259" t="str">
        <f>"15757954412"</f>
        <v>15757954412</v>
      </c>
      <c r="C26259" t="str">
        <f>"33072219940302591X"</f>
        <v>33072219940302591X</v>
      </c>
      <c r="D26259" t="s">
        <v>24164</v>
      </c>
      <c r="E26259" t="s">
        <v>24165</v>
      </c>
      <c r="F26259" t="s">
        <v>0</v>
      </c>
      <c r="G26259" t="str">
        <f>"2018-10-29 14:41:37"</f>
        <v>2018-10-29 14:41:37</v>
      </c>
    </row>
    <row r="26260" spans="1:7" x14ac:dyDescent="0.2">
      <c r="A26260" t="s">
        <v>24166</v>
      </c>
      <c r="B26260" t="str">
        <f>"17315810573"</f>
        <v>17315810573</v>
      </c>
      <c r="C26260" t="str">
        <f>"321323199211114719"</f>
        <v>321323199211114719</v>
      </c>
      <c r="D26260" t="s">
        <v>1</v>
      </c>
      <c r="E26260" t="s">
        <v>1</v>
      </c>
      <c r="F26260" t="s">
        <v>0</v>
      </c>
      <c r="G26260" t="str">
        <f>"2018-10-05 15:33:26"</f>
        <v>2018-10-05 15:33:26</v>
      </c>
    </row>
    <row r="26261" spans="1:7" x14ac:dyDescent="0.2">
      <c r="A26261" t="s">
        <v>1</v>
      </c>
      <c r="B26261" t="str">
        <f>"15547937429"</f>
        <v>15547937429</v>
      </c>
      <c r="C26261" t="s">
        <v>1</v>
      </c>
      <c r="D26261" t="s">
        <v>1</v>
      </c>
      <c r="E26261" t="s">
        <v>1</v>
      </c>
      <c r="F26261" t="s">
        <v>0</v>
      </c>
      <c r="G26261" t="str">
        <f>"2018-10-06 15:59:10"</f>
        <v>2018-10-06 15:59:10</v>
      </c>
    </row>
    <row r="26262" spans="1:7" x14ac:dyDescent="0.2">
      <c r="A26262" t="s">
        <v>24167</v>
      </c>
      <c r="B26262" t="str">
        <f>"15160357852"</f>
        <v>15160357852</v>
      </c>
      <c r="C26262" t="str">
        <f>"350521199601215518"</f>
        <v>350521199601215518</v>
      </c>
      <c r="D26262" t="s">
        <v>24168</v>
      </c>
      <c r="E26262" t="s">
        <v>24169</v>
      </c>
      <c r="F26262" t="s">
        <v>0</v>
      </c>
      <c r="G26262" t="str">
        <f>"2018-10-05 15:31:50"</f>
        <v>2018-10-05 15:31:50</v>
      </c>
    </row>
    <row r="26263" spans="1:7" x14ac:dyDescent="0.2">
      <c r="A26263" t="s">
        <v>24170</v>
      </c>
      <c r="B26263" t="str">
        <f>"17620530869"</f>
        <v>17620530869</v>
      </c>
      <c r="C26263" t="str">
        <f>"441481199710183598"</f>
        <v>441481199710183598</v>
      </c>
      <c r="D26263" t="s">
        <v>1</v>
      </c>
      <c r="E26263" t="s">
        <v>1</v>
      </c>
      <c r="F26263" t="s">
        <v>0</v>
      </c>
      <c r="G26263" t="str">
        <f>"2018-10-05 15:30:29"</f>
        <v>2018-10-05 15:30:29</v>
      </c>
    </row>
    <row r="26264" spans="1:7" x14ac:dyDescent="0.2">
      <c r="A26264" t="s">
        <v>24171</v>
      </c>
      <c r="B26264" t="str">
        <f>"18379570777"</f>
        <v>18379570777</v>
      </c>
      <c r="C26264" t="str">
        <f>"362202198309150036"</f>
        <v>362202198309150036</v>
      </c>
      <c r="D26264" t="s">
        <v>1</v>
      </c>
      <c r="E26264" t="s">
        <v>1</v>
      </c>
      <c r="F26264" t="s">
        <v>0</v>
      </c>
      <c r="G26264" t="str">
        <f>"2018-10-05 15:32:01"</f>
        <v>2018-10-05 15:32:01</v>
      </c>
    </row>
    <row r="26265" spans="1:7" x14ac:dyDescent="0.2">
      <c r="A26265" t="s">
        <v>1105</v>
      </c>
      <c r="B26265" t="str">
        <f>"17768012961"</f>
        <v>17768012961</v>
      </c>
      <c r="C26265" t="str">
        <f>"320524197908094815"</f>
        <v>320524197908094815</v>
      </c>
      <c r="D26265" t="s">
        <v>1</v>
      </c>
      <c r="E26265" t="s">
        <v>1</v>
      </c>
      <c r="F26265" t="s">
        <v>0</v>
      </c>
      <c r="G26265" t="str">
        <f>"2018-10-05 15:31:28"</f>
        <v>2018-10-05 15:31:28</v>
      </c>
    </row>
    <row r="26266" spans="1:7" x14ac:dyDescent="0.2">
      <c r="A26266" t="s">
        <v>24172</v>
      </c>
      <c r="B26266" t="str">
        <f>"18451585189"</f>
        <v>18451585189</v>
      </c>
      <c r="C26266" t="str">
        <f>"412726198310073747"</f>
        <v>412726198310073747</v>
      </c>
      <c r="D26266" t="s">
        <v>1</v>
      </c>
      <c r="E26266" t="s">
        <v>1</v>
      </c>
      <c r="F26266" t="s">
        <v>0</v>
      </c>
      <c r="G26266" t="str">
        <f>"2018-10-05 15:36:48"</f>
        <v>2018-10-05 15:36:48</v>
      </c>
    </row>
    <row r="26267" spans="1:7" x14ac:dyDescent="0.2">
      <c r="A26267" t="s">
        <v>24173</v>
      </c>
      <c r="B26267" t="str">
        <f>"18672979692"</f>
        <v>18672979692</v>
      </c>
      <c r="C26267" t="str">
        <f>"42011519881213793X"</f>
        <v>42011519881213793X</v>
      </c>
      <c r="D26267" t="s">
        <v>1</v>
      </c>
      <c r="E26267" t="s">
        <v>1</v>
      </c>
      <c r="F26267" t="s">
        <v>0</v>
      </c>
      <c r="G26267" t="str">
        <f>"2018-10-05 15:32:27"</f>
        <v>2018-10-05 15:32:27</v>
      </c>
    </row>
    <row r="26268" spans="1:7" x14ac:dyDescent="0.2">
      <c r="A26268" t="s">
        <v>1</v>
      </c>
      <c r="B26268" t="str">
        <f>"18251225820"</f>
        <v>18251225820</v>
      </c>
      <c r="C26268" t="s">
        <v>1</v>
      </c>
      <c r="D26268" t="s">
        <v>1</v>
      </c>
      <c r="E26268" t="s">
        <v>1</v>
      </c>
      <c r="F26268" t="s">
        <v>0</v>
      </c>
      <c r="G26268" t="str">
        <f>"2018-10-05 15:29:58"</f>
        <v>2018-10-05 15:29:58</v>
      </c>
    </row>
    <row r="26269" spans="1:7" x14ac:dyDescent="0.2">
      <c r="A26269" t="s">
        <v>24174</v>
      </c>
      <c r="B26269" t="str">
        <f>"13887519647"</f>
        <v>13887519647</v>
      </c>
      <c r="C26269" t="str">
        <f>"532621198912223538"</f>
        <v>532621198912223538</v>
      </c>
      <c r="D26269" t="s">
        <v>1</v>
      </c>
      <c r="E26269" t="s">
        <v>1</v>
      </c>
      <c r="F26269" t="s">
        <v>0</v>
      </c>
      <c r="G26269" t="str">
        <f>"2018-10-05 15:30:53"</f>
        <v>2018-10-05 15:30:53</v>
      </c>
    </row>
    <row r="26270" spans="1:7" x14ac:dyDescent="0.2">
      <c r="A26270" t="s">
        <v>1673</v>
      </c>
      <c r="B26270" t="str">
        <f>"13272409277"</f>
        <v>13272409277</v>
      </c>
      <c r="C26270" t="str">
        <f>"430681199806204056"</f>
        <v>430681199806204056</v>
      </c>
      <c r="D26270" t="s">
        <v>1</v>
      </c>
      <c r="E26270" t="s">
        <v>1</v>
      </c>
      <c r="F26270" t="s">
        <v>0</v>
      </c>
      <c r="G26270" t="str">
        <f>"2018-10-05 15:30:25"</f>
        <v>2018-10-05 15:30:25</v>
      </c>
    </row>
    <row r="26271" spans="1:7" x14ac:dyDescent="0.2">
      <c r="A26271" t="s">
        <v>24175</v>
      </c>
      <c r="B26271" t="str">
        <f>"18349163423"</f>
        <v>18349163423</v>
      </c>
      <c r="C26271" t="str">
        <f>"511025199506026005"</f>
        <v>511025199506026005</v>
      </c>
      <c r="D26271" t="s">
        <v>1</v>
      </c>
      <c r="E26271" t="s">
        <v>1</v>
      </c>
      <c r="F26271" t="s">
        <v>0</v>
      </c>
      <c r="G26271" t="str">
        <f>"2018-10-05 15:30:27"</f>
        <v>2018-10-05 15:30:27</v>
      </c>
    </row>
    <row r="26272" spans="1:7" x14ac:dyDescent="0.2">
      <c r="A26272" t="s">
        <v>1</v>
      </c>
      <c r="B26272" t="str">
        <f>"13014530303"</f>
        <v>13014530303</v>
      </c>
      <c r="C26272" t="s">
        <v>1</v>
      </c>
      <c r="D26272" t="s">
        <v>1</v>
      </c>
      <c r="E26272" t="s">
        <v>1</v>
      </c>
      <c r="F26272" t="s">
        <v>0</v>
      </c>
      <c r="G26272" t="str">
        <f>"2018-10-05 15:27:55"</f>
        <v>2018-10-05 15:27:55</v>
      </c>
    </row>
    <row r="26273" spans="1:7" x14ac:dyDescent="0.2">
      <c r="A26273" t="s">
        <v>15033</v>
      </c>
      <c r="B26273" t="str">
        <f>"13837111632"</f>
        <v>13837111632</v>
      </c>
      <c r="C26273" t="str">
        <f>"412821198807212929"</f>
        <v>412821198807212929</v>
      </c>
      <c r="D26273" t="s">
        <v>24176</v>
      </c>
      <c r="E26273" t="s">
        <v>24177</v>
      </c>
      <c r="F26273" t="s">
        <v>0</v>
      </c>
      <c r="G26273" t="str">
        <f>"2018-10-05 15:27:37"</f>
        <v>2018-10-05 15:27:37</v>
      </c>
    </row>
    <row r="26274" spans="1:7" x14ac:dyDescent="0.2">
      <c r="A26274" t="s">
        <v>24178</v>
      </c>
      <c r="B26274" t="str">
        <f>"18727296048"</f>
        <v>18727296048</v>
      </c>
      <c r="C26274" t="str">
        <f>"420528197903102870"</f>
        <v>420528197903102870</v>
      </c>
      <c r="D26274" t="s">
        <v>1</v>
      </c>
      <c r="E26274" t="s">
        <v>1</v>
      </c>
      <c r="F26274" t="s">
        <v>0</v>
      </c>
      <c r="G26274" t="str">
        <f>"2018-10-05 15:45:29"</f>
        <v>2018-10-05 15:45:29</v>
      </c>
    </row>
    <row r="26275" spans="1:7" x14ac:dyDescent="0.2">
      <c r="A26275" t="s">
        <v>24179</v>
      </c>
      <c r="B26275" t="str">
        <f>"13729144975"</f>
        <v>13729144975</v>
      </c>
      <c r="C26275" t="str">
        <f>"440803198903203417"</f>
        <v>440803198903203417</v>
      </c>
      <c r="D26275" t="s">
        <v>1</v>
      </c>
      <c r="E26275" t="s">
        <v>1</v>
      </c>
      <c r="F26275" t="s">
        <v>0</v>
      </c>
      <c r="G26275" t="str">
        <f>"2018-10-05 15:28:30"</f>
        <v>2018-10-05 15:28:30</v>
      </c>
    </row>
    <row r="26276" spans="1:7" x14ac:dyDescent="0.2">
      <c r="A26276" t="s">
        <v>24180</v>
      </c>
      <c r="B26276" t="str">
        <f>"18637410597"</f>
        <v>18637410597</v>
      </c>
      <c r="C26276" t="str">
        <f>"411082199505124221"</f>
        <v>411082199505124221</v>
      </c>
      <c r="D26276" t="s">
        <v>1</v>
      </c>
      <c r="E26276" t="s">
        <v>1</v>
      </c>
      <c r="F26276" t="s">
        <v>0</v>
      </c>
      <c r="G26276" t="str">
        <f>"2018-10-05 15:27:55"</f>
        <v>2018-10-05 15:27:55</v>
      </c>
    </row>
    <row r="26277" spans="1:7" x14ac:dyDescent="0.2">
      <c r="A26277" t="s">
        <v>24181</v>
      </c>
      <c r="B26277" t="str">
        <f>"18388691367"</f>
        <v>18388691367</v>
      </c>
      <c r="C26277" t="str">
        <f>"532130199710180035"</f>
        <v>532130199710180035</v>
      </c>
      <c r="D26277" t="s">
        <v>1</v>
      </c>
      <c r="E26277" t="s">
        <v>1</v>
      </c>
      <c r="F26277" t="s">
        <v>0</v>
      </c>
      <c r="G26277" t="str">
        <f>"2018-10-05 15:26:51"</f>
        <v>2018-10-05 15:26:51</v>
      </c>
    </row>
    <row r="26278" spans="1:7" x14ac:dyDescent="0.2">
      <c r="A26278" t="s">
        <v>1</v>
      </c>
      <c r="B26278" t="str">
        <f>"15596340111"</f>
        <v>15596340111</v>
      </c>
      <c r="C26278" t="s">
        <v>1</v>
      </c>
      <c r="D26278" t="s">
        <v>1</v>
      </c>
      <c r="E26278" t="s">
        <v>1</v>
      </c>
      <c r="F26278" t="s">
        <v>0</v>
      </c>
      <c r="G26278" t="str">
        <f>"2018-10-05 15:26:15"</f>
        <v>2018-10-05 15:26:15</v>
      </c>
    </row>
    <row r="26279" spans="1:7" x14ac:dyDescent="0.2">
      <c r="A26279" t="s">
        <v>24182</v>
      </c>
      <c r="B26279" t="str">
        <f>"15677088185"</f>
        <v>15677088185</v>
      </c>
      <c r="C26279" t="str">
        <f>"622425199210012913"</f>
        <v>622425199210012913</v>
      </c>
      <c r="D26279" t="s">
        <v>24183</v>
      </c>
      <c r="E26279" t="s">
        <v>24184</v>
      </c>
      <c r="F26279" t="s">
        <v>0</v>
      </c>
      <c r="G26279" t="str">
        <f>"2018-10-05 15:34:47"</f>
        <v>2018-10-05 15:34:47</v>
      </c>
    </row>
    <row r="26280" spans="1:7" x14ac:dyDescent="0.2">
      <c r="A26280" t="s">
        <v>256</v>
      </c>
      <c r="B26280" t="str">
        <f>"18602843775"</f>
        <v>18602843775</v>
      </c>
      <c r="C26280" t="str">
        <f>"510781198512143412"</f>
        <v>510781198512143412</v>
      </c>
      <c r="D26280" t="s">
        <v>24185</v>
      </c>
      <c r="E26280" t="s">
        <v>24186</v>
      </c>
      <c r="F26280" t="s">
        <v>0</v>
      </c>
      <c r="G26280" t="str">
        <f>"2018-10-29 14:26:46"</f>
        <v>2018-10-29 14:26:46</v>
      </c>
    </row>
    <row r="26281" spans="1:7" x14ac:dyDescent="0.2">
      <c r="A26281" t="s">
        <v>24187</v>
      </c>
      <c r="B26281" t="str">
        <f>"18112611286"</f>
        <v>18112611286</v>
      </c>
      <c r="C26281" t="str">
        <f>"320323198909104111"</f>
        <v>320323198909104111</v>
      </c>
      <c r="D26281" t="s">
        <v>1</v>
      </c>
      <c r="E26281" t="s">
        <v>1</v>
      </c>
      <c r="F26281" t="s">
        <v>0</v>
      </c>
      <c r="G26281" t="str">
        <f>"2018-10-05 15:31:28"</f>
        <v>2018-10-05 15:31:28</v>
      </c>
    </row>
    <row r="26282" spans="1:7" x14ac:dyDescent="0.2">
      <c r="A26282" t="s">
        <v>1</v>
      </c>
      <c r="B26282" t="str">
        <f>"18475161644"</f>
        <v>18475161644</v>
      </c>
      <c r="C26282" t="s">
        <v>1</v>
      </c>
      <c r="D26282" t="s">
        <v>1</v>
      </c>
      <c r="E26282" t="s">
        <v>1</v>
      </c>
      <c r="F26282" t="s">
        <v>0</v>
      </c>
      <c r="G26282" t="str">
        <f>"2018-10-05 15:25:33"</f>
        <v>2018-10-05 15:25:33</v>
      </c>
    </row>
    <row r="26283" spans="1:7" x14ac:dyDescent="0.2">
      <c r="A26283" t="s">
        <v>1</v>
      </c>
      <c r="B26283" t="str">
        <f>"18872807807"</f>
        <v>18872807807</v>
      </c>
      <c r="C26283" t="s">
        <v>1</v>
      </c>
      <c r="D26283" t="s">
        <v>1</v>
      </c>
      <c r="E26283" t="s">
        <v>1</v>
      </c>
      <c r="F26283" t="s">
        <v>0</v>
      </c>
      <c r="G26283" t="str">
        <f>"2018-10-05 15:28:55"</f>
        <v>2018-10-05 15:28:55</v>
      </c>
    </row>
    <row r="26284" spans="1:7" x14ac:dyDescent="0.2">
      <c r="A26284" t="s">
        <v>1</v>
      </c>
      <c r="B26284" t="str">
        <f>"18953396699"</f>
        <v>18953396699</v>
      </c>
      <c r="C26284" t="s">
        <v>1</v>
      </c>
      <c r="D26284" t="s">
        <v>1</v>
      </c>
      <c r="E26284" t="s">
        <v>1</v>
      </c>
      <c r="F26284" t="s">
        <v>0</v>
      </c>
      <c r="G26284" t="str">
        <f>"2018-10-05 15:24:46"</f>
        <v>2018-10-05 15:24:46</v>
      </c>
    </row>
    <row r="26285" spans="1:7" x14ac:dyDescent="0.2">
      <c r="A26285" t="s">
        <v>24188</v>
      </c>
      <c r="B26285" t="str">
        <f>"15724835129"</f>
        <v>15724835129</v>
      </c>
      <c r="C26285" t="str">
        <f>"320322199112153619"</f>
        <v>320322199112153619</v>
      </c>
      <c r="D26285" t="s">
        <v>1</v>
      </c>
      <c r="E26285" t="s">
        <v>1</v>
      </c>
      <c r="F26285" t="s">
        <v>0</v>
      </c>
      <c r="G26285" t="str">
        <f>"2018-10-05 16:18:38"</f>
        <v>2018-10-05 16:18:38</v>
      </c>
    </row>
    <row r="26286" spans="1:7" x14ac:dyDescent="0.2">
      <c r="A26286" t="s">
        <v>617</v>
      </c>
      <c r="B26286" t="str">
        <f>"18835937545"</f>
        <v>18835937545</v>
      </c>
      <c r="C26286" t="str">
        <f>"14273119921215544X"</f>
        <v>14273119921215544X</v>
      </c>
      <c r="D26286" t="s">
        <v>24189</v>
      </c>
      <c r="E26286" t="s">
        <v>24190</v>
      </c>
      <c r="F26286" t="s">
        <v>0</v>
      </c>
      <c r="G26286" t="str">
        <f>"2018-10-18 15:45:20"</f>
        <v>2018-10-18 15:45:20</v>
      </c>
    </row>
    <row r="26287" spans="1:7" x14ac:dyDescent="0.2">
      <c r="A26287" t="s">
        <v>24191</v>
      </c>
      <c r="B26287" t="str">
        <f>"15505916015"</f>
        <v>15505916015</v>
      </c>
      <c r="C26287" t="str">
        <f>"360681199605186535"</f>
        <v>360681199605186535</v>
      </c>
      <c r="D26287" t="s">
        <v>1</v>
      </c>
      <c r="E26287" t="s">
        <v>1</v>
      </c>
      <c r="F26287" t="s">
        <v>0</v>
      </c>
      <c r="G26287" t="str">
        <f>"2018-10-05 15:23:42"</f>
        <v>2018-10-05 15:23:42</v>
      </c>
    </row>
    <row r="26288" spans="1:7" x14ac:dyDescent="0.2">
      <c r="A26288" t="s">
        <v>1</v>
      </c>
      <c r="B26288" t="str">
        <f>"18640136758"</f>
        <v>18640136758</v>
      </c>
      <c r="C26288" t="s">
        <v>1</v>
      </c>
      <c r="D26288" t="s">
        <v>1</v>
      </c>
      <c r="E26288" t="s">
        <v>1</v>
      </c>
      <c r="F26288" t="s">
        <v>0</v>
      </c>
      <c r="G26288" t="str">
        <f>"2018-10-05 15:23:23"</f>
        <v>2018-10-05 15:23:23</v>
      </c>
    </row>
    <row r="26289" spans="1:7" x14ac:dyDescent="0.2">
      <c r="A26289" t="s">
        <v>24192</v>
      </c>
      <c r="B26289" t="str">
        <f>"18611091571"</f>
        <v>18611091571</v>
      </c>
      <c r="C26289" t="str">
        <f>"371327198301301817"</f>
        <v>371327198301301817</v>
      </c>
      <c r="D26289" t="s">
        <v>1</v>
      </c>
      <c r="E26289" t="s">
        <v>1</v>
      </c>
      <c r="F26289" t="s">
        <v>0</v>
      </c>
      <c r="G26289" t="str">
        <f>"2018-10-05 15:25:31"</f>
        <v>2018-10-05 15:25:31</v>
      </c>
    </row>
    <row r="26290" spans="1:7" x14ac:dyDescent="0.2">
      <c r="A26290" t="s">
        <v>1542</v>
      </c>
      <c r="B26290" t="str">
        <f>"15217074040"</f>
        <v>15217074040</v>
      </c>
      <c r="C26290" t="str">
        <f>"452631199103110012"</f>
        <v>452631199103110012</v>
      </c>
      <c r="D26290" t="s">
        <v>1</v>
      </c>
      <c r="E26290" t="s">
        <v>1</v>
      </c>
      <c r="F26290" t="s">
        <v>0</v>
      </c>
      <c r="G26290" t="str">
        <f>"2018-10-05 15:24:54"</f>
        <v>2018-10-05 15:24:54</v>
      </c>
    </row>
    <row r="26291" spans="1:7" x14ac:dyDescent="0.2">
      <c r="A26291" t="s">
        <v>24193</v>
      </c>
      <c r="B26291" t="str">
        <f>"15258127549"</f>
        <v>15258127549</v>
      </c>
      <c r="C26291" t="str">
        <f>"330226198506192394"</f>
        <v>330226198506192394</v>
      </c>
      <c r="D26291" t="s">
        <v>1</v>
      </c>
      <c r="E26291" t="s">
        <v>1</v>
      </c>
      <c r="F26291" t="s">
        <v>0</v>
      </c>
      <c r="G26291" t="str">
        <f>"2018-10-05 15:23:51"</f>
        <v>2018-10-05 15:23:51</v>
      </c>
    </row>
    <row r="26292" spans="1:7" x14ac:dyDescent="0.2">
      <c r="A26292" t="s">
        <v>24194</v>
      </c>
      <c r="B26292" t="str">
        <f>"18211426477"</f>
        <v>18211426477</v>
      </c>
      <c r="C26292" t="str">
        <f>"440921198906282200"</f>
        <v>440921198906282200</v>
      </c>
      <c r="D26292" t="s">
        <v>1</v>
      </c>
      <c r="E26292" t="s">
        <v>1</v>
      </c>
      <c r="F26292" t="s">
        <v>0</v>
      </c>
      <c r="G26292" t="str">
        <f>"2018-10-05 15:26:33"</f>
        <v>2018-10-05 15:26:33</v>
      </c>
    </row>
    <row r="26293" spans="1:7" x14ac:dyDescent="0.2">
      <c r="A26293" t="s">
        <v>24195</v>
      </c>
      <c r="B26293" t="str">
        <f>"13008464820"</f>
        <v>13008464820</v>
      </c>
      <c r="C26293" t="str">
        <f>"612322197702022055"</f>
        <v>612322197702022055</v>
      </c>
      <c r="D26293" t="s">
        <v>24196</v>
      </c>
      <c r="E26293" t="s">
        <v>24197</v>
      </c>
      <c r="F26293" t="s">
        <v>0</v>
      </c>
      <c r="G26293" t="str">
        <f>"2018-10-05 15:37:00"</f>
        <v>2018-10-05 15:37:00</v>
      </c>
    </row>
    <row r="26294" spans="1:7" x14ac:dyDescent="0.2">
      <c r="A26294" t="s">
        <v>24198</v>
      </c>
      <c r="B26294" t="str">
        <f>"17865971850"</f>
        <v>17865971850</v>
      </c>
      <c r="C26294" t="str">
        <f>"371425199309122511"</f>
        <v>371425199309122511</v>
      </c>
      <c r="D26294" t="s">
        <v>24199</v>
      </c>
      <c r="E26294" t="s">
        <v>24200</v>
      </c>
      <c r="F26294" t="s">
        <v>0</v>
      </c>
      <c r="G26294" t="str">
        <f>"2018-10-05 15:23:44"</f>
        <v>2018-10-05 15:23:44</v>
      </c>
    </row>
    <row r="26295" spans="1:7" x14ac:dyDescent="0.2">
      <c r="A26295" t="s">
        <v>1</v>
      </c>
      <c r="B26295" t="str">
        <f>"13462298875"</f>
        <v>13462298875</v>
      </c>
      <c r="C26295" t="s">
        <v>1</v>
      </c>
      <c r="D26295" t="s">
        <v>1</v>
      </c>
      <c r="E26295" t="s">
        <v>1</v>
      </c>
      <c r="F26295" t="s">
        <v>0</v>
      </c>
      <c r="G26295" t="str">
        <f>"2018-10-05 15:21:47"</f>
        <v>2018-10-05 15:21:47</v>
      </c>
    </row>
    <row r="26296" spans="1:7" x14ac:dyDescent="0.2">
      <c r="A26296" t="s">
        <v>1</v>
      </c>
      <c r="B26296" t="str">
        <f>"17729830493"</f>
        <v>17729830493</v>
      </c>
      <c r="C26296" t="s">
        <v>1</v>
      </c>
      <c r="D26296" t="s">
        <v>1</v>
      </c>
      <c r="E26296" t="s">
        <v>1</v>
      </c>
      <c r="F26296" t="s">
        <v>0</v>
      </c>
      <c r="G26296" t="str">
        <f>"2018-10-05 15:21:41"</f>
        <v>2018-10-05 15:21:41</v>
      </c>
    </row>
    <row r="26297" spans="1:7" x14ac:dyDescent="0.2">
      <c r="A26297" t="s">
        <v>1</v>
      </c>
      <c r="B26297" t="str">
        <f>"15029350987"</f>
        <v>15029350987</v>
      </c>
      <c r="C26297" t="s">
        <v>1</v>
      </c>
      <c r="D26297" t="s">
        <v>1</v>
      </c>
      <c r="E26297" t="s">
        <v>1</v>
      </c>
      <c r="F26297" t="s">
        <v>0</v>
      </c>
      <c r="G26297" t="str">
        <f>"2018-10-05 15:20:46"</f>
        <v>2018-10-05 15:20:46</v>
      </c>
    </row>
    <row r="26298" spans="1:7" x14ac:dyDescent="0.2">
      <c r="A26298" t="s">
        <v>24201</v>
      </c>
      <c r="B26298" t="str">
        <f>"13605916992"</f>
        <v>13605916992</v>
      </c>
      <c r="C26298" t="str">
        <f>"352601197411010020"</f>
        <v>352601197411010020</v>
      </c>
      <c r="D26298" t="s">
        <v>1</v>
      </c>
      <c r="E26298" t="s">
        <v>1</v>
      </c>
      <c r="F26298" t="s">
        <v>0</v>
      </c>
      <c r="G26298" t="str">
        <f>"2018-10-05 15:21:35"</f>
        <v>2018-10-05 15:21:35</v>
      </c>
    </row>
    <row r="26299" spans="1:7" x14ac:dyDescent="0.2">
      <c r="A26299" t="s">
        <v>24202</v>
      </c>
      <c r="B26299" t="str">
        <f>"17671916976"</f>
        <v>17671916976</v>
      </c>
      <c r="C26299" t="str">
        <f>"420704199408104253"</f>
        <v>420704199408104253</v>
      </c>
      <c r="D26299" t="s">
        <v>1</v>
      </c>
      <c r="E26299" t="s">
        <v>1</v>
      </c>
      <c r="F26299" t="s">
        <v>0</v>
      </c>
      <c r="G26299" t="str">
        <f>"2018-10-17 17:02:35"</f>
        <v>2018-10-17 17:02:35</v>
      </c>
    </row>
    <row r="26300" spans="1:7" x14ac:dyDescent="0.2">
      <c r="A26300" t="s">
        <v>728</v>
      </c>
      <c r="B26300" t="str">
        <f>"18108350980"</f>
        <v>18108350980</v>
      </c>
      <c r="C26300" t="str">
        <f>"510525199211278869"</f>
        <v>510525199211278869</v>
      </c>
      <c r="D26300" t="s">
        <v>1</v>
      </c>
      <c r="E26300" t="s">
        <v>1</v>
      </c>
      <c r="F26300" t="s">
        <v>0</v>
      </c>
      <c r="G26300" t="str">
        <f>"2018-10-05 15:21:03"</f>
        <v>2018-10-05 15:21:03</v>
      </c>
    </row>
    <row r="26301" spans="1:7" x14ac:dyDescent="0.2">
      <c r="A26301" t="s">
        <v>24203</v>
      </c>
      <c r="B26301" t="str">
        <f>"15354643222"</f>
        <v>15354643222</v>
      </c>
      <c r="C26301" t="str">
        <f>"229001197007272242"</f>
        <v>229001197007272242</v>
      </c>
      <c r="D26301" t="s">
        <v>1</v>
      </c>
      <c r="E26301" t="s">
        <v>1</v>
      </c>
      <c r="F26301" t="s">
        <v>0</v>
      </c>
      <c r="G26301" t="str">
        <f>"2018-10-05 15:20:10"</f>
        <v>2018-10-05 15:20:10</v>
      </c>
    </row>
    <row r="26302" spans="1:7" x14ac:dyDescent="0.2">
      <c r="A26302" t="s">
        <v>1</v>
      </c>
      <c r="B26302" t="str">
        <f>"13539834967"</f>
        <v>13539834967</v>
      </c>
      <c r="C26302" t="s">
        <v>1</v>
      </c>
      <c r="D26302" t="s">
        <v>1</v>
      </c>
      <c r="E26302" t="s">
        <v>1</v>
      </c>
      <c r="F26302" t="s">
        <v>0</v>
      </c>
      <c r="G26302" t="str">
        <f>"2018-10-05 15:18:08"</f>
        <v>2018-10-05 15:18:08</v>
      </c>
    </row>
    <row r="26303" spans="1:7" x14ac:dyDescent="0.2">
      <c r="A26303" t="s">
        <v>1</v>
      </c>
      <c r="B26303" t="str">
        <f>"13628342027"</f>
        <v>13628342027</v>
      </c>
      <c r="C26303" t="s">
        <v>1</v>
      </c>
      <c r="D26303" t="s">
        <v>1</v>
      </c>
      <c r="E26303" t="s">
        <v>1</v>
      </c>
      <c r="F26303" t="s">
        <v>0</v>
      </c>
      <c r="G26303" t="str">
        <f>"2018-10-05 15:18:04"</f>
        <v>2018-10-05 15:18:04</v>
      </c>
    </row>
    <row r="26304" spans="1:7" x14ac:dyDescent="0.2">
      <c r="A26304" t="s">
        <v>24204</v>
      </c>
      <c r="B26304" t="str">
        <f>"18565161803"</f>
        <v>18565161803</v>
      </c>
      <c r="C26304" t="str">
        <f>"412721199612114818"</f>
        <v>412721199612114818</v>
      </c>
      <c r="D26304" t="s">
        <v>24205</v>
      </c>
      <c r="E26304" t="s">
        <v>24206</v>
      </c>
      <c r="F26304" t="s">
        <v>0</v>
      </c>
      <c r="G26304" t="str">
        <f>"2018-10-05 15:48:14"</f>
        <v>2018-10-05 15:48:14</v>
      </c>
    </row>
    <row r="26305" spans="1:7" x14ac:dyDescent="0.2">
      <c r="A26305" t="s">
        <v>24207</v>
      </c>
      <c r="B26305" t="str">
        <f>"15928777936"</f>
        <v>15928777936</v>
      </c>
      <c r="C26305" t="str">
        <f>"511111198112072917"</f>
        <v>511111198112072917</v>
      </c>
      <c r="D26305" t="s">
        <v>24208</v>
      </c>
      <c r="E26305" t="s">
        <v>24209</v>
      </c>
      <c r="F26305" t="s">
        <v>0</v>
      </c>
      <c r="G26305" t="str">
        <f>"2018-10-05 15:18:38"</f>
        <v>2018-10-05 15:18:38</v>
      </c>
    </row>
    <row r="26306" spans="1:7" x14ac:dyDescent="0.2">
      <c r="A26306" t="s">
        <v>1</v>
      </c>
      <c r="B26306" t="str">
        <f>"15168631392"</f>
        <v>15168631392</v>
      </c>
      <c r="C26306" t="s">
        <v>1</v>
      </c>
      <c r="D26306" t="s">
        <v>1</v>
      </c>
      <c r="E26306" t="s">
        <v>1</v>
      </c>
      <c r="F26306" t="s">
        <v>0</v>
      </c>
      <c r="G26306" t="str">
        <f>"2018-10-05 15:17:00"</f>
        <v>2018-10-05 15:17:00</v>
      </c>
    </row>
    <row r="26307" spans="1:7" x14ac:dyDescent="0.2">
      <c r="A26307" t="s">
        <v>24210</v>
      </c>
      <c r="B26307" t="str">
        <f>"18785904457"</f>
        <v>18785904457</v>
      </c>
      <c r="C26307" t="str">
        <f>"522322199809105210"</f>
        <v>522322199809105210</v>
      </c>
      <c r="D26307" t="s">
        <v>24211</v>
      </c>
      <c r="E26307" t="s">
        <v>24212</v>
      </c>
      <c r="F26307" t="s">
        <v>0</v>
      </c>
      <c r="G26307" t="str">
        <f>"2018-10-05 15:23:41"</f>
        <v>2018-10-05 15:23:41</v>
      </c>
    </row>
    <row r="26308" spans="1:7" x14ac:dyDescent="0.2">
      <c r="A26308" t="s">
        <v>24213</v>
      </c>
      <c r="B26308" t="str">
        <f>"13828135960"</f>
        <v>13828135960</v>
      </c>
      <c r="C26308" t="str">
        <f>"362421199306018317"</f>
        <v>362421199306018317</v>
      </c>
      <c r="D26308" t="s">
        <v>1</v>
      </c>
      <c r="E26308" t="s">
        <v>1</v>
      </c>
      <c r="F26308" t="s">
        <v>0</v>
      </c>
      <c r="G26308" t="str">
        <f>"2018-10-05 15:16:29"</f>
        <v>2018-10-05 15:16:29</v>
      </c>
    </row>
    <row r="26309" spans="1:7" x14ac:dyDescent="0.2">
      <c r="A26309" t="s">
        <v>24214</v>
      </c>
      <c r="B26309" t="str">
        <f>"15906094333"</f>
        <v>15906094333</v>
      </c>
      <c r="C26309" t="str">
        <f>"350582198802222018"</f>
        <v>350582198802222018</v>
      </c>
      <c r="D26309" t="s">
        <v>1</v>
      </c>
      <c r="E26309" t="s">
        <v>1</v>
      </c>
      <c r="F26309" t="s">
        <v>0</v>
      </c>
      <c r="G26309" t="str">
        <f>"2018-10-05 15:16:52"</f>
        <v>2018-10-05 15:16:52</v>
      </c>
    </row>
    <row r="26310" spans="1:7" x14ac:dyDescent="0.2">
      <c r="A26310" t="s">
        <v>1</v>
      </c>
      <c r="B26310" t="str">
        <f>"18336393141"</f>
        <v>18336393141</v>
      </c>
      <c r="C26310" t="s">
        <v>1</v>
      </c>
      <c r="D26310" t="s">
        <v>1</v>
      </c>
      <c r="E26310" t="s">
        <v>1</v>
      </c>
      <c r="F26310" t="s">
        <v>0</v>
      </c>
      <c r="G26310" t="str">
        <f>"2018-10-05 15:15:52"</f>
        <v>2018-10-05 15:15:52</v>
      </c>
    </row>
    <row r="26311" spans="1:7" x14ac:dyDescent="0.2">
      <c r="A26311" t="s">
        <v>1</v>
      </c>
      <c r="B26311" t="str">
        <f>"13625216477"</f>
        <v>13625216477</v>
      </c>
      <c r="C26311" t="s">
        <v>1</v>
      </c>
      <c r="D26311" t="s">
        <v>1</v>
      </c>
      <c r="E26311" t="s">
        <v>1</v>
      </c>
      <c r="F26311" t="s">
        <v>0</v>
      </c>
      <c r="G26311" t="str">
        <f>"2018-10-05 15:15:48"</f>
        <v>2018-10-05 15:15:48</v>
      </c>
    </row>
    <row r="26312" spans="1:7" x14ac:dyDescent="0.2">
      <c r="A26312" t="s">
        <v>24215</v>
      </c>
      <c r="B26312" t="str">
        <f>"18690314726"</f>
        <v>18690314726</v>
      </c>
      <c r="C26312" t="str">
        <f>"320721196407030837"</f>
        <v>320721196407030837</v>
      </c>
      <c r="D26312" t="s">
        <v>1</v>
      </c>
      <c r="E26312" t="s">
        <v>1</v>
      </c>
      <c r="F26312" t="s">
        <v>0</v>
      </c>
      <c r="G26312" t="str">
        <f>"2018-11-04 16:51:05"</f>
        <v>2018-11-04 16:51:05</v>
      </c>
    </row>
    <row r="26313" spans="1:7" x14ac:dyDescent="0.2">
      <c r="A26313" t="s">
        <v>24216</v>
      </c>
      <c r="B26313" t="str">
        <f>"13556391463"</f>
        <v>13556391463</v>
      </c>
      <c r="C26313" t="str">
        <f>"44058219940227662X"</f>
        <v>44058219940227662X</v>
      </c>
      <c r="D26313" t="s">
        <v>1</v>
      </c>
      <c r="E26313" t="s">
        <v>1</v>
      </c>
      <c r="F26313" t="s">
        <v>0</v>
      </c>
      <c r="G26313" t="str">
        <f>"2018-10-05 15:18:08"</f>
        <v>2018-10-05 15:18:08</v>
      </c>
    </row>
    <row r="26314" spans="1:7" x14ac:dyDescent="0.2">
      <c r="A26314" t="s">
        <v>1</v>
      </c>
      <c r="B26314" t="str">
        <f>"13989856704"</f>
        <v>13989856704</v>
      </c>
      <c r="C26314" t="s">
        <v>1</v>
      </c>
      <c r="D26314" t="s">
        <v>1</v>
      </c>
      <c r="E26314" t="s">
        <v>1</v>
      </c>
      <c r="F26314" t="s">
        <v>0</v>
      </c>
      <c r="G26314" t="str">
        <f>"2018-10-05 15:15:07"</f>
        <v>2018-10-05 15:15:07</v>
      </c>
    </row>
    <row r="26315" spans="1:7" x14ac:dyDescent="0.2">
      <c r="A26315" t="s">
        <v>366</v>
      </c>
      <c r="B26315" t="str">
        <f>"14740802034"</f>
        <v>14740802034</v>
      </c>
      <c r="C26315" t="str">
        <f>"210905199506261517"</f>
        <v>210905199506261517</v>
      </c>
      <c r="D26315" t="s">
        <v>1</v>
      </c>
      <c r="E26315" t="s">
        <v>1</v>
      </c>
      <c r="F26315" t="s">
        <v>0</v>
      </c>
      <c r="G26315" t="str">
        <f>"2018-10-05 15:15:58"</f>
        <v>2018-10-05 15:15:58</v>
      </c>
    </row>
    <row r="26316" spans="1:7" x14ac:dyDescent="0.2">
      <c r="A26316" t="s">
        <v>24217</v>
      </c>
      <c r="B26316" t="str">
        <f>"13510783523"</f>
        <v>13510783523</v>
      </c>
      <c r="C26316" t="str">
        <f>"440306198106033920"</f>
        <v>440306198106033920</v>
      </c>
      <c r="D26316" t="s">
        <v>1</v>
      </c>
      <c r="E26316" t="s">
        <v>1</v>
      </c>
      <c r="F26316" t="s">
        <v>0</v>
      </c>
      <c r="G26316" t="str">
        <f>"2018-10-06 11:48:54"</f>
        <v>2018-10-06 11:48:54</v>
      </c>
    </row>
    <row r="26317" spans="1:7" x14ac:dyDescent="0.2">
      <c r="A26317" t="s">
        <v>24218</v>
      </c>
      <c r="B26317" t="str">
        <f>"18538307727"</f>
        <v>18538307727</v>
      </c>
      <c r="C26317" t="str">
        <f>"411081199309065977"</f>
        <v>411081199309065977</v>
      </c>
      <c r="D26317" t="s">
        <v>1</v>
      </c>
      <c r="E26317" t="s">
        <v>1</v>
      </c>
      <c r="F26317" t="s">
        <v>0</v>
      </c>
      <c r="G26317" t="str">
        <f>"2018-10-05 15:14:05"</f>
        <v>2018-10-05 15:14:05</v>
      </c>
    </row>
    <row r="26318" spans="1:7" x14ac:dyDescent="0.2">
      <c r="A26318" t="s">
        <v>1</v>
      </c>
      <c r="B26318" t="str">
        <f>"18558936035"</f>
        <v>18558936035</v>
      </c>
      <c r="C26318" t="s">
        <v>1</v>
      </c>
      <c r="D26318" t="s">
        <v>1</v>
      </c>
      <c r="E26318" t="s">
        <v>1</v>
      </c>
      <c r="F26318" t="s">
        <v>0</v>
      </c>
      <c r="G26318" t="str">
        <f>"2018-10-05 15:13:29"</f>
        <v>2018-10-05 15:13:29</v>
      </c>
    </row>
    <row r="26319" spans="1:7" x14ac:dyDescent="0.2">
      <c r="A26319" t="s">
        <v>343</v>
      </c>
      <c r="B26319" t="str">
        <f>"18874842644"</f>
        <v>18874842644</v>
      </c>
      <c r="C26319" t="str">
        <f>"430381198907177455"</f>
        <v>430381198907177455</v>
      </c>
      <c r="D26319" t="s">
        <v>1</v>
      </c>
      <c r="E26319" t="s">
        <v>1</v>
      </c>
      <c r="F26319" t="s">
        <v>0</v>
      </c>
      <c r="G26319" t="str">
        <f>"2018-10-05 15:15:17"</f>
        <v>2018-10-05 15:15:17</v>
      </c>
    </row>
    <row r="26320" spans="1:7" x14ac:dyDescent="0.2">
      <c r="A26320" t="s">
        <v>24219</v>
      </c>
      <c r="B26320" t="str">
        <f>"13303166886"</f>
        <v>13303166886</v>
      </c>
      <c r="C26320" t="str">
        <f>"131002198307104250"</f>
        <v>131002198307104250</v>
      </c>
      <c r="D26320" t="s">
        <v>24220</v>
      </c>
      <c r="E26320" t="s">
        <v>24221</v>
      </c>
      <c r="F26320" t="s">
        <v>0</v>
      </c>
      <c r="G26320" t="str">
        <f>"2018-10-05 15:13:31"</f>
        <v>2018-10-05 15:13:31</v>
      </c>
    </row>
    <row r="26321" spans="1:7" x14ac:dyDescent="0.2">
      <c r="A26321" t="s">
        <v>24222</v>
      </c>
      <c r="B26321" t="str">
        <f>"18696053392"</f>
        <v>18696053392</v>
      </c>
      <c r="C26321" t="str">
        <f>"420323198906115513"</f>
        <v>420323198906115513</v>
      </c>
      <c r="D26321" t="s">
        <v>1</v>
      </c>
      <c r="E26321" t="s">
        <v>1</v>
      </c>
      <c r="F26321" t="s">
        <v>0</v>
      </c>
      <c r="G26321" t="str">
        <f>"2018-10-11 22:19:13"</f>
        <v>2018-10-11 22:19:13</v>
      </c>
    </row>
    <row r="26322" spans="1:7" x14ac:dyDescent="0.2">
      <c r="A26322" t="s">
        <v>1</v>
      </c>
      <c r="B26322" t="str">
        <f>"18250007180"</f>
        <v>18250007180</v>
      </c>
      <c r="C26322" t="s">
        <v>1</v>
      </c>
      <c r="D26322" t="s">
        <v>1</v>
      </c>
      <c r="E26322" t="s">
        <v>1</v>
      </c>
      <c r="F26322" t="s">
        <v>0</v>
      </c>
      <c r="G26322" t="str">
        <f>"2018-10-05 15:12:48"</f>
        <v>2018-10-05 15:12:48</v>
      </c>
    </row>
    <row r="26323" spans="1:7" x14ac:dyDescent="0.2">
      <c r="A26323" t="s">
        <v>1</v>
      </c>
      <c r="B26323" t="str">
        <f>"18203174559"</f>
        <v>18203174559</v>
      </c>
      <c r="C26323" t="s">
        <v>1</v>
      </c>
      <c r="D26323" t="s">
        <v>1</v>
      </c>
      <c r="E26323" t="s">
        <v>1</v>
      </c>
      <c r="F26323" t="s">
        <v>0</v>
      </c>
      <c r="G26323" t="str">
        <f>"2018-10-05 15:12:30"</f>
        <v>2018-10-05 15:12:30</v>
      </c>
    </row>
    <row r="26324" spans="1:7" x14ac:dyDescent="0.2">
      <c r="A26324" t="s">
        <v>24223</v>
      </c>
      <c r="B26324" t="str">
        <f>"18795901607"</f>
        <v>18795901607</v>
      </c>
      <c r="C26324" t="str">
        <f>"320121199410151710"</f>
        <v>320121199410151710</v>
      </c>
      <c r="D26324" t="s">
        <v>1</v>
      </c>
      <c r="E26324" t="s">
        <v>1</v>
      </c>
      <c r="F26324" t="s">
        <v>0</v>
      </c>
      <c r="G26324" t="str">
        <f>"2018-10-05 15:13:21"</f>
        <v>2018-10-05 15:13:21</v>
      </c>
    </row>
    <row r="26325" spans="1:7" x14ac:dyDescent="0.2">
      <c r="A26325" t="s">
        <v>24224</v>
      </c>
      <c r="B26325" t="str">
        <f>"18076900913"</f>
        <v>18076900913</v>
      </c>
      <c r="C26325" t="str">
        <f>"510108198406173327"</f>
        <v>510108198406173327</v>
      </c>
      <c r="D26325" t="s">
        <v>1</v>
      </c>
      <c r="E26325" t="s">
        <v>1</v>
      </c>
      <c r="F26325" t="s">
        <v>0</v>
      </c>
      <c r="G26325" t="str">
        <f>"2018-10-11 14:50:15"</f>
        <v>2018-10-11 14:50:15</v>
      </c>
    </row>
    <row r="26326" spans="1:7" x14ac:dyDescent="0.2">
      <c r="A26326" t="s">
        <v>24225</v>
      </c>
      <c r="B26326" t="str">
        <f>"18507784872"</f>
        <v>18507784872</v>
      </c>
      <c r="C26326" t="str">
        <f>"452729199612101441"</f>
        <v>452729199612101441</v>
      </c>
      <c r="D26326" t="s">
        <v>1</v>
      </c>
      <c r="E26326" t="s">
        <v>1</v>
      </c>
      <c r="F26326" t="s">
        <v>0</v>
      </c>
      <c r="G26326" t="str">
        <f>"2018-10-05 15:13:19"</f>
        <v>2018-10-05 15:13:19</v>
      </c>
    </row>
    <row r="26327" spans="1:7" x14ac:dyDescent="0.2">
      <c r="A26327" t="s">
        <v>24226</v>
      </c>
      <c r="B26327" t="str">
        <f>"18239528898"</f>
        <v>18239528898</v>
      </c>
      <c r="C26327" t="str">
        <f>"41112319911016956X"</f>
        <v>41112319911016956X</v>
      </c>
      <c r="D26327" t="s">
        <v>1</v>
      </c>
      <c r="E26327" t="s">
        <v>1</v>
      </c>
      <c r="F26327" t="s">
        <v>0</v>
      </c>
      <c r="G26327" t="str">
        <f>"2018-10-11 21:20:12"</f>
        <v>2018-10-11 21:20:12</v>
      </c>
    </row>
    <row r="26328" spans="1:7" x14ac:dyDescent="0.2">
      <c r="A26328" t="s">
        <v>24227</v>
      </c>
      <c r="B26328" t="str">
        <f>"13883570325"</f>
        <v>13883570325</v>
      </c>
      <c r="C26328" t="str">
        <f>"510226197609094470"</f>
        <v>510226197609094470</v>
      </c>
      <c r="D26328" t="s">
        <v>1</v>
      </c>
      <c r="E26328" t="s">
        <v>1</v>
      </c>
      <c r="F26328" t="s">
        <v>0</v>
      </c>
      <c r="G26328" t="str">
        <f>"2018-10-05 15:12:53"</f>
        <v>2018-10-05 15:12:53</v>
      </c>
    </row>
    <row r="26329" spans="1:7" x14ac:dyDescent="0.2">
      <c r="A26329" t="s">
        <v>24228</v>
      </c>
      <c r="B26329" t="str">
        <f>"15102762253"</f>
        <v>15102762253</v>
      </c>
      <c r="C26329" t="str">
        <f>"420107198508033319"</f>
        <v>420107198508033319</v>
      </c>
      <c r="D26329" t="s">
        <v>24229</v>
      </c>
      <c r="E26329" t="s">
        <v>24230</v>
      </c>
      <c r="F26329" t="s">
        <v>0</v>
      </c>
      <c r="G26329" t="str">
        <f>"2018-10-05 15:11:22"</f>
        <v>2018-10-05 15:11:22</v>
      </c>
    </row>
    <row r="26330" spans="1:7" x14ac:dyDescent="0.2">
      <c r="A26330" t="s">
        <v>24231</v>
      </c>
      <c r="B26330" t="str">
        <f>"13204048882"</f>
        <v>13204048882</v>
      </c>
      <c r="C26330" t="str">
        <f>"210104198609020519"</f>
        <v>210104198609020519</v>
      </c>
      <c r="D26330" t="s">
        <v>24232</v>
      </c>
      <c r="E26330" t="s">
        <v>24233</v>
      </c>
      <c r="F26330" t="s">
        <v>0</v>
      </c>
      <c r="G26330" t="str">
        <f>"2018-10-25 12:04:26"</f>
        <v>2018-10-25 12:04:26</v>
      </c>
    </row>
    <row r="26331" spans="1:7" x14ac:dyDescent="0.2">
      <c r="A26331" t="s">
        <v>24234</v>
      </c>
      <c r="B26331" t="str">
        <f>"13250537060"</f>
        <v>13250537060</v>
      </c>
      <c r="C26331" t="str">
        <f>"440181199712120630"</f>
        <v>440181199712120630</v>
      </c>
      <c r="D26331" t="s">
        <v>1</v>
      </c>
      <c r="E26331" t="s">
        <v>1</v>
      </c>
      <c r="F26331" t="s">
        <v>0</v>
      </c>
      <c r="G26331" t="str">
        <f>"2018-10-05 15:13:08"</f>
        <v>2018-10-05 15:13:08</v>
      </c>
    </row>
    <row r="26332" spans="1:7" x14ac:dyDescent="0.2">
      <c r="A26332" t="s">
        <v>24235</v>
      </c>
      <c r="B26332" t="str">
        <f>"17331801161"</f>
        <v>17331801161</v>
      </c>
      <c r="C26332" t="str">
        <f>"130181198808057122"</f>
        <v>130181198808057122</v>
      </c>
      <c r="D26332" t="s">
        <v>1</v>
      </c>
      <c r="E26332" t="s">
        <v>1</v>
      </c>
      <c r="F26332" t="s">
        <v>0</v>
      </c>
      <c r="G26332" t="str">
        <f>"2018-10-05 15:11:40"</f>
        <v>2018-10-05 15:11:40</v>
      </c>
    </row>
    <row r="26333" spans="1:7" x14ac:dyDescent="0.2">
      <c r="A26333" t="s">
        <v>24236</v>
      </c>
      <c r="B26333" t="str">
        <f>"15096666689"</f>
        <v>15096666689</v>
      </c>
      <c r="C26333" t="str">
        <f>"53030219840115035X"</f>
        <v>53030219840115035X</v>
      </c>
      <c r="D26333" t="s">
        <v>1</v>
      </c>
      <c r="E26333" t="s">
        <v>1</v>
      </c>
      <c r="F26333" t="s">
        <v>0</v>
      </c>
      <c r="G26333" t="str">
        <f>"2018-10-05 15:12:08"</f>
        <v>2018-10-05 15:12:08</v>
      </c>
    </row>
    <row r="26334" spans="1:7" x14ac:dyDescent="0.2">
      <c r="A26334" t="s">
        <v>24237</v>
      </c>
      <c r="B26334" t="str">
        <f>"15255693238"</f>
        <v>15255693238</v>
      </c>
      <c r="C26334" t="str">
        <f>"340822199410111418"</f>
        <v>340822199410111418</v>
      </c>
      <c r="D26334" t="s">
        <v>1</v>
      </c>
      <c r="E26334" t="s">
        <v>1</v>
      </c>
      <c r="F26334" t="s">
        <v>0</v>
      </c>
      <c r="G26334" t="str">
        <f>"2018-10-05 15:11:28"</f>
        <v>2018-10-05 15:11:28</v>
      </c>
    </row>
    <row r="26335" spans="1:7" x14ac:dyDescent="0.2">
      <c r="A26335" t="s">
        <v>24238</v>
      </c>
      <c r="B26335" t="str">
        <f>"18706783303"</f>
        <v>18706783303</v>
      </c>
      <c r="C26335" t="str">
        <f>"612525198708143418"</f>
        <v>612525198708143418</v>
      </c>
      <c r="D26335" t="s">
        <v>1</v>
      </c>
      <c r="E26335" t="s">
        <v>1</v>
      </c>
      <c r="F26335" t="s">
        <v>0</v>
      </c>
      <c r="G26335" t="str">
        <f>"2018-10-05 15:11:53"</f>
        <v>2018-10-05 15:11:53</v>
      </c>
    </row>
    <row r="26336" spans="1:7" x14ac:dyDescent="0.2">
      <c r="A26336" t="s">
        <v>24239</v>
      </c>
      <c r="B26336" t="str">
        <f>"15054830857"</f>
        <v>15054830857</v>
      </c>
      <c r="C26336" t="str">
        <f>"370786199103095413"</f>
        <v>370786199103095413</v>
      </c>
      <c r="D26336" t="s">
        <v>24240</v>
      </c>
      <c r="E26336" t="s">
        <v>24241</v>
      </c>
      <c r="F26336" t="s">
        <v>0</v>
      </c>
      <c r="G26336" t="str">
        <f>"2018-10-05 15:10:51"</f>
        <v>2018-10-05 15:10:51</v>
      </c>
    </row>
    <row r="26337" spans="1:7" x14ac:dyDescent="0.2">
      <c r="A26337" t="s">
        <v>1</v>
      </c>
      <c r="B26337" t="str">
        <f>"18279962093"</f>
        <v>18279962093</v>
      </c>
      <c r="C26337" t="s">
        <v>1</v>
      </c>
      <c r="D26337" t="s">
        <v>1</v>
      </c>
      <c r="E26337" t="s">
        <v>1</v>
      </c>
      <c r="F26337" t="s">
        <v>0</v>
      </c>
      <c r="G26337" t="str">
        <f>"2018-10-05 15:09:29"</f>
        <v>2018-10-05 15:09:29</v>
      </c>
    </row>
    <row r="26338" spans="1:7" x14ac:dyDescent="0.2">
      <c r="A26338" t="s">
        <v>24242</v>
      </c>
      <c r="B26338" t="str">
        <f>"18133912929"</f>
        <v>18133912929</v>
      </c>
      <c r="C26338" t="str">
        <f>"610124199009262412"</f>
        <v>610124199009262412</v>
      </c>
      <c r="D26338" t="s">
        <v>24243</v>
      </c>
      <c r="E26338" t="s">
        <v>24244</v>
      </c>
      <c r="F26338" t="s">
        <v>0</v>
      </c>
      <c r="G26338" t="str">
        <f>"2018-10-05 15:10:02"</f>
        <v>2018-10-05 15:10:02</v>
      </c>
    </row>
    <row r="26339" spans="1:7" x14ac:dyDescent="0.2">
      <c r="A26339" t="s">
        <v>1465</v>
      </c>
      <c r="B26339" t="str">
        <f>"17520328264"</f>
        <v>17520328264</v>
      </c>
      <c r="C26339" t="str">
        <f>"510322199303296378"</f>
        <v>510322199303296378</v>
      </c>
      <c r="D26339" t="s">
        <v>1</v>
      </c>
      <c r="E26339" t="s">
        <v>1</v>
      </c>
      <c r="F26339" t="s">
        <v>0</v>
      </c>
      <c r="G26339" t="str">
        <f>"2018-10-05 15:09:06"</f>
        <v>2018-10-05 15:09:06</v>
      </c>
    </row>
    <row r="26340" spans="1:7" x14ac:dyDescent="0.2">
      <c r="A26340" t="s">
        <v>24245</v>
      </c>
      <c r="B26340" t="str">
        <f>"18199211311"</f>
        <v>18199211311</v>
      </c>
      <c r="C26340" t="str">
        <f>"652101198103160439"</f>
        <v>652101198103160439</v>
      </c>
      <c r="D26340" t="s">
        <v>1</v>
      </c>
      <c r="E26340" t="s">
        <v>1</v>
      </c>
      <c r="F26340" t="s">
        <v>0</v>
      </c>
      <c r="G26340" t="str">
        <f>"2018-10-05 15:09:46"</f>
        <v>2018-10-05 15:09:46</v>
      </c>
    </row>
    <row r="26341" spans="1:7" x14ac:dyDescent="0.2">
      <c r="A26341" t="s">
        <v>24246</v>
      </c>
      <c r="B26341" t="str">
        <f>"18914338858"</f>
        <v>18914338858</v>
      </c>
      <c r="C26341" t="str">
        <f>"510922199307257459"</f>
        <v>510922199307257459</v>
      </c>
      <c r="D26341" t="s">
        <v>1</v>
      </c>
      <c r="E26341" t="s">
        <v>1</v>
      </c>
      <c r="F26341" t="s">
        <v>0</v>
      </c>
      <c r="G26341" t="str">
        <f>"2018-10-05 15:08:30"</f>
        <v>2018-10-05 15:08:30</v>
      </c>
    </row>
    <row r="26342" spans="1:7" x14ac:dyDescent="0.2">
      <c r="A26342" t="s">
        <v>1745</v>
      </c>
      <c r="B26342" t="str">
        <f>"18990202603"</f>
        <v>18990202603</v>
      </c>
      <c r="C26342" t="str">
        <f>"510681198608270023"</f>
        <v>510681198608270023</v>
      </c>
      <c r="D26342" t="s">
        <v>1</v>
      </c>
      <c r="E26342" t="s">
        <v>1</v>
      </c>
      <c r="F26342" t="s">
        <v>0</v>
      </c>
      <c r="G26342" t="str">
        <f>"2018-10-05 15:17:42"</f>
        <v>2018-10-05 15:17:42</v>
      </c>
    </row>
    <row r="26343" spans="1:7" x14ac:dyDescent="0.2">
      <c r="A26343" t="s">
        <v>24247</v>
      </c>
      <c r="B26343" t="str">
        <f>"18222644917"</f>
        <v>18222644917</v>
      </c>
      <c r="C26343" t="str">
        <f>"340321198707013757"</f>
        <v>340321198707013757</v>
      </c>
      <c r="D26343" t="s">
        <v>1</v>
      </c>
      <c r="E26343" t="s">
        <v>1</v>
      </c>
      <c r="F26343" t="s">
        <v>0</v>
      </c>
      <c r="G26343" t="str">
        <f>"2018-10-05 15:08:36"</f>
        <v>2018-10-05 15:08:36</v>
      </c>
    </row>
    <row r="26344" spans="1:7" x14ac:dyDescent="0.2">
      <c r="A26344" t="s">
        <v>24248</v>
      </c>
      <c r="B26344" t="str">
        <f>"18300869198"</f>
        <v>18300869198</v>
      </c>
      <c r="C26344" t="str">
        <f>"522423199303106314"</f>
        <v>522423199303106314</v>
      </c>
      <c r="D26344" t="s">
        <v>1</v>
      </c>
      <c r="E26344" t="s">
        <v>1</v>
      </c>
      <c r="F26344" t="s">
        <v>0</v>
      </c>
      <c r="G26344" t="str">
        <f>"2018-10-05 15:12:34"</f>
        <v>2018-10-05 15:12:34</v>
      </c>
    </row>
    <row r="26345" spans="1:7" x14ac:dyDescent="0.2">
      <c r="A26345" t="s">
        <v>24249</v>
      </c>
      <c r="B26345" t="str">
        <f>"18581617978"</f>
        <v>18581617978</v>
      </c>
      <c r="C26345" t="str">
        <f>"411481200006195114"</f>
        <v>411481200006195114</v>
      </c>
      <c r="D26345" t="s">
        <v>1</v>
      </c>
      <c r="E26345" t="s">
        <v>1</v>
      </c>
      <c r="F26345" t="s">
        <v>0</v>
      </c>
      <c r="G26345" t="str">
        <f>"2018-10-05 15:08:55"</f>
        <v>2018-10-05 15:08:55</v>
      </c>
    </row>
    <row r="26346" spans="1:7" x14ac:dyDescent="0.2">
      <c r="A26346" t="s">
        <v>1</v>
      </c>
      <c r="B26346" t="str">
        <f>"18733627900"</f>
        <v>18733627900</v>
      </c>
      <c r="C26346" t="s">
        <v>1</v>
      </c>
      <c r="D26346" t="s">
        <v>1</v>
      </c>
      <c r="E26346" t="s">
        <v>1</v>
      </c>
      <c r="F26346" t="s">
        <v>0</v>
      </c>
      <c r="G26346" t="str">
        <f>"2018-10-05 15:07:21"</f>
        <v>2018-10-05 15:07:21</v>
      </c>
    </row>
    <row r="26347" spans="1:7" x14ac:dyDescent="0.2">
      <c r="A26347" t="s">
        <v>1</v>
      </c>
      <c r="B26347" t="str">
        <f>"13177807575"</f>
        <v>13177807575</v>
      </c>
      <c r="C26347" t="s">
        <v>1</v>
      </c>
      <c r="D26347" t="s">
        <v>1</v>
      </c>
      <c r="E26347" t="s">
        <v>1</v>
      </c>
      <c r="F26347" t="s">
        <v>0</v>
      </c>
      <c r="G26347" t="str">
        <f>"2018-10-05 15:07:04"</f>
        <v>2018-10-05 15:07:04</v>
      </c>
    </row>
    <row r="26348" spans="1:7" x14ac:dyDescent="0.2">
      <c r="A26348" t="s">
        <v>24250</v>
      </c>
      <c r="B26348" t="str">
        <f>"13919210183"</f>
        <v>13919210183</v>
      </c>
      <c r="C26348" t="str">
        <f>"620422199512183514"</f>
        <v>620422199512183514</v>
      </c>
      <c r="D26348" t="s">
        <v>1</v>
      </c>
      <c r="E26348" t="s">
        <v>1</v>
      </c>
      <c r="F26348" t="s">
        <v>0</v>
      </c>
      <c r="G26348" t="str">
        <f>"2018-10-05 15:10:43"</f>
        <v>2018-10-05 15:10:43</v>
      </c>
    </row>
    <row r="26349" spans="1:7" x14ac:dyDescent="0.2">
      <c r="A26349" t="s">
        <v>24251</v>
      </c>
      <c r="B26349" t="str">
        <f>"18077329900"</f>
        <v>18077329900</v>
      </c>
      <c r="C26349" t="str">
        <f>"450332198802090042"</f>
        <v>450332198802090042</v>
      </c>
      <c r="D26349" t="s">
        <v>1</v>
      </c>
      <c r="E26349" t="s">
        <v>1</v>
      </c>
      <c r="F26349" t="s">
        <v>0</v>
      </c>
      <c r="G26349" t="str">
        <f>"2018-10-05 15:09:00"</f>
        <v>2018-10-05 15:09:00</v>
      </c>
    </row>
    <row r="26350" spans="1:7" x14ac:dyDescent="0.2">
      <c r="A26350" t="s">
        <v>1</v>
      </c>
      <c r="B26350" t="str">
        <f>"18002256938"</f>
        <v>18002256938</v>
      </c>
      <c r="C26350" t="s">
        <v>1</v>
      </c>
      <c r="D26350" t="s">
        <v>1</v>
      </c>
      <c r="E26350" t="s">
        <v>1</v>
      </c>
      <c r="F26350" t="s">
        <v>0</v>
      </c>
      <c r="G26350" t="str">
        <f>"2018-10-05 15:06:26"</f>
        <v>2018-10-05 15:06:26</v>
      </c>
    </row>
    <row r="26351" spans="1:7" x14ac:dyDescent="0.2">
      <c r="A26351" t="s">
        <v>24252</v>
      </c>
      <c r="B26351" t="str">
        <f>"13898401671"</f>
        <v>13898401671</v>
      </c>
      <c r="C26351" t="str">
        <f>"210882198803160010"</f>
        <v>210882198803160010</v>
      </c>
      <c r="D26351" t="s">
        <v>1</v>
      </c>
      <c r="E26351" t="s">
        <v>1</v>
      </c>
      <c r="F26351" t="s">
        <v>0</v>
      </c>
      <c r="G26351" t="str">
        <f>"2018-10-05 15:09:52"</f>
        <v>2018-10-05 15:09:52</v>
      </c>
    </row>
    <row r="26352" spans="1:7" x14ac:dyDescent="0.2">
      <c r="A26352" t="s">
        <v>1127</v>
      </c>
      <c r="B26352" t="str">
        <f>"13577894866"</f>
        <v>13577894866</v>
      </c>
      <c r="C26352" t="str">
        <f>"532923197312211546"</f>
        <v>532923197312211546</v>
      </c>
      <c r="D26352" t="s">
        <v>1</v>
      </c>
      <c r="E26352" t="s">
        <v>1</v>
      </c>
      <c r="F26352" t="s">
        <v>0</v>
      </c>
      <c r="G26352" t="str">
        <f>"2018-10-05 15:06:46"</f>
        <v>2018-10-05 15:06:46</v>
      </c>
    </row>
    <row r="26353" spans="1:7" x14ac:dyDescent="0.2">
      <c r="A26353" t="s">
        <v>1</v>
      </c>
      <c r="B26353" t="str">
        <f>"15502247955"</f>
        <v>15502247955</v>
      </c>
      <c r="C26353" t="s">
        <v>1</v>
      </c>
      <c r="D26353" t="s">
        <v>1</v>
      </c>
      <c r="E26353" t="s">
        <v>1</v>
      </c>
      <c r="F26353" t="s">
        <v>0</v>
      </c>
      <c r="G26353" t="str">
        <f>"2018-10-05 15:05:14"</f>
        <v>2018-10-05 15:05:14</v>
      </c>
    </row>
    <row r="26354" spans="1:7" x14ac:dyDescent="0.2">
      <c r="A26354" t="s">
        <v>24253</v>
      </c>
      <c r="B26354" t="str">
        <f>"13183694111"</f>
        <v>13183694111</v>
      </c>
      <c r="C26354" t="str">
        <f>"511002199609167260"</f>
        <v>511002199609167260</v>
      </c>
      <c r="D26354" t="s">
        <v>1</v>
      </c>
      <c r="E26354" t="s">
        <v>1</v>
      </c>
      <c r="F26354" t="s">
        <v>0</v>
      </c>
      <c r="G26354" t="str">
        <f>"2018-10-05 15:13:45"</f>
        <v>2018-10-05 15:13:45</v>
      </c>
    </row>
    <row r="26355" spans="1:7" x14ac:dyDescent="0.2">
      <c r="A26355" t="s">
        <v>24254</v>
      </c>
      <c r="B26355" t="str">
        <f>"15063209001"</f>
        <v>15063209001</v>
      </c>
      <c r="C26355" t="str">
        <f>"370402196810116933"</f>
        <v>370402196810116933</v>
      </c>
      <c r="D26355" t="s">
        <v>24255</v>
      </c>
      <c r="E26355" t="s">
        <v>24256</v>
      </c>
      <c r="F26355" t="s">
        <v>0</v>
      </c>
      <c r="G26355" t="str">
        <f>"2018-10-05 15:08:00"</f>
        <v>2018-10-05 15:08:00</v>
      </c>
    </row>
    <row r="26356" spans="1:7" x14ac:dyDescent="0.2">
      <c r="A26356" t="s">
        <v>24257</v>
      </c>
      <c r="B26356" t="str">
        <f>"18145130522"</f>
        <v>18145130522</v>
      </c>
      <c r="C26356" t="str">
        <f>"230103198502265919"</f>
        <v>230103198502265919</v>
      </c>
      <c r="D26356" t="s">
        <v>1</v>
      </c>
      <c r="E26356" t="s">
        <v>1</v>
      </c>
      <c r="F26356" t="s">
        <v>0</v>
      </c>
      <c r="G26356" t="str">
        <f>"2018-10-05 15:06:27"</f>
        <v>2018-10-05 15:06:27</v>
      </c>
    </row>
    <row r="26357" spans="1:7" x14ac:dyDescent="0.2">
      <c r="A26357" t="s">
        <v>24258</v>
      </c>
      <c r="B26357" t="str">
        <f>"18629903899"</f>
        <v>18629903899</v>
      </c>
      <c r="C26357" t="str">
        <f>"342921198103124311"</f>
        <v>342921198103124311</v>
      </c>
      <c r="D26357" t="s">
        <v>1</v>
      </c>
      <c r="E26357" t="s">
        <v>1</v>
      </c>
      <c r="F26357" t="s">
        <v>0</v>
      </c>
      <c r="G26357" t="str">
        <f>"2018-10-05 15:04:45"</f>
        <v>2018-10-05 15:04:45</v>
      </c>
    </row>
    <row r="26358" spans="1:7" x14ac:dyDescent="0.2">
      <c r="A26358" t="s">
        <v>24259</v>
      </c>
      <c r="B26358" t="str">
        <f>"18853398818"</f>
        <v>18853398818</v>
      </c>
      <c r="C26358" t="str">
        <f>"370784198901265037"</f>
        <v>370784198901265037</v>
      </c>
      <c r="D26358" t="s">
        <v>24260</v>
      </c>
      <c r="E26358" t="s">
        <v>24261</v>
      </c>
      <c r="F26358" t="s">
        <v>0</v>
      </c>
      <c r="G26358" t="str">
        <f>"2018-10-05 15:05:40"</f>
        <v>2018-10-05 15:05:40</v>
      </c>
    </row>
    <row r="26359" spans="1:7" x14ac:dyDescent="0.2">
      <c r="A26359" t="s">
        <v>117</v>
      </c>
      <c r="B26359" t="str">
        <f>"13055377220"</f>
        <v>13055377220</v>
      </c>
      <c r="C26359" t="str">
        <f>"350623198711031836"</f>
        <v>350623198711031836</v>
      </c>
      <c r="D26359" t="s">
        <v>1</v>
      </c>
      <c r="E26359" t="s">
        <v>1</v>
      </c>
      <c r="F26359" t="s">
        <v>0</v>
      </c>
      <c r="G26359" t="str">
        <f>"2018-10-28 11:26:25"</f>
        <v>2018-10-28 11:26:25</v>
      </c>
    </row>
    <row r="26360" spans="1:7" x14ac:dyDescent="0.2">
      <c r="A26360" t="s">
        <v>1</v>
      </c>
      <c r="B26360" t="str">
        <f>"18588261481"</f>
        <v>18588261481</v>
      </c>
      <c r="C26360" t="s">
        <v>1</v>
      </c>
      <c r="D26360" t="s">
        <v>1</v>
      </c>
      <c r="E26360" t="s">
        <v>1</v>
      </c>
      <c r="F26360" t="s">
        <v>0</v>
      </c>
      <c r="G26360" t="str">
        <f>"2018-10-05 15:05:18"</f>
        <v>2018-10-05 15:05:18</v>
      </c>
    </row>
    <row r="26361" spans="1:7" x14ac:dyDescent="0.2">
      <c r="A26361" t="s">
        <v>1566</v>
      </c>
      <c r="B26361" t="str">
        <f>"18950023586"</f>
        <v>18950023586</v>
      </c>
      <c r="C26361" t="str">
        <f>"350221198103182513"</f>
        <v>350221198103182513</v>
      </c>
      <c r="D26361" t="s">
        <v>1</v>
      </c>
      <c r="E26361" t="s">
        <v>1</v>
      </c>
      <c r="F26361" t="s">
        <v>0</v>
      </c>
      <c r="G26361" t="str">
        <f>"2018-10-05 15:05:31"</f>
        <v>2018-10-05 15:05:31</v>
      </c>
    </row>
    <row r="26362" spans="1:7" x14ac:dyDescent="0.2">
      <c r="A26362" t="s">
        <v>1</v>
      </c>
      <c r="B26362" t="str">
        <f>"18659987406"</f>
        <v>18659987406</v>
      </c>
      <c r="C26362" t="s">
        <v>1</v>
      </c>
      <c r="D26362" t="s">
        <v>1</v>
      </c>
      <c r="E26362" t="s">
        <v>1</v>
      </c>
      <c r="F26362" t="s">
        <v>0</v>
      </c>
      <c r="G26362" t="str">
        <f>"2018-10-05 15:03:38"</f>
        <v>2018-10-05 15:03:38</v>
      </c>
    </row>
    <row r="26363" spans="1:7" x14ac:dyDescent="0.2">
      <c r="A26363" t="s">
        <v>24262</v>
      </c>
      <c r="B26363" t="str">
        <f>"18595856919"</f>
        <v>18595856919</v>
      </c>
      <c r="C26363" t="str">
        <f>"41072819771010609X"</f>
        <v>41072819771010609X</v>
      </c>
      <c r="D26363" t="s">
        <v>1</v>
      </c>
      <c r="E26363" t="s">
        <v>1</v>
      </c>
      <c r="F26363" t="s">
        <v>0</v>
      </c>
      <c r="G26363" t="str">
        <f>"2018-10-05 15:06:57"</f>
        <v>2018-10-05 15:06:57</v>
      </c>
    </row>
    <row r="26364" spans="1:7" x14ac:dyDescent="0.2">
      <c r="A26364" t="s">
        <v>1744</v>
      </c>
      <c r="B26364" t="str">
        <f>"13684888673"</f>
        <v>13684888673</v>
      </c>
      <c r="C26364" t="str">
        <f>"360203196910271037"</f>
        <v>360203196910271037</v>
      </c>
      <c r="D26364" t="s">
        <v>1</v>
      </c>
      <c r="E26364" t="s">
        <v>1</v>
      </c>
      <c r="F26364" t="s">
        <v>0</v>
      </c>
      <c r="G26364" t="str">
        <f>"2018-10-05 15:03:53"</f>
        <v>2018-10-05 15:03:53</v>
      </c>
    </row>
    <row r="26365" spans="1:7" x14ac:dyDescent="0.2">
      <c r="A26365" t="s">
        <v>24263</v>
      </c>
      <c r="B26365" t="str">
        <f>"13694126726"</f>
        <v>13694126726</v>
      </c>
      <c r="C26365" t="str">
        <f>"210106198109291817"</f>
        <v>210106198109291817</v>
      </c>
      <c r="D26365" t="s">
        <v>1</v>
      </c>
      <c r="E26365" t="s">
        <v>1</v>
      </c>
      <c r="F26365" t="s">
        <v>0</v>
      </c>
      <c r="G26365" t="str">
        <f>"2018-10-05 15:06:35"</f>
        <v>2018-10-05 15:06:35</v>
      </c>
    </row>
    <row r="26366" spans="1:7" x14ac:dyDescent="0.2">
      <c r="A26366" t="s">
        <v>24264</v>
      </c>
      <c r="B26366" t="str">
        <f>"13327450405"</f>
        <v>13327450405</v>
      </c>
      <c r="C26366" t="str">
        <f>"140402198310291619"</f>
        <v>140402198310291619</v>
      </c>
      <c r="D26366" t="s">
        <v>1</v>
      </c>
      <c r="E26366" t="s">
        <v>1</v>
      </c>
      <c r="F26366" t="s">
        <v>0</v>
      </c>
      <c r="G26366" t="str">
        <f>"2018-10-05 15:03:56"</f>
        <v>2018-10-05 15:03:56</v>
      </c>
    </row>
    <row r="26367" spans="1:7" x14ac:dyDescent="0.2">
      <c r="A26367" t="s">
        <v>24265</v>
      </c>
      <c r="B26367" t="str">
        <f>"18903370020"</f>
        <v>18903370020</v>
      </c>
      <c r="C26367" t="str">
        <f>"130223198801014324"</f>
        <v>130223198801014324</v>
      </c>
      <c r="D26367" t="s">
        <v>1</v>
      </c>
      <c r="E26367" t="s">
        <v>1</v>
      </c>
      <c r="F26367" t="s">
        <v>0</v>
      </c>
      <c r="G26367" t="str">
        <f>"2018-10-05 15:04:14"</f>
        <v>2018-10-05 15:04:14</v>
      </c>
    </row>
    <row r="26368" spans="1:7" x14ac:dyDescent="0.2">
      <c r="A26368" t="s">
        <v>24266</v>
      </c>
      <c r="B26368" t="str">
        <f>"15775759594"</f>
        <v>15775759594</v>
      </c>
      <c r="C26368" t="str">
        <f>"513701199412040737"</f>
        <v>513701199412040737</v>
      </c>
      <c r="D26368" t="s">
        <v>1</v>
      </c>
      <c r="E26368" t="s">
        <v>1</v>
      </c>
      <c r="F26368" t="s">
        <v>0</v>
      </c>
      <c r="G26368" t="str">
        <f>"2018-10-05 15:12:59"</f>
        <v>2018-10-05 15:12:59</v>
      </c>
    </row>
    <row r="26369" spans="1:7" x14ac:dyDescent="0.2">
      <c r="A26369" t="s">
        <v>1</v>
      </c>
      <c r="B26369" t="str">
        <f>"13217825678"</f>
        <v>13217825678</v>
      </c>
      <c r="C26369" t="s">
        <v>1</v>
      </c>
      <c r="D26369" t="s">
        <v>1</v>
      </c>
      <c r="E26369" t="s">
        <v>1</v>
      </c>
      <c r="F26369" t="s">
        <v>0</v>
      </c>
      <c r="G26369" t="str">
        <f>"2018-10-05 15:01:37"</f>
        <v>2018-10-05 15:01:37</v>
      </c>
    </row>
    <row r="26370" spans="1:7" x14ac:dyDescent="0.2">
      <c r="A26370" t="s">
        <v>24267</v>
      </c>
      <c r="B26370" t="str">
        <f>"15684588080"</f>
        <v>15684588080</v>
      </c>
      <c r="C26370" t="str">
        <f>"371002198802286017"</f>
        <v>371002198802286017</v>
      </c>
      <c r="D26370" t="s">
        <v>24268</v>
      </c>
      <c r="E26370" t="s">
        <v>24269</v>
      </c>
      <c r="F26370" t="s">
        <v>0</v>
      </c>
      <c r="G26370" t="str">
        <f>"2018-10-19 12:25:08"</f>
        <v>2018-10-19 12:25:08</v>
      </c>
    </row>
    <row r="26371" spans="1:7" x14ac:dyDescent="0.2">
      <c r="A26371" t="s">
        <v>24270</v>
      </c>
      <c r="B26371" t="str">
        <f>"15297813925"</f>
        <v>15297813925</v>
      </c>
      <c r="C26371" t="str">
        <f>"360782199706269972"</f>
        <v>360782199706269972</v>
      </c>
      <c r="D26371" t="s">
        <v>1</v>
      </c>
      <c r="E26371" t="s">
        <v>1</v>
      </c>
      <c r="F26371" t="s">
        <v>0</v>
      </c>
      <c r="G26371" t="str">
        <f>"2018-10-05 15:01:49"</f>
        <v>2018-10-05 15:01:49</v>
      </c>
    </row>
    <row r="26372" spans="1:7" x14ac:dyDescent="0.2">
      <c r="A26372" t="s">
        <v>1</v>
      </c>
      <c r="B26372" t="str">
        <f>"18435728518"</f>
        <v>18435728518</v>
      </c>
      <c r="C26372" t="s">
        <v>1</v>
      </c>
      <c r="D26372" t="s">
        <v>1</v>
      </c>
      <c r="E26372" t="s">
        <v>1</v>
      </c>
      <c r="F26372" t="s">
        <v>0</v>
      </c>
      <c r="G26372" t="str">
        <f>"2018-10-05 14:59:50"</f>
        <v>2018-10-05 14:59:50</v>
      </c>
    </row>
    <row r="26373" spans="1:7" x14ac:dyDescent="0.2">
      <c r="A26373" t="s">
        <v>1</v>
      </c>
      <c r="B26373" t="str">
        <f>"13014834602"</f>
        <v>13014834602</v>
      </c>
      <c r="C26373" t="s">
        <v>1</v>
      </c>
      <c r="D26373" t="s">
        <v>1</v>
      </c>
      <c r="E26373" t="s">
        <v>1</v>
      </c>
      <c r="F26373" t="s">
        <v>0</v>
      </c>
      <c r="G26373" t="str">
        <f>"2018-10-05 14:58:19"</f>
        <v>2018-10-05 14:58:19</v>
      </c>
    </row>
    <row r="26374" spans="1:7" x14ac:dyDescent="0.2">
      <c r="A26374" t="s">
        <v>24271</v>
      </c>
      <c r="B26374" t="str">
        <f>"13069719994"</f>
        <v>13069719994</v>
      </c>
      <c r="C26374" t="str">
        <f>"232101198607220011"</f>
        <v>232101198607220011</v>
      </c>
      <c r="D26374" t="s">
        <v>1</v>
      </c>
      <c r="E26374" t="s">
        <v>1</v>
      </c>
      <c r="F26374" t="s">
        <v>0</v>
      </c>
      <c r="G26374" t="str">
        <f>"2018-10-05 15:00:00"</f>
        <v>2018-10-05 15:00:00</v>
      </c>
    </row>
    <row r="26375" spans="1:7" x14ac:dyDescent="0.2">
      <c r="A26375" t="s">
        <v>24272</v>
      </c>
      <c r="B26375" t="str">
        <f>"13824279477"</f>
        <v>13824279477</v>
      </c>
      <c r="C26375" t="str">
        <f>"440981198610084420"</f>
        <v>440981198610084420</v>
      </c>
      <c r="D26375" t="s">
        <v>1</v>
      </c>
      <c r="E26375" t="s">
        <v>1</v>
      </c>
      <c r="F26375" t="s">
        <v>0</v>
      </c>
      <c r="G26375" t="str">
        <f>"2018-10-05 14:58:56"</f>
        <v>2018-10-05 14:58:56</v>
      </c>
    </row>
    <row r="26376" spans="1:7" x14ac:dyDescent="0.2">
      <c r="A26376" t="s">
        <v>1722</v>
      </c>
      <c r="B26376" t="str">
        <f>"15179197904"</f>
        <v>15179197904</v>
      </c>
      <c r="C26376" t="str">
        <f>"36010419930519041X"</f>
        <v>36010419930519041X</v>
      </c>
      <c r="D26376" t="s">
        <v>1</v>
      </c>
      <c r="E26376" t="s">
        <v>1</v>
      </c>
      <c r="F26376" t="s">
        <v>0</v>
      </c>
      <c r="G26376" t="str">
        <f>"2018-10-05 14:58:16"</f>
        <v>2018-10-05 14:58:16</v>
      </c>
    </row>
    <row r="26377" spans="1:7" x14ac:dyDescent="0.2">
      <c r="A26377" t="s">
        <v>24273</v>
      </c>
      <c r="B26377" t="str">
        <f>"13686888792"</f>
        <v>13686888792</v>
      </c>
      <c r="C26377" t="str">
        <f>"320682198504066432"</f>
        <v>320682198504066432</v>
      </c>
      <c r="D26377" t="s">
        <v>1</v>
      </c>
      <c r="E26377" t="s">
        <v>1</v>
      </c>
      <c r="F26377" t="s">
        <v>0</v>
      </c>
      <c r="G26377" t="str">
        <f>"2018-10-05 15:19:17"</f>
        <v>2018-10-05 15:19:17</v>
      </c>
    </row>
    <row r="26378" spans="1:7" x14ac:dyDescent="0.2">
      <c r="A26378" t="s">
        <v>1</v>
      </c>
      <c r="B26378" t="str">
        <f>"17680647652"</f>
        <v>17680647652</v>
      </c>
      <c r="C26378" t="s">
        <v>1</v>
      </c>
      <c r="D26378" t="s">
        <v>1</v>
      </c>
      <c r="E26378" t="s">
        <v>1</v>
      </c>
      <c r="F26378" t="s">
        <v>0</v>
      </c>
      <c r="G26378" t="str">
        <f>"2018-10-05 15:03:24"</f>
        <v>2018-10-05 15:03:24</v>
      </c>
    </row>
    <row r="26379" spans="1:7" x14ac:dyDescent="0.2">
      <c r="A26379" t="s">
        <v>24274</v>
      </c>
      <c r="B26379" t="str">
        <f>"13751172240"</f>
        <v>13751172240</v>
      </c>
      <c r="C26379" t="str">
        <f>"411323199202285315"</f>
        <v>411323199202285315</v>
      </c>
      <c r="D26379" t="s">
        <v>1</v>
      </c>
      <c r="E26379" t="s">
        <v>1</v>
      </c>
      <c r="F26379" t="s">
        <v>0</v>
      </c>
      <c r="G26379" t="str">
        <f>"2018-10-05 15:02:04"</f>
        <v>2018-10-05 15:02:04</v>
      </c>
    </row>
    <row r="26380" spans="1:7" x14ac:dyDescent="0.2">
      <c r="A26380" t="s">
        <v>24275</v>
      </c>
      <c r="B26380" t="str">
        <f>"15057918914"</f>
        <v>15057918914</v>
      </c>
      <c r="C26380" t="str">
        <f>"412724197402221957"</f>
        <v>412724197402221957</v>
      </c>
      <c r="D26380" t="s">
        <v>24276</v>
      </c>
      <c r="E26380" t="s">
        <v>24277</v>
      </c>
      <c r="F26380" t="s">
        <v>0</v>
      </c>
      <c r="G26380" t="str">
        <f>"2018-10-05 14:58:10"</f>
        <v>2018-10-05 14:58:10</v>
      </c>
    </row>
    <row r="26381" spans="1:7" x14ac:dyDescent="0.2">
      <c r="A26381" t="s">
        <v>24278</v>
      </c>
      <c r="B26381" t="str">
        <f>"15025796669"</f>
        <v>15025796669</v>
      </c>
      <c r="C26381" t="str">
        <f>"500239199312312579"</f>
        <v>500239199312312579</v>
      </c>
      <c r="D26381" t="s">
        <v>24279</v>
      </c>
      <c r="E26381" t="s">
        <v>24280</v>
      </c>
      <c r="F26381" t="s">
        <v>0</v>
      </c>
      <c r="G26381" t="str">
        <f>"2018-10-05 14:57:37"</f>
        <v>2018-10-05 14:57:37</v>
      </c>
    </row>
    <row r="26382" spans="1:7" x14ac:dyDescent="0.2">
      <c r="A26382" t="s">
        <v>24281</v>
      </c>
      <c r="B26382" t="str">
        <f>"18982699541"</f>
        <v>18982699541</v>
      </c>
      <c r="C26382" t="str">
        <f>"511602199306214296"</f>
        <v>511602199306214296</v>
      </c>
      <c r="D26382" t="s">
        <v>24282</v>
      </c>
      <c r="E26382" t="s">
        <v>24283</v>
      </c>
      <c r="F26382" t="s">
        <v>0</v>
      </c>
      <c r="G26382" t="str">
        <f>"2018-10-30 12:52:27"</f>
        <v>2018-10-30 12:52:27</v>
      </c>
    </row>
    <row r="26383" spans="1:7" x14ac:dyDescent="0.2">
      <c r="A26383" t="s">
        <v>24284</v>
      </c>
      <c r="B26383" t="str">
        <f>"13770966388"</f>
        <v>13770966388</v>
      </c>
      <c r="C26383" t="str">
        <f>"330682197210081212"</f>
        <v>330682197210081212</v>
      </c>
      <c r="D26383" t="s">
        <v>1</v>
      </c>
      <c r="E26383" t="s">
        <v>1</v>
      </c>
      <c r="F26383" t="s">
        <v>0</v>
      </c>
      <c r="G26383" t="str">
        <f>"2018-10-05 14:55:58"</f>
        <v>2018-10-05 14:55:58</v>
      </c>
    </row>
    <row r="26384" spans="1:7" x14ac:dyDescent="0.2">
      <c r="A26384" t="s">
        <v>24285</v>
      </c>
      <c r="B26384" t="str">
        <f>"15350790255"</f>
        <v>15350790255</v>
      </c>
      <c r="C26384" t="str">
        <f>"130983198707270019"</f>
        <v>130983198707270019</v>
      </c>
      <c r="D26384" t="s">
        <v>1</v>
      </c>
      <c r="E26384" t="s">
        <v>1</v>
      </c>
      <c r="F26384" t="s">
        <v>0</v>
      </c>
      <c r="G26384" t="str">
        <f>"2018-10-05 14:59:09"</f>
        <v>2018-10-05 14:59:09</v>
      </c>
    </row>
    <row r="26385" spans="1:7" x14ac:dyDescent="0.2">
      <c r="A26385" t="s">
        <v>24286</v>
      </c>
      <c r="B26385" t="str">
        <f>"15891394581"</f>
        <v>15891394581</v>
      </c>
      <c r="C26385" t="str">
        <f>"420322197510214530"</f>
        <v>420322197510214530</v>
      </c>
      <c r="D26385" t="s">
        <v>1</v>
      </c>
      <c r="E26385" t="s">
        <v>1</v>
      </c>
      <c r="F26385" t="s">
        <v>0</v>
      </c>
      <c r="G26385" t="str">
        <f>"2018-10-05 15:15:14"</f>
        <v>2018-10-05 15:15:14</v>
      </c>
    </row>
    <row r="26386" spans="1:7" x14ac:dyDescent="0.2">
      <c r="A26386" t="s">
        <v>1</v>
      </c>
      <c r="B26386" t="str">
        <f>"13602024815"</f>
        <v>13602024815</v>
      </c>
      <c r="C26386" t="s">
        <v>1</v>
      </c>
      <c r="D26386" t="s">
        <v>1</v>
      </c>
      <c r="E26386" t="s">
        <v>1</v>
      </c>
      <c r="F26386" t="s">
        <v>0</v>
      </c>
      <c r="G26386" t="str">
        <f>"2018-10-05 14:53:36"</f>
        <v>2018-10-05 14:53:36</v>
      </c>
    </row>
    <row r="26387" spans="1:7" x14ac:dyDescent="0.2">
      <c r="A26387" t="s">
        <v>377</v>
      </c>
      <c r="B26387" t="str">
        <f>"13108612821"</f>
        <v>13108612821</v>
      </c>
      <c r="C26387" t="str">
        <f>"532524198802041534"</f>
        <v>532524198802041534</v>
      </c>
      <c r="D26387" t="s">
        <v>1</v>
      </c>
      <c r="E26387" t="s">
        <v>1</v>
      </c>
      <c r="F26387" t="s">
        <v>0</v>
      </c>
      <c r="G26387" t="str">
        <f>"2018-10-05 14:55:00"</f>
        <v>2018-10-05 14:55:00</v>
      </c>
    </row>
    <row r="26388" spans="1:7" x14ac:dyDescent="0.2">
      <c r="A26388" t="s">
        <v>1</v>
      </c>
      <c r="B26388" t="str">
        <f>"13347192849"</f>
        <v>13347192849</v>
      </c>
      <c r="C26388" t="s">
        <v>1</v>
      </c>
      <c r="D26388" t="s">
        <v>1</v>
      </c>
      <c r="E26388" t="s">
        <v>1</v>
      </c>
      <c r="F26388" t="s">
        <v>0</v>
      </c>
      <c r="G26388" t="str">
        <f>"2018-10-05 14:52:25"</f>
        <v>2018-10-05 14:52:25</v>
      </c>
    </row>
    <row r="26389" spans="1:7" x14ac:dyDescent="0.2">
      <c r="A26389" t="s">
        <v>24287</v>
      </c>
      <c r="B26389" t="str">
        <f>"13986209788"</f>
        <v>13986209788</v>
      </c>
      <c r="C26389" t="str">
        <f>"420103198510033726"</f>
        <v>420103198510033726</v>
      </c>
      <c r="D26389" t="s">
        <v>1</v>
      </c>
      <c r="E26389" t="s">
        <v>1</v>
      </c>
      <c r="F26389" t="s">
        <v>0</v>
      </c>
      <c r="G26389" t="str">
        <f>"2018-10-21 11:36:50"</f>
        <v>2018-10-21 11:36:50</v>
      </c>
    </row>
    <row r="26390" spans="1:7" x14ac:dyDescent="0.2">
      <c r="A26390" t="s">
        <v>1</v>
      </c>
      <c r="B26390" t="str">
        <f>"15008473524"</f>
        <v>15008473524</v>
      </c>
      <c r="C26390" t="s">
        <v>1</v>
      </c>
      <c r="D26390" t="s">
        <v>1</v>
      </c>
      <c r="E26390" t="s">
        <v>1</v>
      </c>
      <c r="F26390" t="s">
        <v>0</v>
      </c>
      <c r="G26390" t="str">
        <f>"2018-10-05 14:53:45"</f>
        <v>2018-10-05 14:53:45</v>
      </c>
    </row>
    <row r="26391" spans="1:7" x14ac:dyDescent="0.2">
      <c r="A26391" t="s">
        <v>1</v>
      </c>
      <c r="B26391" t="str">
        <f>"13617505079"</f>
        <v>13617505079</v>
      </c>
      <c r="C26391" t="s">
        <v>1</v>
      </c>
      <c r="D26391" t="s">
        <v>1</v>
      </c>
      <c r="E26391" t="s">
        <v>1</v>
      </c>
      <c r="F26391" t="s">
        <v>0</v>
      </c>
      <c r="G26391" t="str">
        <f>"2018-10-05 14:51:31"</f>
        <v>2018-10-05 14:51:31</v>
      </c>
    </row>
    <row r="26392" spans="1:7" x14ac:dyDescent="0.2">
      <c r="A26392" t="s">
        <v>24288</v>
      </c>
      <c r="B26392" t="str">
        <f>"18574438003"</f>
        <v>18574438003</v>
      </c>
      <c r="C26392" t="str">
        <f>"43052319971110861X"</f>
        <v>43052319971110861X</v>
      </c>
      <c r="D26392" t="s">
        <v>1</v>
      </c>
      <c r="E26392" t="s">
        <v>1</v>
      </c>
      <c r="F26392" t="s">
        <v>0</v>
      </c>
      <c r="G26392" t="str">
        <f>"2018-10-06 10:20:49"</f>
        <v>2018-10-06 10:20:49</v>
      </c>
    </row>
    <row r="26393" spans="1:7" x14ac:dyDescent="0.2">
      <c r="A26393" t="s">
        <v>24289</v>
      </c>
      <c r="B26393" t="str">
        <f>"15103140453"</f>
        <v>15103140453</v>
      </c>
      <c r="C26393" t="str">
        <f>"130821199604153776"</f>
        <v>130821199604153776</v>
      </c>
      <c r="D26393" t="s">
        <v>1</v>
      </c>
      <c r="E26393" t="s">
        <v>1</v>
      </c>
      <c r="F26393" t="s">
        <v>0</v>
      </c>
      <c r="G26393" t="str">
        <f>"2018-10-10 14:18:47"</f>
        <v>2018-10-10 14:18:47</v>
      </c>
    </row>
    <row r="26394" spans="1:7" x14ac:dyDescent="0.2">
      <c r="A26394" t="s">
        <v>24290</v>
      </c>
      <c r="B26394" t="str">
        <f>"18351651682"</f>
        <v>18351651682</v>
      </c>
      <c r="C26394" t="str">
        <f>"342623199109046351"</f>
        <v>342623199109046351</v>
      </c>
      <c r="D26394" t="s">
        <v>24291</v>
      </c>
      <c r="E26394" t="s">
        <v>24292</v>
      </c>
      <c r="F26394" t="s">
        <v>0</v>
      </c>
      <c r="G26394" t="str">
        <f>"2018-10-05 14:52:53"</f>
        <v>2018-10-05 14:52:53</v>
      </c>
    </row>
    <row r="26395" spans="1:7" x14ac:dyDescent="0.2">
      <c r="A26395" t="s">
        <v>24293</v>
      </c>
      <c r="B26395" t="str">
        <f>"15641347834"</f>
        <v>15641347834</v>
      </c>
      <c r="C26395" t="str">
        <f>"211422199312102315"</f>
        <v>211422199312102315</v>
      </c>
      <c r="D26395" t="s">
        <v>1</v>
      </c>
      <c r="E26395" t="s">
        <v>1</v>
      </c>
      <c r="F26395" t="s">
        <v>0</v>
      </c>
      <c r="G26395" t="str">
        <f>"2018-10-05 17:48:09"</f>
        <v>2018-10-05 17:48:09</v>
      </c>
    </row>
    <row r="26396" spans="1:7" x14ac:dyDescent="0.2">
      <c r="A26396" t="s">
        <v>1</v>
      </c>
      <c r="B26396" t="str">
        <f>"13723487939"</f>
        <v>13723487939</v>
      </c>
      <c r="C26396" t="s">
        <v>1</v>
      </c>
      <c r="D26396" t="s">
        <v>1</v>
      </c>
      <c r="E26396" t="s">
        <v>1</v>
      </c>
      <c r="F26396" t="s">
        <v>0</v>
      </c>
      <c r="G26396" t="str">
        <f>"2018-10-05 14:49:27"</f>
        <v>2018-10-05 14:49:27</v>
      </c>
    </row>
    <row r="26397" spans="1:7" x14ac:dyDescent="0.2">
      <c r="A26397" t="s">
        <v>24294</v>
      </c>
      <c r="B26397" t="str">
        <f>"18513054186"</f>
        <v>18513054186</v>
      </c>
      <c r="C26397" t="str">
        <f>"110221198611037035"</f>
        <v>110221198611037035</v>
      </c>
      <c r="D26397" t="s">
        <v>1</v>
      </c>
      <c r="E26397" t="s">
        <v>1</v>
      </c>
      <c r="F26397" t="s">
        <v>0</v>
      </c>
      <c r="G26397" t="str">
        <f>"2018-10-05 15:25:51"</f>
        <v>2018-10-05 15:25:51</v>
      </c>
    </row>
    <row r="26398" spans="1:7" x14ac:dyDescent="0.2">
      <c r="A26398" t="s">
        <v>24295</v>
      </c>
      <c r="B26398" t="str">
        <f>"13959668114"</f>
        <v>13959668114</v>
      </c>
      <c r="C26398" t="str">
        <f>"350622198701304515"</f>
        <v>350622198701304515</v>
      </c>
      <c r="D26398" t="s">
        <v>1</v>
      </c>
      <c r="E26398" t="s">
        <v>1</v>
      </c>
      <c r="F26398" t="s">
        <v>0</v>
      </c>
      <c r="G26398" t="str">
        <f>"2018-10-05 14:50:17"</f>
        <v>2018-10-05 14:50:17</v>
      </c>
    </row>
    <row r="26399" spans="1:7" x14ac:dyDescent="0.2">
      <c r="A26399" t="s">
        <v>1</v>
      </c>
      <c r="B26399" t="str">
        <f>"17673095524"</f>
        <v>17673095524</v>
      </c>
      <c r="C26399" t="s">
        <v>1</v>
      </c>
      <c r="D26399" t="s">
        <v>1</v>
      </c>
      <c r="E26399" t="s">
        <v>1</v>
      </c>
      <c r="F26399" t="s">
        <v>0</v>
      </c>
      <c r="G26399" t="str">
        <f>"2018-10-05 22:24:27"</f>
        <v>2018-10-05 22:24:27</v>
      </c>
    </row>
    <row r="26400" spans="1:7" x14ac:dyDescent="0.2">
      <c r="A26400" t="s">
        <v>1</v>
      </c>
      <c r="B26400" t="str">
        <f>"13721972820"</f>
        <v>13721972820</v>
      </c>
      <c r="C26400" t="s">
        <v>1</v>
      </c>
      <c r="D26400" t="s">
        <v>1</v>
      </c>
      <c r="E26400" t="s">
        <v>1</v>
      </c>
      <c r="F26400" t="s">
        <v>0</v>
      </c>
      <c r="G26400" t="str">
        <f>"2018-10-05 14:50:55"</f>
        <v>2018-10-05 14:50:55</v>
      </c>
    </row>
    <row r="26401" spans="1:7" x14ac:dyDescent="0.2">
      <c r="A26401" t="s">
        <v>1</v>
      </c>
      <c r="B26401" t="str">
        <f>"15758560526"</f>
        <v>15758560526</v>
      </c>
      <c r="C26401" t="s">
        <v>1</v>
      </c>
      <c r="D26401" t="s">
        <v>1</v>
      </c>
      <c r="E26401" t="s">
        <v>1</v>
      </c>
      <c r="F26401" t="s">
        <v>0</v>
      </c>
      <c r="G26401" t="str">
        <f>"2018-10-05 14:48:19"</f>
        <v>2018-10-05 14:48:19</v>
      </c>
    </row>
    <row r="26402" spans="1:7" x14ac:dyDescent="0.2">
      <c r="A26402" t="s">
        <v>1</v>
      </c>
      <c r="B26402" t="str">
        <f>"13536259710"</f>
        <v>13536259710</v>
      </c>
      <c r="C26402" t="s">
        <v>1</v>
      </c>
      <c r="D26402" t="s">
        <v>1</v>
      </c>
      <c r="E26402" t="s">
        <v>1</v>
      </c>
      <c r="F26402" t="s">
        <v>0</v>
      </c>
      <c r="G26402" t="str">
        <f>"2018-10-05 14:47:53"</f>
        <v>2018-10-05 14:47:53</v>
      </c>
    </row>
    <row r="26403" spans="1:7" x14ac:dyDescent="0.2">
      <c r="A26403" t="s">
        <v>24296</v>
      </c>
      <c r="B26403" t="str">
        <f>"15665033352"</f>
        <v>15665033352</v>
      </c>
      <c r="C26403" t="str">
        <f>"232324197912030952"</f>
        <v>232324197912030952</v>
      </c>
      <c r="D26403" t="s">
        <v>1</v>
      </c>
      <c r="E26403" t="s">
        <v>1</v>
      </c>
      <c r="F26403" t="s">
        <v>0</v>
      </c>
      <c r="G26403" t="str">
        <f>"2018-10-05 14:48:36"</f>
        <v>2018-10-05 14:48:36</v>
      </c>
    </row>
    <row r="26404" spans="1:7" x14ac:dyDescent="0.2">
      <c r="A26404" t="s">
        <v>24297</v>
      </c>
      <c r="B26404" t="str">
        <f>"15183645616"</f>
        <v>15183645616</v>
      </c>
      <c r="C26404" t="str">
        <f>"513424198507161615"</f>
        <v>513424198507161615</v>
      </c>
      <c r="D26404" t="s">
        <v>1</v>
      </c>
      <c r="E26404" t="s">
        <v>1</v>
      </c>
      <c r="F26404" t="s">
        <v>0</v>
      </c>
      <c r="G26404" t="str">
        <f>"2018-10-05 14:48:36"</f>
        <v>2018-10-05 14:48:36</v>
      </c>
    </row>
    <row r="26405" spans="1:7" x14ac:dyDescent="0.2">
      <c r="A26405" t="s">
        <v>24298</v>
      </c>
      <c r="B26405" t="str">
        <f>"15837374482"</f>
        <v>15837374482</v>
      </c>
      <c r="C26405" t="str">
        <f>"410782199006250028"</f>
        <v>410782199006250028</v>
      </c>
      <c r="D26405" t="s">
        <v>1</v>
      </c>
      <c r="E26405" t="s">
        <v>1</v>
      </c>
      <c r="F26405" t="s">
        <v>0</v>
      </c>
      <c r="G26405" t="str">
        <f>"2018-10-05 14:54:05"</f>
        <v>2018-10-05 14:54:05</v>
      </c>
    </row>
    <row r="26406" spans="1:7" x14ac:dyDescent="0.2">
      <c r="A26406" t="s">
        <v>24299</v>
      </c>
      <c r="B26406" t="str">
        <f>"13868701004"</f>
        <v>13868701004</v>
      </c>
      <c r="C26406" t="str">
        <f>"432902198010133633"</f>
        <v>432902198010133633</v>
      </c>
      <c r="D26406" t="s">
        <v>1</v>
      </c>
      <c r="E26406" t="s">
        <v>1</v>
      </c>
      <c r="F26406" t="s">
        <v>0</v>
      </c>
      <c r="G26406" t="str">
        <f>"2018-10-05 14:48:42"</f>
        <v>2018-10-05 14:48:42</v>
      </c>
    </row>
    <row r="26407" spans="1:7" x14ac:dyDescent="0.2">
      <c r="A26407" t="s">
        <v>1</v>
      </c>
      <c r="B26407" t="str">
        <f>"18946891005"</f>
        <v>18946891005</v>
      </c>
      <c r="C26407" t="s">
        <v>1</v>
      </c>
      <c r="D26407" t="s">
        <v>1</v>
      </c>
      <c r="E26407" t="s">
        <v>1</v>
      </c>
      <c r="F26407" t="s">
        <v>0</v>
      </c>
      <c r="G26407" t="str">
        <f>"2018-10-05 14:45:38"</f>
        <v>2018-10-05 14:45:38</v>
      </c>
    </row>
    <row r="26408" spans="1:7" x14ac:dyDescent="0.2">
      <c r="A26408" t="s">
        <v>1</v>
      </c>
      <c r="B26408" t="str">
        <f>"15659308855"</f>
        <v>15659308855</v>
      </c>
      <c r="C26408" t="s">
        <v>1</v>
      </c>
      <c r="D26408" t="s">
        <v>1</v>
      </c>
      <c r="E26408" t="s">
        <v>1</v>
      </c>
      <c r="F26408" t="s">
        <v>0</v>
      </c>
      <c r="G26408" t="str">
        <f>"2018-10-05 15:42:42"</f>
        <v>2018-10-05 15:42:42</v>
      </c>
    </row>
    <row r="26409" spans="1:7" x14ac:dyDescent="0.2">
      <c r="A26409" t="s">
        <v>24300</v>
      </c>
      <c r="B26409" t="str">
        <f>"13735522324"</f>
        <v>13735522324</v>
      </c>
      <c r="C26409" t="str">
        <f>"150104199104081138"</f>
        <v>150104199104081138</v>
      </c>
      <c r="D26409" t="s">
        <v>1</v>
      </c>
      <c r="E26409" t="s">
        <v>1</v>
      </c>
      <c r="F26409" t="s">
        <v>0</v>
      </c>
      <c r="G26409" t="str">
        <f>"2018-10-05 14:48:27"</f>
        <v>2018-10-05 14:48:27</v>
      </c>
    </row>
    <row r="26410" spans="1:7" x14ac:dyDescent="0.2">
      <c r="A26410" t="s">
        <v>24301</v>
      </c>
      <c r="B26410" t="str">
        <f>"17502999336"</f>
        <v>17502999336</v>
      </c>
      <c r="C26410" t="str">
        <f>"610426199107284817"</f>
        <v>610426199107284817</v>
      </c>
      <c r="D26410" t="s">
        <v>1</v>
      </c>
      <c r="E26410" t="s">
        <v>1</v>
      </c>
      <c r="F26410" t="s">
        <v>0</v>
      </c>
      <c r="G26410" t="str">
        <f>"2018-10-05 14:45:27"</f>
        <v>2018-10-05 14:45:27</v>
      </c>
    </row>
    <row r="26411" spans="1:7" x14ac:dyDescent="0.2">
      <c r="A26411" t="s">
        <v>1741</v>
      </c>
      <c r="B26411" t="str">
        <f>"13397348889"</f>
        <v>13397348889</v>
      </c>
      <c r="C26411" t="str">
        <f>"430422198106085417"</f>
        <v>430422198106085417</v>
      </c>
      <c r="D26411" t="s">
        <v>24302</v>
      </c>
      <c r="E26411" t="s">
        <v>24303</v>
      </c>
      <c r="F26411" t="s">
        <v>0</v>
      </c>
      <c r="G26411" t="str">
        <f>"2018-10-05 14:45:11"</f>
        <v>2018-10-05 14:45:11</v>
      </c>
    </row>
    <row r="26412" spans="1:7" x14ac:dyDescent="0.2">
      <c r="A26412" t="s">
        <v>24304</v>
      </c>
      <c r="B26412" t="str">
        <f>"13480258962"</f>
        <v>13480258962</v>
      </c>
      <c r="C26412" t="str">
        <f>"441823198710132110"</f>
        <v>441823198710132110</v>
      </c>
      <c r="D26412" t="s">
        <v>1</v>
      </c>
      <c r="E26412" t="s">
        <v>1</v>
      </c>
      <c r="F26412" t="s">
        <v>0</v>
      </c>
      <c r="G26412" t="str">
        <f>"2018-10-05 14:44:00"</f>
        <v>2018-10-05 14:44:00</v>
      </c>
    </row>
    <row r="26413" spans="1:7" x14ac:dyDescent="0.2">
      <c r="A26413" t="s">
        <v>24305</v>
      </c>
      <c r="B26413" t="str">
        <f>"13993577610"</f>
        <v>13993577610</v>
      </c>
      <c r="C26413" t="str">
        <f>"620302198007270814"</f>
        <v>620302198007270814</v>
      </c>
      <c r="D26413" t="s">
        <v>1</v>
      </c>
      <c r="E26413" t="s">
        <v>1</v>
      </c>
      <c r="F26413" t="s">
        <v>0</v>
      </c>
      <c r="G26413" t="str">
        <f>"2018-10-05 15:52:59"</f>
        <v>2018-10-05 15:52:59</v>
      </c>
    </row>
    <row r="26414" spans="1:7" x14ac:dyDescent="0.2">
      <c r="A26414" t="s">
        <v>24306</v>
      </c>
      <c r="B26414" t="str">
        <f>"18935306839"</f>
        <v>18935306839</v>
      </c>
      <c r="C26414" t="str">
        <f>"14032119810329153X"</f>
        <v>14032119810329153X</v>
      </c>
      <c r="D26414" t="s">
        <v>1</v>
      </c>
      <c r="E26414" t="s">
        <v>1</v>
      </c>
      <c r="F26414" t="s">
        <v>0</v>
      </c>
      <c r="G26414" t="str">
        <f>"2018-10-20 13:30:47"</f>
        <v>2018-10-20 13:30:47</v>
      </c>
    </row>
    <row r="26415" spans="1:7" x14ac:dyDescent="0.2">
      <c r="A26415" t="s">
        <v>1</v>
      </c>
      <c r="B26415" t="str">
        <f>"15685795637"</f>
        <v>15685795637</v>
      </c>
      <c r="C26415" t="s">
        <v>1</v>
      </c>
      <c r="D26415" t="s">
        <v>1</v>
      </c>
      <c r="E26415" t="s">
        <v>1</v>
      </c>
      <c r="F26415" t="s">
        <v>0</v>
      </c>
      <c r="G26415" t="str">
        <f>"2018-10-05 14:43:33"</f>
        <v>2018-10-05 14:43:33</v>
      </c>
    </row>
    <row r="26416" spans="1:7" x14ac:dyDescent="0.2">
      <c r="A26416" t="s">
        <v>24307</v>
      </c>
      <c r="B26416" t="str">
        <f>"13321336785"</f>
        <v>13321336785</v>
      </c>
      <c r="C26416" t="str">
        <f>"620102198901090358"</f>
        <v>620102198901090358</v>
      </c>
      <c r="D26416" t="s">
        <v>1</v>
      </c>
      <c r="E26416" t="s">
        <v>1</v>
      </c>
      <c r="F26416" t="s">
        <v>0</v>
      </c>
      <c r="G26416" t="str">
        <f>"2018-10-05 14:44:47"</f>
        <v>2018-10-05 14:44:47</v>
      </c>
    </row>
    <row r="26417" spans="1:7" x14ac:dyDescent="0.2">
      <c r="A26417" t="s">
        <v>24308</v>
      </c>
      <c r="B26417" t="str">
        <f>"17737258023"</f>
        <v>17737258023</v>
      </c>
      <c r="C26417" t="str">
        <f>"410526199509094520"</f>
        <v>410526199509094520</v>
      </c>
      <c r="D26417" t="s">
        <v>1</v>
      </c>
      <c r="E26417" t="s">
        <v>1</v>
      </c>
      <c r="F26417" t="s">
        <v>0</v>
      </c>
      <c r="G26417" t="str">
        <f>"2018-10-21 12:18:33"</f>
        <v>2018-10-21 12:18:33</v>
      </c>
    </row>
    <row r="26418" spans="1:7" x14ac:dyDescent="0.2">
      <c r="A26418" t="s">
        <v>24309</v>
      </c>
      <c r="B26418" t="str">
        <f>"18149546192"</f>
        <v>18149546192</v>
      </c>
      <c r="C26418" t="str">
        <f>"350624199404020011"</f>
        <v>350624199404020011</v>
      </c>
      <c r="D26418" t="s">
        <v>1</v>
      </c>
      <c r="E26418" t="s">
        <v>1</v>
      </c>
      <c r="F26418" t="s">
        <v>0</v>
      </c>
      <c r="G26418" t="str">
        <f>"2018-10-05 14:51:49"</f>
        <v>2018-10-05 14:51:49</v>
      </c>
    </row>
    <row r="26419" spans="1:7" x14ac:dyDescent="0.2">
      <c r="A26419" t="s">
        <v>945</v>
      </c>
      <c r="B26419" t="str">
        <f>"18166177972"</f>
        <v>18166177972</v>
      </c>
      <c r="C26419" t="str">
        <f>"431222198806041415"</f>
        <v>431222198806041415</v>
      </c>
      <c r="D26419" t="s">
        <v>24310</v>
      </c>
      <c r="E26419" t="s">
        <v>24311</v>
      </c>
      <c r="F26419" t="s">
        <v>0</v>
      </c>
      <c r="G26419" t="str">
        <f>"2018-10-05 14:43:04"</f>
        <v>2018-10-05 14:43:04</v>
      </c>
    </row>
    <row r="26420" spans="1:7" x14ac:dyDescent="0.2">
      <c r="A26420" t="s">
        <v>1</v>
      </c>
      <c r="B26420" t="str">
        <f>"17628352815"</f>
        <v>17628352815</v>
      </c>
      <c r="C26420" t="s">
        <v>1</v>
      </c>
      <c r="D26420" t="s">
        <v>1</v>
      </c>
      <c r="E26420" t="s">
        <v>1</v>
      </c>
      <c r="F26420" t="s">
        <v>0</v>
      </c>
      <c r="G26420" t="str">
        <f>"2018-10-05 14:41:43"</f>
        <v>2018-10-05 14:41:43</v>
      </c>
    </row>
    <row r="26421" spans="1:7" x14ac:dyDescent="0.2">
      <c r="A26421" t="s">
        <v>24312</v>
      </c>
      <c r="B26421" t="str">
        <f>"13642526267"</f>
        <v>13642526267</v>
      </c>
      <c r="C26421" t="str">
        <f>"441881198609257422"</f>
        <v>441881198609257422</v>
      </c>
      <c r="D26421" t="s">
        <v>1</v>
      </c>
      <c r="E26421" t="s">
        <v>1</v>
      </c>
      <c r="F26421" t="s">
        <v>0</v>
      </c>
      <c r="G26421" t="str">
        <f>"2018-10-05 14:42:47"</f>
        <v>2018-10-05 14:42:47</v>
      </c>
    </row>
    <row r="26422" spans="1:7" x14ac:dyDescent="0.2">
      <c r="A26422" t="s">
        <v>24313</v>
      </c>
      <c r="B26422" t="str">
        <f>"17586459803"</f>
        <v>17586459803</v>
      </c>
      <c r="C26422" t="str">
        <f>"520221199511044511"</f>
        <v>520221199511044511</v>
      </c>
      <c r="D26422" t="s">
        <v>1</v>
      </c>
      <c r="E26422" t="s">
        <v>1</v>
      </c>
      <c r="F26422" t="s">
        <v>0</v>
      </c>
      <c r="G26422" t="str">
        <f>"2018-10-05 14:45:56"</f>
        <v>2018-10-05 14:45:56</v>
      </c>
    </row>
    <row r="26423" spans="1:7" x14ac:dyDescent="0.2">
      <c r="A26423" t="s">
        <v>24314</v>
      </c>
      <c r="B26423" t="str">
        <f>"15797810302"</f>
        <v>15797810302</v>
      </c>
      <c r="C26423" t="str">
        <f>"362502199710220812"</f>
        <v>362502199710220812</v>
      </c>
      <c r="D26423" t="s">
        <v>1</v>
      </c>
      <c r="E26423" t="s">
        <v>1</v>
      </c>
      <c r="F26423" t="s">
        <v>0</v>
      </c>
      <c r="G26423" t="str">
        <f>"2018-10-05 14:42:48"</f>
        <v>2018-10-05 14:42:48</v>
      </c>
    </row>
    <row r="26424" spans="1:7" x14ac:dyDescent="0.2">
      <c r="A26424" t="s">
        <v>24315</v>
      </c>
      <c r="B26424" t="str">
        <f>"18603816380"</f>
        <v>18603816380</v>
      </c>
      <c r="C26424" t="str">
        <f>"410122199003222639"</f>
        <v>410122199003222639</v>
      </c>
      <c r="D26424" t="s">
        <v>1</v>
      </c>
      <c r="E26424" t="s">
        <v>1</v>
      </c>
      <c r="F26424" t="s">
        <v>0</v>
      </c>
      <c r="G26424" t="str">
        <f>"2018-10-05 14:42:08"</f>
        <v>2018-10-05 14:42:08</v>
      </c>
    </row>
    <row r="26425" spans="1:7" x14ac:dyDescent="0.2">
      <c r="A26425" t="s">
        <v>24316</v>
      </c>
      <c r="B26425" t="str">
        <f>"18553713521"</f>
        <v>18553713521</v>
      </c>
      <c r="C26425" t="str">
        <f>"370829199211042077"</f>
        <v>370829199211042077</v>
      </c>
      <c r="D26425" t="s">
        <v>1</v>
      </c>
      <c r="E26425" t="s">
        <v>1</v>
      </c>
      <c r="F26425" t="s">
        <v>0</v>
      </c>
      <c r="G26425" t="str">
        <f>"2018-10-05 14:44:04"</f>
        <v>2018-10-05 14:44:04</v>
      </c>
    </row>
    <row r="26426" spans="1:7" x14ac:dyDescent="0.2">
      <c r="A26426" t="s">
        <v>24317</v>
      </c>
      <c r="B26426" t="str">
        <f>"15980997508"</f>
        <v>15980997508</v>
      </c>
      <c r="C26426" t="str">
        <f>"362329198607081951"</f>
        <v>362329198607081951</v>
      </c>
      <c r="D26426" t="s">
        <v>1</v>
      </c>
      <c r="E26426" t="s">
        <v>1</v>
      </c>
      <c r="F26426" t="s">
        <v>0</v>
      </c>
      <c r="G26426" t="str">
        <f>"2018-10-05 14:40:35"</f>
        <v>2018-10-05 14:40:35</v>
      </c>
    </row>
    <row r="26427" spans="1:7" x14ac:dyDescent="0.2">
      <c r="A26427" t="s">
        <v>24318</v>
      </c>
      <c r="B26427" t="str">
        <f>"18565732207"</f>
        <v>18565732207</v>
      </c>
      <c r="C26427" t="str">
        <f>"410322198505271832"</f>
        <v>410322198505271832</v>
      </c>
      <c r="D26427" t="s">
        <v>24319</v>
      </c>
      <c r="E26427" t="s">
        <v>24320</v>
      </c>
      <c r="F26427" t="s">
        <v>0</v>
      </c>
      <c r="G26427" t="str">
        <f>"2018-10-05 14:45:34"</f>
        <v>2018-10-05 14:45:34</v>
      </c>
    </row>
    <row r="26428" spans="1:7" x14ac:dyDescent="0.2">
      <c r="A26428" t="s">
        <v>24321</v>
      </c>
      <c r="B26428" t="str">
        <f>"15061302035"</f>
        <v>15061302035</v>
      </c>
      <c r="C26428" t="str">
        <f>"320706198612241030"</f>
        <v>320706198612241030</v>
      </c>
      <c r="D26428" t="s">
        <v>1</v>
      </c>
      <c r="E26428" t="s">
        <v>1</v>
      </c>
      <c r="F26428" t="s">
        <v>0</v>
      </c>
      <c r="G26428" t="str">
        <f>"2018-10-06 11:44:50"</f>
        <v>2018-10-06 11:44:50</v>
      </c>
    </row>
    <row r="26429" spans="1:7" x14ac:dyDescent="0.2">
      <c r="A26429" t="s">
        <v>24322</v>
      </c>
      <c r="B26429" t="str">
        <f>"13018919830"</f>
        <v>13018919830</v>
      </c>
      <c r="C26429" t="str">
        <f>"342426198508203813"</f>
        <v>342426198508203813</v>
      </c>
      <c r="D26429" t="s">
        <v>1</v>
      </c>
      <c r="E26429" t="s">
        <v>1</v>
      </c>
      <c r="F26429" t="s">
        <v>0</v>
      </c>
      <c r="G26429" t="str">
        <f>"2018-10-06 01:22:18"</f>
        <v>2018-10-06 01:22:18</v>
      </c>
    </row>
    <row r="26430" spans="1:7" x14ac:dyDescent="0.2">
      <c r="A26430" t="s">
        <v>24323</v>
      </c>
      <c r="B26430" t="str">
        <f>"18825164910"</f>
        <v>18825164910</v>
      </c>
      <c r="C26430" t="str">
        <f>"510502199603156620"</f>
        <v>510502199603156620</v>
      </c>
      <c r="D26430" t="s">
        <v>1</v>
      </c>
      <c r="E26430" t="s">
        <v>1</v>
      </c>
      <c r="F26430" t="s">
        <v>0</v>
      </c>
      <c r="G26430" t="str">
        <f>"2018-10-05 14:39:13"</f>
        <v>2018-10-05 14:39:13</v>
      </c>
    </row>
    <row r="26431" spans="1:7" x14ac:dyDescent="0.2">
      <c r="A26431" t="s">
        <v>24324</v>
      </c>
      <c r="B26431" t="str">
        <f>"13088726435"</f>
        <v>13088726435</v>
      </c>
      <c r="C26431" t="str">
        <f>"620524199206255995"</f>
        <v>620524199206255995</v>
      </c>
      <c r="D26431" t="s">
        <v>1</v>
      </c>
      <c r="E26431" t="s">
        <v>1</v>
      </c>
      <c r="F26431" t="s">
        <v>0</v>
      </c>
      <c r="G26431" t="str">
        <f>"2018-10-05 14:40:18"</f>
        <v>2018-10-05 14:40:18</v>
      </c>
    </row>
    <row r="26432" spans="1:7" x14ac:dyDescent="0.2">
      <c r="A26432" t="s">
        <v>24325</v>
      </c>
      <c r="B26432" t="str">
        <f>"13025726027"</f>
        <v>13025726027</v>
      </c>
      <c r="C26432" t="str">
        <f>"43313019970919711X"</f>
        <v>43313019970919711X</v>
      </c>
      <c r="D26432" t="s">
        <v>24326</v>
      </c>
      <c r="E26432" t="s">
        <v>24327</v>
      </c>
      <c r="F26432" t="s">
        <v>0</v>
      </c>
      <c r="G26432" t="str">
        <f>"2018-10-05 14:37:09"</f>
        <v>2018-10-05 14:37:09</v>
      </c>
    </row>
    <row r="26433" spans="1:7" x14ac:dyDescent="0.2">
      <c r="A26433" t="s">
        <v>24328</v>
      </c>
      <c r="B26433" t="str">
        <f>"15950807626"</f>
        <v>15950807626</v>
      </c>
      <c r="C26433" t="str">
        <f>"522632199604260021"</f>
        <v>522632199604260021</v>
      </c>
      <c r="D26433" t="s">
        <v>1</v>
      </c>
      <c r="E26433" t="s">
        <v>1</v>
      </c>
      <c r="F26433" t="s">
        <v>0</v>
      </c>
      <c r="G26433" t="str">
        <f>"2018-10-05 14:38:01"</f>
        <v>2018-10-05 14:38:01</v>
      </c>
    </row>
    <row r="26434" spans="1:7" x14ac:dyDescent="0.2">
      <c r="A26434" t="s">
        <v>1</v>
      </c>
      <c r="B26434" t="str">
        <f>"15587091513"</f>
        <v>15587091513</v>
      </c>
      <c r="C26434" t="s">
        <v>1</v>
      </c>
      <c r="D26434" t="s">
        <v>1</v>
      </c>
      <c r="E26434" t="s">
        <v>1</v>
      </c>
      <c r="F26434" t="s">
        <v>0</v>
      </c>
      <c r="G26434" t="str">
        <f>"2018-10-05 14:36:48"</f>
        <v>2018-10-05 14:36:48</v>
      </c>
    </row>
    <row r="26435" spans="1:7" x14ac:dyDescent="0.2">
      <c r="A26435" t="s">
        <v>24329</v>
      </c>
      <c r="B26435" t="str">
        <f>"15699303802"</f>
        <v>15699303802</v>
      </c>
      <c r="C26435" t="str">
        <f>"652328199109100272"</f>
        <v>652328199109100272</v>
      </c>
      <c r="D26435" t="s">
        <v>1</v>
      </c>
      <c r="E26435" t="s">
        <v>1</v>
      </c>
      <c r="F26435" t="s">
        <v>0</v>
      </c>
      <c r="G26435" t="str">
        <f>"2018-10-05 14:39:11"</f>
        <v>2018-10-05 14:39:11</v>
      </c>
    </row>
    <row r="26436" spans="1:7" x14ac:dyDescent="0.2">
      <c r="A26436" t="s">
        <v>1</v>
      </c>
      <c r="B26436" t="str">
        <f>"15868648787"</f>
        <v>15868648787</v>
      </c>
      <c r="C26436" t="s">
        <v>1</v>
      </c>
      <c r="D26436" t="s">
        <v>1</v>
      </c>
      <c r="E26436" t="s">
        <v>1</v>
      </c>
      <c r="F26436" t="s">
        <v>0</v>
      </c>
      <c r="G26436" t="str">
        <f>"2018-10-05 14:36:11"</f>
        <v>2018-10-05 14:36:11</v>
      </c>
    </row>
    <row r="26437" spans="1:7" x14ac:dyDescent="0.2">
      <c r="A26437" t="s">
        <v>1</v>
      </c>
      <c r="B26437" t="str">
        <f>"15577502804"</f>
        <v>15577502804</v>
      </c>
      <c r="C26437" t="s">
        <v>1</v>
      </c>
      <c r="D26437" t="s">
        <v>1</v>
      </c>
      <c r="E26437" t="s">
        <v>1</v>
      </c>
      <c r="F26437" t="s">
        <v>0</v>
      </c>
      <c r="G26437" t="str">
        <f>"2018-10-05 14:36:09"</f>
        <v>2018-10-05 14:36:09</v>
      </c>
    </row>
    <row r="26438" spans="1:7" x14ac:dyDescent="0.2">
      <c r="A26438" t="s">
        <v>539</v>
      </c>
      <c r="B26438" t="str">
        <f>"18635164430"</f>
        <v>18635164430</v>
      </c>
      <c r="C26438" t="str">
        <f>"142423199607050910"</f>
        <v>142423199607050910</v>
      </c>
      <c r="D26438" t="s">
        <v>1</v>
      </c>
      <c r="E26438" t="s">
        <v>1</v>
      </c>
      <c r="F26438" t="s">
        <v>0</v>
      </c>
      <c r="G26438" t="str">
        <f>"2018-10-05 14:37:21"</f>
        <v>2018-10-05 14:37:21</v>
      </c>
    </row>
    <row r="26439" spans="1:7" x14ac:dyDescent="0.2">
      <c r="A26439" t="s">
        <v>24330</v>
      </c>
      <c r="B26439" t="str">
        <f>"13976383870"</f>
        <v>13976383870</v>
      </c>
      <c r="C26439" t="str">
        <f>"460104198411110013"</f>
        <v>460104198411110013</v>
      </c>
      <c r="D26439" t="s">
        <v>1</v>
      </c>
      <c r="E26439" t="s">
        <v>1</v>
      </c>
      <c r="F26439" t="s">
        <v>0</v>
      </c>
      <c r="G26439" t="str">
        <f>"2018-10-05 14:46:32"</f>
        <v>2018-10-05 14:46:32</v>
      </c>
    </row>
    <row r="26440" spans="1:7" x14ac:dyDescent="0.2">
      <c r="A26440" t="s">
        <v>24331</v>
      </c>
      <c r="B26440" t="str">
        <f>"18982469657"</f>
        <v>18982469657</v>
      </c>
      <c r="C26440" t="str">
        <f>"510522199312057791"</f>
        <v>510522199312057791</v>
      </c>
      <c r="D26440" t="s">
        <v>1</v>
      </c>
      <c r="E26440" t="s">
        <v>1</v>
      </c>
      <c r="F26440" t="s">
        <v>0</v>
      </c>
      <c r="G26440" t="str">
        <f>"2018-10-05 14:33:30"</f>
        <v>2018-10-05 14:33:30</v>
      </c>
    </row>
    <row r="26441" spans="1:7" x14ac:dyDescent="0.2">
      <c r="A26441" t="s">
        <v>24332</v>
      </c>
      <c r="B26441" t="str">
        <f>"18538215001"</f>
        <v>18538215001</v>
      </c>
      <c r="C26441" t="str">
        <f>"410105198308124449"</f>
        <v>410105198308124449</v>
      </c>
      <c r="D26441" t="s">
        <v>1</v>
      </c>
      <c r="E26441" t="s">
        <v>1</v>
      </c>
      <c r="F26441" t="s">
        <v>0</v>
      </c>
      <c r="G26441" t="str">
        <f>"2018-10-28 13:39:01"</f>
        <v>2018-10-28 13:39:01</v>
      </c>
    </row>
    <row r="26442" spans="1:7" x14ac:dyDescent="0.2">
      <c r="A26442" t="s">
        <v>1</v>
      </c>
      <c r="B26442" t="str">
        <f>"18777126637"</f>
        <v>18777126637</v>
      </c>
      <c r="C26442" t="s">
        <v>1</v>
      </c>
      <c r="D26442" t="s">
        <v>1</v>
      </c>
      <c r="E26442" t="s">
        <v>1</v>
      </c>
      <c r="F26442" t="s">
        <v>0</v>
      </c>
      <c r="G26442" t="str">
        <f>"2018-10-05 14:32:48"</f>
        <v>2018-10-05 14:32:48</v>
      </c>
    </row>
    <row r="26443" spans="1:7" x14ac:dyDescent="0.2">
      <c r="A26443" t="s">
        <v>1</v>
      </c>
      <c r="B26443" t="str">
        <f>"13981257251"</f>
        <v>13981257251</v>
      </c>
      <c r="C26443" t="s">
        <v>1</v>
      </c>
      <c r="D26443" t="s">
        <v>1</v>
      </c>
      <c r="E26443" t="s">
        <v>1</v>
      </c>
      <c r="F26443" t="s">
        <v>0</v>
      </c>
      <c r="G26443" t="str">
        <f>"2018-10-05 14:31:29"</f>
        <v>2018-10-05 14:31:29</v>
      </c>
    </row>
    <row r="26444" spans="1:7" x14ac:dyDescent="0.2">
      <c r="A26444" t="s">
        <v>24333</v>
      </c>
      <c r="B26444" t="str">
        <f>"18571566145"</f>
        <v>18571566145</v>
      </c>
      <c r="C26444" t="str">
        <f>"421181199004087670"</f>
        <v>421181199004087670</v>
      </c>
      <c r="D26444" t="s">
        <v>24334</v>
      </c>
      <c r="E26444" t="s">
        <v>24335</v>
      </c>
      <c r="F26444" t="s">
        <v>0</v>
      </c>
      <c r="G26444" t="str">
        <f>"2018-10-05 14:35:39"</f>
        <v>2018-10-05 14:35:39</v>
      </c>
    </row>
    <row r="26445" spans="1:7" x14ac:dyDescent="0.2">
      <c r="A26445" t="s">
        <v>1</v>
      </c>
      <c r="B26445" t="str">
        <f>"18349297738"</f>
        <v>18349297738</v>
      </c>
      <c r="C26445" t="s">
        <v>1</v>
      </c>
      <c r="D26445" t="s">
        <v>1</v>
      </c>
      <c r="E26445" t="s">
        <v>1</v>
      </c>
      <c r="F26445" t="s">
        <v>0</v>
      </c>
      <c r="G26445" t="str">
        <f>"2018-10-05 14:29:37"</f>
        <v>2018-10-05 14:29:37</v>
      </c>
    </row>
    <row r="26446" spans="1:7" x14ac:dyDescent="0.2">
      <c r="A26446" t="s">
        <v>24336</v>
      </c>
      <c r="B26446" t="str">
        <f>"13730801429"</f>
        <v>13730801429</v>
      </c>
      <c r="C26446" t="str">
        <f>"352101197605244717"</f>
        <v>352101197605244717</v>
      </c>
      <c r="D26446" t="s">
        <v>24337</v>
      </c>
      <c r="E26446" t="s">
        <v>24338</v>
      </c>
      <c r="F26446" t="s">
        <v>0</v>
      </c>
      <c r="G26446" t="str">
        <f>"2018-10-17 15:22:40"</f>
        <v>2018-10-17 15:22:40</v>
      </c>
    </row>
    <row r="26447" spans="1:7" x14ac:dyDescent="0.2">
      <c r="A26447" t="s">
        <v>522</v>
      </c>
      <c r="B26447" t="str">
        <f>"13572162007"</f>
        <v>13572162007</v>
      </c>
      <c r="C26447" t="str">
        <f>"622301198604013918"</f>
        <v>622301198604013918</v>
      </c>
      <c r="D26447" t="s">
        <v>1</v>
      </c>
      <c r="E26447" t="s">
        <v>1</v>
      </c>
      <c r="F26447" t="s">
        <v>0</v>
      </c>
      <c r="G26447" t="str">
        <f>"2018-10-05 14:31:51"</f>
        <v>2018-10-05 14:31:51</v>
      </c>
    </row>
    <row r="26448" spans="1:7" x14ac:dyDescent="0.2">
      <c r="A26448" t="s">
        <v>24339</v>
      </c>
      <c r="B26448" t="str">
        <f>"13676901082"</f>
        <v>13676901082</v>
      </c>
      <c r="C26448" t="str">
        <f>"412829199003016813"</f>
        <v>412829199003016813</v>
      </c>
      <c r="D26448" t="s">
        <v>24340</v>
      </c>
      <c r="E26448" t="s">
        <v>24341</v>
      </c>
      <c r="F26448" t="s">
        <v>0</v>
      </c>
      <c r="G26448" t="str">
        <f>"2018-10-05 14:28:58"</f>
        <v>2018-10-05 14:28:58</v>
      </c>
    </row>
    <row r="26449" spans="1:7" x14ac:dyDescent="0.2">
      <c r="A26449" t="s">
        <v>24342</v>
      </c>
      <c r="B26449" t="str">
        <f>"15985058909"</f>
        <v>15985058909</v>
      </c>
      <c r="C26449" t="str">
        <f>"522127197301260019"</f>
        <v>522127197301260019</v>
      </c>
      <c r="D26449" t="s">
        <v>1</v>
      </c>
      <c r="E26449" t="s">
        <v>1</v>
      </c>
      <c r="F26449" t="s">
        <v>0</v>
      </c>
      <c r="G26449" t="str">
        <f>"2018-10-05 14:32:22"</f>
        <v>2018-10-05 14:32:22</v>
      </c>
    </row>
    <row r="26450" spans="1:7" x14ac:dyDescent="0.2">
      <c r="A26450" t="s">
        <v>1716</v>
      </c>
      <c r="B26450" t="str">
        <f>"15755339882"</f>
        <v>15755339882</v>
      </c>
      <c r="C26450" t="str">
        <f>"411222198707156010"</f>
        <v>411222198707156010</v>
      </c>
      <c r="D26450" t="s">
        <v>1</v>
      </c>
      <c r="E26450" t="s">
        <v>1</v>
      </c>
      <c r="F26450" t="s">
        <v>0</v>
      </c>
      <c r="G26450" t="str">
        <f>"2018-10-09 12:52:58"</f>
        <v>2018-10-09 12:52:58</v>
      </c>
    </row>
    <row r="26451" spans="1:7" x14ac:dyDescent="0.2">
      <c r="A26451" t="s">
        <v>1</v>
      </c>
      <c r="B26451" t="str">
        <f>"13606116635"</f>
        <v>13606116635</v>
      </c>
      <c r="C26451" t="s">
        <v>1</v>
      </c>
      <c r="D26451" t="s">
        <v>1</v>
      </c>
      <c r="E26451" t="s">
        <v>1</v>
      </c>
      <c r="F26451" t="s">
        <v>0</v>
      </c>
      <c r="G26451" t="str">
        <f>"2018-10-05 14:28:13"</f>
        <v>2018-10-05 14:28:13</v>
      </c>
    </row>
    <row r="26452" spans="1:7" x14ac:dyDescent="0.2">
      <c r="A26452" t="s">
        <v>24343</v>
      </c>
      <c r="B26452" t="str">
        <f>"13832658613"</f>
        <v>13832658613</v>
      </c>
      <c r="C26452" t="str">
        <f>"610113196611111614"</f>
        <v>610113196611111614</v>
      </c>
      <c r="D26452" t="s">
        <v>1</v>
      </c>
      <c r="E26452" t="s">
        <v>1</v>
      </c>
      <c r="F26452" t="s">
        <v>0</v>
      </c>
      <c r="G26452" t="str">
        <f>"2018-11-04 16:15:08"</f>
        <v>2018-11-04 16:15:08</v>
      </c>
    </row>
    <row r="26453" spans="1:7" x14ac:dyDescent="0.2">
      <c r="A26453" t="s">
        <v>24344</v>
      </c>
      <c r="B26453" t="str">
        <f>"13338479860"</f>
        <v>13338479860</v>
      </c>
      <c r="C26453" t="str">
        <f>"350526198112304015"</f>
        <v>350526198112304015</v>
      </c>
      <c r="D26453" t="s">
        <v>1</v>
      </c>
      <c r="E26453" t="s">
        <v>1</v>
      </c>
      <c r="F26453" t="s">
        <v>0</v>
      </c>
      <c r="G26453" t="str">
        <f>"2018-10-05 14:29:09"</f>
        <v>2018-10-05 14:29:09</v>
      </c>
    </row>
    <row r="26454" spans="1:7" x14ac:dyDescent="0.2">
      <c r="A26454" t="s">
        <v>742</v>
      </c>
      <c r="B26454" t="str">
        <f>"13227872078"</f>
        <v>13227872078</v>
      </c>
      <c r="C26454" t="str">
        <f>"610102198708171955"</f>
        <v>610102198708171955</v>
      </c>
      <c r="D26454" t="s">
        <v>24345</v>
      </c>
      <c r="E26454" t="s">
        <v>24346</v>
      </c>
      <c r="F26454" t="s">
        <v>0</v>
      </c>
      <c r="G26454" t="str">
        <f>"2018-10-05 14:37:29"</f>
        <v>2018-10-05 14:37:29</v>
      </c>
    </row>
    <row r="26455" spans="1:7" x14ac:dyDescent="0.2">
      <c r="A26455" t="s">
        <v>24347</v>
      </c>
      <c r="B26455" t="str">
        <f>"15835783348"</f>
        <v>15835783348</v>
      </c>
      <c r="C26455" t="str">
        <f>"142602199609123019"</f>
        <v>142602199609123019</v>
      </c>
      <c r="D26455" t="s">
        <v>1</v>
      </c>
      <c r="E26455" t="s">
        <v>1</v>
      </c>
      <c r="F26455" t="s">
        <v>0</v>
      </c>
      <c r="G26455" t="str">
        <f>"2018-10-05 14:29:25"</f>
        <v>2018-10-05 14:29:25</v>
      </c>
    </row>
    <row r="26456" spans="1:7" x14ac:dyDescent="0.2">
      <c r="A26456" t="s">
        <v>1</v>
      </c>
      <c r="B26456" t="str">
        <f>"13725773432"</f>
        <v>13725773432</v>
      </c>
      <c r="C26456" t="s">
        <v>1</v>
      </c>
      <c r="D26456" t="s">
        <v>1</v>
      </c>
      <c r="E26456" t="s">
        <v>1</v>
      </c>
      <c r="F26456" t="s">
        <v>0</v>
      </c>
      <c r="G26456" t="str">
        <f>"2018-10-05 14:26:18"</f>
        <v>2018-10-05 14:26:18</v>
      </c>
    </row>
    <row r="26457" spans="1:7" x14ac:dyDescent="0.2">
      <c r="A26457" t="s">
        <v>1</v>
      </c>
      <c r="B26457" t="str">
        <f>"18315981218"</f>
        <v>18315981218</v>
      </c>
      <c r="C26457" t="s">
        <v>1</v>
      </c>
      <c r="D26457" t="s">
        <v>1</v>
      </c>
      <c r="E26457" t="s">
        <v>1</v>
      </c>
      <c r="F26457" t="s">
        <v>0</v>
      </c>
      <c r="G26457" t="str">
        <f>"2018-10-05 14:26:13"</f>
        <v>2018-10-05 14:26:13</v>
      </c>
    </row>
    <row r="26458" spans="1:7" x14ac:dyDescent="0.2">
      <c r="A26458" t="s">
        <v>24348</v>
      </c>
      <c r="B26458" t="str">
        <f>"17605906272"</f>
        <v>17605906272</v>
      </c>
      <c r="C26458" t="str">
        <f>"350526199309064531"</f>
        <v>350526199309064531</v>
      </c>
      <c r="D26458" t="s">
        <v>1</v>
      </c>
      <c r="E26458" t="s">
        <v>1</v>
      </c>
      <c r="F26458" t="s">
        <v>0</v>
      </c>
      <c r="G26458" t="str">
        <f>"2018-10-06 07:00:30"</f>
        <v>2018-10-06 07:00:30</v>
      </c>
    </row>
    <row r="26459" spans="1:7" x14ac:dyDescent="0.2">
      <c r="A26459" t="s">
        <v>665</v>
      </c>
      <c r="B26459" t="str">
        <f>"15529952115"</f>
        <v>15529952115</v>
      </c>
      <c r="C26459" t="str">
        <f>"640302199211192110"</f>
        <v>640302199211192110</v>
      </c>
      <c r="D26459" t="s">
        <v>1</v>
      </c>
      <c r="E26459" t="s">
        <v>1</v>
      </c>
      <c r="F26459" t="s">
        <v>0</v>
      </c>
      <c r="G26459" t="str">
        <f>"2018-10-05 15:45:10"</f>
        <v>2018-10-05 15:45:10</v>
      </c>
    </row>
    <row r="26460" spans="1:7" x14ac:dyDescent="0.2">
      <c r="A26460" t="s">
        <v>1</v>
      </c>
      <c r="B26460" t="str">
        <f>"15131319175"</f>
        <v>15131319175</v>
      </c>
      <c r="C26460" t="s">
        <v>1</v>
      </c>
      <c r="D26460" t="s">
        <v>1</v>
      </c>
      <c r="E26460" t="s">
        <v>1</v>
      </c>
      <c r="F26460" t="s">
        <v>0</v>
      </c>
      <c r="G26460" t="str">
        <f>"2018-10-05 14:25:25"</f>
        <v>2018-10-05 14:25:25</v>
      </c>
    </row>
    <row r="26461" spans="1:7" x14ac:dyDescent="0.2">
      <c r="A26461" t="s">
        <v>365</v>
      </c>
      <c r="B26461" t="str">
        <f>"14769925937"</f>
        <v>14769925937</v>
      </c>
      <c r="C26461" t="str">
        <f>"371302199412244621"</f>
        <v>371302199412244621</v>
      </c>
      <c r="D26461" t="s">
        <v>1</v>
      </c>
      <c r="E26461" t="s">
        <v>1</v>
      </c>
      <c r="F26461" t="s">
        <v>0</v>
      </c>
      <c r="G26461" t="str">
        <f>"2018-10-05 14:29:05"</f>
        <v>2018-10-05 14:29:05</v>
      </c>
    </row>
    <row r="26462" spans="1:7" x14ac:dyDescent="0.2">
      <c r="A26462" t="s">
        <v>24349</v>
      </c>
      <c r="B26462" t="str">
        <f>"13171598911"</f>
        <v>13171598911</v>
      </c>
      <c r="C26462" t="str">
        <f>"130133198609102460"</f>
        <v>130133198609102460</v>
      </c>
      <c r="D26462" t="s">
        <v>1</v>
      </c>
      <c r="E26462" t="s">
        <v>1</v>
      </c>
      <c r="F26462" t="s">
        <v>0</v>
      </c>
      <c r="G26462" t="str">
        <f>"2018-10-05 14:25:45"</f>
        <v>2018-10-05 14:25:45</v>
      </c>
    </row>
    <row r="26463" spans="1:7" x14ac:dyDescent="0.2">
      <c r="A26463" t="s">
        <v>24350</v>
      </c>
      <c r="B26463" t="str">
        <f>"17602136316"</f>
        <v>17602136316</v>
      </c>
      <c r="C26463" t="str">
        <f>"330184199010212315"</f>
        <v>330184199010212315</v>
      </c>
      <c r="D26463" t="s">
        <v>24351</v>
      </c>
      <c r="E26463" t="s">
        <v>24352</v>
      </c>
      <c r="F26463" t="s">
        <v>0</v>
      </c>
      <c r="G26463" t="str">
        <f>"2018-10-06 14:25:23"</f>
        <v>2018-10-06 14:25:23</v>
      </c>
    </row>
    <row r="26464" spans="1:7" x14ac:dyDescent="0.2">
      <c r="A26464" t="s">
        <v>24353</v>
      </c>
      <c r="B26464" t="str">
        <f>"18767897485"</f>
        <v>18767897485</v>
      </c>
      <c r="C26464" t="str">
        <f>"332526198804287111"</f>
        <v>332526198804287111</v>
      </c>
      <c r="D26464" t="s">
        <v>1</v>
      </c>
      <c r="E26464" t="s">
        <v>1</v>
      </c>
      <c r="F26464" t="s">
        <v>0</v>
      </c>
      <c r="G26464" t="str">
        <f>"2018-10-05 14:27:23"</f>
        <v>2018-10-05 14:27:23</v>
      </c>
    </row>
    <row r="26465" spans="1:7" x14ac:dyDescent="0.2">
      <c r="A26465" t="s">
        <v>1</v>
      </c>
      <c r="B26465" t="str">
        <f>"18223240118"</f>
        <v>18223240118</v>
      </c>
      <c r="C26465" t="s">
        <v>1</v>
      </c>
      <c r="D26465" t="s">
        <v>1</v>
      </c>
      <c r="E26465" t="s">
        <v>1</v>
      </c>
      <c r="F26465" t="s">
        <v>0</v>
      </c>
      <c r="G26465" t="str">
        <f>"2018-10-05 14:23:54"</f>
        <v>2018-10-05 14:23:54</v>
      </c>
    </row>
    <row r="26466" spans="1:7" x14ac:dyDescent="0.2">
      <c r="A26466" t="s">
        <v>24354</v>
      </c>
      <c r="B26466" t="str">
        <f>"15233962011"</f>
        <v>15233962011</v>
      </c>
      <c r="C26466" t="str">
        <f>"13053119810822061X"</f>
        <v>13053119810822061X</v>
      </c>
      <c r="D26466" t="s">
        <v>1</v>
      </c>
      <c r="E26466" t="s">
        <v>1</v>
      </c>
      <c r="F26466" t="s">
        <v>0</v>
      </c>
      <c r="G26466" t="str">
        <f>"2018-10-09 02:26:59"</f>
        <v>2018-10-09 02:26:59</v>
      </c>
    </row>
    <row r="26467" spans="1:7" x14ac:dyDescent="0.2">
      <c r="A26467" t="s">
        <v>24355</v>
      </c>
      <c r="B26467" t="str">
        <f>"13058782258"</f>
        <v>13058782258</v>
      </c>
      <c r="C26467" t="str">
        <f>"360424199103276735"</f>
        <v>360424199103276735</v>
      </c>
      <c r="D26467" t="s">
        <v>1</v>
      </c>
      <c r="E26467" t="s">
        <v>1</v>
      </c>
      <c r="F26467" t="s">
        <v>0</v>
      </c>
      <c r="G26467" t="str">
        <f>"2018-10-05 14:32:58"</f>
        <v>2018-10-05 14:32:58</v>
      </c>
    </row>
    <row r="26468" spans="1:7" x14ac:dyDescent="0.2">
      <c r="A26468" t="s">
        <v>1</v>
      </c>
      <c r="B26468" t="str">
        <f>"15004067056"</f>
        <v>15004067056</v>
      </c>
      <c r="C26468" t="s">
        <v>1</v>
      </c>
      <c r="D26468" t="s">
        <v>1</v>
      </c>
      <c r="E26468" t="s">
        <v>1</v>
      </c>
      <c r="F26468" t="s">
        <v>0</v>
      </c>
      <c r="G26468" t="str">
        <f>"2018-10-05 14:23:17"</f>
        <v>2018-10-05 14:23:17</v>
      </c>
    </row>
    <row r="26469" spans="1:7" x14ac:dyDescent="0.2">
      <c r="A26469" t="s">
        <v>1116</v>
      </c>
      <c r="B26469" t="str">
        <f>"15232269043"</f>
        <v>15232269043</v>
      </c>
      <c r="C26469" t="str">
        <f>"130622198811245869"</f>
        <v>130622198811245869</v>
      </c>
      <c r="D26469" t="s">
        <v>1</v>
      </c>
      <c r="E26469" t="s">
        <v>1</v>
      </c>
      <c r="F26469" t="s">
        <v>0</v>
      </c>
      <c r="G26469" t="str">
        <f>"2018-10-17 15:26:33"</f>
        <v>2018-10-17 15:26:33</v>
      </c>
    </row>
    <row r="26470" spans="1:7" x14ac:dyDescent="0.2">
      <c r="A26470" t="s">
        <v>24356</v>
      </c>
      <c r="B26470" t="str">
        <f>"15112541538"</f>
        <v>15112541538</v>
      </c>
      <c r="C26470" t="str">
        <f>"440582198809183455"</f>
        <v>440582198809183455</v>
      </c>
      <c r="D26470" t="s">
        <v>24357</v>
      </c>
      <c r="E26470" t="s">
        <v>24358</v>
      </c>
      <c r="F26470" t="s">
        <v>0</v>
      </c>
      <c r="G26470" t="str">
        <f>"2018-10-05 14:24:30"</f>
        <v>2018-10-05 14:24:30</v>
      </c>
    </row>
    <row r="26471" spans="1:7" x14ac:dyDescent="0.2">
      <c r="A26471" t="s">
        <v>24359</v>
      </c>
      <c r="B26471" t="str">
        <f>"13032454997"</f>
        <v>13032454997</v>
      </c>
      <c r="C26471" t="str">
        <f>"211422199107184411"</f>
        <v>211422199107184411</v>
      </c>
      <c r="D26471" t="s">
        <v>24360</v>
      </c>
      <c r="E26471" t="s">
        <v>24361</v>
      </c>
      <c r="F26471" t="s">
        <v>0</v>
      </c>
      <c r="G26471" t="str">
        <f>"2018-10-14 16:57:21"</f>
        <v>2018-10-14 16:57:21</v>
      </c>
    </row>
    <row r="26472" spans="1:7" x14ac:dyDescent="0.2">
      <c r="A26472" t="s">
        <v>24362</v>
      </c>
      <c r="B26472" t="str">
        <f>"15265183676"</f>
        <v>15265183676</v>
      </c>
      <c r="C26472" t="str">
        <f>"371322198905278345"</f>
        <v>371322198905278345</v>
      </c>
      <c r="D26472" t="s">
        <v>24363</v>
      </c>
      <c r="E26472" t="s">
        <v>24364</v>
      </c>
      <c r="F26472" t="s">
        <v>0</v>
      </c>
      <c r="G26472" t="str">
        <f>"2018-10-06 12:11:11"</f>
        <v>2018-10-06 12:11:11</v>
      </c>
    </row>
    <row r="26473" spans="1:7" x14ac:dyDescent="0.2">
      <c r="A26473" t="s">
        <v>24365</v>
      </c>
      <c r="B26473" t="str">
        <f>"13352546059"</f>
        <v>13352546059</v>
      </c>
      <c r="C26473" t="str">
        <f>"230833197911240554"</f>
        <v>230833197911240554</v>
      </c>
      <c r="D26473" t="s">
        <v>1</v>
      </c>
      <c r="E26473" t="s">
        <v>1</v>
      </c>
      <c r="F26473" t="s">
        <v>0</v>
      </c>
      <c r="G26473" t="str">
        <f>"2018-10-05 14:23:32"</f>
        <v>2018-10-05 14:23:32</v>
      </c>
    </row>
    <row r="26474" spans="1:7" x14ac:dyDescent="0.2">
      <c r="A26474" t="s">
        <v>24366</v>
      </c>
      <c r="B26474" t="str">
        <f>"18218337779"</f>
        <v>18218337779</v>
      </c>
      <c r="C26474" t="str">
        <f>"53262719960515191X"</f>
        <v>53262719960515191X</v>
      </c>
      <c r="D26474" t="s">
        <v>1</v>
      </c>
      <c r="E26474" t="s">
        <v>1</v>
      </c>
      <c r="F26474" t="s">
        <v>0</v>
      </c>
      <c r="G26474" t="str">
        <f>"2018-10-05 14:27:23"</f>
        <v>2018-10-05 14:27:23</v>
      </c>
    </row>
    <row r="26475" spans="1:7" x14ac:dyDescent="0.2">
      <c r="A26475" t="s">
        <v>24367</v>
      </c>
      <c r="B26475" t="str">
        <f>"15089555059"</f>
        <v>15089555059</v>
      </c>
      <c r="C26475" t="str">
        <f>"440902199111100173"</f>
        <v>440902199111100173</v>
      </c>
      <c r="D26475" t="s">
        <v>24368</v>
      </c>
      <c r="E26475" t="s">
        <v>24368</v>
      </c>
      <c r="F26475" t="s">
        <v>0</v>
      </c>
      <c r="G26475" t="str">
        <f>"2018-10-05 15:01:01"</f>
        <v>2018-10-05 15:01:01</v>
      </c>
    </row>
    <row r="26476" spans="1:7" x14ac:dyDescent="0.2">
      <c r="A26476" t="s">
        <v>1072</v>
      </c>
      <c r="B26476" t="str">
        <f>"18687533143"</f>
        <v>18687533143</v>
      </c>
      <c r="C26476" t="str">
        <f>"532329199606270917"</f>
        <v>532329199606270917</v>
      </c>
      <c r="D26476" t="s">
        <v>24369</v>
      </c>
      <c r="E26476" t="s">
        <v>24370</v>
      </c>
      <c r="F26476" t="s">
        <v>0</v>
      </c>
      <c r="G26476" t="str">
        <f>"2018-10-05 14:22:00"</f>
        <v>2018-10-05 14:22:00</v>
      </c>
    </row>
    <row r="26477" spans="1:7" x14ac:dyDescent="0.2">
      <c r="A26477" t="s">
        <v>24371</v>
      </c>
      <c r="B26477" t="str">
        <f>"13786126455"</f>
        <v>13786126455</v>
      </c>
      <c r="C26477" t="str">
        <f>"430121198104026795"</f>
        <v>430121198104026795</v>
      </c>
      <c r="D26477" t="s">
        <v>1</v>
      </c>
      <c r="E26477" t="s">
        <v>1</v>
      </c>
      <c r="F26477" t="s">
        <v>0</v>
      </c>
      <c r="G26477" t="str">
        <f>"2018-10-05 14:23:06"</f>
        <v>2018-10-05 14:23:06</v>
      </c>
    </row>
    <row r="26478" spans="1:7" x14ac:dyDescent="0.2">
      <c r="A26478" t="s">
        <v>993</v>
      </c>
      <c r="B26478" t="str">
        <f>"13009120102"</f>
        <v>13009120102</v>
      </c>
      <c r="C26478" t="str">
        <f>"220122198303098131"</f>
        <v>220122198303098131</v>
      </c>
      <c r="D26478" t="s">
        <v>1</v>
      </c>
      <c r="E26478" t="s">
        <v>1</v>
      </c>
      <c r="F26478" t="s">
        <v>0</v>
      </c>
      <c r="G26478" t="str">
        <f>"2018-10-05 14:21:03"</f>
        <v>2018-10-05 14:21:03</v>
      </c>
    </row>
    <row r="26479" spans="1:7" x14ac:dyDescent="0.2">
      <c r="A26479" t="s">
        <v>24372</v>
      </c>
      <c r="B26479" t="str">
        <f>"15723719225"</f>
        <v>15723719225</v>
      </c>
      <c r="C26479" t="str">
        <f>"450722200002295196"</f>
        <v>450722200002295196</v>
      </c>
      <c r="D26479" t="s">
        <v>1</v>
      </c>
      <c r="E26479" t="s">
        <v>1</v>
      </c>
      <c r="F26479" t="s">
        <v>0</v>
      </c>
      <c r="G26479" t="str">
        <f>"2018-10-05 14:22:44"</f>
        <v>2018-10-05 14:22:44</v>
      </c>
    </row>
    <row r="26480" spans="1:7" x14ac:dyDescent="0.2">
      <c r="A26480" t="s">
        <v>24373</v>
      </c>
      <c r="B26480" t="str">
        <f>"13700272672"</f>
        <v>13700272672</v>
      </c>
      <c r="C26480" t="str">
        <f>"610113197008132917"</f>
        <v>610113197008132917</v>
      </c>
      <c r="D26480" t="s">
        <v>1</v>
      </c>
      <c r="E26480" t="s">
        <v>1</v>
      </c>
      <c r="F26480" t="s">
        <v>0</v>
      </c>
      <c r="G26480" t="str">
        <f>"2018-10-05 14:24:10"</f>
        <v>2018-10-05 14:24:10</v>
      </c>
    </row>
    <row r="26481" spans="1:7" x14ac:dyDescent="0.2">
      <c r="A26481" t="s">
        <v>1</v>
      </c>
      <c r="B26481" t="str">
        <f>"18951477538"</f>
        <v>18951477538</v>
      </c>
      <c r="C26481" t="s">
        <v>1</v>
      </c>
      <c r="D26481" t="s">
        <v>1</v>
      </c>
      <c r="E26481" t="s">
        <v>1</v>
      </c>
      <c r="F26481" t="s">
        <v>0</v>
      </c>
      <c r="G26481" t="str">
        <f>"2018-10-05 14:19:18"</f>
        <v>2018-10-05 14:19:18</v>
      </c>
    </row>
    <row r="26482" spans="1:7" x14ac:dyDescent="0.2">
      <c r="A26482" t="s">
        <v>24374</v>
      </c>
      <c r="B26482" t="str">
        <f>"13050993335"</f>
        <v>13050993335</v>
      </c>
      <c r="C26482" t="str">
        <f>"211403196511068217"</f>
        <v>211403196511068217</v>
      </c>
      <c r="D26482" t="s">
        <v>24375</v>
      </c>
      <c r="E26482" t="s">
        <v>24376</v>
      </c>
      <c r="F26482" t="s">
        <v>0</v>
      </c>
      <c r="G26482" t="str">
        <f>"2018-10-06 07:31:44"</f>
        <v>2018-10-06 07:31:44</v>
      </c>
    </row>
    <row r="26483" spans="1:7" x14ac:dyDescent="0.2">
      <c r="A26483" t="s">
        <v>24377</v>
      </c>
      <c r="B26483" t="str">
        <f>"13751962914"</f>
        <v>13751962914</v>
      </c>
      <c r="C26483" t="str">
        <f>"441421198707270227"</f>
        <v>441421198707270227</v>
      </c>
      <c r="D26483" t="s">
        <v>1</v>
      </c>
      <c r="E26483" t="s">
        <v>1</v>
      </c>
      <c r="F26483" t="s">
        <v>0</v>
      </c>
      <c r="G26483" t="str">
        <f>"2018-10-05 14:28:07"</f>
        <v>2018-10-05 14:28:07</v>
      </c>
    </row>
    <row r="26484" spans="1:7" x14ac:dyDescent="0.2">
      <c r="A26484" t="s">
        <v>24378</v>
      </c>
      <c r="B26484" t="str">
        <f>"18216577852"</f>
        <v>18216577852</v>
      </c>
      <c r="C26484" t="str">
        <f>"520221199707152039"</f>
        <v>520221199707152039</v>
      </c>
      <c r="D26484" t="s">
        <v>1</v>
      </c>
      <c r="E26484" t="s">
        <v>1</v>
      </c>
      <c r="F26484" t="s">
        <v>0</v>
      </c>
      <c r="G26484" t="str">
        <f>"2018-10-05 14:19:54"</f>
        <v>2018-10-05 14:19:54</v>
      </c>
    </row>
    <row r="26485" spans="1:7" x14ac:dyDescent="0.2">
      <c r="A26485" t="s">
        <v>24379</v>
      </c>
      <c r="B26485" t="str">
        <f>"13699590576"</f>
        <v>13699590576</v>
      </c>
      <c r="C26485" t="str">
        <f>"362528199312118015"</f>
        <v>362528199312118015</v>
      </c>
      <c r="D26485" t="s">
        <v>1</v>
      </c>
      <c r="E26485" t="s">
        <v>1</v>
      </c>
      <c r="F26485" t="s">
        <v>0</v>
      </c>
      <c r="G26485" t="str">
        <f>"2018-10-05 14:20:23"</f>
        <v>2018-10-05 14:20:23</v>
      </c>
    </row>
    <row r="26486" spans="1:7" x14ac:dyDescent="0.2">
      <c r="A26486" t="s">
        <v>1569</v>
      </c>
      <c r="B26486" t="str">
        <f>"18355552538"</f>
        <v>18355552538</v>
      </c>
      <c r="C26486" t="str">
        <f>"341122199303292025"</f>
        <v>341122199303292025</v>
      </c>
      <c r="D26486" t="s">
        <v>1</v>
      </c>
      <c r="E26486" t="s">
        <v>1</v>
      </c>
      <c r="F26486" t="s">
        <v>0</v>
      </c>
      <c r="G26486" t="str">
        <f>"2018-10-05 14:18:01"</f>
        <v>2018-10-05 14:18:01</v>
      </c>
    </row>
    <row r="26487" spans="1:7" x14ac:dyDescent="0.2">
      <c r="A26487" t="s">
        <v>24380</v>
      </c>
      <c r="B26487" t="str">
        <f>"15832924093"</f>
        <v>15832924093</v>
      </c>
      <c r="C26487" t="str">
        <f>"130523199108192414"</f>
        <v>130523199108192414</v>
      </c>
      <c r="D26487" t="s">
        <v>1</v>
      </c>
      <c r="E26487" t="s">
        <v>1</v>
      </c>
      <c r="F26487" t="s">
        <v>0</v>
      </c>
      <c r="G26487" t="str">
        <f>"2018-10-20 12:20:14"</f>
        <v>2018-10-20 12:20:14</v>
      </c>
    </row>
    <row r="26488" spans="1:7" x14ac:dyDescent="0.2">
      <c r="A26488" t="s">
        <v>24381</v>
      </c>
      <c r="B26488" t="str">
        <f>"15755058109"</f>
        <v>15755058109</v>
      </c>
      <c r="C26488" t="str">
        <f>"341124199410031210"</f>
        <v>341124199410031210</v>
      </c>
      <c r="D26488" t="s">
        <v>1</v>
      </c>
      <c r="E26488" t="s">
        <v>1</v>
      </c>
      <c r="F26488" t="s">
        <v>0</v>
      </c>
      <c r="G26488" t="str">
        <f>"2018-10-05 14:22:27"</f>
        <v>2018-10-05 14:22:27</v>
      </c>
    </row>
    <row r="26489" spans="1:7" x14ac:dyDescent="0.2">
      <c r="A26489" t="s">
        <v>24382</v>
      </c>
      <c r="B26489" t="str">
        <f>"15123788883"</f>
        <v>15123788883</v>
      </c>
      <c r="C26489" t="str">
        <f>"500239199008205939"</f>
        <v>500239199008205939</v>
      </c>
      <c r="D26489" t="s">
        <v>1</v>
      </c>
      <c r="E26489" t="s">
        <v>1</v>
      </c>
      <c r="F26489" t="s">
        <v>0</v>
      </c>
      <c r="G26489" t="str">
        <f>"2018-10-05 14:18:19"</f>
        <v>2018-10-05 14:18:19</v>
      </c>
    </row>
    <row r="26490" spans="1:7" x14ac:dyDescent="0.2">
      <c r="A26490" t="s">
        <v>24383</v>
      </c>
      <c r="B26490" t="str">
        <f>"18098254499"</f>
        <v>18098254499</v>
      </c>
      <c r="C26490" t="str">
        <f>"441900199706136368"</f>
        <v>441900199706136368</v>
      </c>
      <c r="D26490" t="s">
        <v>1</v>
      </c>
      <c r="E26490" t="s">
        <v>1</v>
      </c>
      <c r="F26490" t="s">
        <v>0</v>
      </c>
      <c r="G26490" t="str">
        <f>"2018-10-05 14:22:00"</f>
        <v>2018-10-05 14:22:00</v>
      </c>
    </row>
    <row r="26491" spans="1:7" x14ac:dyDescent="0.2">
      <c r="A26491" t="s">
        <v>24384</v>
      </c>
      <c r="B26491" t="str">
        <f>"17307951760"</f>
        <v>17307951760</v>
      </c>
      <c r="C26491" t="str">
        <f>"362201199109266227"</f>
        <v>362201199109266227</v>
      </c>
      <c r="D26491" t="s">
        <v>1</v>
      </c>
      <c r="E26491" t="s">
        <v>1</v>
      </c>
      <c r="F26491" t="s">
        <v>0</v>
      </c>
      <c r="G26491" t="str">
        <f>"2018-10-05 14:18:49"</f>
        <v>2018-10-05 14:18:49</v>
      </c>
    </row>
    <row r="26492" spans="1:7" x14ac:dyDescent="0.2">
      <c r="A26492" t="s">
        <v>1</v>
      </c>
      <c r="B26492" t="str">
        <f>"13429099765"</f>
        <v>13429099765</v>
      </c>
      <c r="C26492" t="s">
        <v>1</v>
      </c>
      <c r="D26492" t="s">
        <v>1</v>
      </c>
      <c r="E26492" t="s">
        <v>1</v>
      </c>
      <c r="F26492" t="s">
        <v>0</v>
      </c>
      <c r="G26492" t="str">
        <f>"2018-10-05 14:15:32"</f>
        <v>2018-10-05 14:15:32</v>
      </c>
    </row>
    <row r="26493" spans="1:7" x14ac:dyDescent="0.2">
      <c r="A26493" t="s">
        <v>24385</v>
      </c>
      <c r="B26493" t="str">
        <f>"13140196201"</f>
        <v>13140196201</v>
      </c>
      <c r="C26493" t="str">
        <f>"411322199708085373"</f>
        <v>411322199708085373</v>
      </c>
      <c r="D26493" t="s">
        <v>1</v>
      </c>
      <c r="E26493" t="s">
        <v>1</v>
      </c>
      <c r="F26493" t="s">
        <v>0</v>
      </c>
      <c r="G26493" t="str">
        <f>"2018-10-25 11:23:58"</f>
        <v>2018-10-25 11:23:58</v>
      </c>
    </row>
    <row r="26494" spans="1:7" x14ac:dyDescent="0.2">
      <c r="A26494" t="s">
        <v>24386</v>
      </c>
      <c r="B26494" t="str">
        <f>"13461026962"</f>
        <v>13461026962</v>
      </c>
      <c r="C26494" t="str">
        <f>"41032319950712954X"</f>
        <v>41032319950712954X</v>
      </c>
      <c r="D26494" t="s">
        <v>1</v>
      </c>
      <c r="E26494" t="s">
        <v>1</v>
      </c>
      <c r="F26494" t="s">
        <v>0</v>
      </c>
      <c r="G26494" t="str">
        <f>"2018-10-05 14:17:33"</f>
        <v>2018-10-05 14:17:33</v>
      </c>
    </row>
    <row r="26495" spans="1:7" x14ac:dyDescent="0.2">
      <c r="A26495" t="s">
        <v>1</v>
      </c>
      <c r="B26495" t="str">
        <f>"15278204189"</f>
        <v>15278204189</v>
      </c>
      <c r="C26495" t="s">
        <v>1</v>
      </c>
      <c r="D26495" t="s">
        <v>1</v>
      </c>
      <c r="E26495" t="s">
        <v>1</v>
      </c>
      <c r="F26495" t="s">
        <v>0</v>
      </c>
      <c r="G26495" t="str">
        <f>"2018-10-05 14:15:22"</f>
        <v>2018-10-05 14:15:22</v>
      </c>
    </row>
    <row r="26496" spans="1:7" x14ac:dyDescent="0.2">
      <c r="A26496" t="s">
        <v>1</v>
      </c>
      <c r="B26496" t="str">
        <f>"15766815198"</f>
        <v>15766815198</v>
      </c>
      <c r="C26496" t="s">
        <v>1</v>
      </c>
      <c r="D26496" t="s">
        <v>1</v>
      </c>
      <c r="E26496" t="s">
        <v>1</v>
      </c>
      <c r="F26496" t="s">
        <v>0</v>
      </c>
      <c r="G26496" t="str">
        <f>"2018-10-05 14:15:02"</f>
        <v>2018-10-05 14:15:02</v>
      </c>
    </row>
    <row r="26497" spans="1:7" x14ac:dyDescent="0.2">
      <c r="A26497" t="s">
        <v>1638</v>
      </c>
      <c r="B26497" t="str">
        <f>"17633342735"</f>
        <v>17633342735</v>
      </c>
      <c r="C26497" t="str">
        <f>"130626198811284097"</f>
        <v>130626198811284097</v>
      </c>
      <c r="D26497" t="s">
        <v>1</v>
      </c>
      <c r="E26497" t="s">
        <v>1</v>
      </c>
      <c r="F26497" t="s">
        <v>0</v>
      </c>
      <c r="G26497" t="str">
        <f>"2018-10-05 14:14:44"</f>
        <v>2018-10-05 14:14:44</v>
      </c>
    </row>
    <row r="26498" spans="1:7" x14ac:dyDescent="0.2">
      <c r="A26498" t="s">
        <v>24387</v>
      </c>
      <c r="B26498" t="str">
        <f>"18585514298"</f>
        <v>18585514298</v>
      </c>
      <c r="C26498" t="str">
        <f>"522632199006220011"</f>
        <v>522632199006220011</v>
      </c>
      <c r="D26498" t="s">
        <v>1</v>
      </c>
      <c r="E26498" t="s">
        <v>1</v>
      </c>
      <c r="F26498" t="s">
        <v>0</v>
      </c>
      <c r="G26498" t="str">
        <f>"2018-10-07 08:39:09"</f>
        <v>2018-10-07 08:39:09</v>
      </c>
    </row>
    <row r="26499" spans="1:7" x14ac:dyDescent="0.2">
      <c r="A26499" t="s">
        <v>1</v>
      </c>
      <c r="B26499" t="str">
        <f>"13464113353"</f>
        <v>13464113353</v>
      </c>
      <c r="C26499" t="s">
        <v>1</v>
      </c>
      <c r="D26499" t="s">
        <v>1</v>
      </c>
      <c r="E26499" t="s">
        <v>1</v>
      </c>
      <c r="F26499" t="s">
        <v>0</v>
      </c>
      <c r="G26499" t="str">
        <f>"2018-10-05 14:14:14"</f>
        <v>2018-10-05 14:14:14</v>
      </c>
    </row>
    <row r="26500" spans="1:7" x14ac:dyDescent="0.2">
      <c r="A26500" t="s">
        <v>24388</v>
      </c>
      <c r="B26500" t="str">
        <f>"18255310653"</f>
        <v>18255310653</v>
      </c>
      <c r="C26500" t="str">
        <f>"341122198912062028"</f>
        <v>341122198912062028</v>
      </c>
      <c r="D26500" t="s">
        <v>1</v>
      </c>
      <c r="E26500" t="s">
        <v>1</v>
      </c>
      <c r="F26500" t="s">
        <v>0</v>
      </c>
      <c r="G26500" t="str">
        <f>"2018-10-05 14:15:29"</f>
        <v>2018-10-05 14:15:29</v>
      </c>
    </row>
    <row r="26501" spans="1:7" x14ac:dyDescent="0.2">
      <c r="A26501" t="s">
        <v>603</v>
      </c>
      <c r="B26501" t="str">
        <f>"15054427019"</f>
        <v>15054427019</v>
      </c>
      <c r="C26501" t="str">
        <f>"370724199807014758"</f>
        <v>370724199807014758</v>
      </c>
      <c r="D26501" t="s">
        <v>24389</v>
      </c>
      <c r="E26501" t="s">
        <v>24390</v>
      </c>
      <c r="F26501" t="s">
        <v>0</v>
      </c>
      <c r="G26501" t="str">
        <f>"2018-10-05 14:14:26"</f>
        <v>2018-10-05 14:14:26</v>
      </c>
    </row>
    <row r="26502" spans="1:7" x14ac:dyDescent="0.2">
      <c r="A26502" t="s">
        <v>24391</v>
      </c>
      <c r="B26502" t="str">
        <f>"13500218931"</f>
        <v>13500218931</v>
      </c>
      <c r="C26502" t="str">
        <f>"441723199409092032"</f>
        <v>441723199409092032</v>
      </c>
      <c r="D26502" t="s">
        <v>1</v>
      </c>
      <c r="E26502" t="s">
        <v>1</v>
      </c>
      <c r="F26502" t="s">
        <v>0</v>
      </c>
      <c r="G26502" t="str">
        <f>"2018-10-05 14:13:17"</f>
        <v>2018-10-05 14:13:17</v>
      </c>
    </row>
    <row r="26503" spans="1:7" x14ac:dyDescent="0.2">
      <c r="A26503" t="s">
        <v>24392</v>
      </c>
      <c r="B26503" t="str">
        <f>"13243455446"</f>
        <v>13243455446</v>
      </c>
      <c r="C26503" t="str">
        <f>"410823199505040012"</f>
        <v>410823199505040012</v>
      </c>
      <c r="D26503" t="s">
        <v>1</v>
      </c>
      <c r="E26503" t="s">
        <v>1</v>
      </c>
      <c r="F26503" t="s">
        <v>0</v>
      </c>
      <c r="G26503" t="str">
        <f>"2018-10-05 16:31:08"</f>
        <v>2018-10-05 16:31:08</v>
      </c>
    </row>
    <row r="26504" spans="1:7" x14ac:dyDescent="0.2">
      <c r="A26504" t="s">
        <v>24393</v>
      </c>
      <c r="B26504" t="str">
        <f>"15653998807"</f>
        <v>15653998807</v>
      </c>
      <c r="C26504" t="str">
        <f>"371302198703184011"</f>
        <v>371302198703184011</v>
      </c>
      <c r="D26504" t="s">
        <v>24394</v>
      </c>
      <c r="E26504" t="s">
        <v>24395</v>
      </c>
      <c r="F26504" t="s">
        <v>0</v>
      </c>
      <c r="G26504" t="str">
        <f>"2018-10-07 09:34:44"</f>
        <v>2018-10-07 09:34:44</v>
      </c>
    </row>
    <row r="26505" spans="1:7" x14ac:dyDescent="0.2">
      <c r="A26505" t="s">
        <v>24396</v>
      </c>
      <c r="B26505" t="str">
        <f>"13152831362"</f>
        <v>13152831362</v>
      </c>
      <c r="C26505" t="str">
        <f>"140321199311211519"</f>
        <v>140321199311211519</v>
      </c>
      <c r="D26505" t="s">
        <v>1</v>
      </c>
      <c r="E26505" t="s">
        <v>1</v>
      </c>
      <c r="F26505" t="s">
        <v>0</v>
      </c>
      <c r="G26505" t="str">
        <f>"2018-10-05 14:13:53"</f>
        <v>2018-10-05 14:13:53</v>
      </c>
    </row>
    <row r="26506" spans="1:7" x14ac:dyDescent="0.2">
      <c r="A26506" t="s">
        <v>24397</v>
      </c>
      <c r="B26506" t="str">
        <f>"18872925537"</f>
        <v>18872925537</v>
      </c>
      <c r="C26506" t="str">
        <f>"420322198509216912"</f>
        <v>420322198509216912</v>
      </c>
      <c r="D26506" t="s">
        <v>1</v>
      </c>
      <c r="E26506" t="s">
        <v>1</v>
      </c>
      <c r="F26506" t="s">
        <v>0</v>
      </c>
      <c r="G26506" t="str">
        <f>"2018-10-05 14:47:01"</f>
        <v>2018-10-05 14:47:01</v>
      </c>
    </row>
    <row r="26507" spans="1:7" x14ac:dyDescent="0.2">
      <c r="A26507" t="s">
        <v>1</v>
      </c>
      <c r="B26507" t="str">
        <f>"13285824606"</f>
        <v>13285824606</v>
      </c>
      <c r="C26507" t="s">
        <v>1</v>
      </c>
      <c r="D26507" t="s">
        <v>1</v>
      </c>
      <c r="E26507" t="s">
        <v>1</v>
      </c>
      <c r="F26507" t="s">
        <v>0</v>
      </c>
      <c r="G26507" t="str">
        <f>"2018-10-05 14:12:02"</f>
        <v>2018-10-05 14:12:02</v>
      </c>
    </row>
    <row r="26508" spans="1:7" x14ac:dyDescent="0.2">
      <c r="A26508" t="s">
        <v>1</v>
      </c>
      <c r="B26508" t="str">
        <f>"13065713816"</f>
        <v>13065713816</v>
      </c>
      <c r="C26508" t="s">
        <v>1</v>
      </c>
      <c r="D26508" t="s">
        <v>1</v>
      </c>
      <c r="E26508" t="s">
        <v>1</v>
      </c>
      <c r="F26508" t="s">
        <v>0</v>
      </c>
      <c r="G26508" t="str">
        <f>"2018-10-05 14:11:54"</f>
        <v>2018-10-05 14:11:54</v>
      </c>
    </row>
    <row r="26509" spans="1:7" x14ac:dyDescent="0.2">
      <c r="A26509" t="s">
        <v>24398</v>
      </c>
      <c r="B26509" t="str">
        <f>"18270017546"</f>
        <v>18270017546</v>
      </c>
      <c r="C26509" t="str">
        <f>"360735199704103018"</f>
        <v>360735199704103018</v>
      </c>
      <c r="D26509" t="s">
        <v>1</v>
      </c>
      <c r="E26509" t="s">
        <v>1</v>
      </c>
      <c r="F26509" t="s">
        <v>0</v>
      </c>
      <c r="G26509" t="str">
        <f>"2018-10-05 14:13:21"</f>
        <v>2018-10-05 14:13:21</v>
      </c>
    </row>
    <row r="26510" spans="1:7" x14ac:dyDescent="0.2">
      <c r="A26510" t="s">
        <v>1</v>
      </c>
      <c r="B26510" t="str">
        <f>"18968201655"</f>
        <v>18968201655</v>
      </c>
      <c r="C26510" t="s">
        <v>1</v>
      </c>
      <c r="D26510" t="s">
        <v>1</v>
      </c>
      <c r="E26510" t="s">
        <v>1</v>
      </c>
      <c r="F26510" t="s">
        <v>0</v>
      </c>
      <c r="G26510" t="str">
        <f>"2018-10-05 14:11:36"</f>
        <v>2018-10-05 14:11:36</v>
      </c>
    </row>
    <row r="26511" spans="1:7" x14ac:dyDescent="0.2">
      <c r="A26511" t="s">
        <v>24399</v>
      </c>
      <c r="B26511" t="str">
        <f>"15248192258"</f>
        <v>15248192258</v>
      </c>
      <c r="C26511" t="str">
        <f>"150121199109013536"</f>
        <v>150121199109013536</v>
      </c>
      <c r="D26511" t="s">
        <v>1</v>
      </c>
      <c r="E26511" t="s">
        <v>1</v>
      </c>
      <c r="F26511" t="s">
        <v>0</v>
      </c>
      <c r="G26511" t="str">
        <f>"2018-10-05 14:12:47"</f>
        <v>2018-10-05 14:12:47</v>
      </c>
    </row>
    <row r="26512" spans="1:7" x14ac:dyDescent="0.2">
      <c r="A26512" t="s">
        <v>1</v>
      </c>
      <c r="B26512" t="str">
        <f>"18314166103"</f>
        <v>18314166103</v>
      </c>
      <c r="C26512" t="s">
        <v>1</v>
      </c>
      <c r="D26512" t="s">
        <v>1</v>
      </c>
      <c r="E26512" t="s">
        <v>1</v>
      </c>
      <c r="F26512" t="s">
        <v>0</v>
      </c>
      <c r="G26512" t="str">
        <f>"2018-10-05 14:11:22"</f>
        <v>2018-10-05 14:11:22</v>
      </c>
    </row>
    <row r="26513" spans="1:7" x14ac:dyDescent="0.2">
      <c r="A26513" t="s">
        <v>24400</v>
      </c>
      <c r="B26513" t="str">
        <f>"15826888880"</f>
        <v>15826888880</v>
      </c>
      <c r="C26513" t="str">
        <f>"429006198806027650"</f>
        <v>429006198806027650</v>
      </c>
      <c r="D26513" t="s">
        <v>1</v>
      </c>
      <c r="E26513" t="s">
        <v>1</v>
      </c>
      <c r="F26513" t="s">
        <v>0</v>
      </c>
      <c r="G26513" t="str">
        <f>"2018-10-05 15:34:30"</f>
        <v>2018-10-05 15:34:30</v>
      </c>
    </row>
    <row r="26514" spans="1:7" x14ac:dyDescent="0.2">
      <c r="A26514" t="s">
        <v>24401</v>
      </c>
      <c r="B26514" t="str">
        <f>"15752372622"</f>
        <v>15752372622</v>
      </c>
      <c r="C26514" t="str">
        <f>"532724199504131211"</f>
        <v>532724199504131211</v>
      </c>
      <c r="D26514" t="s">
        <v>24402</v>
      </c>
      <c r="E26514" t="s">
        <v>24403</v>
      </c>
      <c r="F26514" t="s">
        <v>0</v>
      </c>
      <c r="G26514" t="str">
        <f>"2018-10-05 14:10:52"</f>
        <v>2018-10-05 14:10:52</v>
      </c>
    </row>
    <row r="26515" spans="1:7" x14ac:dyDescent="0.2">
      <c r="A26515" t="s">
        <v>24404</v>
      </c>
      <c r="B26515" t="str">
        <f>"18168720310"</f>
        <v>18168720310</v>
      </c>
      <c r="C26515" t="str">
        <f>"321084199311263822"</f>
        <v>321084199311263822</v>
      </c>
      <c r="D26515" t="s">
        <v>1</v>
      </c>
      <c r="E26515" t="s">
        <v>1</v>
      </c>
      <c r="F26515" t="s">
        <v>0</v>
      </c>
      <c r="G26515" t="str">
        <f>"2018-10-05 14:14:26"</f>
        <v>2018-10-05 14:14:26</v>
      </c>
    </row>
    <row r="26516" spans="1:7" x14ac:dyDescent="0.2">
      <c r="A26516" t="s">
        <v>24405</v>
      </c>
      <c r="B26516" t="str">
        <f>"18717918539"</f>
        <v>18717918539</v>
      </c>
      <c r="C26516" t="str">
        <f>"310227199007120035"</f>
        <v>310227199007120035</v>
      </c>
      <c r="D26516" t="s">
        <v>24406</v>
      </c>
      <c r="E26516" t="s">
        <v>24407</v>
      </c>
      <c r="F26516" t="s">
        <v>0</v>
      </c>
      <c r="G26516" t="str">
        <f>"2018-10-05 14:12:55"</f>
        <v>2018-10-05 14:12:55</v>
      </c>
    </row>
    <row r="26517" spans="1:7" x14ac:dyDescent="0.2">
      <c r="A26517" t="s">
        <v>1</v>
      </c>
      <c r="B26517" t="str">
        <f>"15737555079"</f>
        <v>15737555079</v>
      </c>
      <c r="C26517" t="s">
        <v>1</v>
      </c>
      <c r="D26517" t="s">
        <v>1</v>
      </c>
      <c r="E26517" t="s">
        <v>1</v>
      </c>
      <c r="F26517" t="s">
        <v>0</v>
      </c>
      <c r="G26517" t="str">
        <f>"2018-10-05 14:09:55"</f>
        <v>2018-10-05 14:09:55</v>
      </c>
    </row>
    <row r="26518" spans="1:7" x14ac:dyDescent="0.2">
      <c r="A26518" t="s">
        <v>24408</v>
      </c>
      <c r="B26518" t="str">
        <f>"17682472096"</f>
        <v>17682472096</v>
      </c>
      <c r="C26518" t="str">
        <f>"412822199402021172"</f>
        <v>412822199402021172</v>
      </c>
      <c r="D26518" t="s">
        <v>1</v>
      </c>
      <c r="E26518" t="s">
        <v>1</v>
      </c>
      <c r="F26518" t="s">
        <v>0</v>
      </c>
      <c r="G26518" t="str">
        <f>"2018-10-05 14:16:45"</f>
        <v>2018-10-05 14:16:45</v>
      </c>
    </row>
    <row r="26519" spans="1:7" x14ac:dyDescent="0.2">
      <c r="A26519" t="s">
        <v>24409</v>
      </c>
      <c r="B26519" t="str">
        <f>"13166713383"</f>
        <v>13166713383</v>
      </c>
      <c r="C26519" t="str">
        <f>"211021199909073512"</f>
        <v>211021199909073512</v>
      </c>
      <c r="D26519" t="s">
        <v>1</v>
      </c>
      <c r="E26519" t="s">
        <v>1</v>
      </c>
      <c r="F26519" t="s">
        <v>0</v>
      </c>
      <c r="G26519" t="str">
        <f>"2018-10-05 14:09:15"</f>
        <v>2018-10-05 14:09:15</v>
      </c>
    </row>
    <row r="26520" spans="1:7" x14ac:dyDescent="0.2">
      <c r="A26520" t="s">
        <v>24410</v>
      </c>
      <c r="B26520" t="str">
        <f>"18623095466"</f>
        <v>18623095466</v>
      </c>
      <c r="C26520" t="str">
        <f>"500231199502115276"</f>
        <v>500231199502115276</v>
      </c>
      <c r="D26520" t="s">
        <v>1</v>
      </c>
      <c r="E26520" t="s">
        <v>1</v>
      </c>
      <c r="F26520" t="s">
        <v>0</v>
      </c>
      <c r="G26520" t="str">
        <f>"2018-10-05 14:09:13"</f>
        <v>2018-10-05 14:09:13</v>
      </c>
    </row>
    <row r="26521" spans="1:7" x14ac:dyDescent="0.2">
      <c r="A26521" t="s">
        <v>1</v>
      </c>
      <c r="B26521" t="str">
        <f>"13407193079"</f>
        <v>13407193079</v>
      </c>
      <c r="C26521" t="s">
        <v>1</v>
      </c>
      <c r="D26521" t="s">
        <v>1</v>
      </c>
      <c r="E26521" t="s">
        <v>1</v>
      </c>
      <c r="F26521" t="s">
        <v>0</v>
      </c>
      <c r="G26521" t="str">
        <f>"2018-10-05 14:09:11"</f>
        <v>2018-10-05 14:09:11</v>
      </c>
    </row>
    <row r="26522" spans="1:7" x14ac:dyDescent="0.2">
      <c r="A26522" t="s">
        <v>24411</v>
      </c>
      <c r="B26522" t="str">
        <f>"15683669837"</f>
        <v>15683669837</v>
      </c>
      <c r="C26522" t="str">
        <f>"532225199310150018"</f>
        <v>532225199310150018</v>
      </c>
      <c r="D26522" t="s">
        <v>1</v>
      </c>
      <c r="E26522" t="s">
        <v>1</v>
      </c>
      <c r="F26522" t="s">
        <v>0</v>
      </c>
      <c r="G26522" t="str">
        <f>"2018-10-05 14:09:33"</f>
        <v>2018-10-05 14:09:33</v>
      </c>
    </row>
    <row r="26523" spans="1:7" x14ac:dyDescent="0.2">
      <c r="A26523" t="s">
        <v>1</v>
      </c>
      <c r="B26523" t="str">
        <f>"17606534669"</f>
        <v>17606534669</v>
      </c>
      <c r="C26523" t="s">
        <v>1</v>
      </c>
      <c r="D26523" t="s">
        <v>1</v>
      </c>
      <c r="E26523" t="s">
        <v>1</v>
      </c>
      <c r="F26523" t="s">
        <v>0</v>
      </c>
      <c r="G26523" t="str">
        <f>"2018-10-05 14:08:24"</f>
        <v>2018-10-05 14:08:24</v>
      </c>
    </row>
    <row r="26524" spans="1:7" x14ac:dyDescent="0.2">
      <c r="A26524" t="s">
        <v>24412</v>
      </c>
      <c r="B26524" t="str">
        <f>"18691415350"</f>
        <v>18691415350</v>
      </c>
      <c r="C26524" t="str">
        <f>"612501199512236018"</f>
        <v>612501199512236018</v>
      </c>
      <c r="D26524" t="s">
        <v>24413</v>
      </c>
      <c r="E26524" t="s">
        <v>24414</v>
      </c>
      <c r="F26524" t="s">
        <v>0</v>
      </c>
      <c r="G26524" t="str">
        <f>"2018-10-05 14:10:39"</f>
        <v>2018-10-05 14:10:39</v>
      </c>
    </row>
    <row r="26525" spans="1:7" x14ac:dyDescent="0.2">
      <c r="A26525" t="s">
        <v>24415</v>
      </c>
      <c r="B26525" t="str">
        <f>"18976387045"</f>
        <v>18976387045</v>
      </c>
      <c r="C26525" t="str">
        <f>"460022198507015114"</f>
        <v>460022198507015114</v>
      </c>
      <c r="D26525" t="s">
        <v>1</v>
      </c>
      <c r="E26525" t="s">
        <v>1</v>
      </c>
      <c r="F26525" t="s">
        <v>0</v>
      </c>
      <c r="G26525" t="str">
        <f>"2018-10-05 14:07:42"</f>
        <v>2018-10-05 14:07:42</v>
      </c>
    </row>
    <row r="26526" spans="1:7" x14ac:dyDescent="0.2">
      <c r="A26526" t="s">
        <v>149</v>
      </c>
      <c r="B26526" t="str">
        <f>"18209602636"</f>
        <v>18209602636</v>
      </c>
      <c r="C26526" t="str">
        <f>"640381199504080038"</f>
        <v>640381199504080038</v>
      </c>
      <c r="D26526" t="s">
        <v>1</v>
      </c>
      <c r="E26526" t="s">
        <v>1</v>
      </c>
      <c r="F26526" t="s">
        <v>0</v>
      </c>
      <c r="G26526" t="str">
        <f>"2018-10-05 14:10:05"</f>
        <v>2018-10-05 14:10:05</v>
      </c>
    </row>
    <row r="26527" spans="1:7" x14ac:dyDescent="0.2">
      <c r="A26527" t="s">
        <v>1</v>
      </c>
      <c r="B26527" t="str">
        <f>"13130368871"</f>
        <v>13130368871</v>
      </c>
      <c r="C26527" t="s">
        <v>1</v>
      </c>
      <c r="D26527" t="s">
        <v>1</v>
      </c>
      <c r="E26527" t="s">
        <v>1</v>
      </c>
      <c r="F26527" t="s">
        <v>0</v>
      </c>
      <c r="G26527" t="str">
        <f>"2018-10-05 14:07:14"</f>
        <v>2018-10-05 14:07:14</v>
      </c>
    </row>
    <row r="26528" spans="1:7" x14ac:dyDescent="0.2">
      <c r="A26528" t="s">
        <v>24416</v>
      </c>
      <c r="B26528" t="str">
        <f>"13981497733"</f>
        <v>13981497733</v>
      </c>
      <c r="C26528" t="str">
        <f>"513021198906122276"</f>
        <v>513021198906122276</v>
      </c>
      <c r="D26528" t="s">
        <v>24417</v>
      </c>
      <c r="E26528" t="s">
        <v>24418</v>
      </c>
      <c r="F26528" t="s">
        <v>0</v>
      </c>
      <c r="G26528" t="str">
        <f>"2018-10-05 14:06:55"</f>
        <v>2018-10-05 14:06:55</v>
      </c>
    </row>
    <row r="26529" spans="1:7" x14ac:dyDescent="0.2">
      <c r="A26529" t="s">
        <v>24419</v>
      </c>
      <c r="B26529" t="str">
        <f>"13950093800"</f>
        <v>13950093800</v>
      </c>
      <c r="C26529" t="str">
        <f>"35260119751010003X"</f>
        <v>35260119751010003X</v>
      </c>
      <c r="D26529" t="s">
        <v>1</v>
      </c>
      <c r="E26529" t="s">
        <v>1</v>
      </c>
      <c r="F26529" t="s">
        <v>0</v>
      </c>
      <c r="G26529" t="str">
        <f>"2018-10-05 14:08:31"</f>
        <v>2018-10-05 14:08:31</v>
      </c>
    </row>
    <row r="26530" spans="1:7" x14ac:dyDescent="0.2">
      <c r="A26530" t="s">
        <v>4212</v>
      </c>
      <c r="B26530" t="str">
        <f>"15887433312"</f>
        <v>15887433312</v>
      </c>
      <c r="C26530" t="str">
        <f>"530328199309171834"</f>
        <v>530328199309171834</v>
      </c>
      <c r="D26530" t="s">
        <v>24420</v>
      </c>
      <c r="E26530" t="s">
        <v>24421</v>
      </c>
      <c r="F26530" t="s">
        <v>0</v>
      </c>
      <c r="G26530" t="str">
        <f>"2018-10-05 14:11:03"</f>
        <v>2018-10-05 14:11:03</v>
      </c>
    </row>
    <row r="26531" spans="1:7" x14ac:dyDescent="0.2">
      <c r="A26531" t="s">
        <v>24422</v>
      </c>
      <c r="B26531" t="str">
        <f>"13793571810"</f>
        <v>13793571810</v>
      </c>
      <c r="C26531" t="str">
        <f>"370921199106063911"</f>
        <v>370921199106063911</v>
      </c>
      <c r="D26531" t="s">
        <v>1</v>
      </c>
      <c r="E26531" t="s">
        <v>1</v>
      </c>
      <c r="F26531" t="s">
        <v>0</v>
      </c>
      <c r="G26531" t="str">
        <f>"2018-10-05 14:26:54"</f>
        <v>2018-10-05 14:26:54</v>
      </c>
    </row>
    <row r="26532" spans="1:7" x14ac:dyDescent="0.2">
      <c r="A26532" t="s">
        <v>24423</v>
      </c>
      <c r="B26532" t="str">
        <f>"18272199066"</f>
        <v>18272199066</v>
      </c>
      <c r="C26532" t="str">
        <f>"422301196810164710"</f>
        <v>422301196810164710</v>
      </c>
      <c r="D26532" t="s">
        <v>1</v>
      </c>
      <c r="E26532" t="s">
        <v>1</v>
      </c>
      <c r="F26532" t="s">
        <v>0</v>
      </c>
      <c r="G26532" t="str">
        <f>"2018-10-05 14:07:12"</f>
        <v>2018-10-05 14:07:12</v>
      </c>
    </row>
    <row r="26533" spans="1:7" x14ac:dyDescent="0.2">
      <c r="A26533" t="s">
        <v>1</v>
      </c>
      <c r="B26533" t="str">
        <f>"18689952678"</f>
        <v>18689952678</v>
      </c>
      <c r="C26533" t="s">
        <v>1</v>
      </c>
      <c r="D26533" t="s">
        <v>1</v>
      </c>
      <c r="E26533" t="s">
        <v>1</v>
      </c>
      <c r="F26533" t="s">
        <v>0</v>
      </c>
      <c r="G26533" t="str">
        <f>"2018-10-05 14:09:51"</f>
        <v>2018-10-05 14:09:51</v>
      </c>
    </row>
    <row r="26534" spans="1:7" x14ac:dyDescent="0.2">
      <c r="A26534" t="s">
        <v>24424</v>
      </c>
      <c r="B26534" t="str">
        <f>"18903792775"</f>
        <v>18903792775</v>
      </c>
      <c r="C26534" t="str">
        <f>"41031119720629503X"</f>
        <v>41031119720629503X</v>
      </c>
      <c r="D26534" t="s">
        <v>1</v>
      </c>
      <c r="E26534" t="s">
        <v>1</v>
      </c>
      <c r="F26534" t="s">
        <v>0</v>
      </c>
      <c r="G26534" t="str">
        <f>"2018-10-05 14:08:05"</f>
        <v>2018-10-05 14:08:05</v>
      </c>
    </row>
    <row r="26535" spans="1:7" x14ac:dyDescent="0.2">
      <c r="A26535" t="s">
        <v>1</v>
      </c>
      <c r="B26535" t="str">
        <f>"18259905150"</f>
        <v>18259905150</v>
      </c>
      <c r="C26535" t="s">
        <v>1</v>
      </c>
      <c r="D26535" t="s">
        <v>1</v>
      </c>
      <c r="E26535" t="s">
        <v>1</v>
      </c>
      <c r="F26535" t="s">
        <v>0</v>
      </c>
      <c r="G26535" t="str">
        <f>"2018-10-05 14:06:35"</f>
        <v>2018-10-05 14:06:35</v>
      </c>
    </row>
    <row r="26536" spans="1:7" x14ac:dyDescent="0.2">
      <c r="A26536" t="s">
        <v>24425</v>
      </c>
      <c r="B26536" t="str">
        <f>"18217383778"</f>
        <v>18217383778</v>
      </c>
      <c r="C26536" t="str">
        <f>"420625199203053073"</f>
        <v>420625199203053073</v>
      </c>
      <c r="D26536" t="s">
        <v>1</v>
      </c>
      <c r="E26536" t="s">
        <v>1</v>
      </c>
      <c r="F26536" t="s">
        <v>0</v>
      </c>
      <c r="G26536" t="str">
        <f>"2018-10-07 14:04:57"</f>
        <v>2018-10-07 14:04:57</v>
      </c>
    </row>
    <row r="26537" spans="1:7" x14ac:dyDescent="0.2">
      <c r="A26537" t="s">
        <v>1</v>
      </c>
      <c r="B26537" t="str">
        <f>"18120957472"</f>
        <v>18120957472</v>
      </c>
      <c r="C26537" t="s">
        <v>1</v>
      </c>
      <c r="D26537" t="s">
        <v>1</v>
      </c>
      <c r="E26537" t="s">
        <v>1</v>
      </c>
      <c r="F26537" t="s">
        <v>0</v>
      </c>
      <c r="G26537" t="str">
        <f>"2018-10-05 14:06:48"</f>
        <v>2018-10-05 14:06:48</v>
      </c>
    </row>
    <row r="26538" spans="1:7" x14ac:dyDescent="0.2">
      <c r="A26538" t="s">
        <v>24426</v>
      </c>
      <c r="B26538" t="str">
        <f>"15905280305"</f>
        <v>15905280305</v>
      </c>
      <c r="C26538" t="str">
        <f>"321102197109072848"</f>
        <v>321102197109072848</v>
      </c>
      <c r="D26538" t="s">
        <v>1</v>
      </c>
      <c r="E26538" t="s">
        <v>1</v>
      </c>
      <c r="F26538" t="s">
        <v>0</v>
      </c>
      <c r="G26538" t="str">
        <f>"2018-10-05 14:16:30"</f>
        <v>2018-10-05 14:16:30</v>
      </c>
    </row>
    <row r="26539" spans="1:7" x14ac:dyDescent="0.2">
      <c r="A26539" t="s">
        <v>1</v>
      </c>
      <c r="B26539" t="str">
        <f>"15103008818"</f>
        <v>15103008818</v>
      </c>
      <c r="C26539" t="s">
        <v>1</v>
      </c>
      <c r="D26539" t="s">
        <v>1</v>
      </c>
      <c r="E26539" t="s">
        <v>1</v>
      </c>
      <c r="F26539" t="s">
        <v>0</v>
      </c>
      <c r="G26539" t="str">
        <f>"2018-10-05 14:04:25"</f>
        <v>2018-10-05 14:04:25</v>
      </c>
    </row>
    <row r="26540" spans="1:7" x14ac:dyDescent="0.2">
      <c r="A26540" t="s">
        <v>17478</v>
      </c>
      <c r="B26540" t="str">
        <f>"15166188787"</f>
        <v>15166188787</v>
      </c>
      <c r="C26540" t="str">
        <f>"370781198004010764"</f>
        <v>370781198004010764</v>
      </c>
      <c r="D26540" t="s">
        <v>1</v>
      </c>
      <c r="E26540" t="s">
        <v>1</v>
      </c>
      <c r="F26540" t="s">
        <v>0</v>
      </c>
      <c r="G26540" t="str">
        <f>"2018-10-05 14:33:49"</f>
        <v>2018-10-05 14:33:49</v>
      </c>
    </row>
    <row r="26541" spans="1:7" x14ac:dyDescent="0.2">
      <c r="A26541" t="s">
        <v>7280</v>
      </c>
      <c r="B26541" t="str">
        <f>"18672338196"</f>
        <v>18672338196</v>
      </c>
      <c r="C26541" t="str">
        <f>"420104198508094024"</f>
        <v>420104198508094024</v>
      </c>
      <c r="D26541" t="s">
        <v>24427</v>
      </c>
      <c r="E26541" t="s">
        <v>24428</v>
      </c>
      <c r="F26541" t="s">
        <v>0</v>
      </c>
      <c r="G26541" t="str">
        <f>"2018-10-05 14:04:19"</f>
        <v>2018-10-05 14:04:19</v>
      </c>
    </row>
    <row r="26542" spans="1:7" x14ac:dyDescent="0.2">
      <c r="A26542" t="s">
        <v>24429</v>
      </c>
      <c r="B26542" t="str">
        <f>"15077920816"</f>
        <v>15077920816</v>
      </c>
      <c r="C26542" t="str">
        <f>"340403199204191823"</f>
        <v>340403199204191823</v>
      </c>
      <c r="D26542" t="s">
        <v>24430</v>
      </c>
      <c r="E26542" t="s">
        <v>24431</v>
      </c>
      <c r="F26542" t="s">
        <v>0</v>
      </c>
      <c r="G26542" t="str">
        <f>"2018-11-02 09:47:18"</f>
        <v>2018-11-02 09:47:18</v>
      </c>
    </row>
    <row r="26543" spans="1:7" x14ac:dyDescent="0.2">
      <c r="A26543" t="s">
        <v>24432</v>
      </c>
      <c r="B26543" t="str">
        <f>"13823899694"</f>
        <v>13823899694</v>
      </c>
      <c r="C26543" t="str">
        <f>"441421198809031913"</f>
        <v>441421198809031913</v>
      </c>
      <c r="D26543" t="s">
        <v>1</v>
      </c>
      <c r="E26543" t="s">
        <v>1</v>
      </c>
      <c r="F26543" t="s">
        <v>0</v>
      </c>
      <c r="G26543" t="str">
        <f>"2018-10-05 14:08:28"</f>
        <v>2018-10-05 14:08:28</v>
      </c>
    </row>
    <row r="26544" spans="1:7" x14ac:dyDescent="0.2">
      <c r="A26544" t="s">
        <v>24433</v>
      </c>
      <c r="B26544" t="str">
        <f>"17695910518"</f>
        <v>17695910518</v>
      </c>
      <c r="C26544" t="str">
        <f>"211421199108212414"</f>
        <v>211421199108212414</v>
      </c>
      <c r="D26544" t="s">
        <v>1</v>
      </c>
      <c r="E26544" t="s">
        <v>1</v>
      </c>
      <c r="F26544" t="s">
        <v>0</v>
      </c>
      <c r="G26544" t="str">
        <f>"2018-10-05 14:01:55"</f>
        <v>2018-10-05 14:01:55</v>
      </c>
    </row>
    <row r="26545" spans="1:7" x14ac:dyDescent="0.2">
      <c r="A26545" t="s">
        <v>24434</v>
      </c>
      <c r="B26545" t="str">
        <f>"13435713671"</f>
        <v>13435713671</v>
      </c>
      <c r="C26545" t="str">
        <f>"420881198907168730"</f>
        <v>420881198907168730</v>
      </c>
      <c r="D26545" t="s">
        <v>1</v>
      </c>
      <c r="E26545" t="s">
        <v>1</v>
      </c>
      <c r="F26545" t="s">
        <v>0</v>
      </c>
      <c r="G26545" t="str">
        <f>"2018-10-16 10:03:44"</f>
        <v>2018-10-16 10:03:44</v>
      </c>
    </row>
    <row r="26546" spans="1:7" x14ac:dyDescent="0.2">
      <c r="A26546" t="s">
        <v>1</v>
      </c>
      <c r="B26546" t="str">
        <f>"13961992113"</f>
        <v>13961992113</v>
      </c>
      <c r="C26546" t="s">
        <v>1</v>
      </c>
      <c r="D26546" t="s">
        <v>1</v>
      </c>
      <c r="E26546" t="s">
        <v>1</v>
      </c>
      <c r="F26546" t="s">
        <v>0</v>
      </c>
      <c r="G26546" t="str">
        <f>"2018-10-05 14:04:10"</f>
        <v>2018-10-05 14:04:10</v>
      </c>
    </row>
    <row r="26547" spans="1:7" x14ac:dyDescent="0.2">
      <c r="A26547" t="s">
        <v>24435</v>
      </c>
      <c r="B26547" t="str">
        <f>"17713554482"</f>
        <v>17713554482</v>
      </c>
      <c r="C26547" t="str">
        <f>"510112198606185618"</f>
        <v>510112198606185618</v>
      </c>
      <c r="D26547" t="s">
        <v>24436</v>
      </c>
      <c r="E26547" t="s">
        <v>24437</v>
      </c>
      <c r="F26547" t="s">
        <v>0</v>
      </c>
      <c r="G26547" t="str">
        <f>"2018-10-20 14:15:23"</f>
        <v>2018-10-20 14:15:23</v>
      </c>
    </row>
    <row r="26548" spans="1:7" x14ac:dyDescent="0.2">
      <c r="A26548" t="s">
        <v>1</v>
      </c>
      <c r="B26548" t="str">
        <f>"15685032227"</f>
        <v>15685032227</v>
      </c>
      <c r="C26548" t="s">
        <v>1</v>
      </c>
      <c r="D26548" t="s">
        <v>1</v>
      </c>
      <c r="E26548" t="s">
        <v>1</v>
      </c>
      <c r="F26548" t="s">
        <v>0</v>
      </c>
      <c r="G26548" t="str">
        <f>"2018-10-05 13:59:48"</f>
        <v>2018-10-05 13:59:48</v>
      </c>
    </row>
    <row r="26549" spans="1:7" x14ac:dyDescent="0.2">
      <c r="A26549" t="s">
        <v>1590</v>
      </c>
      <c r="B26549" t="str">
        <f>"17828178619"</f>
        <v>17828178619</v>
      </c>
      <c r="C26549" t="str">
        <f>"510125199202220911"</f>
        <v>510125199202220911</v>
      </c>
      <c r="D26549" t="s">
        <v>1</v>
      </c>
      <c r="E26549" t="s">
        <v>1</v>
      </c>
      <c r="F26549" t="s">
        <v>0</v>
      </c>
      <c r="G26549" t="str">
        <f>"2018-10-05 14:06:40"</f>
        <v>2018-10-05 14:06:40</v>
      </c>
    </row>
    <row r="26550" spans="1:7" x14ac:dyDescent="0.2">
      <c r="A26550" t="s">
        <v>24438</v>
      </c>
      <c r="B26550" t="str">
        <f>"15071325553"</f>
        <v>15071325553</v>
      </c>
      <c r="C26550" t="str">
        <f>"420111198210095562"</f>
        <v>420111198210095562</v>
      </c>
      <c r="D26550" t="s">
        <v>24439</v>
      </c>
      <c r="E26550" t="s">
        <v>24440</v>
      </c>
      <c r="F26550" t="s">
        <v>0</v>
      </c>
      <c r="G26550" t="str">
        <f>"2018-10-05 13:59:53"</f>
        <v>2018-10-05 13:59:53</v>
      </c>
    </row>
    <row r="26551" spans="1:7" x14ac:dyDescent="0.2">
      <c r="A26551" t="s">
        <v>24441</v>
      </c>
      <c r="B26551" t="str">
        <f>"13352286122"</f>
        <v>13352286122</v>
      </c>
      <c r="C26551" t="str">
        <f>"41272619760305123X"</f>
        <v>41272619760305123X</v>
      </c>
      <c r="D26551" t="s">
        <v>1</v>
      </c>
      <c r="E26551" t="s">
        <v>1</v>
      </c>
      <c r="F26551" t="s">
        <v>0</v>
      </c>
      <c r="G26551" t="str">
        <f>"2018-10-05 14:01:32"</f>
        <v>2018-10-05 14:01:32</v>
      </c>
    </row>
    <row r="26552" spans="1:7" x14ac:dyDescent="0.2">
      <c r="A26552" t="s">
        <v>24442</v>
      </c>
      <c r="B26552" t="str">
        <f>"17768003071"</f>
        <v>17768003071</v>
      </c>
      <c r="C26552" t="str">
        <f>"412825199502038253"</f>
        <v>412825199502038253</v>
      </c>
      <c r="D26552" t="s">
        <v>1</v>
      </c>
      <c r="E26552" t="s">
        <v>1</v>
      </c>
      <c r="F26552" t="s">
        <v>0</v>
      </c>
      <c r="G26552" t="str">
        <f>"2018-10-05 14:01:34"</f>
        <v>2018-10-05 14:01:34</v>
      </c>
    </row>
    <row r="26553" spans="1:7" x14ac:dyDescent="0.2">
      <c r="A26553" t="s">
        <v>24443</v>
      </c>
      <c r="B26553" t="str">
        <f>"18635177770"</f>
        <v>18635177770</v>
      </c>
      <c r="C26553" t="str">
        <f>"140402198504050813"</f>
        <v>140402198504050813</v>
      </c>
      <c r="D26553" t="s">
        <v>1</v>
      </c>
      <c r="E26553" t="s">
        <v>1</v>
      </c>
      <c r="F26553" t="s">
        <v>0</v>
      </c>
      <c r="G26553" t="str">
        <f>"2018-10-05 15:52:30"</f>
        <v>2018-10-05 15:52:30</v>
      </c>
    </row>
    <row r="26554" spans="1:7" x14ac:dyDescent="0.2">
      <c r="A26554" t="s">
        <v>1152</v>
      </c>
      <c r="B26554" t="str">
        <f>"15223116430"</f>
        <v>15223116430</v>
      </c>
      <c r="C26554" t="str">
        <f>"50022119850719341X"</f>
        <v>50022119850719341X</v>
      </c>
      <c r="D26554" t="s">
        <v>1</v>
      </c>
      <c r="E26554" t="s">
        <v>1</v>
      </c>
      <c r="F26554" t="s">
        <v>0</v>
      </c>
      <c r="G26554" t="str">
        <f>"2018-10-05 13:58:34"</f>
        <v>2018-10-05 13:58:34</v>
      </c>
    </row>
    <row r="26555" spans="1:7" x14ac:dyDescent="0.2">
      <c r="A26555" t="s">
        <v>1</v>
      </c>
      <c r="B26555" t="str">
        <f>"18783501943"</f>
        <v>18783501943</v>
      </c>
      <c r="C26555" t="s">
        <v>1</v>
      </c>
      <c r="D26555" t="s">
        <v>1</v>
      </c>
      <c r="E26555" t="s">
        <v>1</v>
      </c>
      <c r="F26555" t="s">
        <v>0</v>
      </c>
      <c r="G26555" t="str">
        <f>"2018-10-05 13:57:40"</f>
        <v>2018-10-05 13:57:40</v>
      </c>
    </row>
    <row r="26556" spans="1:7" x14ac:dyDescent="0.2">
      <c r="A26556" t="s">
        <v>1</v>
      </c>
      <c r="B26556" t="str">
        <f>"18021495388"</f>
        <v>18021495388</v>
      </c>
      <c r="C26556" t="s">
        <v>1</v>
      </c>
      <c r="D26556" t="s">
        <v>1</v>
      </c>
      <c r="E26556" t="s">
        <v>1</v>
      </c>
      <c r="F26556" t="s">
        <v>0</v>
      </c>
      <c r="G26556" t="str">
        <f>"2018-10-05 13:56:42"</f>
        <v>2018-10-05 13:56:42</v>
      </c>
    </row>
    <row r="26557" spans="1:7" x14ac:dyDescent="0.2">
      <c r="A26557" t="s">
        <v>1855</v>
      </c>
      <c r="B26557" t="str">
        <f>"18842336015"</f>
        <v>18842336015</v>
      </c>
      <c r="C26557" t="str">
        <f>"211381198903230220"</f>
        <v>211381198903230220</v>
      </c>
      <c r="D26557" t="s">
        <v>1</v>
      </c>
      <c r="E26557" t="s">
        <v>1</v>
      </c>
      <c r="F26557" t="s">
        <v>0</v>
      </c>
      <c r="G26557" t="str">
        <f>"2018-10-05 14:40:17"</f>
        <v>2018-10-05 14:40:17</v>
      </c>
    </row>
    <row r="26558" spans="1:7" x14ac:dyDescent="0.2">
      <c r="A26558" t="s">
        <v>1757</v>
      </c>
      <c r="B26558" t="str">
        <f>"13395186918"</f>
        <v>13395186918</v>
      </c>
      <c r="C26558" t="str">
        <f>"32128319910607041X"</f>
        <v>32128319910607041X</v>
      </c>
      <c r="D26558" t="s">
        <v>1</v>
      </c>
      <c r="E26558" t="s">
        <v>1</v>
      </c>
      <c r="F26558" t="s">
        <v>0</v>
      </c>
      <c r="G26558" t="str">
        <f>"2018-10-05 14:08:04"</f>
        <v>2018-10-05 14:08:04</v>
      </c>
    </row>
    <row r="26559" spans="1:7" x14ac:dyDescent="0.2">
      <c r="A26559" t="s">
        <v>1</v>
      </c>
      <c r="B26559" t="str">
        <f>"15955167413"</f>
        <v>15955167413</v>
      </c>
      <c r="C26559" t="s">
        <v>1</v>
      </c>
      <c r="D26559" t="s">
        <v>1</v>
      </c>
      <c r="E26559" t="s">
        <v>1</v>
      </c>
      <c r="F26559" t="s">
        <v>0</v>
      </c>
      <c r="G26559" t="str">
        <f>"2018-10-05 13:55:42"</f>
        <v>2018-10-05 13:55:42</v>
      </c>
    </row>
    <row r="26560" spans="1:7" x14ac:dyDescent="0.2">
      <c r="A26560" t="s">
        <v>24444</v>
      </c>
      <c r="B26560" t="str">
        <f>"13522688780"</f>
        <v>13522688780</v>
      </c>
      <c r="C26560" t="str">
        <f>"150222199205075923"</f>
        <v>150222199205075923</v>
      </c>
      <c r="D26560" t="s">
        <v>24445</v>
      </c>
      <c r="E26560" t="s">
        <v>24446</v>
      </c>
      <c r="F26560" t="s">
        <v>0</v>
      </c>
      <c r="G26560" t="str">
        <f>"2018-10-12 16:25:20"</f>
        <v>2018-10-12 16:25:20</v>
      </c>
    </row>
    <row r="26561" spans="1:7" x14ac:dyDescent="0.2">
      <c r="A26561" t="s">
        <v>24447</v>
      </c>
      <c r="B26561" t="str">
        <f>"15379740052"</f>
        <v>15379740052</v>
      </c>
      <c r="C26561" t="str">
        <f>"622201198409146314"</f>
        <v>622201198409146314</v>
      </c>
      <c r="D26561" t="s">
        <v>24448</v>
      </c>
      <c r="E26561" t="s">
        <v>24449</v>
      </c>
      <c r="F26561" t="s">
        <v>0</v>
      </c>
      <c r="G26561" t="str">
        <f>"2018-10-05 15:19:09"</f>
        <v>2018-10-05 15:19:09</v>
      </c>
    </row>
    <row r="26562" spans="1:7" x14ac:dyDescent="0.2">
      <c r="A26562" t="s">
        <v>24450</v>
      </c>
      <c r="B26562" t="str">
        <f>"17358502334"</f>
        <v>17358502334</v>
      </c>
      <c r="C26562" t="str">
        <f>"510129198904242139"</f>
        <v>510129198904242139</v>
      </c>
      <c r="D26562" t="s">
        <v>1</v>
      </c>
      <c r="E26562" t="s">
        <v>1</v>
      </c>
      <c r="F26562" t="s">
        <v>0</v>
      </c>
      <c r="G26562" t="str">
        <f>"2018-10-05 15:04:15"</f>
        <v>2018-10-05 15:04:15</v>
      </c>
    </row>
    <row r="26563" spans="1:7" x14ac:dyDescent="0.2">
      <c r="A26563" t="s">
        <v>24451</v>
      </c>
      <c r="B26563" t="str">
        <f>"17356675230"</f>
        <v>17356675230</v>
      </c>
      <c r="C26563" t="str">
        <f>"342922199106182278"</f>
        <v>342922199106182278</v>
      </c>
      <c r="D26563" t="s">
        <v>1</v>
      </c>
      <c r="E26563" t="s">
        <v>1</v>
      </c>
      <c r="F26563" t="s">
        <v>0</v>
      </c>
      <c r="G26563" t="str">
        <f>"2018-10-05 13:56:51"</f>
        <v>2018-10-05 13:56:51</v>
      </c>
    </row>
    <row r="26564" spans="1:7" x14ac:dyDescent="0.2">
      <c r="A26564" t="s">
        <v>1</v>
      </c>
      <c r="B26564" t="str">
        <f>"15279505157"</f>
        <v>15279505157</v>
      </c>
      <c r="C26564" t="s">
        <v>1</v>
      </c>
      <c r="D26564" t="s">
        <v>1</v>
      </c>
      <c r="E26564" t="s">
        <v>1</v>
      </c>
      <c r="F26564" t="s">
        <v>0</v>
      </c>
      <c r="G26564" t="str">
        <f>"2018-10-05 13:54:35"</f>
        <v>2018-10-05 13:54:35</v>
      </c>
    </row>
    <row r="26565" spans="1:7" x14ac:dyDescent="0.2">
      <c r="A26565" t="s">
        <v>24452</v>
      </c>
      <c r="B26565" t="str">
        <f>"18982528864"</f>
        <v>18982528864</v>
      </c>
      <c r="C26565" t="str">
        <f>"510902198405144650"</f>
        <v>510902198405144650</v>
      </c>
      <c r="D26565" t="s">
        <v>1</v>
      </c>
      <c r="E26565" t="s">
        <v>1</v>
      </c>
      <c r="F26565" t="s">
        <v>0</v>
      </c>
      <c r="G26565" t="str">
        <f>"2018-10-05 13:55:31"</f>
        <v>2018-10-05 13:55:31</v>
      </c>
    </row>
    <row r="26566" spans="1:7" x14ac:dyDescent="0.2">
      <c r="A26566" t="s">
        <v>1</v>
      </c>
      <c r="B26566" t="str">
        <f>"15044158755"</f>
        <v>15044158755</v>
      </c>
      <c r="C26566" t="s">
        <v>1</v>
      </c>
      <c r="D26566" t="s">
        <v>1</v>
      </c>
      <c r="E26566" t="s">
        <v>1</v>
      </c>
      <c r="F26566" t="s">
        <v>0</v>
      </c>
      <c r="G26566" t="str">
        <f>"2018-10-05 13:53:34"</f>
        <v>2018-10-05 13:53:34</v>
      </c>
    </row>
    <row r="26567" spans="1:7" x14ac:dyDescent="0.2">
      <c r="A26567" t="s">
        <v>1</v>
      </c>
      <c r="B26567" t="str">
        <f>"18579086880"</f>
        <v>18579086880</v>
      </c>
      <c r="C26567" t="s">
        <v>1</v>
      </c>
      <c r="D26567" t="s">
        <v>1</v>
      </c>
      <c r="E26567" t="s">
        <v>1</v>
      </c>
      <c r="F26567" t="s">
        <v>0</v>
      </c>
      <c r="G26567" t="str">
        <f>"2018-10-05 13:53:22"</f>
        <v>2018-10-05 13:53:22</v>
      </c>
    </row>
    <row r="26568" spans="1:7" x14ac:dyDescent="0.2">
      <c r="A26568" t="s">
        <v>34</v>
      </c>
      <c r="B26568" t="str">
        <f>"13846570987"</f>
        <v>13846570987</v>
      </c>
      <c r="C26568" t="str">
        <f>"232722197811072415"</f>
        <v>232722197811072415</v>
      </c>
      <c r="D26568" t="s">
        <v>24453</v>
      </c>
      <c r="E26568" t="s">
        <v>24454</v>
      </c>
      <c r="F26568" t="s">
        <v>0</v>
      </c>
      <c r="G26568" t="str">
        <f>"2018-10-18 10:18:38"</f>
        <v>2018-10-18 10:18:38</v>
      </c>
    </row>
    <row r="26569" spans="1:7" x14ac:dyDescent="0.2">
      <c r="A26569" t="s">
        <v>24455</v>
      </c>
      <c r="B26569" t="str">
        <f>"15850891755"</f>
        <v>15850891755</v>
      </c>
      <c r="C26569" t="str">
        <f>"32020419791019352X"</f>
        <v>32020419791019352X</v>
      </c>
      <c r="D26569" t="s">
        <v>1</v>
      </c>
      <c r="E26569" t="s">
        <v>1</v>
      </c>
      <c r="F26569" t="s">
        <v>0</v>
      </c>
      <c r="G26569" t="str">
        <f>"2018-10-06 13:13:31"</f>
        <v>2018-10-06 13:13:31</v>
      </c>
    </row>
    <row r="26570" spans="1:7" x14ac:dyDescent="0.2">
      <c r="A26570" t="s">
        <v>1787</v>
      </c>
      <c r="B26570" t="str">
        <f>"18670950811"</f>
        <v>18670950811</v>
      </c>
      <c r="C26570" t="str">
        <f>"430302199008043057"</f>
        <v>430302199008043057</v>
      </c>
      <c r="D26570" t="s">
        <v>1</v>
      </c>
      <c r="E26570" t="s">
        <v>1</v>
      </c>
      <c r="F26570" t="s">
        <v>0</v>
      </c>
      <c r="G26570" t="str">
        <f>"2018-10-05 13:54:08"</f>
        <v>2018-10-05 13:54:08</v>
      </c>
    </row>
    <row r="26571" spans="1:7" x14ac:dyDescent="0.2">
      <c r="A26571" t="s">
        <v>24456</v>
      </c>
      <c r="B26571" t="str">
        <f>"15820142678"</f>
        <v>15820142678</v>
      </c>
      <c r="C26571" t="str">
        <f>"445121198408082610"</f>
        <v>445121198408082610</v>
      </c>
      <c r="D26571" t="s">
        <v>1</v>
      </c>
      <c r="E26571" t="s">
        <v>1</v>
      </c>
      <c r="F26571" t="s">
        <v>0</v>
      </c>
      <c r="G26571" t="str">
        <f>"2018-10-14 02:02:03"</f>
        <v>2018-10-14 02:02:03</v>
      </c>
    </row>
    <row r="26572" spans="1:7" x14ac:dyDescent="0.2">
      <c r="A26572" t="s">
        <v>1</v>
      </c>
      <c r="B26572" t="str">
        <f>"13935327172"</f>
        <v>13935327172</v>
      </c>
      <c r="C26572" t="s">
        <v>1</v>
      </c>
      <c r="D26572" t="s">
        <v>1</v>
      </c>
      <c r="E26572" t="s">
        <v>1</v>
      </c>
      <c r="F26572" t="s">
        <v>0</v>
      </c>
      <c r="G26572" t="str">
        <f>"2018-10-05 13:52:25"</f>
        <v>2018-10-05 13:52:25</v>
      </c>
    </row>
    <row r="26573" spans="1:7" x14ac:dyDescent="0.2">
      <c r="A26573" t="s">
        <v>24457</v>
      </c>
      <c r="B26573" t="str">
        <f>"18319362209"</f>
        <v>18319362209</v>
      </c>
      <c r="C26573" t="str">
        <f>"441284199510172147"</f>
        <v>441284199510172147</v>
      </c>
      <c r="D26573" t="s">
        <v>24458</v>
      </c>
      <c r="E26573" t="s">
        <v>24459</v>
      </c>
      <c r="F26573" t="s">
        <v>0</v>
      </c>
      <c r="G26573" t="str">
        <f>"2018-10-05 13:55:38"</f>
        <v>2018-10-05 13:55:38</v>
      </c>
    </row>
    <row r="26574" spans="1:7" x14ac:dyDescent="0.2">
      <c r="A26574" t="s">
        <v>24460</v>
      </c>
      <c r="B26574" t="str">
        <f>"13173310112"</f>
        <v>13173310112</v>
      </c>
      <c r="C26574" t="str">
        <f>"140424198509303611"</f>
        <v>140424198509303611</v>
      </c>
      <c r="D26574" t="s">
        <v>1</v>
      </c>
      <c r="E26574" t="s">
        <v>1</v>
      </c>
      <c r="F26574" t="s">
        <v>0</v>
      </c>
      <c r="G26574" t="str">
        <f>"2018-10-05 13:53:38"</f>
        <v>2018-10-05 13:53:38</v>
      </c>
    </row>
    <row r="26575" spans="1:7" x14ac:dyDescent="0.2">
      <c r="A26575" t="s">
        <v>24461</v>
      </c>
      <c r="B26575" t="str">
        <f>"18388056280"</f>
        <v>18388056280</v>
      </c>
      <c r="C26575" t="str">
        <f>"513429198702115229"</f>
        <v>513429198702115229</v>
      </c>
      <c r="D26575" t="s">
        <v>24462</v>
      </c>
      <c r="E26575" t="s">
        <v>24463</v>
      </c>
      <c r="F26575" t="s">
        <v>0</v>
      </c>
      <c r="G26575" t="str">
        <f>"2018-10-05 13:53:52"</f>
        <v>2018-10-05 13:53:52</v>
      </c>
    </row>
    <row r="26576" spans="1:7" x14ac:dyDescent="0.2">
      <c r="A26576" t="s">
        <v>1</v>
      </c>
      <c r="B26576" t="str">
        <f>"13922377087"</f>
        <v>13922377087</v>
      </c>
      <c r="C26576" t="s">
        <v>1</v>
      </c>
      <c r="D26576" t="s">
        <v>1</v>
      </c>
      <c r="E26576" t="s">
        <v>1</v>
      </c>
      <c r="F26576" t="s">
        <v>0</v>
      </c>
      <c r="G26576" t="str">
        <f>"2018-10-05 13:51:26"</f>
        <v>2018-10-05 13:51:26</v>
      </c>
    </row>
    <row r="26577" spans="1:7" x14ac:dyDescent="0.2">
      <c r="A26577" t="s">
        <v>312</v>
      </c>
      <c r="B26577" t="str">
        <f>"15147352306"</f>
        <v>15147352306</v>
      </c>
      <c r="C26577" t="str">
        <f>"150424199712130628"</f>
        <v>150424199712130628</v>
      </c>
      <c r="D26577" t="s">
        <v>1</v>
      </c>
      <c r="E26577" t="s">
        <v>1</v>
      </c>
      <c r="F26577" t="s">
        <v>0</v>
      </c>
      <c r="G26577" t="str">
        <f>"2018-10-05 14:11:39"</f>
        <v>2018-10-05 14:11:39</v>
      </c>
    </row>
    <row r="26578" spans="1:7" x14ac:dyDescent="0.2">
      <c r="A26578" t="s">
        <v>1</v>
      </c>
      <c r="B26578" t="str">
        <f>"18028712284"</f>
        <v>18028712284</v>
      </c>
      <c r="C26578" t="s">
        <v>1</v>
      </c>
      <c r="D26578" t="s">
        <v>1</v>
      </c>
      <c r="E26578" t="s">
        <v>1</v>
      </c>
      <c r="F26578" t="s">
        <v>0</v>
      </c>
      <c r="G26578" t="str">
        <f>"2018-10-05 13:49:53"</f>
        <v>2018-10-05 13:49:53</v>
      </c>
    </row>
    <row r="26579" spans="1:7" x14ac:dyDescent="0.2">
      <c r="A26579" t="s">
        <v>24464</v>
      </c>
      <c r="B26579" t="str">
        <f>"13654796454"</f>
        <v>13654796454</v>
      </c>
      <c r="C26579" t="str">
        <f>"152526199408242211"</f>
        <v>152526199408242211</v>
      </c>
      <c r="D26579" t="s">
        <v>1</v>
      </c>
      <c r="E26579" t="s">
        <v>1</v>
      </c>
      <c r="F26579" t="s">
        <v>0</v>
      </c>
      <c r="G26579" t="str">
        <f>"2018-10-05 13:53:56"</f>
        <v>2018-10-05 13:53:56</v>
      </c>
    </row>
    <row r="26580" spans="1:7" x14ac:dyDescent="0.2">
      <c r="A26580" t="s">
        <v>24465</v>
      </c>
      <c r="B26580" t="str">
        <f>"15182555559"</f>
        <v>15182555559</v>
      </c>
      <c r="C26580" t="str">
        <f>"510922197910244338"</f>
        <v>510922197910244338</v>
      </c>
      <c r="D26580" t="s">
        <v>24466</v>
      </c>
      <c r="E26580" t="s">
        <v>24467</v>
      </c>
      <c r="F26580" t="s">
        <v>0</v>
      </c>
      <c r="G26580" t="str">
        <f>"2018-10-05 14:02:47"</f>
        <v>2018-10-05 14:02:47</v>
      </c>
    </row>
    <row r="26581" spans="1:7" x14ac:dyDescent="0.2">
      <c r="A26581" t="s">
        <v>1</v>
      </c>
      <c r="B26581" t="str">
        <f>"17586076373"</f>
        <v>17586076373</v>
      </c>
      <c r="C26581" t="s">
        <v>1</v>
      </c>
      <c r="D26581" t="s">
        <v>1</v>
      </c>
      <c r="E26581" t="s">
        <v>1</v>
      </c>
      <c r="F26581" t="s">
        <v>0</v>
      </c>
      <c r="G26581" t="str">
        <f>"2018-10-05 13:49:18"</f>
        <v>2018-10-05 13:49:18</v>
      </c>
    </row>
    <row r="26582" spans="1:7" x14ac:dyDescent="0.2">
      <c r="A26582" t="s">
        <v>1</v>
      </c>
      <c r="B26582" t="str">
        <f>"18048140031"</f>
        <v>18048140031</v>
      </c>
      <c r="C26582" t="s">
        <v>1</v>
      </c>
      <c r="D26582" t="s">
        <v>1</v>
      </c>
      <c r="E26582" t="s">
        <v>1</v>
      </c>
      <c r="F26582" t="s">
        <v>0</v>
      </c>
      <c r="G26582" t="str">
        <f>"2018-10-05 13:47:52"</f>
        <v>2018-10-05 13:47:52</v>
      </c>
    </row>
    <row r="26583" spans="1:7" x14ac:dyDescent="0.2">
      <c r="A26583" t="s">
        <v>1</v>
      </c>
      <c r="B26583" t="str">
        <f>"13336263661"</f>
        <v>13336263661</v>
      </c>
      <c r="C26583" t="s">
        <v>1</v>
      </c>
      <c r="D26583" t="s">
        <v>1</v>
      </c>
      <c r="E26583" t="s">
        <v>1</v>
      </c>
      <c r="F26583" t="s">
        <v>0</v>
      </c>
      <c r="G26583" t="str">
        <f>"2018-10-05 13:47:34"</f>
        <v>2018-10-05 13:47:34</v>
      </c>
    </row>
    <row r="26584" spans="1:7" x14ac:dyDescent="0.2">
      <c r="A26584" t="s">
        <v>24468</v>
      </c>
      <c r="B26584" t="str">
        <f>"18750506125"</f>
        <v>18750506125</v>
      </c>
      <c r="C26584" t="str">
        <f>"350583198411292648"</f>
        <v>350583198411292648</v>
      </c>
      <c r="D26584" t="s">
        <v>1</v>
      </c>
      <c r="E26584" t="s">
        <v>1</v>
      </c>
      <c r="F26584" t="s">
        <v>0</v>
      </c>
      <c r="G26584" t="str">
        <f>"2018-10-05 13:48:22"</f>
        <v>2018-10-05 13:48:22</v>
      </c>
    </row>
    <row r="26585" spans="1:7" x14ac:dyDescent="0.2">
      <c r="A26585" t="s">
        <v>1</v>
      </c>
      <c r="B26585" t="str">
        <f>"15667256778"</f>
        <v>15667256778</v>
      </c>
      <c r="C26585" t="s">
        <v>1</v>
      </c>
      <c r="D26585" t="s">
        <v>1</v>
      </c>
      <c r="E26585" t="s">
        <v>1</v>
      </c>
      <c r="F26585" t="s">
        <v>0</v>
      </c>
      <c r="G26585" t="str">
        <f>"2018-10-05 13:48:18"</f>
        <v>2018-10-05 13:48:18</v>
      </c>
    </row>
    <row r="26586" spans="1:7" x14ac:dyDescent="0.2">
      <c r="A26586" t="s">
        <v>24469</v>
      </c>
      <c r="B26586" t="str">
        <f>"15803909528"</f>
        <v>15803909528</v>
      </c>
      <c r="C26586" t="str">
        <f>"410423199912034945"</f>
        <v>410423199912034945</v>
      </c>
      <c r="D26586" t="s">
        <v>1</v>
      </c>
      <c r="E26586" t="s">
        <v>1</v>
      </c>
      <c r="F26586" t="s">
        <v>0</v>
      </c>
      <c r="G26586" t="str">
        <f>"2018-10-18 15:24:34"</f>
        <v>2018-10-18 15:24:34</v>
      </c>
    </row>
    <row r="26587" spans="1:7" x14ac:dyDescent="0.2">
      <c r="A26587" t="s">
        <v>24470</v>
      </c>
      <c r="B26587" t="str">
        <f>"15575695711"</f>
        <v>15575695711</v>
      </c>
      <c r="C26587" t="str">
        <f>"431025198112280014"</f>
        <v>431025198112280014</v>
      </c>
      <c r="D26587" t="s">
        <v>24471</v>
      </c>
      <c r="E26587" t="s">
        <v>24472</v>
      </c>
      <c r="F26587" t="s">
        <v>0</v>
      </c>
      <c r="G26587" t="str">
        <f>"2018-10-05 13:46:26"</f>
        <v>2018-10-05 13:46:26</v>
      </c>
    </row>
    <row r="26588" spans="1:7" x14ac:dyDescent="0.2">
      <c r="A26588" t="s">
        <v>24473</v>
      </c>
      <c r="B26588" t="str">
        <f>"13338129266"</f>
        <v>13338129266</v>
      </c>
      <c r="C26588" t="str">
        <f>"321081198206225716"</f>
        <v>321081198206225716</v>
      </c>
      <c r="D26588" t="s">
        <v>24474</v>
      </c>
      <c r="E26588" t="s">
        <v>24475</v>
      </c>
      <c r="F26588" t="s">
        <v>0</v>
      </c>
      <c r="G26588" t="str">
        <f>"2018-10-05 13:46:07"</f>
        <v>2018-10-05 13:46:07</v>
      </c>
    </row>
    <row r="26589" spans="1:7" x14ac:dyDescent="0.2">
      <c r="A26589" t="s">
        <v>1351</v>
      </c>
      <c r="B26589" t="str">
        <f>"18322533400"</f>
        <v>18322533400</v>
      </c>
      <c r="C26589" t="str">
        <f>"622624199205080510"</f>
        <v>622624199205080510</v>
      </c>
      <c r="D26589" t="s">
        <v>1</v>
      </c>
      <c r="E26589" t="s">
        <v>1</v>
      </c>
      <c r="F26589" t="s">
        <v>0</v>
      </c>
      <c r="G26589" t="str">
        <f>"2018-10-05 13:46:56"</f>
        <v>2018-10-05 13:46:56</v>
      </c>
    </row>
    <row r="26590" spans="1:7" x14ac:dyDescent="0.2">
      <c r="A26590" t="s">
        <v>24476</v>
      </c>
      <c r="B26590" t="str">
        <f>"15119662756"</f>
        <v>15119662756</v>
      </c>
      <c r="C26590" t="str">
        <f>"440902199208150011"</f>
        <v>440902199208150011</v>
      </c>
      <c r="D26590" t="s">
        <v>24477</v>
      </c>
      <c r="E26590" t="s">
        <v>24478</v>
      </c>
      <c r="F26590" t="s">
        <v>0</v>
      </c>
      <c r="G26590" t="str">
        <f>"2018-10-05 13:45:17"</f>
        <v>2018-10-05 13:45:17</v>
      </c>
    </row>
    <row r="26591" spans="1:7" x14ac:dyDescent="0.2">
      <c r="A26591" t="s">
        <v>1</v>
      </c>
      <c r="B26591" t="str">
        <f>"15066680541"</f>
        <v>15066680541</v>
      </c>
      <c r="C26591" t="s">
        <v>1</v>
      </c>
      <c r="D26591" t="s">
        <v>1</v>
      </c>
      <c r="E26591" t="s">
        <v>1</v>
      </c>
      <c r="F26591" t="s">
        <v>0</v>
      </c>
      <c r="G26591" t="str">
        <f>"2018-10-05 13:44:09"</f>
        <v>2018-10-05 13:44:09</v>
      </c>
    </row>
    <row r="26592" spans="1:7" x14ac:dyDescent="0.2">
      <c r="A26592" t="s">
        <v>24479</v>
      </c>
      <c r="B26592" t="str">
        <f>"13519313028"</f>
        <v>13519313028</v>
      </c>
      <c r="C26592" t="str">
        <f>"620102198010084333"</f>
        <v>620102198010084333</v>
      </c>
      <c r="D26592" t="s">
        <v>1</v>
      </c>
      <c r="E26592" t="s">
        <v>1</v>
      </c>
      <c r="F26592" t="s">
        <v>0</v>
      </c>
      <c r="G26592" t="str">
        <f>"2018-10-08 01:13:09"</f>
        <v>2018-10-08 01:13:09</v>
      </c>
    </row>
    <row r="26593" spans="1:7" x14ac:dyDescent="0.2">
      <c r="A26593" t="s">
        <v>19792</v>
      </c>
      <c r="B26593" t="str">
        <f>"17640443456"</f>
        <v>17640443456</v>
      </c>
      <c r="C26593" t="str">
        <f>"210422199006101014"</f>
        <v>210422199006101014</v>
      </c>
      <c r="D26593" t="s">
        <v>1</v>
      </c>
      <c r="E26593" t="s">
        <v>1</v>
      </c>
      <c r="F26593" t="s">
        <v>0</v>
      </c>
      <c r="G26593" t="str">
        <f>"2018-10-05 13:44:23"</f>
        <v>2018-10-05 13:44:23</v>
      </c>
    </row>
    <row r="26594" spans="1:7" x14ac:dyDescent="0.2">
      <c r="A26594" t="s">
        <v>24480</v>
      </c>
      <c r="B26594" t="str">
        <f>"18831244527"</f>
        <v>18831244527</v>
      </c>
      <c r="C26594" t="str">
        <f>"152223199710143227"</f>
        <v>152223199710143227</v>
      </c>
      <c r="D26594" t="s">
        <v>1</v>
      </c>
      <c r="E26594" t="s">
        <v>1</v>
      </c>
      <c r="F26594" t="s">
        <v>0</v>
      </c>
      <c r="G26594" t="str">
        <f>"2018-10-05 13:44:59"</f>
        <v>2018-10-05 13:44:59</v>
      </c>
    </row>
    <row r="26595" spans="1:7" x14ac:dyDescent="0.2">
      <c r="A26595" t="s">
        <v>24481</v>
      </c>
      <c r="B26595" t="str">
        <f>"17616465403"</f>
        <v>17616465403</v>
      </c>
      <c r="C26595" t="str">
        <f>"371526199706252848"</f>
        <v>371526199706252848</v>
      </c>
      <c r="D26595" t="s">
        <v>1</v>
      </c>
      <c r="E26595" t="s">
        <v>1</v>
      </c>
      <c r="F26595" t="s">
        <v>0</v>
      </c>
      <c r="G26595" t="str">
        <f>"2018-10-05 13:43:59"</f>
        <v>2018-10-05 13:43:59</v>
      </c>
    </row>
    <row r="26596" spans="1:7" x14ac:dyDescent="0.2">
      <c r="A26596" t="s">
        <v>1</v>
      </c>
      <c r="B26596" t="str">
        <f>"13594129970"</f>
        <v>13594129970</v>
      </c>
      <c r="C26596" t="s">
        <v>1</v>
      </c>
      <c r="D26596" t="s">
        <v>1</v>
      </c>
      <c r="E26596" t="s">
        <v>1</v>
      </c>
      <c r="F26596" t="s">
        <v>0</v>
      </c>
      <c r="G26596" t="str">
        <f>"2018-10-05 13:42:39"</f>
        <v>2018-10-05 13:42:39</v>
      </c>
    </row>
    <row r="26597" spans="1:7" x14ac:dyDescent="0.2">
      <c r="A26597" t="s">
        <v>1</v>
      </c>
      <c r="B26597" t="str">
        <f>"13038825682"</f>
        <v>13038825682</v>
      </c>
      <c r="C26597" t="s">
        <v>1</v>
      </c>
      <c r="D26597" t="s">
        <v>1</v>
      </c>
      <c r="E26597" t="s">
        <v>1</v>
      </c>
      <c r="F26597" t="s">
        <v>0</v>
      </c>
      <c r="G26597" t="str">
        <f>"2018-10-05 13:42:35"</f>
        <v>2018-10-05 13:42:35</v>
      </c>
    </row>
    <row r="26598" spans="1:7" x14ac:dyDescent="0.2">
      <c r="A26598" t="s">
        <v>24482</v>
      </c>
      <c r="B26598" t="str">
        <f>"15385332307"</f>
        <v>15385332307</v>
      </c>
      <c r="C26598" t="str">
        <f>"342524198610275437"</f>
        <v>342524198610275437</v>
      </c>
      <c r="D26598" t="s">
        <v>1</v>
      </c>
      <c r="E26598" t="s">
        <v>1</v>
      </c>
      <c r="F26598" t="s">
        <v>0</v>
      </c>
      <c r="G26598" t="str">
        <f>"2018-10-24 22:16:05"</f>
        <v>2018-10-24 22:16:05</v>
      </c>
    </row>
    <row r="26599" spans="1:7" x14ac:dyDescent="0.2">
      <c r="A26599" t="s">
        <v>24483</v>
      </c>
      <c r="B26599" t="str">
        <f>"15601921337"</f>
        <v>15601921337</v>
      </c>
      <c r="C26599" t="str">
        <f>"362502199207076235"</f>
        <v>362502199207076235</v>
      </c>
      <c r="D26599" t="s">
        <v>1</v>
      </c>
      <c r="E26599" t="s">
        <v>1</v>
      </c>
      <c r="F26599" t="s">
        <v>0</v>
      </c>
      <c r="G26599" t="str">
        <f>"2018-10-14 18:22:26"</f>
        <v>2018-10-14 18:22:26</v>
      </c>
    </row>
    <row r="26600" spans="1:7" x14ac:dyDescent="0.2">
      <c r="A26600" t="s">
        <v>24484</v>
      </c>
      <c r="B26600" t="str">
        <f>"15703899467"</f>
        <v>15703899467</v>
      </c>
      <c r="C26600" t="str">
        <f>"412724198010090972"</f>
        <v>412724198010090972</v>
      </c>
      <c r="D26600" t="s">
        <v>1</v>
      </c>
      <c r="E26600" t="s">
        <v>1</v>
      </c>
      <c r="F26600" t="s">
        <v>0</v>
      </c>
      <c r="G26600" t="str">
        <f>"2018-10-05 13:43:53"</f>
        <v>2018-10-05 13:43:53</v>
      </c>
    </row>
    <row r="26601" spans="1:7" x14ac:dyDescent="0.2">
      <c r="A26601" t="s">
        <v>24485</v>
      </c>
      <c r="B26601" t="str">
        <f>"13566681145"</f>
        <v>13566681145</v>
      </c>
      <c r="C26601" t="str">
        <f>"331082198611087511"</f>
        <v>331082198611087511</v>
      </c>
      <c r="D26601" t="s">
        <v>1</v>
      </c>
      <c r="E26601" t="s">
        <v>1</v>
      </c>
      <c r="F26601" t="s">
        <v>0</v>
      </c>
      <c r="G26601" t="str">
        <f>"2018-10-17 21:55:39"</f>
        <v>2018-10-17 21:55:39</v>
      </c>
    </row>
    <row r="26602" spans="1:7" x14ac:dyDescent="0.2">
      <c r="A26602" t="s">
        <v>24486</v>
      </c>
      <c r="B26602" t="str">
        <f>"15893935271"</f>
        <v>15893935271</v>
      </c>
      <c r="C26602" t="str">
        <f>"412828199302280028"</f>
        <v>412828199302280028</v>
      </c>
      <c r="D26602" t="s">
        <v>1</v>
      </c>
      <c r="E26602" t="s">
        <v>1</v>
      </c>
      <c r="F26602" t="s">
        <v>0</v>
      </c>
      <c r="G26602" t="str">
        <f>"2018-10-05 18:05:33"</f>
        <v>2018-10-05 18:05:33</v>
      </c>
    </row>
    <row r="26603" spans="1:7" x14ac:dyDescent="0.2">
      <c r="A26603" t="s">
        <v>1</v>
      </c>
      <c r="B26603" t="str">
        <f>"18591885182"</f>
        <v>18591885182</v>
      </c>
      <c r="C26603" t="s">
        <v>1</v>
      </c>
      <c r="D26603" t="s">
        <v>1</v>
      </c>
      <c r="E26603" t="s">
        <v>1</v>
      </c>
      <c r="F26603" t="s">
        <v>0</v>
      </c>
      <c r="G26603" t="str">
        <f>"2018-10-05 13:41:31"</f>
        <v>2018-10-05 13:41:31</v>
      </c>
    </row>
    <row r="26604" spans="1:7" x14ac:dyDescent="0.2">
      <c r="A26604" t="s">
        <v>24487</v>
      </c>
      <c r="B26604" t="str">
        <f>"18874800192"</f>
        <v>18874800192</v>
      </c>
      <c r="C26604" t="str">
        <f>"430121199212137913"</f>
        <v>430121199212137913</v>
      </c>
      <c r="D26604" t="s">
        <v>24488</v>
      </c>
      <c r="E26604" t="s">
        <v>24489</v>
      </c>
      <c r="F26604" t="s">
        <v>0</v>
      </c>
      <c r="G26604" t="str">
        <f>"2018-10-25 15:44:22"</f>
        <v>2018-10-25 15:44:22</v>
      </c>
    </row>
    <row r="26605" spans="1:7" x14ac:dyDescent="0.2">
      <c r="A26605" t="s">
        <v>24490</v>
      </c>
      <c r="B26605" t="str">
        <f>"18308163663"</f>
        <v>18308163663</v>
      </c>
      <c r="C26605" t="str">
        <f>"511526199211050511"</f>
        <v>511526199211050511</v>
      </c>
      <c r="D26605" t="s">
        <v>1</v>
      </c>
      <c r="E26605" t="s">
        <v>1</v>
      </c>
      <c r="F26605" t="s">
        <v>0</v>
      </c>
      <c r="G26605" t="str">
        <f>"2018-10-05 13:41:27"</f>
        <v>2018-10-05 13:41:27</v>
      </c>
    </row>
    <row r="26606" spans="1:7" x14ac:dyDescent="0.2">
      <c r="A26606" t="s">
        <v>24491</v>
      </c>
      <c r="B26606" t="str">
        <f>"18506136729"</f>
        <v>18506136729</v>
      </c>
      <c r="C26606" t="str">
        <f>"34132219861119241X"</f>
        <v>34132219861119241X</v>
      </c>
      <c r="D26606" t="s">
        <v>1</v>
      </c>
      <c r="E26606" t="s">
        <v>1</v>
      </c>
      <c r="F26606" t="s">
        <v>0</v>
      </c>
      <c r="G26606" t="str">
        <f>"2018-11-02 08:51:11"</f>
        <v>2018-11-02 08:51:11</v>
      </c>
    </row>
    <row r="26607" spans="1:7" x14ac:dyDescent="0.2">
      <c r="A26607" t="s">
        <v>24492</v>
      </c>
      <c r="B26607" t="str">
        <f>"18888041887"</f>
        <v>18888041887</v>
      </c>
      <c r="C26607" t="str">
        <f>"320822198107243313"</f>
        <v>320822198107243313</v>
      </c>
      <c r="D26607" t="s">
        <v>24493</v>
      </c>
      <c r="E26607" t="s">
        <v>24494</v>
      </c>
      <c r="F26607" t="s">
        <v>0</v>
      </c>
      <c r="G26607" t="str">
        <f>"2018-10-05 13:43:45"</f>
        <v>2018-10-05 13:43:45</v>
      </c>
    </row>
    <row r="26608" spans="1:7" x14ac:dyDescent="0.2">
      <c r="A26608" t="s">
        <v>1585</v>
      </c>
      <c r="B26608" t="str">
        <f>"13762652997"</f>
        <v>13762652997</v>
      </c>
      <c r="C26608" t="str">
        <f>"430703198910241692"</f>
        <v>430703198910241692</v>
      </c>
      <c r="D26608" t="s">
        <v>1</v>
      </c>
      <c r="E26608" t="s">
        <v>1</v>
      </c>
      <c r="F26608" t="s">
        <v>0</v>
      </c>
      <c r="G26608" t="str">
        <f>"2018-10-05 13:41:25"</f>
        <v>2018-10-05 13:41:25</v>
      </c>
    </row>
    <row r="26609" spans="1:7" x14ac:dyDescent="0.2">
      <c r="A26609" t="s">
        <v>24495</v>
      </c>
      <c r="B26609" t="str">
        <f>"18683082766"</f>
        <v>18683082766</v>
      </c>
      <c r="C26609" t="str">
        <f>"51050219791010002X"</f>
        <v>51050219791010002X</v>
      </c>
      <c r="D26609" t="s">
        <v>24496</v>
      </c>
      <c r="E26609" t="s">
        <v>24497</v>
      </c>
      <c r="F26609" t="s">
        <v>0</v>
      </c>
      <c r="G26609" t="str">
        <f>"2018-10-05 13:39:58"</f>
        <v>2018-10-05 13:39:58</v>
      </c>
    </row>
    <row r="26610" spans="1:7" x14ac:dyDescent="0.2">
      <c r="A26610" t="s">
        <v>523</v>
      </c>
      <c r="B26610" t="str">
        <f>"18705679456"</f>
        <v>18705679456</v>
      </c>
      <c r="C26610" t="str">
        <f>"341622199210110939"</f>
        <v>341622199210110939</v>
      </c>
      <c r="D26610" t="s">
        <v>1</v>
      </c>
      <c r="E26610" t="s">
        <v>1</v>
      </c>
      <c r="F26610" t="s">
        <v>0</v>
      </c>
      <c r="G26610" t="str">
        <f>"2018-10-05 15:03:52"</f>
        <v>2018-10-05 15:03:52</v>
      </c>
    </row>
    <row r="26611" spans="1:7" x14ac:dyDescent="0.2">
      <c r="A26611" t="s">
        <v>24498</v>
      </c>
      <c r="B26611" t="str">
        <f>"13099902620"</f>
        <v>13099902620</v>
      </c>
      <c r="C26611" t="str">
        <f>"530103197309243327"</f>
        <v>530103197309243327</v>
      </c>
      <c r="D26611" t="s">
        <v>1</v>
      </c>
      <c r="E26611" t="s">
        <v>1</v>
      </c>
      <c r="F26611" t="s">
        <v>0</v>
      </c>
      <c r="G26611" t="str">
        <f>"2018-10-05 13:41:55"</f>
        <v>2018-10-05 13:41:55</v>
      </c>
    </row>
    <row r="26612" spans="1:7" x14ac:dyDescent="0.2">
      <c r="A26612" t="s">
        <v>1702</v>
      </c>
      <c r="B26612" t="str">
        <f>"18230038888"</f>
        <v>18230038888</v>
      </c>
      <c r="C26612" t="str">
        <f>"130730198708302613"</f>
        <v>130730198708302613</v>
      </c>
      <c r="D26612" t="s">
        <v>1</v>
      </c>
      <c r="E26612" t="s">
        <v>1</v>
      </c>
      <c r="F26612" t="s">
        <v>0</v>
      </c>
      <c r="G26612" t="str">
        <f>"2018-10-06 17:32:26"</f>
        <v>2018-10-06 17:32:26</v>
      </c>
    </row>
    <row r="26613" spans="1:7" x14ac:dyDescent="0.2">
      <c r="A26613" t="s">
        <v>24499</v>
      </c>
      <c r="B26613" t="str">
        <f>"13055389027"</f>
        <v>13055389027</v>
      </c>
      <c r="C26613" t="str">
        <f>"350623199012274817"</f>
        <v>350623199012274817</v>
      </c>
      <c r="D26613" t="s">
        <v>24500</v>
      </c>
      <c r="E26613" t="s">
        <v>24501</v>
      </c>
      <c r="F26613" t="s">
        <v>0</v>
      </c>
      <c r="G26613" t="str">
        <f>"2018-10-05 13:47:01"</f>
        <v>2018-10-05 13:47:01</v>
      </c>
    </row>
    <row r="26614" spans="1:7" x14ac:dyDescent="0.2">
      <c r="A26614" t="s">
        <v>24502</v>
      </c>
      <c r="B26614" t="str">
        <f>"15905954387"</f>
        <v>15905954387</v>
      </c>
      <c r="C26614" t="str">
        <f>"350583198306086615"</f>
        <v>350583198306086615</v>
      </c>
      <c r="D26614" t="s">
        <v>24503</v>
      </c>
      <c r="E26614" t="s">
        <v>24503</v>
      </c>
      <c r="F26614" t="s">
        <v>0</v>
      </c>
      <c r="G26614" t="str">
        <f>"2018-10-05 13:40:21"</f>
        <v>2018-10-05 13:40:21</v>
      </c>
    </row>
    <row r="26615" spans="1:7" x14ac:dyDescent="0.2">
      <c r="A26615" t="s">
        <v>24504</v>
      </c>
      <c r="B26615" t="str">
        <f>"17710246444"</f>
        <v>17710246444</v>
      </c>
      <c r="C26615" t="str">
        <f>"142701199402254811"</f>
        <v>142701199402254811</v>
      </c>
      <c r="D26615" t="s">
        <v>24505</v>
      </c>
      <c r="E26615" t="s">
        <v>24506</v>
      </c>
      <c r="F26615" t="s">
        <v>0</v>
      </c>
      <c r="G26615" t="str">
        <f>"2018-10-05 13:45:51"</f>
        <v>2018-10-05 13:45:51</v>
      </c>
    </row>
    <row r="26616" spans="1:7" x14ac:dyDescent="0.2">
      <c r="A26616" t="s">
        <v>24507</v>
      </c>
      <c r="B26616" t="str">
        <f>"18801141813"</f>
        <v>18801141813</v>
      </c>
      <c r="C26616" t="str">
        <f>"431022198908273160"</f>
        <v>431022198908273160</v>
      </c>
      <c r="D26616" t="s">
        <v>1</v>
      </c>
      <c r="E26616" t="s">
        <v>1</v>
      </c>
      <c r="F26616" t="s">
        <v>0</v>
      </c>
      <c r="G26616" t="str">
        <f>"2018-10-05 13:41:39"</f>
        <v>2018-10-05 13:41:39</v>
      </c>
    </row>
    <row r="26617" spans="1:7" x14ac:dyDescent="0.2">
      <c r="A26617" t="s">
        <v>1</v>
      </c>
      <c r="B26617" t="str">
        <f>"15209919690"</f>
        <v>15209919690</v>
      </c>
      <c r="C26617" t="s">
        <v>1</v>
      </c>
      <c r="D26617" t="s">
        <v>1</v>
      </c>
      <c r="E26617" t="s">
        <v>1</v>
      </c>
      <c r="F26617" t="s">
        <v>0</v>
      </c>
      <c r="G26617" t="str">
        <f>"2018-10-05 13:38:19"</f>
        <v>2018-10-05 13:38:19</v>
      </c>
    </row>
    <row r="26618" spans="1:7" x14ac:dyDescent="0.2">
      <c r="A26618" t="s">
        <v>24508</v>
      </c>
      <c r="B26618" t="str">
        <f>"15864735502"</f>
        <v>15864735502</v>
      </c>
      <c r="C26618" t="str">
        <f>"370283198201317023"</f>
        <v>370283198201317023</v>
      </c>
      <c r="D26618" t="s">
        <v>1</v>
      </c>
      <c r="E26618" t="s">
        <v>1</v>
      </c>
      <c r="F26618" t="s">
        <v>0</v>
      </c>
      <c r="G26618" t="str">
        <f>"2018-10-05 13:38:37"</f>
        <v>2018-10-05 13:38:37</v>
      </c>
    </row>
    <row r="26619" spans="1:7" x14ac:dyDescent="0.2">
      <c r="A26619" t="s">
        <v>1278</v>
      </c>
      <c r="B26619" t="str">
        <f>"18211871311"</f>
        <v>18211871311</v>
      </c>
      <c r="C26619" t="str">
        <f>"411330199402150013"</f>
        <v>411330199402150013</v>
      </c>
      <c r="D26619" t="s">
        <v>24509</v>
      </c>
      <c r="E26619" t="s">
        <v>24510</v>
      </c>
      <c r="F26619" t="s">
        <v>0</v>
      </c>
      <c r="G26619" t="str">
        <f>"2018-10-05 13:41:10"</f>
        <v>2018-10-05 13:41:10</v>
      </c>
    </row>
    <row r="26620" spans="1:7" x14ac:dyDescent="0.2">
      <c r="A26620" t="s">
        <v>24511</v>
      </c>
      <c r="B26620" t="str">
        <f>"13725322033"</f>
        <v>13725322033</v>
      </c>
      <c r="C26620" t="str">
        <f>"440883199608040834"</f>
        <v>440883199608040834</v>
      </c>
      <c r="D26620" t="s">
        <v>1</v>
      </c>
      <c r="E26620" t="s">
        <v>1</v>
      </c>
      <c r="F26620" t="s">
        <v>0</v>
      </c>
      <c r="G26620" t="str">
        <f>"2018-10-05 13:39:52"</f>
        <v>2018-10-05 13:39:52</v>
      </c>
    </row>
    <row r="26621" spans="1:7" x14ac:dyDescent="0.2">
      <c r="A26621" t="s">
        <v>24512</v>
      </c>
      <c r="B26621" t="str">
        <f>"13776269596"</f>
        <v>13776269596</v>
      </c>
      <c r="C26621" t="str">
        <f>"320922198107087352"</f>
        <v>320922198107087352</v>
      </c>
      <c r="D26621" t="s">
        <v>24513</v>
      </c>
      <c r="E26621" t="s">
        <v>24514</v>
      </c>
      <c r="F26621" t="s">
        <v>0</v>
      </c>
      <c r="G26621" t="str">
        <f>"2018-10-05 13:48:02"</f>
        <v>2018-10-05 13:48:02</v>
      </c>
    </row>
    <row r="26622" spans="1:7" x14ac:dyDescent="0.2">
      <c r="A26622" t="s">
        <v>24515</v>
      </c>
      <c r="B26622" t="str">
        <f>"15312096296"</f>
        <v>15312096296</v>
      </c>
      <c r="C26622" t="str">
        <f>"440883198108270348"</f>
        <v>440883198108270348</v>
      </c>
      <c r="D26622" t="s">
        <v>1</v>
      </c>
      <c r="E26622" t="s">
        <v>1</v>
      </c>
      <c r="F26622" t="s">
        <v>0</v>
      </c>
      <c r="G26622" t="str">
        <f>"2018-10-05 13:38:17"</f>
        <v>2018-10-05 13:38:17</v>
      </c>
    </row>
    <row r="26623" spans="1:7" x14ac:dyDescent="0.2">
      <c r="A26623" t="s">
        <v>24516</v>
      </c>
      <c r="B26623" t="str">
        <f>"18699619556"</f>
        <v>18699619556</v>
      </c>
      <c r="C26623" t="str">
        <f>"652825198207100026"</f>
        <v>652825198207100026</v>
      </c>
      <c r="D26623" t="s">
        <v>1</v>
      </c>
      <c r="E26623" t="s">
        <v>1</v>
      </c>
      <c r="F26623" t="s">
        <v>0</v>
      </c>
      <c r="G26623" t="str">
        <f>"2018-10-05 13:37:41"</f>
        <v>2018-10-05 13:37:41</v>
      </c>
    </row>
    <row r="26624" spans="1:7" x14ac:dyDescent="0.2">
      <c r="A26624" t="s">
        <v>24517</v>
      </c>
      <c r="B26624" t="str">
        <f>"13228935353"</f>
        <v>13228935353</v>
      </c>
      <c r="C26624" t="str">
        <f>"540125198806136519"</f>
        <v>540125198806136519</v>
      </c>
      <c r="D26624" t="s">
        <v>1</v>
      </c>
      <c r="E26624" t="s">
        <v>1</v>
      </c>
      <c r="F26624" t="s">
        <v>0</v>
      </c>
      <c r="G26624" t="str">
        <f>"2018-10-05 13:38:04"</f>
        <v>2018-10-05 13:38:04</v>
      </c>
    </row>
    <row r="26625" spans="1:7" x14ac:dyDescent="0.2">
      <c r="A26625" t="s">
        <v>24518</v>
      </c>
      <c r="B26625" t="str">
        <f>"17773561025"</f>
        <v>17773561025</v>
      </c>
      <c r="C26625" t="str">
        <f>"431028199305230033"</f>
        <v>431028199305230033</v>
      </c>
      <c r="D26625" t="s">
        <v>1</v>
      </c>
      <c r="E26625" t="s">
        <v>1</v>
      </c>
      <c r="F26625" t="s">
        <v>0</v>
      </c>
      <c r="G26625" t="str">
        <f>"2018-10-05 13:38:00"</f>
        <v>2018-10-05 13:38:00</v>
      </c>
    </row>
    <row r="26626" spans="1:7" x14ac:dyDescent="0.2">
      <c r="A26626" t="s">
        <v>24519</v>
      </c>
      <c r="B26626" t="str">
        <f>"17660217994"</f>
        <v>17660217994</v>
      </c>
      <c r="C26626" t="str">
        <f>"37022219601003001X"</f>
        <v>37022219601003001X</v>
      </c>
      <c r="D26626" t="s">
        <v>1</v>
      </c>
      <c r="E26626" t="s">
        <v>1</v>
      </c>
      <c r="F26626" t="s">
        <v>0</v>
      </c>
      <c r="G26626" t="str">
        <f>"2018-10-05 14:55:34"</f>
        <v>2018-10-05 14:55:34</v>
      </c>
    </row>
    <row r="26627" spans="1:7" x14ac:dyDescent="0.2">
      <c r="A26627" t="s">
        <v>1</v>
      </c>
      <c r="B26627" t="str">
        <f>"15568023102"</f>
        <v>15568023102</v>
      </c>
      <c r="C26627" t="s">
        <v>1</v>
      </c>
      <c r="D26627" t="s">
        <v>1</v>
      </c>
      <c r="E26627" t="s">
        <v>1</v>
      </c>
      <c r="F26627" t="s">
        <v>0</v>
      </c>
      <c r="G26627" t="str">
        <f>"2018-10-05 13:35:56"</f>
        <v>2018-10-05 13:35:56</v>
      </c>
    </row>
    <row r="26628" spans="1:7" x14ac:dyDescent="0.2">
      <c r="A26628" t="s">
        <v>24520</v>
      </c>
      <c r="B26628" t="str">
        <f>"13987297336"</f>
        <v>13987297336</v>
      </c>
      <c r="C26628" t="str">
        <f>"532901198008302028"</f>
        <v>532901198008302028</v>
      </c>
      <c r="D26628" t="s">
        <v>1</v>
      </c>
      <c r="E26628" t="s">
        <v>1</v>
      </c>
      <c r="F26628" t="s">
        <v>0</v>
      </c>
      <c r="G26628" t="str">
        <f>"2018-10-05 13:49:34"</f>
        <v>2018-10-05 13:49:34</v>
      </c>
    </row>
    <row r="26629" spans="1:7" x14ac:dyDescent="0.2">
      <c r="A26629" t="s">
        <v>24521</v>
      </c>
      <c r="B26629" t="str">
        <f>"15297212673"</f>
        <v>15297212673</v>
      </c>
      <c r="C26629" t="str">
        <f>"63252319970901105X"</f>
        <v>63252319970901105X</v>
      </c>
      <c r="D26629" t="s">
        <v>1</v>
      </c>
      <c r="E26629" t="s">
        <v>1</v>
      </c>
      <c r="F26629" t="s">
        <v>0</v>
      </c>
      <c r="G26629" t="str">
        <f>"2018-10-05 13:37:10"</f>
        <v>2018-10-05 13:37:10</v>
      </c>
    </row>
    <row r="26630" spans="1:7" x14ac:dyDescent="0.2">
      <c r="A26630" t="s">
        <v>28</v>
      </c>
      <c r="B26630" t="str">
        <f>"15174258880"</f>
        <v>15174258880</v>
      </c>
      <c r="C26630" t="str">
        <f>"210781198701094014"</f>
        <v>210781198701094014</v>
      </c>
      <c r="D26630" t="s">
        <v>1</v>
      </c>
      <c r="E26630" t="s">
        <v>1</v>
      </c>
      <c r="F26630" t="s">
        <v>0</v>
      </c>
      <c r="G26630" t="str">
        <f>"2018-10-05 13:36:36"</f>
        <v>2018-10-05 13:36:36</v>
      </c>
    </row>
    <row r="26631" spans="1:7" x14ac:dyDescent="0.2">
      <c r="A26631" t="s">
        <v>1</v>
      </c>
      <c r="B26631" t="str">
        <f>"18728633783"</f>
        <v>18728633783</v>
      </c>
      <c r="C26631" t="s">
        <v>1</v>
      </c>
      <c r="D26631" t="s">
        <v>1</v>
      </c>
      <c r="E26631" t="s">
        <v>1</v>
      </c>
      <c r="F26631" t="s">
        <v>0</v>
      </c>
      <c r="G26631" t="str">
        <f>"2018-10-05 13:35:13"</f>
        <v>2018-10-05 13:35:13</v>
      </c>
    </row>
    <row r="26632" spans="1:7" x14ac:dyDescent="0.2">
      <c r="A26632" t="s">
        <v>24522</v>
      </c>
      <c r="B26632" t="str">
        <f>"13586980488"</f>
        <v>13586980488</v>
      </c>
      <c r="C26632" t="str">
        <f>"330721197509026616"</f>
        <v>330721197509026616</v>
      </c>
      <c r="D26632" t="s">
        <v>1</v>
      </c>
      <c r="E26632" t="s">
        <v>1</v>
      </c>
      <c r="F26632" t="s">
        <v>0</v>
      </c>
      <c r="G26632" t="str">
        <f>"2018-10-05 13:45:35"</f>
        <v>2018-10-05 13:45:35</v>
      </c>
    </row>
    <row r="26633" spans="1:7" x14ac:dyDescent="0.2">
      <c r="A26633" t="s">
        <v>24523</v>
      </c>
      <c r="B26633" t="str">
        <f>"18755730424"</f>
        <v>18755730424</v>
      </c>
      <c r="C26633" t="str">
        <f>"341324200102182822"</f>
        <v>341324200102182822</v>
      </c>
      <c r="D26633" t="s">
        <v>1</v>
      </c>
      <c r="E26633" t="s">
        <v>1</v>
      </c>
      <c r="F26633" t="s">
        <v>0</v>
      </c>
      <c r="G26633" t="str">
        <f>"2018-10-05 13:34:42"</f>
        <v>2018-10-05 13:34:42</v>
      </c>
    </row>
    <row r="26634" spans="1:7" x14ac:dyDescent="0.2">
      <c r="A26634" t="s">
        <v>24524</v>
      </c>
      <c r="B26634" t="str">
        <f>"15874253271"</f>
        <v>15874253271</v>
      </c>
      <c r="C26634" t="str">
        <f>"430703199209070463"</f>
        <v>430703199209070463</v>
      </c>
      <c r="D26634" t="s">
        <v>1</v>
      </c>
      <c r="E26634" t="s">
        <v>1</v>
      </c>
      <c r="F26634" t="s">
        <v>0</v>
      </c>
      <c r="G26634" t="str">
        <f>"2018-10-05 13:39:49"</f>
        <v>2018-10-05 13:39:49</v>
      </c>
    </row>
    <row r="26635" spans="1:7" x14ac:dyDescent="0.2">
      <c r="A26635" t="s">
        <v>1</v>
      </c>
      <c r="B26635" t="str">
        <f>"18125760795"</f>
        <v>18125760795</v>
      </c>
      <c r="C26635" t="s">
        <v>1</v>
      </c>
      <c r="D26635" t="s">
        <v>1</v>
      </c>
      <c r="E26635" t="s">
        <v>1</v>
      </c>
      <c r="F26635" t="s">
        <v>0</v>
      </c>
      <c r="G26635" t="str">
        <f>"2018-10-05 13:34:23"</f>
        <v>2018-10-05 13:34:23</v>
      </c>
    </row>
    <row r="26636" spans="1:7" x14ac:dyDescent="0.2">
      <c r="A26636" t="s">
        <v>24525</v>
      </c>
      <c r="B26636" t="str">
        <f>"17305402229"</f>
        <v>17305402229</v>
      </c>
      <c r="C26636" t="str">
        <f>"372901199309155011"</f>
        <v>372901199309155011</v>
      </c>
      <c r="D26636" t="s">
        <v>1</v>
      </c>
      <c r="E26636" t="s">
        <v>1</v>
      </c>
      <c r="F26636" t="s">
        <v>0</v>
      </c>
      <c r="G26636" t="str">
        <f>"2018-10-05 13:35:08"</f>
        <v>2018-10-05 13:35:08</v>
      </c>
    </row>
    <row r="26637" spans="1:7" x14ac:dyDescent="0.2">
      <c r="A26637" t="s">
        <v>24526</v>
      </c>
      <c r="B26637" t="str">
        <f>"13645774274"</f>
        <v>13645774274</v>
      </c>
      <c r="C26637" t="str">
        <f>"330304199103025729"</f>
        <v>330304199103025729</v>
      </c>
      <c r="D26637" t="s">
        <v>1</v>
      </c>
      <c r="E26637" t="s">
        <v>1</v>
      </c>
      <c r="F26637" t="s">
        <v>0</v>
      </c>
      <c r="G26637" t="str">
        <f>"2018-10-05 13:36:19"</f>
        <v>2018-10-05 13:36:19</v>
      </c>
    </row>
    <row r="26638" spans="1:7" x14ac:dyDescent="0.2">
      <c r="A26638" t="s">
        <v>24527</v>
      </c>
      <c r="B26638" t="str">
        <f>"13987979595"</f>
        <v>13987979595</v>
      </c>
      <c r="C26638" t="str">
        <f>"522128196612273513"</f>
        <v>522128196612273513</v>
      </c>
      <c r="D26638" t="s">
        <v>1</v>
      </c>
      <c r="E26638" t="s">
        <v>1</v>
      </c>
      <c r="F26638" t="s">
        <v>0</v>
      </c>
      <c r="G26638" t="str">
        <f>"2018-10-05 13:37:47"</f>
        <v>2018-10-05 13:37:47</v>
      </c>
    </row>
    <row r="26639" spans="1:7" x14ac:dyDescent="0.2">
      <c r="A26639" t="s">
        <v>24528</v>
      </c>
      <c r="B26639" t="str">
        <f>"15001058704"</f>
        <v>15001058704</v>
      </c>
      <c r="C26639" t="str">
        <f>"130623199301232145"</f>
        <v>130623199301232145</v>
      </c>
      <c r="D26639" t="s">
        <v>1</v>
      </c>
      <c r="E26639" t="s">
        <v>1</v>
      </c>
      <c r="F26639" t="s">
        <v>0</v>
      </c>
      <c r="G26639" t="str">
        <f>"2018-10-05 15:04:13"</f>
        <v>2018-10-05 15:04:13</v>
      </c>
    </row>
    <row r="26640" spans="1:7" x14ac:dyDescent="0.2">
      <c r="A26640" t="s">
        <v>1</v>
      </c>
      <c r="B26640" t="str">
        <f>"18201680188"</f>
        <v>18201680188</v>
      </c>
      <c r="C26640" t="s">
        <v>1</v>
      </c>
      <c r="D26640" t="s">
        <v>1</v>
      </c>
      <c r="E26640" t="s">
        <v>1</v>
      </c>
      <c r="F26640" t="s">
        <v>0</v>
      </c>
      <c r="G26640" t="str">
        <f>"2018-10-05 13:32:37"</f>
        <v>2018-10-05 13:32:37</v>
      </c>
    </row>
    <row r="26641" spans="1:7" x14ac:dyDescent="0.2">
      <c r="A26641" t="s">
        <v>1</v>
      </c>
      <c r="B26641" t="str">
        <f>"13889077875"</f>
        <v>13889077875</v>
      </c>
      <c r="C26641" t="s">
        <v>1</v>
      </c>
      <c r="D26641" t="s">
        <v>1</v>
      </c>
      <c r="E26641" t="s">
        <v>1</v>
      </c>
      <c r="F26641" t="s">
        <v>0</v>
      </c>
      <c r="G26641" t="str">
        <f>"2018-10-05 13:32:23"</f>
        <v>2018-10-05 13:32:23</v>
      </c>
    </row>
    <row r="26642" spans="1:7" x14ac:dyDescent="0.2">
      <c r="A26642" t="s">
        <v>24529</v>
      </c>
      <c r="B26642" t="str">
        <f>"18277874429"</f>
        <v>18277874429</v>
      </c>
      <c r="C26642" t="str">
        <f>"452725199103050820"</f>
        <v>452725199103050820</v>
      </c>
      <c r="D26642" t="s">
        <v>1</v>
      </c>
      <c r="E26642" t="s">
        <v>1</v>
      </c>
      <c r="F26642" t="s">
        <v>0</v>
      </c>
      <c r="G26642" t="str">
        <f>"2018-10-05 13:56:29"</f>
        <v>2018-10-05 13:56:29</v>
      </c>
    </row>
    <row r="26643" spans="1:7" x14ac:dyDescent="0.2">
      <c r="A26643" t="s">
        <v>1</v>
      </c>
      <c r="B26643" t="str">
        <f>"17078507114"</f>
        <v>17078507114</v>
      </c>
      <c r="C26643" t="s">
        <v>1</v>
      </c>
      <c r="D26643" t="s">
        <v>1</v>
      </c>
      <c r="E26643" t="s">
        <v>1</v>
      </c>
      <c r="F26643" t="s">
        <v>0</v>
      </c>
      <c r="G26643" t="str">
        <f>"2018-10-05 13:31:52"</f>
        <v>2018-10-05 13:31:52</v>
      </c>
    </row>
    <row r="26644" spans="1:7" x14ac:dyDescent="0.2">
      <c r="A26644" t="s">
        <v>1</v>
      </c>
      <c r="B26644" t="str">
        <f>"18755765642"</f>
        <v>18755765642</v>
      </c>
      <c r="C26644" t="s">
        <v>1</v>
      </c>
      <c r="D26644" t="s">
        <v>1</v>
      </c>
      <c r="E26644" t="s">
        <v>1</v>
      </c>
      <c r="F26644" t="s">
        <v>0</v>
      </c>
      <c r="G26644" t="str">
        <f>"2018-10-05 13:31:38"</f>
        <v>2018-10-05 13:31:38</v>
      </c>
    </row>
    <row r="26645" spans="1:7" x14ac:dyDescent="0.2">
      <c r="A26645" t="s">
        <v>1</v>
      </c>
      <c r="B26645" t="str">
        <f>"15676454981"</f>
        <v>15676454981</v>
      </c>
      <c r="C26645" t="s">
        <v>1</v>
      </c>
      <c r="D26645" t="s">
        <v>1</v>
      </c>
      <c r="E26645" t="s">
        <v>1</v>
      </c>
      <c r="F26645" t="s">
        <v>0</v>
      </c>
      <c r="G26645" t="str">
        <f>"2018-10-05 13:31:26"</f>
        <v>2018-10-05 13:31:26</v>
      </c>
    </row>
    <row r="26646" spans="1:7" x14ac:dyDescent="0.2">
      <c r="A26646" t="s">
        <v>3530</v>
      </c>
      <c r="B26646" t="str">
        <f>"15800606679"</f>
        <v>15800606679</v>
      </c>
      <c r="C26646" t="str">
        <f>"310225198905280420"</f>
        <v>310225198905280420</v>
      </c>
      <c r="D26646" t="s">
        <v>1</v>
      </c>
      <c r="E26646" t="s">
        <v>1</v>
      </c>
      <c r="F26646" t="s">
        <v>0</v>
      </c>
      <c r="G26646" t="str">
        <f>"2018-10-30 12:50:15"</f>
        <v>2018-10-30 12:50:15</v>
      </c>
    </row>
    <row r="26647" spans="1:7" x14ac:dyDescent="0.2">
      <c r="A26647" t="s">
        <v>24530</v>
      </c>
      <c r="B26647" t="str">
        <f>"15073195940"</f>
        <v>15073195940</v>
      </c>
      <c r="C26647" t="str">
        <f>"430621197909147044"</f>
        <v>430621197909147044</v>
      </c>
      <c r="D26647" t="s">
        <v>1</v>
      </c>
      <c r="E26647" t="s">
        <v>1</v>
      </c>
      <c r="F26647" t="s">
        <v>0</v>
      </c>
      <c r="G26647" t="str">
        <f>"2018-10-06 16:22:36"</f>
        <v>2018-10-06 16:22:36</v>
      </c>
    </row>
    <row r="26648" spans="1:7" x14ac:dyDescent="0.2">
      <c r="A26648" t="s">
        <v>1</v>
      </c>
      <c r="B26648" t="str">
        <f>"18402842863"</f>
        <v>18402842863</v>
      </c>
      <c r="C26648" t="s">
        <v>1</v>
      </c>
      <c r="D26648" t="s">
        <v>1</v>
      </c>
      <c r="E26648" t="s">
        <v>1</v>
      </c>
      <c r="F26648" t="s">
        <v>0</v>
      </c>
      <c r="G26648" t="str">
        <f>"2018-10-05 13:30:54"</f>
        <v>2018-10-05 13:30:54</v>
      </c>
    </row>
    <row r="26649" spans="1:7" x14ac:dyDescent="0.2">
      <c r="A26649" t="s">
        <v>24531</v>
      </c>
      <c r="B26649" t="str">
        <f>"15347112650"</f>
        <v>15347112650</v>
      </c>
      <c r="C26649" t="str">
        <f>"420111197311084200"</f>
        <v>420111197311084200</v>
      </c>
      <c r="D26649" t="s">
        <v>1</v>
      </c>
      <c r="E26649" t="s">
        <v>1</v>
      </c>
      <c r="F26649" t="s">
        <v>0</v>
      </c>
      <c r="G26649" t="str">
        <f>"2018-10-05 13:32:15"</f>
        <v>2018-10-05 13:32:15</v>
      </c>
    </row>
    <row r="26650" spans="1:7" x14ac:dyDescent="0.2">
      <c r="A26650" t="s">
        <v>24532</v>
      </c>
      <c r="B26650" t="str">
        <f>"15872485918"</f>
        <v>15872485918</v>
      </c>
      <c r="C26650" t="str">
        <f>"420525198009182410"</f>
        <v>420525198009182410</v>
      </c>
      <c r="D26650" t="s">
        <v>1</v>
      </c>
      <c r="E26650" t="s">
        <v>1</v>
      </c>
      <c r="F26650" t="s">
        <v>0</v>
      </c>
      <c r="G26650" t="str">
        <f>"2018-10-05 13:34:00"</f>
        <v>2018-10-05 13:34:00</v>
      </c>
    </row>
    <row r="26651" spans="1:7" x14ac:dyDescent="0.2">
      <c r="A26651" t="s">
        <v>821</v>
      </c>
      <c r="B26651" t="str">
        <f>"15184438082"</f>
        <v>15184438082</v>
      </c>
      <c r="C26651" t="str">
        <f>"500381199402107526"</f>
        <v>500381199402107526</v>
      </c>
      <c r="D26651" t="s">
        <v>1</v>
      </c>
      <c r="E26651" t="s">
        <v>1</v>
      </c>
      <c r="F26651" t="s">
        <v>0</v>
      </c>
      <c r="G26651" t="str">
        <f>"2018-10-30 18:30:13"</f>
        <v>2018-10-30 18:30:13</v>
      </c>
    </row>
    <row r="26652" spans="1:7" x14ac:dyDescent="0.2">
      <c r="A26652" t="s">
        <v>828</v>
      </c>
      <c r="B26652" t="str">
        <f>"18251182463"</f>
        <v>18251182463</v>
      </c>
      <c r="C26652" t="str">
        <f>"320502197512300514"</f>
        <v>320502197512300514</v>
      </c>
      <c r="D26652" t="s">
        <v>1</v>
      </c>
      <c r="E26652" t="s">
        <v>1</v>
      </c>
      <c r="F26652" t="s">
        <v>0</v>
      </c>
      <c r="G26652" t="str">
        <f>"2018-10-05 13:32:07"</f>
        <v>2018-10-05 13:32:07</v>
      </c>
    </row>
    <row r="26653" spans="1:7" x14ac:dyDescent="0.2">
      <c r="A26653" t="s">
        <v>24533</v>
      </c>
      <c r="B26653" t="str">
        <f>"15918602850"</f>
        <v>15918602850</v>
      </c>
      <c r="C26653" t="str">
        <f>"360311199309243536"</f>
        <v>360311199309243536</v>
      </c>
      <c r="D26653" t="s">
        <v>24534</v>
      </c>
      <c r="E26653" t="s">
        <v>24535</v>
      </c>
      <c r="F26653" t="s">
        <v>0</v>
      </c>
      <c r="G26653" t="str">
        <f>"2018-10-05 15:58:04"</f>
        <v>2018-10-05 15:58:04</v>
      </c>
    </row>
    <row r="26654" spans="1:7" x14ac:dyDescent="0.2">
      <c r="A26654" t="s">
        <v>1640</v>
      </c>
      <c r="B26654" t="str">
        <f>"18214388349"</f>
        <v>18214388349</v>
      </c>
      <c r="C26654" t="str">
        <f>"532524198711221812"</f>
        <v>532524198711221812</v>
      </c>
      <c r="D26654" t="s">
        <v>24536</v>
      </c>
      <c r="E26654" t="s">
        <v>24537</v>
      </c>
      <c r="F26654" t="s">
        <v>0</v>
      </c>
      <c r="G26654" t="str">
        <f>"2018-10-05 13:47:52"</f>
        <v>2018-10-05 13:47:52</v>
      </c>
    </row>
    <row r="26655" spans="1:7" x14ac:dyDescent="0.2">
      <c r="A26655" t="s">
        <v>24538</v>
      </c>
      <c r="B26655" t="str">
        <f>"15904053290"</f>
        <v>15904053290</v>
      </c>
      <c r="C26655" t="str">
        <f>"210124199601121016"</f>
        <v>210124199601121016</v>
      </c>
      <c r="D26655" t="s">
        <v>1</v>
      </c>
      <c r="E26655" t="s">
        <v>1</v>
      </c>
      <c r="F26655" t="s">
        <v>0</v>
      </c>
      <c r="G26655" t="str">
        <f>"2018-10-05 13:30:42"</f>
        <v>2018-10-05 13:30:42</v>
      </c>
    </row>
    <row r="26656" spans="1:7" x14ac:dyDescent="0.2">
      <c r="A26656" t="s">
        <v>24539</v>
      </c>
      <c r="B26656" t="str">
        <f>"15889841271"</f>
        <v>15889841271</v>
      </c>
      <c r="C26656" t="str">
        <f>"441522199309253030"</f>
        <v>441522199309253030</v>
      </c>
      <c r="D26656" t="s">
        <v>1</v>
      </c>
      <c r="E26656" t="s">
        <v>1</v>
      </c>
      <c r="F26656" t="s">
        <v>0</v>
      </c>
      <c r="G26656" t="str">
        <f>"2018-10-05 13:56:31"</f>
        <v>2018-10-05 13:56:31</v>
      </c>
    </row>
    <row r="26657" spans="1:7" x14ac:dyDescent="0.2">
      <c r="A26657" t="s">
        <v>24540</v>
      </c>
      <c r="B26657" t="str">
        <f>"15208941482"</f>
        <v>15208941482</v>
      </c>
      <c r="C26657" t="str">
        <f>"460103199511221528"</f>
        <v>460103199511221528</v>
      </c>
      <c r="D26657" t="s">
        <v>1</v>
      </c>
      <c r="E26657" t="s">
        <v>1</v>
      </c>
      <c r="F26657" t="s">
        <v>0</v>
      </c>
      <c r="G26657" t="str">
        <f>"2018-10-05 13:32:49"</f>
        <v>2018-10-05 13:32:49</v>
      </c>
    </row>
    <row r="26658" spans="1:7" x14ac:dyDescent="0.2">
      <c r="A26658" t="s">
        <v>1</v>
      </c>
      <c r="B26658" t="str">
        <f>"18255353976"</f>
        <v>18255353976</v>
      </c>
      <c r="C26658" t="s">
        <v>1</v>
      </c>
      <c r="D26658" t="s">
        <v>1</v>
      </c>
      <c r="E26658" t="s">
        <v>1</v>
      </c>
      <c r="F26658" t="s">
        <v>0</v>
      </c>
      <c r="G26658" t="str">
        <f>"2018-10-05 13:28:06"</f>
        <v>2018-10-05 13:28:06</v>
      </c>
    </row>
    <row r="26659" spans="1:7" x14ac:dyDescent="0.2">
      <c r="A26659" t="s">
        <v>1</v>
      </c>
      <c r="B26659" t="str">
        <f>"13268258815"</f>
        <v>13268258815</v>
      </c>
      <c r="C26659" t="s">
        <v>1</v>
      </c>
      <c r="D26659" t="s">
        <v>1</v>
      </c>
      <c r="E26659" t="s">
        <v>1</v>
      </c>
      <c r="F26659" t="s">
        <v>0</v>
      </c>
      <c r="G26659" t="str">
        <f>"2018-10-05 13:27:47"</f>
        <v>2018-10-05 13:27:47</v>
      </c>
    </row>
    <row r="26660" spans="1:7" x14ac:dyDescent="0.2">
      <c r="A26660" t="s">
        <v>24541</v>
      </c>
      <c r="B26660" t="str">
        <f>"18800624196"</f>
        <v>18800624196</v>
      </c>
      <c r="C26660" t="str">
        <f>"321322199301273610"</f>
        <v>321322199301273610</v>
      </c>
      <c r="D26660" t="s">
        <v>1</v>
      </c>
      <c r="E26660" t="s">
        <v>1</v>
      </c>
      <c r="F26660" t="s">
        <v>0</v>
      </c>
      <c r="G26660" t="str">
        <f>"2018-10-06 10:39:42"</f>
        <v>2018-10-06 10:39:42</v>
      </c>
    </row>
    <row r="26661" spans="1:7" x14ac:dyDescent="0.2">
      <c r="A26661" t="s">
        <v>1</v>
      </c>
      <c r="B26661" t="str">
        <f>"18036396902"</f>
        <v>18036396902</v>
      </c>
      <c r="C26661" t="s">
        <v>1</v>
      </c>
      <c r="D26661" t="s">
        <v>1</v>
      </c>
      <c r="E26661" t="s">
        <v>1</v>
      </c>
      <c r="F26661" t="s">
        <v>0</v>
      </c>
      <c r="G26661" t="str">
        <f>"2018-10-05 13:27:11"</f>
        <v>2018-10-05 13:27:11</v>
      </c>
    </row>
    <row r="26662" spans="1:7" x14ac:dyDescent="0.2">
      <c r="A26662" t="s">
        <v>24542</v>
      </c>
      <c r="B26662" t="str">
        <f>"13925934265"</f>
        <v>13925934265</v>
      </c>
      <c r="C26662" t="str">
        <f>"440681199411215932"</f>
        <v>440681199411215932</v>
      </c>
      <c r="D26662" t="s">
        <v>24543</v>
      </c>
      <c r="E26662" t="s">
        <v>24544</v>
      </c>
      <c r="F26662" t="s">
        <v>0</v>
      </c>
      <c r="G26662" t="str">
        <f>"2018-10-05 13:27:54"</f>
        <v>2018-10-05 13:27:54</v>
      </c>
    </row>
    <row r="26663" spans="1:7" x14ac:dyDescent="0.2">
      <c r="A26663" t="s">
        <v>24545</v>
      </c>
      <c r="B26663" t="str">
        <f>"18672983988"</f>
        <v>18672983988</v>
      </c>
      <c r="C26663" t="str">
        <f>"420922198205257718"</f>
        <v>420922198205257718</v>
      </c>
      <c r="D26663" t="s">
        <v>1</v>
      </c>
      <c r="E26663" t="s">
        <v>1</v>
      </c>
      <c r="F26663" t="s">
        <v>0</v>
      </c>
      <c r="G26663" t="str">
        <f>"2018-10-05 13:29:11"</f>
        <v>2018-10-05 13:29:11</v>
      </c>
    </row>
    <row r="26664" spans="1:7" x14ac:dyDescent="0.2">
      <c r="A26664" t="s">
        <v>24546</v>
      </c>
      <c r="B26664" t="str">
        <f>"17755587500"</f>
        <v>17755587500</v>
      </c>
      <c r="C26664" t="str">
        <f>"340521198502100815"</f>
        <v>340521198502100815</v>
      </c>
      <c r="D26664" t="s">
        <v>1</v>
      </c>
      <c r="E26664" t="s">
        <v>1</v>
      </c>
      <c r="F26664" t="s">
        <v>0</v>
      </c>
      <c r="G26664" t="str">
        <f>"2018-10-05 13:52:54"</f>
        <v>2018-10-05 13:52:54</v>
      </c>
    </row>
    <row r="26665" spans="1:7" x14ac:dyDescent="0.2">
      <c r="A26665" t="s">
        <v>1613</v>
      </c>
      <c r="B26665" t="str">
        <f>"13805927628"</f>
        <v>13805927628</v>
      </c>
      <c r="C26665" t="str">
        <f>"350583198106107717"</f>
        <v>350583198106107717</v>
      </c>
      <c r="D26665" t="s">
        <v>24547</v>
      </c>
      <c r="E26665" t="s">
        <v>24548</v>
      </c>
      <c r="F26665" t="s">
        <v>0</v>
      </c>
      <c r="G26665" t="str">
        <f>"2018-10-11 16:24:30"</f>
        <v>2018-10-11 16:24:30</v>
      </c>
    </row>
    <row r="26666" spans="1:7" x14ac:dyDescent="0.2">
      <c r="A26666" t="s">
        <v>1</v>
      </c>
      <c r="B26666" t="str">
        <f>"15980969531"</f>
        <v>15980969531</v>
      </c>
      <c r="C26666" t="s">
        <v>1</v>
      </c>
      <c r="D26666" t="s">
        <v>1</v>
      </c>
      <c r="E26666" t="s">
        <v>1</v>
      </c>
      <c r="F26666" t="s">
        <v>0</v>
      </c>
      <c r="G26666" t="str">
        <f>"2018-10-05 13:26:03"</f>
        <v>2018-10-05 13:26:03</v>
      </c>
    </row>
    <row r="26667" spans="1:7" x14ac:dyDescent="0.2">
      <c r="A26667" t="s">
        <v>24549</v>
      </c>
      <c r="B26667" t="str">
        <f>"15257111038"</f>
        <v>15257111038</v>
      </c>
      <c r="C26667" t="str">
        <f>"330127198910204036"</f>
        <v>330127198910204036</v>
      </c>
      <c r="D26667" t="s">
        <v>24550</v>
      </c>
      <c r="E26667" t="s">
        <v>24551</v>
      </c>
      <c r="F26667" t="s">
        <v>0</v>
      </c>
      <c r="G26667" t="str">
        <f>"2018-10-25 16:01:41"</f>
        <v>2018-10-25 16:01:41</v>
      </c>
    </row>
    <row r="26668" spans="1:7" x14ac:dyDescent="0.2">
      <c r="A26668" t="s">
        <v>586</v>
      </c>
      <c r="B26668" t="str">
        <f>"13770681736"</f>
        <v>13770681736</v>
      </c>
      <c r="C26668" t="str">
        <f>"340223198806116417"</f>
        <v>340223198806116417</v>
      </c>
      <c r="D26668" t="s">
        <v>1</v>
      </c>
      <c r="E26668" t="s">
        <v>1</v>
      </c>
      <c r="F26668" t="s">
        <v>0</v>
      </c>
      <c r="G26668" t="str">
        <f>"2018-10-05 13:28:22"</f>
        <v>2018-10-05 13:28:22</v>
      </c>
    </row>
    <row r="26669" spans="1:7" x14ac:dyDescent="0.2">
      <c r="A26669" t="s">
        <v>1</v>
      </c>
      <c r="B26669" t="str">
        <f>"13429265066"</f>
        <v>13429265066</v>
      </c>
      <c r="C26669" t="s">
        <v>1</v>
      </c>
      <c r="D26669" t="s">
        <v>1</v>
      </c>
      <c r="E26669" t="s">
        <v>1</v>
      </c>
      <c r="F26669" t="s">
        <v>0</v>
      </c>
      <c r="G26669" t="str">
        <f>"2018-10-05 13:26:34"</f>
        <v>2018-10-05 13:26:34</v>
      </c>
    </row>
    <row r="26670" spans="1:7" x14ac:dyDescent="0.2">
      <c r="A26670" t="s">
        <v>1</v>
      </c>
      <c r="B26670" t="str">
        <f>"13078054167"</f>
        <v>13078054167</v>
      </c>
      <c r="C26670" t="s">
        <v>1</v>
      </c>
      <c r="D26670" t="s">
        <v>1</v>
      </c>
      <c r="E26670" t="s">
        <v>1</v>
      </c>
      <c r="F26670" t="s">
        <v>0</v>
      </c>
      <c r="G26670" t="str">
        <f>"2018-10-05 13:25:21"</f>
        <v>2018-10-05 13:25:21</v>
      </c>
    </row>
    <row r="26671" spans="1:7" x14ac:dyDescent="0.2">
      <c r="A26671" t="s">
        <v>1</v>
      </c>
      <c r="B26671" t="str">
        <f>"18771192415"</f>
        <v>18771192415</v>
      </c>
      <c r="C26671" t="s">
        <v>1</v>
      </c>
      <c r="D26671" t="s">
        <v>1</v>
      </c>
      <c r="E26671" t="s">
        <v>1</v>
      </c>
      <c r="F26671" t="s">
        <v>0</v>
      </c>
      <c r="G26671" t="str">
        <f>"2018-10-05 13:24:25"</f>
        <v>2018-10-05 13:24:25</v>
      </c>
    </row>
    <row r="26672" spans="1:7" x14ac:dyDescent="0.2">
      <c r="A26672" t="s">
        <v>24552</v>
      </c>
      <c r="B26672" t="str">
        <f>"18571750595"</f>
        <v>18571750595</v>
      </c>
      <c r="C26672" t="str">
        <f>"420117199506080055"</f>
        <v>420117199506080055</v>
      </c>
      <c r="D26672" t="s">
        <v>1</v>
      </c>
      <c r="E26672" t="s">
        <v>1</v>
      </c>
      <c r="F26672" t="s">
        <v>0</v>
      </c>
      <c r="G26672" t="str">
        <f>"2018-10-05 13:25:36"</f>
        <v>2018-10-05 13:25:36</v>
      </c>
    </row>
    <row r="26673" spans="1:7" x14ac:dyDescent="0.2">
      <c r="A26673" t="s">
        <v>1</v>
      </c>
      <c r="B26673" t="str">
        <f>"13295080723"</f>
        <v>13295080723</v>
      </c>
      <c r="C26673" t="s">
        <v>1</v>
      </c>
      <c r="D26673" t="s">
        <v>1</v>
      </c>
      <c r="E26673" t="s">
        <v>1</v>
      </c>
      <c r="F26673" t="s">
        <v>0</v>
      </c>
      <c r="G26673" t="str">
        <f>"2018-10-05 13:24:21"</f>
        <v>2018-10-05 13:24:21</v>
      </c>
    </row>
    <row r="26674" spans="1:7" x14ac:dyDescent="0.2">
      <c r="A26674" t="s">
        <v>24553</v>
      </c>
      <c r="B26674" t="str">
        <f>"13048219249"</f>
        <v>13048219249</v>
      </c>
      <c r="C26674" t="str">
        <f>"441223199710081757"</f>
        <v>441223199710081757</v>
      </c>
      <c r="D26674" t="s">
        <v>1</v>
      </c>
      <c r="E26674" t="s">
        <v>1</v>
      </c>
      <c r="F26674" t="s">
        <v>0</v>
      </c>
      <c r="G26674" t="str">
        <f>"2018-10-05 13:28:42"</f>
        <v>2018-10-05 13:28:42</v>
      </c>
    </row>
    <row r="26675" spans="1:7" x14ac:dyDescent="0.2">
      <c r="A26675" t="s">
        <v>24554</v>
      </c>
      <c r="B26675" t="str">
        <f>"18566358679"</f>
        <v>18566358679</v>
      </c>
      <c r="C26675" t="str">
        <f>"441223198711013225"</f>
        <v>441223198711013225</v>
      </c>
      <c r="D26675" t="s">
        <v>1</v>
      </c>
      <c r="E26675" t="s">
        <v>1</v>
      </c>
      <c r="F26675" t="s">
        <v>0</v>
      </c>
      <c r="G26675" t="str">
        <f>"2018-10-05 13:27:50"</f>
        <v>2018-10-05 13:27:50</v>
      </c>
    </row>
    <row r="26676" spans="1:7" x14ac:dyDescent="0.2">
      <c r="A26676" t="s">
        <v>1</v>
      </c>
      <c r="B26676" t="str">
        <f>"15150594339"</f>
        <v>15150594339</v>
      </c>
      <c r="C26676" t="s">
        <v>1</v>
      </c>
      <c r="D26676" t="s">
        <v>1</v>
      </c>
      <c r="E26676" t="s">
        <v>1</v>
      </c>
      <c r="F26676" t="s">
        <v>0</v>
      </c>
      <c r="G26676" t="str">
        <f>"2018-10-05 13:23:10"</f>
        <v>2018-10-05 13:23:10</v>
      </c>
    </row>
    <row r="26677" spans="1:7" x14ac:dyDescent="0.2">
      <c r="A26677" t="s">
        <v>388</v>
      </c>
      <c r="B26677" t="str">
        <f>"13312221677"</f>
        <v>13312221677</v>
      </c>
      <c r="C26677" t="str">
        <f>"522424198609113228"</f>
        <v>522424198609113228</v>
      </c>
      <c r="D26677" t="s">
        <v>1</v>
      </c>
      <c r="E26677" t="s">
        <v>1</v>
      </c>
      <c r="F26677" t="s">
        <v>0</v>
      </c>
      <c r="G26677" t="str">
        <f>"2018-10-05 15:59:40"</f>
        <v>2018-10-05 15:59:40</v>
      </c>
    </row>
    <row r="26678" spans="1:7" x14ac:dyDescent="0.2">
      <c r="A26678" t="s">
        <v>24555</v>
      </c>
      <c r="B26678" t="str">
        <f>"15755193369"</f>
        <v>15755193369</v>
      </c>
      <c r="C26678" t="str">
        <f>"341181199311251418"</f>
        <v>341181199311251418</v>
      </c>
      <c r="D26678" t="s">
        <v>1</v>
      </c>
      <c r="E26678" t="s">
        <v>1</v>
      </c>
      <c r="F26678" t="s">
        <v>0</v>
      </c>
      <c r="G26678" t="str">
        <f>"2018-10-05 13:23:36"</f>
        <v>2018-10-05 13:23:36</v>
      </c>
    </row>
    <row r="26679" spans="1:7" x14ac:dyDescent="0.2">
      <c r="A26679" t="s">
        <v>1</v>
      </c>
      <c r="B26679" t="str">
        <f>"13097949463"</f>
        <v>13097949463</v>
      </c>
      <c r="C26679" t="s">
        <v>1</v>
      </c>
      <c r="D26679" t="s">
        <v>1</v>
      </c>
      <c r="E26679" t="s">
        <v>1</v>
      </c>
      <c r="F26679" t="s">
        <v>0</v>
      </c>
      <c r="G26679" t="str">
        <f>"2018-10-05 13:22:36"</f>
        <v>2018-10-05 13:22:36</v>
      </c>
    </row>
    <row r="26680" spans="1:7" x14ac:dyDescent="0.2">
      <c r="A26680" t="s">
        <v>24556</v>
      </c>
      <c r="B26680" t="str">
        <f>"18665981648"</f>
        <v>18665981648</v>
      </c>
      <c r="C26680" t="str">
        <f>"320703199002161012"</f>
        <v>320703199002161012</v>
      </c>
      <c r="D26680" t="s">
        <v>1</v>
      </c>
      <c r="E26680" t="s">
        <v>1</v>
      </c>
      <c r="F26680" t="s">
        <v>0</v>
      </c>
      <c r="G26680" t="str">
        <f>"2018-10-05 13:23:52"</f>
        <v>2018-10-05 13:23:52</v>
      </c>
    </row>
    <row r="26681" spans="1:7" x14ac:dyDescent="0.2">
      <c r="A26681" t="s">
        <v>24557</v>
      </c>
      <c r="B26681" t="str">
        <f>"13958356634"</f>
        <v>13958356634</v>
      </c>
      <c r="C26681" t="str">
        <f>"330281198207146317"</f>
        <v>330281198207146317</v>
      </c>
      <c r="D26681" t="s">
        <v>1</v>
      </c>
      <c r="E26681" t="s">
        <v>1</v>
      </c>
      <c r="F26681" t="s">
        <v>0</v>
      </c>
      <c r="G26681" t="str">
        <f>"2018-10-05 13:22:14"</f>
        <v>2018-10-05 13:22:14</v>
      </c>
    </row>
    <row r="26682" spans="1:7" x14ac:dyDescent="0.2">
      <c r="A26682" t="s">
        <v>1</v>
      </c>
      <c r="B26682" t="str">
        <f>"15801626191"</f>
        <v>15801626191</v>
      </c>
      <c r="C26682" t="s">
        <v>1</v>
      </c>
      <c r="D26682" t="s">
        <v>1</v>
      </c>
      <c r="E26682" t="s">
        <v>1</v>
      </c>
      <c r="F26682" t="s">
        <v>0</v>
      </c>
      <c r="G26682" t="str">
        <f>"2018-10-05 13:25:58"</f>
        <v>2018-10-05 13:25:58</v>
      </c>
    </row>
    <row r="26683" spans="1:7" x14ac:dyDescent="0.2">
      <c r="A26683" t="s">
        <v>1</v>
      </c>
      <c r="B26683" t="str">
        <f>"18677919810"</f>
        <v>18677919810</v>
      </c>
      <c r="C26683" t="s">
        <v>1</v>
      </c>
      <c r="D26683" t="s">
        <v>1</v>
      </c>
      <c r="E26683" t="s">
        <v>1</v>
      </c>
      <c r="F26683" t="s">
        <v>0</v>
      </c>
      <c r="G26683" t="str">
        <f>"2018-10-05 13:22:20"</f>
        <v>2018-10-05 13:22:20</v>
      </c>
    </row>
    <row r="26684" spans="1:7" x14ac:dyDescent="0.2">
      <c r="A26684" t="s">
        <v>24558</v>
      </c>
      <c r="B26684" t="str">
        <f>"13978602752"</f>
        <v>13978602752</v>
      </c>
      <c r="C26684" t="str">
        <f>"450105198008271540"</f>
        <v>450105198008271540</v>
      </c>
      <c r="D26684" t="s">
        <v>1</v>
      </c>
      <c r="E26684" t="s">
        <v>1</v>
      </c>
      <c r="F26684" t="s">
        <v>0</v>
      </c>
      <c r="G26684" t="str">
        <f>"2018-10-05 13:20:50"</f>
        <v>2018-10-05 13:20:50</v>
      </c>
    </row>
    <row r="26685" spans="1:7" x14ac:dyDescent="0.2">
      <c r="A26685" t="s">
        <v>9673</v>
      </c>
      <c r="B26685" t="str">
        <f>"13982957786"</f>
        <v>13982957786</v>
      </c>
      <c r="C26685" t="str">
        <f>"513902199409071150"</f>
        <v>513902199409071150</v>
      </c>
      <c r="D26685" t="s">
        <v>1</v>
      </c>
      <c r="E26685" t="s">
        <v>1</v>
      </c>
      <c r="F26685" t="s">
        <v>0</v>
      </c>
      <c r="G26685" t="str">
        <f>"2018-10-05 13:26:28"</f>
        <v>2018-10-05 13:26:28</v>
      </c>
    </row>
    <row r="26686" spans="1:7" x14ac:dyDescent="0.2">
      <c r="A26686" t="s">
        <v>1</v>
      </c>
      <c r="B26686" t="str">
        <f>"13204334807"</f>
        <v>13204334807</v>
      </c>
      <c r="C26686" t="s">
        <v>1</v>
      </c>
      <c r="D26686" t="s">
        <v>1</v>
      </c>
      <c r="E26686" t="s">
        <v>1</v>
      </c>
      <c r="F26686" t="s">
        <v>0</v>
      </c>
      <c r="G26686" t="str">
        <f>"2018-10-05 13:19:06"</f>
        <v>2018-10-05 13:19:06</v>
      </c>
    </row>
    <row r="26687" spans="1:7" x14ac:dyDescent="0.2">
      <c r="A26687" t="s">
        <v>24559</v>
      </c>
      <c r="B26687" t="str">
        <f>"15138999258"</f>
        <v>15138999258</v>
      </c>
      <c r="C26687" t="str">
        <f>"410526199601127671"</f>
        <v>410526199601127671</v>
      </c>
      <c r="D26687" t="s">
        <v>1</v>
      </c>
      <c r="E26687" t="s">
        <v>1</v>
      </c>
      <c r="F26687" t="s">
        <v>0</v>
      </c>
      <c r="G26687" t="str">
        <f>"2018-10-05 14:05:26"</f>
        <v>2018-10-05 14:05:26</v>
      </c>
    </row>
    <row r="26688" spans="1:7" x14ac:dyDescent="0.2">
      <c r="A26688" t="s">
        <v>24560</v>
      </c>
      <c r="B26688" t="str">
        <f>"18420067749"</f>
        <v>18420067749</v>
      </c>
      <c r="C26688" t="str">
        <f>"440982200003051930"</f>
        <v>440982200003051930</v>
      </c>
      <c r="D26688" t="s">
        <v>1</v>
      </c>
      <c r="E26688" t="s">
        <v>1</v>
      </c>
      <c r="F26688" t="s">
        <v>0</v>
      </c>
      <c r="G26688" t="str">
        <f>"2018-10-10 17:10:09"</f>
        <v>2018-10-10 17:10:09</v>
      </c>
    </row>
    <row r="26689" spans="1:7" x14ac:dyDescent="0.2">
      <c r="A26689" t="s">
        <v>1</v>
      </c>
      <c r="B26689" t="str">
        <f>"15880373758"</f>
        <v>15880373758</v>
      </c>
      <c r="C26689" t="s">
        <v>1</v>
      </c>
      <c r="D26689" t="s">
        <v>1</v>
      </c>
      <c r="E26689" t="s">
        <v>1</v>
      </c>
      <c r="F26689" t="s">
        <v>0</v>
      </c>
      <c r="G26689" t="str">
        <f>"2018-10-05 13:18:37"</f>
        <v>2018-10-05 13:18:37</v>
      </c>
    </row>
    <row r="26690" spans="1:7" x14ac:dyDescent="0.2">
      <c r="A26690" t="s">
        <v>2208</v>
      </c>
      <c r="B26690" t="str">
        <f>"15922580678"</f>
        <v>15922580678</v>
      </c>
      <c r="C26690" t="str">
        <f>"500230199412160464"</f>
        <v>500230199412160464</v>
      </c>
      <c r="D26690" t="s">
        <v>24561</v>
      </c>
      <c r="E26690" t="s">
        <v>24562</v>
      </c>
      <c r="F26690" t="s">
        <v>0</v>
      </c>
      <c r="G26690" t="str">
        <f>"2018-10-05 13:19:38"</f>
        <v>2018-10-05 13:19:38</v>
      </c>
    </row>
    <row r="26691" spans="1:7" x14ac:dyDescent="0.2">
      <c r="A26691" t="s">
        <v>795</v>
      </c>
      <c r="B26691" t="str">
        <f>"15372605847"</f>
        <v>15372605847</v>
      </c>
      <c r="C26691" t="str">
        <f>"500240199104221416"</f>
        <v>500240199104221416</v>
      </c>
      <c r="D26691" t="s">
        <v>24563</v>
      </c>
      <c r="E26691" t="s">
        <v>24564</v>
      </c>
      <c r="F26691" t="s">
        <v>0</v>
      </c>
      <c r="G26691" t="str">
        <f>"2018-10-05 13:17:14"</f>
        <v>2018-10-05 13:17:14</v>
      </c>
    </row>
    <row r="26692" spans="1:7" x14ac:dyDescent="0.2">
      <c r="A26692" t="s">
        <v>24565</v>
      </c>
      <c r="B26692" t="str">
        <f>"18272298833"</f>
        <v>18272298833</v>
      </c>
      <c r="C26692" t="str">
        <f>"422826198208256026"</f>
        <v>422826198208256026</v>
      </c>
      <c r="D26692" t="s">
        <v>1</v>
      </c>
      <c r="E26692" t="s">
        <v>1</v>
      </c>
      <c r="F26692" t="s">
        <v>0</v>
      </c>
      <c r="G26692" t="str">
        <f>"2018-10-05 14:14:39"</f>
        <v>2018-10-05 14:14:39</v>
      </c>
    </row>
    <row r="26693" spans="1:7" x14ac:dyDescent="0.2">
      <c r="A26693" t="s">
        <v>24566</v>
      </c>
      <c r="B26693" t="str">
        <f>"13861170401"</f>
        <v>13861170401</v>
      </c>
      <c r="C26693" t="str">
        <f>"321283199309130638"</f>
        <v>321283199309130638</v>
      </c>
      <c r="D26693" t="s">
        <v>1</v>
      </c>
      <c r="E26693" t="s">
        <v>1</v>
      </c>
      <c r="F26693" t="s">
        <v>0</v>
      </c>
      <c r="G26693" t="str">
        <f>"2018-10-06 10:14:34"</f>
        <v>2018-10-06 10:14:34</v>
      </c>
    </row>
    <row r="26694" spans="1:7" x14ac:dyDescent="0.2">
      <c r="A26694" t="s">
        <v>1</v>
      </c>
      <c r="B26694" t="str">
        <f>"15519882112"</f>
        <v>15519882112</v>
      </c>
      <c r="C26694" t="s">
        <v>1</v>
      </c>
      <c r="D26694" t="s">
        <v>1</v>
      </c>
      <c r="E26694" t="s">
        <v>1</v>
      </c>
      <c r="F26694" t="s">
        <v>0</v>
      </c>
      <c r="G26694" t="str">
        <f>"2018-10-05 13:15:52"</f>
        <v>2018-10-05 13:15:52</v>
      </c>
    </row>
    <row r="26695" spans="1:7" x14ac:dyDescent="0.2">
      <c r="A26695" t="s">
        <v>1</v>
      </c>
      <c r="B26695" t="str">
        <f>"18326059431"</f>
        <v>18326059431</v>
      </c>
      <c r="C26695" t="s">
        <v>1</v>
      </c>
      <c r="D26695" t="s">
        <v>1</v>
      </c>
      <c r="E26695" t="s">
        <v>1</v>
      </c>
      <c r="F26695" t="s">
        <v>0</v>
      </c>
      <c r="G26695" t="str">
        <f>"2018-10-05 13:16:12"</f>
        <v>2018-10-05 13:16:12</v>
      </c>
    </row>
    <row r="26696" spans="1:7" x14ac:dyDescent="0.2">
      <c r="A26696" t="s">
        <v>16484</v>
      </c>
      <c r="B26696" t="str">
        <f>"18611694432"</f>
        <v>18611694432</v>
      </c>
      <c r="C26696" t="str">
        <f>"410927198905165072"</f>
        <v>410927198905165072</v>
      </c>
      <c r="D26696" t="s">
        <v>1</v>
      </c>
      <c r="E26696" t="s">
        <v>1</v>
      </c>
      <c r="F26696" t="s">
        <v>0</v>
      </c>
      <c r="G26696" t="str">
        <f>"2018-10-06 11:56:56"</f>
        <v>2018-10-06 11:56:56</v>
      </c>
    </row>
    <row r="26697" spans="1:7" x14ac:dyDescent="0.2">
      <c r="A26697" t="s">
        <v>24567</v>
      </c>
      <c r="B26697" t="str">
        <f>"13387834101"</f>
        <v>13387834101</v>
      </c>
      <c r="C26697" t="str">
        <f>"210283199406017833"</f>
        <v>210283199406017833</v>
      </c>
      <c r="D26697" t="s">
        <v>1</v>
      </c>
      <c r="E26697" t="s">
        <v>1</v>
      </c>
      <c r="F26697" t="s">
        <v>0</v>
      </c>
      <c r="G26697" t="str">
        <f>"2018-10-18 14:35:12"</f>
        <v>2018-10-18 14:35:12</v>
      </c>
    </row>
    <row r="26698" spans="1:7" x14ac:dyDescent="0.2">
      <c r="A26698" t="s">
        <v>825</v>
      </c>
      <c r="B26698" t="str">
        <f>"13845329425"</f>
        <v>13845329425</v>
      </c>
      <c r="C26698" t="str">
        <f>"231084199604083321"</f>
        <v>231084199604083321</v>
      </c>
      <c r="D26698" t="s">
        <v>1</v>
      </c>
      <c r="E26698" t="s">
        <v>1</v>
      </c>
      <c r="F26698" t="s">
        <v>0</v>
      </c>
      <c r="G26698" t="str">
        <f>"2018-10-05 13:16:03"</f>
        <v>2018-10-05 13:16:03</v>
      </c>
    </row>
    <row r="26699" spans="1:7" x14ac:dyDescent="0.2">
      <c r="A26699" t="s">
        <v>24568</v>
      </c>
      <c r="B26699" t="str">
        <f>"18777111102"</f>
        <v>18777111102</v>
      </c>
      <c r="C26699" t="str">
        <f>"370284199309022711"</f>
        <v>370284199309022711</v>
      </c>
      <c r="D26699" t="s">
        <v>1</v>
      </c>
      <c r="E26699" t="s">
        <v>1</v>
      </c>
      <c r="F26699" t="s">
        <v>0</v>
      </c>
      <c r="G26699" t="str">
        <f>"2018-10-05 13:18:20"</f>
        <v>2018-10-05 13:18:20</v>
      </c>
    </row>
    <row r="26700" spans="1:7" x14ac:dyDescent="0.2">
      <c r="A26700" t="s">
        <v>24569</v>
      </c>
      <c r="B26700" t="str">
        <f>"18532061770"</f>
        <v>18532061770</v>
      </c>
      <c r="C26700" t="str">
        <f>"130429198202105215"</f>
        <v>130429198202105215</v>
      </c>
      <c r="D26700" t="s">
        <v>1</v>
      </c>
      <c r="E26700" t="s">
        <v>1</v>
      </c>
      <c r="F26700" t="s">
        <v>0</v>
      </c>
      <c r="G26700" t="str">
        <f>"2018-10-05 13:14:13"</f>
        <v>2018-10-05 13:14:13</v>
      </c>
    </row>
    <row r="26701" spans="1:7" x14ac:dyDescent="0.2">
      <c r="A26701" t="s">
        <v>270</v>
      </c>
      <c r="B26701" t="str">
        <f>"13773980769"</f>
        <v>13773980769</v>
      </c>
      <c r="C26701" t="str">
        <f>"321023198104136815"</f>
        <v>321023198104136815</v>
      </c>
      <c r="D26701" t="s">
        <v>1</v>
      </c>
      <c r="E26701" t="s">
        <v>1</v>
      </c>
      <c r="F26701" t="s">
        <v>0</v>
      </c>
      <c r="G26701" t="str">
        <f>"2018-10-05 13:18:36"</f>
        <v>2018-10-05 13:18:36</v>
      </c>
    </row>
    <row r="26702" spans="1:7" x14ac:dyDescent="0.2">
      <c r="A26702" t="s">
        <v>24570</v>
      </c>
      <c r="B26702" t="str">
        <f>"13361299100"</f>
        <v>13361299100</v>
      </c>
      <c r="C26702" t="str">
        <f>"23102519910911547X"</f>
        <v>23102519910911547X</v>
      </c>
      <c r="D26702" t="s">
        <v>24571</v>
      </c>
      <c r="E26702" t="s">
        <v>24572</v>
      </c>
      <c r="F26702" t="s">
        <v>0</v>
      </c>
      <c r="G26702" t="str">
        <f>"2018-10-05 13:15:18"</f>
        <v>2018-10-05 13:15:18</v>
      </c>
    </row>
    <row r="26703" spans="1:7" x14ac:dyDescent="0.2">
      <c r="A26703" t="s">
        <v>1</v>
      </c>
      <c r="B26703" t="str">
        <f>"18552017772"</f>
        <v>18552017772</v>
      </c>
      <c r="C26703" t="s">
        <v>1</v>
      </c>
      <c r="D26703" t="s">
        <v>1</v>
      </c>
      <c r="E26703" t="s">
        <v>1</v>
      </c>
      <c r="F26703" t="s">
        <v>0</v>
      </c>
      <c r="G26703" t="str">
        <f>"2018-10-16 16:16:27"</f>
        <v>2018-10-16 16:16:27</v>
      </c>
    </row>
    <row r="26704" spans="1:7" x14ac:dyDescent="0.2">
      <c r="A26704" t="s">
        <v>24573</v>
      </c>
      <c r="B26704" t="str">
        <f>"15016333305"</f>
        <v>15016333305</v>
      </c>
      <c r="C26704" t="str">
        <f>"441523199409147370"</f>
        <v>441523199409147370</v>
      </c>
      <c r="D26704" t="s">
        <v>1</v>
      </c>
      <c r="E26704" t="s">
        <v>1</v>
      </c>
      <c r="F26704" t="s">
        <v>0</v>
      </c>
      <c r="G26704" t="str">
        <f>"2018-10-17 10:37:24"</f>
        <v>2018-10-17 10:37:24</v>
      </c>
    </row>
    <row r="26705" spans="1:7" x14ac:dyDescent="0.2">
      <c r="A26705" t="s">
        <v>24574</v>
      </c>
      <c r="B26705" t="str">
        <f>"18717229055"</f>
        <v>18717229055</v>
      </c>
      <c r="C26705" t="str">
        <f>"230121198704012656"</f>
        <v>230121198704012656</v>
      </c>
      <c r="D26705" t="s">
        <v>24575</v>
      </c>
      <c r="E26705" t="s">
        <v>24576</v>
      </c>
      <c r="F26705" t="s">
        <v>0</v>
      </c>
      <c r="G26705" t="str">
        <f>"2018-10-05 13:31:56"</f>
        <v>2018-10-05 13:31:56</v>
      </c>
    </row>
    <row r="26706" spans="1:7" x14ac:dyDescent="0.2">
      <c r="A26706" t="s">
        <v>24577</v>
      </c>
      <c r="B26706" t="str">
        <f>"13850555502"</f>
        <v>13850555502</v>
      </c>
      <c r="C26706" t="str">
        <f>"350600198205081027"</f>
        <v>350600198205081027</v>
      </c>
      <c r="D26706" t="s">
        <v>1</v>
      </c>
      <c r="E26706" t="s">
        <v>1</v>
      </c>
      <c r="F26706" t="s">
        <v>0</v>
      </c>
      <c r="G26706" t="str">
        <f>"2018-10-05 13:14:36"</f>
        <v>2018-10-05 13:14:36</v>
      </c>
    </row>
    <row r="26707" spans="1:7" x14ac:dyDescent="0.2">
      <c r="A26707" t="s">
        <v>24578</v>
      </c>
      <c r="B26707" t="str">
        <f>"13427230744"</f>
        <v>13427230744</v>
      </c>
      <c r="C26707" t="str">
        <f>"431081199304015536"</f>
        <v>431081199304015536</v>
      </c>
      <c r="D26707" t="s">
        <v>24579</v>
      </c>
      <c r="E26707" t="s">
        <v>24579</v>
      </c>
      <c r="F26707" t="s">
        <v>0</v>
      </c>
      <c r="G26707" t="str">
        <f>"2018-10-10 20:38:21"</f>
        <v>2018-10-10 20:38:21</v>
      </c>
    </row>
    <row r="26708" spans="1:7" x14ac:dyDescent="0.2">
      <c r="A26708" t="s">
        <v>24580</v>
      </c>
      <c r="B26708" t="str">
        <f>"15971352434"</f>
        <v>15971352434</v>
      </c>
      <c r="C26708" t="str">
        <f>"421181199210050094"</f>
        <v>421181199210050094</v>
      </c>
      <c r="D26708" t="s">
        <v>1</v>
      </c>
      <c r="E26708" t="s">
        <v>1</v>
      </c>
      <c r="F26708" t="s">
        <v>0</v>
      </c>
      <c r="G26708" t="str">
        <f>"2018-10-05 13:16:01"</f>
        <v>2018-10-05 13:16:01</v>
      </c>
    </row>
    <row r="26709" spans="1:7" x14ac:dyDescent="0.2">
      <c r="A26709" t="s">
        <v>514</v>
      </c>
      <c r="B26709" t="str">
        <f>"13349397486"</f>
        <v>13349397486</v>
      </c>
      <c r="C26709" t="str">
        <f>"230281199608041840"</f>
        <v>230281199608041840</v>
      </c>
      <c r="D26709" t="s">
        <v>1</v>
      </c>
      <c r="E26709" t="s">
        <v>1</v>
      </c>
      <c r="F26709" t="s">
        <v>0</v>
      </c>
      <c r="G26709" t="str">
        <f>"2018-10-05 17:00:45"</f>
        <v>2018-10-05 17:00:45</v>
      </c>
    </row>
    <row r="26710" spans="1:7" x14ac:dyDescent="0.2">
      <c r="A26710" t="s">
        <v>1590</v>
      </c>
      <c r="B26710" t="str">
        <f>"18685898905"</f>
        <v>18685898905</v>
      </c>
      <c r="C26710" t="str">
        <f>"520221197303080877"</f>
        <v>520221197303080877</v>
      </c>
      <c r="D26710" t="s">
        <v>24581</v>
      </c>
      <c r="E26710" t="s">
        <v>24582</v>
      </c>
      <c r="F26710" t="s">
        <v>0</v>
      </c>
      <c r="G26710" t="str">
        <f>"2018-10-05 13:13:34"</f>
        <v>2018-10-05 13:13:34</v>
      </c>
    </row>
    <row r="26711" spans="1:7" x14ac:dyDescent="0.2">
      <c r="A26711" t="s">
        <v>1</v>
      </c>
      <c r="B26711" t="str">
        <f>"17331155585"</f>
        <v>17331155585</v>
      </c>
      <c r="C26711" t="s">
        <v>1</v>
      </c>
      <c r="D26711" t="s">
        <v>1</v>
      </c>
      <c r="E26711" t="s">
        <v>1</v>
      </c>
      <c r="F26711" t="s">
        <v>0</v>
      </c>
      <c r="G26711" t="str">
        <f>"2018-10-05 13:15:15"</f>
        <v>2018-10-05 13:15:15</v>
      </c>
    </row>
    <row r="26712" spans="1:7" x14ac:dyDescent="0.2">
      <c r="A26712" t="s">
        <v>1</v>
      </c>
      <c r="B26712" t="str">
        <f>"13934726662"</f>
        <v>13934726662</v>
      </c>
      <c r="C26712" t="s">
        <v>1</v>
      </c>
      <c r="D26712" t="s">
        <v>1</v>
      </c>
      <c r="E26712" t="s">
        <v>1</v>
      </c>
      <c r="F26712" t="s">
        <v>0</v>
      </c>
      <c r="G26712" t="str">
        <f>"2018-10-05 13:12:21"</f>
        <v>2018-10-05 13:12:21</v>
      </c>
    </row>
    <row r="26713" spans="1:7" x14ac:dyDescent="0.2">
      <c r="A26713" t="s">
        <v>24583</v>
      </c>
      <c r="B26713" t="str">
        <f>"18212209433"</f>
        <v>18212209433</v>
      </c>
      <c r="C26713" t="str">
        <f>"522130199608013247"</f>
        <v>522130199608013247</v>
      </c>
      <c r="D26713" t="s">
        <v>1</v>
      </c>
      <c r="E26713" t="s">
        <v>1</v>
      </c>
      <c r="F26713" t="s">
        <v>0</v>
      </c>
      <c r="G26713" t="str">
        <f>"2018-10-05 13:14:38"</f>
        <v>2018-10-05 13:14:38</v>
      </c>
    </row>
    <row r="26714" spans="1:7" x14ac:dyDescent="0.2">
      <c r="A26714" t="s">
        <v>24584</v>
      </c>
      <c r="B26714" t="str">
        <f>"13896965952"</f>
        <v>13896965952</v>
      </c>
      <c r="C26714" t="str">
        <f>"500229198712250226"</f>
        <v>500229198712250226</v>
      </c>
      <c r="D26714" t="s">
        <v>1</v>
      </c>
      <c r="E26714" t="s">
        <v>1</v>
      </c>
      <c r="F26714" t="s">
        <v>0</v>
      </c>
      <c r="G26714" t="str">
        <f>"2018-10-05 13:58:47"</f>
        <v>2018-10-05 13:58:47</v>
      </c>
    </row>
    <row r="26715" spans="1:7" x14ac:dyDescent="0.2">
      <c r="A26715" t="s">
        <v>24585</v>
      </c>
      <c r="B26715" t="str">
        <f>"13365652880"</f>
        <v>13365652880</v>
      </c>
      <c r="C26715" t="str">
        <f>"34262219870212433X"</f>
        <v>34262219870212433X</v>
      </c>
      <c r="D26715" t="s">
        <v>24586</v>
      </c>
      <c r="E26715" t="s">
        <v>24587</v>
      </c>
      <c r="F26715" t="s">
        <v>0</v>
      </c>
      <c r="G26715" t="str">
        <f>"2018-10-05 13:13:47"</f>
        <v>2018-10-05 13:13:47</v>
      </c>
    </row>
    <row r="26716" spans="1:7" x14ac:dyDescent="0.2">
      <c r="A26716" t="s">
        <v>24588</v>
      </c>
      <c r="B26716" t="str">
        <f>"18806033578"</f>
        <v>18806033578</v>
      </c>
      <c r="C26716" t="str">
        <f>"350481199603122033"</f>
        <v>350481199603122033</v>
      </c>
      <c r="D26716" t="s">
        <v>24589</v>
      </c>
      <c r="E26716" t="s">
        <v>24590</v>
      </c>
      <c r="F26716" t="s">
        <v>0</v>
      </c>
      <c r="G26716" t="str">
        <f>"2018-10-05 13:15:15"</f>
        <v>2018-10-05 13:15:15</v>
      </c>
    </row>
    <row r="26717" spans="1:7" x14ac:dyDescent="0.2">
      <c r="A26717" t="s">
        <v>24591</v>
      </c>
      <c r="B26717" t="str">
        <f>"13913381387"</f>
        <v>13913381387</v>
      </c>
      <c r="C26717" t="str">
        <f>"320124198107073259"</f>
        <v>320124198107073259</v>
      </c>
      <c r="D26717" t="s">
        <v>1</v>
      </c>
      <c r="E26717" t="s">
        <v>1</v>
      </c>
      <c r="F26717" t="s">
        <v>0</v>
      </c>
      <c r="G26717" t="str">
        <f>"2018-10-05 13:12:16"</f>
        <v>2018-10-05 13:12:16</v>
      </c>
    </row>
    <row r="26718" spans="1:7" x14ac:dyDescent="0.2">
      <c r="A26718" t="s">
        <v>1</v>
      </c>
      <c r="B26718" t="str">
        <f>"18286207596"</f>
        <v>18286207596</v>
      </c>
      <c r="C26718" t="s">
        <v>1</v>
      </c>
      <c r="D26718" t="s">
        <v>1</v>
      </c>
      <c r="E26718" t="s">
        <v>1</v>
      </c>
      <c r="F26718" t="s">
        <v>0</v>
      </c>
      <c r="G26718" t="str">
        <f>"2018-10-05 13:11:58"</f>
        <v>2018-10-05 13:11:58</v>
      </c>
    </row>
    <row r="26719" spans="1:7" x14ac:dyDescent="0.2">
      <c r="A26719" t="s">
        <v>63</v>
      </c>
      <c r="B26719" t="str">
        <f>"18315675110"</f>
        <v>18315675110</v>
      </c>
      <c r="C26719" t="str">
        <f>"371323199607122810"</f>
        <v>371323199607122810</v>
      </c>
      <c r="D26719" t="s">
        <v>1</v>
      </c>
      <c r="E26719" t="s">
        <v>1</v>
      </c>
      <c r="F26719" t="s">
        <v>0</v>
      </c>
      <c r="G26719" t="str">
        <f>"2018-10-05 13:10:56"</f>
        <v>2018-10-05 13:10:56</v>
      </c>
    </row>
    <row r="26720" spans="1:7" x14ac:dyDescent="0.2">
      <c r="A26720" t="s">
        <v>363</v>
      </c>
      <c r="B26720" t="str">
        <f>"13594358463"</f>
        <v>13594358463</v>
      </c>
      <c r="C26720" t="str">
        <f>"50011019951206361X"</f>
        <v>50011019951206361X</v>
      </c>
      <c r="D26720" t="s">
        <v>24592</v>
      </c>
      <c r="E26720" t="s">
        <v>24593</v>
      </c>
      <c r="F26720" t="s">
        <v>0</v>
      </c>
      <c r="G26720" t="str">
        <f>"2018-10-05 13:30:03"</f>
        <v>2018-10-05 13:30:03</v>
      </c>
    </row>
    <row r="26721" spans="1:7" x14ac:dyDescent="0.2">
      <c r="A26721" t="s">
        <v>1</v>
      </c>
      <c r="B26721" t="str">
        <f>"13355442106"</f>
        <v>13355442106</v>
      </c>
      <c r="C26721" t="s">
        <v>1</v>
      </c>
      <c r="D26721" t="s">
        <v>1</v>
      </c>
      <c r="E26721" t="s">
        <v>1</v>
      </c>
      <c r="F26721" t="s">
        <v>0</v>
      </c>
      <c r="G26721" t="str">
        <f>"2018-10-05 13:10:20"</f>
        <v>2018-10-05 13:10:20</v>
      </c>
    </row>
    <row r="26722" spans="1:7" x14ac:dyDescent="0.2">
      <c r="A26722" t="s">
        <v>2942</v>
      </c>
      <c r="B26722" t="str">
        <f>"15229333110"</f>
        <v>15229333110</v>
      </c>
      <c r="C26722" t="str">
        <f>"612527198907173436"</f>
        <v>612527198907173436</v>
      </c>
      <c r="D26722" t="s">
        <v>24594</v>
      </c>
      <c r="E26722" t="s">
        <v>24595</v>
      </c>
      <c r="F26722" t="s">
        <v>0</v>
      </c>
      <c r="G26722" t="str">
        <f>"2018-10-05 13:10:17"</f>
        <v>2018-10-05 13:10:17</v>
      </c>
    </row>
    <row r="26723" spans="1:7" x14ac:dyDescent="0.2">
      <c r="A26723" t="s">
        <v>1</v>
      </c>
      <c r="B26723" t="str">
        <f>"17325470481"</f>
        <v>17325470481</v>
      </c>
      <c r="C26723" t="s">
        <v>1</v>
      </c>
      <c r="D26723" t="s">
        <v>1</v>
      </c>
      <c r="E26723" t="s">
        <v>1</v>
      </c>
      <c r="F26723" t="s">
        <v>0</v>
      </c>
      <c r="G26723" t="str">
        <f>"2018-10-05 13:12:20"</f>
        <v>2018-10-05 13:12:20</v>
      </c>
    </row>
    <row r="26724" spans="1:7" x14ac:dyDescent="0.2">
      <c r="A26724" t="s">
        <v>24596</v>
      </c>
      <c r="B26724" t="str">
        <f>"18152750597"</f>
        <v>18152750597</v>
      </c>
      <c r="C26724" t="str">
        <f>"431002198706081026"</f>
        <v>431002198706081026</v>
      </c>
      <c r="D26724" t="s">
        <v>1</v>
      </c>
      <c r="E26724" t="s">
        <v>1</v>
      </c>
      <c r="F26724" t="s">
        <v>0</v>
      </c>
      <c r="G26724" t="str">
        <f>"2018-10-05 13:12:49"</f>
        <v>2018-10-05 13:12:49</v>
      </c>
    </row>
    <row r="26725" spans="1:7" x14ac:dyDescent="0.2">
      <c r="A26725" t="s">
        <v>24597</v>
      </c>
      <c r="B26725" t="str">
        <f>"18614973327"</f>
        <v>18614973327</v>
      </c>
      <c r="C26725" t="str">
        <f>"410108198812210177"</f>
        <v>410108198812210177</v>
      </c>
      <c r="D26725" t="s">
        <v>1</v>
      </c>
      <c r="E26725" t="s">
        <v>1</v>
      </c>
      <c r="F26725" t="s">
        <v>0</v>
      </c>
      <c r="G26725" t="str">
        <f>"2018-10-05 13:17:09"</f>
        <v>2018-10-05 13:17:09</v>
      </c>
    </row>
    <row r="26726" spans="1:7" x14ac:dyDescent="0.2">
      <c r="A26726" t="s">
        <v>168</v>
      </c>
      <c r="B26726" t="str">
        <f>"18907007427"</f>
        <v>18907007427</v>
      </c>
      <c r="C26726" t="str">
        <f>"360122198506186917"</f>
        <v>360122198506186917</v>
      </c>
      <c r="D26726" t="s">
        <v>24598</v>
      </c>
      <c r="E26726" t="s">
        <v>24599</v>
      </c>
      <c r="F26726" t="s">
        <v>0</v>
      </c>
      <c r="G26726" t="str">
        <f>"2018-10-05 13:10:32"</f>
        <v>2018-10-05 13:10:32</v>
      </c>
    </row>
    <row r="26727" spans="1:7" x14ac:dyDescent="0.2">
      <c r="A26727" t="s">
        <v>24600</v>
      </c>
      <c r="B26727" t="str">
        <f>"13820043634"</f>
        <v>13820043634</v>
      </c>
      <c r="C26727" t="str">
        <f>"120224198911186623"</f>
        <v>120224198911186623</v>
      </c>
      <c r="D26727" t="s">
        <v>1</v>
      </c>
      <c r="E26727" t="s">
        <v>1</v>
      </c>
      <c r="F26727" t="s">
        <v>0</v>
      </c>
      <c r="G26727" t="str">
        <f>"2018-10-05 13:16:30"</f>
        <v>2018-10-05 13:16:30</v>
      </c>
    </row>
    <row r="26728" spans="1:7" x14ac:dyDescent="0.2">
      <c r="A26728" t="s">
        <v>1</v>
      </c>
      <c r="B26728" t="str">
        <f>"13648140908"</f>
        <v>13648140908</v>
      </c>
      <c r="C26728" t="s">
        <v>1</v>
      </c>
      <c r="D26728" t="s">
        <v>1</v>
      </c>
      <c r="E26728" t="s">
        <v>1</v>
      </c>
      <c r="F26728" t="s">
        <v>0</v>
      </c>
      <c r="G26728" t="str">
        <f>"2018-10-05 13:08:46"</f>
        <v>2018-10-05 13:08:46</v>
      </c>
    </row>
    <row r="26729" spans="1:7" x14ac:dyDescent="0.2">
      <c r="A26729" t="s">
        <v>24601</v>
      </c>
      <c r="B26729" t="str">
        <f>"13773031273"</f>
        <v>13773031273</v>
      </c>
      <c r="C26729" t="str">
        <f>"320520196907163815"</f>
        <v>320520196907163815</v>
      </c>
      <c r="D26729" t="s">
        <v>1</v>
      </c>
      <c r="E26729" t="s">
        <v>1</v>
      </c>
      <c r="F26729" t="s">
        <v>0</v>
      </c>
      <c r="G26729" t="str">
        <f>"2018-10-05 13:09:20"</f>
        <v>2018-10-05 13:09:20</v>
      </c>
    </row>
    <row r="26730" spans="1:7" x14ac:dyDescent="0.2">
      <c r="A26730" t="s">
        <v>1</v>
      </c>
      <c r="B26730" t="str">
        <f>"15261919606"</f>
        <v>15261919606</v>
      </c>
      <c r="C26730" t="s">
        <v>1</v>
      </c>
      <c r="D26730" t="s">
        <v>1</v>
      </c>
      <c r="E26730" t="s">
        <v>1</v>
      </c>
      <c r="F26730" t="s">
        <v>0</v>
      </c>
      <c r="G26730" t="str">
        <f>"2018-10-05 13:10:02"</f>
        <v>2018-10-05 13:10:02</v>
      </c>
    </row>
    <row r="26731" spans="1:7" x14ac:dyDescent="0.2">
      <c r="A26731" t="s">
        <v>24602</v>
      </c>
      <c r="B26731" t="str">
        <f>"18858135281"</f>
        <v>18858135281</v>
      </c>
      <c r="C26731" t="str">
        <f>"330108198605170213"</f>
        <v>330108198605170213</v>
      </c>
      <c r="D26731" t="s">
        <v>1</v>
      </c>
      <c r="E26731" t="s">
        <v>1</v>
      </c>
      <c r="F26731" t="s">
        <v>0</v>
      </c>
      <c r="G26731" t="str">
        <f>"2018-10-05 13:08:50"</f>
        <v>2018-10-05 13:08:50</v>
      </c>
    </row>
    <row r="26732" spans="1:7" x14ac:dyDescent="0.2">
      <c r="A26732" t="s">
        <v>24603</v>
      </c>
      <c r="B26732" t="str">
        <f>"18082332456"</f>
        <v>18082332456</v>
      </c>
      <c r="C26732" t="str">
        <f>"321284199210102473"</f>
        <v>321284199210102473</v>
      </c>
      <c r="D26732" t="s">
        <v>24604</v>
      </c>
      <c r="E26732" t="s">
        <v>24605</v>
      </c>
      <c r="F26732" t="s">
        <v>0</v>
      </c>
      <c r="G26732" t="str">
        <f>"2018-10-05 13:38:34"</f>
        <v>2018-10-05 13:38:34</v>
      </c>
    </row>
    <row r="26733" spans="1:7" x14ac:dyDescent="0.2">
      <c r="A26733" t="s">
        <v>24606</v>
      </c>
      <c r="B26733" t="str">
        <f>"15626298037"</f>
        <v>15626298037</v>
      </c>
      <c r="C26733" t="str">
        <f>"440582199707204571"</f>
        <v>440582199707204571</v>
      </c>
      <c r="D26733" t="s">
        <v>1</v>
      </c>
      <c r="E26733" t="s">
        <v>1</v>
      </c>
      <c r="F26733" t="s">
        <v>0</v>
      </c>
      <c r="G26733" t="str">
        <f>"2018-10-05 13:07:59"</f>
        <v>2018-10-05 13:07:59</v>
      </c>
    </row>
    <row r="26734" spans="1:7" x14ac:dyDescent="0.2">
      <c r="A26734" t="s">
        <v>24607</v>
      </c>
      <c r="B26734" t="str">
        <f>"13338988255"</f>
        <v>13338988255</v>
      </c>
      <c r="C26734" t="str">
        <f>"320704199503142510"</f>
        <v>320704199503142510</v>
      </c>
      <c r="D26734" t="s">
        <v>1</v>
      </c>
      <c r="E26734" t="s">
        <v>1</v>
      </c>
      <c r="F26734" t="s">
        <v>0</v>
      </c>
      <c r="G26734" t="str">
        <f>"2018-10-05 13:07:49"</f>
        <v>2018-10-05 13:07:49</v>
      </c>
    </row>
    <row r="26735" spans="1:7" x14ac:dyDescent="0.2">
      <c r="A26735" t="s">
        <v>24608</v>
      </c>
      <c r="B26735" t="str">
        <f>"15924017808"</f>
        <v>15924017808</v>
      </c>
      <c r="C26735" t="str">
        <f>"330922197410100510"</f>
        <v>330922197410100510</v>
      </c>
      <c r="D26735" t="s">
        <v>1</v>
      </c>
      <c r="E26735" t="s">
        <v>1</v>
      </c>
      <c r="F26735" t="s">
        <v>0</v>
      </c>
      <c r="G26735" t="str">
        <f>"2018-11-02 14:03:44"</f>
        <v>2018-11-02 14:03:44</v>
      </c>
    </row>
    <row r="26736" spans="1:7" x14ac:dyDescent="0.2">
      <c r="A26736" t="s">
        <v>1</v>
      </c>
      <c r="B26736" t="str">
        <f>"18675757661"</f>
        <v>18675757661</v>
      </c>
      <c r="C26736" t="s">
        <v>1</v>
      </c>
      <c r="D26736" t="s">
        <v>1</v>
      </c>
      <c r="E26736" t="s">
        <v>1</v>
      </c>
      <c r="F26736" t="s">
        <v>0</v>
      </c>
      <c r="G26736" t="str">
        <f>"2018-10-05 13:06:17"</f>
        <v>2018-10-05 13:06:17</v>
      </c>
    </row>
    <row r="26737" spans="1:7" x14ac:dyDescent="0.2">
      <c r="A26737" t="s">
        <v>24609</v>
      </c>
      <c r="B26737" t="str">
        <f>"13005949999"</f>
        <v>13005949999</v>
      </c>
      <c r="C26737" t="str">
        <f>"450325198608281298"</f>
        <v>450325198608281298</v>
      </c>
      <c r="D26737" t="s">
        <v>1</v>
      </c>
      <c r="E26737" t="s">
        <v>1</v>
      </c>
      <c r="F26737" t="s">
        <v>0</v>
      </c>
      <c r="G26737" t="str">
        <f>"2018-10-05 13:06:09"</f>
        <v>2018-10-05 13:06:09</v>
      </c>
    </row>
    <row r="26738" spans="1:7" x14ac:dyDescent="0.2">
      <c r="A26738" t="s">
        <v>136</v>
      </c>
      <c r="B26738" t="str">
        <f>"13779141872"</f>
        <v>13779141872</v>
      </c>
      <c r="C26738" t="str">
        <f>"65412519910708301X"</f>
        <v>65412519910708301X</v>
      </c>
      <c r="D26738" t="s">
        <v>1</v>
      </c>
      <c r="E26738" t="s">
        <v>1</v>
      </c>
      <c r="F26738" t="s">
        <v>0</v>
      </c>
      <c r="G26738" t="str">
        <f>"2018-10-05 13:10:37"</f>
        <v>2018-10-05 13:10:37</v>
      </c>
    </row>
    <row r="26739" spans="1:7" x14ac:dyDescent="0.2">
      <c r="A26739" t="s">
        <v>24610</v>
      </c>
      <c r="B26739" t="str">
        <f>"15961241210"</f>
        <v>15961241210</v>
      </c>
      <c r="C26739" t="str">
        <f>"320481199301196832"</f>
        <v>320481199301196832</v>
      </c>
      <c r="D26739" t="s">
        <v>24611</v>
      </c>
      <c r="E26739" t="s">
        <v>24612</v>
      </c>
      <c r="F26739" t="s">
        <v>0</v>
      </c>
      <c r="G26739" t="str">
        <f>"2018-10-05 13:07:00"</f>
        <v>2018-10-05 13:07:00</v>
      </c>
    </row>
    <row r="26740" spans="1:7" x14ac:dyDescent="0.2">
      <c r="A26740" t="s">
        <v>1</v>
      </c>
      <c r="B26740" t="str">
        <f>"15677386074"</f>
        <v>15677386074</v>
      </c>
      <c r="C26740" t="s">
        <v>1</v>
      </c>
      <c r="D26740" t="s">
        <v>1</v>
      </c>
      <c r="E26740" t="s">
        <v>1</v>
      </c>
      <c r="F26740" t="s">
        <v>0</v>
      </c>
      <c r="G26740" t="str">
        <f>"2018-10-05 13:05:22"</f>
        <v>2018-10-05 13:05:22</v>
      </c>
    </row>
    <row r="26741" spans="1:7" x14ac:dyDescent="0.2">
      <c r="A26741" t="s">
        <v>2497</v>
      </c>
      <c r="B26741" t="str">
        <f>"18589226964"</f>
        <v>18589226964</v>
      </c>
      <c r="C26741" t="str">
        <f>"421023199309237570"</f>
        <v>421023199309237570</v>
      </c>
      <c r="D26741" t="s">
        <v>1</v>
      </c>
      <c r="E26741" t="s">
        <v>1</v>
      </c>
      <c r="F26741" t="s">
        <v>0</v>
      </c>
      <c r="G26741" t="str">
        <f>"2018-10-19 12:47:13"</f>
        <v>2018-10-19 12:47:13</v>
      </c>
    </row>
    <row r="26742" spans="1:7" x14ac:dyDescent="0.2">
      <c r="A26742" t="s">
        <v>1</v>
      </c>
      <c r="B26742" t="str">
        <f>"18521306351"</f>
        <v>18521306351</v>
      </c>
      <c r="C26742" t="s">
        <v>1</v>
      </c>
      <c r="D26742" t="s">
        <v>1</v>
      </c>
      <c r="E26742" t="s">
        <v>1</v>
      </c>
      <c r="F26742" t="s">
        <v>0</v>
      </c>
      <c r="G26742" t="str">
        <f>"2018-10-05 13:05:50"</f>
        <v>2018-10-05 13:05:50</v>
      </c>
    </row>
    <row r="26743" spans="1:7" x14ac:dyDescent="0.2">
      <c r="A26743" t="s">
        <v>24613</v>
      </c>
      <c r="B26743" t="str">
        <f>"18284993447"</f>
        <v>18284993447</v>
      </c>
      <c r="C26743" t="str">
        <f>"510821199706020043"</f>
        <v>510821199706020043</v>
      </c>
      <c r="D26743" t="s">
        <v>1</v>
      </c>
      <c r="E26743" t="s">
        <v>1</v>
      </c>
      <c r="F26743" t="s">
        <v>0</v>
      </c>
      <c r="G26743" t="str">
        <f>"2018-10-13 17:50:53"</f>
        <v>2018-10-13 17:50:53</v>
      </c>
    </row>
    <row r="26744" spans="1:7" x14ac:dyDescent="0.2">
      <c r="A26744" t="s">
        <v>1</v>
      </c>
      <c r="B26744" t="str">
        <f>"15349578926"</f>
        <v>15349578926</v>
      </c>
      <c r="C26744" t="s">
        <v>1</v>
      </c>
      <c r="D26744" t="s">
        <v>1</v>
      </c>
      <c r="E26744" t="s">
        <v>1</v>
      </c>
      <c r="F26744" t="s">
        <v>0</v>
      </c>
      <c r="G26744" t="str">
        <f>"2018-10-05 13:02:10"</f>
        <v>2018-10-05 13:02:10</v>
      </c>
    </row>
    <row r="26745" spans="1:7" x14ac:dyDescent="0.2">
      <c r="A26745" t="s">
        <v>24614</v>
      </c>
      <c r="B26745" t="str">
        <f>"13313877089"</f>
        <v>13313877089</v>
      </c>
      <c r="C26745" t="str">
        <f>"350582199606104537"</f>
        <v>350582199606104537</v>
      </c>
      <c r="D26745" t="s">
        <v>24615</v>
      </c>
      <c r="E26745" t="s">
        <v>24616</v>
      </c>
      <c r="F26745" t="s">
        <v>0</v>
      </c>
      <c r="G26745" t="str">
        <f>"2018-10-05 13:03:12"</f>
        <v>2018-10-05 13:03:12</v>
      </c>
    </row>
    <row r="26746" spans="1:7" x14ac:dyDescent="0.2">
      <c r="A26746" t="s">
        <v>1</v>
      </c>
      <c r="B26746" t="str">
        <f>"13004674517"</f>
        <v>13004674517</v>
      </c>
      <c r="C26746" t="s">
        <v>1</v>
      </c>
      <c r="D26746" t="s">
        <v>1</v>
      </c>
      <c r="E26746" t="s">
        <v>1</v>
      </c>
      <c r="F26746" t="s">
        <v>0</v>
      </c>
      <c r="G26746" t="str">
        <f>"2018-10-05 13:01:38"</f>
        <v>2018-10-05 13:01:38</v>
      </c>
    </row>
    <row r="26747" spans="1:7" x14ac:dyDescent="0.2">
      <c r="A26747" t="s">
        <v>522</v>
      </c>
      <c r="B26747" t="str">
        <f>"15154712735"</f>
        <v>15154712735</v>
      </c>
      <c r="C26747" t="str">
        <f>"370828199001107032"</f>
        <v>370828199001107032</v>
      </c>
      <c r="D26747" t="s">
        <v>24617</v>
      </c>
      <c r="E26747" t="s">
        <v>24618</v>
      </c>
      <c r="F26747" t="s">
        <v>0</v>
      </c>
      <c r="G26747" t="str">
        <f>"2018-10-05 13:27:48"</f>
        <v>2018-10-05 13:27:48</v>
      </c>
    </row>
    <row r="26748" spans="1:7" x14ac:dyDescent="0.2">
      <c r="A26748" t="s">
        <v>23</v>
      </c>
      <c r="B26748" t="str">
        <f>"13372195105"</f>
        <v>13372195105</v>
      </c>
      <c r="C26748" t="str">
        <f>"340304198602070011"</f>
        <v>340304198602070011</v>
      </c>
      <c r="D26748" t="s">
        <v>1</v>
      </c>
      <c r="E26748" t="s">
        <v>1</v>
      </c>
      <c r="F26748" t="s">
        <v>0</v>
      </c>
      <c r="G26748" t="str">
        <f>"2018-10-05 13:03:24"</f>
        <v>2018-10-05 13:03:24</v>
      </c>
    </row>
    <row r="26749" spans="1:7" x14ac:dyDescent="0.2">
      <c r="A26749" t="s">
        <v>1</v>
      </c>
      <c r="B26749" t="str">
        <f>"18099893557"</f>
        <v>18099893557</v>
      </c>
      <c r="C26749" t="s">
        <v>1</v>
      </c>
      <c r="D26749" t="s">
        <v>1</v>
      </c>
      <c r="E26749" t="s">
        <v>1</v>
      </c>
      <c r="F26749" t="s">
        <v>0</v>
      </c>
      <c r="G26749" t="str">
        <f>"2018-10-05 13:00:40"</f>
        <v>2018-10-05 13:00:40</v>
      </c>
    </row>
    <row r="26750" spans="1:7" x14ac:dyDescent="0.2">
      <c r="A26750" t="s">
        <v>1</v>
      </c>
      <c r="B26750" t="str">
        <f>"18559890508"</f>
        <v>18559890508</v>
      </c>
      <c r="C26750" t="s">
        <v>1</v>
      </c>
      <c r="D26750" t="s">
        <v>1</v>
      </c>
      <c r="E26750" t="s">
        <v>1</v>
      </c>
      <c r="F26750" t="s">
        <v>0</v>
      </c>
      <c r="G26750" t="str">
        <f>"2018-10-05 13:00:28"</f>
        <v>2018-10-05 13:00:28</v>
      </c>
    </row>
    <row r="26751" spans="1:7" x14ac:dyDescent="0.2">
      <c r="A26751" t="s">
        <v>1492</v>
      </c>
      <c r="B26751" t="str">
        <f>"18669204133"</f>
        <v>18669204133</v>
      </c>
      <c r="C26751" t="str">
        <f>"511002198802166687"</f>
        <v>511002198802166687</v>
      </c>
      <c r="D26751" t="s">
        <v>24619</v>
      </c>
      <c r="E26751" t="s">
        <v>24620</v>
      </c>
      <c r="F26751" t="s">
        <v>0</v>
      </c>
      <c r="G26751" t="str">
        <f>"2018-10-05 13:00:53"</f>
        <v>2018-10-05 13:00:53</v>
      </c>
    </row>
    <row r="26752" spans="1:7" x14ac:dyDescent="0.2">
      <c r="A26752" t="s">
        <v>1</v>
      </c>
      <c r="B26752" t="str">
        <f>"15797960347"</f>
        <v>15797960347</v>
      </c>
      <c r="C26752" t="s">
        <v>1</v>
      </c>
      <c r="D26752" t="s">
        <v>1</v>
      </c>
      <c r="E26752" t="s">
        <v>1</v>
      </c>
      <c r="F26752" t="s">
        <v>0</v>
      </c>
      <c r="G26752" t="str">
        <f>"2018-10-05 12:59:39"</f>
        <v>2018-10-05 12:59:39</v>
      </c>
    </row>
    <row r="26753" spans="1:7" x14ac:dyDescent="0.2">
      <c r="A26753" t="s">
        <v>24621</v>
      </c>
      <c r="B26753" t="str">
        <f>"13689899296"</f>
        <v>13689899296</v>
      </c>
      <c r="C26753" t="str">
        <f>"22020219930109182X"</f>
        <v>22020219930109182X</v>
      </c>
      <c r="D26753" t="s">
        <v>1</v>
      </c>
      <c r="E26753" t="s">
        <v>1</v>
      </c>
      <c r="F26753" t="s">
        <v>0</v>
      </c>
      <c r="G26753" t="str">
        <f>"2018-10-05 13:02:25"</f>
        <v>2018-10-05 13:02:25</v>
      </c>
    </row>
    <row r="26754" spans="1:7" x14ac:dyDescent="0.2">
      <c r="A26754" t="s">
        <v>156</v>
      </c>
      <c r="B26754" t="str">
        <f>"13246199494"</f>
        <v>13246199494</v>
      </c>
      <c r="C26754" t="str">
        <f>"500242199409042753"</f>
        <v>500242199409042753</v>
      </c>
      <c r="D26754" t="s">
        <v>1</v>
      </c>
      <c r="E26754" t="s">
        <v>1</v>
      </c>
      <c r="F26754" t="s">
        <v>0</v>
      </c>
      <c r="G26754" t="str">
        <f>"2018-10-05 13:03:56"</f>
        <v>2018-10-05 13:03:56</v>
      </c>
    </row>
    <row r="26755" spans="1:7" x14ac:dyDescent="0.2">
      <c r="A26755" t="s">
        <v>1</v>
      </c>
      <c r="B26755" t="str">
        <f>"18654532110"</f>
        <v>18654532110</v>
      </c>
      <c r="C26755" t="s">
        <v>1</v>
      </c>
      <c r="D26755" t="s">
        <v>1</v>
      </c>
      <c r="E26755" t="s">
        <v>1</v>
      </c>
      <c r="F26755" t="s">
        <v>0</v>
      </c>
      <c r="G26755" t="str">
        <f>"2018-10-16 19:59:48"</f>
        <v>2018-10-16 19:59:48</v>
      </c>
    </row>
    <row r="26756" spans="1:7" x14ac:dyDescent="0.2">
      <c r="A26756" t="s">
        <v>812</v>
      </c>
      <c r="B26756" t="str">
        <f>"15600669887"</f>
        <v>15600669887</v>
      </c>
      <c r="C26756" t="str">
        <f>"513701199010060815"</f>
        <v>513701199010060815</v>
      </c>
      <c r="D26756" t="s">
        <v>1</v>
      </c>
      <c r="E26756" t="s">
        <v>1</v>
      </c>
      <c r="F26756" t="s">
        <v>0</v>
      </c>
      <c r="G26756" t="str">
        <f>"2018-10-05 13:00:08"</f>
        <v>2018-10-05 13:00:08</v>
      </c>
    </row>
    <row r="26757" spans="1:7" x14ac:dyDescent="0.2">
      <c r="A26757" t="s">
        <v>24622</v>
      </c>
      <c r="B26757" t="str">
        <f>"18963175189"</f>
        <v>18963175189</v>
      </c>
      <c r="C26757" t="str">
        <f>"371081198803237837"</f>
        <v>371081198803237837</v>
      </c>
      <c r="D26757" t="s">
        <v>1</v>
      </c>
      <c r="E26757" t="s">
        <v>1</v>
      </c>
      <c r="F26757" t="s">
        <v>0</v>
      </c>
      <c r="G26757" t="str">
        <f>"2018-10-05 12:59:20"</f>
        <v>2018-10-05 12:59:20</v>
      </c>
    </row>
    <row r="26758" spans="1:7" x14ac:dyDescent="0.2">
      <c r="A26758" t="s">
        <v>24623</v>
      </c>
      <c r="B26758" t="str">
        <f>"13526577698"</f>
        <v>13526577698</v>
      </c>
      <c r="C26758" t="str">
        <f>"410182198705100734"</f>
        <v>410182198705100734</v>
      </c>
      <c r="D26758" t="s">
        <v>1</v>
      </c>
      <c r="E26758" t="s">
        <v>1</v>
      </c>
      <c r="F26758" t="s">
        <v>0</v>
      </c>
      <c r="G26758" t="str">
        <f>"2018-10-05 12:59:50"</f>
        <v>2018-10-05 12:59:50</v>
      </c>
    </row>
    <row r="26759" spans="1:7" x14ac:dyDescent="0.2">
      <c r="A26759" t="s">
        <v>24624</v>
      </c>
      <c r="B26759" t="str">
        <f>"18502735680"</f>
        <v>18502735680</v>
      </c>
      <c r="C26759" t="str">
        <f>"420102198002073135"</f>
        <v>420102198002073135</v>
      </c>
      <c r="D26759" t="s">
        <v>24625</v>
      </c>
      <c r="E26759" t="s">
        <v>24626</v>
      </c>
      <c r="F26759" t="s">
        <v>0</v>
      </c>
      <c r="G26759" t="str">
        <f>"2018-10-22 02:09:36"</f>
        <v>2018-10-22 02:09:36</v>
      </c>
    </row>
    <row r="26760" spans="1:7" x14ac:dyDescent="0.2">
      <c r="A26760" t="s">
        <v>540</v>
      </c>
      <c r="B26760" t="str">
        <f>"13961260856"</f>
        <v>13961260856</v>
      </c>
      <c r="C26760" t="str">
        <f>"32048219780523051X"</f>
        <v>32048219780523051X</v>
      </c>
      <c r="D26760" t="s">
        <v>1</v>
      </c>
      <c r="E26760" t="s">
        <v>1</v>
      </c>
      <c r="F26760" t="s">
        <v>0</v>
      </c>
      <c r="G26760" t="str">
        <f>"2018-10-05 12:59:19"</f>
        <v>2018-10-05 12:59:19</v>
      </c>
    </row>
    <row r="26761" spans="1:7" x14ac:dyDescent="0.2">
      <c r="A26761" t="s">
        <v>1</v>
      </c>
      <c r="B26761" t="str">
        <f>"18677457158"</f>
        <v>18677457158</v>
      </c>
      <c r="C26761" t="s">
        <v>1</v>
      </c>
      <c r="D26761" t="s">
        <v>1</v>
      </c>
      <c r="E26761" t="s">
        <v>1</v>
      </c>
      <c r="F26761" t="s">
        <v>0</v>
      </c>
      <c r="G26761" t="str">
        <f>"2018-10-05 12:56:37"</f>
        <v>2018-10-05 12:56:37</v>
      </c>
    </row>
    <row r="26762" spans="1:7" x14ac:dyDescent="0.2">
      <c r="A26762" t="s">
        <v>24627</v>
      </c>
      <c r="B26762" t="str">
        <f>"13840541160"</f>
        <v>13840541160</v>
      </c>
      <c r="C26762" t="str">
        <f>"210102198506086926"</f>
        <v>210102198506086926</v>
      </c>
      <c r="D26762" t="s">
        <v>1</v>
      </c>
      <c r="E26762" t="s">
        <v>1</v>
      </c>
      <c r="F26762" t="s">
        <v>0</v>
      </c>
      <c r="G26762" t="str">
        <f>"2018-10-05 12:57:40"</f>
        <v>2018-10-05 12:57:40</v>
      </c>
    </row>
    <row r="26763" spans="1:7" x14ac:dyDescent="0.2">
      <c r="A26763" t="s">
        <v>24628</v>
      </c>
      <c r="B26763" t="str">
        <f>"15365945156"</f>
        <v>15365945156</v>
      </c>
      <c r="C26763" t="str">
        <f>"320830198612093213"</f>
        <v>320830198612093213</v>
      </c>
      <c r="D26763" t="s">
        <v>1</v>
      </c>
      <c r="E26763" t="s">
        <v>1</v>
      </c>
      <c r="F26763" t="s">
        <v>0</v>
      </c>
      <c r="G26763" t="str">
        <f>"2018-10-05 12:56:06"</f>
        <v>2018-10-05 12:56:06</v>
      </c>
    </row>
    <row r="26764" spans="1:7" x14ac:dyDescent="0.2">
      <c r="A26764" t="s">
        <v>24629</v>
      </c>
      <c r="B26764" t="str">
        <f>"17709618870"</f>
        <v>17709618870</v>
      </c>
      <c r="C26764" t="str">
        <f>"342426199705301628"</f>
        <v>342426199705301628</v>
      </c>
      <c r="D26764" t="s">
        <v>1</v>
      </c>
      <c r="E26764" t="s">
        <v>1</v>
      </c>
      <c r="F26764" t="s">
        <v>0</v>
      </c>
      <c r="G26764" t="str">
        <f>"2018-10-05 12:59:53"</f>
        <v>2018-10-05 12:59:53</v>
      </c>
    </row>
    <row r="26765" spans="1:7" x14ac:dyDescent="0.2">
      <c r="A26765" t="s">
        <v>24630</v>
      </c>
      <c r="B26765" t="str">
        <f>"13674775784"</f>
        <v>13674775784</v>
      </c>
      <c r="C26765" t="str">
        <f>"150207199306288019"</f>
        <v>150207199306288019</v>
      </c>
      <c r="D26765" t="s">
        <v>1</v>
      </c>
      <c r="E26765" t="s">
        <v>1</v>
      </c>
      <c r="F26765" t="s">
        <v>0</v>
      </c>
      <c r="G26765" t="str">
        <f>"2018-10-05 13:02:06"</f>
        <v>2018-10-05 13:02:06</v>
      </c>
    </row>
    <row r="26766" spans="1:7" x14ac:dyDescent="0.2">
      <c r="A26766" t="s">
        <v>1</v>
      </c>
      <c r="B26766" t="str">
        <f>"18781003193"</f>
        <v>18781003193</v>
      </c>
      <c r="C26766" t="s">
        <v>1</v>
      </c>
      <c r="D26766" t="s">
        <v>1</v>
      </c>
      <c r="E26766" t="s">
        <v>1</v>
      </c>
      <c r="F26766" t="s">
        <v>0</v>
      </c>
      <c r="G26766" t="str">
        <f>"2018-10-05 12:55:23"</f>
        <v>2018-10-05 12:55:23</v>
      </c>
    </row>
    <row r="26767" spans="1:7" x14ac:dyDescent="0.2">
      <c r="A26767" t="s">
        <v>1</v>
      </c>
      <c r="B26767" t="str">
        <f>"13343042623"</f>
        <v>13343042623</v>
      </c>
      <c r="C26767" t="s">
        <v>1</v>
      </c>
      <c r="D26767" t="s">
        <v>1</v>
      </c>
      <c r="E26767" t="s">
        <v>1</v>
      </c>
      <c r="F26767" t="s">
        <v>0</v>
      </c>
      <c r="G26767" t="str">
        <f>"2018-10-05 12:55:04"</f>
        <v>2018-10-05 12:55:04</v>
      </c>
    </row>
    <row r="26768" spans="1:7" x14ac:dyDescent="0.2">
      <c r="A26768" t="s">
        <v>163</v>
      </c>
      <c r="B26768" t="str">
        <f>"17614831202"</f>
        <v>17614831202</v>
      </c>
      <c r="C26768" t="str">
        <f>"150103199212020619"</f>
        <v>150103199212020619</v>
      </c>
      <c r="D26768" t="s">
        <v>1</v>
      </c>
      <c r="E26768" t="s">
        <v>1</v>
      </c>
      <c r="F26768" t="s">
        <v>0</v>
      </c>
      <c r="G26768" t="str">
        <f>"2018-10-05 12:58:24"</f>
        <v>2018-10-05 12:58:24</v>
      </c>
    </row>
    <row r="26769" spans="1:7" x14ac:dyDescent="0.2">
      <c r="A26769" t="s">
        <v>1308</v>
      </c>
      <c r="B26769" t="str">
        <f>"13181037427"</f>
        <v>13181037427</v>
      </c>
      <c r="C26769" t="str">
        <f>"372301199003080026"</f>
        <v>372301199003080026</v>
      </c>
      <c r="D26769" t="s">
        <v>1</v>
      </c>
      <c r="E26769" t="s">
        <v>1</v>
      </c>
      <c r="F26769" t="s">
        <v>0</v>
      </c>
      <c r="G26769" t="str">
        <f>"2018-10-05 13:14:52"</f>
        <v>2018-10-05 13:14:52</v>
      </c>
    </row>
    <row r="26770" spans="1:7" x14ac:dyDescent="0.2">
      <c r="A26770" t="s">
        <v>1</v>
      </c>
      <c r="B26770" t="str">
        <f>"18396772271"</f>
        <v>18396772271</v>
      </c>
      <c r="C26770" t="s">
        <v>1</v>
      </c>
      <c r="D26770" t="s">
        <v>1</v>
      </c>
      <c r="E26770" t="s">
        <v>1</v>
      </c>
      <c r="F26770" t="s">
        <v>0</v>
      </c>
      <c r="G26770" t="str">
        <f>"2018-10-05 12:58:51"</f>
        <v>2018-10-05 12:58:51</v>
      </c>
    </row>
    <row r="26771" spans="1:7" x14ac:dyDescent="0.2">
      <c r="A26771" t="s">
        <v>24631</v>
      </c>
      <c r="B26771" t="str">
        <f>"13976720143"</f>
        <v>13976720143</v>
      </c>
      <c r="C26771" t="str">
        <f>"469027199801045984"</f>
        <v>469027199801045984</v>
      </c>
      <c r="D26771" t="s">
        <v>1</v>
      </c>
      <c r="E26771" t="s">
        <v>1</v>
      </c>
      <c r="F26771" t="s">
        <v>0</v>
      </c>
      <c r="G26771" t="str">
        <f>"2018-10-05 12:57:50"</f>
        <v>2018-10-05 12:57:50</v>
      </c>
    </row>
    <row r="26772" spans="1:7" x14ac:dyDescent="0.2">
      <c r="A26772" t="s">
        <v>24632</v>
      </c>
      <c r="B26772" t="str">
        <f>"15032315156"</f>
        <v>15032315156</v>
      </c>
      <c r="C26772" t="str">
        <f>"130321199202053759"</f>
        <v>130321199202053759</v>
      </c>
      <c r="D26772" t="s">
        <v>1</v>
      </c>
      <c r="E26772" t="s">
        <v>1</v>
      </c>
      <c r="F26772" t="s">
        <v>0</v>
      </c>
      <c r="G26772" t="str">
        <f>"2018-10-05 12:53:42"</f>
        <v>2018-10-05 12:53:42</v>
      </c>
    </row>
    <row r="26773" spans="1:7" x14ac:dyDescent="0.2">
      <c r="A26773" t="s">
        <v>1</v>
      </c>
      <c r="B26773" t="str">
        <f>"13173784651"</f>
        <v>13173784651</v>
      </c>
      <c r="C26773" t="s">
        <v>1</v>
      </c>
      <c r="D26773" t="s">
        <v>1</v>
      </c>
      <c r="E26773" t="s">
        <v>1</v>
      </c>
      <c r="F26773" t="s">
        <v>0</v>
      </c>
      <c r="G26773" t="str">
        <f>"2018-10-05 12:51:54"</f>
        <v>2018-10-05 12:51:54</v>
      </c>
    </row>
    <row r="26774" spans="1:7" x14ac:dyDescent="0.2">
      <c r="A26774" t="s">
        <v>1</v>
      </c>
      <c r="B26774" t="str">
        <f>"18673100718"</f>
        <v>18673100718</v>
      </c>
      <c r="C26774" t="s">
        <v>1</v>
      </c>
      <c r="D26774" t="s">
        <v>1</v>
      </c>
      <c r="E26774" t="s">
        <v>1</v>
      </c>
      <c r="F26774" t="s">
        <v>0</v>
      </c>
      <c r="G26774" t="str">
        <f>"2018-10-05 12:51:46"</f>
        <v>2018-10-05 12:51:46</v>
      </c>
    </row>
    <row r="26775" spans="1:7" x14ac:dyDescent="0.2">
      <c r="A26775" t="s">
        <v>24633</v>
      </c>
      <c r="B26775" t="str">
        <f>"13978315036"</f>
        <v>13978315036</v>
      </c>
      <c r="C26775" t="str">
        <f>"450331199112011229"</f>
        <v>450331199112011229</v>
      </c>
      <c r="D26775" t="s">
        <v>1</v>
      </c>
      <c r="E26775" t="s">
        <v>1</v>
      </c>
      <c r="F26775" t="s">
        <v>0</v>
      </c>
      <c r="G26775" t="str">
        <f>"2018-10-30 11:10:01"</f>
        <v>2018-10-30 11:10:01</v>
      </c>
    </row>
    <row r="26776" spans="1:7" x14ac:dyDescent="0.2">
      <c r="A26776" t="s">
        <v>24634</v>
      </c>
      <c r="B26776" t="str">
        <f>"13608188891"</f>
        <v>13608188891</v>
      </c>
      <c r="C26776" t="str">
        <f>"513902198703170016"</f>
        <v>513902198703170016</v>
      </c>
      <c r="D26776" t="s">
        <v>1</v>
      </c>
      <c r="E26776" t="s">
        <v>1</v>
      </c>
      <c r="F26776" t="s">
        <v>0</v>
      </c>
      <c r="G26776" t="str">
        <f>"2018-10-05 13:00:50"</f>
        <v>2018-10-05 13:00:50</v>
      </c>
    </row>
    <row r="26777" spans="1:7" x14ac:dyDescent="0.2">
      <c r="A26777" t="s">
        <v>1</v>
      </c>
      <c r="B26777" t="str">
        <f>"15069280677"</f>
        <v>15069280677</v>
      </c>
      <c r="C26777" t="s">
        <v>1</v>
      </c>
      <c r="D26777" t="s">
        <v>1</v>
      </c>
      <c r="E26777" t="s">
        <v>1</v>
      </c>
      <c r="F26777" t="s">
        <v>0</v>
      </c>
      <c r="G26777" t="str">
        <f>"2018-10-05 12:50:47"</f>
        <v>2018-10-05 12:50:47</v>
      </c>
    </row>
    <row r="26778" spans="1:7" x14ac:dyDescent="0.2">
      <c r="A26778" t="s">
        <v>24635</v>
      </c>
      <c r="B26778" t="str">
        <f>"13044316120"</f>
        <v>13044316120</v>
      </c>
      <c r="C26778" t="str">
        <f>"220111197501160414"</f>
        <v>220111197501160414</v>
      </c>
      <c r="D26778" t="s">
        <v>1</v>
      </c>
      <c r="E26778" t="s">
        <v>1</v>
      </c>
      <c r="F26778" t="s">
        <v>0</v>
      </c>
      <c r="G26778" t="str">
        <f>"2018-10-05 12:52:09"</f>
        <v>2018-10-05 12:52:09</v>
      </c>
    </row>
    <row r="26779" spans="1:7" x14ac:dyDescent="0.2">
      <c r="A26779" t="s">
        <v>24636</v>
      </c>
      <c r="B26779" t="str">
        <f>"15139940016"</f>
        <v>15139940016</v>
      </c>
      <c r="C26779" t="str">
        <f>"410311199111032033"</f>
        <v>410311199111032033</v>
      </c>
      <c r="D26779" t="s">
        <v>1</v>
      </c>
      <c r="E26779" t="s">
        <v>1</v>
      </c>
      <c r="F26779" t="s">
        <v>0</v>
      </c>
      <c r="G26779" t="str">
        <f>"2018-10-05 12:50:54"</f>
        <v>2018-10-05 12:50:54</v>
      </c>
    </row>
    <row r="26780" spans="1:7" x14ac:dyDescent="0.2">
      <c r="A26780" t="s">
        <v>1</v>
      </c>
      <c r="B26780" t="str">
        <f>"13129001621"</f>
        <v>13129001621</v>
      </c>
      <c r="C26780" t="s">
        <v>1</v>
      </c>
      <c r="D26780" t="s">
        <v>1</v>
      </c>
      <c r="E26780" t="s">
        <v>1</v>
      </c>
      <c r="F26780" t="s">
        <v>0</v>
      </c>
      <c r="G26780" t="str">
        <f>"2018-10-05 12:50:06"</f>
        <v>2018-10-05 12:50:06</v>
      </c>
    </row>
    <row r="26781" spans="1:7" x14ac:dyDescent="0.2">
      <c r="A26781" t="s">
        <v>24637</v>
      </c>
      <c r="B26781" t="str">
        <f>"18982274825"</f>
        <v>18982274825</v>
      </c>
      <c r="C26781" t="str">
        <f>"510106197710073833"</f>
        <v>510106197710073833</v>
      </c>
      <c r="D26781" t="s">
        <v>1</v>
      </c>
      <c r="E26781" t="s">
        <v>1</v>
      </c>
      <c r="F26781" t="s">
        <v>0</v>
      </c>
      <c r="G26781" t="str">
        <f>"2018-10-05 18:20:37"</f>
        <v>2018-10-05 18:20:37</v>
      </c>
    </row>
    <row r="26782" spans="1:7" x14ac:dyDescent="0.2">
      <c r="A26782" t="s">
        <v>24638</v>
      </c>
      <c r="B26782" t="str">
        <f>"13112888726"</f>
        <v>13112888726</v>
      </c>
      <c r="C26782" t="str">
        <f>"441424199301294839"</f>
        <v>441424199301294839</v>
      </c>
      <c r="D26782" t="s">
        <v>1</v>
      </c>
      <c r="E26782" t="s">
        <v>1</v>
      </c>
      <c r="F26782" t="s">
        <v>0</v>
      </c>
      <c r="G26782" t="str">
        <f>"2018-10-05 13:04:33"</f>
        <v>2018-10-05 13:04:33</v>
      </c>
    </row>
    <row r="26783" spans="1:7" x14ac:dyDescent="0.2">
      <c r="A26783" t="s">
        <v>24639</v>
      </c>
      <c r="B26783" t="str">
        <f>"18720996099"</f>
        <v>18720996099</v>
      </c>
      <c r="C26783" t="str">
        <f>"360103198810293435"</f>
        <v>360103198810293435</v>
      </c>
      <c r="D26783" t="s">
        <v>1</v>
      </c>
      <c r="E26783" t="s">
        <v>1</v>
      </c>
      <c r="F26783" t="s">
        <v>0</v>
      </c>
      <c r="G26783" t="str">
        <f>"2018-10-05 12:50:16"</f>
        <v>2018-10-05 12:50:16</v>
      </c>
    </row>
    <row r="26784" spans="1:7" x14ac:dyDescent="0.2">
      <c r="A26784" t="s">
        <v>24640</v>
      </c>
      <c r="B26784" t="str">
        <f>"17374532767"</f>
        <v>17374532767</v>
      </c>
      <c r="C26784" t="str">
        <f>"433024196211230019"</f>
        <v>433024196211230019</v>
      </c>
      <c r="D26784" t="s">
        <v>1</v>
      </c>
      <c r="E26784" t="s">
        <v>1</v>
      </c>
      <c r="F26784" t="s">
        <v>0</v>
      </c>
      <c r="G26784" t="str">
        <f>"2018-10-05 12:51:10"</f>
        <v>2018-10-05 12:51:10</v>
      </c>
    </row>
    <row r="26785" spans="1:7" x14ac:dyDescent="0.2">
      <c r="A26785" t="s">
        <v>24641</v>
      </c>
      <c r="B26785" t="str">
        <f>"18370948952"</f>
        <v>18370948952</v>
      </c>
      <c r="C26785" t="str">
        <f>"360721199106154415"</f>
        <v>360721199106154415</v>
      </c>
      <c r="D26785" t="s">
        <v>24642</v>
      </c>
      <c r="E26785" t="s">
        <v>24643</v>
      </c>
      <c r="F26785" t="s">
        <v>0</v>
      </c>
      <c r="G26785" t="str">
        <f>"2018-10-05 12:49:32"</f>
        <v>2018-10-05 12:49:32</v>
      </c>
    </row>
    <row r="26786" spans="1:7" x14ac:dyDescent="0.2">
      <c r="A26786" t="s">
        <v>1</v>
      </c>
      <c r="B26786" t="str">
        <f>"15854513320"</f>
        <v>15854513320</v>
      </c>
      <c r="C26786" t="s">
        <v>1</v>
      </c>
      <c r="D26786" t="s">
        <v>1</v>
      </c>
      <c r="E26786" t="s">
        <v>1</v>
      </c>
      <c r="F26786" t="s">
        <v>0</v>
      </c>
      <c r="G26786" t="str">
        <f>"2018-10-05 12:48:12"</f>
        <v>2018-10-05 12:48:12</v>
      </c>
    </row>
    <row r="26787" spans="1:7" x14ac:dyDescent="0.2">
      <c r="A26787" t="s">
        <v>1</v>
      </c>
      <c r="B26787" t="str">
        <f>"18090448705"</f>
        <v>18090448705</v>
      </c>
      <c r="C26787" t="s">
        <v>1</v>
      </c>
      <c r="D26787" t="s">
        <v>1</v>
      </c>
      <c r="E26787" t="s">
        <v>1</v>
      </c>
      <c r="F26787" t="s">
        <v>0</v>
      </c>
      <c r="G26787" t="str">
        <f>"2018-10-05 12:48:11"</f>
        <v>2018-10-05 12:48:11</v>
      </c>
    </row>
    <row r="26788" spans="1:7" x14ac:dyDescent="0.2">
      <c r="A26788" t="s">
        <v>24644</v>
      </c>
      <c r="B26788" t="str">
        <f>"18761558247"</f>
        <v>18761558247</v>
      </c>
      <c r="C26788" t="str">
        <f>"341222199003018476"</f>
        <v>341222199003018476</v>
      </c>
      <c r="D26788" t="s">
        <v>1</v>
      </c>
      <c r="E26788" t="s">
        <v>1</v>
      </c>
      <c r="F26788" t="s">
        <v>0</v>
      </c>
      <c r="G26788" t="str">
        <f>"2018-10-05 12:49:23"</f>
        <v>2018-10-05 12:49:23</v>
      </c>
    </row>
    <row r="26789" spans="1:7" x14ac:dyDescent="0.2">
      <c r="A26789" t="s">
        <v>24645</v>
      </c>
      <c r="B26789" t="str">
        <f>"13275326080"</f>
        <v>13275326080</v>
      </c>
      <c r="C26789" t="str">
        <f>"370285199412175931"</f>
        <v>370285199412175931</v>
      </c>
      <c r="D26789" t="s">
        <v>1</v>
      </c>
      <c r="E26789" t="s">
        <v>1</v>
      </c>
      <c r="F26789" t="s">
        <v>0</v>
      </c>
      <c r="G26789" t="str">
        <f>"2018-10-05 12:49:15"</f>
        <v>2018-10-05 12:49:15</v>
      </c>
    </row>
    <row r="26790" spans="1:7" x14ac:dyDescent="0.2">
      <c r="A26790" t="s">
        <v>24646</v>
      </c>
      <c r="B26790" t="str">
        <f>"18351774262"</f>
        <v>18351774262</v>
      </c>
      <c r="C26790" t="str">
        <f>"341125199507160752"</f>
        <v>341125199507160752</v>
      </c>
      <c r="D26790" t="s">
        <v>24647</v>
      </c>
      <c r="E26790" t="s">
        <v>24648</v>
      </c>
      <c r="F26790" t="s">
        <v>0</v>
      </c>
      <c r="G26790" t="str">
        <f>"2018-10-05 12:54:27"</f>
        <v>2018-10-05 12:54:27</v>
      </c>
    </row>
    <row r="26791" spans="1:7" x14ac:dyDescent="0.2">
      <c r="A26791" t="s">
        <v>24649</v>
      </c>
      <c r="B26791" t="str">
        <f>"18048633319"</f>
        <v>18048633319</v>
      </c>
      <c r="C26791" t="str">
        <f>"510622199801286013"</f>
        <v>510622199801286013</v>
      </c>
      <c r="D26791" t="s">
        <v>1</v>
      </c>
      <c r="E26791" t="s">
        <v>1</v>
      </c>
      <c r="F26791" t="s">
        <v>0</v>
      </c>
      <c r="G26791" t="str">
        <f>"2018-10-14 23:35:12"</f>
        <v>2018-10-14 23:35:12</v>
      </c>
    </row>
    <row r="26792" spans="1:7" x14ac:dyDescent="0.2">
      <c r="A26792" t="s">
        <v>24650</v>
      </c>
      <c r="B26792" t="str">
        <f>"17711915850"</f>
        <v>17711915850</v>
      </c>
      <c r="C26792" t="str">
        <f>"430321198410014996"</f>
        <v>430321198410014996</v>
      </c>
      <c r="D26792" t="s">
        <v>1</v>
      </c>
      <c r="E26792" t="s">
        <v>1</v>
      </c>
      <c r="F26792" t="s">
        <v>0</v>
      </c>
      <c r="G26792" t="str">
        <f>"2018-10-12 18:35:17"</f>
        <v>2018-10-12 18:35:17</v>
      </c>
    </row>
    <row r="26793" spans="1:7" x14ac:dyDescent="0.2">
      <c r="A26793" t="s">
        <v>24651</v>
      </c>
      <c r="B26793" t="str">
        <f>"18969826661"</f>
        <v>18969826661</v>
      </c>
      <c r="C26793" t="str">
        <f>"533001196602062111"</f>
        <v>533001196602062111</v>
      </c>
      <c r="D26793" t="s">
        <v>1</v>
      </c>
      <c r="E26793" t="s">
        <v>1</v>
      </c>
      <c r="F26793" t="s">
        <v>0</v>
      </c>
      <c r="G26793" t="str">
        <f>"2018-10-05 12:51:11"</f>
        <v>2018-10-05 12:51:11</v>
      </c>
    </row>
    <row r="26794" spans="1:7" x14ac:dyDescent="0.2">
      <c r="A26794" t="s">
        <v>24652</v>
      </c>
      <c r="B26794" t="str">
        <f>"18852931083"</f>
        <v>18852931083</v>
      </c>
      <c r="C26794" t="str">
        <f>"330726199208011112"</f>
        <v>330726199208011112</v>
      </c>
      <c r="D26794" t="s">
        <v>1</v>
      </c>
      <c r="E26794" t="s">
        <v>1</v>
      </c>
      <c r="F26794" t="s">
        <v>0</v>
      </c>
      <c r="G26794" t="str">
        <f>"2018-10-24 17:28:17"</f>
        <v>2018-10-24 17:28:17</v>
      </c>
    </row>
    <row r="26795" spans="1:7" x14ac:dyDescent="0.2">
      <c r="A26795" t="s">
        <v>1</v>
      </c>
      <c r="B26795" t="str">
        <f>"13013725111"</f>
        <v>13013725111</v>
      </c>
      <c r="C26795" t="s">
        <v>1</v>
      </c>
      <c r="D26795" t="s">
        <v>1</v>
      </c>
      <c r="E26795" t="s">
        <v>1</v>
      </c>
      <c r="F26795" t="s">
        <v>0</v>
      </c>
      <c r="G26795" t="str">
        <f>"2018-10-05 12:48:24"</f>
        <v>2018-10-05 12:48:24</v>
      </c>
    </row>
    <row r="26796" spans="1:7" x14ac:dyDescent="0.2">
      <c r="A26796" t="s">
        <v>24653</v>
      </c>
      <c r="B26796" t="str">
        <f>"17539745299"</f>
        <v>17539745299</v>
      </c>
      <c r="C26796" t="str">
        <f>"412727199209288410"</f>
        <v>412727199209288410</v>
      </c>
      <c r="D26796" t="s">
        <v>1</v>
      </c>
      <c r="E26796" t="s">
        <v>1</v>
      </c>
      <c r="F26796" t="s">
        <v>0</v>
      </c>
      <c r="G26796" t="str">
        <f>"2018-10-05 12:49:58"</f>
        <v>2018-10-05 12:49:58</v>
      </c>
    </row>
    <row r="26797" spans="1:7" x14ac:dyDescent="0.2">
      <c r="A26797" t="s">
        <v>24654</v>
      </c>
      <c r="B26797" t="str">
        <f>"15074540004"</f>
        <v>15074540004</v>
      </c>
      <c r="C26797" t="str">
        <f>"431226198806165122"</f>
        <v>431226198806165122</v>
      </c>
      <c r="D26797" t="s">
        <v>1</v>
      </c>
      <c r="E26797" t="s">
        <v>1</v>
      </c>
      <c r="F26797" t="s">
        <v>0</v>
      </c>
      <c r="G26797" t="str">
        <f>"2018-10-05 12:46:34"</f>
        <v>2018-10-05 12:46:34</v>
      </c>
    </row>
    <row r="26798" spans="1:7" x14ac:dyDescent="0.2">
      <c r="A26798" t="s">
        <v>1</v>
      </c>
      <c r="B26798" t="str">
        <f>"17785911153"</f>
        <v>17785911153</v>
      </c>
      <c r="C26798" t="s">
        <v>1</v>
      </c>
      <c r="D26798" t="s">
        <v>1</v>
      </c>
      <c r="E26798" t="s">
        <v>1</v>
      </c>
      <c r="F26798" t="s">
        <v>0</v>
      </c>
      <c r="G26798" t="str">
        <f>"2018-10-05 12:48:07"</f>
        <v>2018-10-05 12:48:07</v>
      </c>
    </row>
    <row r="26799" spans="1:7" x14ac:dyDescent="0.2">
      <c r="A26799" t="s">
        <v>1</v>
      </c>
      <c r="B26799" t="str">
        <f>"15178294510"</f>
        <v>15178294510</v>
      </c>
      <c r="C26799" t="s">
        <v>1</v>
      </c>
      <c r="D26799" t="s">
        <v>1</v>
      </c>
      <c r="E26799" t="s">
        <v>1</v>
      </c>
      <c r="F26799" t="s">
        <v>0</v>
      </c>
      <c r="G26799" t="str">
        <f>"2018-10-05 12:45:45"</f>
        <v>2018-10-05 12:45:45</v>
      </c>
    </row>
    <row r="26800" spans="1:7" x14ac:dyDescent="0.2">
      <c r="A26800" t="s">
        <v>24655</v>
      </c>
      <c r="B26800" t="str">
        <f>"15169427005"</f>
        <v>15169427005</v>
      </c>
      <c r="C26800" t="str">
        <f>"370704199810011018"</f>
        <v>370704199810011018</v>
      </c>
      <c r="D26800" t="s">
        <v>1</v>
      </c>
      <c r="E26800" t="s">
        <v>1</v>
      </c>
      <c r="F26800" t="s">
        <v>0</v>
      </c>
      <c r="G26800" t="str">
        <f>"2018-10-05 12:47:04"</f>
        <v>2018-10-05 12:47:04</v>
      </c>
    </row>
    <row r="26801" spans="1:7" x14ac:dyDescent="0.2">
      <c r="A26801" t="s">
        <v>24656</v>
      </c>
      <c r="B26801" t="str">
        <f>"13340099840"</f>
        <v>13340099840</v>
      </c>
      <c r="C26801" t="str">
        <f>"362227198310060350"</f>
        <v>362227198310060350</v>
      </c>
      <c r="D26801" t="s">
        <v>24657</v>
      </c>
      <c r="E26801" t="s">
        <v>24658</v>
      </c>
      <c r="F26801" t="s">
        <v>0</v>
      </c>
      <c r="G26801" t="str">
        <f>"2018-10-05 12:48:52"</f>
        <v>2018-10-05 12:48:52</v>
      </c>
    </row>
    <row r="26802" spans="1:7" x14ac:dyDescent="0.2">
      <c r="A26802" t="s">
        <v>1</v>
      </c>
      <c r="B26802" t="str">
        <f>"18229857765"</f>
        <v>18229857765</v>
      </c>
      <c r="C26802" t="s">
        <v>1</v>
      </c>
      <c r="D26802" t="s">
        <v>1</v>
      </c>
      <c r="E26802" t="s">
        <v>1</v>
      </c>
      <c r="F26802" t="s">
        <v>0</v>
      </c>
      <c r="G26802" t="str">
        <f>"2018-10-05 12:45:05"</f>
        <v>2018-10-05 12:45:05</v>
      </c>
    </row>
    <row r="26803" spans="1:7" x14ac:dyDescent="0.2">
      <c r="A26803" t="s">
        <v>24659</v>
      </c>
      <c r="B26803" t="str">
        <f>"18974651395"</f>
        <v>18974651395</v>
      </c>
      <c r="C26803" t="str">
        <f>"431102198801126240"</f>
        <v>431102198801126240</v>
      </c>
      <c r="D26803" t="s">
        <v>1</v>
      </c>
      <c r="E26803" t="s">
        <v>1</v>
      </c>
      <c r="F26803" t="s">
        <v>0</v>
      </c>
      <c r="G26803" t="str">
        <f>"2018-10-05 12:50:07"</f>
        <v>2018-10-05 12:50:07</v>
      </c>
    </row>
    <row r="26804" spans="1:7" x14ac:dyDescent="0.2">
      <c r="A26804" t="s">
        <v>8176</v>
      </c>
      <c r="B26804" t="str">
        <f>"18965186980"</f>
        <v>18965186980</v>
      </c>
      <c r="C26804" t="str">
        <f>"350623198501120013"</f>
        <v>350623198501120013</v>
      </c>
      <c r="D26804" t="s">
        <v>1</v>
      </c>
      <c r="E26804" t="s">
        <v>1</v>
      </c>
      <c r="F26804" t="s">
        <v>0</v>
      </c>
      <c r="G26804" t="str">
        <f>"2018-10-05 12:46:34"</f>
        <v>2018-10-05 12:46:34</v>
      </c>
    </row>
    <row r="26805" spans="1:7" x14ac:dyDescent="0.2">
      <c r="A26805" t="s">
        <v>541</v>
      </c>
      <c r="B26805" t="str">
        <f>"18667931368"</f>
        <v>18667931368</v>
      </c>
      <c r="C26805" t="str">
        <f>"330125198002190713"</f>
        <v>330125198002190713</v>
      </c>
      <c r="D26805" t="s">
        <v>1</v>
      </c>
      <c r="E26805" t="s">
        <v>1</v>
      </c>
      <c r="F26805" t="s">
        <v>0</v>
      </c>
      <c r="G26805" t="str">
        <f>"2018-10-05 12:47:30"</f>
        <v>2018-10-05 12:47:30</v>
      </c>
    </row>
    <row r="26806" spans="1:7" x14ac:dyDescent="0.2">
      <c r="A26806" t="s">
        <v>15193</v>
      </c>
      <c r="B26806" t="str">
        <f>"17345150462"</f>
        <v>17345150462</v>
      </c>
      <c r="C26806" t="str">
        <f>"510321200006258796"</f>
        <v>510321200006258796</v>
      </c>
      <c r="D26806" t="s">
        <v>1</v>
      </c>
      <c r="E26806" t="s">
        <v>1</v>
      </c>
      <c r="F26806" t="s">
        <v>0</v>
      </c>
      <c r="G26806" t="str">
        <f>"2018-10-05 12:49:09"</f>
        <v>2018-10-05 12:49:09</v>
      </c>
    </row>
    <row r="26807" spans="1:7" x14ac:dyDescent="0.2">
      <c r="A26807" t="s">
        <v>1</v>
      </c>
      <c r="B26807" t="str">
        <f>"13207805330"</f>
        <v>13207805330</v>
      </c>
      <c r="C26807" t="s">
        <v>1</v>
      </c>
      <c r="D26807" t="s">
        <v>1</v>
      </c>
      <c r="E26807" t="s">
        <v>1</v>
      </c>
      <c r="F26807" t="s">
        <v>0</v>
      </c>
      <c r="G26807" t="str">
        <f>"2018-10-05 12:43:49"</f>
        <v>2018-10-05 12:43:49</v>
      </c>
    </row>
    <row r="26808" spans="1:7" x14ac:dyDescent="0.2">
      <c r="A26808" t="s">
        <v>1</v>
      </c>
      <c r="B26808" t="str">
        <f>"13517626252"</f>
        <v>13517626252</v>
      </c>
      <c r="C26808" t="s">
        <v>1</v>
      </c>
      <c r="D26808" t="s">
        <v>1</v>
      </c>
      <c r="E26808" t="s">
        <v>1</v>
      </c>
      <c r="F26808" t="s">
        <v>0</v>
      </c>
      <c r="G26808" t="str">
        <f>"2018-10-05 12:43:43"</f>
        <v>2018-10-05 12:43:43</v>
      </c>
    </row>
    <row r="26809" spans="1:7" x14ac:dyDescent="0.2">
      <c r="A26809" t="s">
        <v>24660</v>
      </c>
      <c r="B26809" t="str">
        <f>"15672668806"</f>
        <v>15672668806</v>
      </c>
      <c r="C26809" t="str">
        <f>"421126199109196393"</f>
        <v>421126199109196393</v>
      </c>
      <c r="D26809" t="s">
        <v>24661</v>
      </c>
      <c r="E26809" t="s">
        <v>24662</v>
      </c>
      <c r="F26809" t="s">
        <v>0</v>
      </c>
      <c r="G26809" t="str">
        <f>"2018-10-05 13:40:58"</f>
        <v>2018-10-05 13:40:58</v>
      </c>
    </row>
    <row r="26810" spans="1:7" x14ac:dyDescent="0.2">
      <c r="A26810" t="s">
        <v>24663</v>
      </c>
      <c r="B26810" t="str">
        <f>"18106981981"</f>
        <v>18106981981</v>
      </c>
      <c r="C26810" t="str">
        <f>"35082119881220049X"</f>
        <v>35082119881220049X</v>
      </c>
      <c r="D26810" t="s">
        <v>1</v>
      </c>
      <c r="E26810" t="s">
        <v>1</v>
      </c>
      <c r="F26810" t="s">
        <v>0</v>
      </c>
      <c r="G26810" t="str">
        <f>"2018-10-05 12:44:05"</f>
        <v>2018-10-05 12:44:05</v>
      </c>
    </row>
    <row r="26811" spans="1:7" x14ac:dyDescent="0.2">
      <c r="A26811" t="s">
        <v>1</v>
      </c>
      <c r="B26811" t="str">
        <f>"13175245474"</f>
        <v>13175245474</v>
      </c>
      <c r="C26811" t="s">
        <v>1</v>
      </c>
      <c r="D26811" t="s">
        <v>1</v>
      </c>
      <c r="E26811" t="s">
        <v>1</v>
      </c>
      <c r="F26811" t="s">
        <v>0</v>
      </c>
      <c r="G26811" t="str">
        <f>"2018-10-05 12:42:32"</f>
        <v>2018-10-05 12:42:32</v>
      </c>
    </row>
    <row r="26812" spans="1:7" x14ac:dyDescent="0.2">
      <c r="A26812" t="s">
        <v>1</v>
      </c>
      <c r="B26812" t="str">
        <f>"13929536877"</f>
        <v>13929536877</v>
      </c>
      <c r="C26812" t="s">
        <v>1</v>
      </c>
      <c r="D26812" t="s">
        <v>1</v>
      </c>
      <c r="E26812" t="s">
        <v>1</v>
      </c>
      <c r="F26812" t="s">
        <v>0</v>
      </c>
      <c r="G26812" t="str">
        <f>"2018-10-05 12:42:22"</f>
        <v>2018-10-05 12:42:22</v>
      </c>
    </row>
    <row r="26813" spans="1:7" x14ac:dyDescent="0.2">
      <c r="A26813" t="s">
        <v>24664</v>
      </c>
      <c r="B26813" t="str">
        <f>"15767090469"</f>
        <v>15767090469</v>
      </c>
      <c r="C26813" t="str">
        <f>"500234199404295751"</f>
        <v>500234199404295751</v>
      </c>
      <c r="D26813" t="s">
        <v>1</v>
      </c>
      <c r="E26813" t="s">
        <v>1</v>
      </c>
      <c r="F26813" t="s">
        <v>0</v>
      </c>
      <c r="G26813" t="str">
        <f>"2018-10-05 12:43:10"</f>
        <v>2018-10-05 12:43:10</v>
      </c>
    </row>
    <row r="26814" spans="1:7" x14ac:dyDescent="0.2">
      <c r="A26814" t="s">
        <v>24665</v>
      </c>
      <c r="B26814" t="str">
        <f>"18362931004"</f>
        <v>18362931004</v>
      </c>
      <c r="C26814" t="str">
        <f>"342225199409090574"</f>
        <v>342225199409090574</v>
      </c>
      <c r="D26814" t="s">
        <v>1</v>
      </c>
      <c r="E26814" t="s">
        <v>1</v>
      </c>
      <c r="F26814" t="s">
        <v>0</v>
      </c>
      <c r="G26814" t="str">
        <f>"2018-10-05 19:59:26"</f>
        <v>2018-10-05 19:59:26</v>
      </c>
    </row>
    <row r="26815" spans="1:7" x14ac:dyDescent="0.2">
      <c r="A26815" t="s">
        <v>1</v>
      </c>
      <c r="B26815" t="str">
        <f>"18195100881"</f>
        <v>18195100881</v>
      </c>
      <c r="C26815" t="s">
        <v>1</v>
      </c>
      <c r="D26815" t="s">
        <v>1</v>
      </c>
      <c r="E26815" t="s">
        <v>1</v>
      </c>
      <c r="F26815" t="s">
        <v>0</v>
      </c>
      <c r="G26815" t="str">
        <f>"2018-10-05 12:41:17"</f>
        <v>2018-10-05 12:41:17</v>
      </c>
    </row>
    <row r="26816" spans="1:7" x14ac:dyDescent="0.2">
      <c r="A26816" t="s">
        <v>1231</v>
      </c>
      <c r="B26816" t="str">
        <f>"18504501119"</f>
        <v>18504501119</v>
      </c>
      <c r="C26816" t="str">
        <f>"231083198711195141"</f>
        <v>231083198711195141</v>
      </c>
      <c r="D26816" t="s">
        <v>1</v>
      </c>
      <c r="E26816" t="s">
        <v>1</v>
      </c>
      <c r="F26816" t="s">
        <v>0</v>
      </c>
      <c r="G26816" t="str">
        <f>"2018-10-05 14:22:40"</f>
        <v>2018-10-05 14:22:40</v>
      </c>
    </row>
    <row r="26817" spans="1:7" x14ac:dyDescent="0.2">
      <c r="A26817" t="s">
        <v>24666</v>
      </c>
      <c r="B26817" t="str">
        <f>"13958950005"</f>
        <v>13958950005</v>
      </c>
      <c r="C26817" t="str">
        <f>"33032619760409131X"</f>
        <v>33032619760409131X</v>
      </c>
      <c r="D26817" t="s">
        <v>1</v>
      </c>
      <c r="E26817" t="s">
        <v>1</v>
      </c>
      <c r="F26817" t="s">
        <v>0</v>
      </c>
      <c r="G26817" t="str">
        <f>"2018-10-05 12:41:57"</f>
        <v>2018-10-05 12:41:57</v>
      </c>
    </row>
    <row r="26818" spans="1:7" x14ac:dyDescent="0.2">
      <c r="A26818" t="s">
        <v>24667</v>
      </c>
      <c r="B26818" t="str">
        <f>"18756098237"</f>
        <v>18756098237</v>
      </c>
      <c r="C26818" t="str">
        <f>"342601198509082711"</f>
        <v>342601198509082711</v>
      </c>
      <c r="D26818" t="s">
        <v>24668</v>
      </c>
      <c r="E26818" t="s">
        <v>24669</v>
      </c>
      <c r="F26818" t="s">
        <v>0</v>
      </c>
      <c r="G26818" t="str">
        <f>"2018-10-05 12:43:10"</f>
        <v>2018-10-05 12:43:10</v>
      </c>
    </row>
    <row r="26819" spans="1:7" x14ac:dyDescent="0.2">
      <c r="A26819" t="s">
        <v>1</v>
      </c>
      <c r="B26819" t="str">
        <f>"15546655520"</f>
        <v>15546655520</v>
      </c>
      <c r="C26819" t="s">
        <v>1</v>
      </c>
      <c r="D26819" t="s">
        <v>1</v>
      </c>
      <c r="E26819" t="s">
        <v>1</v>
      </c>
      <c r="F26819" t="s">
        <v>0</v>
      </c>
      <c r="G26819" t="str">
        <f>"2018-10-05 12:40:16"</f>
        <v>2018-10-05 12:40:16</v>
      </c>
    </row>
    <row r="26820" spans="1:7" x14ac:dyDescent="0.2">
      <c r="A26820" t="s">
        <v>1</v>
      </c>
      <c r="B26820" t="str">
        <f>"15289600233"</f>
        <v>15289600233</v>
      </c>
      <c r="C26820" t="s">
        <v>1</v>
      </c>
      <c r="D26820" t="s">
        <v>1</v>
      </c>
      <c r="E26820" t="s">
        <v>1</v>
      </c>
      <c r="F26820" t="s">
        <v>0</v>
      </c>
      <c r="G26820" t="str">
        <f>"2018-10-05 12:40:01"</f>
        <v>2018-10-05 12:40:01</v>
      </c>
    </row>
    <row r="26821" spans="1:7" x14ac:dyDescent="0.2">
      <c r="A26821" t="s">
        <v>24670</v>
      </c>
      <c r="B26821" t="str">
        <f>"13293471666"</f>
        <v>13293471666</v>
      </c>
      <c r="C26821" t="str">
        <f>"130982199502092915"</f>
        <v>130982199502092915</v>
      </c>
      <c r="D26821" t="s">
        <v>1</v>
      </c>
      <c r="E26821" t="s">
        <v>1</v>
      </c>
      <c r="F26821" t="s">
        <v>0</v>
      </c>
      <c r="G26821" t="str">
        <f>"2018-10-05 12:41:38"</f>
        <v>2018-10-05 12:41:38</v>
      </c>
    </row>
    <row r="26822" spans="1:7" x14ac:dyDescent="0.2">
      <c r="A26822" t="s">
        <v>96</v>
      </c>
      <c r="B26822" t="str">
        <f>"17610627896"</f>
        <v>17610627896</v>
      </c>
      <c r="C26822" t="str">
        <f>"140424198811070038"</f>
        <v>140424198811070038</v>
      </c>
      <c r="D26822" t="s">
        <v>1</v>
      </c>
      <c r="E26822" t="s">
        <v>1</v>
      </c>
      <c r="F26822" t="s">
        <v>0</v>
      </c>
      <c r="G26822" t="str">
        <f>"2018-10-05 12:40:03"</f>
        <v>2018-10-05 12:40:03</v>
      </c>
    </row>
    <row r="26823" spans="1:7" x14ac:dyDescent="0.2">
      <c r="A26823" t="s">
        <v>1</v>
      </c>
      <c r="B26823" t="str">
        <f>"13638595195"</f>
        <v>13638595195</v>
      </c>
      <c r="C26823" t="s">
        <v>1</v>
      </c>
      <c r="D26823" t="s">
        <v>1</v>
      </c>
      <c r="E26823" t="s">
        <v>1</v>
      </c>
      <c r="F26823" t="s">
        <v>0</v>
      </c>
      <c r="G26823" t="str">
        <f>"2018-10-05 12:39:10"</f>
        <v>2018-10-05 12:39:10</v>
      </c>
    </row>
    <row r="26824" spans="1:7" x14ac:dyDescent="0.2">
      <c r="A26824" t="s">
        <v>24671</v>
      </c>
      <c r="B26824" t="str">
        <f>"13159373758"</f>
        <v>13159373758</v>
      </c>
      <c r="C26824" t="str">
        <f>"350424197512191619"</f>
        <v>350424197512191619</v>
      </c>
      <c r="D26824" t="s">
        <v>1</v>
      </c>
      <c r="E26824" t="s">
        <v>1</v>
      </c>
      <c r="F26824" t="s">
        <v>0</v>
      </c>
      <c r="G26824" t="str">
        <f>"2018-10-05 12:41:21"</f>
        <v>2018-10-05 12:41:21</v>
      </c>
    </row>
    <row r="26825" spans="1:7" x14ac:dyDescent="0.2">
      <c r="A26825" t="s">
        <v>1</v>
      </c>
      <c r="B26825" t="str">
        <f>"13875389176"</f>
        <v>13875389176</v>
      </c>
      <c r="C26825" t="s">
        <v>1</v>
      </c>
      <c r="D26825" t="s">
        <v>1</v>
      </c>
      <c r="E26825" t="s">
        <v>1</v>
      </c>
      <c r="F26825" t="s">
        <v>0</v>
      </c>
      <c r="G26825" t="str">
        <f>"2018-10-05 12:39:04"</f>
        <v>2018-10-05 12:39:04</v>
      </c>
    </row>
    <row r="26826" spans="1:7" x14ac:dyDescent="0.2">
      <c r="A26826" t="s">
        <v>24672</v>
      </c>
      <c r="B26826" t="str">
        <f>"17605099556"</f>
        <v>17605099556</v>
      </c>
      <c r="C26826" t="str">
        <f>"350181199702101530"</f>
        <v>350181199702101530</v>
      </c>
      <c r="D26826" t="s">
        <v>1</v>
      </c>
      <c r="E26826" t="s">
        <v>1</v>
      </c>
      <c r="F26826" t="s">
        <v>0</v>
      </c>
      <c r="G26826" t="str">
        <f>"2018-10-05 12:39:09"</f>
        <v>2018-10-05 12:39:09</v>
      </c>
    </row>
    <row r="26827" spans="1:7" x14ac:dyDescent="0.2">
      <c r="A26827" t="s">
        <v>24673</v>
      </c>
      <c r="B26827" t="str">
        <f>"18711751636"</f>
        <v>18711751636</v>
      </c>
      <c r="C26827" t="str">
        <f>"430921199710125118"</f>
        <v>430921199710125118</v>
      </c>
      <c r="D26827" t="s">
        <v>1</v>
      </c>
      <c r="E26827" t="s">
        <v>1</v>
      </c>
      <c r="F26827" t="s">
        <v>0</v>
      </c>
      <c r="G26827" t="str">
        <f>"2018-10-05 12:39:41"</f>
        <v>2018-10-05 12:39:41</v>
      </c>
    </row>
    <row r="26828" spans="1:7" x14ac:dyDescent="0.2">
      <c r="A26828" t="s">
        <v>1539</v>
      </c>
      <c r="B26828" t="str">
        <f>"15651236781"</f>
        <v>15651236781</v>
      </c>
      <c r="C26828" t="str">
        <f>"320621198911207930"</f>
        <v>320621198911207930</v>
      </c>
      <c r="D26828" t="s">
        <v>1</v>
      </c>
      <c r="E26828" t="s">
        <v>1</v>
      </c>
      <c r="F26828" t="s">
        <v>0</v>
      </c>
      <c r="G26828" t="str">
        <f>"2018-10-05 12:38:43"</f>
        <v>2018-10-05 12:38:43</v>
      </c>
    </row>
    <row r="26829" spans="1:7" x14ac:dyDescent="0.2">
      <c r="A26829" t="s">
        <v>24674</v>
      </c>
      <c r="B26829" t="str">
        <f>"18240006364"</f>
        <v>18240006364</v>
      </c>
      <c r="C26829" t="str">
        <f>"210105198912025212"</f>
        <v>210105198912025212</v>
      </c>
      <c r="D26829" t="s">
        <v>1</v>
      </c>
      <c r="E26829" t="s">
        <v>1</v>
      </c>
      <c r="F26829" t="s">
        <v>0</v>
      </c>
      <c r="G26829" t="str">
        <f>"2018-10-05 12:38:31"</f>
        <v>2018-10-05 12:38:31</v>
      </c>
    </row>
    <row r="26830" spans="1:7" x14ac:dyDescent="0.2">
      <c r="A26830" t="s">
        <v>1</v>
      </c>
      <c r="B26830" t="str">
        <f>"13730607645"</f>
        <v>13730607645</v>
      </c>
      <c r="C26830" t="s">
        <v>1</v>
      </c>
      <c r="D26830" t="s">
        <v>1</v>
      </c>
      <c r="E26830" t="s">
        <v>1</v>
      </c>
      <c r="F26830" t="s">
        <v>0</v>
      </c>
      <c r="G26830" t="str">
        <f>"2018-10-05 12:37:44"</f>
        <v>2018-10-05 12:37:44</v>
      </c>
    </row>
    <row r="26831" spans="1:7" x14ac:dyDescent="0.2">
      <c r="A26831" t="s">
        <v>24675</v>
      </c>
      <c r="B26831" t="str">
        <f>"17777421517"</f>
        <v>17777421517</v>
      </c>
      <c r="C26831" t="str">
        <f>"450421197807274512"</f>
        <v>450421197807274512</v>
      </c>
      <c r="D26831" t="s">
        <v>24676</v>
      </c>
      <c r="E26831" t="s">
        <v>24677</v>
      </c>
      <c r="F26831" t="s">
        <v>0</v>
      </c>
      <c r="G26831" t="str">
        <f>"2018-10-05 12:39:55"</f>
        <v>2018-10-05 12:39:55</v>
      </c>
    </row>
    <row r="26832" spans="1:7" x14ac:dyDescent="0.2">
      <c r="A26832" t="s">
        <v>24678</v>
      </c>
      <c r="B26832" t="str">
        <f>"18581851701"</f>
        <v>18581851701</v>
      </c>
      <c r="C26832" t="str">
        <f>"371522198502048714"</f>
        <v>371522198502048714</v>
      </c>
      <c r="D26832" t="s">
        <v>1</v>
      </c>
      <c r="E26832" t="s">
        <v>1</v>
      </c>
      <c r="F26832" t="s">
        <v>0</v>
      </c>
      <c r="G26832" t="str">
        <f>"2018-10-05 12:49:30"</f>
        <v>2018-10-05 12:49:30</v>
      </c>
    </row>
    <row r="26833" spans="1:7" x14ac:dyDescent="0.2">
      <c r="A26833" t="s">
        <v>1</v>
      </c>
      <c r="B26833" t="str">
        <f>"18603522814"</f>
        <v>18603522814</v>
      </c>
      <c r="C26833" t="s">
        <v>1</v>
      </c>
      <c r="D26833" t="s">
        <v>1</v>
      </c>
      <c r="E26833" t="s">
        <v>1</v>
      </c>
      <c r="F26833" t="s">
        <v>0</v>
      </c>
      <c r="G26833" t="str">
        <f>"2018-10-05 12:34:59"</f>
        <v>2018-10-05 12:34:59</v>
      </c>
    </row>
    <row r="26834" spans="1:7" x14ac:dyDescent="0.2">
      <c r="A26834" t="s">
        <v>1</v>
      </c>
      <c r="B26834" t="str">
        <f>"15915807123"</f>
        <v>15915807123</v>
      </c>
      <c r="C26834" t="s">
        <v>1</v>
      </c>
      <c r="D26834" t="s">
        <v>1</v>
      </c>
      <c r="E26834" t="s">
        <v>1</v>
      </c>
      <c r="F26834" t="s">
        <v>0</v>
      </c>
      <c r="G26834" t="str">
        <f>"2018-10-05 12:34:56"</f>
        <v>2018-10-05 12:34:56</v>
      </c>
    </row>
    <row r="26835" spans="1:7" x14ac:dyDescent="0.2">
      <c r="A26835" t="s">
        <v>24679</v>
      </c>
      <c r="B26835" t="str">
        <f>"13405645507"</f>
        <v>13405645507</v>
      </c>
      <c r="C26835" t="str">
        <f>"34022319840405353X"</f>
        <v>34022319840405353X</v>
      </c>
      <c r="D26835" t="s">
        <v>24680</v>
      </c>
      <c r="E26835" t="s">
        <v>24681</v>
      </c>
      <c r="F26835" t="s">
        <v>0</v>
      </c>
      <c r="G26835" t="str">
        <f>"2018-10-05 12:36:46"</f>
        <v>2018-10-05 12:36:46</v>
      </c>
    </row>
    <row r="26836" spans="1:7" x14ac:dyDescent="0.2">
      <c r="A26836" t="s">
        <v>1</v>
      </c>
      <c r="B26836" t="str">
        <f>"13896816742"</f>
        <v>13896816742</v>
      </c>
      <c r="C26836" t="s">
        <v>1</v>
      </c>
      <c r="D26836" t="s">
        <v>1</v>
      </c>
      <c r="E26836" t="s">
        <v>1</v>
      </c>
      <c r="F26836" t="s">
        <v>0</v>
      </c>
      <c r="G26836" t="str">
        <f>"2018-10-05 12:34:38"</f>
        <v>2018-10-05 12:34:38</v>
      </c>
    </row>
    <row r="26837" spans="1:7" x14ac:dyDescent="0.2">
      <c r="A26837" t="s">
        <v>24682</v>
      </c>
      <c r="B26837" t="str">
        <f>"13608569098"</f>
        <v>13608569098</v>
      </c>
      <c r="C26837" t="str">
        <f>"520103198006220817"</f>
        <v>520103198006220817</v>
      </c>
      <c r="D26837" t="s">
        <v>1</v>
      </c>
      <c r="E26837" t="s">
        <v>1</v>
      </c>
      <c r="F26837" t="s">
        <v>0</v>
      </c>
      <c r="G26837" t="str">
        <f>"2018-10-05 12:34:33"</f>
        <v>2018-10-05 12:34:33</v>
      </c>
    </row>
    <row r="26838" spans="1:7" x14ac:dyDescent="0.2">
      <c r="A26838" t="s">
        <v>1</v>
      </c>
      <c r="B26838" t="str">
        <f>"15633130545"</f>
        <v>15633130545</v>
      </c>
      <c r="C26838" t="s">
        <v>1</v>
      </c>
      <c r="D26838" t="s">
        <v>1</v>
      </c>
      <c r="E26838" t="s">
        <v>1</v>
      </c>
      <c r="F26838" t="s">
        <v>0</v>
      </c>
      <c r="G26838" t="str">
        <f>"2018-10-05 12:37:24"</f>
        <v>2018-10-05 12:37:24</v>
      </c>
    </row>
    <row r="26839" spans="1:7" x14ac:dyDescent="0.2">
      <c r="A26839" t="s">
        <v>24683</v>
      </c>
      <c r="B26839" t="str">
        <f>"13017883889"</f>
        <v>13017883889</v>
      </c>
      <c r="C26839" t="str">
        <f>"500235198708166176"</f>
        <v>500235198708166176</v>
      </c>
      <c r="D26839" t="s">
        <v>24684</v>
      </c>
      <c r="E26839" t="s">
        <v>24685</v>
      </c>
      <c r="F26839" t="s">
        <v>0</v>
      </c>
      <c r="G26839" t="str">
        <f>"2018-10-05 12:36:18"</f>
        <v>2018-10-05 12:36:18</v>
      </c>
    </row>
    <row r="26840" spans="1:7" x14ac:dyDescent="0.2">
      <c r="A26840" t="s">
        <v>1</v>
      </c>
      <c r="B26840" t="str">
        <f>"13062283813"</f>
        <v>13062283813</v>
      </c>
      <c r="C26840" t="s">
        <v>1</v>
      </c>
      <c r="D26840" t="s">
        <v>1</v>
      </c>
      <c r="E26840" t="s">
        <v>1</v>
      </c>
      <c r="F26840" t="s">
        <v>0</v>
      </c>
      <c r="G26840" t="str">
        <f>"2018-10-05 12:35:36"</f>
        <v>2018-10-05 12:35:36</v>
      </c>
    </row>
    <row r="26841" spans="1:7" x14ac:dyDescent="0.2">
      <c r="A26841" t="s">
        <v>1</v>
      </c>
      <c r="B26841" t="str">
        <f>"14761038233"</f>
        <v>14761038233</v>
      </c>
      <c r="C26841" t="s">
        <v>1</v>
      </c>
      <c r="D26841" t="s">
        <v>1</v>
      </c>
      <c r="E26841" t="s">
        <v>1</v>
      </c>
      <c r="F26841" t="s">
        <v>0</v>
      </c>
      <c r="G26841" t="str">
        <f>"2018-10-05 12:33:45"</f>
        <v>2018-10-05 12:33:45</v>
      </c>
    </row>
    <row r="26842" spans="1:7" x14ac:dyDescent="0.2">
      <c r="A26842" t="s">
        <v>630</v>
      </c>
      <c r="B26842" t="str">
        <f>"13855222102"</f>
        <v>13855222102</v>
      </c>
      <c r="C26842" t="str">
        <f>"340302198911250443"</f>
        <v>340302198911250443</v>
      </c>
      <c r="D26842" t="s">
        <v>24686</v>
      </c>
      <c r="E26842" t="s">
        <v>24687</v>
      </c>
      <c r="F26842" t="s">
        <v>0</v>
      </c>
      <c r="G26842" t="str">
        <f>"2018-10-05 12:49:30"</f>
        <v>2018-10-05 12:49:30</v>
      </c>
    </row>
    <row r="26843" spans="1:7" x14ac:dyDescent="0.2">
      <c r="A26843" t="s">
        <v>1215</v>
      </c>
      <c r="B26843" t="str">
        <f>"13856647533"</f>
        <v>13856647533</v>
      </c>
      <c r="C26843" t="str">
        <f>"342901198212277426"</f>
        <v>342901198212277426</v>
      </c>
      <c r="D26843" t="s">
        <v>1</v>
      </c>
      <c r="E26843" t="s">
        <v>1</v>
      </c>
      <c r="F26843" t="s">
        <v>0</v>
      </c>
      <c r="G26843" t="str">
        <f>"2018-10-05 12:35:26"</f>
        <v>2018-10-05 12:35:26</v>
      </c>
    </row>
    <row r="26844" spans="1:7" x14ac:dyDescent="0.2">
      <c r="A26844" t="s">
        <v>24688</v>
      </c>
      <c r="B26844" t="str">
        <f>"13370511261"</f>
        <v>13370511261</v>
      </c>
      <c r="C26844" t="str">
        <f>"370102197310094115"</f>
        <v>370102197310094115</v>
      </c>
      <c r="D26844" t="s">
        <v>1</v>
      </c>
      <c r="E26844" t="s">
        <v>1</v>
      </c>
      <c r="F26844" t="s">
        <v>0</v>
      </c>
      <c r="G26844" t="str">
        <f>"2018-10-31 15:04:32"</f>
        <v>2018-10-31 15:04:32</v>
      </c>
    </row>
    <row r="26845" spans="1:7" x14ac:dyDescent="0.2">
      <c r="A26845" t="s">
        <v>1</v>
      </c>
      <c r="B26845" t="str">
        <f>"13303640233"</f>
        <v>13303640233</v>
      </c>
      <c r="C26845" t="s">
        <v>1</v>
      </c>
      <c r="D26845" t="s">
        <v>1</v>
      </c>
      <c r="E26845" t="s">
        <v>1</v>
      </c>
      <c r="F26845" t="s">
        <v>0</v>
      </c>
      <c r="G26845" t="str">
        <f>"2018-10-05 12:32:23"</f>
        <v>2018-10-05 12:32:23</v>
      </c>
    </row>
    <row r="26846" spans="1:7" x14ac:dyDescent="0.2">
      <c r="A26846" t="s">
        <v>1</v>
      </c>
      <c r="B26846" t="str">
        <f>"18543137882"</f>
        <v>18543137882</v>
      </c>
      <c r="C26846" t="s">
        <v>1</v>
      </c>
      <c r="D26846" t="s">
        <v>1</v>
      </c>
      <c r="E26846" t="s">
        <v>1</v>
      </c>
      <c r="F26846" t="s">
        <v>0</v>
      </c>
      <c r="G26846" t="str">
        <f>"2018-10-05 12:31:55"</f>
        <v>2018-10-05 12:31:55</v>
      </c>
    </row>
    <row r="26847" spans="1:7" x14ac:dyDescent="0.2">
      <c r="A26847" t="s">
        <v>572</v>
      </c>
      <c r="B26847" t="str">
        <f>"18021565818"</f>
        <v>18021565818</v>
      </c>
      <c r="C26847" t="str">
        <f>"342221199408240539"</f>
        <v>342221199408240539</v>
      </c>
      <c r="D26847" t="s">
        <v>1</v>
      </c>
      <c r="E26847" t="s">
        <v>1</v>
      </c>
      <c r="F26847" t="s">
        <v>0</v>
      </c>
      <c r="G26847" t="str">
        <f>"2018-10-05 13:04:45"</f>
        <v>2018-10-05 13:04:45</v>
      </c>
    </row>
    <row r="26848" spans="1:7" x14ac:dyDescent="0.2">
      <c r="A26848" t="s">
        <v>24689</v>
      </c>
      <c r="B26848" t="str">
        <f>"13159778577"</f>
        <v>13159778577</v>
      </c>
      <c r="C26848" t="str">
        <f>"220181197810062614"</f>
        <v>220181197810062614</v>
      </c>
      <c r="D26848" t="s">
        <v>1</v>
      </c>
      <c r="E26848" t="s">
        <v>1</v>
      </c>
      <c r="F26848" t="s">
        <v>0</v>
      </c>
      <c r="G26848" t="str">
        <f>"2018-10-05 12:46:24"</f>
        <v>2018-10-05 12:46:24</v>
      </c>
    </row>
    <row r="26849" spans="1:7" x14ac:dyDescent="0.2">
      <c r="A26849" t="s">
        <v>1</v>
      </c>
      <c r="B26849" t="str">
        <f>"18690323303"</f>
        <v>18690323303</v>
      </c>
      <c r="C26849" t="s">
        <v>1</v>
      </c>
      <c r="D26849" t="s">
        <v>1</v>
      </c>
      <c r="E26849" t="s">
        <v>1</v>
      </c>
      <c r="F26849" t="s">
        <v>0</v>
      </c>
      <c r="G26849" t="str">
        <f>"2018-10-05 12:31:02"</f>
        <v>2018-10-05 12:31:02</v>
      </c>
    </row>
    <row r="26850" spans="1:7" x14ac:dyDescent="0.2">
      <c r="A26850" t="s">
        <v>24690</v>
      </c>
      <c r="B26850" t="str">
        <f>"15119198388"</f>
        <v>15119198388</v>
      </c>
      <c r="C26850" t="str">
        <f>"440582198507136856"</f>
        <v>440582198507136856</v>
      </c>
      <c r="D26850" t="s">
        <v>1</v>
      </c>
      <c r="E26850" t="s">
        <v>1</v>
      </c>
      <c r="F26850" t="s">
        <v>0</v>
      </c>
      <c r="G26850" t="str">
        <f>"2018-10-05 12:32:42"</f>
        <v>2018-10-05 12:32:42</v>
      </c>
    </row>
    <row r="26851" spans="1:7" x14ac:dyDescent="0.2">
      <c r="A26851" t="s">
        <v>15047</v>
      </c>
      <c r="B26851" t="str">
        <f>"17752285750"</f>
        <v>17752285750</v>
      </c>
      <c r="C26851" t="str">
        <f>"622701199102233415"</f>
        <v>622701199102233415</v>
      </c>
      <c r="D26851" t="s">
        <v>1</v>
      </c>
      <c r="E26851" t="s">
        <v>1</v>
      </c>
      <c r="F26851" t="s">
        <v>0</v>
      </c>
      <c r="G26851" t="str">
        <f>"2018-10-05 12:32:28"</f>
        <v>2018-10-05 12:32:28</v>
      </c>
    </row>
    <row r="26852" spans="1:7" x14ac:dyDescent="0.2">
      <c r="A26852" t="s">
        <v>24691</v>
      </c>
      <c r="B26852" t="str">
        <f>"13478741137"</f>
        <v>13478741137</v>
      </c>
      <c r="C26852" t="str">
        <f>"210283199304242634"</f>
        <v>210283199304242634</v>
      </c>
      <c r="D26852" t="s">
        <v>1</v>
      </c>
      <c r="E26852" t="s">
        <v>1</v>
      </c>
      <c r="F26852" t="s">
        <v>0</v>
      </c>
      <c r="G26852" t="str">
        <f>"2018-10-05 12:31:04"</f>
        <v>2018-10-05 12:31:04</v>
      </c>
    </row>
    <row r="26853" spans="1:7" x14ac:dyDescent="0.2">
      <c r="A26853" t="s">
        <v>23</v>
      </c>
      <c r="B26853" t="str">
        <f>"15589199909"</f>
        <v>15589199909</v>
      </c>
      <c r="C26853" t="str">
        <f>"371425198608130031"</f>
        <v>371425198608130031</v>
      </c>
      <c r="D26853" t="s">
        <v>1</v>
      </c>
      <c r="E26853" t="s">
        <v>1</v>
      </c>
      <c r="F26853" t="s">
        <v>0</v>
      </c>
      <c r="G26853" t="str">
        <f>"2018-10-05 12:30:45"</f>
        <v>2018-10-05 12:30:45</v>
      </c>
    </row>
    <row r="26854" spans="1:7" x14ac:dyDescent="0.2">
      <c r="A26854" t="s">
        <v>1</v>
      </c>
      <c r="B26854" t="str">
        <f>"13750933523"</f>
        <v>13750933523</v>
      </c>
      <c r="C26854" t="s">
        <v>1</v>
      </c>
      <c r="D26854" t="s">
        <v>1</v>
      </c>
      <c r="E26854" t="s">
        <v>1</v>
      </c>
      <c r="F26854" t="s">
        <v>0</v>
      </c>
      <c r="G26854" t="str">
        <f>"2018-10-05 12:29:59"</f>
        <v>2018-10-05 12:29:59</v>
      </c>
    </row>
    <row r="26855" spans="1:7" x14ac:dyDescent="0.2">
      <c r="A26855" t="s">
        <v>136</v>
      </c>
      <c r="B26855" t="str">
        <f>"13398049804"</f>
        <v>13398049804</v>
      </c>
      <c r="C26855" t="str">
        <f>"510322198901024159"</f>
        <v>510322198901024159</v>
      </c>
      <c r="D26855" t="s">
        <v>1</v>
      </c>
      <c r="E26855" t="s">
        <v>1</v>
      </c>
      <c r="F26855" t="s">
        <v>0</v>
      </c>
      <c r="G26855" t="str">
        <f>"2018-10-05 12:54:30"</f>
        <v>2018-10-05 12:54:30</v>
      </c>
    </row>
    <row r="26856" spans="1:7" x14ac:dyDescent="0.2">
      <c r="A26856" t="s">
        <v>1</v>
      </c>
      <c r="B26856" t="str">
        <f>"17805027831"</f>
        <v>17805027831</v>
      </c>
      <c r="C26856" t="s">
        <v>1</v>
      </c>
      <c r="D26856" t="s">
        <v>1</v>
      </c>
      <c r="E26856" t="s">
        <v>1</v>
      </c>
      <c r="F26856" t="s">
        <v>0</v>
      </c>
      <c r="G26856" t="str">
        <f>"2018-10-05 12:31:42"</f>
        <v>2018-10-05 12:31:42</v>
      </c>
    </row>
    <row r="26857" spans="1:7" x14ac:dyDescent="0.2">
      <c r="A26857" t="s">
        <v>24692</v>
      </c>
      <c r="B26857" t="str">
        <f>"18379887255"</f>
        <v>18379887255</v>
      </c>
      <c r="C26857" t="str">
        <f>"360721198912140419"</f>
        <v>360721198912140419</v>
      </c>
      <c r="D26857" t="s">
        <v>1</v>
      </c>
      <c r="E26857" t="s">
        <v>1</v>
      </c>
      <c r="F26857" t="s">
        <v>0</v>
      </c>
      <c r="G26857" t="str">
        <f>"2018-10-05 14:01:32"</f>
        <v>2018-10-05 14:01:32</v>
      </c>
    </row>
    <row r="26858" spans="1:7" x14ac:dyDescent="0.2">
      <c r="A26858" t="s">
        <v>24693</v>
      </c>
      <c r="B26858" t="str">
        <f>"13369319005"</f>
        <v>13369319005</v>
      </c>
      <c r="C26858" t="str">
        <f>"620121198102025313"</f>
        <v>620121198102025313</v>
      </c>
      <c r="D26858" t="s">
        <v>1</v>
      </c>
      <c r="E26858" t="s">
        <v>1</v>
      </c>
      <c r="F26858" t="s">
        <v>0</v>
      </c>
      <c r="G26858" t="str">
        <f>"2018-10-05 13:06:36"</f>
        <v>2018-10-05 13:06:36</v>
      </c>
    </row>
    <row r="26859" spans="1:7" x14ac:dyDescent="0.2">
      <c r="A26859" t="s">
        <v>1</v>
      </c>
      <c r="B26859" t="str">
        <f>"18725131712"</f>
        <v>18725131712</v>
      </c>
      <c r="C26859" t="s">
        <v>1</v>
      </c>
      <c r="D26859" t="s">
        <v>1</v>
      </c>
      <c r="E26859" t="s">
        <v>1</v>
      </c>
      <c r="F26859" t="s">
        <v>0</v>
      </c>
      <c r="G26859" t="str">
        <f>"2018-10-05 12:28:51"</f>
        <v>2018-10-05 12:28:51</v>
      </c>
    </row>
    <row r="26860" spans="1:7" x14ac:dyDescent="0.2">
      <c r="A26860" t="s">
        <v>24694</v>
      </c>
      <c r="B26860" t="str">
        <f>"18155938057"</f>
        <v>18155938057</v>
      </c>
      <c r="C26860" t="str">
        <f>"341002199506243214"</f>
        <v>341002199506243214</v>
      </c>
      <c r="D26860" t="s">
        <v>1</v>
      </c>
      <c r="E26860" t="s">
        <v>1</v>
      </c>
      <c r="F26860" t="s">
        <v>0</v>
      </c>
      <c r="G26860" t="str">
        <f>"2018-10-05 12:31:19"</f>
        <v>2018-10-05 12:31:19</v>
      </c>
    </row>
    <row r="26861" spans="1:7" x14ac:dyDescent="0.2">
      <c r="A26861" t="s">
        <v>24695</v>
      </c>
      <c r="B26861" t="str">
        <f>"13620457847"</f>
        <v>13620457847</v>
      </c>
      <c r="C26861" t="str">
        <f>"445281199406283079"</f>
        <v>445281199406283079</v>
      </c>
      <c r="D26861" t="s">
        <v>1</v>
      </c>
      <c r="E26861" t="s">
        <v>1</v>
      </c>
      <c r="F26861" t="s">
        <v>0</v>
      </c>
      <c r="G26861" t="str">
        <f>"2018-10-05 12:29:34"</f>
        <v>2018-10-05 12:29:34</v>
      </c>
    </row>
    <row r="26862" spans="1:7" x14ac:dyDescent="0.2">
      <c r="A26862" t="s">
        <v>24696</v>
      </c>
      <c r="B26862" t="str">
        <f>"13560066190"</f>
        <v>13560066190</v>
      </c>
      <c r="C26862" t="str">
        <f>"440921198503303839"</f>
        <v>440921198503303839</v>
      </c>
      <c r="D26862" t="s">
        <v>1</v>
      </c>
      <c r="E26862" t="s">
        <v>1</v>
      </c>
      <c r="F26862" t="s">
        <v>0</v>
      </c>
      <c r="G26862" t="str">
        <f>"2018-10-25 16:25:25"</f>
        <v>2018-10-25 16:25:25</v>
      </c>
    </row>
    <row r="26863" spans="1:7" x14ac:dyDescent="0.2">
      <c r="A26863" t="s">
        <v>1</v>
      </c>
      <c r="B26863" t="str">
        <f>"15190528101"</f>
        <v>15190528101</v>
      </c>
      <c r="C26863" t="s">
        <v>1</v>
      </c>
      <c r="D26863" t="s">
        <v>1</v>
      </c>
      <c r="E26863" t="s">
        <v>1</v>
      </c>
      <c r="F26863" t="s">
        <v>0</v>
      </c>
      <c r="G26863" t="str">
        <f>"2018-10-05 12:28:49"</f>
        <v>2018-10-05 12:28:49</v>
      </c>
    </row>
    <row r="26864" spans="1:7" x14ac:dyDescent="0.2">
      <c r="A26864" t="s">
        <v>1</v>
      </c>
      <c r="B26864" t="str">
        <f>"15279509001"</f>
        <v>15279509001</v>
      </c>
      <c r="C26864" t="s">
        <v>1</v>
      </c>
      <c r="D26864" t="s">
        <v>1</v>
      </c>
      <c r="E26864" t="s">
        <v>1</v>
      </c>
      <c r="F26864" t="s">
        <v>0</v>
      </c>
      <c r="G26864" t="str">
        <f>"2018-10-05 12:27:08"</f>
        <v>2018-10-05 12:27:08</v>
      </c>
    </row>
    <row r="26865" spans="1:7" x14ac:dyDescent="0.2">
      <c r="A26865" t="s">
        <v>24697</v>
      </c>
      <c r="B26865" t="str">
        <f>"15537932701"</f>
        <v>15537932701</v>
      </c>
      <c r="C26865" t="str">
        <f>"410322199205302814"</f>
        <v>410322199205302814</v>
      </c>
      <c r="D26865" t="s">
        <v>1</v>
      </c>
      <c r="E26865" t="s">
        <v>1</v>
      </c>
      <c r="F26865" t="s">
        <v>0</v>
      </c>
      <c r="G26865" t="str">
        <f>"2018-10-05 12:29:36"</f>
        <v>2018-10-05 12:29:36</v>
      </c>
    </row>
    <row r="26866" spans="1:7" x14ac:dyDescent="0.2">
      <c r="A26866" t="s">
        <v>24698</v>
      </c>
      <c r="B26866" t="str">
        <f>"18633438000"</f>
        <v>18633438000</v>
      </c>
      <c r="C26866" t="str">
        <f>"13020319820225454X"</f>
        <v>13020319820225454X</v>
      </c>
      <c r="D26866" t="s">
        <v>1</v>
      </c>
      <c r="E26866" t="s">
        <v>1</v>
      </c>
      <c r="F26866" t="s">
        <v>0</v>
      </c>
      <c r="G26866" t="str">
        <f>"2018-10-05 12:28:28"</f>
        <v>2018-10-05 12:28:28</v>
      </c>
    </row>
    <row r="26867" spans="1:7" x14ac:dyDescent="0.2">
      <c r="A26867" t="s">
        <v>24699</v>
      </c>
      <c r="B26867" t="str">
        <f>"18155571987"</f>
        <v>18155571987</v>
      </c>
      <c r="C26867" t="str">
        <f>"340505198711190618"</f>
        <v>340505198711190618</v>
      </c>
      <c r="D26867" t="s">
        <v>24700</v>
      </c>
      <c r="E26867" t="s">
        <v>24701</v>
      </c>
      <c r="F26867" t="s">
        <v>0</v>
      </c>
      <c r="G26867" t="str">
        <f>"2018-10-05 12:28:18"</f>
        <v>2018-10-05 12:28:18</v>
      </c>
    </row>
    <row r="26868" spans="1:7" x14ac:dyDescent="0.2">
      <c r="A26868" t="s">
        <v>24702</v>
      </c>
      <c r="B26868" t="str">
        <f>"18788617566"</f>
        <v>18788617566</v>
      </c>
      <c r="C26868" t="str">
        <f>"522121198610046012"</f>
        <v>522121198610046012</v>
      </c>
      <c r="D26868" t="s">
        <v>1</v>
      </c>
      <c r="E26868" t="s">
        <v>1</v>
      </c>
      <c r="F26868" t="s">
        <v>0</v>
      </c>
      <c r="G26868" t="str">
        <f>"2018-10-12 16:07:56"</f>
        <v>2018-10-12 16:07:56</v>
      </c>
    </row>
    <row r="26869" spans="1:7" x14ac:dyDescent="0.2">
      <c r="A26869" t="s">
        <v>24703</v>
      </c>
      <c r="B26869" t="str">
        <f>"15213076062"</f>
        <v>15213076062</v>
      </c>
      <c r="C26869" t="str">
        <f>"350524199201310531"</f>
        <v>350524199201310531</v>
      </c>
      <c r="D26869" t="s">
        <v>1</v>
      </c>
      <c r="E26869" t="s">
        <v>1</v>
      </c>
      <c r="F26869" t="s">
        <v>0</v>
      </c>
      <c r="G26869" t="str">
        <f>"2018-10-05 12:37:59"</f>
        <v>2018-10-05 12:37:59</v>
      </c>
    </row>
    <row r="26870" spans="1:7" x14ac:dyDescent="0.2">
      <c r="A26870" t="s">
        <v>24704</v>
      </c>
      <c r="B26870" t="str">
        <f>"18948745850"</f>
        <v>18948745850</v>
      </c>
      <c r="C26870" t="str">
        <f>"445381199106017858"</f>
        <v>445381199106017858</v>
      </c>
      <c r="D26870" t="s">
        <v>1</v>
      </c>
      <c r="E26870" t="s">
        <v>1</v>
      </c>
      <c r="F26870" t="s">
        <v>0</v>
      </c>
      <c r="G26870" t="str">
        <f>"2018-10-05 12:29:02"</f>
        <v>2018-10-05 12:29:02</v>
      </c>
    </row>
    <row r="26871" spans="1:7" x14ac:dyDescent="0.2">
      <c r="A26871" t="s">
        <v>24705</v>
      </c>
      <c r="B26871" t="str">
        <f>"17380578112"</f>
        <v>17380578112</v>
      </c>
      <c r="C26871" t="str">
        <f>"510112199202170035"</f>
        <v>510112199202170035</v>
      </c>
      <c r="D26871" t="s">
        <v>1</v>
      </c>
      <c r="E26871" t="s">
        <v>1</v>
      </c>
      <c r="F26871" t="s">
        <v>0</v>
      </c>
      <c r="G26871" t="str">
        <f>"2018-10-05 12:40:27"</f>
        <v>2018-10-05 12:40:27</v>
      </c>
    </row>
    <row r="26872" spans="1:7" x14ac:dyDescent="0.2">
      <c r="A26872" t="s">
        <v>1</v>
      </c>
      <c r="B26872" t="str">
        <f>"13292200369"</f>
        <v>13292200369</v>
      </c>
      <c r="C26872" t="s">
        <v>1</v>
      </c>
      <c r="D26872" t="s">
        <v>1</v>
      </c>
      <c r="E26872" t="s">
        <v>1</v>
      </c>
      <c r="F26872" t="s">
        <v>0</v>
      </c>
      <c r="G26872" t="str">
        <f>"2018-10-05 12:30:24"</f>
        <v>2018-10-05 12:30:24</v>
      </c>
    </row>
    <row r="26873" spans="1:7" x14ac:dyDescent="0.2">
      <c r="A26873" t="s">
        <v>24706</v>
      </c>
      <c r="B26873" t="str">
        <f>"15354191582"</f>
        <v>15354191582</v>
      </c>
      <c r="C26873" t="str">
        <f>"130534198212194131"</f>
        <v>130534198212194131</v>
      </c>
      <c r="D26873" t="s">
        <v>1</v>
      </c>
      <c r="E26873" t="s">
        <v>1</v>
      </c>
      <c r="F26873" t="s">
        <v>0</v>
      </c>
      <c r="G26873" t="str">
        <f>"2018-10-05 12:28:01"</f>
        <v>2018-10-05 12:28:01</v>
      </c>
    </row>
    <row r="26874" spans="1:7" x14ac:dyDescent="0.2">
      <c r="A26874" t="s">
        <v>24707</v>
      </c>
      <c r="B26874" t="str">
        <f>"18722666570"</f>
        <v>18722666570</v>
      </c>
      <c r="C26874" t="str">
        <f>"120112197901170438"</f>
        <v>120112197901170438</v>
      </c>
      <c r="D26874" t="s">
        <v>24708</v>
      </c>
      <c r="E26874" t="s">
        <v>24709</v>
      </c>
      <c r="F26874" t="s">
        <v>0</v>
      </c>
      <c r="G26874" t="str">
        <f>"2018-11-03 12:11:12"</f>
        <v>2018-11-03 12:11:12</v>
      </c>
    </row>
    <row r="26875" spans="1:7" x14ac:dyDescent="0.2">
      <c r="A26875" t="s">
        <v>24710</v>
      </c>
      <c r="B26875" t="str">
        <f>"15760036571"</f>
        <v>15760036571</v>
      </c>
      <c r="C26875" t="str">
        <f>"513029198801291242"</f>
        <v>513029198801291242</v>
      </c>
      <c r="D26875" t="s">
        <v>1</v>
      </c>
      <c r="E26875" t="s">
        <v>1</v>
      </c>
      <c r="F26875" t="s">
        <v>0</v>
      </c>
      <c r="G26875" t="str">
        <f>"2018-10-05 12:32:58"</f>
        <v>2018-10-05 12:32:58</v>
      </c>
    </row>
    <row r="26876" spans="1:7" x14ac:dyDescent="0.2">
      <c r="A26876" t="s">
        <v>24711</v>
      </c>
      <c r="B26876" t="str">
        <f>"17636006310"</f>
        <v>17636006310</v>
      </c>
      <c r="C26876" t="str">
        <f>"142727199803115015"</f>
        <v>142727199803115015</v>
      </c>
      <c r="D26876" t="s">
        <v>1</v>
      </c>
      <c r="E26876" t="s">
        <v>1</v>
      </c>
      <c r="F26876" t="s">
        <v>0</v>
      </c>
      <c r="G26876" t="str">
        <f>"2018-10-05 12:32:45"</f>
        <v>2018-10-05 12:32:45</v>
      </c>
    </row>
    <row r="26877" spans="1:7" x14ac:dyDescent="0.2">
      <c r="A26877" t="s">
        <v>24712</v>
      </c>
      <c r="B26877" t="str">
        <f>"13091981115"</f>
        <v>13091981115</v>
      </c>
      <c r="C26877" t="str">
        <f>"360521196911077059"</f>
        <v>360521196911077059</v>
      </c>
      <c r="D26877" t="s">
        <v>1</v>
      </c>
      <c r="E26877" t="s">
        <v>1</v>
      </c>
      <c r="F26877" t="s">
        <v>0</v>
      </c>
      <c r="G26877" t="str">
        <f>"2018-10-05 12:25:52"</f>
        <v>2018-10-05 12:25:52</v>
      </c>
    </row>
    <row r="26878" spans="1:7" x14ac:dyDescent="0.2">
      <c r="A26878" t="s">
        <v>1</v>
      </c>
      <c r="B26878" t="str">
        <f>"13530785231"</f>
        <v>13530785231</v>
      </c>
      <c r="C26878" t="s">
        <v>1</v>
      </c>
      <c r="D26878" t="s">
        <v>1</v>
      </c>
      <c r="E26878" t="s">
        <v>1</v>
      </c>
      <c r="F26878" t="s">
        <v>0</v>
      </c>
      <c r="G26878" t="str">
        <f>"2018-10-05 12:24:17"</f>
        <v>2018-10-05 12:24:17</v>
      </c>
    </row>
    <row r="26879" spans="1:7" x14ac:dyDescent="0.2">
      <c r="A26879" t="s">
        <v>1</v>
      </c>
      <c r="B26879" t="str">
        <f>"13366769230"</f>
        <v>13366769230</v>
      </c>
      <c r="C26879" t="s">
        <v>1</v>
      </c>
      <c r="D26879" t="s">
        <v>1</v>
      </c>
      <c r="E26879" t="s">
        <v>1</v>
      </c>
      <c r="F26879" t="s">
        <v>0</v>
      </c>
      <c r="G26879" t="str">
        <f>"2018-10-05 12:24:14"</f>
        <v>2018-10-05 12:24:14</v>
      </c>
    </row>
    <row r="26880" spans="1:7" x14ac:dyDescent="0.2">
      <c r="A26880" t="s">
        <v>206</v>
      </c>
      <c r="B26880" t="str">
        <f>"18343275909"</f>
        <v>18343275909</v>
      </c>
      <c r="C26880" t="str">
        <f>"220284199606071138"</f>
        <v>220284199606071138</v>
      </c>
      <c r="D26880" t="s">
        <v>1</v>
      </c>
      <c r="E26880" t="s">
        <v>1</v>
      </c>
      <c r="F26880" t="s">
        <v>0</v>
      </c>
      <c r="G26880" t="str">
        <f>"2018-10-05 12:29:00"</f>
        <v>2018-10-05 12:29:00</v>
      </c>
    </row>
    <row r="26881" spans="1:7" x14ac:dyDescent="0.2">
      <c r="A26881" t="s">
        <v>1</v>
      </c>
      <c r="B26881" t="str">
        <f>"13117794427"</f>
        <v>13117794427</v>
      </c>
      <c r="C26881" t="s">
        <v>1</v>
      </c>
      <c r="D26881" t="s">
        <v>1</v>
      </c>
      <c r="E26881" t="s">
        <v>1</v>
      </c>
      <c r="F26881" t="s">
        <v>0</v>
      </c>
      <c r="G26881" t="str">
        <f>"2018-10-05 12:22:32"</f>
        <v>2018-10-05 12:22:32</v>
      </c>
    </row>
    <row r="26882" spans="1:7" x14ac:dyDescent="0.2">
      <c r="A26882" t="s">
        <v>24713</v>
      </c>
      <c r="B26882" t="str">
        <f>"13867570800"</f>
        <v>13867570800</v>
      </c>
      <c r="C26882" t="str">
        <f>"330621198704166891"</f>
        <v>330621198704166891</v>
      </c>
      <c r="D26882" t="s">
        <v>1</v>
      </c>
      <c r="E26882" t="s">
        <v>1</v>
      </c>
      <c r="F26882" t="s">
        <v>0</v>
      </c>
      <c r="G26882" t="str">
        <f>"2018-10-05 12:37:07"</f>
        <v>2018-10-05 12:37:07</v>
      </c>
    </row>
    <row r="26883" spans="1:7" x14ac:dyDescent="0.2">
      <c r="A26883" t="s">
        <v>1</v>
      </c>
      <c r="B26883" t="str">
        <f>"18055561436"</f>
        <v>18055561436</v>
      </c>
      <c r="C26883" t="s">
        <v>1</v>
      </c>
      <c r="D26883" t="s">
        <v>1</v>
      </c>
      <c r="E26883" t="s">
        <v>1</v>
      </c>
      <c r="F26883" t="s">
        <v>0</v>
      </c>
      <c r="G26883" t="str">
        <f>"2018-10-05 12:21:37"</f>
        <v>2018-10-05 12:21:37</v>
      </c>
    </row>
    <row r="26884" spans="1:7" x14ac:dyDescent="0.2">
      <c r="A26884" t="s">
        <v>1</v>
      </c>
      <c r="B26884" t="str">
        <f>"13201252578"</f>
        <v>13201252578</v>
      </c>
      <c r="C26884" t="s">
        <v>1</v>
      </c>
      <c r="D26884" t="s">
        <v>1</v>
      </c>
      <c r="E26884" t="s">
        <v>1</v>
      </c>
      <c r="F26884" t="s">
        <v>0</v>
      </c>
      <c r="G26884" t="str">
        <f>"2018-10-05 15:12:56"</f>
        <v>2018-10-05 15:12:56</v>
      </c>
    </row>
    <row r="26885" spans="1:7" x14ac:dyDescent="0.2">
      <c r="A26885" t="s">
        <v>1</v>
      </c>
      <c r="B26885" t="str">
        <f>"13439989910"</f>
        <v>13439989910</v>
      </c>
      <c r="C26885" t="s">
        <v>1</v>
      </c>
      <c r="D26885" t="s">
        <v>1</v>
      </c>
      <c r="E26885" t="s">
        <v>1</v>
      </c>
      <c r="F26885" t="s">
        <v>0</v>
      </c>
      <c r="G26885" t="str">
        <f>"2018-10-05 12:21:17"</f>
        <v>2018-10-05 12:21:17</v>
      </c>
    </row>
    <row r="26886" spans="1:7" x14ac:dyDescent="0.2">
      <c r="A26886" t="s">
        <v>1</v>
      </c>
      <c r="B26886" t="str">
        <f>"15810549262"</f>
        <v>15810549262</v>
      </c>
      <c r="C26886" t="s">
        <v>1</v>
      </c>
      <c r="D26886" t="s">
        <v>1</v>
      </c>
      <c r="E26886" t="s">
        <v>1</v>
      </c>
      <c r="F26886" t="s">
        <v>0</v>
      </c>
      <c r="G26886" t="str">
        <f>"2018-10-06 06:55:58"</f>
        <v>2018-10-06 06:55:58</v>
      </c>
    </row>
    <row r="26887" spans="1:7" x14ac:dyDescent="0.2">
      <c r="A26887" t="s">
        <v>24714</v>
      </c>
      <c r="B26887" t="str">
        <f>"13914936497"</f>
        <v>13914936497</v>
      </c>
      <c r="C26887" t="str">
        <f>"340824198901246817"</f>
        <v>340824198901246817</v>
      </c>
      <c r="D26887" t="s">
        <v>24715</v>
      </c>
      <c r="E26887" t="s">
        <v>24716</v>
      </c>
      <c r="F26887" t="s">
        <v>0</v>
      </c>
      <c r="G26887" t="str">
        <f>"2018-10-05 12:24:06"</f>
        <v>2018-10-05 12:24:06</v>
      </c>
    </row>
    <row r="26888" spans="1:7" x14ac:dyDescent="0.2">
      <c r="A26888" t="s">
        <v>24717</v>
      </c>
      <c r="B26888" t="str">
        <f>"18679481121"</f>
        <v>18679481121</v>
      </c>
      <c r="C26888" t="str">
        <f>"362502199111212052"</f>
        <v>362502199111212052</v>
      </c>
      <c r="D26888" t="s">
        <v>24718</v>
      </c>
      <c r="E26888" t="s">
        <v>24719</v>
      </c>
      <c r="F26888" t="s">
        <v>0</v>
      </c>
      <c r="G26888" t="str">
        <f>"2018-10-12 19:06:03"</f>
        <v>2018-10-12 19:06:03</v>
      </c>
    </row>
    <row r="26889" spans="1:7" x14ac:dyDescent="0.2">
      <c r="A26889" t="s">
        <v>1</v>
      </c>
      <c r="B26889" t="str">
        <f>"18304343056"</f>
        <v>18304343056</v>
      </c>
      <c r="C26889" t="s">
        <v>1</v>
      </c>
      <c r="D26889" t="s">
        <v>1</v>
      </c>
      <c r="E26889" t="s">
        <v>1</v>
      </c>
      <c r="F26889" t="s">
        <v>0</v>
      </c>
      <c r="G26889" t="str">
        <f>"2018-10-05 12:20:10"</f>
        <v>2018-10-05 12:20:10</v>
      </c>
    </row>
    <row r="26890" spans="1:7" x14ac:dyDescent="0.2">
      <c r="A26890" t="s">
        <v>24720</v>
      </c>
      <c r="B26890" t="str">
        <f>"13911363420"</f>
        <v>13911363420</v>
      </c>
      <c r="C26890" t="str">
        <f>"110223198501260028"</f>
        <v>110223198501260028</v>
      </c>
      <c r="D26890" t="s">
        <v>1</v>
      </c>
      <c r="E26890" t="s">
        <v>1</v>
      </c>
      <c r="F26890" t="s">
        <v>0</v>
      </c>
      <c r="G26890" t="str">
        <f>"2018-10-05 12:23:46"</f>
        <v>2018-10-05 12:23:46</v>
      </c>
    </row>
    <row r="26891" spans="1:7" x14ac:dyDescent="0.2">
      <c r="A26891" t="s">
        <v>24721</v>
      </c>
      <c r="B26891" t="str">
        <f>"13581104681"</f>
        <v>13581104681</v>
      </c>
      <c r="C26891" t="str">
        <f>"370724198505172094"</f>
        <v>370724198505172094</v>
      </c>
      <c r="D26891" t="s">
        <v>1</v>
      </c>
      <c r="E26891" t="s">
        <v>1</v>
      </c>
      <c r="F26891" t="s">
        <v>0</v>
      </c>
      <c r="G26891" t="str">
        <f>"2018-10-05 12:20:45"</f>
        <v>2018-10-05 12:20:45</v>
      </c>
    </row>
    <row r="26892" spans="1:7" x14ac:dyDescent="0.2">
      <c r="A26892" t="s">
        <v>24722</v>
      </c>
      <c r="B26892" t="str">
        <f>"18502879528"</f>
        <v>18502879528</v>
      </c>
      <c r="C26892" t="str">
        <f>"511321199805285024"</f>
        <v>511321199805285024</v>
      </c>
      <c r="D26892" t="s">
        <v>24723</v>
      </c>
      <c r="E26892" t="s">
        <v>24724</v>
      </c>
      <c r="F26892" t="s">
        <v>0</v>
      </c>
      <c r="G26892" t="str">
        <f>"2018-10-05 16:21:19"</f>
        <v>2018-10-05 16:21:19</v>
      </c>
    </row>
    <row r="26893" spans="1:7" x14ac:dyDescent="0.2">
      <c r="A26893" t="s">
        <v>1</v>
      </c>
      <c r="B26893" t="str">
        <f>"17355743715"</f>
        <v>17355743715</v>
      </c>
      <c r="C26893" t="s">
        <v>1</v>
      </c>
      <c r="D26893" t="s">
        <v>1</v>
      </c>
      <c r="E26893" t="s">
        <v>1</v>
      </c>
      <c r="F26893" t="s">
        <v>0</v>
      </c>
      <c r="G26893" t="str">
        <f>"2018-10-05 12:18:05"</f>
        <v>2018-10-05 12:18:05</v>
      </c>
    </row>
    <row r="26894" spans="1:7" x14ac:dyDescent="0.2">
      <c r="A26894" t="s">
        <v>24725</v>
      </c>
      <c r="B26894" t="str">
        <f>"18904715224"</f>
        <v>18904715224</v>
      </c>
      <c r="C26894" t="str">
        <f>"150123198208053013"</f>
        <v>150123198208053013</v>
      </c>
      <c r="D26894" t="s">
        <v>24726</v>
      </c>
      <c r="E26894" t="s">
        <v>24727</v>
      </c>
      <c r="F26894" t="s">
        <v>0</v>
      </c>
      <c r="G26894" t="str">
        <f>"2018-10-22 18:15:38"</f>
        <v>2018-10-22 18:15:38</v>
      </c>
    </row>
    <row r="26895" spans="1:7" x14ac:dyDescent="0.2">
      <c r="A26895" t="s">
        <v>1</v>
      </c>
      <c r="B26895" t="str">
        <f>"13667883597"</f>
        <v>13667883597</v>
      </c>
      <c r="C26895" t="s">
        <v>1</v>
      </c>
      <c r="D26895" t="s">
        <v>1</v>
      </c>
      <c r="E26895" t="s">
        <v>1</v>
      </c>
      <c r="F26895" t="s">
        <v>0</v>
      </c>
      <c r="G26895" t="str">
        <f>"2018-10-05 12:16:37"</f>
        <v>2018-10-05 12:16:37</v>
      </c>
    </row>
    <row r="26896" spans="1:7" x14ac:dyDescent="0.2">
      <c r="A26896" t="s">
        <v>1</v>
      </c>
      <c r="B26896" t="str">
        <f>"15251470543"</f>
        <v>15251470543</v>
      </c>
      <c r="C26896" t="s">
        <v>1</v>
      </c>
      <c r="D26896" t="s">
        <v>1</v>
      </c>
      <c r="E26896" t="s">
        <v>1</v>
      </c>
      <c r="F26896" t="s">
        <v>0</v>
      </c>
      <c r="G26896" t="str">
        <f>"2018-10-05 12:16:29"</f>
        <v>2018-10-05 12:16:29</v>
      </c>
    </row>
    <row r="26897" spans="1:7" x14ac:dyDescent="0.2">
      <c r="A26897" t="s">
        <v>1</v>
      </c>
      <c r="B26897" t="str">
        <f>"18068269215"</f>
        <v>18068269215</v>
      </c>
      <c r="C26897" t="s">
        <v>1</v>
      </c>
      <c r="D26897" t="s">
        <v>1</v>
      </c>
      <c r="E26897" t="s">
        <v>1</v>
      </c>
      <c r="F26897" t="s">
        <v>0</v>
      </c>
      <c r="G26897" t="str">
        <f>"2018-10-05 12:16:01"</f>
        <v>2018-10-05 12:16:01</v>
      </c>
    </row>
    <row r="26898" spans="1:7" x14ac:dyDescent="0.2">
      <c r="A26898" t="s">
        <v>24728</v>
      </c>
      <c r="B26898" t="str">
        <f>"18995061358"</f>
        <v>18995061358</v>
      </c>
      <c r="C26898" t="str">
        <f>"64210319820905298X"</f>
        <v>64210319820905298X</v>
      </c>
      <c r="D26898" t="s">
        <v>1</v>
      </c>
      <c r="E26898" t="s">
        <v>1</v>
      </c>
      <c r="F26898" t="s">
        <v>0</v>
      </c>
      <c r="G26898" t="str">
        <f>"2018-11-03 15:51:50"</f>
        <v>2018-11-03 15:51:50</v>
      </c>
    </row>
    <row r="26899" spans="1:7" x14ac:dyDescent="0.2">
      <c r="A26899" t="s">
        <v>24729</v>
      </c>
      <c r="B26899" t="str">
        <f>"13976905552"</f>
        <v>13976905552</v>
      </c>
      <c r="C26899" t="str">
        <f>"460100197611210617"</f>
        <v>460100197611210617</v>
      </c>
      <c r="D26899" t="s">
        <v>1</v>
      </c>
      <c r="E26899" t="s">
        <v>1</v>
      </c>
      <c r="F26899" t="s">
        <v>0</v>
      </c>
      <c r="G26899" t="str">
        <f>"2018-10-05 12:17:12"</f>
        <v>2018-10-05 12:17:12</v>
      </c>
    </row>
    <row r="26900" spans="1:7" x14ac:dyDescent="0.2">
      <c r="A26900" t="s">
        <v>1012</v>
      </c>
      <c r="B26900" t="str">
        <f>"15899612023"</f>
        <v>15899612023</v>
      </c>
      <c r="C26900" t="str">
        <f>"360724199111104526"</f>
        <v>360724199111104526</v>
      </c>
      <c r="D26900" t="s">
        <v>1</v>
      </c>
      <c r="E26900" t="s">
        <v>1</v>
      </c>
      <c r="F26900" t="s">
        <v>0</v>
      </c>
      <c r="G26900" t="str">
        <f>"2018-10-05 12:17:57"</f>
        <v>2018-10-05 12:17:57</v>
      </c>
    </row>
    <row r="26901" spans="1:7" x14ac:dyDescent="0.2">
      <c r="A26901" t="s">
        <v>1</v>
      </c>
      <c r="B26901" t="str">
        <f>"13016813905"</f>
        <v>13016813905</v>
      </c>
      <c r="C26901" t="s">
        <v>1</v>
      </c>
      <c r="D26901" t="s">
        <v>1</v>
      </c>
      <c r="E26901" t="s">
        <v>1</v>
      </c>
      <c r="F26901" t="s">
        <v>0</v>
      </c>
      <c r="G26901" t="str">
        <f>"2018-10-05 12:14:39"</f>
        <v>2018-10-05 12:14:39</v>
      </c>
    </row>
    <row r="26902" spans="1:7" x14ac:dyDescent="0.2">
      <c r="A26902" t="s">
        <v>1</v>
      </c>
      <c r="B26902" t="str">
        <f>"13612068861"</f>
        <v>13612068861</v>
      </c>
      <c r="C26902" t="s">
        <v>1</v>
      </c>
      <c r="D26902" t="s">
        <v>1</v>
      </c>
      <c r="E26902" t="s">
        <v>1</v>
      </c>
      <c r="F26902" t="s">
        <v>0</v>
      </c>
      <c r="G26902" t="str">
        <f>"2018-10-05 12:14:28"</f>
        <v>2018-10-05 12:14:28</v>
      </c>
    </row>
    <row r="26903" spans="1:7" x14ac:dyDescent="0.2">
      <c r="A26903" t="s">
        <v>1</v>
      </c>
      <c r="B26903" t="str">
        <f>"15164008936"</f>
        <v>15164008936</v>
      </c>
      <c r="C26903" t="s">
        <v>1</v>
      </c>
      <c r="D26903" t="s">
        <v>1</v>
      </c>
      <c r="E26903" t="s">
        <v>1</v>
      </c>
      <c r="F26903" t="s">
        <v>0</v>
      </c>
      <c r="G26903" t="str">
        <f>"2018-10-05 12:13:52"</f>
        <v>2018-10-05 12:13:52</v>
      </c>
    </row>
    <row r="26904" spans="1:7" x14ac:dyDescent="0.2">
      <c r="A26904" t="s">
        <v>24730</v>
      </c>
      <c r="B26904" t="str">
        <f>"15857811132"</f>
        <v>15857811132</v>
      </c>
      <c r="C26904" t="str">
        <f>"53212819980120319X"</f>
        <v>53212819980120319X</v>
      </c>
      <c r="D26904" t="s">
        <v>1</v>
      </c>
      <c r="E26904" t="s">
        <v>1</v>
      </c>
      <c r="F26904" t="s">
        <v>0</v>
      </c>
      <c r="G26904" t="str">
        <f>"2018-10-05 12:14:53"</f>
        <v>2018-10-05 12:14:53</v>
      </c>
    </row>
    <row r="26905" spans="1:7" x14ac:dyDescent="0.2">
      <c r="A26905" t="s">
        <v>1</v>
      </c>
      <c r="B26905" t="str">
        <f>"18076322327"</f>
        <v>18076322327</v>
      </c>
      <c r="C26905" t="s">
        <v>1</v>
      </c>
      <c r="D26905" t="s">
        <v>1</v>
      </c>
      <c r="E26905" t="s">
        <v>1</v>
      </c>
      <c r="F26905" t="s">
        <v>0</v>
      </c>
      <c r="G26905" t="str">
        <f>"2018-10-05 12:13:18"</f>
        <v>2018-10-05 12:13:18</v>
      </c>
    </row>
    <row r="26906" spans="1:7" x14ac:dyDescent="0.2">
      <c r="A26906" t="s">
        <v>1</v>
      </c>
      <c r="B26906" t="str">
        <f>"17647376620"</f>
        <v>17647376620</v>
      </c>
      <c r="C26906" t="s">
        <v>1</v>
      </c>
      <c r="D26906" t="s">
        <v>1</v>
      </c>
      <c r="E26906" t="s">
        <v>1</v>
      </c>
      <c r="F26906" t="s">
        <v>0</v>
      </c>
      <c r="G26906" t="str">
        <f>"2018-10-05 12:49:23"</f>
        <v>2018-10-05 12:49:23</v>
      </c>
    </row>
    <row r="26907" spans="1:7" x14ac:dyDescent="0.2">
      <c r="A26907" t="s">
        <v>24731</v>
      </c>
      <c r="B26907" t="str">
        <f>"13871706256"</f>
        <v>13871706256</v>
      </c>
      <c r="C26907" t="str">
        <f>"420621199105068014"</f>
        <v>420621199105068014</v>
      </c>
      <c r="D26907" t="s">
        <v>1</v>
      </c>
      <c r="E26907" t="s">
        <v>1</v>
      </c>
      <c r="F26907" t="s">
        <v>0</v>
      </c>
      <c r="G26907" t="str">
        <f>"2018-10-05 12:21:09"</f>
        <v>2018-10-05 12:21:09</v>
      </c>
    </row>
    <row r="26908" spans="1:7" x14ac:dyDescent="0.2">
      <c r="A26908" t="s">
        <v>24732</v>
      </c>
      <c r="B26908" t="str">
        <f>"18649640658"</f>
        <v>18649640658</v>
      </c>
      <c r="C26908" t="str">
        <f>"350821199506091533"</f>
        <v>350821199506091533</v>
      </c>
      <c r="D26908" t="s">
        <v>1</v>
      </c>
      <c r="E26908" t="s">
        <v>1</v>
      </c>
      <c r="F26908" t="s">
        <v>0</v>
      </c>
      <c r="G26908" t="str">
        <f>"2018-10-05 12:14:41"</f>
        <v>2018-10-05 12:14:41</v>
      </c>
    </row>
    <row r="26909" spans="1:7" x14ac:dyDescent="0.2">
      <c r="A26909" t="s">
        <v>24733</v>
      </c>
      <c r="B26909" t="str">
        <f>"18107463316"</f>
        <v>18107463316</v>
      </c>
      <c r="C26909" t="str">
        <f>"432930197202039271"</f>
        <v>432930197202039271</v>
      </c>
      <c r="D26909" t="s">
        <v>1</v>
      </c>
      <c r="E26909" t="s">
        <v>1</v>
      </c>
      <c r="F26909" t="s">
        <v>0</v>
      </c>
      <c r="G26909" t="str">
        <f>"2018-10-05 12:13:33"</f>
        <v>2018-10-05 12:13:33</v>
      </c>
    </row>
    <row r="26910" spans="1:7" x14ac:dyDescent="0.2">
      <c r="A26910" t="s">
        <v>1</v>
      </c>
      <c r="B26910" t="str">
        <f>"13700194526"</f>
        <v>13700194526</v>
      </c>
      <c r="C26910" t="s">
        <v>1</v>
      </c>
      <c r="D26910" t="s">
        <v>1</v>
      </c>
      <c r="E26910" t="s">
        <v>1</v>
      </c>
      <c r="F26910" t="s">
        <v>0</v>
      </c>
      <c r="G26910" t="str">
        <f>"2018-10-05 12:11:46"</f>
        <v>2018-10-05 12:11:46</v>
      </c>
    </row>
    <row r="26911" spans="1:7" x14ac:dyDescent="0.2">
      <c r="A26911" t="s">
        <v>505</v>
      </c>
      <c r="B26911" t="str">
        <f>"13902003466"</f>
        <v>13902003466</v>
      </c>
      <c r="C26911" t="str">
        <f>"120110199009040938"</f>
        <v>120110199009040938</v>
      </c>
      <c r="D26911" t="s">
        <v>1</v>
      </c>
      <c r="E26911" t="s">
        <v>1</v>
      </c>
      <c r="F26911" t="s">
        <v>0</v>
      </c>
      <c r="G26911" t="str">
        <f>"2018-10-05 12:15:51"</f>
        <v>2018-10-05 12:15:51</v>
      </c>
    </row>
    <row r="26912" spans="1:7" x14ac:dyDescent="0.2">
      <c r="A26912" t="s">
        <v>1</v>
      </c>
      <c r="B26912" t="str">
        <f>"18969036092"</f>
        <v>18969036092</v>
      </c>
      <c r="C26912" t="s">
        <v>1</v>
      </c>
      <c r="D26912" t="s">
        <v>1</v>
      </c>
      <c r="E26912" t="s">
        <v>1</v>
      </c>
      <c r="F26912" t="s">
        <v>0</v>
      </c>
      <c r="G26912" t="str">
        <f>"2018-10-05 12:10:49"</f>
        <v>2018-10-05 12:10:49</v>
      </c>
    </row>
    <row r="26913" spans="1:7" x14ac:dyDescent="0.2">
      <c r="A26913" t="s">
        <v>1821</v>
      </c>
      <c r="B26913" t="str">
        <f>"15353228567"</f>
        <v>15353228567</v>
      </c>
      <c r="C26913" t="str">
        <f>"61020219900511281X"</f>
        <v>61020219900511281X</v>
      </c>
      <c r="D26913" t="s">
        <v>24734</v>
      </c>
      <c r="E26913" t="s">
        <v>24735</v>
      </c>
      <c r="F26913" t="s">
        <v>0</v>
      </c>
      <c r="G26913" t="str">
        <f>"2018-10-05 12:10:36"</f>
        <v>2018-10-05 12:10:36</v>
      </c>
    </row>
    <row r="26914" spans="1:7" x14ac:dyDescent="0.2">
      <c r="A26914" t="s">
        <v>24736</v>
      </c>
      <c r="B26914" t="str">
        <f>"13560215475"</f>
        <v>13560215475</v>
      </c>
      <c r="C26914" t="str">
        <f>"411121198703191554"</f>
        <v>411121198703191554</v>
      </c>
      <c r="D26914" t="s">
        <v>24737</v>
      </c>
      <c r="E26914" t="s">
        <v>24738</v>
      </c>
      <c r="F26914" t="s">
        <v>0</v>
      </c>
      <c r="G26914" t="str">
        <f>"2018-10-05 12:11:52"</f>
        <v>2018-10-05 12:11:52</v>
      </c>
    </row>
    <row r="26915" spans="1:7" x14ac:dyDescent="0.2">
      <c r="A26915" t="s">
        <v>24739</v>
      </c>
      <c r="B26915" t="str">
        <f>"13928303501"</f>
        <v>13928303501</v>
      </c>
      <c r="C26915" t="str">
        <f>"44130219821008001X"</f>
        <v>44130219821008001X</v>
      </c>
      <c r="D26915" t="s">
        <v>24740</v>
      </c>
      <c r="E26915" t="s">
        <v>24741</v>
      </c>
      <c r="F26915" t="s">
        <v>0</v>
      </c>
      <c r="G26915" t="str">
        <f>"2018-10-05 19:12:40"</f>
        <v>2018-10-05 19:12:40</v>
      </c>
    </row>
    <row r="26916" spans="1:7" x14ac:dyDescent="0.2">
      <c r="A26916" t="s">
        <v>1154</v>
      </c>
      <c r="B26916" t="str">
        <f>"18650182887"</f>
        <v>18650182887</v>
      </c>
      <c r="C26916" t="str">
        <f>"360430199207281114"</f>
        <v>360430199207281114</v>
      </c>
      <c r="D26916" t="s">
        <v>1</v>
      </c>
      <c r="E26916" t="s">
        <v>1</v>
      </c>
      <c r="F26916" t="s">
        <v>0</v>
      </c>
      <c r="G26916" t="str">
        <f>"2018-10-05 14:09:07"</f>
        <v>2018-10-05 14:09:07</v>
      </c>
    </row>
    <row r="26917" spans="1:7" x14ac:dyDescent="0.2">
      <c r="A26917" t="s">
        <v>19156</v>
      </c>
      <c r="B26917" t="str">
        <f>"15206015911"</f>
        <v>15206015911</v>
      </c>
      <c r="C26917" t="str">
        <f>"350825198812114124"</f>
        <v>350825198812114124</v>
      </c>
      <c r="D26917" t="s">
        <v>1</v>
      </c>
      <c r="E26917" t="s">
        <v>1</v>
      </c>
      <c r="F26917" t="s">
        <v>0</v>
      </c>
      <c r="G26917" t="str">
        <f>"2018-10-05 12:09:43"</f>
        <v>2018-10-05 12:09:43</v>
      </c>
    </row>
    <row r="26918" spans="1:7" x14ac:dyDescent="0.2">
      <c r="A26918" t="s">
        <v>1</v>
      </c>
      <c r="B26918" t="str">
        <f>"13652148618"</f>
        <v>13652148618</v>
      </c>
      <c r="C26918" t="s">
        <v>1</v>
      </c>
      <c r="D26918" t="s">
        <v>1</v>
      </c>
      <c r="E26918" t="s">
        <v>1</v>
      </c>
      <c r="F26918" t="s">
        <v>0</v>
      </c>
      <c r="G26918" t="str">
        <f>"2018-10-05 12:07:15"</f>
        <v>2018-10-05 12:07:15</v>
      </c>
    </row>
    <row r="26919" spans="1:7" x14ac:dyDescent="0.2">
      <c r="A26919" t="s">
        <v>1</v>
      </c>
      <c r="B26919" t="str">
        <f>"18698510298"</f>
        <v>18698510298</v>
      </c>
      <c r="C26919" t="s">
        <v>1</v>
      </c>
      <c r="D26919" t="s">
        <v>1</v>
      </c>
      <c r="E26919" t="s">
        <v>1</v>
      </c>
      <c r="F26919" t="s">
        <v>0</v>
      </c>
      <c r="G26919" t="str">
        <f>"2018-10-21 15:29:12"</f>
        <v>2018-10-21 15:29:12</v>
      </c>
    </row>
    <row r="26920" spans="1:7" x14ac:dyDescent="0.2">
      <c r="A26920" t="s">
        <v>1</v>
      </c>
      <c r="B26920" t="str">
        <f>"13094023331"</f>
        <v>13094023331</v>
      </c>
      <c r="C26920" t="s">
        <v>1</v>
      </c>
      <c r="D26920" t="s">
        <v>1</v>
      </c>
      <c r="E26920" t="s">
        <v>1</v>
      </c>
      <c r="F26920" t="s">
        <v>0</v>
      </c>
      <c r="G26920" t="str">
        <f>"2018-10-05 12:06:07"</f>
        <v>2018-10-05 12:06:07</v>
      </c>
    </row>
    <row r="26921" spans="1:7" x14ac:dyDescent="0.2">
      <c r="A26921" t="s">
        <v>24742</v>
      </c>
      <c r="B26921" t="str">
        <f>"17716586658"</f>
        <v>17716586658</v>
      </c>
      <c r="C26921" t="str">
        <f>"13108119790616001X"</f>
        <v>13108119790616001X</v>
      </c>
      <c r="D26921" t="s">
        <v>24743</v>
      </c>
      <c r="E26921" t="s">
        <v>24744</v>
      </c>
      <c r="F26921" t="s">
        <v>0</v>
      </c>
      <c r="G26921" t="str">
        <f>"2018-10-05 12:12:26"</f>
        <v>2018-10-05 12:12:26</v>
      </c>
    </row>
    <row r="26922" spans="1:7" x14ac:dyDescent="0.2">
      <c r="A26922" t="s">
        <v>24745</v>
      </c>
      <c r="B26922" t="str">
        <f>"13409225677"</f>
        <v>13409225677</v>
      </c>
      <c r="C26922" t="str">
        <f>"410711199006280539"</f>
        <v>410711199006280539</v>
      </c>
      <c r="D26922" t="s">
        <v>24746</v>
      </c>
      <c r="E26922" t="s">
        <v>24747</v>
      </c>
      <c r="F26922" t="s">
        <v>0</v>
      </c>
      <c r="G26922" t="str">
        <f>"2018-10-05 12:16:52"</f>
        <v>2018-10-05 12:16:52</v>
      </c>
    </row>
    <row r="26923" spans="1:7" x14ac:dyDescent="0.2">
      <c r="A26923" t="s">
        <v>24748</v>
      </c>
      <c r="B26923" t="str">
        <f>"15050824750"</f>
        <v>15050824750</v>
      </c>
      <c r="C26923" t="str">
        <f>"320326198202285712"</f>
        <v>320326198202285712</v>
      </c>
      <c r="D26923" t="s">
        <v>24749</v>
      </c>
      <c r="E26923" t="s">
        <v>24750</v>
      </c>
      <c r="F26923" t="s">
        <v>0</v>
      </c>
      <c r="G26923" t="str">
        <f>"2018-10-05 13:01:31"</f>
        <v>2018-10-05 13:01:31</v>
      </c>
    </row>
    <row r="26924" spans="1:7" x14ac:dyDescent="0.2">
      <c r="A26924" t="s">
        <v>24751</v>
      </c>
      <c r="B26924" t="str">
        <f>"13457097952"</f>
        <v>13457097952</v>
      </c>
      <c r="C26924" t="str">
        <f>"452129198312040635"</f>
        <v>452129198312040635</v>
      </c>
      <c r="D26924" t="s">
        <v>1</v>
      </c>
      <c r="E26924" t="s">
        <v>1</v>
      </c>
      <c r="F26924" t="s">
        <v>0</v>
      </c>
      <c r="G26924" t="str">
        <f>"2018-10-07 09:18:09"</f>
        <v>2018-10-07 09:18:09</v>
      </c>
    </row>
    <row r="26925" spans="1:7" x14ac:dyDescent="0.2">
      <c r="A26925" t="s">
        <v>1</v>
      </c>
      <c r="B26925" t="str">
        <f>"13097421238"</f>
        <v>13097421238</v>
      </c>
      <c r="C26925" t="s">
        <v>1</v>
      </c>
      <c r="D26925" t="s">
        <v>1</v>
      </c>
      <c r="E26925" t="s">
        <v>1</v>
      </c>
      <c r="F26925" t="s">
        <v>0</v>
      </c>
      <c r="G26925" t="str">
        <f>"2018-10-05 12:04:49"</f>
        <v>2018-10-05 12:04:49</v>
      </c>
    </row>
    <row r="26926" spans="1:7" x14ac:dyDescent="0.2">
      <c r="A26926" t="s">
        <v>24752</v>
      </c>
      <c r="B26926" t="str">
        <f>"15507454075"</f>
        <v>15507454075</v>
      </c>
      <c r="C26926" t="str">
        <f>"433026197901041810"</f>
        <v>433026197901041810</v>
      </c>
      <c r="D26926" t="s">
        <v>24753</v>
      </c>
      <c r="E26926" t="s">
        <v>24754</v>
      </c>
      <c r="F26926" t="s">
        <v>0</v>
      </c>
      <c r="G26926" t="str">
        <f>"2018-10-05 12:46:05"</f>
        <v>2018-10-05 12:46:05</v>
      </c>
    </row>
    <row r="26927" spans="1:7" x14ac:dyDescent="0.2">
      <c r="A26927" t="s">
        <v>1</v>
      </c>
      <c r="B26927" t="str">
        <f>"17696061239"</f>
        <v>17696061239</v>
      </c>
      <c r="C26927" t="s">
        <v>1</v>
      </c>
      <c r="D26927" t="s">
        <v>1</v>
      </c>
      <c r="E26927" t="s">
        <v>1</v>
      </c>
      <c r="F26927" t="s">
        <v>0</v>
      </c>
      <c r="G26927" t="str">
        <f>"2018-10-05 12:52:58"</f>
        <v>2018-10-05 12:52:58</v>
      </c>
    </row>
    <row r="26928" spans="1:7" x14ac:dyDescent="0.2">
      <c r="A26928" t="s">
        <v>1</v>
      </c>
      <c r="B26928" t="str">
        <f>"18679383385"</f>
        <v>18679383385</v>
      </c>
      <c r="C26928" t="s">
        <v>1</v>
      </c>
      <c r="D26928" t="s">
        <v>1</v>
      </c>
      <c r="E26928" t="s">
        <v>1</v>
      </c>
      <c r="F26928" t="s">
        <v>0</v>
      </c>
      <c r="G26928" t="str">
        <f>"2018-10-05 12:02:55"</f>
        <v>2018-10-05 12:02:55</v>
      </c>
    </row>
    <row r="26929" spans="1:7" x14ac:dyDescent="0.2">
      <c r="A26929" t="s">
        <v>1264</v>
      </c>
      <c r="B26929" t="str">
        <f>"13866733585"</f>
        <v>13866733585</v>
      </c>
      <c r="C26929" t="str">
        <f>"340404198709230834"</f>
        <v>340404198709230834</v>
      </c>
      <c r="D26929" t="s">
        <v>1</v>
      </c>
      <c r="E26929" t="s">
        <v>1</v>
      </c>
      <c r="F26929" t="s">
        <v>0</v>
      </c>
      <c r="G26929" t="str">
        <f>"2018-10-11 11:56:11"</f>
        <v>2018-10-11 11:56:11</v>
      </c>
    </row>
    <row r="26930" spans="1:7" x14ac:dyDescent="0.2">
      <c r="A26930" t="s">
        <v>24755</v>
      </c>
      <c r="B26930" t="str">
        <f>"18566033646"</f>
        <v>18566033646</v>
      </c>
      <c r="C26930" t="str">
        <f>"231081199710290616"</f>
        <v>231081199710290616</v>
      </c>
      <c r="D26930" t="s">
        <v>1</v>
      </c>
      <c r="E26930" t="s">
        <v>1</v>
      </c>
      <c r="F26930" t="s">
        <v>0</v>
      </c>
      <c r="G26930" t="str">
        <f>"2018-10-05 12:10:17"</f>
        <v>2018-10-05 12:10:17</v>
      </c>
    </row>
    <row r="26931" spans="1:7" x14ac:dyDescent="0.2">
      <c r="A26931" t="s">
        <v>24756</v>
      </c>
      <c r="B26931" t="str">
        <f>"18583287001"</f>
        <v>18583287001</v>
      </c>
      <c r="C26931" t="str">
        <f>"510823199404220018"</f>
        <v>510823199404220018</v>
      </c>
      <c r="D26931" t="s">
        <v>1</v>
      </c>
      <c r="E26931" t="s">
        <v>1</v>
      </c>
      <c r="F26931" t="s">
        <v>0</v>
      </c>
      <c r="G26931" t="str">
        <f>"2018-10-05 12:04:09"</f>
        <v>2018-10-05 12:04:09</v>
      </c>
    </row>
    <row r="26932" spans="1:7" x14ac:dyDescent="0.2">
      <c r="A26932" t="s">
        <v>1</v>
      </c>
      <c r="B26932" t="str">
        <f>"17677240152"</f>
        <v>17677240152</v>
      </c>
      <c r="C26932" t="s">
        <v>1</v>
      </c>
      <c r="D26932" t="s">
        <v>1</v>
      </c>
      <c r="E26932" t="s">
        <v>1</v>
      </c>
      <c r="F26932" t="s">
        <v>0</v>
      </c>
      <c r="G26932" t="str">
        <f>"2018-10-05 12:02:39"</f>
        <v>2018-10-05 12:02:39</v>
      </c>
    </row>
    <row r="26933" spans="1:7" x14ac:dyDescent="0.2">
      <c r="A26933" t="s">
        <v>24757</v>
      </c>
      <c r="B26933" t="str">
        <f>"13921602733"</f>
        <v>13921602733</v>
      </c>
      <c r="C26933" t="str">
        <f>"320602197205010029"</f>
        <v>320602197205010029</v>
      </c>
      <c r="D26933" t="s">
        <v>1</v>
      </c>
      <c r="E26933" t="s">
        <v>1</v>
      </c>
      <c r="F26933" t="s">
        <v>0</v>
      </c>
      <c r="G26933" t="str">
        <f>"2018-10-05 13:05:30"</f>
        <v>2018-10-05 13:05:30</v>
      </c>
    </row>
    <row r="26934" spans="1:7" x14ac:dyDescent="0.2">
      <c r="A26934" t="s">
        <v>1</v>
      </c>
      <c r="B26934" t="str">
        <f>"17708951312"</f>
        <v>17708951312</v>
      </c>
      <c r="C26934" t="s">
        <v>1</v>
      </c>
      <c r="D26934" t="s">
        <v>1</v>
      </c>
      <c r="E26934" t="s">
        <v>1</v>
      </c>
      <c r="F26934" t="s">
        <v>0</v>
      </c>
      <c r="G26934" t="str">
        <f>"2018-10-05 12:00:30"</f>
        <v>2018-10-05 12:00:30</v>
      </c>
    </row>
    <row r="26935" spans="1:7" x14ac:dyDescent="0.2">
      <c r="A26935" t="s">
        <v>1</v>
      </c>
      <c r="B26935" t="str">
        <f>"17737172765"</f>
        <v>17737172765</v>
      </c>
      <c r="C26935" t="s">
        <v>1</v>
      </c>
      <c r="D26935" t="s">
        <v>1</v>
      </c>
      <c r="E26935" t="s">
        <v>1</v>
      </c>
      <c r="F26935" t="s">
        <v>0</v>
      </c>
      <c r="G26935" t="str">
        <f>"2018-10-05 12:00:25"</f>
        <v>2018-10-05 12:00:25</v>
      </c>
    </row>
    <row r="26936" spans="1:7" x14ac:dyDescent="0.2">
      <c r="A26936" t="s">
        <v>24758</v>
      </c>
      <c r="B26936" t="str">
        <f>"18069368636"</f>
        <v>18069368636</v>
      </c>
      <c r="C26936" t="str">
        <f>"370502198811145618"</f>
        <v>370502198811145618</v>
      </c>
      <c r="D26936" t="s">
        <v>24759</v>
      </c>
      <c r="E26936" t="s">
        <v>24760</v>
      </c>
      <c r="F26936" t="s">
        <v>0</v>
      </c>
      <c r="G26936" t="str">
        <f>"2018-10-05 17:16:22"</f>
        <v>2018-10-05 17:16:22</v>
      </c>
    </row>
    <row r="26937" spans="1:7" x14ac:dyDescent="0.2">
      <c r="A26937" t="s">
        <v>24761</v>
      </c>
      <c r="B26937" t="str">
        <f>"13271190050"</f>
        <v>13271190050</v>
      </c>
      <c r="C26937" t="str">
        <f>"41100219900315201X"</f>
        <v>41100219900315201X</v>
      </c>
      <c r="D26937" t="s">
        <v>24762</v>
      </c>
      <c r="E26937" t="s">
        <v>24763</v>
      </c>
      <c r="F26937" t="s">
        <v>0</v>
      </c>
      <c r="G26937" t="str">
        <f>"2018-10-05 12:04:15"</f>
        <v>2018-10-05 12:04:15</v>
      </c>
    </row>
    <row r="26938" spans="1:7" x14ac:dyDescent="0.2">
      <c r="A26938" t="s">
        <v>1</v>
      </c>
      <c r="B26938" t="str">
        <f>"13204723833"</f>
        <v>13204723833</v>
      </c>
      <c r="C26938" t="s">
        <v>1</v>
      </c>
      <c r="D26938" t="s">
        <v>1</v>
      </c>
      <c r="E26938" t="s">
        <v>1</v>
      </c>
      <c r="F26938" t="s">
        <v>0</v>
      </c>
      <c r="G26938" t="str">
        <f>"2018-10-05 12:00:17"</f>
        <v>2018-10-05 12:00:17</v>
      </c>
    </row>
    <row r="26939" spans="1:7" x14ac:dyDescent="0.2">
      <c r="A26939" t="s">
        <v>1</v>
      </c>
      <c r="B26939" t="str">
        <f>"15005539533"</f>
        <v>15005539533</v>
      </c>
      <c r="C26939" t="s">
        <v>1</v>
      </c>
      <c r="D26939" t="s">
        <v>1</v>
      </c>
      <c r="E26939" t="s">
        <v>1</v>
      </c>
      <c r="F26939" t="s">
        <v>0</v>
      </c>
      <c r="G26939" t="str">
        <f>"2018-10-05 12:04:07"</f>
        <v>2018-10-05 12:04:07</v>
      </c>
    </row>
    <row r="26940" spans="1:7" x14ac:dyDescent="0.2">
      <c r="A26940" t="s">
        <v>1644</v>
      </c>
      <c r="B26940" t="str">
        <f>"17605982649"</f>
        <v>17605982649</v>
      </c>
      <c r="C26940" t="str">
        <f>"350481199303057516"</f>
        <v>350481199303057516</v>
      </c>
      <c r="D26940" t="s">
        <v>1</v>
      </c>
      <c r="E26940" t="s">
        <v>1</v>
      </c>
      <c r="F26940" t="s">
        <v>0</v>
      </c>
      <c r="G26940" t="str">
        <f>"2018-10-05 12:00:05"</f>
        <v>2018-10-05 12:00:05</v>
      </c>
    </row>
    <row r="26941" spans="1:7" x14ac:dyDescent="0.2">
      <c r="A26941" t="s">
        <v>1</v>
      </c>
      <c r="B26941" t="str">
        <f>"13296540719"</f>
        <v>13296540719</v>
      </c>
      <c r="C26941" t="s">
        <v>1</v>
      </c>
      <c r="D26941" t="s">
        <v>1</v>
      </c>
      <c r="E26941" t="s">
        <v>1</v>
      </c>
      <c r="F26941" t="s">
        <v>0</v>
      </c>
      <c r="G26941" t="str">
        <f>"2018-10-05 12:01:25"</f>
        <v>2018-10-05 12:01:25</v>
      </c>
    </row>
    <row r="26942" spans="1:7" x14ac:dyDescent="0.2">
      <c r="A26942" t="s">
        <v>24764</v>
      </c>
      <c r="B26942" t="str">
        <f>"15291947706"</f>
        <v>15291947706</v>
      </c>
      <c r="C26942" t="str">
        <f>"61272819870122045X"</f>
        <v>61272819870122045X</v>
      </c>
      <c r="D26942" t="s">
        <v>1</v>
      </c>
      <c r="E26942" t="s">
        <v>1</v>
      </c>
      <c r="F26942" t="s">
        <v>0</v>
      </c>
      <c r="G26942" t="str">
        <f>"2018-10-05 12:01:38"</f>
        <v>2018-10-05 12:01:38</v>
      </c>
    </row>
    <row r="26943" spans="1:7" x14ac:dyDescent="0.2">
      <c r="A26943" t="s">
        <v>1</v>
      </c>
      <c r="B26943" t="str">
        <f>"18833599971"</f>
        <v>18833599971</v>
      </c>
      <c r="C26943" t="s">
        <v>1</v>
      </c>
      <c r="D26943" t="s">
        <v>1</v>
      </c>
      <c r="E26943" t="s">
        <v>1</v>
      </c>
      <c r="F26943" t="s">
        <v>0</v>
      </c>
      <c r="G26943" t="str">
        <f>"2018-10-05 11:57:51"</f>
        <v>2018-10-05 11:57:51</v>
      </c>
    </row>
    <row r="26944" spans="1:7" x14ac:dyDescent="0.2">
      <c r="A26944" t="s">
        <v>1</v>
      </c>
      <c r="B26944" t="str">
        <f>"13274336177"</f>
        <v>13274336177</v>
      </c>
      <c r="C26944" t="s">
        <v>1</v>
      </c>
      <c r="D26944" t="s">
        <v>1</v>
      </c>
      <c r="E26944" t="s">
        <v>1</v>
      </c>
      <c r="F26944" t="s">
        <v>0</v>
      </c>
      <c r="G26944" t="str">
        <f>"2018-10-05 11:57:35"</f>
        <v>2018-10-05 11:57:35</v>
      </c>
    </row>
    <row r="26945" spans="1:7" x14ac:dyDescent="0.2">
      <c r="A26945" t="s">
        <v>1643</v>
      </c>
      <c r="B26945" t="str">
        <f>"18112118533"</f>
        <v>18112118533</v>
      </c>
      <c r="C26945" t="str">
        <f>"321182198503032234"</f>
        <v>321182198503032234</v>
      </c>
      <c r="D26945" t="s">
        <v>1</v>
      </c>
      <c r="E26945" t="s">
        <v>1</v>
      </c>
      <c r="F26945" t="s">
        <v>0</v>
      </c>
      <c r="G26945" t="str">
        <f>"2018-10-05 12:09:40"</f>
        <v>2018-10-05 12:09:40</v>
      </c>
    </row>
    <row r="26946" spans="1:7" x14ac:dyDescent="0.2">
      <c r="A26946" t="s">
        <v>24765</v>
      </c>
      <c r="B26946" t="str">
        <f>"15608067676"</f>
        <v>15608067676</v>
      </c>
      <c r="C26946" t="str">
        <f>"310110198404284431"</f>
        <v>310110198404284431</v>
      </c>
      <c r="D26946" t="s">
        <v>1</v>
      </c>
      <c r="E26946" t="s">
        <v>1</v>
      </c>
      <c r="F26946" t="s">
        <v>0</v>
      </c>
      <c r="G26946" t="str">
        <f>"2018-10-05 11:57:54"</f>
        <v>2018-10-05 11:57:54</v>
      </c>
    </row>
    <row r="26947" spans="1:7" x14ac:dyDescent="0.2">
      <c r="A26947" t="s">
        <v>24766</v>
      </c>
      <c r="B26947" t="str">
        <f>"13486955899"</f>
        <v>13486955899</v>
      </c>
      <c r="C26947" t="str">
        <f>"330721199608155412"</f>
        <v>330721199608155412</v>
      </c>
      <c r="D26947" t="s">
        <v>1</v>
      </c>
      <c r="E26947" t="s">
        <v>1</v>
      </c>
      <c r="F26947" t="s">
        <v>0</v>
      </c>
      <c r="G26947" t="str">
        <f>"2018-10-05 11:57:29"</f>
        <v>2018-10-05 11:57:29</v>
      </c>
    </row>
    <row r="26948" spans="1:7" x14ac:dyDescent="0.2">
      <c r="A26948" t="s">
        <v>52</v>
      </c>
      <c r="B26948" t="str">
        <f>"18622574682"</f>
        <v>18622574682</v>
      </c>
      <c r="C26948" t="str">
        <f>"120101198706062015"</f>
        <v>120101198706062015</v>
      </c>
      <c r="D26948" t="s">
        <v>1</v>
      </c>
      <c r="E26948" t="s">
        <v>1</v>
      </c>
      <c r="F26948" t="s">
        <v>0</v>
      </c>
      <c r="G26948" t="str">
        <f>"2018-10-26 13:20:00"</f>
        <v>2018-10-26 13:20:00</v>
      </c>
    </row>
    <row r="26949" spans="1:7" x14ac:dyDescent="0.2">
      <c r="A26949" t="s">
        <v>1</v>
      </c>
      <c r="B26949" t="str">
        <f>"18878488498"</f>
        <v>18878488498</v>
      </c>
      <c r="C26949" t="s">
        <v>1</v>
      </c>
      <c r="D26949" t="s">
        <v>1</v>
      </c>
      <c r="E26949" t="s">
        <v>1</v>
      </c>
      <c r="F26949" t="s">
        <v>0</v>
      </c>
      <c r="G26949" t="str">
        <f>"2018-10-05 11:55:10"</f>
        <v>2018-10-05 11:55:10</v>
      </c>
    </row>
    <row r="26950" spans="1:7" x14ac:dyDescent="0.2">
      <c r="A26950" t="s">
        <v>24767</v>
      </c>
      <c r="B26950" t="str">
        <f>"13324018486"</f>
        <v>13324018486</v>
      </c>
      <c r="C26950" t="str">
        <f>"511321199602187598"</f>
        <v>511321199602187598</v>
      </c>
      <c r="D26950" t="s">
        <v>1</v>
      </c>
      <c r="E26950" t="s">
        <v>1</v>
      </c>
      <c r="F26950" t="s">
        <v>0</v>
      </c>
      <c r="G26950" t="str">
        <f>"2018-10-05 11:58:55"</f>
        <v>2018-10-05 11:58:55</v>
      </c>
    </row>
    <row r="26951" spans="1:7" x14ac:dyDescent="0.2">
      <c r="A26951" t="s">
        <v>24768</v>
      </c>
      <c r="B26951" t="str">
        <f>"18674444277"</f>
        <v>18674444277</v>
      </c>
      <c r="C26951" t="str">
        <f>"430802197410191240"</f>
        <v>430802197410191240</v>
      </c>
      <c r="D26951" t="s">
        <v>1</v>
      </c>
      <c r="E26951" t="s">
        <v>1</v>
      </c>
      <c r="F26951" t="s">
        <v>0</v>
      </c>
      <c r="G26951" t="str">
        <f>"2018-10-05 11:56:27"</f>
        <v>2018-10-05 11:56:27</v>
      </c>
    </row>
    <row r="26952" spans="1:7" x14ac:dyDescent="0.2">
      <c r="A26952" t="s">
        <v>24769</v>
      </c>
      <c r="B26952" t="str">
        <f>"15825552875"</f>
        <v>15825552875</v>
      </c>
      <c r="C26952" t="str">
        <f>"330205196911232715"</f>
        <v>330205196911232715</v>
      </c>
      <c r="D26952" t="s">
        <v>1</v>
      </c>
      <c r="E26952" t="s">
        <v>1</v>
      </c>
      <c r="F26952" t="s">
        <v>0</v>
      </c>
      <c r="G26952" t="str">
        <f>"2018-10-05 12:54:27"</f>
        <v>2018-10-05 12:54:27</v>
      </c>
    </row>
    <row r="26953" spans="1:7" x14ac:dyDescent="0.2">
      <c r="A26953" t="s">
        <v>1</v>
      </c>
      <c r="B26953" t="str">
        <f>"13568966328"</f>
        <v>13568966328</v>
      </c>
      <c r="C26953" t="s">
        <v>1</v>
      </c>
      <c r="D26953" t="s">
        <v>1</v>
      </c>
      <c r="E26953" t="s">
        <v>1</v>
      </c>
      <c r="F26953" t="s">
        <v>0</v>
      </c>
      <c r="G26953" t="str">
        <f>"2018-10-05 11:54:35"</f>
        <v>2018-10-05 11:54:35</v>
      </c>
    </row>
    <row r="26954" spans="1:7" x14ac:dyDescent="0.2">
      <c r="A26954" t="s">
        <v>1808</v>
      </c>
      <c r="B26954" t="str">
        <f>"13015139172"</f>
        <v>13015139172</v>
      </c>
      <c r="C26954" t="str">
        <f>"152301198302046033"</f>
        <v>152301198302046033</v>
      </c>
      <c r="D26954" t="s">
        <v>1</v>
      </c>
      <c r="E26954" t="s">
        <v>1</v>
      </c>
      <c r="F26954" t="s">
        <v>0</v>
      </c>
      <c r="G26954" t="str">
        <f>"2018-10-05 11:53:48"</f>
        <v>2018-10-05 11:53:48</v>
      </c>
    </row>
    <row r="26955" spans="1:7" x14ac:dyDescent="0.2">
      <c r="A26955" t="s">
        <v>24770</v>
      </c>
      <c r="B26955" t="str">
        <f>"13939296721"</f>
        <v>13939296721</v>
      </c>
      <c r="C26955" t="str">
        <f>"410621199005192518"</f>
        <v>410621199005192518</v>
      </c>
      <c r="D26955" t="s">
        <v>1</v>
      </c>
      <c r="E26955" t="s">
        <v>1</v>
      </c>
      <c r="F26955" t="s">
        <v>0</v>
      </c>
      <c r="G26955" t="str">
        <f>"2018-10-05 11:53:34"</f>
        <v>2018-10-05 11:53:34</v>
      </c>
    </row>
    <row r="26956" spans="1:7" x14ac:dyDescent="0.2">
      <c r="A26956" t="s">
        <v>458</v>
      </c>
      <c r="B26956" t="str">
        <f>"18686508808"</f>
        <v>18686508808</v>
      </c>
      <c r="C26956" t="str">
        <f>"220102198104041225"</f>
        <v>220102198104041225</v>
      </c>
      <c r="D26956" t="s">
        <v>1</v>
      </c>
      <c r="E26956" t="s">
        <v>1</v>
      </c>
      <c r="F26956" t="s">
        <v>0</v>
      </c>
      <c r="G26956" t="str">
        <f>"2018-10-06 08:53:18"</f>
        <v>2018-10-06 08:53:18</v>
      </c>
    </row>
    <row r="26957" spans="1:7" x14ac:dyDescent="0.2">
      <c r="A26957" t="s">
        <v>24771</v>
      </c>
      <c r="B26957" t="str">
        <f>"18048117173"</f>
        <v>18048117173</v>
      </c>
      <c r="C26957" t="str">
        <f>"510824198510296130"</f>
        <v>510824198510296130</v>
      </c>
      <c r="D26957" t="s">
        <v>24772</v>
      </c>
      <c r="E26957" t="s">
        <v>24773</v>
      </c>
      <c r="F26957" t="s">
        <v>0</v>
      </c>
      <c r="G26957" t="str">
        <f>"2018-10-05 11:53:26"</f>
        <v>2018-10-05 11:53:26</v>
      </c>
    </row>
    <row r="26958" spans="1:7" x14ac:dyDescent="0.2">
      <c r="A26958" t="s">
        <v>1</v>
      </c>
      <c r="B26958" t="str">
        <f>"15581730808"</f>
        <v>15581730808</v>
      </c>
      <c r="C26958" t="s">
        <v>1</v>
      </c>
      <c r="D26958" t="s">
        <v>1</v>
      </c>
      <c r="E26958" t="s">
        <v>1</v>
      </c>
      <c r="F26958" t="s">
        <v>0</v>
      </c>
      <c r="G26958" t="str">
        <f>"2018-10-05 11:54:52"</f>
        <v>2018-10-05 11:54:52</v>
      </c>
    </row>
    <row r="26959" spans="1:7" x14ac:dyDescent="0.2">
      <c r="A26959" t="s">
        <v>24774</v>
      </c>
      <c r="B26959" t="str">
        <f>"15956313657"</f>
        <v>15956313657</v>
      </c>
      <c r="C26959" t="str">
        <f>"342522199807031219"</f>
        <v>342522199807031219</v>
      </c>
      <c r="D26959" t="s">
        <v>1</v>
      </c>
      <c r="E26959" t="s">
        <v>1</v>
      </c>
      <c r="F26959" t="s">
        <v>0</v>
      </c>
      <c r="G26959" t="str">
        <f>"2018-10-05 11:52:45"</f>
        <v>2018-10-05 11:52:45</v>
      </c>
    </row>
    <row r="26960" spans="1:7" x14ac:dyDescent="0.2">
      <c r="A26960" t="s">
        <v>24775</v>
      </c>
      <c r="B26960" t="str">
        <f>"18626483013"</f>
        <v>18626483013</v>
      </c>
      <c r="C26960" t="str">
        <f>"320803200004083629"</f>
        <v>320803200004083629</v>
      </c>
      <c r="D26960" t="s">
        <v>24776</v>
      </c>
      <c r="E26960" t="s">
        <v>24777</v>
      </c>
      <c r="F26960" t="s">
        <v>0</v>
      </c>
      <c r="G26960" t="str">
        <f>"2018-10-05 12:00:07"</f>
        <v>2018-10-05 12:00:07</v>
      </c>
    </row>
    <row r="26961" spans="1:7" x14ac:dyDescent="0.2">
      <c r="A26961" t="s">
        <v>24778</v>
      </c>
      <c r="B26961" t="str">
        <f>"18077788589"</f>
        <v>18077788589</v>
      </c>
      <c r="C26961" t="str">
        <f>"452824197006166813"</f>
        <v>452824197006166813</v>
      </c>
      <c r="D26961" t="s">
        <v>1</v>
      </c>
      <c r="E26961" t="s">
        <v>1</v>
      </c>
      <c r="F26961" t="s">
        <v>0</v>
      </c>
      <c r="G26961" t="str">
        <f>"2018-10-05 11:57:15"</f>
        <v>2018-10-05 11:57:15</v>
      </c>
    </row>
    <row r="26962" spans="1:7" x14ac:dyDescent="0.2">
      <c r="A26962" t="s">
        <v>24779</v>
      </c>
      <c r="B26962" t="str">
        <f>"18608359359"</f>
        <v>18608359359</v>
      </c>
      <c r="C26962" t="str">
        <f>"51018319811106393X"</f>
        <v>51018319811106393X</v>
      </c>
      <c r="D26962" t="s">
        <v>1</v>
      </c>
      <c r="E26962" t="s">
        <v>1</v>
      </c>
      <c r="F26962" t="s">
        <v>0</v>
      </c>
      <c r="G26962" t="str">
        <f>"2018-10-05 11:53:08"</f>
        <v>2018-10-05 11:53:08</v>
      </c>
    </row>
    <row r="26963" spans="1:7" x14ac:dyDescent="0.2">
      <c r="A26963" t="s">
        <v>24780</v>
      </c>
      <c r="B26963" t="str">
        <f>"13411111844"</f>
        <v>13411111844</v>
      </c>
      <c r="C26963" t="str">
        <f>"440203198807201814"</f>
        <v>440203198807201814</v>
      </c>
      <c r="D26963" t="s">
        <v>1</v>
      </c>
      <c r="E26963" t="s">
        <v>1</v>
      </c>
      <c r="F26963" t="s">
        <v>0</v>
      </c>
      <c r="G26963" t="str">
        <f>"2018-10-05 11:52:29"</f>
        <v>2018-10-05 11:52:29</v>
      </c>
    </row>
    <row r="26964" spans="1:7" x14ac:dyDescent="0.2">
      <c r="A26964" t="s">
        <v>24781</v>
      </c>
      <c r="B26964" t="str">
        <f>"18735968515"</f>
        <v>18735968515</v>
      </c>
      <c r="C26964" t="str">
        <f>"142724199106101938"</f>
        <v>142724199106101938</v>
      </c>
      <c r="D26964" t="s">
        <v>1</v>
      </c>
      <c r="E26964" t="s">
        <v>1</v>
      </c>
      <c r="F26964" t="s">
        <v>0</v>
      </c>
      <c r="G26964" t="str">
        <f>"2018-10-05 11:54:34"</f>
        <v>2018-10-05 11:54:34</v>
      </c>
    </row>
    <row r="26965" spans="1:7" x14ac:dyDescent="0.2">
      <c r="A26965" t="s">
        <v>24782</v>
      </c>
      <c r="B26965" t="str">
        <f>"15029590227"</f>
        <v>15029590227</v>
      </c>
      <c r="C26965" t="str">
        <f>"612426199101030025"</f>
        <v>612426199101030025</v>
      </c>
      <c r="D26965" t="s">
        <v>1</v>
      </c>
      <c r="E26965" t="s">
        <v>1</v>
      </c>
      <c r="F26965" t="s">
        <v>0</v>
      </c>
      <c r="G26965" t="str">
        <f>"2018-10-05 11:52:27"</f>
        <v>2018-10-05 11:52:27</v>
      </c>
    </row>
    <row r="26966" spans="1:7" x14ac:dyDescent="0.2">
      <c r="A26966" t="s">
        <v>1</v>
      </c>
      <c r="B26966" t="str">
        <f>"13637765783"</f>
        <v>13637765783</v>
      </c>
      <c r="C26966" t="s">
        <v>1</v>
      </c>
      <c r="D26966" t="s">
        <v>1</v>
      </c>
      <c r="E26966" t="s">
        <v>1</v>
      </c>
      <c r="F26966" t="s">
        <v>0</v>
      </c>
      <c r="G26966" t="str">
        <f>"2018-10-05 11:50:44"</f>
        <v>2018-10-05 11:50:44</v>
      </c>
    </row>
    <row r="26967" spans="1:7" x14ac:dyDescent="0.2">
      <c r="A26967" t="s">
        <v>1</v>
      </c>
      <c r="B26967" t="str">
        <f>"13003086997"</f>
        <v>13003086997</v>
      </c>
      <c r="C26967" t="s">
        <v>1</v>
      </c>
      <c r="D26967" t="s">
        <v>1</v>
      </c>
      <c r="E26967" t="s">
        <v>1</v>
      </c>
      <c r="F26967" t="s">
        <v>0</v>
      </c>
      <c r="G26967" t="str">
        <f>"2018-10-05 11:50:30"</f>
        <v>2018-10-05 11:50:30</v>
      </c>
    </row>
    <row r="26968" spans="1:7" x14ac:dyDescent="0.2">
      <c r="A26968" t="s">
        <v>24783</v>
      </c>
      <c r="B26968" t="str">
        <f>"13680423304"</f>
        <v>13680423304</v>
      </c>
      <c r="C26968" t="str">
        <f>"440781199302113510"</f>
        <v>440781199302113510</v>
      </c>
      <c r="D26968" t="s">
        <v>1</v>
      </c>
      <c r="E26968" t="s">
        <v>1</v>
      </c>
      <c r="F26968" t="s">
        <v>0</v>
      </c>
      <c r="G26968" t="str">
        <f>"2018-10-05 11:52:34"</f>
        <v>2018-10-05 11:52:34</v>
      </c>
    </row>
    <row r="26969" spans="1:7" x14ac:dyDescent="0.2">
      <c r="A26969" t="s">
        <v>24784</v>
      </c>
      <c r="B26969" t="str">
        <f>"17735953155"</f>
        <v>17735953155</v>
      </c>
      <c r="C26969" t="str">
        <f>"142724197704243515"</f>
        <v>142724197704243515</v>
      </c>
      <c r="D26969" t="s">
        <v>24785</v>
      </c>
      <c r="E26969" t="s">
        <v>24786</v>
      </c>
      <c r="F26969" t="s">
        <v>0</v>
      </c>
      <c r="G26969" t="str">
        <f>"2018-10-05 11:50:21"</f>
        <v>2018-10-05 11:50:21</v>
      </c>
    </row>
    <row r="26970" spans="1:7" x14ac:dyDescent="0.2">
      <c r="A26970" t="s">
        <v>1</v>
      </c>
      <c r="B26970" t="str">
        <f>"13011510120"</f>
        <v>13011510120</v>
      </c>
      <c r="C26970" t="s">
        <v>1</v>
      </c>
      <c r="D26970" t="s">
        <v>1</v>
      </c>
      <c r="E26970" t="s">
        <v>1</v>
      </c>
      <c r="F26970" t="s">
        <v>0</v>
      </c>
      <c r="G26970" t="str">
        <f>"2018-10-05 11:50:20"</f>
        <v>2018-10-05 11:50:20</v>
      </c>
    </row>
    <row r="26971" spans="1:7" x14ac:dyDescent="0.2">
      <c r="A26971" t="s">
        <v>24787</v>
      </c>
      <c r="B26971" t="str">
        <f>"18833428152"</f>
        <v>18833428152</v>
      </c>
      <c r="C26971" t="str">
        <f>"130526199510164226"</f>
        <v>130526199510164226</v>
      </c>
      <c r="D26971" t="s">
        <v>1</v>
      </c>
      <c r="E26971" t="s">
        <v>1</v>
      </c>
      <c r="F26971" t="s">
        <v>0</v>
      </c>
      <c r="G26971" t="str">
        <f>"2018-10-05 11:51:42"</f>
        <v>2018-10-05 11:51:42</v>
      </c>
    </row>
    <row r="26972" spans="1:7" x14ac:dyDescent="0.2">
      <c r="A26972" t="s">
        <v>24788</v>
      </c>
      <c r="B26972" t="str">
        <f>"18642543100"</f>
        <v>18642543100</v>
      </c>
      <c r="C26972" t="str">
        <f>"211303199711213210"</f>
        <v>211303199711213210</v>
      </c>
      <c r="D26972" t="s">
        <v>1</v>
      </c>
      <c r="E26972" t="s">
        <v>1</v>
      </c>
      <c r="F26972" t="s">
        <v>0</v>
      </c>
      <c r="G26972" t="str">
        <f>"2018-10-05 12:09:12"</f>
        <v>2018-10-05 12:09:12</v>
      </c>
    </row>
    <row r="26973" spans="1:7" x14ac:dyDescent="0.2">
      <c r="A26973" t="s">
        <v>24789</v>
      </c>
      <c r="B26973" t="str">
        <f>"18046668488"</f>
        <v>18046668488</v>
      </c>
      <c r="C26973" t="str">
        <f>"360782198909195454"</f>
        <v>360782198909195454</v>
      </c>
      <c r="D26973" t="s">
        <v>1</v>
      </c>
      <c r="E26973" t="s">
        <v>1</v>
      </c>
      <c r="F26973" t="s">
        <v>0</v>
      </c>
      <c r="G26973" t="str">
        <f>"2018-10-05 11:51:14"</f>
        <v>2018-10-05 11:51:14</v>
      </c>
    </row>
    <row r="26974" spans="1:7" x14ac:dyDescent="0.2">
      <c r="A26974" t="s">
        <v>24790</v>
      </c>
      <c r="B26974" t="str">
        <f>"17548923304"</f>
        <v>17548923304</v>
      </c>
      <c r="C26974" t="str">
        <f>"152323199010260030"</f>
        <v>152323199010260030</v>
      </c>
      <c r="D26974" t="s">
        <v>1</v>
      </c>
      <c r="E26974" t="s">
        <v>1</v>
      </c>
      <c r="F26974" t="s">
        <v>0</v>
      </c>
      <c r="G26974" t="str">
        <f>"2018-10-05 11:51:16"</f>
        <v>2018-10-05 11:51:16</v>
      </c>
    </row>
    <row r="26975" spans="1:7" x14ac:dyDescent="0.2">
      <c r="A26975" t="s">
        <v>24791</v>
      </c>
      <c r="B26975" t="str">
        <f>"18187552890"</f>
        <v>18187552890</v>
      </c>
      <c r="C26975" t="str">
        <f>"53300119951021277X"</f>
        <v>53300119951021277X</v>
      </c>
      <c r="D26975" t="s">
        <v>1</v>
      </c>
      <c r="E26975" t="s">
        <v>1</v>
      </c>
      <c r="F26975" t="s">
        <v>0</v>
      </c>
      <c r="G26975" t="str">
        <f>"2018-10-05 11:52:15"</f>
        <v>2018-10-05 11:52:15</v>
      </c>
    </row>
    <row r="26976" spans="1:7" x14ac:dyDescent="0.2">
      <c r="A26976" t="s">
        <v>24792</v>
      </c>
      <c r="B26976" t="str">
        <f>"18680859249"</f>
        <v>18680859249</v>
      </c>
      <c r="C26976" t="str">
        <f>"500222198902037819"</f>
        <v>500222198902037819</v>
      </c>
      <c r="D26976" t="s">
        <v>1</v>
      </c>
      <c r="E26976" t="s">
        <v>1</v>
      </c>
      <c r="F26976" t="s">
        <v>0</v>
      </c>
      <c r="G26976" t="str">
        <f>"2018-10-05 11:54:33"</f>
        <v>2018-10-05 11:54:33</v>
      </c>
    </row>
    <row r="26977" spans="1:7" x14ac:dyDescent="0.2">
      <c r="A26977" t="s">
        <v>1</v>
      </c>
      <c r="B26977" t="str">
        <f>"18688366202"</f>
        <v>18688366202</v>
      </c>
      <c r="C26977" t="s">
        <v>1</v>
      </c>
      <c r="D26977" t="s">
        <v>1</v>
      </c>
      <c r="E26977" t="s">
        <v>1</v>
      </c>
      <c r="F26977" t="s">
        <v>0</v>
      </c>
      <c r="G26977" t="str">
        <f>"2018-10-05 11:49:15"</f>
        <v>2018-10-05 11:49:15</v>
      </c>
    </row>
    <row r="26978" spans="1:7" x14ac:dyDescent="0.2">
      <c r="A26978" t="s">
        <v>1</v>
      </c>
      <c r="B26978" t="str">
        <f>"13646660477"</f>
        <v>13646660477</v>
      </c>
      <c r="C26978" t="s">
        <v>1</v>
      </c>
      <c r="D26978" t="s">
        <v>1</v>
      </c>
      <c r="E26978" t="s">
        <v>1</v>
      </c>
      <c r="F26978" t="s">
        <v>0</v>
      </c>
      <c r="G26978" t="str">
        <f>"2018-10-05 11:53:52"</f>
        <v>2018-10-05 11:53:52</v>
      </c>
    </row>
    <row r="26979" spans="1:7" x14ac:dyDescent="0.2">
      <c r="A26979" t="s">
        <v>24793</v>
      </c>
      <c r="B26979" t="str">
        <f>"13647530224"</f>
        <v>13647530224</v>
      </c>
      <c r="C26979" t="str">
        <f>"460025198703143016"</f>
        <v>460025198703143016</v>
      </c>
      <c r="D26979" t="s">
        <v>1</v>
      </c>
      <c r="E26979" t="s">
        <v>1</v>
      </c>
      <c r="F26979" t="s">
        <v>0</v>
      </c>
      <c r="G26979" t="str">
        <f>"2018-10-05 16:05:08"</f>
        <v>2018-10-05 16:05:08</v>
      </c>
    </row>
    <row r="26980" spans="1:7" x14ac:dyDescent="0.2">
      <c r="A26980" t="s">
        <v>24794</v>
      </c>
      <c r="B26980" t="str">
        <f>"13007667153"</f>
        <v>13007667153</v>
      </c>
      <c r="C26980" t="str">
        <f>"342129197410282419"</f>
        <v>342129197410282419</v>
      </c>
      <c r="D26980" t="s">
        <v>1</v>
      </c>
      <c r="E26980" t="s">
        <v>1</v>
      </c>
      <c r="F26980" t="s">
        <v>0</v>
      </c>
      <c r="G26980" t="str">
        <f>"2018-10-05 11:50:25"</f>
        <v>2018-10-05 11:50:25</v>
      </c>
    </row>
    <row r="26981" spans="1:7" x14ac:dyDescent="0.2">
      <c r="A26981" t="s">
        <v>1</v>
      </c>
      <c r="B26981" t="str">
        <f>"18602750315"</f>
        <v>18602750315</v>
      </c>
      <c r="C26981" t="s">
        <v>1</v>
      </c>
      <c r="D26981" t="s">
        <v>1</v>
      </c>
      <c r="E26981" t="s">
        <v>1</v>
      </c>
      <c r="F26981" t="s">
        <v>0</v>
      </c>
      <c r="G26981" t="str">
        <f>"2018-10-05 11:47:32"</f>
        <v>2018-10-05 11:47:32</v>
      </c>
    </row>
    <row r="26982" spans="1:7" x14ac:dyDescent="0.2">
      <c r="A26982" t="s">
        <v>24795</v>
      </c>
      <c r="B26982" t="str">
        <f>"15153557822"</f>
        <v>15153557822</v>
      </c>
      <c r="C26982" t="str">
        <f>"370683199008026028"</f>
        <v>370683199008026028</v>
      </c>
      <c r="D26982" t="s">
        <v>1</v>
      </c>
      <c r="E26982" t="s">
        <v>1</v>
      </c>
      <c r="F26982" t="s">
        <v>0</v>
      </c>
      <c r="G26982" t="str">
        <f>"2018-10-05 11:47:04"</f>
        <v>2018-10-05 11:47:04</v>
      </c>
    </row>
    <row r="26983" spans="1:7" x14ac:dyDescent="0.2">
      <c r="A26983" t="s">
        <v>1</v>
      </c>
      <c r="B26983" t="str">
        <f>"18573710318"</f>
        <v>18573710318</v>
      </c>
      <c r="C26983" t="s">
        <v>1</v>
      </c>
      <c r="D26983" t="s">
        <v>1</v>
      </c>
      <c r="E26983" t="s">
        <v>1</v>
      </c>
      <c r="F26983" t="s">
        <v>0</v>
      </c>
      <c r="G26983" t="str">
        <f>"2018-10-05 11:47:02"</f>
        <v>2018-10-05 11:47:02</v>
      </c>
    </row>
    <row r="26984" spans="1:7" x14ac:dyDescent="0.2">
      <c r="A26984" t="s">
        <v>1</v>
      </c>
      <c r="B26984" t="str">
        <f>"17735905805"</f>
        <v>17735905805</v>
      </c>
      <c r="C26984" t="s">
        <v>1</v>
      </c>
      <c r="D26984" t="s">
        <v>1</v>
      </c>
      <c r="E26984" t="s">
        <v>1</v>
      </c>
      <c r="F26984" t="s">
        <v>0</v>
      </c>
      <c r="G26984" t="str">
        <f>"2018-10-05 11:47:43"</f>
        <v>2018-10-05 11:47:43</v>
      </c>
    </row>
    <row r="26985" spans="1:7" x14ac:dyDescent="0.2">
      <c r="A26985" t="s">
        <v>1</v>
      </c>
      <c r="B26985" t="str">
        <f>"15670053021"</f>
        <v>15670053021</v>
      </c>
      <c r="C26985" t="s">
        <v>1</v>
      </c>
      <c r="D26985" t="s">
        <v>1</v>
      </c>
      <c r="E26985" t="s">
        <v>1</v>
      </c>
      <c r="F26985" t="s">
        <v>0</v>
      </c>
      <c r="G26985" t="str">
        <f>"2018-10-05 11:46:45"</f>
        <v>2018-10-05 11:46:45</v>
      </c>
    </row>
    <row r="26986" spans="1:7" x14ac:dyDescent="0.2">
      <c r="A26986" t="s">
        <v>24796</v>
      </c>
      <c r="B26986" t="str">
        <f>"13763386160"</f>
        <v>13763386160</v>
      </c>
      <c r="C26986" t="str">
        <f>"440921197110176512"</f>
        <v>440921197110176512</v>
      </c>
      <c r="D26986" t="s">
        <v>1</v>
      </c>
      <c r="E26986" t="s">
        <v>1</v>
      </c>
      <c r="F26986" t="s">
        <v>0</v>
      </c>
      <c r="G26986" t="str">
        <f>"2018-10-05 11:48:51"</f>
        <v>2018-10-05 11:48:51</v>
      </c>
    </row>
    <row r="26987" spans="1:7" x14ac:dyDescent="0.2">
      <c r="A26987" t="s">
        <v>1</v>
      </c>
      <c r="B26987" t="str">
        <f>"18538053592"</f>
        <v>18538053592</v>
      </c>
      <c r="C26987" t="s">
        <v>1</v>
      </c>
      <c r="D26987" t="s">
        <v>1</v>
      </c>
      <c r="E26987" t="s">
        <v>1</v>
      </c>
      <c r="F26987" t="s">
        <v>0</v>
      </c>
      <c r="G26987" t="str">
        <f>"2018-10-05 11:46:20"</f>
        <v>2018-10-05 11:46:20</v>
      </c>
    </row>
    <row r="26988" spans="1:7" x14ac:dyDescent="0.2">
      <c r="A26988" t="s">
        <v>1</v>
      </c>
      <c r="B26988" t="str">
        <f>"13695394210"</f>
        <v>13695394210</v>
      </c>
      <c r="C26988" t="s">
        <v>1</v>
      </c>
      <c r="D26988" t="s">
        <v>1</v>
      </c>
      <c r="E26988" t="s">
        <v>1</v>
      </c>
      <c r="F26988" t="s">
        <v>0</v>
      </c>
      <c r="G26988" t="str">
        <f>"2018-10-05 11:46:16"</f>
        <v>2018-10-05 11:46:16</v>
      </c>
    </row>
    <row r="26989" spans="1:7" x14ac:dyDescent="0.2">
      <c r="A26989" t="s">
        <v>24797</v>
      </c>
      <c r="B26989" t="str">
        <f>"17641004798"</f>
        <v>17641004798</v>
      </c>
      <c r="C26989" t="str">
        <f>"211203199103280510"</f>
        <v>211203199103280510</v>
      </c>
      <c r="D26989" t="s">
        <v>1</v>
      </c>
      <c r="E26989" t="s">
        <v>1</v>
      </c>
      <c r="F26989" t="s">
        <v>0</v>
      </c>
      <c r="G26989" t="str">
        <f>"2018-10-05 12:26:12"</f>
        <v>2018-10-05 12:26:12</v>
      </c>
    </row>
    <row r="26990" spans="1:7" x14ac:dyDescent="0.2">
      <c r="A26990" t="s">
        <v>24</v>
      </c>
      <c r="B26990" t="str">
        <f>"13309895966"</f>
        <v>13309895966</v>
      </c>
      <c r="C26990" t="str">
        <f>"23030219850409533X"</f>
        <v>23030219850409533X</v>
      </c>
      <c r="D26990" t="s">
        <v>24798</v>
      </c>
      <c r="E26990" t="s">
        <v>24799</v>
      </c>
      <c r="F26990" t="s">
        <v>0</v>
      </c>
      <c r="G26990" t="str">
        <f>"2018-10-05 12:23:02"</f>
        <v>2018-10-05 12:23:02</v>
      </c>
    </row>
    <row r="26991" spans="1:7" x14ac:dyDescent="0.2">
      <c r="A26991" t="s">
        <v>24800</v>
      </c>
      <c r="B26991" t="str">
        <f>"18910158258"</f>
        <v>18910158258</v>
      </c>
      <c r="C26991" t="str">
        <f>"372925198104055953"</f>
        <v>372925198104055953</v>
      </c>
      <c r="D26991" t="s">
        <v>1</v>
      </c>
      <c r="E26991" t="s">
        <v>1</v>
      </c>
      <c r="F26991" t="s">
        <v>0</v>
      </c>
      <c r="G26991" t="str">
        <f>"2018-10-14 13:43:18"</f>
        <v>2018-10-14 13:43:18</v>
      </c>
    </row>
    <row r="26992" spans="1:7" x14ac:dyDescent="0.2">
      <c r="A26992" t="s">
        <v>24801</v>
      </c>
      <c r="B26992" t="str">
        <f>"18989056606"</f>
        <v>18989056606</v>
      </c>
      <c r="C26992" t="str">
        <f>"542125198905210018"</f>
        <v>542125198905210018</v>
      </c>
      <c r="D26992" t="s">
        <v>1</v>
      </c>
      <c r="E26992" t="s">
        <v>1</v>
      </c>
      <c r="F26992" t="s">
        <v>0</v>
      </c>
      <c r="G26992" t="str">
        <f>"2018-10-05 11:45:22"</f>
        <v>2018-10-05 11:45:22</v>
      </c>
    </row>
    <row r="26993" spans="1:7" x14ac:dyDescent="0.2">
      <c r="A26993" t="s">
        <v>24802</v>
      </c>
      <c r="B26993" t="str">
        <f>"18779812371"</f>
        <v>18779812371</v>
      </c>
      <c r="C26993" t="str">
        <f>"360281199504243017"</f>
        <v>360281199504243017</v>
      </c>
      <c r="D26993" t="s">
        <v>24803</v>
      </c>
      <c r="E26993" t="s">
        <v>24804</v>
      </c>
      <c r="F26993" t="s">
        <v>0</v>
      </c>
      <c r="G26993" t="str">
        <f>"2018-10-05 11:50:24"</f>
        <v>2018-10-05 11:50:24</v>
      </c>
    </row>
    <row r="26994" spans="1:7" x14ac:dyDescent="0.2">
      <c r="A26994" t="s">
        <v>1</v>
      </c>
      <c r="B26994" t="str">
        <f>"15601538723"</f>
        <v>15601538723</v>
      </c>
      <c r="C26994" t="s">
        <v>1</v>
      </c>
      <c r="D26994" t="s">
        <v>1</v>
      </c>
      <c r="E26994" t="s">
        <v>1</v>
      </c>
      <c r="F26994" t="s">
        <v>0</v>
      </c>
      <c r="G26994" t="str">
        <f>"2018-10-05 11:44:50"</f>
        <v>2018-10-05 11:44:50</v>
      </c>
    </row>
    <row r="26995" spans="1:7" x14ac:dyDescent="0.2">
      <c r="A26995" t="s">
        <v>1</v>
      </c>
      <c r="B26995" t="str">
        <f>"13244073756"</f>
        <v>13244073756</v>
      </c>
      <c r="C26995" t="s">
        <v>1</v>
      </c>
      <c r="D26995" t="s">
        <v>1</v>
      </c>
      <c r="E26995" t="s">
        <v>1</v>
      </c>
      <c r="F26995" t="s">
        <v>0</v>
      </c>
      <c r="G26995" t="str">
        <f>"2018-10-05 11:43:42"</f>
        <v>2018-10-05 11:43:42</v>
      </c>
    </row>
    <row r="26996" spans="1:7" x14ac:dyDescent="0.2">
      <c r="A26996" t="s">
        <v>1</v>
      </c>
      <c r="B26996" t="str">
        <f>"15366857555"</f>
        <v>15366857555</v>
      </c>
      <c r="C26996" t="s">
        <v>1</v>
      </c>
      <c r="D26996" t="s">
        <v>1</v>
      </c>
      <c r="E26996" t="s">
        <v>1</v>
      </c>
      <c r="F26996" t="s">
        <v>0</v>
      </c>
      <c r="G26996" t="str">
        <f>"2018-10-05 11:43:13"</f>
        <v>2018-10-05 11:43:13</v>
      </c>
    </row>
    <row r="26997" spans="1:7" x14ac:dyDescent="0.2">
      <c r="A26997" t="s">
        <v>1</v>
      </c>
      <c r="B26997" t="str">
        <f>"18975205550"</f>
        <v>18975205550</v>
      </c>
      <c r="C26997" t="s">
        <v>1</v>
      </c>
      <c r="D26997" t="s">
        <v>1</v>
      </c>
      <c r="E26997" t="s">
        <v>1</v>
      </c>
      <c r="F26997" t="s">
        <v>0</v>
      </c>
      <c r="G26997" t="str">
        <f>"2018-10-05 11:44:21"</f>
        <v>2018-10-05 11:44:21</v>
      </c>
    </row>
    <row r="26998" spans="1:7" x14ac:dyDescent="0.2">
      <c r="A26998" t="s">
        <v>1</v>
      </c>
      <c r="B26998" t="str">
        <f>"13566871983"</f>
        <v>13566871983</v>
      </c>
      <c r="C26998" t="s">
        <v>1</v>
      </c>
      <c r="D26998" t="s">
        <v>1</v>
      </c>
      <c r="E26998" t="s">
        <v>1</v>
      </c>
      <c r="F26998" t="s">
        <v>0</v>
      </c>
      <c r="G26998" t="str">
        <f>"2018-10-05 11:42:58"</f>
        <v>2018-10-05 11:42:58</v>
      </c>
    </row>
    <row r="26999" spans="1:7" x14ac:dyDescent="0.2">
      <c r="A26999" t="s">
        <v>24805</v>
      </c>
      <c r="B26999" t="str">
        <f>"15159966585"</f>
        <v>15159966585</v>
      </c>
      <c r="C26999" t="str">
        <f>"350721199312063213"</f>
        <v>350721199312063213</v>
      </c>
      <c r="D26999" t="s">
        <v>24806</v>
      </c>
      <c r="E26999" t="s">
        <v>24807</v>
      </c>
      <c r="F26999" t="s">
        <v>0</v>
      </c>
      <c r="G26999" t="str">
        <f>"2018-10-05 11:44:01"</f>
        <v>2018-10-05 11:44:01</v>
      </c>
    </row>
    <row r="27000" spans="1:7" x14ac:dyDescent="0.2">
      <c r="A27000" t="s">
        <v>24808</v>
      </c>
      <c r="B27000" t="str">
        <f>"15832938179"</f>
        <v>15832938179</v>
      </c>
      <c r="C27000" t="str">
        <f>"13220119950317431X"</f>
        <v>13220119950317431X</v>
      </c>
      <c r="D27000" t="s">
        <v>24809</v>
      </c>
      <c r="E27000" t="s">
        <v>24810</v>
      </c>
      <c r="F27000" t="s">
        <v>0</v>
      </c>
      <c r="G27000" t="str">
        <f>"2018-10-05 11:44:01"</f>
        <v>2018-10-05 11:44:01</v>
      </c>
    </row>
    <row r="27001" spans="1:7" x14ac:dyDescent="0.2">
      <c r="A27001" t="s">
        <v>24811</v>
      </c>
      <c r="B27001" t="str">
        <f>"13431978651"</f>
        <v>13431978651</v>
      </c>
      <c r="C27001" t="str">
        <f>"441827198909108340"</f>
        <v>441827198909108340</v>
      </c>
      <c r="D27001" t="s">
        <v>1</v>
      </c>
      <c r="E27001" t="s">
        <v>1</v>
      </c>
      <c r="F27001" t="s">
        <v>0</v>
      </c>
      <c r="G27001" t="str">
        <f>"2018-10-05 11:54:36"</f>
        <v>2018-10-05 11:54:36</v>
      </c>
    </row>
    <row r="27002" spans="1:7" x14ac:dyDescent="0.2">
      <c r="A27002" t="s">
        <v>1</v>
      </c>
      <c r="B27002" t="str">
        <f>"15526201768"</f>
        <v>15526201768</v>
      </c>
      <c r="C27002" t="s">
        <v>1</v>
      </c>
      <c r="D27002" t="s">
        <v>1</v>
      </c>
      <c r="E27002" t="s">
        <v>1</v>
      </c>
      <c r="F27002" t="s">
        <v>0</v>
      </c>
      <c r="G27002" t="str">
        <f>"2018-10-10 15:20:25"</f>
        <v>2018-10-10 15:20:25</v>
      </c>
    </row>
    <row r="27003" spans="1:7" x14ac:dyDescent="0.2">
      <c r="A27003" t="s">
        <v>8605</v>
      </c>
      <c r="B27003" t="str">
        <f>"15090161283"</f>
        <v>15090161283</v>
      </c>
      <c r="C27003" t="str">
        <f>"411122199409138171"</f>
        <v>411122199409138171</v>
      </c>
      <c r="D27003" t="s">
        <v>1</v>
      </c>
      <c r="E27003" t="s">
        <v>1</v>
      </c>
      <c r="F27003" t="s">
        <v>0</v>
      </c>
      <c r="G27003" t="str">
        <f>"2018-10-05 11:42:58"</f>
        <v>2018-10-05 11:42:58</v>
      </c>
    </row>
    <row r="27004" spans="1:7" x14ac:dyDescent="0.2">
      <c r="A27004" t="s">
        <v>249</v>
      </c>
      <c r="B27004" t="str">
        <f>"13632567626"</f>
        <v>13632567626</v>
      </c>
      <c r="C27004" t="str">
        <f>"411381198706106746"</f>
        <v>411381198706106746</v>
      </c>
      <c r="D27004" t="s">
        <v>1</v>
      </c>
      <c r="E27004" t="s">
        <v>1</v>
      </c>
      <c r="F27004" t="s">
        <v>0</v>
      </c>
      <c r="G27004" t="str">
        <f>"2018-10-05 11:44:02"</f>
        <v>2018-10-05 11:44:02</v>
      </c>
    </row>
    <row r="27005" spans="1:7" x14ac:dyDescent="0.2">
      <c r="A27005" t="s">
        <v>1</v>
      </c>
      <c r="B27005" t="str">
        <f>"18305970681"</f>
        <v>18305970681</v>
      </c>
      <c r="C27005" t="s">
        <v>1</v>
      </c>
      <c r="D27005" t="s">
        <v>1</v>
      </c>
      <c r="E27005" t="s">
        <v>1</v>
      </c>
      <c r="F27005" t="s">
        <v>0</v>
      </c>
      <c r="G27005" t="str">
        <f>"2018-10-05 11:41:29"</f>
        <v>2018-10-05 11:41:29</v>
      </c>
    </row>
    <row r="27006" spans="1:7" x14ac:dyDescent="0.2">
      <c r="A27006" t="s">
        <v>458</v>
      </c>
      <c r="B27006" t="str">
        <f>"15194498302"</f>
        <v>15194498302</v>
      </c>
      <c r="C27006" t="str">
        <f>"411524199609030522"</f>
        <v>411524199609030522</v>
      </c>
      <c r="D27006" t="s">
        <v>1</v>
      </c>
      <c r="E27006" t="s">
        <v>1</v>
      </c>
      <c r="F27006" t="s">
        <v>0</v>
      </c>
      <c r="G27006" t="str">
        <f>"2018-10-05 11:44:19"</f>
        <v>2018-10-05 11:44:19</v>
      </c>
    </row>
    <row r="27007" spans="1:7" x14ac:dyDescent="0.2">
      <c r="A27007" t="s">
        <v>1</v>
      </c>
      <c r="B27007" t="str">
        <f>"18699762881"</f>
        <v>18699762881</v>
      </c>
      <c r="C27007" t="s">
        <v>1</v>
      </c>
      <c r="D27007" t="s">
        <v>1</v>
      </c>
      <c r="E27007" t="s">
        <v>1</v>
      </c>
      <c r="F27007" t="s">
        <v>0</v>
      </c>
      <c r="G27007" t="str">
        <f>"2018-10-05 11:42:17"</f>
        <v>2018-10-05 11:42:17</v>
      </c>
    </row>
    <row r="27008" spans="1:7" x14ac:dyDescent="0.2">
      <c r="A27008" t="s">
        <v>1265</v>
      </c>
      <c r="B27008" t="str">
        <f>"18772404916"</f>
        <v>18772404916</v>
      </c>
      <c r="C27008" t="str">
        <f>"421123199005214877"</f>
        <v>421123199005214877</v>
      </c>
      <c r="D27008" t="s">
        <v>1</v>
      </c>
      <c r="E27008" t="s">
        <v>1</v>
      </c>
      <c r="F27008" t="s">
        <v>0</v>
      </c>
      <c r="G27008" t="str">
        <f>"2018-10-05 11:42:36"</f>
        <v>2018-10-05 11:42:36</v>
      </c>
    </row>
    <row r="27009" spans="1:7" x14ac:dyDescent="0.2">
      <c r="A27009" t="s">
        <v>24812</v>
      </c>
      <c r="B27009" t="str">
        <f>"13035339974"</f>
        <v>13035339974</v>
      </c>
      <c r="C27009" t="str">
        <f>"42242219741125477X"</f>
        <v>42242219741125477X</v>
      </c>
      <c r="D27009" t="s">
        <v>1</v>
      </c>
      <c r="E27009" t="s">
        <v>1</v>
      </c>
      <c r="F27009" t="s">
        <v>0</v>
      </c>
      <c r="G27009" t="str">
        <f>"2018-10-05 11:42:37"</f>
        <v>2018-10-05 11:42:37</v>
      </c>
    </row>
    <row r="27010" spans="1:7" x14ac:dyDescent="0.2">
      <c r="A27010" t="s">
        <v>24813</v>
      </c>
      <c r="B27010" t="str">
        <f>"18386302136"</f>
        <v>18386302136</v>
      </c>
      <c r="C27010" t="str">
        <f>"522424198312193255"</f>
        <v>522424198312193255</v>
      </c>
      <c r="D27010" t="s">
        <v>1</v>
      </c>
      <c r="E27010" t="s">
        <v>1</v>
      </c>
      <c r="F27010" t="s">
        <v>0</v>
      </c>
      <c r="G27010" t="str">
        <f>"2018-10-05 11:42:22"</f>
        <v>2018-10-05 11:42:22</v>
      </c>
    </row>
    <row r="27011" spans="1:7" x14ac:dyDescent="0.2">
      <c r="A27011" t="s">
        <v>24814</v>
      </c>
      <c r="B27011" t="str">
        <f>"13382461816"</f>
        <v>13382461816</v>
      </c>
      <c r="C27011" t="str">
        <f>"321028196601131639"</f>
        <v>321028196601131639</v>
      </c>
      <c r="D27011" t="s">
        <v>1</v>
      </c>
      <c r="E27011" t="s">
        <v>1</v>
      </c>
      <c r="F27011" t="s">
        <v>0</v>
      </c>
      <c r="G27011" t="str">
        <f>"2018-10-05 11:40:54"</f>
        <v>2018-10-05 11:40:54</v>
      </c>
    </row>
    <row r="27012" spans="1:7" x14ac:dyDescent="0.2">
      <c r="A27012" t="s">
        <v>1</v>
      </c>
      <c r="B27012" t="str">
        <f>"15047028185"</f>
        <v>15047028185</v>
      </c>
      <c r="C27012" t="s">
        <v>1</v>
      </c>
      <c r="D27012" t="s">
        <v>1</v>
      </c>
      <c r="E27012" t="s">
        <v>1</v>
      </c>
      <c r="F27012" t="s">
        <v>0</v>
      </c>
      <c r="G27012" t="str">
        <f>"2018-10-05 11:39:21"</f>
        <v>2018-10-05 11:39:21</v>
      </c>
    </row>
    <row r="27013" spans="1:7" x14ac:dyDescent="0.2">
      <c r="A27013" t="s">
        <v>1</v>
      </c>
      <c r="B27013" t="str">
        <f>"13185257884"</f>
        <v>13185257884</v>
      </c>
      <c r="C27013" t="s">
        <v>1</v>
      </c>
      <c r="D27013" t="s">
        <v>1</v>
      </c>
      <c r="E27013" t="s">
        <v>1</v>
      </c>
      <c r="F27013" t="s">
        <v>0</v>
      </c>
      <c r="G27013" t="str">
        <f>"2018-10-05 11:39:13"</f>
        <v>2018-10-05 11:39:13</v>
      </c>
    </row>
    <row r="27014" spans="1:7" x14ac:dyDescent="0.2">
      <c r="A27014" t="s">
        <v>24815</v>
      </c>
      <c r="B27014" t="str">
        <f>"15167269367"</f>
        <v>15167269367</v>
      </c>
      <c r="C27014" t="str">
        <f>"330501198601113024"</f>
        <v>330501198601113024</v>
      </c>
      <c r="D27014" t="s">
        <v>1</v>
      </c>
      <c r="E27014" t="s">
        <v>1</v>
      </c>
      <c r="F27014" t="s">
        <v>0</v>
      </c>
      <c r="G27014" t="str">
        <f>"2018-10-05 11:40:30"</f>
        <v>2018-10-05 11:40:30</v>
      </c>
    </row>
    <row r="27015" spans="1:7" x14ac:dyDescent="0.2">
      <c r="A27015" t="s">
        <v>1</v>
      </c>
      <c r="B27015" t="str">
        <f>"18185492523"</f>
        <v>18185492523</v>
      </c>
      <c r="C27015" t="s">
        <v>1</v>
      </c>
      <c r="D27015" t="s">
        <v>1</v>
      </c>
      <c r="E27015" t="s">
        <v>1</v>
      </c>
      <c r="F27015" t="s">
        <v>0</v>
      </c>
      <c r="G27015" t="str">
        <f>"2018-10-05 11:38:59"</f>
        <v>2018-10-05 11:38:59</v>
      </c>
    </row>
    <row r="27016" spans="1:7" x14ac:dyDescent="0.2">
      <c r="A27016" t="s">
        <v>1</v>
      </c>
      <c r="B27016" t="str">
        <f>"15689117127"</f>
        <v>15689117127</v>
      </c>
      <c r="C27016" t="s">
        <v>1</v>
      </c>
      <c r="D27016" t="s">
        <v>1</v>
      </c>
      <c r="E27016" t="s">
        <v>1</v>
      </c>
      <c r="F27016" t="s">
        <v>0</v>
      </c>
      <c r="G27016" t="str">
        <f>"2018-10-05 11:38:50"</f>
        <v>2018-10-05 11:38:50</v>
      </c>
    </row>
    <row r="27017" spans="1:7" x14ac:dyDescent="0.2">
      <c r="A27017" t="s">
        <v>24816</v>
      </c>
      <c r="B27017" t="str">
        <f>"13238086812"</f>
        <v>13238086812</v>
      </c>
      <c r="C27017" t="str">
        <f>"210204199608116172"</f>
        <v>210204199608116172</v>
      </c>
      <c r="D27017" t="s">
        <v>1</v>
      </c>
      <c r="E27017" t="s">
        <v>1</v>
      </c>
      <c r="F27017" t="s">
        <v>0</v>
      </c>
      <c r="G27017" t="str">
        <f>"2018-10-05 11:44:37"</f>
        <v>2018-10-05 11:44:37</v>
      </c>
    </row>
    <row r="27018" spans="1:7" x14ac:dyDescent="0.2">
      <c r="A27018" t="s">
        <v>24817</v>
      </c>
      <c r="B27018" t="str">
        <f>"13535087202"</f>
        <v>13535087202</v>
      </c>
      <c r="C27018" t="str">
        <f>"430224198105130011"</f>
        <v>430224198105130011</v>
      </c>
      <c r="D27018" t="s">
        <v>1</v>
      </c>
      <c r="E27018" t="s">
        <v>1</v>
      </c>
      <c r="F27018" t="s">
        <v>0</v>
      </c>
      <c r="G27018" t="str">
        <f>"2018-10-05 11:54:33"</f>
        <v>2018-10-05 11:54:33</v>
      </c>
    </row>
    <row r="27019" spans="1:7" x14ac:dyDescent="0.2">
      <c r="A27019" t="s">
        <v>1406</v>
      </c>
      <c r="B27019" t="str">
        <f>"15371556182"</f>
        <v>15371556182</v>
      </c>
      <c r="C27019" t="str">
        <f>"32128119910927356X"</f>
        <v>32128119910927356X</v>
      </c>
      <c r="D27019" t="s">
        <v>1</v>
      </c>
      <c r="E27019" t="s">
        <v>1</v>
      </c>
      <c r="F27019" t="s">
        <v>0</v>
      </c>
      <c r="G27019" t="str">
        <f>"2018-10-27 16:08:37"</f>
        <v>2018-10-27 16:08:37</v>
      </c>
    </row>
    <row r="27020" spans="1:7" x14ac:dyDescent="0.2">
      <c r="A27020" t="s">
        <v>1</v>
      </c>
      <c r="B27020" t="str">
        <f>"18205756382"</f>
        <v>18205756382</v>
      </c>
      <c r="C27020" t="s">
        <v>1</v>
      </c>
      <c r="D27020" t="s">
        <v>1</v>
      </c>
      <c r="E27020" t="s">
        <v>1</v>
      </c>
      <c r="F27020" t="s">
        <v>0</v>
      </c>
      <c r="G27020" t="str">
        <f>"2018-10-05 11:39:26"</f>
        <v>2018-10-05 11:39:26</v>
      </c>
    </row>
    <row r="27021" spans="1:7" x14ac:dyDescent="0.2">
      <c r="A27021" t="s">
        <v>1</v>
      </c>
      <c r="B27021" t="str">
        <f>"13861138029"</f>
        <v>13861138029</v>
      </c>
      <c r="C27021" t="s">
        <v>1</v>
      </c>
      <c r="D27021" t="s">
        <v>1</v>
      </c>
      <c r="E27021" t="s">
        <v>1</v>
      </c>
      <c r="F27021" t="s">
        <v>0</v>
      </c>
      <c r="G27021" t="str">
        <f>"2018-10-05 11:39:37"</f>
        <v>2018-10-05 11:39:37</v>
      </c>
    </row>
    <row r="27022" spans="1:7" x14ac:dyDescent="0.2">
      <c r="A27022" t="s">
        <v>1</v>
      </c>
      <c r="B27022" t="str">
        <f>"18969082529"</f>
        <v>18969082529</v>
      </c>
      <c r="C27022" t="s">
        <v>1</v>
      </c>
      <c r="D27022" t="s">
        <v>1</v>
      </c>
      <c r="E27022" t="s">
        <v>1</v>
      </c>
      <c r="F27022" t="s">
        <v>0</v>
      </c>
      <c r="G27022" t="str">
        <f>"2018-10-05 11:37:53"</f>
        <v>2018-10-05 11:37:53</v>
      </c>
    </row>
    <row r="27023" spans="1:7" x14ac:dyDescent="0.2">
      <c r="A27023" t="s">
        <v>320</v>
      </c>
      <c r="B27023" t="str">
        <f>"18565265658"</f>
        <v>18565265658</v>
      </c>
      <c r="C27023" t="str">
        <f>"429004198112143873"</f>
        <v>429004198112143873</v>
      </c>
      <c r="D27023" t="s">
        <v>1</v>
      </c>
      <c r="E27023" t="s">
        <v>1</v>
      </c>
      <c r="F27023" t="s">
        <v>0</v>
      </c>
      <c r="G27023" t="str">
        <f>"2018-10-05 11:38:57"</f>
        <v>2018-10-05 11:38:57</v>
      </c>
    </row>
    <row r="27024" spans="1:7" x14ac:dyDescent="0.2">
      <c r="A27024" t="s">
        <v>24818</v>
      </c>
      <c r="B27024" t="str">
        <f>"15879554532"</f>
        <v>15879554532</v>
      </c>
      <c r="C27024" t="str">
        <f>"362201197009281017"</f>
        <v>362201197009281017</v>
      </c>
      <c r="D27024" t="s">
        <v>1</v>
      </c>
      <c r="E27024" t="s">
        <v>1</v>
      </c>
      <c r="F27024" t="s">
        <v>0</v>
      </c>
      <c r="G27024" t="str">
        <f>"2018-10-07 00:34:43"</f>
        <v>2018-10-07 00:34:43</v>
      </c>
    </row>
    <row r="27025" spans="1:7" x14ac:dyDescent="0.2">
      <c r="A27025" t="s">
        <v>1</v>
      </c>
      <c r="B27025" t="str">
        <f>"18999345426"</f>
        <v>18999345426</v>
      </c>
      <c r="C27025" t="s">
        <v>1</v>
      </c>
      <c r="D27025" t="s">
        <v>1</v>
      </c>
      <c r="E27025" t="s">
        <v>1</v>
      </c>
      <c r="F27025" t="s">
        <v>0</v>
      </c>
      <c r="G27025" t="str">
        <f>"2018-10-05 11:37:04"</f>
        <v>2018-10-05 11:37:04</v>
      </c>
    </row>
    <row r="27026" spans="1:7" x14ac:dyDescent="0.2">
      <c r="A27026" t="s">
        <v>24819</v>
      </c>
      <c r="B27026" t="str">
        <f>"13013735311"</f>
        <v>13013735311</v>
      </c>
      <c r="C27026" t="str">
        <f>"321027197502150103"</f>
        <v>321027197502150103</v>
      </c>
      <c r="D27026" t="s">
        <v>1</v>
      </c>
      <c r="E27026" t="s">
        <v>1</v>
      </c>
      <c r="F27026" t="s">
        <v>0</v>
      </c>
      <c r="G27026" t="str">
        <f>"2018-11-04 12:52:39"</f>
        <v>2018-11-04 12:52:39</v>
      </c>
    </row>
    <row r="27027" spans="1:7" x14ac:dyDescent="0.2">
      <c r="A27027" t="s">
        <v>1</v>
      </c>
      <c r="B27027" t="str">
        <f>"18679131077"</f>
        <v>18679131077</v>
      </c>
      <c r="C27027" t="s">
        <v>1</v>
      </c>
      <c r="D27027" t="s">
        <v>1</v>
      </c>
      <c r="E27027" t="s">
        <v>1</v>
      </c>
      <c r="F27027" t="s">
        <v>0</v>
      </c>
      <c r="G27027" t="str">
        <f>"2018-10-05 12:17:45"</f>
        <v>2018-10-05 12:17:45</v>
      </c>
    </row>
    <row r="27028" spans="1:7" x14ac:dyDescent="0.2">
      <c r="A27028" t="s">
        <v>24820</v>
      </c>
      <c r="B27028" t="str">
        <f>"15903460215"</f>
        <v>15903460215</v>
      </c>
      <c r="C27028" t="str">
        <f>"140107199004201726"</f>
        <v>140107199004201726</v>
      </c>
      <c r="D27028" t="s">
        <v>1</v>
      </c>
      <c r="E27028" t="s">
        <v>1</v>
      </c>
      <c r="F27028" t="s">
        <v>0</v>
      </c>
      <c r="G27028" t="str">
        <f>"2018-10-05 11:35:56"</f>
        <v>2018-10-05 11:35:56</v>
      </c>
    </row>
    <row r="27029" spans="1:7" x14ac:dyDescent="0.2">
      <c r="A27029" t="s">
        <v>24821</v>
      </c>
      <c r="B27029" t="str">
        <f>"18215633228"</f>
        <v>18215633228</v>
      </c>
      <c r="C27029" t="str">
        <f>"511028199503280066"</f>
        <v>511028199503280066</v>
      </c>
      <c r="D27029" t="s">
        <v>1</v>
      </c>
      <c r="E27029" t="s">
        <v>1</v>
      </c>
      <c r="F27029" t="s">
        <v>0</v>
      </c>
      <c r="G27029" t="str">
        <f>"2018-10-05 11:50:47"</f>
        <v>2018-10-05 11:50:47</v>
      </c>
    </row>
    <row r="27030" spans="1:7" x14ac:dyDescent="0.2">
      <c r="A27030" t="s">
        <v>519</v>
      </c>
      <c r="B27030" t="str">
        <f>"13836242935"</f>
        <v>13836242935</v>
      </c>
      <c r="C27030" t="str">
        <f>"230204198702140223"</f>
        <v>230204198702140223</v>
      </c>
      <c r="D27030" t="s">
        <v>1</v>
      </c>
      <c r="E27030" t="s">
        <v>1</v>
      </c>
      <c r="F27030" t="s">
        <v>0</v>
      </c>
      <c r="G27030" t="str">
        <f>"2018-10-05 11:43:29"</f>
        <v>2018-10-05 11:43:29</v>
      </c>
    </row>
    <row r="27031" spans="1:7" x14ac:dyDescent="0.2">
      <c r="A27031" t="s">
        <v>24822</v>
      </c>
      <c r="B27031" t="str">
        <f>"17737952573"</f>
        <v>17737952573</v>
      </c>
      <c r="C27031" t="str">
        <f>"410323199512312015"</f>
        <v>410323199512312015</v>
      </c>
      <c r="D27031" t="s">
        <v>1</v>
      </c>
      <c r="E27031" t="s">
        <v>1</v>
      </c>
      <c r="F27031" t="s">
        <v>0</v>
      </c>
      <c r="G27031" t="str">
        <f>"2018-10-05 11:34:55"</f>
        <v>2018-10-05 11:34:55</v>
      </c>
    </row>
    <row r="27032" spans="1:7" x14ac:dyDescent="0.2">
      <c r="A27032" t="s">
        <v>24823</v>
      </c>
      <c r="B27032" t="str">
        <f>"13599022510"</f>
        <v>13599022510</v>
      </c>
      <c r="C27032" t="str">
        <f>"350322199711103045"</f>
        <v>350322199711103045</v>
      </c>
      <c r="D27032" t="s">
        <v>1</v>
      </c>
      <c r="E27032" t="s">
        <v>1</v>
      </c>
      <c r="F27032" t="s">
        <v>0</v>
      </c>
      <c r="G27032" t="str">
        <f>"2018-10-05 11:40:32"</f>
        <v>2018-10-05 11:40:32</v>
      </c>
    </row>
    <row r="27033" spans="1:7" x14ac:dyDescent="0.2">
      <c r="A27033" t="s">
        <v>24824</v>
      </c>
      <c r="B27033" t="str">
        <f>"15916372259"</f>
        <v>15916372259</v>
      </c>
      <c r="C27033" t="str">
        <f>"441323199002244311"</f>
        <v>441323199002244311</v>
      </c>
      <c r="D27033" t="s">
        <v>24825</v>
      </c>
      <c r="E27033" t="s">
        <v>24826</v>
      </c>
      <c r="F27033" t="s">
        <v>0</v>
      </c>
      <c r="G27033" t="str">
        <f>"2018-10-05 11:35:45"</f>
        <v>2018-10-05 11:35:45</v>
      </c>
    </row>
    <row r="27034" spans="1:7" x14ac:dyDescent="0.2">
      <c r="A27034" t="s">
        <v>1</v>
      </c>
      <c r="B27034" t="str">
        <f>"18971365757"</f>
        <v>18971365757</v>
      </c>
      <c r="C27034" t="s">
        <v>1</v>
      </c>
      <c r="D27034" t="s">
        <v>1</v>
      </c>
      <c r="E27034" t="s">
        <v>1</v>
      </c>
      <c r="F27034" t="s">
        <v>0</v>
      </c>
      <c r="G27034" t="str">
        <f>"2018-10-05 11:33:30"</f>
        <v>2018-10-05 11:33:30</v>
      </c>
    </row>
    <row r="27035" spans="1:7" x14ac:dyDescent="0.2">
      <c r="A27035" t="s">
        <v>24827</v>
      </c>
      <c r="B27035" t="str">
        <f>"17702354015"</f>
        <v>17702354015</v>
      </c>
      <c r="C27035" t="str">
        <f>"500228198610117815"</f>
        <v>500228198610117815</v>
      </c>
      <c r="D27035" t="s">
        <v>1</v>
      </c>
      <c r="E27035" t="s">
        <v>1</v>
      </c>
      <c r="F27035" t="s">
        <v>0</v>
      </c>
      <c r="G27035" t="str">
        <f>"2018-10-05 11:36:09"</f>
        <v>2018-10-05 11:36:09</v>
      </c>
    </row>
    <row r="27036" spans="1:7" x14ac:dyDescent="0.2">
      <c r="A27036" t="s">
        <v>1</v>
      </c>
      <c r="B27036" t="str">
        <f>"18503467353"</f>
        <v>18503467353</v>
      </c>
      <c r="C27036" t="s">
        <v>1</v>
      </c>
      <c r="D27036" t="s">
        <v>1</v>
      </c>
      <c r="E27036" t="s">
        <v>1</v>
      </c>
      <c r="F27036" t="s">
        <v>0</v>
      </c>
      <c r="G27036" t="str">
        <f>"2018-10-05 11:32:20"</f>
        <v>2018-10-05 11:32:20</v>
      </c>
    </row>
    <row r="27037" spans="1:7" x14ac:dyDescent="0.2">
      <c r="A27037" t="s">
        <v>24828</v>
      </c>
      <c r="B27037" t="str">
        <f>"13771860374"</f>
        <v>13771860374</v>
      </c>
      <c r="C27037" t="str">
        <f>"320511197306062013"</f>
        <v>320511197306062013</v>
      </c>
      <c r="D27037" t="s">
        <v>24829</v>
      </c>
      <c r="E27037" t="s">
        <v>24830</v>
      </c>
      <c r="F27037" t="s">
        <v>0</v>
      </c>
      <c r="G27037" t="str">
        <f>"2018-10-05 11:43:25"</f>
        <v>2018-10-05 11:43:25</v>
      </c>
    </row>
    <row r="27038" spans="1:7" x14ac:dyDescent="0.2">
      <c r="A27038" t="s">
        <v>1834</v>
      </c>
      <c r="B27038" t="str">
        <f>"18323961738"</f>
        <v>18323961738</v>
      </c>
      <c r="C27038" t="str">
        <f>"51232219690120147X"</f>
        <v>51232219690120147X</v>
      </c>
      <c r="D27038" t="s">
        <v>1</v>
      </c>
      <c r="E27038" t="s">
        <v>1</v>
      </c>
      <c r="F27038" t="s">
        <v>0</v>
      </c>
      <c r="G27038" t="str">
        <f>"2018-10-05 11:34:53"</f>
        <v>2018-10-05 11:34:53</v>
      </c>
    </row>
    <row r="27039" spans="1:7" x14ac:dyDescent="0.2">
      <c r="A27039" t="s">
        <v>24831</v>
      </c>
      <c r="B27039" t="str">
        <f>"18608132269"</f>
        <v>18608132269</v>
      </c>
      <c r="C27039" t="str">
        <f>"510322199408260056"</f>
        <v>510322199408260056</v>
      </c>
      <c r="D27039" t="s">
        <v>1</v>
      </c>
      <c r="E27039" t="s">
        <v>1</v>
      </c>
      <c r="F27039" t="s">
        <v>0</v>
      </c>
      <c r="G27039" t="str">
        <f>"2018-10-05 15:04:45"</f>
        <v>2018-10-05 15:04:45</v>
      </c>
    </row>
    <row r="27040" spans="1:7" x14ac:dyDescent="0.2">
      <c r="A27040" t="s">
        <v>604</v>
      </c>
      <c r="B27040" t="str">
        <f>"18285148474"</f>
        <v>18285148474</v>
      </c>
      <c r="C27040" t="str">
        <f>"520181199512152144"</f>
        <v>520181199512152144</v>
      </c>
      <c r="D27040" t="s">
        <v>1</v>
      </c>
      <c r="E27040" t="s">
        <v>1</v>
      </c>
      <c r="F27040" t="s">
        <v>0</v>
      </c>
      <c r="G27040" t="str">
        <f>"2018-10-05 11:32:51"</f>
        <v>2018-10-05 11:32:51</v>
      </c>
    </row>
    <row r="27041" spans="1:7" x14ac:dyDescent="0.2">
      <c r="A27041" t="s">
        <v>1</v>
      </c>
      <c r="B27041" t="str">
        <f>"13516125661"</f>
        <v>13516125661</v>
      </c>
      <c r="C27041" t="s">
        <v>1</v>
      </c>
      <c r="D27041" t="s">
        <v>1</v>
      </c>
      <c r="E27041" t="s">
        <v>1</v>
      </c>
      <c r="F27041" t="s">
        <v>0</v>
      </c>
      <c r="G27041" t="str">
        <f>"2018-10-05 11:32:47"</f>
        <v>2018-10-05 11:32:47</v>
      </c>
    </row>
    <row r="27042" spans="1:7" x14ac:dyDescent="0.2">
      <c r="A27042" t="s">
        <v>388</v>
      </c>
      <c r="B27042" t="str">
        <f>"18200110112"</f>
        <v>18200110112</v>
      </c>
      <c r="C27042" t="str">
        <f>"510182198706122621"</f>
        <v>510182198706122621</v>
      </c>
      <c r="D27042" t="s">
        <v>24832</v>
      </c>
      <c r="E27042" t="s">
        <v>24833</v>
      </c>
      <c r="F27042" t="s">
        <v>0</v>
      </c>
      <c r="G27042" t="str">
        <f>"2018-10-05 11:32:46"</f>
        <v>2018-10-05 11:32:46</v>
      </c>
    </row>
    <row r="27043" spans="1:7" x14ac:dyDescent="0.2">
      <c r="A27043" t="s">
        <v>1</v>
      </c>
      <c r="B27043" t="str">
        <f>"18638882335"</f>
        <v>18638882335</v>
      </c>
      <c r="C27043" t="s">
        <v>1</v>
      </c>
      <c r="D27043" t="s">
        <v>1</v>
      </c>
      <c r="E27043" t="s">
        <v>1</v>
      </c>
      <c r="F27043" t="s">
        <v>0</v>
      </c>
      <c r="G27043" t="str">
        <f>"2018-10-05 11:30:42"</f>
        <v>2018-10-05 11:30:42</v>
      </c>
    </row>
    <row r="27044" spans="1:7" x14ac:dyDescent="0.2">
      <c r="A27044" t="s">
        <v>480</v>
      </c>
      <c r="B27044" t="str">
        <f>"13287490823"</f>
        <v>13287490823</v>
      </c>
      <c r="C27044" t="str">
        <f>"372923198405072017"</f>
        <v>372923198405072017</v>
      </c>
      <c r="D27044" t="s">
        <v>1</v>
      </c>
      <c r="E27044" t="s">
        <v>1</v>
      </c>
      <c r="F27044" t="s">
        <v>0</v>
      </c>
      <c r="G27044" t="str">
        <f>"2018-10-05 11:32:44"</f>
        <v>2018-10-05 11:32:44</v>
      </c>
    </row>
    <row r="27045" spans="1:7" x14ac:dyDescent="0.2">
      <c r="A27045" t="s">
        <v>24834</v>
      </c>
      <c r="B27045" t="str">
        <f>"17602450165"</f>
        <v>17602450165</v>
      </c>
      <c r="C27045" t="str">
        <f>"211381198809087018"</f>
        <v>211381198809087018</v>
      </c>
      <c r="D27045" t="s">
        <v>1</v>
      </c>
      <c r="E27045" t="s">
        <v>1</v>
      </c>
      <c r="F27045" t="s">
        <v>0</v>
      </c>
      <c r="G27045" t="str">
        <f>"2018-10-10 14:42:33"</f>
        <v>2018-10-10 14:42:33</v>
      </c>
    </row>
    <row r="27046" spans="1:7" x14ac:dyDescent="0.2">
      <c r="A27046" t="s">
        <v>1629</v>
      </c>
      <c r="B27046" t="str">
        <f>"15952601497"</f>
        <v>15952601497</v>
      </c>
      <c r="C27046" t="str">
        <f>"321282199508274013"</f>
        <v>321282199508274013</v>
      </c>
      <c r="D27046" t="s">
        <v>1</v>
      </c>
      <c r="E27046" t="s">
        <v>1</v>
      </c>
      <c r="F27046" t="s">
        <v>0</v>
      </c>
      <c r="G27046" t="str">
        <f>"2018-10-05 11:33:06"</f>
        <v>2018-10-05 11:33:06</v>
      </c>
    </row>
    <row r="27047" spans="1:7" x14ac:dyDescent="0.2">
      <c r="A27047" t="s">
        <v>1</v>
      </c>
      <c r="B27047" t="str">
        <f>"15104655741"</f>
        <v>15104655741</v>
      </c>
      <c r="C27047" t="s">
        <v>1</v>
      </c>
      <c r="D27047" t="s">
        <v>1</v>
      </c>
      <c r="E27047" t="s">
        <v>1</v>
      </c>
      <c r="F27047" t="s">
        <v>0</v>
      </c>
      <c r="G27047" t="str">
        <f>"2018-10-05 11:29:56"</f>
        <v>2018-10-05 11:29:56</v>
      </c>
    </row>
    <row r="27048" spans="1:7" x14ac:dyDescent="0.2">
      <c r="A27048" t="s">
        <v>1</v>
      </c>
      <c r="B27048" t="str">
        <f>"13411646096"</f>
        <v>13411646096</v>
      </c>
      <c r="C27048" t="s">
        <v>1</v>
      </c>
      <c r="D27048" t="s">
        <v>1</v>
      </c>
      <c r="E27048" t="s">
        <v>1</v>
      </c>
      <c r="F27048" t="s">
        <v>0</v>
      </c>
      <c r="G27048" t="str">
        <f>"2018-10-05 11:29:34"</f>
        <v>2018-10-05 11:29:34</v>
      </c>
    </row>
    <row r="27049" spans="1:7" x14ac:dyDescent="0.2">
      <c r="A27049" t="s">
        <v>24835</v>
      </c>
      <c r="B27049" t="str">
        <f>"15704774721"</f>
        <v>15704774721</v>
      </c>
      <c r="C27049" t="str">
        <f>"152224200002080538"</f>
        <v>152224200002080538</v>
      </c>
      <c r="D27049" t="s">
        <v>1</v>
      </c>
      <c r="E27049" t="s">
        <v>1</v>
      </c>
      <c r="F27049" t="s">
        <v>0</v>
      </c>
      <c r="G27049" t="str">
        <f>"2018-10-05 11:30:44"</f>
        <v>2018-10-05 11:30:44</v>
      </c>
    </row>
    <row r="27050" spans="1:7" x14ac:dyDescent="0.2">
      <c r="A27050" t="s">
        <v>24836</v>
      </c>
      <c r="B27050" t="str">
        <f>"15297012058"</f>
        <v>15297012058</v>
      </c>
      <c r="C27050" t="str">
        <f>"63212419930425172X"</f>
        <v>63212419930425172X</v>
      </c>
      <c r="D27050" t="s">
        <v>1</v>
      </c>
      <c r="E27050" t="s">
        <v>1</v>
      </c>
      <c r="F27050" t="s">
        <v>0</v>
      </c>
      <c r="G27050" t="str">
        <f>"2018-10-26 11:14:21"</f>
        <v>2018-10-26 11:14:21</v>
      </c>
    </row>
    <row r="27051" spans="1:7" x14ac:dyDescent="0.2">
      <c r="A27051" t="s">
        <v>24837</v>
      </c>
      <c r="B27051" t="str">
        <f>"18778068744"</f>
        <v>18778068744</v>
      </c>
      <c r="C27051" t="str">
        <f>"452226199604051222"</f>
        <v>452226199604051222</v>
      </c>
      <c r="D27051" t="s">
        <v>1</v>
      </c>
      <c r="E27051" t="s">
        <v>1</v>
      </c>
      <c r="F27051" t="s">
        <v>0</v>
      </c>
      <c r="G27051" t="str">
        <f>"2018-10-05 11:47:14"</f>
        <v>2018-10-05 11:47:14</v>
      </c>
    </row>
    <row r="27052" spans="1:7" x14ac:dyDescent="0.2">
      <c r="A27052" t="s">
        <v>24838</v>
      </c>
      <c r="B27052" t="str">
        <f>"15207030971"</f>
        <v>15207030971</v>
      </c>
      <c r="C27052" t="str">
        <f>"36233019800827065X"</f>
        <v>36233019800827065X</v>
      </c>
      <c r="D27052" t="s">
        <v>1</v>
      </c>
      <c r="E27052" t="s">
        <v>1</v>
      </c>
      <c r="F27052" t="s">
        <v>0</v>
      </c>
      <c r="G27052" t="str">
        <f>"2018-10-05 11:38:25"</f>
        <v>2018-10-05 11:38:25</v>
      </c>
    </row>
    <row r="27053" spans="1:7" x14ac:dyDescent="0.2">
      <c r="A27053" t="s">
        <v>1</v>
      </c>
      <c r="B27053" t="str">
        <f>"17771452400"</f>
        <v>17771452400</v>
      </c>
      <c r="C27053" t="s">
        <v>1</v>
      </c>
      <c r="D27053" t="s">
        <v>1</v>
      </c>
      <c r="E27053" t="s">
        <v>1</v>
      </c>
      <c r="F27053" t="s">
        <v>0</v>
      </c>
      <c r="G27053" t="str">
        <f>"2018-10-05 11:28:43"</f>
        <v>2018-10-05 11:28:43</v>
      </c>
    </row>
    <row r="27054" spans="1:7" x14ac:dyDescent="0.2">
      <c r="A27054" t="s">
        <v>1</v>
      </c>
      <c r="B27054" t="str">
        <f>"15859244728"</f>
        <v>15859244728</v>
      </c>
      <c r="C27054" t="s">
        <v>1</v>
      </c>
      <c r="D27054" t="s">
        <v>1</v>
      </c>
      <c r="E27054" t="s">
        <v>1</v>
      </c>
      <c r="F27054" t="s">
        <v>0</v>
      </c>
      <c r="G27054" t="str">
        <f>"2018-10-05 11:28:37"</f>
        <v>2018-10-05 11:28:37</v>
      </c>
    </row>
    <row r="27055" spans="1:7" x14ac:dyDescent="0.2">
      <c r="A27055" t="s">
        <v>24839</v>
      </c>
      <c r="B27055" t="str">
        <f>"18823337822"</f>
        <v>18823337822</v>
      </c>
      <c r="C27055" t="str">
        <f>"420116198602075255"</f>
        <v>420116198602075255</v>
      </c>
      <c r="D27055" t="s">
        <v>1</v>
      </c>
      <c r="E27055" t="s">
        <v>1</v>
      </c>
      <c r="F27055" t="s">
        <v>0</v>
      </c>
      <c r="G27055" t="str">
        <f>"2018-10-05 12:29:00"</f>
        <v>2018-10-05 12:29:00</v>
      </c>
    </row>
    <row r="27056" spans="1:7" x14ac:dyDescent="0.2">
      <c r="A27056" t="s">
        <v>1366</v>
      </c>
      <c r="B27056" t="str">
        <f>"18765606111"</f>
        <v>18765606111</v>
      </c>
      <c r="C27056" t="str">
        <f>"37072419810912455X"</f>
        <v>37072419810912455X</v>
      </c>
      <c r="D27056" t="s">
        <v>1</v>
      </c>
      <c r="E27056" t="s">
        <v>1</v>
      </c>
      <c r="F27056" t="s">
        <v>0</v>
      </c>
      <c r="G27056" t="str">
        <f>"2018-10-05 11:29:33"</f>
        <v>2018-10-05 11:29:33</v>
      </c>
    </row>
    <row r="27057" spans="1:7" x14ac:dyDescent="0.2">
      <c r="A27057" t="s">
        <v>24840</v>
      </c>
      <c r="B27057" t="str">
        <f>"18959072002"</f>
        <v>18959072002</v>
      </c>
      <c r="C27057" t="str">
        <f>"352624198207056717"</f>
        <v>352624198207056717</v>
      </c>
      <c r="D27057" t="s">
        <v>24841</v>
      </c>
      <c r="E27057" t="s">
        <v>24842</v>
      </c>
      <c r="F27057" t="s">
        <v>0</v>
      </c>
      <c r="G27057" t="str">
        <f>"2018-10-05 11:28:17"</f>
        <v>2018-10-05 11:28:17</v>
      </c>
    </row>
    <row r="27058" spans="1:7" x14ac:dyDescent="0.2">
      <c r="A27058" t="s">
        <v>181</v>
      </c>
      <c r="B27058" t="str">
        <f>"18628889540"</f>
        <v>18628889540</v>
      </c>
      <c r="C27058" t="str">
        <f>"51390219961112376X"</f>
        <v>51390219961112376X</v>
      </c>
      <c r="D27058" t="s">
        <v>1</v>
      </c>
      <c r="E27058" t="s">
        <v>1</v>
      </c>
      <c r="F27058" t="s">
        <v>0</v>
      </c>
      <c r="G27058" t="str">
        <f>"2018-10-05 11:29:19"</f>
        <v>2018-10-05 11:29:19</v>
      </c>
    </row>
    <row r="27059" spans="1:7" x14ac:dyDescent="0.2">
      <c r="A27059" t="s">
        <v>24843</v>
      </c>
      <c r="B27059" t="str">
        <f>"15211950791"</f>
        <v>15211950791</v>
      </c>
      <c r="C27059" t="str">
        <f>"43052119950913685X"</f>
        <v>43052119950913685X</v>
      </c>
      <c r="D27059" t="s">
        <v>1</v>
      </c>
      <c r="E27059" t="s">
        <v>1</v>
      </c>
      <c r="F27059" t="s">
        <v>0</v>
      </c>
      <c r="G27059" t="str">
        <f>"2018-10-07 08:26:30"</f>
        <v>2018-10-07 08:26:30</v>
      </c>
    </row>
    <row r="27060" spans="1:7" x14ac:dyDescent="0.2">
      <c r="A27060" t="s">
        <v>24844</v>
      </c>
      <c r="B27060" t="str">
        <f>"18685113230"</f>
        <v>18685113230</v>
      </c>
      <c r="C27060" t="str">
        <f>"520102198911038111"</f>
        <v>520102198911038111</v>
      </c>
      <c r="D27060" t="s">
        <v>24845</v>
      </c>
      <c r="E27060" t="s">
        <v>24846</v>
      </c>
      <c r="F27060" t="s">
        <v>0</v>
      </c>
      <c r="G27060" t="str">
        <f>"2018-10-05 11:28:19"</f>
        <v>2018-10-05 11:28:19</v>
      </c>
    </row>
    <row r="27061" spans="1:7" x14ac:dyDescent="0.2">
      <c r="A27061" t="s">
        <v>24847</v>
      </c>
      <c r="B27061" t="str">
        <f>"17621999565"</f>
        <v>17621999565</v>
      </c>
      <c r="C27061" t="str">
        <f>"412725199405259112"</f>
        <v>412725199405259112</v>
      </c>
      <c r="D27061" t="s">
        <v>1</v>
      </c>
      <c r="E27061" t="s">
        <v>1</v>
      </c>
      <c r="F27061" t="s">
        <v>0</v>
      </c>
      <c r="G27061" t="str">
        <f>"2018-10-05 11:27:31"</f>
        <v>2018-10-05 11:27:31</v>
      </c>
    </row>
    <row r="27062" spans="1:7" x14ac:dyDescent="0.2">
      <c r="A27062" t="s">
        <v>1</v>
      </c>
      <c r="B27062" t="str">
        <f>"18634937249"</f>
        <v>18634937249</v>
      </c>
      <c r="C27062" t="s">
        <v>1</v>
      </c>
      <c r="D27062" t="s">
        <v>1</v>
      </c>
      <c r="E27062" t="s">
        <v>1</v>
      </c>
      <c r="F27062" t="s">
        <v>0</v>
      </c>
      <c r="G27062" t="str">
        <f>"2018-10-05 11:25:59"</f>
        <v>2018-10-05 11:25:59</v>
      </c>
    </row>
    <row r="27063" spans="1:7" x14ac:dyDescent="0.2">
      <c r="A27063" t="s">
        <v>206</v>
      </c>
      <c r="B27063" t="str">
        <f>"13520622694"</f>
        <v>13520622694</v>
      </c>
      <c r="C27063" t="str">
        <f>"130732199611201215"</f>
        <v>130732199611201215</v>
      </c>
      <c r="D27063" t="s">
        <v>1</v>
      </c>
      <c r="E27063" t="s">
        <v>1</v>
      </c>
      <c r="F27063" t="s">
        <v>0</v>
      </c>
      <c r="G27063" t="str">
        <f>"2018-10-05 11:27:41"</f>
        <v>2018-10-05 11:27:41</v>
      </c>
    </row>
    <row r="27064" spans="1:7" x14ac:dyDescent="0.2">
      <c r="A27064" t="s">
        <v>1</v>
      </c>
      <c r="B27064" t="str">
        <f>"15954256722"</f>
        <v>15954256722</v>
      </c>
      <c r="C27064" t="s">
        <v>1</v>
      </c>
      <c r="D27064" t="s">
        <v>1</v>
      </c>
      <c r="E27064" t="s">
        <v>1</v>
      </c>
      <c r="F27064" t="s">
        <v>0</v>
      </c>
      <c r="G27064" t="str">
        <f>"2018-10-05 11:25:53"</f>
        <v>2018-10-05 11:25:53</v>
      </c>
    </row>
    <row r="27065" spans="1:7" x14ac:dyDescent="0.2">
      <c r="A27065" t="s">
        <v>6588</v>
      </c>
      <c r="B27065" t="str">
        <f>"15000876253"</f>
        <v>15000876253</v>
      </c>
      <c r="C27065" t="str">
        <f>"310227197801274219"</f>
        <v>310227197801274219</v>
      </c>
      <c r="D27065" t="s">
        <v>1</v>
      </c>
      <c r="E27065" t="s">
        <v>1</v>
      </c>
      <c r="F27065" t="s">
        <v>0</v>
      </c>
      <c r="G27065" t="str">
        <f>"2018-10-05 11:27:42"</f>
        <v>2018-10-05 11:27:42</v>
      </c>
    </row>
    <row r="27066" spans="1:7" x14ac:dyDescent="0.2">
      <c r="A27066" t="s">
        <v>418</v>
      </c>
      <c r="B27066" t="str">
        <f>"13120221067"</f>
        <v>13120221067</v>
      </c>
      <c r="C27066" t="str">
        <f>"110222198812281815"</f>
        <v>110222198812281815</v>
      </c>
      <c r="D27066" t="s">
        <v>1</v>
      </c>
      <c r="E27066" t="s">
        <v>1</v>
      </c>
      <c r="F27066" t="s">
        <v>0</v>
      </c>
      <c r="G27066" t="str">
        <f>"2018-10-05 11:28:18"</f>
        <v>2018-10-05 11:28:18</v>
      </c>
    </row>
    <row r="27067" spans="1:7" x14ac:dyDescent="0.2">
      <c r="A27067" t="s">
        <v>24848</v>
      </c>
      <c r="B27067" t="str">
        <f>"18909481241"</f>
        <v>18909481241</v>
      </c>
      <c r="C27067" t="str">
        <f>"620121199111206938"</f>
        <v>620121199111206938</v>
      </c>
      <c r="D27067" t="s">
        <v>1</v>
      </c>
      <c r="E27067" t="s">
        <v>1</v>
      </c>
      <c r="F27067" t="s">
        <v>0</v>
      </c>
      <c r="G27067" t="str">
        <f>"2018-10-05 11:27:33"</f>
        <v>2018-10-05 11:27:33</v>
      </c>
    </row>
    <row r="27068" spans="1:7" x14ac:dyDescent="0.2">
      <c r="A27068" t="s">
        <v>24849</v>
      </c>
      <c r="B27068" t="str">
        <f>"13287810339"</f>
        <v>13287810339</v>
      </c>
      <c r="C27068" t="str">
        <f>"371002198607180030"</f>
        <v>371002198607180030</v>
      </c>
      <c r="D27068" t="s">
        <v>1</v>
      </c>
      <c r="E27068" t="s">
        <v>1</v>
      </c>
      <c r="F27068" t="s">
        <v>0</v>
      </c>
      <c r="G27068" t="str">
        <f>"2018-10-06 14:32:21"</f>
        <v>2018-10-06 14:32:21</v>
      </c>
    </row>
    <row r="27069" spans="1:7" x14ac:dyDescent="0.2">
      <c r="A27069" t="s">
        <v>24850</v>
      </c>
      <c r="B27069" t="str">
        <f>"13984744346"</f>
        <v>13984744346</v>
      </c>
      <c r="C27069" t="str">
        <f>"522422199504251036"</f>
        <v>522422199504251036</v>
      </c>
      <c r="D27069" t="s">
        <v>1</v>
      </c>
      <c r="E27069" t="s">
        <v>1</v>
      </c>
      <c r="F27069" t="s">
        <v>0</v>
      </c>
      <c r="G27069" t="str">
        <f>"2018-10-05 11:25:03"</f>
        <v>2018-10-05 11:25:03</v>
      </c>
    </row>
    <row r="27070" spans="1:7" x14ac:dyDescent="0.2">
      <c r="A27070" t="s">
        <v>24851</v>
      </c>
      <c r="B27070" t="str">
        <f>"17763396872"</f>
        <v>17763396872</v>
      </c>
      <c r="C27070" t="str">
        <f>"372929199206053019"</f>
        <v>372929199206053019</v>
      </c>
      <c r="D27070" t="s">
        <v>24852</v>
      </c>
      <c r="E27070" t="s">
        <v>24853</v>
      </c>
      <c r="F27070" t="s">
        <v>0</v>
      </c>
      <c r="G27070" t="str">
        <f>"2018-10-05 11:25:58"</f>
        <v>2018-10-05 11:25:58</v>
      </c>
    </row>
    <row r="27071" spans="1:7" x14ac:dyDescent="0.2">
      <c r="A27071" t="s">
        <v>24854</v>
      </c>
      <c r="B27071" t="str">
        <f>"18585043362"</f>
        <v>18585043362</v>
      </c>
      <c r="C27071" t="str">
        <f>"522522199608170017"</f>
        <v>522522199608170017</v>
      </c>
      <c r="D27071" t="s">
        <v>1</v>
      </c>
      <c r="E27071" t="s">
        <v>1</v>
      </c>
      <c r="F27071" t="s">
        <v>0</v>
      </c>
      <c r="G27071" t="str">
        <f>"2018-10-05 11:26:33"</f>
        <v>2018-10-05 11:26:33</v>
      </c>
    </row>
    <row r="27072" spans="1:7" x14ac:dyDescent="0.2">
      <c r="A27072" t="s">
        <v>24855</v>
      </c>
      <c r="B27072" t="str">
        <f>"13252900070"</f>
        <v>13252900070</v>
      </c>
      <c r="C27072" t="str">
        <f>"210281198309016823"</f>
        <v>210281198309016823</v>
      </c>
      <c r="D27072" t="s">
        <v>24856</v>
      </c>
      <c r="E27072" t="s">
        <v>24857</v>
      </c>
      <c r="F27072" t="s">
        <v>0</v>
      </c>
      <c r="G27072" t="str">
        <f>"2018-10-05 11:24:32"</f>
        <v>2018-10-05 11:24:32</v>
      </c>
    </row>
    <row r="27073" spans="1:7" x14ac:dyDescent="0.2">
      <c r="A27073" t="s">
        <v>24858</v>
      </c>
      <c r="B27073" t="str">
        <f>"18624279177"</f>
        <v>18624279177</v>
      </c>
      <c r="C27073" t="str">
        <f>"211103198004031535"</f>
        <v>211103198004031535</v>
      </c>
      <c r="D27073" t="s">
        <v>1</v>
      </c>
      <c r="E27073" t="s">
        <v>1</v>
      </c>
      <c r="F27073" t="s">
        <v>0</v>
      </c>
      <c r="G27073" t="str">
        <f>"2018-10-05 11:47:53"</f>
        <v>2018-10-05 11:47:53</v>
      </c>
    </row>
    <row r="27074" spans="1:7" x14ac:dyDescent="0.2">
      <c r="A27074" t="s">
        <v>24859</v>
      </c>
      <c r="B27074" t="str">
        <f>"13637264164"</f>
        <v>13637264164</v>
      </c>
      <c r="C27074" t="str">
        <f>"342401199407085675"</f>
        <v>342401199407085675</v>
      </c>
      <c r="D27074" t="s">
        <v>1</v>
      </c>
      <c r="E27074" t="s">
        <v>1</v>
      </c>
      <c r="F27074" t="s">
        <v>0</v>
      </c>
      <c r="G27074" t="str">
        <f>"2018-10-05 11:25:06"</f>
        <v>2018-10-05 11:25:06</v>
      </c>
    </row>
    <row r="27075" spans="1:7" x14ac:dyDescent="0.2">
      <c r="A27075" t="s">
        <v>1</v>
      </c>
      <c r="B27075" t="str">
        <f>"13978929112"</f>
        <v>13978929112</v>
      </c>
      <c r="C27075" t="s">
        <v>1</v>
      </c>
      <c r="D27075" t="s">
        <v>1</v>
      </c>
      <c r="E27075" t="s">
        <v>1</v>
      </c>
      <c r="F27075" t="s">
        <v>0</v>
      </c>
      <c r="G27075" t="str">
        <f>"2018-10-05 11:24:53"</f>
        <v>2018-10-05 11:24:53</v>
      </c>
    </row>
    <row r="27076" spans="1:7" x14ac:dyDescent="0.2">
      <c r="A27076" t="s">
        <v>1</v>
      </c>
      <c r="B27076" t="str">
        <f>"15841237721"</f>
        <v>15841237721</v>
      </c>
      <c r="C27076" t="s">
        <v>1</v>
      </c>
      <c r="D27076" t="s">
        <v>1</v>
      </c>
      <c r="E27076" t="s">
        <v>1</v>
      </c>
      <c r="F27076" t="s">
        <v>0</v>
      </c>
      <c r="G27076" t="str">
        <f>"2018-10-05 11:23:41"</f>
        <v>2018-10-05 11:23:41</v>
      </c>
    </row>
    <row r="27077" spans="1:7" x14ac:dyDescent="0.2">
      <c r="A27077" t="s">
        <v>1481</v>
      </c>
      <c r="B27077" t="str">
        <f>"18266183838"</f>
        <v>18266183838</v>
      </c>
      <c r="C27077" t="str">
        <f>"612322198411211715"</f>
        <v>612322198411211715</v>
      </c>
      <c r="D27077" t="s">
        <v>1</v>
      </c>
      <c r="E27077" t="s">
        <v>1</v>
      </c>
      <c r="F27077" t="s">
        <v>0</v>
      </c>
      <c r="G27077" t="str">
        <f>"2018-10-05 17:05:50"</f>
        <v>2018-10-05 17:05:50</v>
      </c>
    </row>
    <row r="27078" spans="1:7" x14ac:dyDescent="0.2">
      <c r="A27078" t="s">
        <v>1</v>
      </c>
      <c r="B27078" t="str">
        <f>"13369780046"</f>
        <v>13369780046</v>
      </c>
      <c r="C27078" t="s">
        <v>1</v>
      </c>
      <c r="D27078" t="s">
        <v>1</v>
      </c>
      <c r="E27078" t="s">
        <v>1</v>
      </c>
      <c r="F27078" t="s">
        <v>0</v>
      </c>
      <c r="G27078" t="str">
        <f>"2018-10-05 11:25:21"</f>
        <v>2018-10-05 11:25:21</v>
      </c>
    </row>
    <row r="27079" spans="1:7" x14ac:dyDescent="0.2">
      <c r="A27079" t="s">
        <v>1</v>
      </c>
      <c r="B27079" t="str">
        <f>"15127419888"</f>
        <v>15127419888</v>
      </c>
      <c r="C27079" t="s">
        <v>1</v>
      </c>
      <c r="D27079" t="s">
        <v>1</v>
      </c>
      <c r="E27079" t="s">
        <v>1</v>
      </c>
      <c r="F27079" t="s">
        <v>0</v>
      </c>
      <c r="G27079" t="str">
        <f>"2018-10-05 11:23:17"</f>
        <v>2018-10-05 11:23:17</v>
      </c>
    </row>
    <row r="27080" spans="1:7" x14ac:dyDescent="0.2">
      <c r="A27080" t="s">
        <v>24860</v>
      </c>
      <c r="B27080" t="str">
        <f>"13889806820"</f>
        <v>13889806820</v>
      </c>
      <c r="C27080" t="str">
        <f>"210104197004280313"</f>
        <v>210104197004280313</v>
      </c>
      <c r="D27080" t="s">
        <v>1</v>
      </c>
      <c r="E27080" t="s">
        <v>1</v>
      </c>
      <c r="F27080" t="s">
        <v>0</v>
      </c>
      <c r="G27080" t="str">
        <f>"2018-10-05 11:26:05"</f>
        <v>2018-10-05 11:26:05</v>
      </c>
    </row>
    <row r="27081" spans="1:7" x14ac:dyDescent="0.2">
      <c r="A27081" t="s">
        <v>24861</v>
      </c>
      <c r="B27081" t="str">
        <f>"17520500894"</f>
        <v>17520500894</v>
      </c>
      <c r="C27081" t="str">
        <f>"421003199808064015"</f>
        <v>421003199808064015</v>
      </c>
      <c r="D27081" t="s">
        <v>1</v>
      </c>
      <c r="E27081" t="s">
        <v>1</v>
      </c>
      <c r="F27081" t="s">
        <v>0</v>
      </c>
      <c r="G27081" t="str">
        <f>"2018-10-05 11:24:34"</f>
        <v>2018-10-05 11:24:34</v>
      </c>
    </row>
    <row r="27082" spans="1:7" x14ac:dyDescent="0.2">
      <c r="A27082" t="s">
        <v>1</v>
      </c>
      <c r="B27082" t="str">
        <f>"15602823182"</f>
        <v>15602823182</v>
      </c>
      <c r="C27082" t="s">
        <v>1</v>
      </c>
      <c r="D27082" t="s">
        <v>1</v>
      </c>
      <c r="E27082" t="s">
        <v>1</v>
      </c>
      <c r="F27082" t="s">
        <v>0</v>
      </c>
      <c r="G27082" t="str">
        <f>"2018-10-05 11:22:30"</f>
        <v>2018-10-05 11:22:30</v>
      </c>
    </row>
    <row r="27083" spans="1:7" x14ac:dyDescent="0.2">
      <c r="A27083" t="s">
        <v>268</v>
      </c>
      <c r="B27083" t="str">
        <f>"18690515073"</f>
        <v>18690515073</v>
      </c>
      <c r="C27083" t="str">
        <f>"612429199101200011"</f>
        <v>612429199101200011</v>
      </c>
      <c r="D27083" t="s">
        <v>1</v>
      </c>
      <c r="E27083" t="s">
        <v>1</v>
      </c>
      <c r="F27083" t="s">
        <v>0</v>
      </c>
      <c r="G27083" t="str">
        <f>"2018-10-05 11:23:08"</f>
        <v>2018-10-05 11:23:08</v>
      </c>
    </row>
    <row r="27084" spans="1:7" x14ac:dyDescent="0.2">
      <c r="A27084" t="s">
        <v>24862</v>
      </c>
      <c r="B27084" t="str">
        <f>"15554347000"</f>
        <v>15554347000</v>
      </c>
      <c r="C27084" t="str">
        <f>"372328199312270931"</f>
        <v>372328199312270931</v>
      </c>
      <c r="D27084" t="s">
        <v>1</v>
      </c>
      <c r="E27084" t="s">
        <v>1</v>
      </c>
      <c r="F27084" t="s">
        <v>0</v>
      </c>
      <c r="G27084" t="str">
        <f>"2018-10-05 11:46:08"</f>
        <v>2018-10-05 11:46:08</v>
      </c>
    </row>
    <row r="27085" spans="1:7" x14ac:dyDescent="0.2">
      <c r="A27085" t="s">
        <v>24863</v>
      </c>
      <c r="B27085" t="str">
        <f>"17621657014"</f>
        <v>17621657014</v>
      </c>
      <c r="C27085" t="str">
        <f>"320925199005091418"</f>
        <v>320925199005091418</v>
      </c>
      <c r="D27085" t="s">
        <v>1</v>
      </c>
      <c r="E27085" t="s">
        <v>1</v>
      </c>
      <c r="F27085" t="s">
        <v>0</v>
      </c>
      <c r="G27085" t="str">
        <f>"2018-10-05 11:23:02"</f>
        <v>2018-10-05 11:23:02</v>
      </c>
    </row>
    <row r="27086" spans="1:7" x14ac:dyDescent="0.2">
      <c r="A27086" t="s">
        <v>1</v>
      </c>
      <c r="B27086" t="str">
        <f>"13013450091"</f>
        <v>13013450091</v>
      </c>
      <c r="C27086" t="s">
        <v>1</v>
      </c>
      <c r="D27086" t="s">
        <v>1</v>
      </c>
      <c r="E27086" t="s">
        <v>1</v>
      </c>
      <c r="F27086" t="s">
        <v>0</v>
      </c>
      <c r="G27086" t="str">
        <f>"2018-10-05 11:22:24"</f>
        <v>2018-10-05 11:22:24</v>
      </c>
    </row>
    <row r="27087" spans="1:7" x14ac:dyDescent="0.2">
      <c r="A27087" t="s">
        <v>24864</v>
      </c>
      <c r="B27087" t="str">
        <f>"13335081856"</f>
        <v>13335081856</v>
      </c>
      <c r="C27087" t="str">
        <f>"231025198310071515"</f>
        <v>231025198310071515</v>
      </c>
      <c r="D27087" t="s">
        <v>1</v>
      </c>
      <c r="E27087" t="s">
        <v>1</v>
      </c>
      <c r="F27087" t="s">
        <v>0</v>
      </c>
      <c r="G27087" t="str">
        <f>"2018-10-05 11:19:57"</f>
        <v>2018-10-05 11:19:57</v>
      </c>
    </row>
    <row r="27088" spans="1:7" x14ac:dyDescent="0.2">
      <c r="A27088" t="s">
        <v>1</v>
      </c>
      <c r="B27088" t="str">
        <f>"13305731498"</f>
        <v>13305731498</v>
      </c>
      <c r="C27088" t="s">
        <v>1</v>
      </c>
      <c r="D27088" t="s">
        <v>1</v>
      </c>
      <c r="E27088" t="s">
        <v>1</v>
      </c>
      <c r="F27088" t="s">
        <v>0</v>
      </c>
      <c r="G27088" t="str">
        <f>"2018-10-05 11:48:59"</f>
        <v>2018-10-05 11:48:59</v>
      </c>
    </row>
    <row r="27089" spans="1:7" x14ac:dyDescent="0.2">
      <c r="A27089" t="s">
        <v>24865</v>
      </c>
      <c r="B27089" t="str">
        <f>"18674324333"</f>
        <v>18674324333</v>
      </c>
      <c r="C27089" t="str">
        <f>"433130198509210047"</f>
        <v>433130198509210047</v>
      </c>
      <c r="D27089" t="s">
        <v>1</v>
      </c>
      <c r="E27089" t="s">
        <v>1</v>
      </c>
      <c r="F27089" t="s">
        <v>0</v>
      </c>
      <c r="G27089" t="str">
        <f>"2018-10-05 11:21:59"</f>
        <v>2018-10-05 11:21:59</v>
      </c>
    </row>
    <row r="27090" spans="1:7" x14ac:dyDescent="0.2">
      <c r="A27090" t="s">
        <v>24866</v>
      </c>
      <c r="B27090" t="str">
        <f>"15680833388"</f>
        <v>15680833388</v>
      </c>
      <c r="C27090" t="str">
        <f>"510105198201301015"</f>
        <v>510105198201301015</v>
      </c>
      <c r="D27090" t="s">
        <v>1</v>
      </c>
      <c r="E27090" t="s">
        <v>1</v>
      </c>
      <c r="F27090" t="s">
        <v>0</v>
      </c>
      <c r="G27090" t="str">
        <f>"2018-10-05 11:20:33"</f>
        <v>2018-10-05 11:20:33</v>
      </c>
    </row>
    <row r="27091" spans="1:7" x14ac:dyDescent="0.2">
      <c r="A27091" t="s">
        <v>24867</v>
      </c>
      <c r="B27091" t="str">
        <f>"18889392567"</f>
        <v>18889392567</v>
      </c>
      <c r="C27091" t="str">
        <f>"460002198806180034"</f>
        <v>460002198806180034</v>
      </c>
      <c r="D27091" t="s">
        <v>1</v>
      </c>
      <c r="E27091" t="s">
        <v>1</v>
      </c>
      <c r="F27091" t="s">
        <v>0</v>
      </c>
      <c r="G27091" t="str">
        <f>"2018-10-27 06:48:16"</f>
        <v>2018-10-27 06:48:16</v>
      </c>
    </row>
    <row r="27092" spans="1:7" x14ac:dyDescent="0.2">
      <c r="A27092" t="s">
        <v>1</v>
      </c>
      <c r="B27092" t="str">
        <f>"18934631555"</f>
        <v>18934631555</v>
      </c>
      <c r="C27092" t="s">
        <v>1</v>
      </c>
      <c r="D27092" t="s">
        <v>1</v>
      </c>
      <c r="E27092" t="s">
        <v>1</v>
      </c>
      <c r="F27092" t="s">
        <v>0</v>
      </c>
      <c r="G27092" t="str">
        <f>"2018-10-05 11:18:48"</f>
        <v>2018-10-05 11:18:48</v>
      </c>
    </row>
    <row r="27093" spans="1:7" x14ac:dyDescent="0.2">
      <c r="A27093" t="s">
        <v>24868</v>
      </c>
      <c r="B27093" t="str">
        <f>"18980089060"</f>
        <v>18980089060</v>
      </c>
      <c r="C27093" t="str">
        <f>"511121198206257616"</f>
        <v>511121198206257616</v>
      </c>
      <c r="D27093" t="s">
        <v>1</v>
      </c>
      <c r="E27093" t="s">
        <v>1</v>
      </c>
      <c r="F27093" t="s">
        <v>0</v>
      </c>
      <c r="G27093" t="str">
        <f>"2018-10-05 13:50:19"</f>
        <v>2018-10-05 13:50:19</v>
      </c>
    </row>
    <row r="27094" spans="1:7" x14ac:dyDescent="0.2">
      <c r="A27094" t="s">
        <v>691</v>
      </c>
      <c r="B27094" t="str">
        <f>"15139018891"</f>
        <v>15139018891</v>
      </c>
      <c r="C27094" t="str">
        <f>"41132919941028282X"</f>
        <v>41132919941028282X</v>
      </c>
      <c r="D27094" t="s">
        <v>24869</v>
      </c>
      <c r="E27094" t="s">
        <v>24870</v>
      </c>
      <c r="F27094" t="s">
        <v>0</v>
      </c>
      <c r="G27094" t="str">
        <f>"2018-10-05 11:46:39"</f>
        <v>2018-10-05 11:46:39</v>
      </c>
    </row>
    <row r="27095" spans="1:7" x14ac:dyDescent="0.2">
      <c r="A27095" t="s">
        <v>1</v>
      </c>
      <c r="B27095" t="str">
        <f>"13299393199"</f>
        <v>13299393199</v>
      </c>
      <c r="C27095" t="s">
        <v>1</v>
      </c>
      <c r="D27095" t="s">
        <v>1</v>
      </c>
      <c r="E27095" t="s">
        <v>1</v>
      </c>
      <c r="F27095" t="s">
        <v>0</v>
      </c>
      <c r="G27095" t="str">
        <f>"2018-10-05 11:18:06"</f>
        <v>2018-10-05 11:18:06</v>
      </c>
    </row>
    <row r="27096" spans="1:7" x14ac:dyDescent="0.2">
      <c r="A27096" t="s">
        <v>24871</v>
      </c>
      <c r="B27096" t="str">
        <f>"13962251543"</f>
        <v>13962251543</v>
      </c>
      <c r="C27096" t="str">
        <f>"320582198909104534"</f>
        <v>320582198909104534</v>
      </c>
      <c r="D27096" t="s">
        <v>24872</v>
      </c>
      <c r="E27096" t="s">
        <v>24873</v>
      </c>
      <c r="F27096" t="s">
        <v>0</v>
      </c>
      <c r="G27096" t="str">
        <f>"2018-10-05 11:19:46"</f>
        <v>2018-10-05 11:19:46</v>
      </c>
    </row>
    <row r="27097" spans="1:7" x14ac:dyDescent="0.2">
      <c r="A27097" t="s">
        <v>24874</v>
      </c>
      <c r="B27097" t="str">
        <f>"18866177506"</f>
        <v>18866177506</v>
      </c>
      <c r="C27097" t="str">
        <f>"370783198807083978"</f>
        <v>370783198807083978</v>
      </c>
      <c r="D27097" t="s">
        <v>24875</v>
      </c>
      <c r="E27097" t="s">
        <v>24876</v>
      </c>
      <c r="F27097" t="s">
        <v>0</v>
      </c>
      <c r="G27097" t="str">
        <f>"2018-10-05 11:19:27"</f>
        <v>2018-10-05 11:19:27</v>
      </c>
    </row>
    <row r="27098" spans="1:7" x14ac:dyDescent="0.2">
      <c r="A27098" t="s">
        <v>24877</v>
      </c>
      <c r="B27098" t="str">
        <f>"17777981233"</f>
        <v>17777981233</v>
      </c>
      <c r="C27098" t="str">
        <f>"45050319890825127X"</f>
        <v>45050319890825127X</v>
      </c>
      <c r="D27098" t="s">
        <v>1</v>
      </c>
      <c r="E27098" t="s">
        <v>1</v>
      </c>
      <c r="F27098" t="s">
        <v>0</v>
      </c>
      <c r="G27098" t="str">
        <f>"2018-10-05 11:29:26"</f>
        <v>2018-10-05 11:29:26</v>
      </c>
    </row>
    <row r="27099" spans="1:7" x14ac:dyDescent="0.2">
      <c r="A27099" t="s">
        <v>24878</v>
      </c>
      <c r="B27099" t="str">
        <f>"15595633186"</f>
        <v>15595633186</v>
      </c>
      <c r="C27099" t="str">
        <f>"460025198707212437"</f>
        <v>460025198707212437</v>
      </c>
      <c r="D27099" t="s">
        <v>1</v>
      </c>
      <c r="E27099" t="s">
        <v>1</v>
      </c>
      <c r="F27099" t="s">
        <v>0</v>
      </c>
      <c r="G27099" t="str">
        <f>"2018-10-05 11:17:51"</f>
        <v>2018-10-05 11:17:51</v>
      </c>
    </row>
    <row r="27100" spans="1:7" x14ac:dyDescent="0.2">
      <c r="A27100" t="s">
        <v>24879</v>
      </c>
      <c r="B27100" t="str">
        <f>"18854813099"</f>
        <v>18854813099</v>
      </c>
      <c r="C27100" t="str">
        <f>"370923198604063939"</f>
        <v>370923198604063939</v>
      </c>
      <c r="D27100" t="s">
        <v>1</v>
      </c>
      <c r="E27100" t="s">
        <v>1</v>
      </c>
      <c r="F27100" t="s">
        <v>0</v>
      </c>
      <c r="G27100" t="str">
        <f>"2018-10-05 11:20:12"</f>
        <v>2018-10-05 11:20:12</v>
      </c>
    </row>
    <row r="27101" spans="1:7" x14ac:dyDescent="0.2">
      <c r="A27101" t="s">
        <v>24880</v>
      </c>
      <c r="B27101" t="str">
        <f>"15206173803"</f>
        <v>15206173803</v>
      </c>
      <c r="C27101" t="str">
        <f>"340121198910020732"</f>
        <v>340121198910020732</v>
      </c>
      <c r="D27101" t="s">
        <v>1</v>
      </c>
      <c r="E27101" t="s">
        <v>1</v>
      </c>
      <c r="F27101" t="s">
        <v>0</v>
      </c>
      <c r="G27101" t="str">
        <f>"2018-10-05 11:18:52"</f>
        <v>2018-10-05 11:18:52</v>
      </c>
    </row>
    <row r="27102" spans="1:7" x14ac:dyDescent="0.2">
      <c r="A27102" t="s">
        <v>24881</v>
      </c>
      <c r="B27102" t="str">
        <f>"13220064748"</f>
        <v>13220064748</v>
      </c>
      <c r="C27102" t="str">
        <f>"610624198612090515"</f>
        <v>610624198612090515</v>
      </c>
      <c r="D27102" t="s">
        <v>1</v>
      </c>
      <c r="E27102" t="s">
        <v>1</v>
      </c>
      <c r="F27102" t="s">
        <v>0</v>
      </c>
      <c r="G27102" t="str">
        <f>"2018-10-05 12:07:18"</f>
        <v>2018-10-05 12:07:18</v>
      </c>
    </row>
    <row r="27103" spans="1:7" x14ac:dyDescent="0.2">
      <c r="A27103" t="s">
        <v>1</v>
      </c>
      <c r="B27103" t="str">
        <f>"15534389332"</f>
        <v>15534389332</v>
      </c>
      <c r="C27103" t="s">
        <v>1</v>
      </c>
      <c r="D27103" t="s">
        <v>1</v>
      </c>
      <c r="E27103" t="s">
        <v>1</v>
      </c>
      <c r="F27103" t="s">
        <v>0</v>
      </c>
      <c r="G27103" t="str">
        <f>"2018-10-05 11:16:16"</f>
        <v>2018-10-05 11:16:16</v>
      </c>
    </row>
    <row r="27104" spans="1:7" x14ac:dyDescent="0.2">
      <c r="A27104" t="s">
        <v>24882</v>
      </c>
      <c r="B27104" t="str">
        <f>"13251230807"</f>
        <v>13251230807</v>
      </c>
      <c r="C27104" t="str">
        <f>"500232199204023142"</f>
        <v>500232199204023142</v>
      </c>
      <c r="D27104" t="s">
        <v>24883</v>
      </c>
      <c r="E27104" t="s">
        <v>24884</v>
      </c>
      <c r="F27104" t="s">
        <v>0</v>
      </c>
      <c r="G27104" t="str">
        <f>"2018-10-15 12:32:35"</f>
        <v>2018-10-15 12:32:35</v>
      </c>
    </row>
    <row r="27105" spans="1:7" x14ac:dyDescent="0.2">
      <c r="A27105" t="s">
        <v>24885</v>
      </c>
      <c r="B27105" t="str">
        <f>"18394869667"</f>
        <v>18394869667</v>
      </c>
      <c r="C27105" t="str">
        <f>"622825198201180322"</f>
        <v>622825198201180322</v>
      </c>
      <c r="D27105" t="s">
        <v>1</v>
      </c>
      <c r="E27105" t="s">
        <v>1</v>
      </c>
      <c r="F27105" t="s">
        <v>0</v>
      </c>
      <c r="G27105" t="str">
        <f>"2018-10-05 11:16:14"</f>
        <v>2018-10-05 11:16:14</v>
      </c>
    </row>
    <row r="27106" spans="1:7" x14ac:dyDescent="0.2">
      <c r="A27106" t="s">
        <v>24886</v>
      </c>
      <c r="B27106" t="str">
        <f>"18773007020"</f>
        <v>18773007020</v>
      </c>
      <c r="C27106" t="str">
        <f>"430602199102284013"</f>
        <v>430602199102284013</v>
      </c>
      <c r="D27106" t="s">
        <v>1</v>
      </c>
      <c r="E27106" t="s">
        <v>1</v>
      </c>
      <c r="F27106" t="s">
        <v>0</v>
      </c>
      <c r="G27106" t="str">
        <f>"2018-10-22 13:52:01"</f>
        <v>2018-10-22 13:52:01</v>
      </c>
    </row>
    <row r="27107" spans="1:7" x14ac:dyDescent="0.2">
      <c r="A27107" t="s">
        <v>271</v>
      </c>
      <c r="B27107" t="str">
        <f>"15172958678"</f>
        <v>15172958678</v>
      </c>
      <c r="C27107" t="str">
        <f>"42280219810912545X"</f>
        <v>42280219810912545X</v>
      </c>
      <c r="D27107" t="s">
        <v>24887</v>
      </c>
      <c r="E27107" t="s">
        <v>24888</v>
      </c>
      <c r="F27107" t="s">
        <v>0</v>
      </c>
      <c r="G27107" t="str">
        <f>"2018-10-13 09:46:38"</f>
        <v>2018-10-13 09:46:38</v>
      </c>
    </row>
    <row r="27108" spans="1:7" x14ac:dyDescent="0.2">
      <c r="A27108" t="s">
        <v>28</v>
      </c>
      <c r="B27108" t="str">
        <f>"13696514646"</f>
        <v>13696514646</v>
      </c>
      <c r="C27108" t="str">
        <f>"340121198607051018"</f>
        <v>340121198607051018</v>
      </c>
      <c r="D27108" t="s">
        <v>1</v>
      </c>
      <c r="E27108" t="s">
        <v>1</v>
      </c>
      <c r="F27108" t="s">
        <v>0</v>
      </c>
      <c r="G27108" t="str">
        <f>"2018-10-18 22:27:38"</f>
        <v>2018-10-18 22:27:38</v>
      </c>
    </row>
    <row r="27109" spans="1:7" x14ac:dyDescent="0.2">
      <c r="A27109" t="s">
        <v>1533</v>
      </c>
      <c r="B27109" t="str">
        <f>"18357426535"</f>
        <v>18357426535</v>
      </c>
      <c r="C27109" t="str">
        <f>"511523198502015931"</f>
        <v>511523198502015931</v>
      </c>
      <c r="D27109" t="s">
        <v>24889</v>
      </c>
      <c r="E27109" t="s">
        <v>24890</v>
      </c>
      <c r="F27109" t="s">
        <v>0</v>
      </c>
      <c r="G27109" t="str">
        <f>"2018-10-05 11:14:04"</f>
        <v>2018-10-05 11:14:04</v>
      </c>
    </row>
    <row r="27110" spans="1:7" x14ac:dyDescent="0.2">
      <c r="A27110" t="s">
        <v>24891</v>
      </c>
      <c r="B27110" t="str">
        <f>"18079200034"</f>
        <v>18079200034</v>
      </c>
      <c r="C27110" t="str">
        <f>"360426198712145018"</f>
        <v>360426198712145018</v>
      </c>
      <c r="D27110" t="s">
        <v>1</v>
      </c>
      <c r="E27110" t="s">
        <v>1</v>
      </c>
      <c r="F27110" t="s">
        <v>0</v>
      </c>
      <c r="G27110" t="str">
        <f>"2018-10-05 11:13:39"</f>
        <v>2018-10-05 11:13:39</v>
      </c>
    </row>
    <row r="27111" spans="1:7" x14ac:dyDescent="0.2">
      <c r="A27111" t="s">
        <v>24892</v>
      </c>
      <c r="B27111" t="str">
        <f>"18329196801"</f>
        <v>18329196801</v>
      </c>
      <c r="C27111" t="str">
        <f>"330124198507180637"</f>
        <v>330124198507180637</v>
      </c>
      <c r="D27111" t="s">
        <v>1</v>
      </c>
      <c r="E27111" t="s">
        <v>1</v>
      </c>
      <c r="F27111" t="s">
        <v>0</v>
      </c>
      <c r="G27111" t="str">
        <f>"2018-10-05 11:17:44"</f>
        <v>2018-10-05 11:17:44</v>
      </c>
    </row>
    <row r="27112" spans="1:7" x14ac:dyDescent="0.2">
      <c r="A27112" t="s">
        <v>24893</v>
      </c>
      <c r="B27112" t="str">
        <f>"18297607520"</f>
        <v>18297607520</v>
      </c>
      <c r="C27112" t="str">
        <f>"340421199202022420"</f>
        <v>340421199202022420</v>
      </c>
      <c r="D27112" t="s">
        <v>1</v>
      </c>
      <c r="E27112" t="s">
        <v>1</v>
      </c>
      <c r="F27112" t="s">
        <v>0</v>
      </c>
      <c r="G27112" t="str">
        <f>"2018-10-05 11:14:54"</f>
        <v>2018-10-05 11:14:54</v>
      </c>
    </row>
    <row r="27113" spans="1:7" x14ac:dyDescent="0.2">
      <c r="A27113" t="s">
        <v>3851</v>
      </c>
      <c r="B27113" t="str">
        <f>"18037192336"</f>
        <v>18037192336</v>
      </c>
      <c r="C27113" t="str">
        <f>"410425198912180537"</f>
        <v>410425198912180537</v>
      </c>
      <c r="D27113" t="s">
        <v>1</v>
      </c>
      <c r="E27113" t="s">
        <v>1</v>
      </c>
      <c r="F27113" t="s">
        <v>0</v>
      </c>
      <c r="G27113" t="str">
        <f>"2018-10-05 11:15:52"</f>
        <v>2018-10-05 11:15:52</v>
      </c>
    </row>
    <row r="27114" spans="1:7" x14ac:dyDescent="0.2">
      <c r="A27114" t="s">
        <v>24894</v>
      </c>
      <c r="B27114" t="str">
        <f>"18638326871"</f>
        <v>18638326871</v>
      </c>
      <c r="C27114" t="str">
        <f>"410703198903022017"</f>
        <v>410703198903022017</v>
      </c>
      <c r="D27114" t="s">
        <v>1</v>
      </c>
      <c r="E27114" t="s">
        <v>1</v>
      </c>
      <c r="F27114" t="s">
        <v>0</v>
      </c>
      <c r="G27114" t="str">
        <f>"2018-10-05 11:28:21"</f>
        <v>2018-10-05 11:28:21</v>
      </c>
    </row>
    <row r="27115" spans="1:7" x14ac:dyDescent="0.2">
      <c r="A27115" t="s">
        <v>24895</v>
      </c>
      <c r="B27115" t="str">
        <f>"18670887888"</f>
        <v>18670887888</v>
      </c>
      <c r="C27115" t="str">
        <f>"330182198809090315"</f>
        <v>330182198809090315</v>
      </c>
      <c r="D27115" t="s">
        <v>24896</v>
      </c>
      <c r="E27115" t="s">
        <v>24897</v>
      </c>
      <c r="F27115" t="s">
        <v>0</v>
      </c>
      <c r="G27115" t="str">
        <f>"2018-10-05 11:14:51"</f>
        <v>2018-10-05 11:14:51</v>
      </c>
    </row>
    <row r="27116" spans="1:7" x14ac:dyDescent="0.2">
      <c r="A27116" t="s">
        <v>1</v>
      </c>
      <c r="B27116" t="str">
        <f>"13186159083"</f>
        <v>13186159083</v>
      </c>
      <c r="C27116" t="s">
        <v>1</v>
      </c>
      <c r="D27116" t="s">
        <v>1</v>
      </c>
      <c r="E27116" t="s">
        <v>1</v>
      </c>
      <c r="F27116" t="s">
        <v>0</v>
      </c>
      <c r="G27116" t="str">
        <f>"2018-10-05 11:13:10"</f>
        <v>2018-10-05 11:13:10</v>
      </c>
    </row>
    <row r="27117" spans="1:7" x14ac:dyDescent="0.2">
      <c r="A27117" t="s">
        <v>1522</v>
      </c>
      <c r="B27117" t="str">
        <f>"15377669991"</f>
        <v>15377669991</v>
      </c>
      <c r="C27117" t="str">
        <f>"420106197505300820"</f>
        <v>420106197505300820</v>
      </c>
      <c r="D27117" t="s">
        <v>1</v>
      </c>
      <c r="E27117" t="s">
        <v>1</v>
      </c>
      <c r="F27117" t="s">
        <v>0</v>
      </c>
      <c r="G27117" t="str">
        <f>"2018-10-05 11:12:56"</f>
        <v>2018-10-05 11:12:56</v>
      </c>
    </row>
    <row r="27118" spans="1:7" x14ac:dyDescent="0.2">
      <c r="A27118" t="s">
        <v>24898</v>
      </c>
      <c r="B27118" t="str">
        <f>"15501523030"</f>
        <v>15501523030</v>
      </c>
      <c r="C27118" t="str">
        <f>"350321199605080752"</f>
        <v>350321199605080752</v>
      </c>
      <c r="D27118" t="s">
        <v>1</v>
      </c>
      <c r="E27118" t="s">
        <v>1</v>
      </c>
      <c r="F27118" t="s">
        <v>0</v>
      </c>
      <c r="G27118" t="str">
        <f>"2018-10-05 11:14:11"</f>
        <v>2018-10-05 11:14:11</v>
      </c>
    </row>
    <row r="27119" spans="1:7" x14ac:dyDescent="0.2">
      <c r="A27119" t="s">
        <v>1027</v>
      </c>
      <c r="B27119" t="str">
        <f>"15377001809"</f>
        <v>15377001809</v>
      </c>
      <c r="C27119" t="str">
        <f>"420116198909094530"</f>
        <v>420116198909094530</v>
      </c>
      <c r="D27119" t="s">
        <v>24899</v>
      </c>
      <c r="E27119" t="s">
        <v>24900</v>
      </c>
      <c r="F27119" t="s">
        <v>0</v>
      </c>
      <c r="G27119" t="str">
        <f>"2018-10-05 11:15:23"</f>
        <v>2018-10-05 11:15:23</v>
      </c>
    </row>
    <row r="27120" spans="1:7" x14ac:dyDescent="0.2">
      <c r="A27120" t="s">
        <v>867</v>
      </c>
      <c r="B27120" t="str">
        <f>"18825249939"</f>
        <v>18825249939</v>
      </c>
      <c r="C27120" t="str">
        <f>"341203199203122236"</f>
        <v>341203199203122236</v>
      </c>
      <c r="D27120" t="s">
        <v>24901</v>
      </c>
      <c r="E27120" t="s">
        <v>24902</v>
      </c>
      <c r="F27120" t="s">
        <v>0</v>
      </c>
      <c r="G27120" t="str">
        <f>"2018-10-05 11:27:44"</f>
        <v>2018-10-05 11:27:44</v>
      </c>
    </row>
    <row r="27121" spans="1:7" x14ac:dyDescent="0.2">
      <c r="A27121" t="s">
        <v>1</v>
      </c>
      <c r="B27121" t="str">
        <f>"18551731180"</f>
        <v>18551731180</v>
      </c>
      <c r="C27121" t="s">
        <v>1</v>
      </c>
      <c r="D27121" t="s">
        <v>1</v>
      </c>
      <c r="E27121" t="s">
        <v>1</v>
      </c>
      <c r="F27121" t="s">
        <v>0</v>
      </c>
      <c r="G27121" t="str">
        <f>"2018-10-05 11:12:30"</f>
        <v>2018-10-05 11:12:30</v>
      </c>
    </row>
    <row r="27122" spans="1:7" x14ac:dyDescent="0.2">
      <c r="A27122" t="s">
        <v>1</v>
      </c>
      <c r="B27122" t="str">
        <f>"18757459357"</f>
        <v>18757459357</v>
      </c>
      <c r="C27122" t="s">
        <v>1</v>
      </c>
      <c r="D27122" t="s">
        <v>1</v>
      </c>
      <c r="E27122" t="s">
        <v>1</v>
      </c>
      <c r="F27122" t="s">
        <v>0</v>
      </c>
      <c r="G27122" t="str">
        <f>"2018-10-05 11:13:15"</f>
        <v>2018-10-05 11:13:15</v>
      </c>
    </row>
    <row r="27123" spans="1:7" x14ac:dyDescent="0.2">
      <c r="A27123" t="s">
        <v>24903</v>
      </c>
      <c r="B27123" t="str">
        <f>"15928182223"</f>
        <v>15928182223</v>
      </c>
      <c r="C27123" t="str">
        <f>"510182198411290011"</f>
        <v>510182198411290011</v>
      </c>
      <c r="D27123" t="s">
        <v>1</v>
      </c>
      <c r="E27123" t="s">
        <v>1</v>
      </c>
      <c r="F27123" t="s">
        <v>0</v>
      </c>
      <c r="G27123" t="str">
        <f>"2018-10-05 11:24:07"</f>
        <v>2018-10-05 11:24:07</v>
      </c>
    </row>
    <row r="27124" spans="1:7" x14ac:dyDescent="0.2">
      <c r="A27124" t="s">
        <v>1</v>
      </c>
      <c r="B27124" t="str">
        <f>"13629751413"</f>
        <v>13629751413</v>
      </c>
      <c r="C27124" t="s">
        <v>1</v>
      </c>
      <c r="D27124" t="s">
        <v>1</v>
      </c>
      <c r="E27124" t="s">
        <v>1</v>
      </c>
      <c r="F27124" t="s">
        <v>0</v>
      </c>
      <c r="G27124" t="str">
        <f>"2018-10-05 11:11:52"</f>
        <v>2018-10-05 11:11:52</v>
      </c>
    </row>
    <row r="27125" spans="1:7" x14ac:dyDescent="0.2">
      <c r="A27125" t="s">
        <v>1</v>
      </c>
      <c r="B27125" t="str">
        <f>"15569318916"</f>
        <v>15569318916</v>
      </c>
      <c r="C27125" t="s">
        <v>1</v>
      </c>
      <c r="D27125" t="s">
        <v>1</v>
      </c>
      <c r="E27125" t="s">
        <v>1</v>
      </c>
      <c r="F27125" t="s">
        <v>0</v>
      </c>
      <c r="G27125" t="str">
        <f>"2018-10-05 11:13:23"</f>
        <v>2018-10-05 11:13:23</v>
      </c>
    </row>
    <row r="27126" spans="1:7" x14ac:dyDescent="0.2">
      <c r="A27126" t="s">
        <v>24904</v>
      </c>
      <c r="B27126" t="str">
        <f>"13697754567"</f>
        <v>13697754567</v>
      </c>
      <c r="C27126" t="str">
        <f>"440421198912208210"</f>
        <v>440421198912208210</v>
      </c>
      <c r="D27126" t="s">
        <v>1</v>
      </c>
      <c r="E27126" t="s">
        <v>1</v>
      </c>
      <c r="F27126" t="s">
        <v>0</v>
      </c>
      <c r="G27126" t="str">
        <f>"2018-10-05 11:13:27"</f>
        <v>2018-10-05 11:13:27</v>
      </c>
    </row>
    <row r="27127" spans="1:7" x14ac:dyDescent="0.2">
      <c r="A27127" t="s">
        <v>24905</v>
      </c>
      <c r="B27127" t="str">
        <f>"18520584815"</f>
        <v>18520584815</v>
      </c>
      <c r="C27127" t="str">
        <f>"440182199201033013"</f>
        <v>440182199201033013</v>
      </c>
      <c r="D27127" t="s">
        <v>1</v>
      </c>
      <c r="E27127" t="s">
        <v>1</v>
      </c>
      <c r="F27127" t="s">
        <v>0</v>
      </c>
      <c r="G27127" t="str">
        <f>"2018-10-18 11:08:39"</f>
        <v>2018-10-18 11:08:39</v>
      </c>
    </row>
    <row r="27128" spans="1:7" x14ac:dyDescent="0.2">
      <c r="A27128" t="s">
        <v>24906</v>
      </c>
      <c r="B27128" t="str">
        <f>"13760161496"</f>
        <v>13760161496</v>
      </c>
      <c r="C27128" t="str">
        <f>"362321198309161039"</f>
        <v>362321198309161039</v>
      </c>
      <c r="D27128" t="s">
        <v>24907</v>
      </c>
      <c r="E27128" t="s">
        <v>24908</v>
      </c>
      <c r="F27128" t="s">
        <v>0</v>
      </c>
      <c r="G27128" t="str">
        <f>"2018-10-05 13:57:44"</f>
        <v>2018-10-05 13:57:44</v>
      </c>
    </row>
    <row r="27129" spans="1:7" x14ac:dyDescent="0.2">
      <c r="A27129" t="s">
        <v>24909</v>
      </c>
      <c r="B27129" t="str">
        <f>"18109152201"</f>
        <v>18109152201</v>
      </c>
      <c r="C27129" t="str">
        <f>"612401199406191877"</f>
        <v>612401199406191877</v>
      </c>
      <c r="D27129" t="s">
        <v>1</v>
      </c>
      <c r="E27129" t="s">
        <v>1</v>
      </c>
      <c r="F27129" t="s">
        <v>0</v>
      </c>
      <c r="G27129" t="str">
        <f>"2018-10-05 11:15:08"</f>
        <v>2018-10-05 11:15:08</v>
      </c>
    </row>
    <row r="27130" spans="1:7" x14ac:dyDescent="0.2">
      <c r="A27130" t="s">
        <v>24910</v>
      </c>
      <c r="B27130" t="str">
        <f>"13232826192"</f>
        <v>13232826192</v>
      </c>
      <c r="C27130" t="str">
        <f>"441882198502091211"</f>
        <v>441882198502091211</v>
      </c>
      <c r="D27130" t="s">
        <v>1</v>
      </c>
      <c r="E27130" t="s">
        <v>1</v>
      </c>
      <c r="F27130" t="s">
        <v>0</v>
      </c>
      <c r="G27130" t="str">
        <f>"2018-10-11 20:26:07"</f>
        <v>2018-10-11 20:26:07</v>
      </c>
    </row>
    <row r="27131" spans="1:7" x14ac:dyDescent="0.2">
      <c r="A27131" t="s">
        <v>24911</v>
      </c>
      <c r="B27131" t="str">
        <f>"18669669319"</f>
        <v>18669669319</v>
      </c>
      <c r="C27131" t="str">
        <f>"371324199310158413"</f>
        <v>371324199310158413</v>
      </c>
      <c r="D27131" t="s">
        <v>1</v>
      </c>
      <c r="E27131" t="s">
        <v>1</v>
      </c>
      <c r="F27131" t="s">
        <v>0</v>
      </c>
      <c r="G27131" t="str">
        <f>"2018-10-20 10:49:02"</f>
        <v>2018-10-20 10:49:02</v>
      </c>
    </row>
    <row r="27132" spans="1:7" x14ac:dyDescent="0.2">
      <c r="A27132" t="s">
        <v>1</v>
      </c>
      <c r="B27132" t="str">
        <f>"18993208328"</f>
        <v>18993208328</v>
      </c>
      <c r="C27132" t="s">
        <v>1</v>
      </c>
      <c r="D27132" t="s">
        <v>1</v>
      </c>
      <c r="E27132" t="s">
        <v>1</v>
      </c>
      <c r="F27132" t="s">
        <v>0</v>
      </c>
      <c r="G27132" t="str">
        <f>"2018-10-05 11:09:57"</f>
        <v>2018-10-05 11:09:57</v>
      </c>
    </row>
    <row r="27133" spans="1:7" x14ac:dyDescent="0.2">
      <c r="A27133" t="s">
        <v>24912</v>
      </c>
      <c r="B27133" t="str">
        <f>"18843351978"</f>
        <v>18843351978</v>
      </c>
      <c r="C27133" t="str">
        <f>"222406197804161235"</f>
        <v>222406197804161235</v>
      </c>
      <c r="D27133" t="s">
        <v>24913</v>
      </c>
      <c r="E27133" t="s">
        <v>24914</v>
      </c>
      <c r="F27133" t="s">
        <v>0</v>
      </c>
      <c r="G27133" t="str">
        <f>"2018-10-05 12:26:35"</f>
        <v>2018-10-05 12:26:35</v>
      </c>
    </row>
    <row r="27134" spans="1:7" x14ac:dyDescent="0.2">
      <c r="A27134" t="s">
        <v>1</v>
      </c>
      <c r="B27134" t="str">
        <f>"13152895455"</f>
        <v>13152895455</v>
      </c>
      <c r="C27134" t="s">
        <v>1</v>
      </c>
      <c r="D27134" t="s">
        <v>1</v>
      </c>
      <c r="E27134" t="s">
        <v>1</v>
      </c>
      <c r="F27134" t="s">
        <v>0</v>
      </c>
      <c r="G27134" t="str">
        <f>"2018-10-05 11:09:26"</f>
        <v>2018-10-05 11:09:26</v>
      </c>
    </row>
    <row r="27135" spans="1:7" x14ac:dyDescent="0.2">
      <c r="A27135" t="s">
        <v>912</v>
      </c>
      <c r="B27135" t="str">
        <f>"13235271015"</f>
        <v>13235271015</v>
      </c>
      <c r="C27135" t="str">
        <f>"321002199512085511"</f>
        <v>321002199512085511</v>
      </c>
      <c r="D27135" t="s">
        <v>1</v>
      </c>
      <c r="E27135" t="s">
        <v>1</v>
      </c>
      <c r="F27135" t="s">
        <v>0</v>
      </c>
      <c r="G27135" t="str">
        <f>"2018-10-05 11:11:13"</f>
        <v>2018-10-05 11:11:13</v>
      </c>
    </row>
    <row r="27136" spans="1:7" x14ac:dyDescent="0.2">
      <c r="A27136" t="s">
        <v>328</v>
      </c>
      <c r="B27136" t="str">
        <f>"13123882033"</f>
        <v>13123882033</v>
      </c>
      <c r="C27136" t="str">
        <f>"330283199302260019"</f>
        <v>330283199302260019</v>
      </c>
      <c r="D27136" t="s">
        <v>1</v>
      </c>
      <c r="E27136" t="s">
        <v>1</v>
      </c>
      <c r="F27136" t="s">
        <v>0</v>
      </c>
      <c r="G27136" t="str">
        <f>"2018-10-06 14:30:34"</f>
        <v>2018-10-06 14:30:34</v>
      </c>
    </row>
    <row r="27137" spans="1:7" x14ac:dyDescent="0.2">
      <c r="A27137" t="s">
        <v>24915</v>
      </c>
      <c r="B27137" t="str">
        <f>"15809910805"</f>
        <v>15809910805</v>
      </c>
      <c r="C27137" t="str">
        <f>"652322199303010520"</f>
        <v>652322199303010520</v>
      </c>
      <c r="D27137" t="s">
        <v>1</v>
      </c>
      <c r="E27137" t="s">
        <v>1</v>
      </c>
      <c r="F27137" t="s">
        <v>0</v>
      </c>
      <c r="G27137" t="str">
        <f>"2018-10-12 09:53:17"</f>
        <v>2018-10-12 09:53:17</v>
      </c>
    </row>
    <row r="27138" spans="1:7" x14ac:dyDescent="0.2">
      <c r="A27138" t="s">
        <v>24916</v>
      </c>
      <c r="B27138" t="str">
        <f>"13137219800"</f>
        <v>13137219800</v>
      </c>
      <c r="C27138" t="str">
        <f>"410503195508140510"</f>
        <v>410503195508140510</v>
      </c>
      <c r="D27138" t="s">
        <v>1</v>
      </c>
      <c r="E27138" t="s">
        <v>1</v>
      </c>
      <c r="F27138" t="s">
        <v>0</v>
      </c>
      <c r="G27138" t="str">
        <f>"2018-10-05 11:10:01"</f>
        <v>2018-10-05 11:10:01</v>
      </c>
    </row>
    <row r="27139" spans="1:7" x14ac:dyDescent="0.2">
      <c r="A27139" t="s">
        <v>1</v>
      </c>
      <c r="B27139" t="str">
        <f>"15604331380"</f>
        <v>15604331380</v>
      </c>
      <c r="C27139" t="s">
        <v>1</v>
      </c>
      <c r="D27139" t="s">
        <v>1</v>
      </c>
      <c r="E27139" t="s">
        <v>1</v>
      </c>
      <c r="F27139" t="s">
        <v>0</v>
      </c>
      <c r="G27139" t="str">
        <f>"2018-10-05 11:08:38"</f>
        <v>2018-10-05 11:08:38</v>
      </c>
    </row>
    <row r="27140" spans="1:7" x14ac:dyDescent="0.2">
      <c r="A27140" t="s">
        <v>24917</v>
      </c>
      <c r="B27140" t="str">
        <f>"13808743397"</f>
        <v>13808743397</v>
      </c>
      <c r="C27140" t="str">
        <f>"532201198107161306"</f>
        <v>532201198107161306</v>
      </c>
      <c r="D27140" t="s">
        <v>1</v>
      </c>
      <c r="E27140" t="s">
        <v>1</v>
      </c>
      <c r="F27140" t="s">
        <v>0</v>
      </c>
      <c r="G27140" t="str">
        <f>"2018-10-05 11:10:00"</f>
        <v>2018-10-05 11:10:00</v>
      </c>
    </row>
    <row r="27141" spans="1:7" x14ac:dyDescent="0.2">
      <c r="A27141" t="s">
        <v>256</v>
      </c>
      <c r="B27141" t="str">
        <f>"13581968199"</f>
        <v>13581968199</v>
      </c>
      <c r="C27141" t="str">
        <f>"152104197909150631"</f>
        <v>152104197909150631</v>
      </c>
      <c r="D27141" t="s">
        <v>1</v>
      </c>
      <c r="E27141" t="s">
        <v>1</v>
      </c>
      <c r="F27141" t="s">
        <v>0</v>
      </c>
      <c r="G27141" t="str">
        <f>"2018-10-05 11:09:35"</f>
        <v>2018-10-05 11:09:35</v>
      </c>
    </row>
    <row r="27142" spans="1:7" x14ac:dyDescent="0.2">
      <c r="A27142" t="s">
        <v>24918</v>
      </c>
      <c r="B27142" t="str">
        <f>"13295520859"</f>
        <v>13295520859</v>
      </c>
      <c r="C27142" t="str">
        <f>"340321197705061494"</f>
        <v>340321197705061494</v>
      </c>
      <c r="D27142" t="s">
        <v>24919</v>
      </c>
      <c r="E27142" t="s">
        <v>24920</v>
      </c>
      <c r="F27142" t="s">
        <v>0</v>
      </c>
      <c r="G27142" t="str">
        <f>"2018-10-05 11:08:20"</f>
        <v>2018-10-05 11:08:20</v>
      </c>
    </row>
    <row r="27143" spans="1:7" x14ac:dyDescent="0.2">
      <c r="A27143" t="s">
        <v>24921</v>
      </c>
      <c r="B27143" t="str">
        <f>"15523081516"</f>
        <v>15523081516</v>
      </c>
      <c r="C27143" t="str">
        <f>"500234199005111855"</f>
        <v>500234199005111855</v>
      </c>
      <c r="D27143" t="s">
        <v>1</v>
      </c>
      <c r="E27143" t="s">
        <v>1</v>
      </c>
      <c r="F27143" t="s">
        <v>0</v>
      </c>
      <c r="G27143" t="str">
        <f>"2018-10-05 11:14:59"</f>
        <v>2018-10-05 11:14:59</v>
      </c>
    </row>
    <row r="27144" spans="1:7" x14ac:dyDescent="0.2">
      <c r="A27144" t="s">
        <v>1</v>
      </c>
      <c r="B27144" t="str">
        <f>"18635620773"</f>
        <v>18635620773</v>
      </c>
      <c r="C27144" t="s">
        <v>1</v>
      </c>
      <c r="D27144" t="s">
        <v>1</v>
      </c>
      <c r="E27144" t="s">
        <v>1</v>
      </c>
      <c r="F27144" t="s">
        <v>0</v>
      </c>
      <c r="G27144" t="str">
        <f>"2018-10-05 11:07:43"</f>
        <v>2018-10-05 11:07:43</v>
      </c>
    </row>
    <row r="27145" spans="1:7" x14ac:dyDescent="0.2">
      <c r="A27145" t="s">
        <v>1</v>
      </c>
      <c r="B27145" t="str">
        <f>"13205704719"</f>
        <v>13205704719</v>
      </c>
      <c r="C27145" t="s">
        <v>1</v>
      </c>
      <c r="D27145" t="s">
        <v>1</v>
      </c>
      <c r="E27145" t="s">
        <v>1</v>
      </c>
      <c r="F27145" t="s">
        <v>0</v>
      </c>
      <c r="G27145" t="str">
        <f>"2018-10-05 11:07:43"</f>
        <v>2018-10-05 11:07:43</v>
      </c>
    </row>
    <row r="27146" spans="1:7" x14ac:dyDescent="0.2">
      <c r="A27146" t="s">
        <v>1</v>
      </c>
      <c r="B27146" t="str">
        <f>"17727926180"</f>
        <v>17727926180</v>
      </c>
      <c r="C27146" t="s">
        <v>1</v>
      </c>
      <c r="D27146" t="s">
        <v>1</v>
      </c>
      <c r="E27146" t="s">
        <v>1</v>
      </c>
      <c r="F27146" t="s">
        <v>0</v>
      </c>
      <c r="G27146" t="str">
        <f>"2018-10-05 11:09:16"</f>
        <v>2018-10-05 11:09:16</v>
      </c>
    </row>
    <row r="27147" spans="1:7" x14ac:dyDescent="0.2">
      <c r="A27147" t="s">
        <v>1</v>
      </c>
      <c r="B27147" t="str">
        <f>"15976037252"</f>
        <v>15976037252</v>
      </c>
      <c r="C27147" t="s">
        <v>1</v>
      </c>
      <c r="D27147" t="s">
        <v>1</v>
      </c>
      <c r="E27147" t="s">
        <v>1</v>
      </c>
      <c r="F27147" t="s">
        <v>0</v>
      </c>
      <c r="G27147" t="str">
        <f>"2018-10-05 11:38:57"</f>
        <v>2018-10-05 11:38:57</v>
      </c>
    </row>
    <row r="27148" spans="1:7" x14ac:dyDescent="0.2">
      <c r="A27148" t="s">
        <v>1</v>
      </c>
      <c r="B27148" t="str">
        <f>"17681651851"</f>
        <v>17681651851</v>
      </c>
      <c r="C27148" t="s">
        <v>1</v>
      </c>
      <c r="D27148" t="s">
        <v>1</v>
      </c>
      <c r="E27148" t="s">
        <v>1</v>
      </c>
      <c r="F27148" t="s">
        <v>0</v>
      </c>
      <c r="G27148" t="str">
        <f>"2018-10-05 11:06:48"</f>
        <v>2018-10-05 11:06:48</v>
      </c>
    </row>
    <row r="27149" spans="1:7" x14ac:dyDescent="0.2">
      <c r="A27149" t="s">
        <v>24922</v>
      </c>
      <c r="B27149" t="str">
        <f>"17664127223"</f>
        <v>17664127223</v>
      </c>
      <c r="C27149" t="str">
        <f>"370982199703145299"</f>
        <v>370982199703145299</v>
      </c>
      <c r="D27149" t="s">
        <v>1</v>
      </c>
      <c r="E27149" t="s">
        <v>1</v>
      </c>
      <c r="F27149" t="s">
        <v>0</v>
      </c>
      <c r="G27149" t="str">
        <f>"2018-10-05 11:07:48"</f>
        <v>2018-10-05 11:07:48</v>
      </c>
    </row>
    <row r="27150" spans="1:7" x14ac:dyDescent="0.2">
      <c r="A27150" t="s">
        <v>24923</v>
      </c>
      <c r="B27150" t="str">
        <f>"13333775545"</f>
        <v>13333775545</v>
      </c>
      <c r="C27150" t="str">
        <f>"411302199806165128"</f>
        <v>411302199806165128</v>
      </c>
      <c r="D27150" t="s">
        <v>1</v>
      </c>
      <c r="E27150" t="s">
        <v>1</v>
      </c>
      <c r="F27150" t="s">
        <v>0</v>
      </c>
      <c r="G27150" t="str">
        <f>"2018-10-05 11:22:28"</f>
        <v>2018-10-05 11:22:28</v>
      </c>
    </row>
    <row r="27151" spans="1:7" x14ac:dyDescent="0.2">
      <c r="A27151" t="s">
        <v>24924</v>
      </c>
      <c r="B27151" t="str">
        <f>"13002593562"</f>
        <v>13002593562</v>
      </c>
      <c r="C27151" t="str">
        <f>"320923198609196336"</f>
        <v>320923198609196336</v>
      </c>
      <c r="D27151" t="s">
        <v>24925</v>
      </c>
      <c r="E27151" t="s">
        <v>24926</v>
      </c>
      <c r="F27151" t="s">
        <v>0</v>
      </c>
      <c r="G27151" t="str">
        <f>"2018-10-05 11:15:30"</f>
        <v>2018-10-05 11:15:30</v>
      </c>
    </row>
    <row r="27152" spans="1:7" x14ac:dyDescent="0.2">
      <c r="A27152" t="s">
        <v>24927</v>
      </c>
      <c r="B27152" t="str">
        <f>"13819078385"</f>
        <v>13819078385</v>
      </c>
      <c r="C27152" t="str">
        <f>"532131198404110532"</f>
        <v>532131198404110532</v>
      </c>
      <c r="D27152" t="s">
        <v>1</v>
      </c>
      <c r="E27152" t="s">
        <v>1</v>
      </c>
      <c r="F27152" t="s">
        <v>0</v>
      </c>
      <c r="G27152" t="str">
        <f>"2018-10-05 13:02:38"</f>
        <v>2018-10-05 13:02:38</v>
      </c>
    </row>
    <row r="27153" spans="1:7" x14ac:dyDescent="0.2">
      <c r="A27153" t="s">
        <v>24928</v>
      </c>
      <c r="B27153" t="str">
        <f>"13556280277"</f>
        <v>13556280277</v>
      </c>
      <c r="C27153" t="str">
        <f>"441322198303144954"</f>
        <v>441322198303144954</v>
      </c>
      <c r="D27153" t="s">
        <v>1</v>
      </c>
      <c r="E27153" t="s">
        <v>1</v>
      </c>
      <c r="F27153" t="s">
        <v>0</v>
      </c>
      <c r="G27153" t="str">
        <f>"2018-10-05 11:19:08"</f>
        <v>2018-10-05 11:19:08</v>
      </c>
    </row>
    <row r="27154" spans="1:7" x14ac:dyDescent="0.2">
      <c r="A27154" t="s">
        <v>24929</v>
      </c>
      <c r="B27154" t="str">
        <f>"18524799614"</f>
        <v>18524799614</v>
      </c>
      <c r="C27154" t="str">
        <f>"230102199601145312"</f>
        <v>230102199601145312</v>
      </c>
      <c r="D27154" t="s">
        <v>1</v>
      </c>
      <c r="E27154" t="s">
        <v>1</v>
      </c>
      <c r="F27154" t="s">
        <v>0</v>
      </c>
      <c r="G27154" t="str">
        <f>"2018-10-05 11:52:48"</f>
        <v>2018-10-05 11:52:48</v>
      </c>
    </row>
    <row r="27155" spans="1:7" x14ac:dyDescent="0.2">
      <c r="A27155" t="s">
        <v>24930</v>
      </c>
      <c r="B27155" t="str">
        <f>"13853219211"</f>
        <v>13853219211</v>
      </c>
      <c r="C27155" t="str">
        <f>"370205198305295026"</f>
        <v>370205198305295026</v>
      </c>
      <c r="D27155" t="s">
        <v>24931</v>
      </c>
      <c r="E27155" t="s">
        <v>24932</v>
      </c>
      <c r="F27155" t="s">
        <v>0</v>
      </c>
      <c r="G27155" t="str">
        <f>"2018-10-28 17:07:04"</f>
        <v>2018-10-28 17:07:04</v>
      </c>
    </row>
    <row r="27156" spans="1:7" x14ac:dyDescent="0.2">
      <c r="A27156" t="s">
        <v>1</v>
      </c>
      <c r="B27156" t="str">
        <f>"18087202400"</f>
        <v>18087202400</v>
      </c>
      <c r="C27156" t="s">
        <v>1</v>
      </c>
      <c r="D27156" t="s">
        <v>1</v>
      </c>
      <c r="E27156" t="s">
        <v>1</v>
      </c>
      <c r="F27156" t="s">
        <v>0</v>
      </c>
      <c r="G27156" t="str">
        <f>"2018-10-05 11:05:52"</f>
        <v>2018-10-05 11:05:52</v>
      </c>
    </row>
    <row r="27157" spans="1:7" x14ac:dyDescent="0.2">
      <c r="A27157" t="s">
        <v>24933</v>
      </c>
      <c r="B27157" t="str">
        <f>"13878837149"</f>
        <v>13878837149</v>
      </c>
      <c r="C27157" t="str">
        <f>"450105198312211518"</f>
        <v>450105198312211518</v>
      </c>
      <c r="D27157" t="s">
        <v>24934</v>
      </c>
      <c r="E27157" t="s">
        <v>24935</v>
      </c>
      <c r="F27157" t="s">
        <v>0</v>
      </c>
      <c r="G27157" t="str">
        <f>"2018-10-05 11:05:46"</f>
        <v>2018-10-05 11:05:46</v>
      </c>
    </row>
    <row r="27158" spans="1:7" x14ac:dyDescent="0.2">
      <c r="A27158" t="s">
        <v>24936</v>
      </c>
      <c r="B27158" t="str">
        <f>"15692772288"</f>
        <v>15692772288</v>
      </c>
      <c r="C27158" t="str">
        <f>"520201197810185213"</f>
        <v>520201197810185213</v>
      </c>
      <c r="D27158" t="s">
        <v>1</v>
      </c>
      <c r="E27158" t="s">
        <v>1</v>
      </c>
      <c r="F27158" t="s">
        <v>0</v>
      </c>
      <c r="G27158" t="str">
        <f>"2018-10-05 15:13:27"</f>
        <v>2018-10-05 15:13:27</v>
      </c>
    </row>
    <row r="27159" spans="1:7" x14ac:dyDescent="0.2">
      <c r="A27159" t="s">
        <v>1</v>
      </c>
      <c r="B27159" t="str">
        <f>"13159176907"</f>
        <v>13159176907</v>
      </c>
      <c r="C27159" t="s">
        <v>1</v>
      </c>
      <c r="D27159" t="s">
        <v>1</v>
      </c>
      <c r="E27159" t="s">
        <v>1</v>
      </c>
      <c r="F27159" t="s">
        <v>0</v>
      </c>
      <c r="G27159" t="str">
        <f>"2018-10-05 11:05:30"</f>
        <v>2018-10-05 11:05:30</v>
      </c>
    </row>
    <row r="27160" spans="1:7" x14ac:dyDescent="0.2">
      <c r="A27160" t="s">
        <v>24937</v>
      </c>
      <c r="B27160" t="str">
        <f>"18227125752"</f>
        <v>18227125752</v>
      </c>
      <c r="C27160" t="str">
        <f>"511528199205292816"</f>
        <v>511528199205292816</v>
      </c>
      <c r="D27160" t="s">
        <v>1</v>
      </c>
      <c r="E27160" t="s">
        <v>1</v>
      </c>
      <c r="F27160" t="s">
        <v>0</v>
      </c>
      <c r="G27160" t="str">
        <f>"2018-10-05 11:07:06"</f>
        <v>2018-10-05 11:07:06</v>
      </c>
    </row>
    <row r="27161" spans="1:7" x14ac:dyDescent="0.2">
      <c r="A27161" t="s">
        <v>129</v>
      </c>
      <c r="B27161" t="str">
        <f>"18797799671"</f>
        <v>18797799671</v>
      </c>
      <c r="C27161" t="str">
        <f>"430703199406051114"</f>
        <v>430703199406051114</v>
      </c>
      <c r="D27161" t="s">
        <v>24938</v>
      </c>
      <c r="E27161" t="s">
        <v>24939</v>
      </c>
      <c r="F27161" t="s">
        <v>0</v>
      </c>
      <c r="G27161" t="str">
        <f>"2018-10-05 14:23:31"</f>
        <v>2018-10-05 14:23:31</v>
      </c>
    </row>
    <row r="27162" spans="1:7" x14ac:dyDescent="0.2">
      <c r="A27162" t="s">
        <v>24940</v>
      </c>
      <c r="B27162" t="str">
        <f>"18239317605"</f>
        <v>18239317605</v>
      </c>
      <c r="C27162" t="str">
        <f>"410922199012194514"</f>
        <v>410922199012194514</v>
      </c>
      <c r="D27162" t="s">
        <v>1</v>
      </c>
      <c r="E27162" t="s">
        <v>1</v>
      </c>
      <c r="F27162" t="s">
        <v>0</v>
      </c>
      <c r="G27162" t="str">
        <f>"2018-10-05 11:13:43"</f>
        <v>2018-10-05 11:13:43</v>
      </c>
    </row>
    <row r="27163" spans="1:7" x14ac:dyDescent="0.2">
      <c r="A27163" t="s">
        <v>24941</v>
      </c>
      <c r="B27163" t="str">
        <f>"15244513993"</f>
        <v>15244513993</v>
      </c>
      <c r="C27163" t="str">
        <f>"370685199509180018"</f>
        <v>370685199509180018</v>
      </c>
      <c r="D27163" t="s">
        <v>1</v>
      </c>
      <c r="E27163" t="s">
        <v>1</v>
      </c>
      <c r="F27163" t="s">
        <v>0</v>
      </c>
      <c r="G27163" t="str">
        <f>"2018-10-05 11:05:46"</f>
        <v>2018-10-05 11:05:46</v>
      </c>
    </row>
    <row r="27164" spans="1:7" x14ac:dyDescent="0.2">
      <c r="A27164" t="s">
        <v>302</v>
      </c>
      <c r="B27164" t="str">
        <f>"15595795798"</f>
        <v>15595795798</v>
      </c>
      <c r="C27164" t="str">
        <f>"460004198705080811"</f>
        <v>460004198705080811</v>
      </c>
      <c r="D27164" t="s">
        <v>1</v>
      </c>
      <c r="E27164" t="s">
        <v>1</v>
      </c>
      <c r="F27164" t="s">
        <v>0</v>
      </c>
      <c r="G27164" t="str">
        <f>"2018-10-05 11:05:03"</f>
        <v>2018-10-05 11:05:03</v>
      </c>
    </row>
    <row r="27165" spans="1:7" x14ac:dyDescent="0.2">
      <c r="A27165" t="s">
        <v>1</v>
      </c>
      <c r="B27165" t="str">
        <f>"15880881205"</f>
        <v>15880881205</v>
      </c>
      <c r="C27165" t="s">
        <v>1</v>
      </c>
      <c r="D27165" t="s">
        <v>1</v>
      </c>
      <c r="E27165" t="s">
        <v>1</v>
      </c>
      <c r="F27165" t="s">
        <v>0</v>
      </c>
      <c r="G27165" t="str">
        <f>"2018-10-05 11:03:57"</f>
        <v>2018-10-05 11:03:57</v>
      </c>
    </row>
    <row r="27166" spans="1:7" x14ac:dyDescent="0.2">
      <c r="A27166" t="s">
        <v>24942</v>
      </c>
      <c r="B27166" t="str">
        <f>"18367278637"</f>
        <v>18367278637</v>
      </c>
      <c r="C27166" t="str">
        <f>"330501199811162013"</f>
        <v>330501199811162013</v>
      </c>
      <c r="D27166" t="s">
        <v>24943</v>
      </c>
      <c r="E27166" t="s">
        <v>24944</v>
      </c>
      <c r="F27166" t="s">
        <v>0</v>
      </c>
      <c r="G27166" t="str">
        <f>"2018-10-05 11:05:30"</f>
        <v>2018-10-05 11:05:30</v>
      </c>
    </row>
    <row r="27167" spans="1:7" x14ac:dyDescent="0.2">
      <c r="A27167" t="s">
        <v>24945</v>
      </c>
      <c r="B27167" t="str">
        <f>"13815690294"</f>
        <v>13815690294</v>
      </c>
      <c r="C27167" t="str">
        <f>"320722198511080514"</f>
        <v>320722198511080514</v>
      </c>
      <c r="D27167" t="s">
        <v>24946</v>
      </c>
      <c r="E27167" t="s">
        <v>24947</v>
      </c>
      <c r="F27167" t="s">
        <v>0</v>
      </c>
      <c r="G27167" t="str">
        <f>"2018-10-05 11:13:50"</f>
        <v>2018-10-05 11:13:50</v>
      </c>
    </row>
    <row r="27168" spans="1:7" x14ac:dyDescent="0.2">
      <c r="A27168" t="s">
        <v>1413</v>
      </c>
      <c r="B27168" t="str">
        <f>"17630223353"</f>
        <v>17630223353</v>
      </c>
      <c r="C27168" t="str">
        <f>"410782199105229558"</f>
        <v>410782199105229558</v>
      </c>
      <c r="D27168" t="s">
        <v>1</v>
      </c>
      <c r="E27168" t="s">
        <v>1</v>
      </c>
      <c r="F27168" t="s">
        <v>0</v>
      </c>
      <c r="G27168" t="str">
        <f>"2018-10-05 11:04:57"</f>
        <v>2018-10-05 11:04:57</v>
      </c>
    </row>
    <row r="27169" spans="1:7" x14ac:dyDescent="0.2">
      <c r="A27169" t="s">
        <v>1</v>
      </c>
      <c r="B27169" t="str">
        <f>"15377422437"</f>
        <v>15377422437</v>
      </c>
      <c r="C27169" t="s">
        <v>1</v>
      </c>
      <c r="D27169" t="s">
        <v>1</v>
      </c>
      <c r="E27169" t="s">
        <v>1</v>
      </c>
      <c r="F27169" t="s">
        <v>0</v>
      </c>
      <c r="G27169" t="str">
        <f>"2018-10-05 11:03:42"</f>
        <v>2018-10-05 11:03:42</v>
      </c>
    </row>
    <row r="27170" spans="1:7" x14ac:dyDescent="0.2">
      <c r="A27170" t="s">
        <v>1</v>
      </c>
      <c r="B27170" t="str">
        <f>"17620565122"</f>
        <v>17620565122</v>
      </c>
      <c r="C27170" t="s">
        <v>1</v>
      </c>
      <c r="D27170" t="s">
        <v>1</v>
      </c>
      <c r="E27170" t="s">
        <v>1</v>
      </c>
      <c r="F27170" t="s">
        <v>0</v>
      </c>
      <c r="G27170" t="str">
        <f>"2018-10-05 11:03:35"</f>
        <v>2018-10-05 11:03:35</v>
      </c>
    </row>
    <row r="27171" spans="1:7" x14ac:dyDescent="0.2">
      <c r="A27171" t="s">
        <v>1</v>
      </c>
      <c r="B27171" t="str">
        <f>"17684255913"</f>
        <v>17684255913</v>
      </c>
      <c r="C27171" t="s">
        <v>1</v>
      </c>
      <c r="D27171" t="s">
        <v>1</v>
      </c>
      <c r="E27171" t="s">
        <v>1</v>
      </c>
      <c r="F27171" t="s">
        <v>0</v>
      </c>
      <c r="G27171" t="str">
        <f>"2018-10-05 11:13:42"</f>
        <v>2018-10-05 11:13:42</v>
      </c>
    </row>
    <row r="27172" spans="1:7" x14ac:dyDescent="0.2">
      <c r="A27172" t="s">
        <v>1</v>
      </c>
      <c r="B27172" t="str">
        <f>"18637751399"</f>
        <v>18637751399</v>
      </c>
      <c r="C27172" t="s">
        <v>1</v>
      </c>
      <c r="D27172" t="s">
        <v>1</v>
      </c>
      <c r="E27172" t="s">
        <v>1</v>
      </c>
      <c r="F27172" t="s">
        <v>0</v>
      </c>
      <c r="G27172" t="str">
        <f>"2018-10-05 11:02:56"</f>
        <v>2018-10-05 11:02:56</v>
      </c>
    </row>
    <row r="27173" spans="1:7" x14ac:dyDescent="0.2">
      <c r="A27173" t="s">
        <v>24948</v>
      </c>
      <c r="B27173" t="str">
        <f>"13658823135"</f>
        <v>13658823135</v>
      </c>
      <c r="C27173" t="str">
        <f>"532122199106102815"</f>
        <v>532122199106102815</v>
      </c>
      <c r="D27173" t="s">
        <v>1</v>
      </c>
      <c r="E27173" t="s">
        <v>1</v>
      </c>
      <c r="F27173" t="s">
        <v>0</v>
      </c>
      <c r="G27173" t="str">
        <f>"2018-10-05 11:02:53"</f>
        <v>2018-10-05 11:02:53</v>
      </c>
    </row>
    <row r="27174" spans="1:7" x14ac:dyDescent="0.2">
      <c r="A27174" t="s">
        <v>24949</v>
      </c>
      <c r="B27174" t="str">
        <f>"13477007757"</f>
        <v>13477007757</v>
      </c>
      <c r="C27174" t="str">
        <f>"420106199308118447"</f>
        <v>420106199308118447</v>
      </c>
      <c r="D27174" t="s">
        <v>1</v>
      </c>
      <c r="E27174" t="s">
        <v>1</v>
      </c>
      <c r="F27174" t="s">
        <v>0</v>
      </c>
      <c r="G27174" t="str">
        <f>"2018-10-05 11:07:23"</f>
        <v>2018-10-05 11:07:23</v>
      </c>
    </row>
    <row r="27175" spans="1:7" x14ac:dyDescent="0.2">
      <c r="A27175" t="s">
        <v>24950</v>
      </c>
      <c r="B27175" t="str">
        <f>"18035821253"</f>
        <v>18035821253</v>
      </c>
      <c r="C27175" t="str">
        <f>"142322199005255511"</f>
        <v>142322199005255511</v>
      </c>
      <c r="D27175" t="s">
        <v>1</v>
      </c>
      <c r="E27175" t="s">
        <v>1</v>
      </c>
      <c r="F27175" t="s">
        <v>0</v>
      </c>
      <c r="G27175" t="str">
        <f>"2018-10-05 11:05:21"</f>
        <v>2018-10-05 11:05:21</v>
      </c>
    </row>
    <row r="27176" spans="1:7" x14ac:dyDescent="0.2">
      <c r="A27176" t="s">
        <v>24951</v>
      </c>
      <c r="B27176" t="str">
        <f>"13784898757"</f>
        <v>13784898757</v>
      </c>
      <c r="C27176" t="str">
        <f>"130533198203012037"</f>
        <v>130533198203012037</v>
      </c>
      <c r="D27176" t="s">
        <v>1</v>
      </c>
      <c r="E27176" t="s">
        <v>1</v>
      </c>
      <c r="F27176" t="s">
        <v>0</v>
      </c>
      <c r="G27176" t="str">
        <f>"2018-11-01 17:50:55"</f>
        <v>2018-11-01 17:50:55</v>
      </c>
    </row>
    <row r="27177" spans="1:7" x14ac:dyDescent="0.2">
      <c r="A27177" t="s">
        <v>1</v>
      </c>
      <c r="B27177" t="str">
        <f>"15377265998"</f>
        <v>15377265998</v>
      </c>
      <c r="C27177" t="s">
        <v>1</v>
      </c>
      <c r="D27177" t="s">
        <v>1</v>
      </c>
      <c r="E27177" t="s">
        <v>1</v>
      </c>
      <c r="F27177" t="s">
        <v>0</v>
      </c>
      <c r="G27177" t="str">
        <f>"2018-10-05 11:02:21"</f>
        <v>2018-10-05 11:02:21</v>
      </c>
    </row>
    <row r="27178" spans="1:7" x14ac:dyDescent="0.2">
      <c r="A27178" t="s">
        <v>1453</v>
      </c>
      <c r="B27178" t="str">
        <f>"17771268370"</f>
        <v>17771268370</v>
      </c>
      <c r="C27178" t="str">
        <f>"511025198911101414"</f>
        <v>511025198911101414</v>
      </c>
      <c r="D27178" t="s">
        <v>24952</v>
      </c>
      <c r="E27178" t="s">
        <v>24953</v>
      </c>
      <c r="F27178" t="s">
        <v>0</v>
      </c>
      <c r="G27178" t="str">
        <f>"2018-10-05 11:07:49"</f>
        <v>2018-10-05 11:07:49</v>
      </c>
    </row>
    <row r="27179" spans="1:7" x14ac:dyDescent="0.2">
      <c r="A27179" t="s">
        <v>24954</v>
      </c>
      <c r="B27179" t="str">
        <f>"15201193387"</f>
        <v>15201193387</v>
      </c>
      <c r="C27179" t="str">
        <f>"130729199112090014"</f>
        <v>130729199112090014</v>
      </c>
      <c r="D27179" t="s">
        <v>24955</v>
      </c>
      <c r="E27179" t="s">
        <v>24956</v>
      </c>
      <c r="F27179" t="s">
        <v>0</v>
      </c>
      <c r="G27179" t="str">
        <f>"2018-10-05 11:01:39"</f>
        <v>2018-10-05 11:01:39</v>
      </c>
    </row>
    <row r="27180" spans="1:7" x14ac:dyDescent="0.2">
      <c r="A27180" t="s">
        <v>1</v>
      </c>
      <c r="B27180" t="str">
        <f>"18659359366"</f>
        <v>18659359366</v>
      </c>
      <c r="C27180" t="s">
        <v>1</v>
      </c>
      <c r="D27180" t="s">
        <v>1</v>
      </c>
      <c r="E27180" t="s">
        <v>1</v>
      </c>
      <c r="F27180" t="s">
        <v>0</v>
      </c>
      <c r="G27180" t="str">
        <f>"2018-10-05 11:02:11"</f>
        <v>2018-10-05 11:02:11</v>
      </c>
    </row>
    <row r="27181" spans="1:7" x14ac:dyDescent="0.2">
      <c r="A27181" t="s">
        <v>24957</v>
      </c>
      <c r="B27181" t="str">
        <f>"18921361969"</f>
        <v>18921361969</v>
      </c>
      <c r="C27181" t="str">
        <f>"320219196911111805"</f>
        <v>320219196911111805</v>
      </c>
      <c r="D27181" t="s">
        <v>1</v>
      </c>
      <c r="E27181" t="s">
        <v>1</v>
      </c>
      <c r="F27181" t="s">
        <v>0</v>
      </c>
      <c r="G27181" t="str">
        <f>"2018-11-03 18:27:15"</f>
        <v>2018-11-03 18:27:15</v>
      </c>
    </row>
    <row r="27182" spans="1:7" x14ac:dyDescent="0.2">
      <c r="A27182" t="s">
        <v>24958</v>
      </c>
      <c r="B27182" t="str">
        <f>"18331797070"</f>
        <v>18331797070</v>
      </c>
      <c r="C27182" t="str">
        <f>"130982198006200919"</f>
        <v>130982198006200919</v>
      </c>
      <c r="D27182" t="s">
        <v>24959</v>
      </c>
      <c r="E27182" t="s">
        <v>24960</v>
      </c>
      <c r="F27182" t="s">
        <v>0</v>
      </c>
      <c r="G27182" t="str">
        <f>"2018-10-06 18:53:27"</f>
        <v>2018-10-06 18:53:27</v>
      </c>
    </row>
    <row r="27183" spans="1:7" x14ac:dyDescent="0.2">
      <c r="A27183" t="s">
        <v>1</v>
      </c>
      <c r="B27183" t="str">
        <f>"15609500521"</f>
        <v>15609500521</v>
      </c>
      <c r="C27183" t="s">
        <v>1</v>
      </c>
      <c r="D27183" t="s">
        <v>1</v>
      </c>
      <c r="E27183" t="s">
        <v>1</v>
      </c>
      <c r="F27183" t="s">
        <v>0</v>
      </c>
      <c r="G27183" t="str">
        <f>"2018-10-05 11:00:58"</f>
        <v>2018-10-05 11:00:58</v>
      </c>
    </row>
    <row r="27184" spans="1:7" x14ac:dyDescent="0.2">
      <c r="A27184" t="s">
        <v>1</v>
      </c>
      <c r="B27184" t="str">
        <f>"15017179812"</f>
        <v>15017179812</v>
      </c>
      <c r="C27184" t="s">
        <v>1</v>
      </c>
      <c r="D27184" t="s">
        <v>1</v>
      </c>
      <c r="E27184" t="s">
        <v>1</v>
      </c>
      <c r="F27184" t="s">
        <v>0</v>
      </c>
      <c r="G27184" t="str">
        <f>"2018-10-05 11:00:54"</f>
        <v>2018-10-05 11:00:54</v>
      </c>
    </row>
    <row r="27185" spans="1:7" x14ac:dyDescent="0.2">
      <c r="A27185" t="s">
        <v>24961</v>
      </c>
      <c r="B27185" t="str">
        <f>"18635731959"</f>
        <v>18635731959</v>
      </c>
      <c r="C27185" t="str">
        <f>"142601198603023219"</f>
        <v>142601198603023219</v>
      </c>
      <c r="D27185" t="s">
        <v>24962</v>
      </c>
      <c r="E27185" t="s">
        <v>24963</v>
      </c>
      <c r="F27185" t="s">
        <v>0</v>
      </c>
      <c r="G27185" t="str">
        <f>"2018-10-05 11:02:03"</f>
        <v>2018-10-05 11:02:03</v>
      </c>
    </row>
    <row r="27186" spans="1:7" x14ac:dyDescent="0.2">
      <c r="A27186" t="s">
        <v>1</v>
      </c>
      <c r="B27186" t="str">
        <f>"15806729697"</f>
        <v>15806729697</v>
      </c>
      <c r="C27186" t="s">
        <v>1</v>
      </c>
      <c r="D27186" t="s">
        <v>1</v>
      </c>
      <c r="E27186" t="s">
        <v>1</v>
      </c>
      <c r="F27186" t="s">
        <v>0</v>
      </c>
      <c r="G27186" t="str">
        <f>"2018-10-05 10:59:18"</f>
        <v>2018-10-05 10:59:18</v>
      </c>
    </row>
    <row r="27187" spans="1:7" x14ac:dyDescent="0.2">
      <c r="A27187" t="s">
        <v>1</v>
      </c>
      <c r="B27187" t="str">
        <f>"17684737102"</f>
        <v>17684737102</v>
      </c>
      <c r="C27187" t="s">
        <v>1</v>
      </c>
      <c r="D27187" t="s">
        <v>1</v>
      </c>
      <c r="E27187" t="s">
        <v>1</v>
      </c>
      <c r="F27187" t="s">
        <v>0</v>
      </c>
      <c r="G27187" t="str">
        <f>"2018-10-05 10:59:02"</f>
        <v>2018-10-05 10:59:02</v>
      </c>
    </row>
    <row r="27188" spans="1:7" x14ac:dyDescent="0.2">
      <c r="A27188" t="s">
        <v>24964</v>
      </c>
      <c r="B27188" t="str">
        <f>"13055177999"</f>
        <v>13055177999</v>
      </c>
      <c r="C27188" t="str">
        <f>"430105198712034326"</f>
        <v>430105198712034326</v>
      </c>
      <c r="D27188" t="s">
        <v>24965</v>
      </c>
      <c r="E27188" t="s">
        <v>24966</v>
      </c>
      <c r="F27188" t="s">
        <v>0</v>
      </c>
      <c r="G27188" t="str">
        <f>"2018-10-05 11:00:40"</f>
        <v>2018-10-05 11:00:40</v>
      </c>
    </row>
    <row r="27189" spans="1:7" x14ac:dyDescent="0.2">
      <c r="A27189" t="s">
        <v>24967</v>
      </c>
      <c r="B27189" t="str">
        <f>"18605949749"</f>
        <v>18605949749</v>
      </c>
      <c r="C27189" t="str">
        <f>"210104196006102057"</f>
        <v>210104196006102057</v>
      </c>
      <c r="D27189" t="s">
        <v>1</v>
      </c>
      <c r="E27189" t="s">
        <v>1</v>
      </c>
      <c r="F27189" t="s">
        <v>0</v>
      </c>
      <c r="G27189" t="str">
        <f>"2018-10-05 10:58:53"</f>
        <v>2018-10-05 10:58:53</v>
      </c>
    </row>
    <row r="27190" spans="1:7" x14ac:dyDescent="0.2">
      <c r="A27190" t="s">
        <v>1</v>
      </c>
      <c r="B27190" t="str">
        <f>"18979023635"</f>
        <v>18979023635</v>
      </c>
      <c r="C27190" t="s">
        <v>1</v>
      </c>
      <c r="D27190" t="s">
        <v>1</v>
      </c>
      <c r="E27190" t="s">
        <v>1</v>
      </c>
      <c r="F27190" t="s">
        <v>0</v>
      </c>
      <c r="G27190" t="str">
        <f>"2018-10-05 10:57:48"</f>
        <v>2018-10-05 10:57:48</v>
      </c>
    </row>
    <row r="27191" spans="1:7" x14ac:dyDescent="0.2">
      <c r="A27191" t="s">
        <v>24968</v>
      </c>
      <c r="B27191" t="str">
        <f>"17696160156"</f>
        <v>17696160156</v>
      </c>
      <c r="C27191" t="str">
        <f>"372930197107185178"</f>
        <v>372930197107185178</v>
      </c>
      <c r="D27191" t="s">
        <v>1</v>
      </c>
      <c r="E27191" t="s">
        <v>1</v>
      </c>
      <c r="F27191" t="s">
        <v>0</v>
      </c>
      <c r="G27191" t="str">
        <f>"2018-10-05 10:58:41"</f>
        <v>2018-10-05 10:58:41</v>
      </c>
    </row>
    <row r="27192" spans="1:7" x14ac:dyDescent="0.2">
      <c r="A27192" t="s">
        <v>1</v>
      </c>
      <c r="B27192" t="str">
        <f>"18863628882"</f>
        <v>18863628882</v>
      </c>
      <c r="C27192" t="s">
        <v>1</v>
      </c>
      <c r="D27192" t="s">
        <v>1</v>
      </c>
      <c r="E27192" t="s">
        <v>1</v>
      </c>
      <c r="F27192" t="s">
        <v>0</v>
      </c>
      <c r="G27192" t="str">
        <f>"2018-10-05 10:58:39"</f>
        <v>2018-10-05 10:58:39</v>
      </c>
    </row>
    <row r="27193" spans="1:7" x14ac:dyDescent="0.2">
      <c r="A27193" t="s">
        <v>24969</v>
      </c>
      <c r="B27193" t="str">
        <f>"18665482877"</f>
        <v>18665482877</v>
      </c>
      <c r="C27193" t="str">
        <f>"45252319790103681X"</f>
        <v>45252319790103681X</v>
      </c>
      <c r="D27193" t="s">
        <v>1</v>
      </c>
      <c r="E27193" t="s">
        <v>1</v>
      </c>
      <c r="F27193" t="s">
        <v>0</v>
      </c>
      <c r="G27193" t="str">
        <f>"2018-10-05 10:58:18"</f>
        <v>2018-10-05 10:58:18</v>
      </c>
    </row>
    <row r="27194" spans="1:7" x14ac:dyDescent="0.2">
      <c r="A27194" t="s">
        <v>1</v>
      </c>
      <c r="B27194" t="str">
        <f>"13190309722"</f>
        <v>13190309722</v>
      </c>
      <c r="C27194" t="s">
        <v>1</v>
      </c>
      <c r="D27194" t="s">
        <v>1</v>
      </c>
      <c r="E27194" t="s">
        <v>1</v>
      </c>
      <c r="F27194" t="s">
        <v>0</v>
      </c>
      <c r="G27194" t="str">
        <f>"2018-10-05 10:56:19"</f>
        <v>2018-10-05 10:56:19</v>
      </c>
    </row>
    <row r="27195" spans="1:7" x14ac:dyDescent="0.2">
      <c r="A27195" t="s">
        <v>24970</v>
      </c>
      <c r="B27195" t="str">
        <f>"13016625178"</f>
        <v>13016625178</v>
      </c>
      <c r="C27195" t="str">
        <f>"430422198502070815"</f>
        <v>430422198502070815</v>
      </c>
      <c r="D27195" t="s">
        <v>1</v>
      </c>
      <c r="E27195" t="s">
        <v>1</v>
      </c>
      <c r="F27195" t="s">
        <v>0</v>
      </c>
      <c r="G27195" t="str">
        <f>"2018-10-05 11:03:17"</f>
        <v>2018-10-05 11:03:17</v>
      </c>
    </row>
    <row r="27196" spans="1:7" x14ac:dyDescent="0.2">
      <c r="A27196" t="s">
        <v>1</v>
      </c>
      <c r="B27196" t="str">
        <f>"15829643599"</f>
        <v>15829643599</v>
      </c>
      <c r="C27196" t="s">
        <v>1</v>
      </c>
      <c r="D27196" t="s">
        <v>1</v>
      </c>
      <c r="E27196" t="s">
        <v>1</v>
      </c>
      <c r="F27196" t="s">
        <v>0</v>
      </c>
      <c r="G27196" t="str">
        <f>"2018-10-05 10:56:16"</f>
        <v>2018-10-05 10:56:16</v>
      </c>
    </row>
    <row r="27197" spans="1:7" x14ac:dyDescent="0.2">
      <c r="A27197" t="s">
        <v>24971</v>
      </c>
      <c r="B27197" t="str">
        <f>"13289991846"</f>
        <v>13289991846</v>
      </c>
      <c r="C27197" t="str">
        <f>"654123198303101783"</f>
        <v>654123198303101783</v>
      </c>
      <c r="D27197" t="s">
        <v>1</v>
      </c>
      <c r="E27197" t="s">
        <v>1</v>
      </c>
      <c r="F27197" t="s">
        <v>0</v>
      </c>
      <c r="G27197" t="str">
        <f>"2018-10-05 10:57:35"</f>
        <v>2018-10-05 10:57:35</v>
      </c>
    </row>
    <row r="27198" spans="1:7" x14ac:dyDescent="0.2">
      <c r="A27198" t="s">
        <v>52</v>
      </c>
      <c r="B27198" t="str">
        <f>"17645211166"</f>
        <v>17645211166</v>
      </c>
      <c r="C27198" t="str">
        <f>"230204198307122113"</f>
        <v>230204198307122113</v>
      </c>
      <c r="D27198" t="s">
        <v>1</v>
      </c>
      <c r="E27198" t="s">
        <v>1</v>
      </c>
      <c r="F27198" t="s">
        <v>0</v>
      </c>
      <c r="G27198" t="str">
        <f>"2018-10-05 10:57:06"</f>
        <v>2018-10-05 10:57:06</v>
      </c>
    </row>
    <row r="27199" spans="1:7" x14ac:dyDescent="0.2">
      <c r="A27199" t="s">
        <v>1104</v>
      </c>
      <c r="B27199" t="str">
        <f>"13842404365"</f>
        <v>13842404365</v>
      </c>
      <c r="C27199" t="str">
        <f>"21050519980529152X"</f>
        <v>21050519980529152X</v>
      </c>
      <c r="D27199" t="s">
        <v>1</v>
      </c>
      <c r="E27199" t="s">
        <v>1</v>
      </c>
      <c r="F27199" t="s">
        <v>0</v>
      </c>
      <c r="G27199" t="str">
        <f>"2018-10-05 11:32:56"</f>
        <v>2018-10-05 11:32:56</v>
      </c>
    </row>
    <row r="27200" spans="1:7" x14ac:dyDescent="0.2">
      <c r="A27200" t="s">
        <v>24972</v>
      </c>
      <c r="B27200" t="str">
        <f>"18652279721"</f>
        <v>18652279721</v>
      </c>
      <c r="C27200" t="str">
        <f>"320303198701271628"</f>
        <v>320303198701271628</v>
      </c>
      <c r="D27200" t="s">
        <v>1</v>
      </c>
      <c r="E27200" t="s">
        <v>1</v>
      </c>
      <c r="F27200" t="s">
        <v>0</v>
      </c>
      <c r="G27200" t="str">
        <f>"2018-10-05 10:56:23"</f>
        <v>2018-10-05 10:56:23</v>
      </c>
    </row>
    <row r="27201" spans="1:7" x14ac:dyDescent="0.2">
      <c r="A27201" t="s">
        <v>1</v>
      </c>
      <c r="B27201" t="str">
        <f>"18658660927"</f>
        <v>18658660927</v>
      </c>
      <c r="C27201" t="s">
        <v>1</v>
      </c>
      <c r="D27201" t="s">
        <v>1</v>
      </c>
      <c r="E27201" t="s">
        <v>1</v>
      </c>
      <c r="F27201" t="s">
        <v>0</v>
      </c>
      <c r="G27201" t="str">
        <f>"2018-10-05 10:55:21"</f>
        <v>2018-10-05 10:55:21</v>
      </c>
    </row>
    <row r="27202" spans="1:7" x14ac:dyDescent="0.2">
      <c r="A27202" t="s">
        <v>1</v>
      </c>
      <c r="B27202" t="str">
        <f>"13285847999"</f>
        <v>13285847999</v>
      </c>
      <c r="C27202" t="s">
        <v>1</v>
      </c>
      <c r="D27202" t="s">
        <v>1</v>
      </c>
      <c r="E27202" t="s">
        <v>1</v>
      </c>
      <c r="F27202" t="s">
        <v>0</v>
      </c>
      <c r="G27202" t="str">
        <f>"2018-10-05 10:55:14"</f>
        <v>2018-10-05 10:55:14</v>
      </c>
    </row>
    <row r="27203" spans="1:7" x14ac:dyDescent="0.2">
      <c r="A27203" t="s">
        <v>24973</v>
      </c>
      <c r="B27203" t="str">
        <f>"13073042280"</f>
        <v>13073042280</v>
      </c>
      <c r="C27203" t="str">
        <f>"533125196204140010"</f>
        <v>533125196204140010</v>
      </c>
      <c r="D27203" t="s">
        <v>24974</v>
      </c>
      <c r="E27203" t="s">
        <v>24975</v>
      </c>
      <c r="F27203" t="s">
        <v>0</v>
      </c>
      <c r="G27203" t="str">
        <f>"2018-11-04 17:35:33"</f>
        <v>2018-11-04 17:35:33</v>
      </c>
    </row>
    <row r="27204" spans="1:7" x14ac:dyDescent="0.2">
      <c r="A27204" t="s">
        <v>1</v>
      </c>
      <c r="B27204" t="str">
        <f>"15903603527"</f>
        <v>15903603527</v>
      </c>
      <c r="C27204" t="s">
        <v>1</v>
      </c>
      <c r="D27204" t="s">
        <v>1</v>
      </c>
      <c r="E27204" t="s">
        <v>1</v>
      </c>
      <c r="F27204" t="s">
        <v>0</v>
      </c>
      <c r="G27204" t="str">
        <f>"2018-10-05 10:55:10"</f>
        <v>2018-10-05 10:55:10</v>
      </c>
    </row>
    <row r="27205" spans="1:7" x14ac:dyDescent="0.2">
      <c r="A27205" t="s">
        <v>1</v>
      </c>
      <c r="B27205" t="str">
        <f>"18694016868"</f>
        <v>18694016868</v>
      </c>
      <c r="C27205" t="s">
        <v>1</v>
      </c>
      <c r="D27205" t="s">
        <v>1</v>
      </c>
      <c r="E27205" t="s">
        <v>1</v>
      </c>
      <c r="F27205" t="s">
        <v>0</v>
      </c>
      <c r="G27205" t="str">
        <f>"2018-10-05 10:55:01"</f>
        <v>2018-10-05 10:55:01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dc:creator>
  <cp:lastModifiedBy>MD</cp:lastModifiedBy>
  <dcterms:created xsi:type="dcterms:W3CDTF">2018-11-05T06:57:06Z</dcterms:created>
  <dcterms:modified xsi:type="dcterms:W3CDTF">2018-11-14T01:20:07Z</dcterms:modified>
</cp:coreProperties>
</file>